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3. Casarão Madame Albertina Holz\Planilha\"/>
    </mc:Choice>
  </mc:AlternateContent>
  <bookViews>
    <workbookView xWindow="-120" yWindow="-120" windowWidth="29040" windowHeight="15840" tabRatio="714" firstSheet="10" activeTab="13"/>
  </bookViews>
  <sheets>
    <sheet name="CSINAPI" sheetId="1" r:id="rId1"/>
    <sheet name="CDER-ES" sheetId="4" r:id="rId2"/>
    <sheet name="ISINAPI" sheetId="2" r:id="rId3"/>
    <sheet name="IDER-ES" sheetId="12" r:id="rId4"/>
    <sheet name="CCESAN" sheetId="3" state="hidden" r:id="rId5"/>
    <sheet name="CSCORIO" sheetId="13" r:id="rId6"/>
    <sheet name="DADOS" sheetId="17" state="hidden" r:id="rId7"/>
    <sheet name="BDI" sheetId="6" r:id="rId8"/>
    <sheet name="Auxiliar" sheetId="7" state="hidden" r:id="rId9"/>
    <sheet name="ORCAMENTO" sheetId="8" r:id="rId10"/>
    <sheet name="MEMÓRIA DE CÁLCULO" sheetId="14" r:id="rId11"/>
    <sheet name="COMPOSICAO" sheetId="9" r:id="rId12"/>
    <sheet name="CRONOGRAMA" sheetId="16" r:id="rId13"/>
    <sheet name="MERCADO" sheetId="10" r:id="rId14"/>
    <sheet name="Pranchas" sheetId="23" r:id="rId15"/>
    <sheet name="QUADRO ESQUADRIAS" sheetId="18" r:id="rId16"/>
    <sheet name="QUADRO ÁREA" sheetId="19" r:id="rId17"/>
    <sheet name="EQUIPAMENTOS" sheetId="20" r:id="rId18"/>
    <sheet name="HIDRÁULICA" sheetId="21" r:id="rId19"/>
    <sheet name="SANITÁRIA" sheetId="22" r:id="rId20"/>
    <sheet name="ELÉTRICA" sheetId="24" r:id="rId21"/>
  </sheets>
  <definedNames>
    <definedName name="_xlnm._FilterDatabase" localSheetId="5" hidden="1">CSCORIO!$A$2:$D$5748</definedName>
    <definedName name="_xlnm._FilterDatabase" localSheetId="0" hidden="1">CSINAPI!$C$1:$C$7203</definedName>
    <definedName name="_xlnm._FilterDatabase" localSheetId="20" hidden="1">ELÉTRICA!$H$2:$H$45</definedName>
    <definedName name="_xlnm._FilterDatabase" localSheetId="3" hidden="1">'IDER-ES'!$A$3:$D$1417</definedName>
    <definedName name="_xlnm._FilterDatabase" localSheetId="9" hidden="1">ORCAMENTO!$A$5:$J$297</definedName>
    <definedName name="AC">BDI!$C$10</definedName>
    <definedName name="_xlnm.Print_Area" localSheetId="7">BDI!$A$1:$D$42</definedName>
    <definedName name="_xlnm.Print_Area" localSheetId="11">COMPOSICAO!$A$1:$H$518</definedName>
    <definedName name="_xlnm.Print_Area" localSheetId="12">CRONOGRAMA!$A$1:$P$53</definedName>
    <definedName name="_xlnm.Print_Area" localSheetId="10">'MEMÓRIA DE CÁLCULO'!$A$1:$H$1139</definedName>
    <definedName name="_xlnm.Print_Area" localSheetId="13">MERCADO!$A$1:$E$80</definedName>
    <definedName name="_xlnm.Print_Area" localSheetId="9">ORCAMENTO!$A$1:$J$303</definedName>
    <definedName name="BC">BDI!$C$20</definedName>
    <definedName name="BDI" comment="BDI">BDI!$C$27</definedName>
    <definedName name="CCESAN" comment="Composições Cesan">CCESAN!$A$3:$E$1598</definedName>
    <definedName name="CIOPES" comment="Composições IOPES">'CDER-ES'!$A$3:$D$1191</definedName>
    <definedName name="COFINS">BDI!$C$23</definedName>
    <definedName name="COMP" comment="Composição própria">COMPOSICAO!$A$19:$H$908</definedName>
    <definedName name="CONTRATO">BDI!$B$4</definedName>
    <definedName name="CSCORIO" comment="Composições SCO RIO">CSCORIO!$A$3:$D$5780</definedName>
    <definedName name="CSINAPI" comment="composições sinapi">CSINAPI!$A$5:$D$6498</definedName>
    <definedName name="DADOS" comment="Lista Suspensa">DADOS!$A$1:$A$8</definedName>
    <definedName name="DF">BDI!$C$13</definedName>
    <definedName name="DT">BDI!$C$18</definedName>
    <definedName name="IIOPES" comment="Insumos Iopes">'IDER-ES'!$A$4:$D$1587</definedName>
    <definedName name="ISINAPI" comment="Insumos Sinapi">ISINAPI!$A$4:$E$5492</definedName>
    <definedName name="ISS">BDI!$C$21</definedName>
    <definedName name="LUC">BDI!$C$15</definedName>
    <definedName name="MCALCULO">'MEMÓRIA DE CÁLCULO'!$A$4:$H$1026</definedName>
    <definedName name="MERC" comment="Cotações de Mercado">MERCADO!$C$6:$E$138</definedName>
    <definedName name="OBRA" comment="Nome da obra">BDI!$B$3</definedName>
    <definedName name="PIS">BDI!$C$24</definedName>
    <definedName name="PREV" comment="Com desoneração ou sem desoneração">BDI!$B$6</definedName>
    <definedName name="RIS">BDI!$C$11</definedName>
    <definedName name="SERVICOS">ORCAMENTO!$A$6:$I$298</definedName>
    <definedName name="SG">BDI!$C$12</definedName>
    <definedName name="TIPO">BDI!$B$8</definedName>
    <definedName name="_xlnm.Print_Titles" localSheetId="11">COMPOSICAO!$1:$3</definedName>
    <definedName name="_xlnm.Print_Titles" localSheetId="12">CRONOGRAMA!$1:$5</definedName>
    <definedName name="_xlnm.Print_Titles" localSheetId="10">'MEMÓRIA DE CÁLCULO'!$1:$3</definedName>
    <definedName name="_xlnm.Print_Titles" localSheetId="9">ORCAMENTO!$1:$5</definedName>
    <definedName name="VERIFICA">Auxiliar!$A$17</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133" i="14" l="1"/>
  <c r="H1133" i="14" s="1"/>
  <c r="C1132" i="14"/>
  <c r="Q48" i="16"/>
  <c r="Q46" i="16"/>
  <c r="Q44" i="16"/>
  <c r="Q42" i="16"/>
  <c r="Q40" i="16"/>
  <c r="Q38" i="16"/>
  <c r="Q36" i="16"/>
  <c r="Q34" i="16"/>
  <c r="Q32" i="16"/>
  <c r="Q30" i="16"/>
  <c r="Q28" i="16"/>
  <c r="Q26" i="16"/>
  <c r="Q24" i="16"/>
  <c r="Q22" i="16"/>
  <c r="Q20" i="16"/>
  <c r="Q18" i="16"/>
  <c r="Q16" i="16"/>
  <c r="Q14" i="16"/>
  <c r="Q12" i="16"/>
  <c r="Q10" i="16"/>
  <c r="Q8" i="16"/>
  <c r="Q6" i="16"/>
  <c r="C25" i="6" l="1"/>
  <c r="C18" i="6" s="1"/>
  <c r="G1020" i="14" l="1"/>
  <c r="G266" i="8"/>
  <c r="E266" i="8"/>
  <c r="D266" i="8"/>
  <c r="B1020" i="14" s="1"/>
  <c r="C973" i="14"/>
  <c r="C967" i="14"/>
  <c r="G359" i="9"/>
  <c r="H359" i="9" s="1"/>
  <c r="F359" i="9"/>
  <c r="E359" i="9"/>
  <c r="D359" i="9"/>
  <c r="G358" i="9"/>
  <c r="H358" i="9" s="1"/>
  <c r="E358" i="9"/>
  <c r="D358" i="9"/>
  <c r="F333" i="9"/>
  <c r="F332" i="9"/>
  <c r="F331" i="9"/>
  <c r="F330" i="9"/>
  <c r="F326" i="9"/>
  <c r="F325" i="9"/>
  <c r="F323" i="9"/>
  <c r="F267" i="9"/>
  <c r="F315" i="9"/>
  <c r="F295" i="9"/>
  <c r="F304" i="9"/>
  <c r="F297" i="9"/>
  <c r="F313" i="9"/>
  <c r="F309" i="9"/>
  <c r="F307" i="9"/>
  <c r="F314" i="9" s="1"/>
  <c r="F306" i="9"/>
  <c r="G277" i="9"/>
  <c r="F277" i="9"/>
  <c r="E277" i="9"/>
  <c r="D277" i="9"/>
  <c r="G276" i="9"/>
  <c r="H276" i="9" s="1"/>
  <c r="E276" i="9"/>
  <c r="D276" i="9"/>
  <c r="F286" i="9"/>
  <c r="F294" i="9"/>
  <c r="F288" i="9"/>
  <c r="H888" i="14"/>
  <c r="G165" i="9"/>
  <c r="H165" i="9" s="1"/>
  <c r="E165" i="9"/>
  <c r="D165" i="9"/>
  <c r="H277" i="9" l="1"/>
  <c r="C500" i="14"/>
  <c r="C501" i="14"/>
  <c r="C411" i="14"/>
  <c r="E410" i="14"/>
  <c r="H410" i="14" s="1"/>
  <c r="C298" i="14"/>
  <c r="C299" i="14"/>
  <c r="H298" i="14"/>
  <c r="C297" i="14"/>
  <c r="H297" i="14" s="1"/>
  <c r="C293" i="14"/>
  <c r="C294" i="14" s="1"/>
  <c r="C289" i="14"/>
  <c r="C288" i="14"/>
  <c r="E294" i="14"/>
  <c r="D294" i="14"/>
  <c r="E293" i="14"/>
  <c r="D293" i="14"/>
  <c r="G65" i="8"/>
  <c r="E65" i="8"/>
  <c r="G291" i="14" s="1"/>
  <c r="D65" i="8"/>
  <c r="B291" i="14" s="1"/>
  <c r="H293" i="14" l="1"/>
  <c r="H294" i="14"/>
  <c r="G39" i="9"/>
  <c r="H39" i="9" s="1"/>
  <c r="F39" i="9"/>
  <c r="E39" i="9"/>
  <c r="D39" i="9"/>
  <c r="F38" i="9"/>
  <c r="G38" i="9"/>
  <c r="E38" i="9"/>
  <c r="D38" i="9"/>
  <c r="F10" i="9"/>
  <c r="G10" i="9"/>
  <c r="H10" i="9" s="1"/>
  <c r="E10" i="9"/>
  <c r="D10" i="9"/>
  <c r="H242" i="14"/>
  <c r="H243" i="14"/>
  <c r="H291" i="14" l="1"/>
  <c r="H240" i="14"/>
  <c r="H38" i="9"/>
  <c r="H163" i="14"/>
  <c r="H162" i="14"/>
  <c r="G517" i="9"/>
  <c r="E517" i="9"/>
  <c r="D517" i="9"/>
  <c r="G516" i="9"/>
  <c r="H516" i="9" s="1"/>
  <c r="E516" i="9"/>
  <c r="D516" i="9"/>
  <c r="H160" i="14" l="1"/>
  <c r="H517" i="9"/>
  <c r="H514" i="9" s="1"/>
  <c r="H159" i="14" l="1"/>
  <c r="H157" i="14" s="1"/>
  <c r="G36" i="8"/>
  <c r="E36" i="8"/>
  <c r="D36" i="8"/>
  <c r="F507" i="9"/>
  <c r="F510" i="9" s="1"/>
  <c r="F511" i="9" s="1"/>
  <c r="H671" i="14"/>
  <c r="H669" i="14" s="1"/>
  <c r="G156" i="8"/>
  <c r="E156" i="8"/>
  <c r="D156" i="8"/>
  <c r="G511" i="9"/>
  <c r="E511" i="9"/>
  <c r="D511" i="9"/>
  <c r="G510" i="9"/>
  <c r="E510" i="9"/>
  <c r="D510" i="9"/>
  <c r="G509" i="9"/>
  <c r="H509" i="9" s="1"/>
  <c r="E509" i="9"/>
  <c r="D509" i="9"/>
  <c r="G508" i="9"/>
  <c r="H508" i="9" s="1"/>
  <c r="E508" i="9"/>
  <c r="D508" i="9"/>
  <c r="G507" i="9"/>
  <c r="H507" i="9" s="1"/>
  <c r="E507" i="9"/>
  <c r="D507" i="9"/>
  <c r="G506" i="9"/>
  <c r="H506" i="9" s="1"/>
  <c r="E506" i="9"/>
  <c r="D506" i="9"/>
  <c r="H485" i="14"/>
  <c r="H484" i="14"/>
  <c r="H483" i="14"/>
  <c r="H482" i="14"/>
  <c r="H481" i="14"/>
  <c r="C131" i="14"/>
  <c r="H489" i="14"/>
  <c r="H488" i="14"/>
  <c r="H487" i="14"/>
  <c r="H486" i="14"/>
  <c r="H490" i="14"/>
  <c r="H480" i="14"/>
  <c r="H479" i="14"/>
  <c r="F500" i="9"/>
  <c r="G497" i="9"/>
  <c r="H497" i="9" s="1"/>
  <c r="E497" i="9"/>
  <c r="D497" i="9"/>
  <c r="G496" i="9"/>
  <c r="H496" i="9" s="1"/>
  <c r="E496" i="9"/>
  <c r="D496" i="9"/>
  <c r="G501" i="9"/>
  <c r="F501" i="9"/>
  <c r="E501" i="9"/>
  <c r="D501" i="9"/>
  <c r="G500" i="9"/>
  <c r="H500" i="9" s="1"/>
  <c r="E500" i="9"/>
  <c r="D500" i="9"/>
  <c r="G499" i="9"/>
  <c r="H499" i="9" s="1"/>
  <c r="E499" i="9"/>
  <c r="D499" i="9"/>
  <c r="G498" i="9"/>
  <c r="H498" i="9" s="1"/>
  <c r="E498" i="9"/>
  <c r="D498" i="9"/>
  <c r="G495" i="9"/>
  <c r="H495" i="9" s="1"/>
  <c r="E495" i="9"/>
  <c r="D495" i="9"/>
  <c r="G494" i="9"/>
  <c r="H494" i="9" s="1"/>
  <c r="E494" i="9"/>
  <c r="D494" i="9"/>
  <c r="B727" i="14"/>
  <c r="H501" i="9" l="1"/>
  <c r="H492" i="9" s="1"/>
  <c r="H511" i="9"/>
  <c r="H510" i="9"/>
  <c r="H477" i="14"/>
  <c r="H504" i="9" l="1"/>
  <c r="H1009" i="14"/>
  <c r="H1007" i="14" s="1"/>
  <c r="C1118" i="14"/>
  <c r="B1118" i="14"/>
  <c r="A1118" i="14"/>
  <c r="H1112" i="14"/>
  <c r="H380" i="14"/>
  <c r="F345" i="9"/>
  <c r="F344" i="9"/>
  <c r="F235" i="9"/>
  <c r="F234" i="9"/>
  <c r="F91" i="9"/>
  <c r="F90" i="9"/>
  <c r="F79" i="9"/>
  <c r="F78" i="9"/>
  <c r="F69" i="9"/>
  <c r="F68" i="9"/>
  <c r="F55" i="9"/>
  <c r="F54" i="9"/>
  <c r="F42" i="9"/>
  <c r="F41" i="9"/>
  <c r="H659" i="14"/>
  <c r="C660" i="14"/>
  <c r="H660" i="14" s="1"/>
  <c r="C655" i="14"/>
  <c r="H655" i="14" s="1"/>
  <c r="C656" i="14"/>
  <c r="H656" i="14" s="1"/>
  <c r="F17" i="22"/>
  <c r="G16" i="22"/>
  <c r="E17" i="22"/>
  <c r="J17" i="22"/>
  <c r="I16" i="22"/>
  <c r="H16" i="22"/>
  <c r="F15" i="22"/>
  <c r="E16" i="22"/>
  <c r="E15" i="22"/>
  <c r="C856" i="14"/>
  <c r="C853" i="14"/>
  <c r="G216" i="8"/>
  <c r="E216" i="8"/>
  <c r="D216" i="8"/>
  <c r="C433" i="14"/>
  <c r="C432" i="14"/>
  <c r="H432" i="14" s="1"/>
  <c r="H431" i="14"/>
  <c r="H397" i="14"/>
  <c r="C1136" i="14"/>
  <c r="H437" i="14"/>
  <c r="C402" i="14"/>
  <c r="H402" i="14" s="1"/>
  <c r="D402" i="14"/>
  <c r="D401" i="14"/>
  <c r="E401" i="14" s="1"/>
  <c r="D403" i="14"/>
  <c r="E403" i="14" s="1"/>
  <c r="B403" i="14"/>
  <c r="H403" i="14" s="1"/>
  <c r="B401" i="14"/>
  <c r="H401" i="14" s="1"/>
  <c r="H1118" i="14" l="1"/>
  <c r="H657" i="14"/>
  <c r="E402" i="14"/>
  <c r="H853" i="14"/>
  <c r="H851" i="14" s="1"/>
  <c r="B389" i="14" l="1"/>
  <c r="C389" i="14"/>
  <c r="D389" i="14"/>
  <c r="C388" i="14"/>
  <c r="D388" i="14"/>
  <c r="A389" i="14"/>
  <c r="A403" i="14" s="1"/>
  <c r="B388" i="14"/>
  <c r="A388" i="14"/>
  <c r="A401" i="14" s="1"/>
  <c r="H430" i="14"/>
  <c r="H441" i="14"/>
  <c r="H440" i="14"/>
  <c r="H442" i="14"/>
  <c r="H439" i="14"/>
  <c r="H438" i="14"/>
  <c r="H436" i="14"/>
  <c r="G84" i="8"/>
  <c r="E84" i="8"/>
  <c r="D84" i="8"/>
  <c r="H398" i="14"/>
  <c r="H396" i="14"/>
  <c r="G85" i="8"/>
  <c r="E85" i="8"/>
  <c r="G434" i="14" s="1"/>
  <c r="D85" i="8"/>
  <c r="B434" i="14" s="1"/>
  <c r="G15" i="8"/>
  <c r="E15" i="8"/>
  <c r="D15" i="8"/>
  <c r="G14" i="8"/>
  <c r="E14" i="8"/>
  <c r="D14" i="8"/>
  <c r="B856" i="14"/>
  <c r="B850" i="14"/>
  <c r="H850" i="14" s="1"/>
  <c r="H848" i="14" s="1"/>
  <c r="B847" i="14"/>
  <c r="H847" i="14" s="1"/>
  <c r="H845" i="14" s="1"/>
  <c r="C833" i="14"/>
  <c r="C829" i="14"/>
  <c r="H844" i="14"/>
  <c r="H842" i="14" s="1"/>
  <c r="G214" i="8"/>
  <c r="E214" i="8"/>
  <c r="G848" i="14" s="1"/>
  <c r="D214" i="8"/>
  <c r="B848" i="14" s="1"/>
  <c r="G215" i="8"/>
  <c r="E215" i="8"/>
  <c r="D215" i="8"/>
  <c r="G213" i="8"/>
  <c r="E213" i="8"/>
  <c r="G845" i="14" s="1"/>
  <c r="D213" i="8"/>
  <c r="B845" i="14" s="1"/>
  <c r="F453" i="9"/>
  <c r="G479" i="9"/>
  <c r="F479" i="9"/>
  <c r="E479" i="9"/>
  <c r="D479" i="9"/>
  <c r="F465" i="9"/>
  <c r="G464" i="9"/>
  <c r="F464" i="9"/>
  <c r="E464" i="9"/>
  <c r="D464" i="9"/>
  <c r="G462" i="9"/>
  <c r="E462" i="9"/>
  <c r="D462" i="9"/>
  <c r="G461" i="9"/>
  <c r="H461" i="9" s="1"/>
  <c r="E461" i="9"/>
  <c r="D461" i="9"/>
  <c r="F463" i="9"/>
  <c r="G465" i="9"/>
  <c r="E465" i="9"/>
  <c r="F187" i="9"/>
  <c r="G187" i="9"/>
  <c r="E187" i="9"/>
  <c r="D187" i="9"/>
  <c r="G186" i="9"/>
  <c r="H186" i="9" s="1"/>
  <c r="E186" i="9"/>
  <c r="D186" i="9"/>
  <c r="G178" i="9"/>
  <c r="E178" i="9"/>
  <c r="G177" i="9"/>
  <c r="H177" i="9" s="1"/>
  <c r="E177" i="9"/>
  <c r="D177" i="9"/>
  <c r="B854" i="14" l="1"/>
  <c r="B851" i="14"/>
  <c r="G854" i="14"/>
  <c r="G851" i="14"/>
  <c r="H434" i="14"/>
  <c r="H479" i="9"/>
  <c r="H464" i="9"/>
  <c r="H856" i="14"/>
  <c r="H854" i="14" s="1"/>
  <c r="H462" i="9"/>
  <c r="H862" i="14"/>
  <c r="H860" i="14" s="1"/>
  <c r="G217" i="8"/>
  <c r="E217" i="8"/>
  <c r="D217" i="8"/>
  <c r="G281" i="8"/>
  <c r="E281" i="8"/>
  <c r="D281" i="8"/>
  <c r="H812" i="14"/>
  <c r="H810" i="14" s="1"/>
  <c r="G201" i="8"/>
  <c r="E201" i="8"/>
  <c r="D201" i="8"/>
  <c r="C736" i="14"/>
  <c r="C733" i="14"/>
  <c r="H688" i="14"/>
  <c r="H686" i="14" s="1"/>
  <c r="G163" i="8"/>
  <c r="E163" i="8"/>
  <c r="G686" i="14" s="1"/>
  <c r="D163" i="8"/>
  <c r="B686" i="14" s="1"/>
  <c r="H800" i="14"/>
  <c r="H798" i="14" s="1"/>
  <c r="H797" i="14"/>
  <c r="H795" i="14" s="1"/>
  <c r="G199" i="8"/>
  <c r="E199" i="8"/>
  <c r="D199" i="8"/>
  <c r="G200" i="8"/>
  <c r="E200" i="8"/>
  <c r="D200" i="8"/>
  <c r="H806" i="14"/>
  <c r="H804" i="14" s="1"/>
  <c r="G198" i="8"/>
  <c r="E198" i="8"/>
  <c r="D198" i="8"/>
  <c r="H803" i="14"/>
  <c r="H801" i="14" s="1"/>
  <c r="G197" i="8"/>
  <c r="E197" i="8"/>
  <c r="D197" i="8"/>
  <c r="H794" i="14"/>
  <c r="H792" i="14" s="1"/>
  <c r="H809" i="14"/>
  <c r="H807" i="14" s="1"/>
  <c r="G196" i="8"/>
  <c r="E196" i="8"/>
  <c r="G792" i="14" s="1"/>
  <c r="D196" i="8"/>
  <c r="B792" i="14" s="1"/>
  <c r="G195" i="8"/>
  <c r="E195" i="8"/>
  <c r="D195" i="8"/>
  <c r="B789" i="14" s="1"/>
  <c r="G202" i="8"/>
  <c r="E202" i="8"/>
  <c r="G810" i="14" s="1"/>
  <c r="D202" i="8"/>
  <c r="B810" i="14" s="1"/>
  <c r="H791" i="14"/>
  <c r="H789" i="14" s="1"/>
  <c r="G194" i="8"/>
  <c r="E194" i="8"/>
  <c r="G786" i="14" s="1"/>
  <c r="D194" i="8"/>
  <c r="B786" i="14" s="1"/>
  <c r="H788" i="14"/>
  <c r="H786" i="14" s="1"/>
  <c r="H784" i="14"/>
  <c r="H785" i="14"/>
  <c r="H780" i="14"/>
  <c r="H779" i="14"/>
  <c r="H777" i="14"/>
  <c r="H776" i="14"/>
  <c r="H778" i="14"/>
  <c r="H775" i="14"/>
  <c r="H781" i="14"/>
  <c r="H772" i="14"/>
  <c r="H770" i="14" s="1"/>
  <c r="H769" i="14"/>
  <c r="H767" i="14" s="1"/>
  <c r="H763" i="14"/>
  <c r="H761" i="14" s="1"/>
  <c r="H760" i="14"/>
  <c r="H758" i="14" s="1"/>
  <c r="H766" i="14"/>
  <c r="H764" i="14" s="1"/>
  <c r="B801" i="14" l="1"/>
  <c r="G801" i="14"/>
  <c r="B804" i="14"/>
  <c r="G804" i="14"/>
  <c r="H782" i="14"/>
  <c r="G807" i="14"/>
  <c r="G795" i="14"/>
  <c r="B798" i="14"/>
  <c r="G798" i="14"/>
  <c r="B795" i="14"/>
  <c r="H773" i="14"/>
  <c r="B807" i="14"/>
  <c r="G789" i="14"/>
  <c r="C754" i="14" l="1"/>
  <c r="H754" i="14" s="1"/>
  <c r="H752" i="14" s="1"/>
  <c r="G185" i="8"/>
  <c r="E185" i="8"/>
  <c r="G752" i="14" s="1"/>
  <c r="D185" i="8"/>
  <c r="B752" i="14" s="1"/>
  <c r="H757" i="14"/>
  <c r="H755" i="14" s="1"/>
  <c r="G186" i="8"/>
  <c r="E186" i="8"/>
  <c r="G755" i="14" s="1"/>
  <c r="D186" i="8"/>
  <c r="B755" i="14" s="1"/>
  <c r="C751" i="14"/>
  <c r="H751" i="14" s="1"/>
  <c r="H749" i="14" s="1"/>
  <c r="C748" i="14"/>
  <c r="H748" i="14" s="1"/>
  <c r="H746" i="14" s="1"/>
  <c r="C745" i="14"/>
  <c r="H745" i="14" s="1"/>
  <c r="H743" i="14" s="1"/>
  <c r="H742" i="14"/>
  <c r="H740" i="14" s="1"/>
  <c r="H739" i="14"/>
  <c r="H737" i="14" s="1"/>
  <c r="H727" i="14" l="1"/>
  <c r="H725" i="14" s="1"/>
  <c r="H724" i="14"/>
  <c r="H722" i="14" s="1"/>
  <c r="G176" i="8"/>
  <c r="E176" i="8"/>
  <c r="G725" i="14" s="1"/>
  <c r="D176" i="8"/>
  <c r="B725" i="14" s="1"/>
  <c r="G175" i="8"/>
  <c r="E175" i="8"/>
  <c r="G722" i="14" s="1"/>
  <c r="D175" i="8"/>
  <c r="B722" i="14" s="1"/>
  <c r="H730" i="14"/>
  <c r="H728" i="14" s="1"/>
  <c r="H697" i="14"/>
  <c r="H695" i="14" s="1"/>
  <c r="H694" i="14"/>
  <c r="H692" i="14" s="1"/>
  <c r="H709" i="14"/>
  <c r="H707" i="14" s="1"/>
  <c r="H706" i="14"/>
  <c r="H704" i="14" s="1"/>
  <c r="H703" i="14"/>
  <c r="H701" i="14" s="1"/>
  <c r="H700" i="14"/>
  <c r="H698" i="14" s="1"/>
  <c r="H721" i="14"/>
  <c r="H719" i="14" s="1"/>
  <c r="H718" i="14"/>
  <c r="H716" i="14" s="1"/>
  <c r="H715" i="14"/>
  <c r="H713" i="14" s="1"/>
  <c r="G28" i="24"/>
  <c r="C26" i="24"/>
  <c r="C33" i="24"/>
  <c r="G33" i="24" s="1"/>
  <c r="H712" i="14"/>
  <c r="H710" i="14" s="1"/>
  <c r="G174" i="8"/>
  <c r="E174" i="8"/>
  <c r="G719" i="14" s="1"/>
  <c r="D174" i="8"/>
  <c r="B719" i="14" s="1"/>
  <c r="G173" i="8"/>
  <c r="E173" i="8"/>
  <c r="G716" i="14" s="1"/>
  <c r="D173" i="8"/>
  <c r="B716" i="14" s="1"/>
  <c r="G172" i="8"/>
  <c r="E172" i="8"/>
  <c r="G713" i="14" s="1"/>
  <c r="D172" i="8"/>
  <c r="B713" i="14" s="1"/>
  <c r="G171" i="8"/>
  <c r="E171" i="8"/>
  <c r="G710" i="14" s="1"/>
  <c r="D171" i="8"/>
  <c r="B710" i="14" s="1"/>
  <c r="G170" i="8"/>
  <c r="E170" i="8"/>
  <c r="G707" i="14" s="1"/>
  <c r="D170" i="8"/>
  <c r="B707" i="14" s="1"/>
  <c r="G169" i="8"/>
  <c r="E169" i="8"/>
  <c r="G704" i="14" s="1"/>
  <c r="D169" i="8"/>
  <c r="B704" i="14" s="1"/>
  <c r="C7" i="24"/>
  <c r="G166" i="8"/>
  <c r="E166" i="8"/>
  <c r="G695" i="14" s="1"/>
  <c r="D166" i="8"/>
  <c r="B695" i="14" s="1"/>
  <c r="G165" i="8"/>
  <c r="E165" i="8"/>
  <c r="G692" i="14" s="1"/>
  <c r="D165" i="8"/>
  <c r="B692" i="14" s="1"/>
  <c r="G168" i="8"/>
  <c r="E168" i="8"/>
  <c r="G701" i="14" s="1"/>
  <c r="D168" i="8"/>
  <c r="B701" i="14" s="1"/>
  <c r="C29" i="24"/>
  <c r="G29" i="24" s="1"/>
  <c r="C34" i="24"/>
  <c r="C35" i="24" s="1"/>
  <c r="G35" i="24" s="1"/>
  <c r="C27" i="24"/>
  <c r="G27" i="24" s="1"/>
  <c r="G26" i="24"/>
  <c r="C6" i="24"/>
  <c r="G6" i="24" s="1"/>
  <c r="C10" i="24"/>
  <c r="G10" i="24" s="1"/>
  <c r="C9" i="24"/>
  <c r="G9" i="24" s="1"/>
  <c r="C4" i="24"/>
  <c r="C5" i="24"/>
  <c r="G5" i="24" s="1"/>
  <c r="G21" i="24"/>
  <c r="G20" i="24"/>
  <c r="G19" i="24"/>
  <c r="C18" i="24"/>
  <c r="G18" i="24" s="1"/>
  <c r="C17" i="24"/>
  <c r="G17" i="24" s="1"/>
  <c r="C16" i="24"/>
  <c r="G16" i="24" s="1"/>
  <c r="C15" i="24"/>
  <c r="G15" i="24" s="1"/>
  <c r="G201" i="9"/>
  <c r="H201" i="9" s="1"/>
  <c r="E201" i="9"/>
  <c r="D201" i="9"/>
  <c r="G203" i="9"/>
  <c r="H203" i="9" s="1"/>
  <c r="E203" i="9"/>
  <c r="D203" i="9"/>
  <c r="G202" i="9"/>
  <c r="H202" i="9" s="1"/>
  <c r="E202" i="9"/>
  <c r="D202" i="9"/>
  <c r="G218" i="9"/>
  <c r="H218" i="9" s="1"/>
  <c r="E218" i="9"/>
  <c r="D218" i="9"/>
  <c r="G217" i="9"/>
  <c r="H217" i="9" s="1"/>
  <c r="E217" i="9"/>
  <c r="D217" i="9"/>
  <c r="E79" i="10"/>
  <c r="E78" i="10"/>
  <c r="E69" i="10"/>
  <c r="E68" i="10"/>
  <c r="G4" i="24"/>
  <c r="G8" i="24"/>
  <c r="G7" i="24"/>
  <c r="G167" i="8"/>
  <c r="E167" i="8"/>
  <c r="G698" i="14" s="1"/>
  <c r="D167" i="8"/>
  <c r="B698" i="14" s="1"/>
  <c r="G177" i="8"/>
  <c r="E177" i="8"/>
  <c r="D177" i="8"/>
  <c r="E63" i="10" l="1"/>
  <c r="E72" i="10"/>
  <c r="B728" i="14"/>
  <c r="G728" i="14"/>
  <c r="C11" i="24"/>
  <c r="G11" i="24" s="1"/>
  <c r="G34" i="24"/>
  <c r="C22" i="24"/>
  <c r="G22" i="24" s="1"/>
  <c r="G174" i="9"/>
  <c r="H174" i="9" s="1"/>
  <c r="E174" i="9"/>
  <c r="D174" i="9"/>
  <c r="H682" i="14" l="1"/>
  <c r="A5" i="9"/>
  <c r="G225" i="9"/>
  <c r="H225" i="9" s="1"/>
  <c r="E225" i="9"/>
  <c r="D225" i="9"/>
  <c r="G224" i="9"/>
  <c r="H224" i="9" s="1"/>
  <c r="E224" i="9"/>
  <c r="D224" i="9"/>
  <c r="E60" i="10"/>
  <c r="E59" i="10"/>
  <c r="B668" i="14"/>
  <c r="C668" i="14"/>
  <c r="C667" i="14"/>
  <c r="B664" i="14"/>
  <c r="C664" i="14"/>
  <c r="C663" i="14"/>
  <c r="H27" i="14"/>
  <c r="H23" i="14"/>
  <c r="H21" i="14" s="1"/>
  <c r="G11" i="8"/>
  <c r="E11" i="8"/>
  <c r="G21" i="14" s="1"/>
  <c r="D11" i="8"/>
  <c r="B21" i="14" s="1"/>
  <c r="H1132" i="14"/>
  <c r="H1136" i="14"/>
  <c r="H1134" i="14" s="1"/>
  <c r="G296" i="8"/>
  <c r="E296" i="8"/>
  <c r="G1134" i="14" s="1"/>
  <c r="D296" i="8"/>
  <c r="B1134" i="14" s="1"/>
  <c r="A664" i="14"/>
  <c r="A668" i="14"/>
  <c r="A667" i="14"/>
  <c r="B667" i="14"/>
  <c r="B663" i="14"/>
  <c r="A663" i="14"/>
  <c r="G155" i="8"/>
  <c r="E155" i="8"/>
  <c r="G661" i="14" s="1"/>
  <c r="D155" i="8"/>
  <c r="B661" i="14" s="1"/>
  <c r="G154" i="8"/>
  <c r="E154" i="8"/>
  <c r="G657" i="14" s="1"/>
  <c r="D154" i="8"/>
  <c r="B657" i="14" s="1"/>
  <c r="G153" i="8"/>
  <c r="E153" i="8"/>
  <c r="G653" i="14" s="1"/>
  <c r="D153" i="8"/>
  <c r="B653" i="14" s="1"/>
  <c r="G152" i="8"/>
  <c r="E152" i="8"/>
  <c r="D152" i="8"/>
  <c r="H667" i="14" l="1"/>
  <c r="H668" i="14"/>
  <c r="H665" i="14" s="1"/>
  <c r="H663" i="14"/>
  <c r="H664" i="14"/>
  <c r="H653" i="14"/>
  <c r="A19" i="9"/>
  <c r="A32" i="9" s="1"/>
  <c r="H1130" i="14"/>
  <c r="E54" i="10"/>
  <c r="H661" i="14" l="1"/>
  <c r="A49" i="9"/>
  <c r="G212" i="8"/>
  <c r="E212" i="8"/>
  <c r="G842" i="14" s="1"/>
  <c r="D212" i="8"/>
  <c r="B842" i="14" s="1"/>
  <c r="A62" i="9" l="1"/>
  <c r="H652" i="14"/>
  <c r="H650" i="14" s="1"/>
  <c r="H613" i="14"/>
  <c r="H611" i="14" s="1"/>
  <c r="H610" i="14"/>
  <c r="H608" i="14" s="1"/>
  <c r="H607" i="14"/>
  <c r="H605" i="14" s="1"/>
  <c r="H604" i="14"/>
  <c r="H602" i="14" s="1"/>
  <c r="H625" i="14"/>
  <c r="H623" i="14" s="1"/>
  <c r="H622" i="14"/>
  <c r="H620" i="14" s="1"/>
  <c r="H619" i="14"/>
  <c r="H617" i="14" s="1"/>
  <c r="H616" i="14"/>
  <c r="H614" i="14" s="1"/>
  <c r="H637" i="14"/>
  <c r="H635" i="14" s="1"/>
  <c r="H634" i="14"/>
  <c r="H632" i="14" s="1"/>
  <c r="H631" i="14"/>
  <c r="H629" i="14" s="1"/>
  <c r="H628" i="14"/>
  <c r="H626" i="14" s="1"/>
  <c r="H649" i="14"/>
  <c r="H647" i="14" s="1"/>
  <c r="H646" i="14"/>
  <c r="H644" i="14" s="1"/>
  <c r="H643" i="14"/>
  <c r="H641" i="14" s="1"/>
  <c r="H640" i="14"/>
  <c r="H638" i="14" s="1"/>
  <c r="H588" i="14"/>
  <c r="H586" i="14" s="1"/>
  <c r="H594" i="14"/>
  <c r="H592" i="14" s="1"/>
  <c r="H591" i="14"/>
  <c r="H589" i="14" s="1"/>
  <c r="H597" i="14"/>
  <c r="H595" i="14" s="1"/>
  <c r="H600" i="14"/>
  <c r="H598" i="14" s="1"/>
  <c r="B572" i="14"/>
  <c r="H572" i="14" s="1"/>
  <c r="H570" i="14" s="1"/>
  <c r="H560" i="14"/>
  <c r="H558" i="14" s="1"/>
  <c r="H557" i="14"/>
  <c r="H555" i="14" s="1"/>
  <c r="H554" i="14"/>
  <c r="H552" i="14" s="1"/>
  <c r="H551" i="14"/>
  <c r="H549" i="14" s="1"/>
  <c r="H548" i="14"/>
  <c r="H546" i="14" s="1"/>
  <c r="H545" i="14"/>
  <c r="H543" i="14" s="1"/>
  <c r="H569" i="14"/>
  <c r="H567" i="14" s="1"/>
  <c r="H566" i="14"/>
  <c r="H564" i="14" s="1"/>
  <c r="H563" i="14"/>
  <c r="H561" i="14" s="1"/>
  <c r="H579" i="14"/>
  <c r="H577" i="14" s="1"/>
  <c r="H576" i="14"/>
  <c r="H574" i="14" s="1"/>
  <c r="H582" i="14"/>
  <c r="H580" i="14" s="1"/>
  <c r="H585" i="14"/>
  <c r="H583" i="14" s="1"/>
  <c r="H521" i="14"/>
  <c r="H519" i="14" s="1"/>
  <c r="H518" i="14"/>
  <c r="H516" i="14" s="1"/>
  <c r="H515" i="14"/>
  <c r="H513" i="14" s="1"/>
  <c r="H512" i="14"/>
  <c r="H510" i="14" s="1"/>
  <c r="H530" i="14"/>
  <c r="H528" i="14" s="1"/>
  <c r="H527" i="14"/>
  <c r="H525" i="14" s="1"/>
  <c r="H524" i="14"/>
  <c r="H522" i="14" s="1"/>
  <c r="H542" i="14"/>
  <c r="H540" i="14" s="1"/>
  <c r="H539" i="14"/>
  <c r="H537" i="14" s="1"/>
  <c r="H536" i="14"/>
  <c r="H534" i="14" s="1"/>
  <c r="H533" i="14"/>
  <c r="H531" i="14" s="1"/>
  <c r="G147" i="8"/>
  <c r="E147" i="8"/>
  <c r="G635" i="14" s="1"/>
  <c r="D147" i="8"/>
  <c r="B635" i="14" s="1"/>
  <c r="G148" i="8"/>
  <c r="E148" i="8"/>
  <c r="G638" i="14" s="1"/>
  <c r="D148" i="8"/>
  <c r="B638" i="14" s="1"/>
  <c r="G149" i="9"/>
  <c r="H149" i="9" s="1"/>
  <c r="E149" i="9"/>
  <c r="D149" i="9"/>
  <c r="G150" i="9"/>
  <c r="H150" i="9" s="1"/>
  <c r="E150" i="9"/>
  <c r="D150" i="9"/>
  <c r="G153" i="9"/>
  <c r="H153" i="9" s="1"/>
  <c r="E153" i="9"/>
  <c r="D153" i="9"/>
  <c r="G152" i="9"/>
  <c r="H152" i="9" s="1"/>
  <c r="E152" i="9"/>
  <c r="D152" i="9"/>
  <c r="G151" i="9"/>
  <c r="H151" i="9" s="1"/>
  <c r="E151" i="9"/>
  <c r="D151" i="9"/>
  <c r="G148" i="9"/>
  <c r="H148" i="9" s="1"/>
  <c r="E148" i="9"/>
  <c r="D148" i="9"/>
  <c r="G144" i="8"/>
  <c r="E144" i="8"/>
  <c r="G626" i="14" s="1"/>
  <c r="D144" i="8"/>
  <c r="B626" i="14" s="1"/>
  <c r="G143" i="8"/>
  <c r="E143" i="8"/>
  <c r="G623" i="14" s="1"/>
  <c r="D143" i="8"/>
  <c r="B623" i="14" s="1"/>
  <c r="G140" i="8"/>
  <c r="E140" i="8"/>
  <c r="G614" i="14" s="1"/>
  <c r="D140" i="8"/>
  <c r="B614" i="14" s="1"/>
  <c r="G139" i="8"/>
  <c r="E139" i="8"/>
  <c r="G611" i="14" s="1"/>
  <c r="D139" i="8"/>
  <c r="B611" i="14" s="1"/>
  <c r="G138" i="8"/>
  <c r="E138" i="8"/>
  <c r="G608" i="14" s="1"/>
  <c r="D138" i="8"/>
  <c r="B608" i="14" s="1"/>
  <c r="G137" i="8"/>
  <c r="E137" i="8"/>
  <c r="G605" i="14" s="1"/>
  <c r="D137" i="8"/>
  <c r="B605" i="14" s="1"/>
  <c r="G143" i="9"/>
  <c r="H143" i="9" s="1"/>
  <c r="E143" i="9"/>
  <c r="D143" i="9"/>
  <c r="G142" i="9"/>
  <c r="H142" i="9" s="1"/>
  <c r="E142" i="9"/>
  <c r="D142" i="9"/>
  <c r="G141" i="9"/>
  <c r="H141" i="9" s="1"/>
  <c r="E141" i="9"/>
  <c r="D141" i="9"/>
  <c r="G140" i="9"/>
  <c r="H140" i="9" s="1"/>
  <c r="E140" i="9"/>
  <c r="D140" i="9"/>
  <c r="G135" i="9"/>
  <c r="H135" i="9" s="1"/>
  <c r="E135" i="9"/>
  <c r="D135" i="9"/>
  <c r="G134" i="9"/>
  <c r="H134" i="9" s="1"/>
  <c r="E134" i="9"/>
  <c r="D134" i="9"/>
  <c r="G133" i="9"/>
  <c r="H133" i="9" s="1"/>
  <c r="E133" i="9"/>
  <c r="D133" i="9"/>
  <c r="G132" i="9"/>
  <c r="H132" i="9" s="1"/>
  <c r="E132" i="9"/>
  <c r="D132" i="9"/>
  <c r="G131" i="9"/>
  <c r="H131" i="9" s="1"/>
  <c r="E131" i="9"/>
  <c r="D131" i="9"/>
  <c r="G130" i="8"/>
  <c r="E130" i="8"/>
  <c r="G586" i="14" s="1"/>
  <c r="D130" i="8"/>
  <c r="B586" i="14" s="1"/>
  <c r="G128" i="8"/>
  <c r="E128" i="8"/>
  <c r="G580" i="14" s="1"/>
  <c r="D128" i="8"/>
  <c r="B580" i="14" s="1"/>
  <c r="G127" i="8"/>
  <c r="E127" i="8"/>
  <c r="G577" i="14" s="1"/>
  <c r="D127" i="8"/>
  <c r="B577" i="14" s="1"/>
  <c r="G126" i="8"/>
  <c r="E126" i="8"/>
  <c r="G574" i="14" s="1"/>
  <c r="D126" i="8"/>
  <c r="B574" i="14" s="1"/>
  <c r="G124" i="8"/>
  <c r="E124" i="8"/>
  <c r="G570" i="14" s="1"/>
  <c r="D124" i="8"/>
  <c r="B570" i="14" s="1"/>
  <c r="G123" i="8"/>
  <c r="E123" i="8"/>
  <c r="G567" i="14" s="1"/>
  <c r="D123" i="8"/>
  <c r="B567" i="14" s="1"/>
  <c r="G136" i="8"/>
  <c r="E136" i="8"/>
  <c r="G602" i="14" s="1"/>
  <c r="D136" i="8"/>
  <c r="B602" i="14" s="1"/>
  <c r="G134" i="8"/>
  <c r="E134" i="8"/>
  <c r="G598" i="14" s="1"/>
  <c r="D134" i="8"/>
  <c r="B598" i="14" s="1"/>
  <c r="G132" i="8"/>
  <c r="E132" i="8"/>
  <c r="G592" i="14" s="1"/>
  <c r="D132" i="8"/>
  <c r="B592" i="14" s="1"/>
  <c r="G131" i="8"/>
  <c r="E131" i="8"/>
  <c r="G589" i="14" s="1"/>
  <c r="D131" i="8"/>
  <c r="B589" i="14" s="1"/>
  <c r="G145" i="8"/>
  <c r="E145" i="8"/>
  <c r="G629" i="14" s="1"/>
  <c r="D145" i="8"/>
  <c r="B629" i="14" s="1"/>
  <c r="G141" i="8"/>
  <c r="E141" i="8"/>
  <c r="G617" i="14" s="1"/>
  <c r="D141" i="8"/>
  <c r="B617" i="14" s="1"/>
  <c r="G146" i="8"/>
  <c r="E146" i="8"/>
  <c r="G632" i="14" s="1"/>
  <c r="D146" i="8"/>
  <c r="B632" i="14" s="1"/>
  <c r="G149" i="8"/>
  <c r="E149" i="8"/>
  <c r="G641" i="14" s="1"/>
  <c r="D149" i="8"/>
  <c r="B641" i="14" s="1"/>
  <c r="E51" i="10"/>
  <c r="G126" i="9"/>
  <c r="H126" i="9" s="1"/>
  <c r="E126" i="9"/>
  <c r="D126" i="9"/>
  <c r="G125" i="9"/>
  <c r="H125" i="9" s="1"/>
  <c r="E125" i="9"/>
  <c r="D125" i="9"/>
  <c r="G124" i="9"/>
  <c r="H124" i="9" s="1"/>
  <c r="E124" i="9"/>
  <c r="D124" i="9"/>
  <c r="G123" i="9"/>
  <c r="H123" i="9" s="1"/>
  <c r="E123" i="9"/>
  <c r="D123" i="9"/>
  <c r="G122" i="9"/>
  <c r="H122" i="9" s="1"/>
  <c r="E122" i="9"/>
  <c r="D122" i="9"/>
  <c r="G117" i="8"/>
  <c r="E117" i="8"/>
  <c r="G549" i="14" s="1"/>
  <c r="D117" i="8"/>
  <c r="B549" i="14" s="1"/>
  <c r="G116" i="8"/>
  <c r="E116" i="8"/>
  <c r="G546" i="14" s="1"/>
  <c r="D116" i="8"/>
  <c r="B546" i="14" s="1"/>
  <c r="G119" i="8"/>
  <c r="E119" i="8"/>
  <c r="G555" i="14" s="1"/>
  <c r="D119" i="8"/>
  <c r="B555" i="14" s="1"/>
  <c r="G118" i="8"/>
  <c r="E118" i="8"/>
  <c r="G552" i="14" s="1"/>
  <c r="D118" i="8"/>
  <c r="B552" i="14" s="1"/>
  <c r="G113" i="8"/>
  <c r="E113" i="8"/>
  <c r="G537" i="14" s="1"/>
  <c r="D113" i="8"/>
  <c r="B537" i="14" s="1"/>
  <c r="G112" i="8"/>
  <c r="E112" i="8"/>
  <c r="G534" i="14" s="1"/>
  <c r="D112" i="8"/>
  <c r="B534" i="14" s="1"/>
  <c r="G111" i="8"/>
  <c r="E111" i="8"/>
  <c r="G531" i="14" s="1"/>
  <c r="D111" i="8"/>
  <c r="B531" i="14" s="1"/>
  <c r="G110" i="8"/>
  <c r="E110" i="8"/>
  <c r="G528" i="14" s="1"/>
  <c r="D110" i="8"/>
  <c r="B528" i="14" s="1"/>
  <c r="G115" i="8"/>
  <c r="E115" i="8"/>
  <c r="G543" i="14" s="1"/>
  <c r="D115" i="8"/>
  <c r="B543" i="14" s="1"/>
  <c r="G114" i="8"/>
  <c r="E114" i="8"/>
  <c r="G540" i="14" s="1"/>
  <c r="D114" i="8"/>
  <c r="B540" i="14" s="1"/>
  <c r="A74" i="9" l="1"/>
  <c r="A86" i="9" s="1"/>
  <c r="A94" i="9" s="1"/>
  <c r="A106" i="9" s="1"/>
  <c r="H146" i="9"/>
  <c r="H138" i="9"/>
  <c r="H129" i="9"/>
  <c r="E50" i="10"/>
  <c r="E45" i="10" s="1"/>
  <c r="D95" i="8" l="1"/>
  <c r="E95" i="8"/>
  <c r="G107" i="8"/>
  <c r="E107" i="8"/>
  <c r="G519" i="14" s="1"/>
  <c r="D107" i="8"/>
  <c r="B519" i="14" s="1"/>
  <c r="G106" i="8"/>
  <c r="E106" i="8"/>
  <c r="G516" i="14" s="1"/>
  <c r="D106" i="8"/>
  <c r="B516" i="14" s="1"/>
  <c r="G105" i="8"/>
  <c r="E105" i="8"/>
  <c r="G513" i="14" s="1"/>
  <c r="D105" i="8"/>
  <c r="B513" i="14" s="1"/>
  <c r="G104" i="8"/>
  <c r="E104" i="8"/>
  <c r="G510" i="14" s="1"/>
  <c r="D104" i="8"/>
  <c r="B510" i="14" s="1"/>
  <c r="G109" i="8"/>
  <c r="E109" i="8"/>
  <c r="G525" i="14" s="1"/>
  <c r="D109" i="8"/>
  <c r="B525" i="14" s="1"/>
  <c r="G108" i="8"/>
  <c r="E108" i="8"/>
  <c r="G522" i="14" s="1"/>
  <c r="D108" i="8"/>
  <c r="B522" i="14" s="1"/>
  <c r="G120" i="8"/>
  <c r="E120" i="8"/>
  <c r="G558" i="14" s="1"/>
  <c r="D120" i="8"/>
  <c r="B558" i="14" s="1"/>
  <c r="G121" i="8"/>
  <c r="E121" i="8"/>
  <c r="G561" i="14" s="1"/>
  <c r="D121" i="8"/>
  <c r="B561" i="14" s="1"/>
  <c r="D16" i="22"/>
  <c r="D15" i="22"/>
  <c r="F8" i="22"/>
  <c r="F6" i="22"/>
  <c r="F5" i="22"/>
  <c r="D17" i="22"/>
  <c r="D19" i="21"/>
  <c r="E5" i="22"/>
  <c r="E13" i="22"/>
  <c r="E9" i="22"/>
  <c r="E10" i="22"/>
  <c r="E8" i="22"/>
  <c r="E7" i="22"/>
  <c r="E6" i="22"/>
  <c r="E4" i="22"/>
  <c r="E3" i="22"/>
  <c r="G18" i="18" l="1"/>
  <c r="E18" i="21" l="1"/>
  <c r="D18" i="21" s="1"/>
  <c r="D5" i="21"/>
  <c r="D6" i="21"/>
  <c r="D7" i="21"/>
  <c r="D8" i="21"/>
  <c r="D9" i="21"/>
  <c r="D10" i="21"/>
  <c r="D11" i="21"/>
  <c r="D12" i="21"/>
  <c r="D13" i="21"/>
  <c r="D14" i="21"/>
  <c r="D15" i="21"/>
  <c r="D16" i="21"/>
  <c r="H17" i="21"/>
  <c r="I17" i="21"/>
  <c r="G17" i="21"/>
  <c r="D17" i="21" s="1"/>
  <c r="J3" i="21"/>
  <c r="I3" i="21"/>
  <c r="D3" i="21" s="1"/>
  <c r="I4" i="21"/>
  <c r="H4" i="21"/>
  <c r="G4" i="21"/>
  <c r="D4" i="21" s="1"/>
  <c r="B14" i="19" l="1"/>
  <c r="B10" i="19"/>
  <c r="B11" i="19" s="1"/>
  <c r="C8" i="19"/>
  <c r="B8" i="19"/>
  <c r="G17" i="18"/>
  <c r="G16" i="18"/>
  <c r="G15" i="18"/>
  <c r="G14" i="18"/>
  <c r="G13" i="18"/>
  <c r="G12" i="18"/>
  <c r="G11" i="18"/>
  <c r="G10" i="18"/>
  <c r="G9" i="18"/>
  <c r="G8" i="18"/>
  <c r="G7" i="18"/>
  <c r="G6" i="18"/>
  <c r="G5" i="18"/>
  <c r="G4" i="18"/>
  <c r="G3" i="18"/>
  <c r="B9" i="19" l="1"/>
  <c r="B12" i="19" s="1"/>
  <c r="H468" i="14"/>
  <c r="H467" i="14"/>
  <c r="C1075" i="14" l="1"/>
  <c r="H1075" i="14" s="1"/>
  <c r="H1073" i="14" s="1"/>
  <c r="G285" i="8"/>
  <c r="E285" i="8"/>
  <c r="D285" i="8"/>
  <c r="C834" i="14"/>
  <c r="H833" i="14"/>
  <c r="B838" i="14"/>
  <c r="H838" i="14" s="1"/>
  <c r="H859" i="14"/>
  <c r="H857" i="14" s="1"/>
  <c r="G211" i="8"/>
  <c r="E211" i="8"/>
  <c r="G839" i="14" s="1"/>
  <c r="D211" i="8"/>
  <c r="B839" i="14" s="1"/>
  <c r="H832" i="14"/>
  <c r="H841" i="14"/>
  <c r="H839" i="14" s="1"/>
  <c r="B837" i="14"/>
  <c r="H837" i="14" s="1"/>
  <c r="G210" i="8"/>
  <c r="E210" i="8"/>
  <c r="G835" i="14" s="1"/>
  <c r="D210" i="8"/>
  <c r="B835" i="14" s="1"/>
  <c r="G209" i="8"/>
  <c r="E209" i="8"/>
  <c r="D209" i="8"/>
  <c r="G161" i="8"/>
  <c r="E161" i="8"/>
  <c r="G679" i="14" s="1"/>
  <c r="D161" i="8"/>
  <c r="B679" i="14" s="1"/>
  <c r="H681" i="14" l="1"/>
  <c r="H679" i="14" s="1"/>
  <c r="H835" i="14"/>
  <c r="G160" i="8"/>
  <c r="E160" i="8"/>
  <c r="D160" i="8"/>
  <c r="G162" i="8"/>
  <c r="E162" i="8"/>
  <c r="D162" i="8"/>
  <c r="H678" i="14"/>
  <c r="G175" i="9"/>
  <c r="H175" i="9" s="1"/>
  <c r="E175" i="9"/>
  <c r="D175" i="9"/>
  <c r="G173" i="9"/>
  <c r="H173" i="9" s="1"/>
  <c r="E173" i="9"/>
  <c r="D173" i="9"/>
  <c r="H178" i="9"/>
  <c r="D178" i="9"/>
  <c r="G176" i="9"/>
  <c r="H176" i="9" s="1"/>
  <c r="E176" i="9"/>
  <c r="D176" i="9"/>
  <c r="G172" i="9"/>
  <c r="H172" i="9" s="1"/>
  <c r="E172" i="9"/>
  <c r="D172" i="9"/>
  <c r="G171" i="9"/>
  <c r="H171" i="9" s="1"/>
  <c r="E171" i="9"/>
  <c r="D171" i="9"/>
  <c r="H676" i="14" l="1"/>
  <c r="H169" i="9"/>
  <c r="H675" i="14" l="1"/>
  <c r="H673" i="14" s="1"/>
  <c r="G184" i="8"/>
  <c r="E184" i="8"/>
  <c r="D184" i="8"/>
  <c r="G183" i="8"/>
  <c r="E183" i="8"/>
  <c r="D183" i="8"/>
  <c r="G182" i="8"/>
  <c r="E182" i="8"/>
  <c r="D182" i="8"/>
  <c r="G181" i="8"/>
  <c r="E181" i="8"/>
  <c r="D181" i="8"/>
  <c r="G166" i="9"/>
  <c r="H166" i="9" s="1"/>
  <c r="E166" i="9"/>
  <c r="G162" i="9"/>
  <c r="H162" i="9" s="1"/>
  <c r="E162" i="9"/>
  <c r="D162" i="9"/>
  <c r="G161" i="9"/>
  <c r="H161" i="9" s="1"/>
  <c r="E161" i="9"/>
  <c r="D161" i="9"/>
  <c r="G160" i="9"/>
  <c r="H160" i="9" s="1"/>
  <c r="E160" i="9"/>
  <c r="D160" i="9"/>
  <c r="G163" i="9"/>
  <c r="H163" i="9" s="1"/>
  <c r="E163" i="9"/>
  <c r="D163" i="9"/>
  <c r="D166" i="9"/>
  <c r="G164" i="9"/>
  <c r="H164" i="9" s="1"/>
  <c r="E164" i="9"/>
  <c r="D164" i="9"/>
  <c r="G159" i="9"/>
  <c r="H159" i="9" s="1"/>
  <c r="E159" i="9"/>
  <c r="D159" i="9"/>
  <c r="G158" i="9"/>
  <c r="H158" i="9" s="1"/>
  <c r="E158" i="9"/>
  <c r="D158" i="9"/>
  <c r="H156" i="9" l="1"/>
  <c r="E28" i="10" l="1"/>
  <c r="E29" i="10"/>
  <c r="E27" i="10"/>
  <c r="G195" i="9"/>
  <c r="H195" i="9" s="1"/>
  <c r="E195" i="9"/>
  <c r="D195" i="9"/>
  <c r="G194" i="9"/>
  <c r="H194" i="9" s="1"/>
  <c r="E194" i="9"/>
  <c r="D194" i="9"/>
  <c r="G193" i="9"/>
  <c r="H193" i="9" s="1"/>
  <c r="E193" i="9"/>
  <c r="D193" i="9"/>
  <c r="E40" i="10"/>
  <c r="E39" i="10"/>
  <c r="E38" i="10"/>
  <c r="E37" i="10"/>
  <c r="E42" i="10" s="1"/>
  <c r="E41" i="10" l="1"/>
  <c r="E35" i="10" s="1"/>
  <c r="G211" i="9" l="1"/>
  <c r="H211" i="9" s="1"/>
  <c r="E211" i="9"/>
  <c r="D211" i="9"/>
  <c r="G210" i="9"/>
  <c r="H210" i="9" s="1"/>
  <c r="E210" i="9"/>
  <c r="D210" i="9"/>
  <c r="G209" i="9"/>
  <c r="H209" i="9" s="1"/>
  <c r="E209" i="9"/>
  <c r="D209" i="9"/>
  <c r="E32" i="10"/>
  <c r="E31" i="10"/>
  <c r="B227" i="14"/>
  <c r="H227" i="14" s="1"/>
  <c r="B226" i="14"/>
  <c r="H226" i="14" s="1"/>
  <c r="H228" i="14"/>
  <c r="H224" i="14"/>
  <c r="H225" i="14"/>
  <c r="D219" i="14"/>
  <c r="D220" i="14"/>
  <c r="D218" i="14"/>
  <c r="B221" i="14"/>
  <c r="B220" i="14"/>
  <c r="B219" i="14"/>
  <c r="B218" i="14"/>
  <c r="A220" i="14"/>
  <c r="A227" i="14" s="1"/>
  <c r="A221" i="14"/>
  <c r="A228" i="14" s="1"/>
  <c r="A218" i="14"/>
  <c r="A225" i="14" s="1"/>
  <c r="A219" i="14"/>
  <c r="A226" i="14" s="1"/>
  <c r="D221" i="8"/>
  <c r="C78" i="14"/>
  <c r="H78" i="14" s="1"/>
  <c r="H219" i="14" l="1"/>
  <c r="H220" i="14"/>
  <c r="B676" i="14"/>
  <c r="G676" i="14"/>
  <c r="H218" i="14"/>
  <c r="E25" i="10"/>
  <c r="H222" i="14"/>
  <c r="C925" i="14"/>
  <c r="H925" i="14"/>
  <c r="H923" i="14" s="1"/>
  <c r="G236" i="8"/>
  <c r="E236" i="8"/>
  <c r="D236" i="8"/>
  <c r="G443" i="9" l="1"/>
  <c r="H443" i="9" s="1"/>
  <c r="E443" i="9"/>
  <c r="D443" i="9"/>
  <c r="G445" i="9"/>
  <c r="H445" i="9" s="1"/>
  <c r="E445" i="9"/>
  <c r="D445" i="9"/>
  <c r="G444" i="9"/>
  <c r="H444" i="9" s="1"/>
  <c r="E444" i="9"/>
  <c r="D444" i="9"/>
  <c r="G442" i="9"/>
  <c r="H442" i="9" s="1"/>
  <c r="E442" i="9"/>
  <c r="D442" i="9"/>
  <c r="G441" i="9"/>
  <c r="H441" i="9" s="1"/>
  <c r="E441" i="9"/>
  <c r="D441" i="9"/>
  <c r="B997" i="14"/>
  <c r="H997" i="14" s="1"/>
  <c r="H995" i="14" s="1"/>
  <c r="A997" i="14"/>
  <c r="A1000" i="14" s="1"/>
  <c r="A1003" i="14" s="1"/>
  <c r="A1006" i="14" s="1"/>
  <c r="G428" i="9"/>
  <c r="H428" i="9" s="1"/>
  <c r="E428" i="9"/>
  <c r="D428" i="9"/>
  <c r="G427" i="9"/>
  <c r="H427" i="9" s="1"/>
  <c r="E427" i="9"/>
  <c r="D427" i="9"/>
  <c r="G426" i="9"/>
  <c r="H426" i="9" s="1"/>
  <c r="E426" i="9"/>
  <c r="D426" i="9"/>
  <c r="G436" i="9"/>
  <c r="H436" i="9" s="1"/>
  <c r="E436" i="9"/>
  <c r="D436" i="9"/>
  <c r="G435" i="9"/>
  <c r="H435" i="9" s="1"/>
  <c r="E435" i="9"/>
  <c r="D435" i="9"/>
  <c r="G434" i="9"/>
  <c r="H434" i="9" s="1"/>
  <c r="E434" i="9"/>
  <c r="D434" i="9"/>
  <c r="G433" i="9"/>
  <c r="H433" i="9" s="1"/>
  <c r="E433" i="9"/>
  <c r="D433" i="9"/>
  <c r="G257" i="8"/>
  <c r="E257" i="8"/>
  <c r="G995" i="14" s="1"/>
  <c r="D257" i="8"/>
  <c r="B995" i="14" s="1"/>
  <c r="G256" i="8"/>
  <c r="E256" i="8"/>
  <c r="D256" i="8"/>
  <c r="H976" i="14"/>
  <c r="H974" i="14"/>
  <c r="H958" i="14"/>
  <c r="H956" i="14" s="1"/>
  <c r="G250" i="8"/>
  <c r="E250" i="8"/>
  <c r="G974" i="14" s="1"/>
  <c r="D250" i="8"/>
  <c r="B974" i="14" s="1"/>
  <c r="B1000" i="14" l="1"/>
  <c r="H439" i="9"/>
  <c r="H424" i="9"/>
  <c r="H431" i="9"/>
  <c r="B1003" i="14" l="1"/>
  <c r="H1000" i="14"/>
  <c r="H998" i="14" s="1"/>
  <c r="H1003" i="14" l="1"/>
  <c r="H1001" i="14" s="1"/>
  <c r="B1006" i="14"/>
  <c r="H1006" i="14" s="1"/>
  <c r="H1004" i="14" s="1"/>
  <c r="G244" i="8"/>
  <c r="E244" i="8"/>
  <c r="G956" i="14" s="1"/>
  <c r="D244" i="8"/>
  <c r="B956" i="14" s="1"/>
  <c r="H50" i="14"/>
  <c r="G50" i="14" s="1"/>
  <c r="H46" i="14"/>
  <c r="H44" i="14" s="1"/>
  <c r="G18" i="8"/>
  <c r="E18" i="8"/>
  <c r="G44" i="14" s="1"/>
  <c r="D18" i="8"/>
  <c r="B44" i="14" s="1"/>
  <c r="G19" i="8"/>
  <c r="E19" i="8"/>
  <c r="G48" i="14" s="1"/>
  <c r="D19" i="8"/>
  <c r="B48" i="14" s="1"/>
  <c r="H48" i="14" l="1"/>
  <c r="G46" i="14"/>
  <c r="G99" i="8"/>
  <c r="E99" i="8"/>
  <c r="D99" i="8"/>
  <c r="C455" i="14"/>
  <c r="H455" i="14" s="1"/>
  <c r="D504" i="14" l="1"/>
  <c r="H504" i="14" s="1"/>
  <c r="H502" i="14" s="1"/>
  <c r="C946" i="14"/>
  <c r="E948" i="14"/>
  <c r="H948" i="14" s="1"/>
  <c r="E947" i="14"/>
  <c r="H947" i="14" s="1"/>
  <c r="A941" i="14"/>
  <c r="B941" i="14"/>
  <c r="C941" i="14"/>
  <c r="D941" i="14"/>
  <c r="A942" i="14"/>
  <c r="B942" i="14"/>
  <c r="D942" i="14"/>
  <c r="A943" i="14"/>
  <c r="B943" i="14"/>
  <c r="A944" i="14"/>
  <c r="B944" i="14"/>
  <c r="D944" i="14"/>
  <c r="A945" i="14"/>
  <c r="B945" i="14"/>
  <c r="C945" i="14"/>
  <c r="D945" i="14"/>
  <c r="B946" i="14"/>
  <c r="D368" i="14"/>
  <c r="D364" i="14"/>
  <c r="A364" i="14"/>
  <c r="B364" i="14"/>
  <c r="C364" i="14"/>
  <c r="A365" i="14"/>
  <c r="B365" i="14"/>
  <c r="D365" i="14"/>
  <c r="A366" i="14"/>
  <c r="B366" i="14"/>
  <c r="A367" i="14"/>
  <c r="B367" i="14"/>
  <c r="D367" i="14"/>
  <c r="A368" i="14"/>
  <c r="B368" i="14"/>
  <c r="C368" i="14"/>
  <c r="G74" i="8"/>
  <c r="E74" i="8"/>
  <c r="D74" i="8"/>
  <c r="B357" i="14"/>
  <c r="C357" i="14"/>
  <c r="B358" i="14"/>
  <c r="C358" i="14"/>
  <c r="B359" i="14"/>
  <c r="C359" i="14"/>
  <c r="D359" i="14"/>
  <c r="H299" i="14"/>
  <c r="H295" i="14" s="1"/>
  <c r="G66" i="8"/>
  <c r="E66" i="8"/>
  <c r="G295" i="14" s="1"/>
  <c r="D66" i="8"/>
  <c r="B295" i="14" s="1"/>
  <c r="H335" i="14"/>
  <c r="C922" i="14"/>
  <c r="H922" i="14" s="1"/>
  <c r="C921" i="14"/>
  <c r="H921" i="14" s="1"/>
  <c r="H946" i="14" l="1"/>
  <c r="H945" i="14"/>
  <c r="H941" i="14"/>
  <c r="H359" i="14"/>
  <c r="H358" i="14"/>
  <c r="H364" i="14"/>
  <c r="H357" i="14"/>
  <c r="H919" i="14"/>
  <c r="H509" i="14" l="1"/>
  <c r="H507" i="14" s="1"/>
  <c r="C103" i="14"/>
  <c r="H103" i="14" s="1"/>
  <c r="C1116" i="14"/>
  <c r="C1117" i="14"/>
  <c r="C1119" i="14"/>
  <c r="B1117" i="14"/>
  <c r="B1119" i="14"/>
  <c r="A1117" i="14"/>
  <c r="A1119" i="14"/>
  <c r="H1113" i="14"/>
  <c r="H1111" i="14"/>
  <c r="H1117" i="14" l="1"/>
  <c r="G46" i="9"/>
  <c r="E46" i="9"/>
  <c r="D46" i="9"/>
  <c r="G45" i="9"/>
  <c r="E45" i="9"/>
  <c r="D45" i="9"/>
  <c r="G29" i="9"/>
  <c r="F29" i="9"/>
  <c r="E29" i="9"/>
  <c r="D29" i="9"/>
  <c r="G28" i="9"/>
  <c r="H28" i="9" s="1"/>
  <c r="E28" i="9"/>
  <c r="D28" i="9"/>
  <c r="C871" i="14"/>
  <c r="D871" i="14"/>
  <c r="E871" i="14"/>
  <c r="C870" i="14"/>
  <c r="D870" i="14"/>
  <c r="E870" i="14"/>
  <c r="B871" i="14"/>
  <c r="B870" i="14"/>
  <c r="A871" i="14"/>
  <c r="A870" i="14"/>
  <c r="G221" i="8"/>
  <c r="E221" i="8"/>
  <c r="G868" i="14" s="1"/>
  <c r="B868" i="14"/>
  <c r="H834" i="14"/>
  <c r="H830" i="14" s="1"/>
  <c r="G208" i="8"/>
  <c r="E208" i="8"/>
  <c r="D208" i="8"/>
  <c r="G357" i="9"/>
  <c r="H357" i="9" s="1"/>
  <c r="E357" i="9"/>
  <c r="D357" i="9"/>
  <c r="G356" i="9"/>
  <c r="H356" i="9" s="1"/>
  <c r="E356" i="9"/>
  <c r="D356" i="9"/>
  <c r="G355" i="9"/>
  <c r="H355" i="9" s="1"/>
  <c r="E355" i="9"/>
  <c r="D355" i="9"/>
  <c r="H187" i="9"/>
  <c r="G185" i="9"/>
  <c r="H185" i="9" s="1"/>
  <c r="E185" i="9"/>
  <c r="D185" i="9"/>
  <c r="G184" i="9"/>
  <c r="H184" i="9" s="1"/>
  <c r="E184" i="9"/>
  <c r="D184" i="9"/>
  <c r="E22" i="10"/>
  <c r="E21" i="10"/>
  <c r="H823" i="14"/>
  <c r="H821" i="14" s="1"/>
  <c r="H826" i="14"/>
  <c r="H824" i="14" s="1"/>
  <c r="G206" i="8"/>
  <c r="E206" i="8"/>
  <c r="G821" i="14" s="1"/>
  <c r="D206" i="8"/>
  <c r="B821" i="14" s="1"/>
  <c r="G207" i="8"/>
  <c r="E207" i="8"/>
  <c r="G824" i="14" s="1"/>
  <c r="D207" i="8"/>
  <c r="B824" i="14" s="1"/>
  <c r="H829" i="14"/>
  <c r="H827" i="14" s="1"/>
  <c r="H820" i="14"/>
  <c r="H818" i="14" s="1"/>
  <c r="R46" i="16"/>
  <c r="B46" i="16"/>
  <c r="R44" i="16"/>
  <c r="B44" i="16"/>
  <c r="C816" i="14"/>
  <c r="H816" i="14" s="1"/>
  <c r="H817" i="14"/>
  <c r="G814" i="14"/>
  <c r="B814" i="14"/>
  <c r="H813" i="14"/>
  <c r="G813" i="14"/>
  <c r="B813" i="14"/>
  <c r="G218" i="8"/>
  <c r="E218" i="8"/>
  <c r="D218" i="8"/>
  <c r="B860" i="14" s="1"/>
  <c r="G205" i="8"/>
  <c r="E205" i="8"/>
  <c r="G818" i="14" s="1"/>
  <c r="D205" i="8"/>
  <c r="B818" i="14" s="1"/>
  <c r="H691" i="14"/>
  <c r="H689" i="14" s="1"/>
  <c r="H685" i="14"/>
  <c r="H683" i="14" s="1"/>
  <c r="G164" i="8"/>
  <c r="E164" i="8"/>
  <c r="G689" i="14" s="1"/>
  <c r="D164" i="8"/>
  <c r="B689" i="14" s="1"/>
  <c r="G178" i="8"/>
  <c r="E178" i="8"/>
  <c r="D178" i="8"/>
  <c r="C1125" i="14"/>
  <c r="C1124" i="14"/>
  <c r="H1124" i="14" s="1"/>
  <c r="H1106" i="14"/>
  <c r="C1122" i="14"/>
  <c r="B1116" i="14"/>
  <c r="A1116" i="14"/>
  <c r="H1060" i="14"/>
  <c r="H353" i="9" l="1"/>
  <c r="G857" i="14"/>
  <c r="G860" i="14"/>
  <c r="B830" i="14"/>
  <c r="B857" i="14"/>
  <c r="B746" i="14"/>
  <c r="G746" i="14"/>
  <c r="H814" i="14"/>
  <c r="H870" i="14"/>
  <c r="H871" i="14"/>
  <c r="H29" i="9"/>
  <c r="G827" i="14"/>
  <c r="G830" i="14"/>
  <c r="B827" i="14"/>
  <c r="E15" i="10"/>
  <c r="F58" i="9"/>
  <c r="F59" i="9" s="1"/>
  <c r="G59" i="9"/>
  <c r="E59" i="9"/>
  <c r="D59" i="9"/>
  <c r="G58" i="9"/>
  <c r="E58" i="9"/>
  <c r="D58" i="9"/>
  <c r="H918" i="14"/>
  <c r="H916" i="14" s="1"/>
  <c r="H915" i="14"/>
  <c r="H913" i="14" s="1"/>
  <c r="H912" i="14"/>
  <c r="H910" i="14" s="1"/>
  <c r="F385" i="9"/>
  <c r="F388" i="9" s="1"/>
  <c r="F384" i="9"/>
  <c r="G389" i="9"/>
  <c r="E389" i="9"/>
  <c r="D389" i="9"/>
  <c r="G388" i="9"/>
  <c r="E388" i="9"/>
  <c r="D388" i="9"/>
  <c r="G387" i="9"/>
  <c r="H387" i="9" s="1"/>
  <c r="E387" i="9"/>
  <c r="D387" i="9"/>
  <c r="G386" i="9"/>
  <c r="H386" i="9" s="1"/>
  <c r="E386" i="9"/>
  <c r="D386" i="9"/>
  <c r="G385" i="9"/>
  <c r="E385" i="9"/>
  <c r="D385" i="9"/>
  <c r="G384" i="9"/>
  <c r="E384" i="9"/>
  <c r="D384" i="9"/>
  <c r="F374" i="9"/>
  <c r="F375" i="9"/>
  <c r="F379" i="9" s="1"/>
  <c r="G379" i="9"/>
  <c r="E379" i="9"/>
  <c r="D379" i="9"/>
  <c r="G378" i="9"/>
  <c r="E378" i="9"/>
  <c r="D378" i="9"/>
  <c r="G377" i="9"/>
  <c r="H377" i="9" s="1"/>
  <c r="E377" i="9"/>
  <c r="D377" i="9"/>
  <c r="G376" i="9"/>
  <c r="H376" i="9" s="1"/>
  <c r="E376" i="9"/>
  <c r="D376" i="9"/>
  <c r="G375" i="9"/>
  <c r="E375" i="9"/>
  <c r="D375" i="9"/>
  <c r="G374" i="9"/>
  <c r="E374" i="9"/>
  <c r="D374" i="9"/>
  <c r="F364" i="9"/>
  <c r="F365" i="9"/>
  <c r="F368" i="9" s="1"/>
  <c r="H908" i="14"/>
  <c r="H907" i="14"/>
  <c r="H909" i="14"/>
  <c r="H904" i="14"/>
  <c r="H902" i="14" s="1"/>
  <c r="H901" i="14"/>
  <c r="H899" i="14" s="1"/>
  <c r="H898" i="14"/>
  <c r="H896" i="14" s="1"/>
  <c r="F334" i="9"/>
  <c r="F329" i="9"/>
  <c r="F328" i="9"/>
  <c r="F324" i="9"/>
  <c r="G335" i="9"/>
  <c r="E335" i="9"/>
  <c r="D335" i="9"/>
  <c r="G334" i="9"/>
  <c r="E334" i="9"/>
  <c r="D334" i="9"/>
  <c r="G333" i="9"/>
  <c r="E333" i="9"/>
  <c r="D333" i="9"/>
  <c r="G332" i="9"/>
  <c r="H332" i="9" s="1"/>
  <c r="E332" i="9"/>
  <c r="D332" i="9"/>
  <c r="G331" i="9"/>
  <c r="E331" i="9"/>
  <c r="D331" i="9"/>
  <c r="G330" i="9"/>
  <c r="E330" i="9"/>
  <c r="D330" i="9"/>
  <c r="G329" i="9"/>
  <c r="E329" i="9"/>
  <c r="D329" i="9"/>
  <c r="G328" i="9"/>
  <c r="E328" i="9"/>
  <c r="D328" i="9"/>
  <c r="G327" i="9"/>
  <c r="E327" i="9"/>
  <c r="D327" i="9"/>
  <c r="G326" i="9"/>
  <c r="F327" i="9"/>
  <c r="E326" i="9"/>
  <c r="D326" i="9"/>
  <c r="G325" i="9"/>
  <c r="E325" i="9"/>
  <c r="D325" i="9"/>
  <c r="G324" i="9"/>
  <c r="E324" i="9"/>
  <c r="D324" i="9"/>
  <c r="G323" i="9"/>
  <c r="E323" i="9"/>
  <c r="D323" i="9"/>
  <c r="F312" i="9"/>
  <c r="F311" i="9"/>
  <c r="F290" i="9"/>
  <c r="H375" i="9" l="1"/>
  <c r="H328" i="9"/>
  <c r="H374" i="9"/>
  <c r="H323" i="9"/>
  <c r="H905" i="14"/>
  <c r="H868" i="14"/>
  <c r="H384" i="9"/>
  <c r="H329" i="9"/>
  <c r="F378" i="9"/>
  <c r="H378" i="9" s="1"/>
  <c r="H58" i="9"/>
  <c r="H325" i="9"/>
  <c r="F369" i="9"/>
  <c r="H59" i="9"/>
  <c r="H331" i="9"/>
  <c r="H379" i="9"/>
  <c r="H324" i="9"/>
  <c r="H333" i="9"/>
  <c r="H385" i="9"/>
  <c r="H388" i="9"/>
  <c r="F389" i="9"/>
  <c r="H389" i="9" s="1"/>
  <c r="H334" i="9"/>
  <c r="H326" i="9"/>
  <c r="H330" i="9"/>
  <c r="H327" i="9"/>
  <c r="F335" i="9"/>
  <c r="H335" i="9" s="1"/>
  <c r="F310" i="9"/>
  <c r="F308" i="9"/>
  <c r="F316" i="9" s="1"/>
  <c r="G308" i="9"/>
  <c r="E308" i="9"/>
  <c r="D308" i="9"/>
  <c r="G307" i="9"/>
  <c r="E307" i="9"/>
  <c r="D307" i="9"/>
  <c r="G318" i="9"/>
  <c r="E318" i="9"/>
  <c r="D318" i="9"/>
  <c r="G317" i="9"/>
  <c r="E317" i="9"/>
  <c r="D317" i="9"/>
  <c r="G316" i="9"/>
  <c r="F317" i="9"/>
  <c r="E316" i="9"/>
  <c r="D316" i="9"/>
  <c r="G315" i="9"/>
  <c r="H315" i="9" s="1"/>
  <c r="E315" i="9"/>
  <c r="D315" i="9"/>
  <c r="G314" i="9"/>
  <c r="H314" i="9" s="1"/>
  <c r="E314" i="9"/>
  <c r="D314" i="9"/>
  <c r="G313" i="9"/>
  <c r="H313" i="9" s="1"/>
  <c r="E313" i="9"/>
  <c r="D313" i="9"/>
  <c r="G312" i="9"/>
  <c r="E312" i="9"/>
  <c r="D312" i="9"/>
  <c r="G311" i="9"/>
  <c r="E311" i="9"/>
  <c r="D311" i="9"/>
  <c r="G310" i="9"/>
  <c r="E310" i="9"/>
  <c r="D310" i="9"/>
  <c r="G309" i="9"/>
  <c r="E309" i="9"/>
  <c r="D309" i="9"/>
  <c r="G306" i="9"/>
  <c r="H306" i="9" s="1"/>
  <c r="E306" i="9"/>
  <c r="D306" i="9"/>
  <c r="G305" i="9"/>
  <c r="H305" i="9" s="1"/>
  <c r="E305" i="9"/>
  <c r="D305" i="9"/>
  <c r="G304" i="9"/>
  <c r="E304" i="9"/>
  <c r="D304" i="9"/>
  <c r="H895" i="14"/>
  <c r="H893" i="14" s="1"/>
  <c r="G287" i="9"/>
  <c r="H287" i="9" s="1"/>
  <c r="E287" i="9"/>
  <c r="D287" i="9"/>
  <c r="G296" i="9"/>
  <c r="H296" i="9" s="1"/>
  <c r="E296" i="9"/>
  <c r="D296" i="9"/>
  <c r="G295" i="9"/>
  <c r="E295" i="9"/>
  <c r="D295" i="9"/>
  <c r="G294" i="9"/>
  <c r="E294" i="9"/>
  <c r="D294" i="9"/>
  <c r="G292" i="9"/>
  <c r="E292" i="9"/>
  <c r="D292" i="9"/>
  <c r="G291" i="9"/>
  <c r="E291" i="9"/>
  <c r="D291" i="9"/>
  <c r="G290" i="9"/>
  <c r="H290" i="9" s="1"/>
  <c r="E290" i="9"/>
  <c r="D290" i="9"/>
  <c r="G288" i="9"/>
  <c r="E288" i="9"/>
  <c r="D288" i="9"/>
  <c r="F275" i="9"/>
  <c r="G299" i="9"/>
  <c r="E299" i="9"/>
  <c r="D299" i="9"/>
  <c r="G298" i="9"/>
  <c r="E298" i="9"/>
  <c r="D298" i="9"/>
  <c r="G297" i="9"/>
  <c r="E297" i="9"/>
  <c r="D297" i="9"/>
  <c r="G293" i="9"/>
  <c r="H293" i="9" s="1"/>
  <c r="E293" i="9"/>
  <c r="D293" i="9"/>
  <c r="G289" i="9"/>
  <c r="H289" i="9" s="1"/>
  <c r="E289" i="9"/>
  <c r="D289" i="9"/>
  <c r="G286" i="9"/>
  <c r="E286" i="9"/>
  <c r="D286" i="9"/>
  <c r="H880" i="14"/>
  <c r="H878" i="14" s="1"/>
  <c r="F254" i="9"/>
  <c r="F253" i="9"/>
  <c r="F256" i="9" s="1"/>
  <c r="G257" i="9"/>
  <c r="E257" i="9"/>
  <c r="D257" i="9"/>
  <c r="G256" i="9"/>
  <c r="E256" i="9"/>
  <c r="D256" i="9"/>
  <c r="G255" i="9"/>
  <c r="H255" i="9" s="1"/>
  <c r="E255" i="9"/>
  <c r="D255" i="9"/>
  <c r="G254" i="9"/>
  <c r="E254" i="9"/>
  <c r="D254" i="9"/>
  <c r="G253" i="9"/>
  <c r="E253" i="9"/>
  <c r="D253" i="9"/>
  <c r="H877" i="14"/>
  <c r="H875" i="14" s="1"/>
  <c r="F245" i="9"/>
  <c r="F246" i="9" s="1"/>
  <c r="G246" i="9"/>
  <c r="E246" i="9"/>
  <c r="G248" i="9"/>
  <c r="H248" i="9" s="1"/>
  <c r="E248" i="9"/>
  <c r="D248" i="9"/>
  <c r="G247" i="9"/>
  <c r="H247" i="9" s="1"/>
  <c r="E247" i="9"/>
  <c r="D247" i="9"/>
  <c r="D246" i="9"/>
  <c r="G245" i="9"/>
  <c r="E245" i="9"/>
  <c r="D245" i="9"/>
  <c r="H874" i="14"/>
  <c r="H872" i="14" s="1"/>
  <c r="G365" i="9"/>
  <c r="H365" i="9" s="1"/>
  <c r="E365" i="9"/>
  <c r="D365" i="9"/>
  <c r="G369" i="9"/>
  <c r="E369" i="9"/>
  <c r="D369" i="9"/>
  <c r="G368" i="9"/>
  <c r="H368" i="9" s="1"/>
  <c r="E368" i="9"/>
  <c r="D368" i="9"/>
  <c r="G220" i="8"/>
  <c r="E220" i="8"/>
  <c r="D220" i="8"/>
  <c r="G280" i="9"/>
  <c r="E280" i="9"/>
  <c r="D280" i="9"/>
  <c r="F279" i="9"/>
  <c r="F280" i="9" s="1"/>
  <c r="G278" i="9"/>
  <c r="H278" i="9" s="1"/>
  <c r="E278" i="9"/>
  <c r="D278" i="9"/>
  <c r="G275" i="9"/>
  <c r="E275" i="9"/>
  <c r="G281" i="9"/>
  <c r="E281" i="9"/>
  <c r="D281" i="9"/>
  <c r="G279" i="9"/>
  <c r="E279" i="9"/>
  <c r="D279" i="9"/>
  <c r="D275" i="9"/>
  <c r="G274" i="9"/>
  <c r="E274" i="9"/>
  <c r="D274" i="9"/>
  <c r="G273" i="9"/>
  <c r="H273" i="9" s="1"/>
  <c r="E273" i="9"/>
  <c r="D273" i="9"/>
  <c r="D268" i="9"/>
  <c r="D262" i="9"/>
  <c r="D7" i="9"/>
  <c r="E268" i="9"/>
  <c r="G268" i="9"/>
  <c r="F268" i="9"/>
  <c r="G264" i="9"/>
  <c r="E264" i="9"/>
  <c r="D264" i="9"/>
  <c r="F263" i="9"/>
  <c r="F264" i="9" s="1"/>
  <c r="G263" i="9"/>
  <c r="E263" i="9"/>
  <c r="D263" i="9"/>
  <c r="G262" i="9"/>
  <c r="H262" i="9" s="1"/>
  <c r="E262" i="9"/>
  <c r="G267" i="9"/>
  <c r="E267" i="9"/>
  <c r="D267" i="9"/>
  <c r="G266" i="9"/>
  <c r="E266" i="9"/>
  <c r="D266" i="9"/>
  <c r="G265" i="9"/>
  <c r="E265" i="9"/>
  <c r="D265" i="9"/>
  <c r="H369" i="9" l="1"/>
  <c r="H372" i="9"/>
  <c r="H309" i="9"/>
  <c r="H310" i="9"/>
  <c r="H304" i="9"/>
  <c r="H307" i="9"/>
  <c r="H382" i="9"/>
  <c r="H321" i="9"/>
  <c r="H254" i="9"/>
  <c r="H253" i="9"/>
  <c r="H288" i="9"/>
  <c r="H316" i="9"/>
  <c r="F257" i="9"/>
  <c r="H286" i="9"/>
  <c r="H265" i="9"/>
  <c r="H294" i="9"/>
  <c r="H308" i="9"/>
  <c r="H317" i="9"/>
  <c r="H311" i="9"/>
  <c r="H312" i="9"/>
  <c r="F318" i="9"/>
  <c r="H318" i="9" s="1"/>
  <c r="H256" i="9"/>
  <c r="F292" i="9"/>
  <c r="H292" i="9" s="1"/>
  <c r="F291" i="9"/>
  <c r="H291" i="9" s="1"/>
  <c r="H295" i="9"/>
  <c r="F298" i="9"/>
  <c r="H298" i="9" s="1"/>
  <c r="F299" i="9"/>
  <c r="H299" i="9" s="1"/>
  <c r="H297" i="9"/>
  <c r="H257" i="9"/>
  <c r="H245" i="9"/>
  <c r="H246" i="9"/>
  <c r="F281" i="9"/>
  <c r="H281" i="9" s="1"/>
  <c r="H279" i="9"/>
  <c r="H280" i="9"/>
  <c r="H274" i="9"/>
  <c r="H275" i="9"/>
  <c r="H264" i="9"/>
  <c r="H263" i="9"/>
  <c r="H268" i="9"/>
  <c r="H267" i="9"/>
  <c r="H266" i="9"/>
  <c r="E237" i="8"/>
  <c r="G923" i="14" s="1"/>
  <c r="D237" i="8"/>
  <c r="B923" i="14" s="1"/>
  <c r="F239" i="9"/>
  <c r="F238" i="9"/>
  <c r="F240" i="9"/>
  <c r="F231" i="9"/>
  <c r="F230" i="9"/>
  <c r="G240" i="9"/>
  <c r="E240" i="9"/>
  <c r="D240" i="9"/>
  <c r="G239" i="9"/>
  <c r="E239" i="9"/>
  <c r="D239" i="9"/>
  <c r="G238" i="9"/>
  <c r="E238" i="9"/>
  <c r="D238" i="9"/>
  <c r="G237" i="9"/>
  <c r="E237" i="9"/>
  <c r="D237" i="9"/>
  <c r="G236" i="9"/>
  <c r="E236" i="9"/>
  <c r="D236" i="9"/>
  <c r="G235" i="9"/>
  <c r="H235" i="9" s="1"/>
  <c r="E235" i="9"/>
  <c r="D235" i="9"/>
  <c r="G234" i="9"/>
  <c r="H234" i="9" s="1"/>
  <c r="E234" i="9"/>
  <c r="D234" i="9"/>
  <c r="G233" i="9"/>
  <c r="H233" i="9" s="1"/>
  <c r="E233" i="9"/>
  <c r="D233" i="9"/>
  <c r="G232" i="9"/>
  <c r="E232" i="9"/>
  <c r="D232" i="9"/>
  <c r="G231" i="9"/>
  <c r="H231" i="9" s="1"/>
  <c r="E231" i="9"/>
  <c r="D231" i="9"/>
  <c r="G230" i="9"/>
  <c r="H230" i="9" s="1"/>
  <c r="E230" i="9"/>
  <c r="D230" i="9"/>
  <c r="G367" i="9"/>
  <c r="H367" i="9" s="1"/>
  <c r="E367" i="9"/>
  <c r="D367" i="9"/>
  <c r="G366" i="9"/>
  <c r="H366" i="9" s="1"/>
  <c r="E366" i="9"/>
  <c r="D366" i="9"/>
  <c r="G364" i="9"/>
  <c r="E364" i="9"/>
  <c r="D364" i="9"/>
  <c r="H887" i="14"/>
  <c r="H892" i="14"/>
  <c r="H890" i="14" s="1"/>
  <c r="F349" i="9"/>
  <c r="F348" i="9"/>
  <c r="F350" i="9"/>
  <c r="G349" i="9"/>
  <c r="E349" i="9"/>
  <c r="D349" i="9"/>
  <c r="F340" i="9"/>
  <c r="F346" i="9" s="1"/>
  <c r="F347" i="9" s="1"/>
  <c r="G347" i="9"/>
  <c r="E347" i="9"/>
  <c r="D347" i="9"/>
  <c r="G346" i="9"/>
  <c r="E346" i="9"/>
  <c r="D346" i="9"/>
  <c r="G345" i="9"/>
  <c r="H345" i="9" s="1"/>
  <c r="E345" i="9"/>
  <c r="D345" i="9"/>
  <c r="G344" i="9"/>
  <c r="H344" i="9" s="1"/>
  <c r="E344" i="9"/>
  <c r="D344" i="9"/>
  <c r="G343" i="9"/>
  <c r="H343" i="9" s="1"/>
  <c r="E343" i="9"/>
  <c r="D343" i="9"/>
  <c r="G342" i="9"/>
  <c r="E342" i="9"/>
  <c r="D342" i="9"/>
  <c r="F341" i="9"/>
  <c r="D340" i="9"/>
  <c r="E340" i="9"/>
  <c r="G340" i="9"/>
  <c r="D341" i="9"/>
  <c r="E341" i="9"/>
  <c r="G341" i="9"/>
  <c r="D348" i="9"/>
  <c r="E348" i="9"/>
  <c r="G348" i="9"/>
  <c r="H348" i="9" s="1"/>
  <c r="D350" i="9"/>
  <c r="E350" i="9"/>
  <c r="G350" i="9"/>
  <c r="H350" i="9" s="1"/>
  <c r="H340" i="9" l="1"/>
  <c r="B919" i="14"/>
  <c r="G919" i="14"/>
  <c r="H251" i="9"/>
  <c r="H302" i="9"/>
  <c r="H284" i="9"/>
  <c r="H239" i="9"/>
  <c r="H243" i="9"/>
  <c r="H238" i="9"/>
  <c r="H240" i="9"/>
  <c r="H271" i="9"/>
  <c r="F232" i="9"/>
  <c r="H232" i="9" s="1"/>
  <c r="H349" i="9"/>
  <c r="F236" i="9"/>
  <c r="F237" i="9" s="1"/>
  <c r="H237" i="9" s="1"/>
  <c r="H260" i="9"/>
  <c r="J230" i="9"/>
  <c r="J231" i="9" s="1"/>
  <c r="H364" i="9"/>
  <c r="H362" i="9" s="1"/>
  <c r="H341" i="9"/>
  <c r="F342" i="9"/>
  <c r="H342" i="9" s="1"/>
  <c r="H346" i="9"/>
  <c r="H347" i="9"/>
  <c r="G103" i="9"/>
  <c r="F103" i="9"/>
  <c r="E103" i="9"/>
  <c r="D103" i="9"/>
  <c r="G102" i="9"/>
  <c r="H102" i="9" s="1"/>
  <c r="E102" i="9"/>
  <c r="D102" i="9"/>
  <c r="G116" i="9"/>
  <c r="E116" i="9"/>
  <c r="D116" i="9"/>
  <c r="G115" i="9"/>
  <c r="E115" i="9"/>
  <c r="D115" i="9"/>
  <c r="G114" i="9"/>
  <c r="E114" i="9"/>
  <c r="D114" i="9"/>
  <c r="G113" i="9"/>
  <c r="E113" i="9"/>
  <c r="D113" i="9"/>
  <c r="D65" i="9"/>
  <c r="E65" i="9"/>
  <c r="G65" i="9"/>
  <c r="H65" i="9" s="1"/>
  <c r="D66" i="9"/>
  <c r="E66" i="9"/>
  <c r="G66" i="9"/>
  <c r="H66" i="9" s="1"/>
  <c r="F109" i="9"/>
  <c r="F108" i="9"/>
  <c r="G112" i="9"/>
  <c r="E112" i="9"/>
  <c r="D112" i="9"/>
  <c r="G111" i="9"/>
  <c r="E111" i="9"/>
  <c r="D111" i="9"/>
  <c r="G110" i="9"/>
  <c r="H110" i="9" s="1"/>
  <c r="E110" i="9"/>
  <c r="D110" i="9"/>
  <c r="G109" i="9"/>
  <c r="E109" i="9"/>
  <c r="D109" i="9"/>
  <c r="G108" i="9"/>
  <c r="E108" i="9"/>
  <c r="D108" i="9"/>
  <c r="G99" i="9"/>
  <c r="H99" i="9" s="1"/>
  <c r="E99" i="9"/>
  <c r="D99" i="9"/>
  <c r="G98" i="9"/>
  <c r="H98" i="9" s="1"/>
  <c r="E98" i="9"/>
  <c r="D98" i="9"/>
  <c r="G101" i="9"/>
  <c r="H101" i="9" s="1"/>
  <c r="E101" i="9"/>
  <c r="D101" i="9"/>
  <c r="G100" i="9"/>
  <c r="H100" i="9" s="1"/>
  <c r="E100" i="9"/>
  <c r="D100" i="9"/>
  <c r="G97" i="9"/>
  <c r="H97" i="9" s="1"/>
  <c r="E97" i="9"/>
  <c r="D97" i="9"/>
  <c r="G96" i="9"/>
  <c r="H96" i="9" s="1"/>
  <c r="E96" i="9"/>
  <c r="D96" i="9"/>
  <c r="C449" i="14"/>
  <c r="C452" i="14" s="1"/>
  <c r="D449" i="14"/>
  <c r="D452" i="14" s="1"/>
  <c r="B449" i="14"/>
  <c r="B452" i="14" s="1"/>
  <c r="A449" i="14"/>
  <c r="A452" i="14" s="1"/>
  <c r="A427" i="14"/>
  <c r="A428" i="14"/>
  <c r="A429" i="14"/>
  <c r="A426" i="14"/>
  <c r="H433" i="14"/>
  <c r="H429" i="14"/>
  <c r="H428" i="14"/>
  <c r="H427" i="14"/>
  <c r="H426" i="14"/>
  <c r="G83" i="8"/>
  <c r="E83" i="8"/>
  <c r="D83" i="8"/>
  <c r="H422" i="14"/>
  <c r="C405" i="14"/>
  <c r="C404" i="14"/>
  <c r="D405" i="14"/>
  <c r="E409" i="14"/>
  <c r="H409" i="14" s="1"/>
  <c r="D404" i="14"/>
  <c r="H395" i="14"/>
  <c r="H389" i="14"/>
  <c r="H388" i="14"/>
  <c r="B340" i="14"/>
  <c r="C340" i="14"/>
  <c r="C349" i="14" s="1"/>
  <c r="B341" i="14"/>
  <c r="C341" i="14"/>
  <c r="C350" i="14" s="1"/>
  <c r="B342" i="14"/>
  <c r="C342" i="14"/>
  <c r="C351" i="14" s="1"/>
  <c r="C339" i="14"/>
  <c r="C348" i="14" s="1"/>
  <c r="B339" i="14"/>
  <c r="C334" i="14"/>
  <c r="D325" i="14"/>
  <c r="D324" i="14"/>
  <c r="D342" i="14" s="1"/>
  <c r="D323" i="14"/>
  <c r="D341" i="14" s="1"/>
  <c r="D322" i="14"/>
  <c r="D340" i="14" s="1"/>
  <c r="D321" i="14"/>
  <c r="D339" i="14" s="1"/>
  <c r="B330" i="14"/>
  <c r="B940" i="14" s="1"/>
  <c r="C330" i="14"/>
  <c r="C940" i="14" s="1"/>
  <c r="D330" i="14"/>
  <c r="A330" i="14"/>
  <c r="A940" i="14" s="1"/>
  <c r="A318" i="14"/>
  <c r="B318" i="14"/>
  <c r="C318" i="14"/>
  <c r="D318" i="14"/>
  <c r="A319" i="14"/>
  <c r="B319" i="14"/>
  <c r="C319" i="14"/>
  <c r="D319" i="14"/>
  <c r="B317" i="14"/>
  <c r="C317" i="14"/>
  <c r="D317" i="14"/>
  <c r="A317" i="14"/>
  <c r="C310" i="14"/>
  <c r="H310" i="14" s="1"/>
  <c r="C308" i="14"/>
  <c r="H308" i="14" s="1"/>
  <c r="B261" i="14"/>
  <c r="H239" i="14"/>
  <c r="D257" i="14" s="1"/>
  <c r="D260" i="14" s="1"/>
  <c r="H260" i="14" s="1"/>
  <c r="H258" i="14" s="1"/>
  <c r="G55" i="8"/>
  <c r="E55" i="8"/>
  <c r="G258" i="14" s="1"/>
  <c r="D55" i="8"/>
  <c r="B258" i="14" s="1"/>
  <c r="G54" i="8"/>
  <c r="E54" i="8"/>
  <c r="G255" i="14" s="1"/>
  <c r="D54" i="8"/>
  <c r="B255" i="14" s="1"/>
  <c r="G53" i="8"/>
  <c r="E53" i="8"/>
  <c r="D53" i="8"/>
  <c r="H254" i="14"/>
  <c r="H252" i="14" s="1"/>
  <c r="H155" i="14"/>
  <c r="H154" i="14"/>
  <c r="H122" i="14"/>
  <c r="H118" i="14"/>
  <c r="H114" i="14"/>
  <c r="H109" i="14"/>
  <c r="H140" i="14"/>
  <c r="H71" i="14"/>
  <c r="H70" i="14"/>
  <c r="H56" i="14"/>
  <c r="H58" i="14"/>
  <c r="H60" i="14"/>
  <c r="H55" i="14"/>
  <c r="J340" i="9" l="1"/>
  <c r="J341" i="9" s="1"/>
  <c r="J345" i="9" s="1"/>
  <c r="K345" i="9" s="1"/>
  <c r="F111" i="9"/>
  <c r="F112" i="9"/>
  <c r="H103" i="9"/>
  <c r="H94" i="9" s="1"/>
  <c r="D363" i="14"/>
  <c r="D940" i="14"/>
  <c r="H940" i="14" s="1"/>
  <c r="C367" i="14"/>
  <c r="H367" i="14" s="1"/>
  <c r="C944" i="14"/>
  <c r="H944" i="14" s="1"/>
  <c r="A356" i="14"/>
  <c r="A363" i="14"/>
  <c r="C356" i="14"/>
  <c r="C363" i="14"/>
  <c r="B356" i="14"/>
  <c r="B363" i="14"/>
  <c r="J235" i="9"/>
  <c r="K235" i="9" s="1"/>
  <c r="J234" i="9"/>
  <c r="K234" i="9" s="1"/>
  <c r="H236" i="9"/>
  <c r="H228" i="9" s="1"/>
  <c r="H338" i="9"/>
  <c r="H108" i="9"/>
  <c r="F113" i="9"/>
  <c r="H113" i="9" s="1"/>
  <c r="F114" i="9"/>
  <c r="H114" i="9" s="1"/>
  <c r="H109" i="9"/>
  <c r="F115" i="9"/>
  <c r="F116" i="9" s="1"/>
  <c r="H116" i="9" s="1"/>
  <c r="H112" i="9"/>
  <c r="H111" i="9"/>
  <c r="H257" i="14"/>
  <c r="H255" i="14" s="1"/>
  <c r="H144" i="14"/>
  <c r="G16" i="9"/>
  <c r="F16" i="9"/>
  <c r="E16" i="9"/>
  <c r="D16" i="9"/>
  <c r="G15" i="9"/>
  <c r="H15" i="9" s="1"/>
  <c r="E15" i="9"/>
  <c r="D15" i="9"/>
  <c r="G14" i="9"/>
  <c r="E14" i="9"/>
  <c r="D14" i="9"/>
  <c r="G13" i="9"/>
  <c r="E13" i="9"/>
  <c r="D13" i="9"/>
  <c r="G12" i="9"/>
  <c r="H12" i="9" s="1"/>
  <c r="E12" i="9"/>
  <c r="D12" i="9"/>
  <c r="G11" i="9"/>
  <c r="E11" i="9"/>
  <c r="D11" i="9"/>
  <c r="G9" i="9"/>
  <c r="F9" i="9"/>
  <c r="E9" i="9"/>
  <c r="D9" i="9"/>
  <c r="G8" i="9"/>
  <c r="F8" i="9"/>
  <c r="E8" i="9"/>
  <c r="D8" i="9"/>
  <c r="G7" i="9"/>
  <c r="F7" i="9"/>
  <c r="E7" i="9"/>
  <c r="H148" i="14"/>
  <c r="H146" i="14" s="1"/>
  <c r="C172" i="14" s="1"/>
  <c r="H172" i="14" s="1"/>
  <c r="D34" i="8"/>
  <c r="B146" i="14" s="1"/>
  <c r="E34" i="8"/>
  <c r="G146" i="14" s="1"/>
  <c r="G34" i="8"/>
  <c r="G52" i="9"/>
  <c r="H52" i="9" s="1"/>
  <c r="E52" i="9"/>
  <c r="D52" i="9"/>
  <c r="C284" i="14"/>
  <c r="H284" i="14" s="1"/>
  <c r="H282" i="14" s="1"/>
  <c r="G81" i="9"/>
  <c r="H81" i="9" s="1"/>
  <c r="E81" i="9"/>
  <c r="D81" i="9"/>
  <c r="G80" i="9"/>
  <c r="H80" i="9" s="1"/>
  <c r="E80" i="9"/>
  <c r="D80" i="9"/>
  <c r="G83" i="9"/>
  <c r="F83" i="9"/>
  <c r="E83" i="9"/>
  <c r="D83" i="9"/>
  <c r="G82" i="9"/>
  <c r="H82" i="9" s="1"/>
  <c r="E82" i="9"/>
  <c r="D82" i="9"/>
  <c r="G79" i="9"/>
  <c r="H79" i="9" s="1"/>
  <c r="E79" i="9"/>
  <c r="D79" i="9"/>
  <c r="G78" i="9"/>
  <c r="H78" i="9" s="1"/>
  <c r="E78" i="9"/>
  <c r="D78" i="9"/>
  <c r="G77" i="9"/>
  <c r="H77" i="9" s="1"/>
  <c r="E77" i="9"/>
  <c r="D77" i="9"/>
  <c r="G76" i="9"/>
  <c r="H76" i="9" s="1"/>
  <c r="E76" i="9"/>
  <c r="D76" i="9"/>
  <c r="H87" i="14"/>
  <c r="C68" i="14"/>
  <c r="C67" i="14"/>
  <c r="H356" i="14" l="1"/>
  <c r="J344" i="9"/>
  <c r="K344" i="9" s="1"/>
  <c r="H363" i="14"/>
  <c r="G237" i="8"/>
  <c r="F11" i="9"/>
  <c r="H11" i="9" s="1"/>
  <c r="H115" i="9"/>
  <c r="H106" i="9" s="1"/>
  <c r="G95" i="8" s="1"/>
  <c r="H8" i="9"/>
  <c r="H14" i="9"/>
  <c r="H16" i="9"/>
  <c r="H13" i="9"/>
  <c r="H7" i="9"/>
  <c r="H9" i="9"/>
  <c r="H83" i="9"/>
  <c r="H74" i="9" s="1"/>
  <c r="C1013" i="14"/>
  <c r="B1016" i="14"/>
  <c r="B1022" i="14" s="1"/>
  <c r="H5" i="9" l="1"/>
  <c r="D1016" i="14" l="1"/>
  <c r="C1016" i="14"/>
  <c r="B1019" i="14"/>
  <c r="B1025" i="14" s="1"/>
  <c r="A1016" i="14"/>
  <c r="H1013" i="14"/>
  <c r="H1011" i="14" s="1"/>
  <c r="G265" i="8"/>
  <c r="E265" i="8"/>
  <c r="G1017" i="14" s="1"/>
  <c r="D265" i="8"/>
  <c r="B1017" i="14" s="1"/>
  <c r="G264" i="8"/>
  <c r="E264" i="8"/>
  <c r="G1014" i="14" s="1"/>
  <c r="D264" i="8"/>
  <c r="B1014" i="14" s="1"/>
  <c r="G267" i="8"/>
  <c r="E267" i="8"/>
  <c r="G1023" i="14" s="1"/>
  <c r="D267" i="8"/>
  <c r="B1023" i="14" s="1"/>
  <c r="G263" i="8"/>
  <c r="E263" i="8"/>
  <c r="G1011" i="14" s="1"/>
  <c r="D263" i="8"/>
  <c r="B1011" i="14" s="1"/>
  <c r="C1078" i="14"/>
  <c r="H156" i="14"/>
  <c r="H152" i="14" s="1"/>
  <c r="G37" i="8"/>
  <c r="E37" i="8"/>
  <c r="D37" i="8"/>
  <c r="H95" i="14"/>
  <c r="H96" i="14"/>
  <c r="H94" i="14"/>
  <c r="C476" i="14"/>
  <c r="H476" i="14" s="1"/>
  <c r="G79" i="8"/>
  <c r="E79" i="8"/>
  <c r="G382" i="14" s="1"/>
  <c r="D79" i="8"/>
  <c r="B382" i="14" s="1"/>
  <c r="H385" i="14"/>
  <c r="H384" i="14"/>
  <c r="C281" i="14"/>
  <c r="C278" i="14"/>
  <c r="H278" i="14" s="1"/>
  <c r="H277" i="14"/>
  <c r="F71" i="9"/>
  <c r="G70" i="9"/>
  <c r="H70" i="9" s="1"/>
  <c r="E70" i="9"/>
  <c r="D70" i="9"/>
  <c r="G69" i="9"/>
  <c r="H69" i="9" s="1"/>
  <c r="E69" i="9"/>
  <c r="D69" i="9"/>
  <c r="G71" i="9"/>
  <c r="E71" i="9"/>
  <c r="D71" i="9"/>
  <c r="G68" i="9"/>
  <c r="H68" i="9" s="1"/>
  <c r="E68" i="9"/>
  <c r="D68" i="9"/>
  <c r="G67" i="9"/>
  <c r="H67" i="9" s="1"/>
  <c r="E67" i="9"/>
  <c r="D67" i="9"/>
  <c r="G64" i="9"/>
  <c r="H64" i="9" s="1"/>
  <c r="E64" i="9"/>
  <c r="D64" i="9"/>
  <c r="B235" i="14"/>
  <c r="C235" i="14"/>
  <c r="D235" i="14"/>
  <c r="E235" i="14"/>
  <c r="B236" i="14"/>
  <c r="C236" i="14"/>
  <c r="D236" i="14"/>
  <c r="E236" i="14"/>
  <c r="B237" i="14"/>
  <c r="C237" i="14"/>
  <c r="D237" i="14"/>
  <c r="E237" i="14"/>
  <c r="B238" i="14"/>
  <c r="C238" i="14"/>
  <c r="E238" i="14"/>
  <c r="A235" i="14"/>
  <c r="A236" i="14"/>
  <c r="A237" i="14"/>
  <c r="A238" i="14"/>
  <c r="A184" i="14"/>
  <c r="A190" i="14" s="1"/>
  <c r="A197" i="14" s="1"/>
  <c r="A203" i="14" s="1"/>
  <c r="A185" i="14"/>
  <c r="A191" i="14" s="1"/>
  <c r="A198" i="14" s="1"/>
  <c r="A204" i="14" s="1"/>
  <c r="A186" i="14"/>
  <c r="A192" i="14" s="1"/>
  <c r="A199" i="14" s="1"/>
  <c r="A205" i="14" s="1"/>
  <c r="A183" i="14"/>
  <c r="A189" i="14" s="1"/>
  <c r="A196" i="14" s="1"/>
  <c r="A202" i="14" s="1"/>
  <c r="A1019" i="14" l="1"/>
  <c r="A1025" i="14" s="1"/>
  <c r="A1022" i="14"/>
  <c r="C1019" i="14"/>
  <c r="C1022" i="14"/>
  <c r="D1019" i="14"/>
  <c r="D1025" i="14" s="1"/>
  <c r="D1022" i="14"/>
  <c r="B152" i="14"/>
  <c r="B157" i="14"/>
  <c r="G152" i="14"/>
  <c r="G157" i="14"/>
  <c r="A231" i="14"/>
  <c r="A214" i="14"/>
  <c r="A234" i="14"/>
  <c r="A217" i="14"/>
  <c r="A224" i="14" s="1"/>
  <c r="A233" i="14"/>
  <c r="A216" i="14"/>
  <c r="A232" i="14"/>
  <c r="A215" i="14"/>
  <c r="H71" i="9"/>
  <c r="H62" i="9" s="1"/>
  <c r="H1016" i="14"/>
  <c r="H1014" i="14" s="1"/>
  <c r="H1019" i="14"/>
  <c r="H1017" i="14" s="1"/>
  <c r="C1025" i="14"/>
  <c r="H1025" i="14" s="1"/>
  <c r="H275" i="14"/>
  <c r="H382" i="14"/>
  <c r="D209" i="14"/>
  <c r="H208" i="14"/>
  <c r="C203" i="14"/>
  <c r="C232" i="14" s="1"/>
  <c r="D203" i="14"/>
  <c r="D232" i="14" s="1"/>
  <c r="C204" i="14"/>
  <c r="C233" i="14" s="1"/>
  <c r="D204" i="14"/>
  <c r="D233" i="14" s="1"/>
  <c r="C205" i="14"/>
  <c r="C234" i="14" s="1"/>
  <c r="D202" i="14"/>
  <c r="D231" i="14" s="1"/>
  <c r="C202" i="14"/>
  <c r="C231" i="14" s="1"/>
  <c r="F184" i="14"/>
  <c r="F197" i="14" s="1"/>
  <c r="F215" i="14" s="1"/>
  <c r="G184" i="14"/>
  <c r="G197" i="14" s="1"/>
  <c r="F185" i="14"/>
  <c r="F198" i="14" s="1"/>
  <c r="F216" i="14" s="1"/>
  <c r="G185" i="14"/>
  <c r="G198" i="14" s="1"/>
  <c r="F186" i="14"/>
  <c r="F199" i="14" s="1"/>
  <c r="F217" i="14" s="1"/>
  <c r="G186" i="14"/>
  <c r="G199" i="14" s="1"/>
  <c r="G183" i="14"/>
  <c r="G196" i="14" s="1"/>
  <c r="F183" i="14"/>
  <c r="F196" i="14" s="1"/>
  <c r="F214" i="14" s="1"/>
  <c r="B184" i="14"/>
  <c r="B197" i="14" s="1"/>
  <c r="B203" i="14" s="1"/>
  <c r="B185" i="14"/>
  <c r="B198" i="14" s="1"/>
  <c r="B204" i="14" s="1"/>
  <c r="B186" i="14"/>
  <c r="B199" i="14" s="1"/>
  <c r="B205" i="14" s="1"/>
  <c r="B183" i="14"/>
  <c r="B196" i="14" s="1"/>
  <c r="B202" i="14" s="1"/>
  <c r="H1022" i="14" l="1"/>
  <c r="H1020" i="14" s="1"/>
  <c r="H1023" i="14"/>
  <c r="D238" i="14"/>
  <c r="D221" i="14"/>
  <c r="H221" i="14" s="1"/>
  <c r="B234" i="14"/>
  <c r="B217" i="14"/>
  <c r="B231" i="14"/>
  <c r="B214" i="14"/>
  <c r="H214" i="14" s="1"/>
  <c r="B232" i="14"/>
  <c r="B215" i="14"/>
  <c r="H215" i="14" s="1"/>
  <c r="B233" i="14"/>
  <c r="B216" i="14"/>
  <c r="H216" i="14" s="1"/>
  <c r="H198" i="14"/>
  <c r="C191" i="14" s="1"/>
  <c r="E179" i="14"/>
  <c r="C179" i="14"/>
  <c r="C186" i="14" s="1"/>
  <c r="D179" i="14"/>
  <c r="G252" i="8"/>
  <c r="E252" i="8"/>
  <c r="H985" i="14"/>
  <c r="H983" i="14" s="1"/>
  <c r="D252" i="8"/>
  <c r="H973" i="14"/>
  <c r="H971" i="14" s="1"/>
  <c r="H970" i="14"/>
  <c r="H968" i="14" s="1"/>
  <c r="H1097" i="14"/>
  <c r="H1096" i="14"/>
  <c r="H1095" i="14"/>
  <c r="C1068" i="14"/>
  <c r="E303" i="14"/>
  <c r="E302" i="14"/>
  <c r="D333" i="14"/>
  <c r="C333" i="14"/>
  <c r="C332" i="14"/>
  <c r="H247" i="14"/>
  <c r="H246" i="14"/>
  <c r="H110" i="14"/>
  <c r="H107" i="14" s="1"/>
  <c r="G27" i="8"/>
  <c r="E27" i="8"/>
  <c r="D27" i="8"/>
  <c r="H421" i="14"/>
  <c r="C418" i="14"/>
  <c r="H418" i="14" s="1"/>
  <c r="H419" i="14"/>
  <c r="H420" i="14"/>
  <c r="C365" i="14" l="1"/>
  <c r="H365" i="14" s="1"/>
  <c r="C942" i="14"/>
  <c r="H942" i="14" s="1"/>
  <c r="D366" i="14"/>
  <c r="D943" i="14"/>
  <c r="C366" i="14"/>
  <c r="C943" i="14"/>
  <c r="H353" i="14"/>
  <c r="H244" i="14"/>
  <c r="H179" i="14"/>
  <c r="B192" i="14" s="1"/>
  <c r="D186" i="14"/>
  <c r="D199" i="14" s="1"/>
  <c r="D205" i="14" s="1"/>
  <c r="G91" i="9"/>
  <c r="H91" i="9" s="1"/>
  <c r="E91" i="9"/>
  <c r="D91" i="9"/>
  <c r="G90" i="9"/>
  <c r="H90" i="9" s="1"/>
  <c r="E90" i="9"/>
  <c r="D90" i="9"/>
  <c r="G89" i="9"/>
  <c r="H89" i="9" s="1"/>
  <c r="E89" i="9"/>
  <c r="D89" i="9"/>
  <c r="G88" i="9"/>
  <c r="E88" i="9"/>
  <c r="D88" i="9"/>
  <c r="D234" i="14" l="1"/>
  <c r="D217" i="14"/>
  <c r="H217" i="14" s="1"/>
  <c r="H943" i="14"/>
  <c r="H88" i="9"/>
  <c r="H86" i="9" s="1"/>
  <c r="H250" i="14" l="1"/>
  <c r="G51" i="8"/>
  <c r="E51" i="8"/>
  <c r="D51" i="8"/>
  <c r="C77" i="14"/>
  <c r="C302" i="14"/>
  <c r="H302" i="14" s="1"/>
  <c r="C303" i="14"/>
  <c r="H303" i="14" s="1"/>
  <c r="G67" i="8"/>
  <c r="E67" i="8"/>
  <c r="G300" i="14" s="1"/>
  <c r="D67" i="8"/>
  <c r="B300" i="14" s="1"/>
  <c r="H300" i="14" l="1"/>
  <c r="H251" i="14"/>
  <c r="H248" i="14" s="1"/>
  <c r="H281" i="14"/>
  <c r="G57" i="9"/>
  <c r="H57" i="9" s="1"/>
  <c r="E57" i="9"/>
  <c r="D57" i="9"/>
  <c r="G56" i="9"/>
  <c r="H56" i="9" s="1"/>
  <c r="E56" i="9"/>
  <c r="D56" i="9"/>
  <c r="G44" i="9"/>
  <c r="H44" i="9" s="1"/>
  <c r="E44" i="9"/>
  <c r="D44" i="9"/>
  <c r="G43" i="9"/>
  <c r="H43" i="9" s="1"/>
  <c r="E43" i="9"/>
  <c r="D43" i="9"/>
  <c r="G25" i="9"/>
  <c r="H25" i="9" s="1"/>
  <c r="E25" i="9"/>
  <c r="D25" i="9"/>
  <c r="G24" i="9"/>
  <c r="H24" i="9" s="1"/>
  <c r="E24" i="9"/>
  <c r="D24" i="9"/>
  <c r="G55" i="9"/>
  <c r="E55" i="9"/>
  <c r="D55" i="9"/>
  <c r="G54" i="9"/>
  <c r="E54" i="9"/>
  <c r="D54" i="9"/>
  <c r="G53" i="9"/>
  <c r="H53" i="9" s="1"/>
  <c r="E53" i="9"/>
  <c r="D53" i="9"/>
  <c r="G51" i="9"/>
  <c r="E51" i="9"/>
  <c r="D51" i="9"/>
  <c r="H1047" i="14"/>
  <c r="H1045" i="14" s="1"/>
  <c r="H274" i="14"/>
  <c r="G58" i="8"/>
  <c r="E58" i="8"/>
  <c r="D58" i="8"/>
  <c r="H266" i="14"/>
  <c r="H265" i="14"/>
  <c r="H268" i="14"/>
  <c r="H141" i="14"/>
  <c r="H138" i="14" s="1"/>
  <c r="G32" i="8"/>
  <c r="E32" i="8"/>
  <c r="G138" i="14" s="1"/>
  <c r="D32" i="8"/>
  <c r="B138" i="14" s="1"/>
  <c r="H55" i="9" l="1"/>
  <c r="H279" i="14"/>
  <c r="H54" i="9"/>
  <c r="H51" i="9"/>
  <c r="G37" i="9"/>
  <c r="H37" i="9" s="1"/>
  <c r="E37" i="9"/>
  <c r="D37" i="9"/>
  <c r="F36" i="9"/>
  <c r="F40" i="9"/>
  <c r="G40" i="9"/>
  <c r="H40" i="9" s="1"/>
  <c r="E40" i="9"/>
  <c r="D40" i="9"/>
  <c r="F35" i="9"/>
  <c r="F34" i="9"/>
  <c r="F45" i="9" l="1"/>
  <c r="H49" i="9"/>
  <c r="G36" i="9"/>
  <c r="H36" i="9" s="1"/>
  <c r="E36" i="9"/>
  <c r="D36" i="9"/>
  <c r="G35" i="9"/>
  <c r="H35" i="9" s="1"/>
  <c r="E35" i="9"/>
  <c r="D35" i="9"/>
  <c r="G42" i="9"/>
  <c r="H42" i="9" s="1"/>
  <c r="E42" i="9"/>
  <c r="D42" i="9"/>
  <c r="G41" i="9"/>
  <c r="H41" i="9" s="1"/>
  <c r="E41" i="9"/>
  <c r="D41" i="9"/>
  <c r="G34" i="9"/>
  <c r="H34" i="9" s="1"/>
  <c r="E34" i="9"/>
  <c r="D34" i="9"/>
  <c r="H271" i="14"/>
  <c r="H269" i="14" s="1"/>
  <c r="D178" i="14"/>
  <c r="D185" i="14" s="1"/>
  <c r="C178" i="14"/>
  <c r="C185" i="14" s="1"/>
  <c r="D176" i="14"/>
  <c r="D183" i="14" s="1"/>
  <c r="C176" i="14"/>
  <c r="C183" i="14" s="1"/>
  <c r="F46" i="9" l="1"/>
  <c r="H46" i="9" s="1"/>
  <c r="H45" i="9"/>
  <c r="H185" i="14"/>
  <c r="F42" i="14"/>
  <c r="F43" i="14"/>
  <c r="F41" i="14"/>
  <c r="C136" i="14"/>
  <c r="C133" i="14"/>
  <c r="H133" i="14" s="1"/>
  <c r="C134" i="14"/>
  <c r="H134" i="14" s="1"/>
  <c r="H424" i="14" s="1"/>
  <c r="C135" i="14"/>
  <c r="H135" i="14" s="1"/>
  <c r="C132" i="14"/>
  <c r="H132" i="14" s="1"/>
  <c r="H131" i="14"/>
  <c r="C130" i="14"/>
  <c r="H130" i="14" s="1"/>
  <c r="C129" i="14"/>
  <c r="H129" i="14" s="1"/>
  <c r="C128" i="14"/>
  <c r="H128" i="14" s="1"/>
  <c r="H32" i="9" l="1"/>
  <c r="E166" i="14"/>
  <c r="H166" i="14" s="1"/>
  <c r="H11" i="14"/>
  <c r="H12" i="14"/>
  <c r="H13" i="14"/>
  <c r="H14" i="14"/>
  <c r="H10" i="14"/>
  <c r="D458" i="9"/>
  <c r="D459" i="9"/>
  <c r="H79" i="14"/>
  <c r="H77" i="14"/>
  <c r="H68" i="14"/>
  <c r="H72" i="14"/>
  <c r="H69" i="14"/>
  <c r="H272" i="14" l="1"/>
  <c r="H267" i="14"/>
  <c r="H264" i="14"/>
  <c r="G26" i="9"/>
  <c r="H26" i="9" s="1"/>
  <c r="E26" i="9"/>
  <c r="D26" i="9"/>
  <c r="G21" i="9"/>
  <c r="H21" i="9" s="1"/>
  <c r="E21" i="9"/>
  <c r="D21" i="9"/>
  <c r="G451" i="9"/>
  <c r="H451" i="9" s="1"/>
  <c r="E451" i="9"/>
  <c r="D451" i="9"/>
  <c r="G450" i="9"/>
  <c r="H450" i="9" s="1"/>
  <c r="E450" i="9"/>
  <c r="D450" i="9"/>
  <c r="F485" i="9"/>
  <c r="F484" i="9"/>
  <c r="G489" i="9"/>
  <c r="F489" i="9"/>
  <c r="E489" i="9"/>
  <c r="D489" i="9"/>
  <c r="G488" i="9"/>
  <c r="H488" i="9" s="1"/>
  <c r="E488" i="9"/>
  <c r="D488" i="9"/>
  <c r="G487" i="9"/>
  <c r="H487" i="9" s="1"/>
  <c r="E487" i="9"/>
  <c r="D487" i="9"/>
  <c r="G486" i="9"/>
  <c r="H486" i="9" s="1"/>
  <c r="E486" i="9"/>
  <c r="D486" i="9"/>
  <c r="G485" i="9"/>
  <c r="E485" i="9"/>
  <c r="D485" i="9"/>
  <c r="G484" i="9"/>
  <c r="E484" i="9"/>
  <c r="D484" i="9"/>
  <c r="G476" i="9"/>
  <c r="H476" i="9" s="1"/>
  <c r="E476" i="9"/>
  <c r="D476" i="9"/>
  <c r="G475" i="9"/>
  <c r="H475" i="9" s="1"/>
  <c r="E475" i="9"/>
  <c r="D475" i="9"/>
  <c r="G474" i="9"/>
  <c r="H474" i="9" s="1"/>
  <c r="E474" i="9"/>
  <c r="D474" i="9"/>
  <c r="G473" i="9"/>
  <c r="H473" i="9" s="1"/>
  <c r="E473" i="9"/>
  <c r="D473" i="9"/>
  <c r="G478" i="9"/>
  <c r="H478" i="9" s="1"/>
  <c r="E478" i="9"/>
  <c r="D478" i="9"/>
  <c r="H489" i="9" l="1"/>
  <c r="H262" i="14"/>
  <c r="B269" i="14"/>
  <c r="G269" i="14"/>
  <c r="H484" i="9"/>
  <c r="H485" i="9"/>
  <c r="H482" i="9" l="1"/>
  <c r="F472" i="9" l="1"/>
  <c r="F470" i="9"/>
  <c r="F471" i="9"/>
  <c r="D470" i="9"/>
  <c r="G472" i="9"/>
  <c r="H472" i="9" s="1"/>
  <c r="E472" i="9"/>
  <c r="D472" i="9"/>
  <c r="G471" i="9"/>
  <c r="E471" i="9"/>
  <c r="D471" i="9"/>
  <c r="G477" i="9"/>
  <c r="H477" i="9" s="1"/>
  <c r="E477" i="9"/>
  <c r="D477" i="9"/>
  <c r="H471" i="9" l="1"/>
  <c r="C290" i="14" l="1"/>
  <c r="C459" i="14" s="1"/>
  <c r="H1123" i="14" l="1"/>
  <c r="H1110" i="14"/>
  <c r="H1108" i="14" s="1"/>
  <c r="E1091" i="14"/>
  <c r="H1091" i="14" s="1"/>
  <c r="E1092" i="14"/>
  <c r="H1092" i="14" s="1"/>
  <c r="E1093" i="14"/>
  <c r="H1093" i="14" s="1"/>
  <c r="E1090" i="14"/>
  <c r="H1090" i="14" s="1"/>
  <c r="C1079" i="14"/>
  <c r="C75" i="14" l="1"/>
  <c r="H67" i="14"/>
  <c r="H988" i="14" l="1"/>
  <c r="H986" i="14" s="1"/>
  <c r="G254" i="8"/>
  <c r="E254" i="8"/>
  <c r="G986" i="14" s="1"/>
  <c r="D254" i="8"/>
  <c r="B986" i="14" s="1"/>
  <c r="H991" i="14"/>
  <c r="H989" i="14" s="1"/>
  <c r="G255" i="8"/>
  <c r="E255" i="8"/>
  <c r="G989" i="14" s="1"/>
  <c r="D255" i="8"/>
  <c r="B989" i="14" s="1"/>
  <c r="H92" i="14"/>
  <c r="H85" i="14"/>
  <c r="H84" i="14"/>
  <c r="H75" i="14"/>
  <c r="C74" i="14"/>
  <c r="H74" i="14" s="1"/>
  <c r="C66" i="14"/>
  <c r="H66" i="14" s="1"/>
  <c r="C65" i="14"/>
  <c r="C76" i="14"/>
  <c r="H76" i="14" s="1"/>
  <c r="G30" i="8"/>
  <c r="E30" i="8"/>
  <c r="D30" i="8"/>
  <c r="H81" i="14" l="1"/>
  <c r="H113" i="14"/>
  <c r="H111" i="14" s="1"/>
  <c r="E289" i="14"/>
  <c r="E288" i="14"/>
  <c r="H125" i="14" l="1"/>
  <c r="H123" i="14" s="1"/>
  <c r="G123" i="14"/>
  <c r="B123" i="14"/>
  <c r="H42" i="14"/>
  <c r="H982" i="14" l="1"/>
  <c r="H980" i="14" s="1"/>
  <c r="G253" i="8"/>
  <c r="E253" i="8"/>
  <c r="D253" i="8"/>
  <c r="H121" i="14"/>
  <c r="H119" i="14" s="1"/>
  <c r="G29" i="8"/>
  <c r="E29" i="8"/>
  <c r="G119" i="14" s="1"/>
  <c r="D29" i="8"/>
  <c r="B119" i="14" s="1"/>
  <c r="G407" i="9"/>
  <c r="H407" i="9" s="1"/>
  <c r="E407" i="9"/>
  <c r="D407" i="9"/>
  <c r="G420" i="9"/>
  <c r="H420" i="9" s="1"/>
  <c r="E420" i="9"/>
  <c r="D420" i="9"/>
  <c r="G419" i="9"/>
  <c r="H419" i="9" s="1"/>
  <c r="E419" i="9"/>
  <c r="D419" i="9"/>
  <c r="G418" i="9"/>
  <c r="H418" i="9" s="1"/>
  <c r="E418" i="9"/>
  <c r="D418" i="9"/>
  <c r="G417" i="9"/>
  <c r="H417" i="9" s="1"/>
  <c r="E417" i="9"/>
  <c r="D417" i="9"/>
  <c r="G416" i="9"/>
  <c r="H416" i="9" s="1"/>
  <c r="E416" i="9"/>
  <c r="D416" i="9"/>
  <c r="G406" i="9"/>
  <c r="H406" i="9" s="1"/>
  <c r="E406" i="9"/>
  <c r="D406" i="9"/>
  <c r="G410" i="9"/>
  <c r="H410" i="9" s="1"/>
  <c r="E410" i="9"/>
  <c r="D410" i="9"/>
  <c r="G409" i="9"/>
  <c r="H409" i="9" s="1"/>
  <c r="E409" i="9"/>
  <c r="D409" i="9"/>
  <c r="G408" i="9"/>
  <c r="H408" i="9" s="1"/>
  <c r="E408" i="9"/>
  <c r="D408" i="9"/>
  <c r="G405" i="9"/>
  <c r="H405" i="9" s="1"/>
  <c r="E405" i="9"/>
  <c r="D405" i="9"/>
  <c r="H967" i="14"/>
  <c r="H965" i="14" s="1"/>
  <c r="F399" i="9"/>
  <c r="F398" i="9"/>
  <c r="F397" i="9"/>
  <c r="F395" i="9"/>
  <c r="F394" i="9"/>
  <c r="G396" i="9"/>
  <c r="H396" i="9" s="1"/>
  <c r="E396" i="9"/>
  <c r="D396" i="9"/>
  <c r="G395" i="9"/>
  <c r="E395" i="9"/>
  <c r="D395" i="9"/>
  <c r="G397" i="9"/>
  <c r="E397" i="9"/>
  <c r="D397" i="9"/>
  <c r="G398" i="9"/>
  <c r="E398" i="9"/>
  <c r="D398" i="9"/>
  <c r="G399" i="9"/>
  <c r="E399" i="9"/>
  <c r="D399" i="9"/>
  <c r="G394" i="9"/>
  <c r="E394" i="9"/>
  <c r="D394" i="9"/>
  <c r="H955" i="14"/>
  <c r="H953" i="14" s="1"/>
  <c r="G243" i="8"/>
  <c r="E243" i="8"/>
  <c r="G953" i="14" s="1"/>
  <c r="D243" i="8"/>
  <c r="B953" i="14" s="1"/>
  <c r="D23" i="8"/>
  <c r="H1050" i="14"/>
  <c r="H1048" i="14" s="1"/>
  <c r="G274" i="8"/>
  <c r="E274" i="8"/>
  <c r="D274" i="8"/>
  <c r="C312" i="14"/>
  <c r="H341" i="14"/>
  <c r="E350" i="14"/>
  <c r="G470" i="9"/>
  <c r="H470" i="9" s="1"/>
  <c r="E470" i="9"/>
  <c r="H867" i="14"/>
  <c r="G864" i="14"/>
  <c r="B864" i="14"/>
  <c r="H866" i="14"/>
  <c r="G226" i="8"/>
  <c r="E226" i="8"/>
  <c r="D226" i="8"/>
  <c r="H473" i="14"/>
  <c r="H472" i="14"/>
  <c r="H333" i="14"/>
  <c r="G75" i="8"/>
  <c r="E75" i="8"/>
  <c r="D75" i="8"/>
  <c r="H342" i="14"/>
  <c r="H340" i="14"/>
  <c r="H339" i="14"/>
  <c r="H1100" i="14"/>
  <c r="H1101" i="14"/>
  <c r="H1099" i="14"/>
  <c r="H1085" i="14"/>
  <c r="H1084" i="14"/>
  <c r="H1083" i="14"/>
  <c r="H1086" i="14"/>
  <c r="H324" i="14"/>
  <c r="H323" i="14"/>
  <c r="H322" i="14"/>
  <c r="H321" i="14"/>
  <c r="H325" i="14"/>
  <c r="H332" i="14"/>
  <c r="H326" i="14"/>
  <c r="H319" i="14"/>
  <c r="H327" i="14"/>
  <c r="H334" i="14"/>
  <c r="H331" i="14"/>
  <c r="H336" i="14"/>
  <c r="H330" i="14"/>
  <c r="C169" i="14"/>
  <c r="H318" i="14"/>
  <c r="H317" i="14"/>
  <c r="G70" i="8"/>
  <c r="E70" i="8"/>
  <c r="G328" i="14" s="1"/>
  <c r="D70" i="8"/>
  <c r="B328" i="14" s="1"/>
  <c r="G240" i="8"/>
  <c r="E240" i="8"/>
  <c r="D240" i="8"/>
  <c r="H930" i="14"/>
  <c r="H931" i="14"/>
  <c r="H932" i="14"/>
  <c r="H933" i="14"/>
  <c r="H929" i="14"/>
  <c r="G353" i="14" l="1"/>
  <c r="G360" i="14"/>
  <c r="B353" i="14"/>
  <c r="B360" i="14"/>
  <c r="H864" i="14"/>
  <c r="B980" i="14"/>
  <c r="B983" i="14"/>
  <c r="G980" i="14"/>
  <c r="G983" i="14"/>
  <c r="H1087" i="14"/>
  <c r="H397" i="9"/>
  <c r="H414" i="9"/>
  <c r="H394" i="9"/>
  <c r="H399" i="9"/>
  <c r="H398" i="9"/>
  <c r="H403" i="9"/>
  <c r="H395" i="9"/>
  <c r="H468" i="9"/>
  <c r="H470" i="14"/>
  <c r="H337" i="14"/>
  <c r="C345" i="14" s="1"/>
  <c r="H1081" i="14"/>
  <c r="H927" i="14"/>
  <c r="B937" i="14" s="1"/>
  <c r="H937" i="14" s="1"/>
  <c r="H328" i="14"/>
  <c r="H392" i="9" l="1"/>
  <c r="H889" i="14" l="1"/>
  <c r="H886" i="14"/>
  <c r="H883" i="14"/>
  <c r="H881" i="14" s="1"/>
  <c r="G268" i="8"/>
  <c r="E268" i="8"/>
  <c r="B372" i="14"/>
  <c r="B371" i="14"/>
  <c r="H371" i="14" s="1"/>
  <c r="H459" i="14"/>
  <c r="H460" i="14"/>
  <c r="H458" i="14"/>
  <c r="C497" i="14"/>
  <c r="H497" i="14" s="1"/>
  <c r="C496" i="14"/>
  <c r="H496" i="14" s="1"/>
  <c r="C495" i="14"/>
  <c r="H495" i="14" s="1"/>
  <c r="C494" i="14"/>
  <c r="H494" i="14" s="1"/>
  <c r="H501" i="14"/>
  <c r="H500" i="14"/>
  <c r="H469" i="14"/>
  <c r="H466" i="14"/>
  <c r="H465" i="14"/>
  <c r="H464" i="14"/>
  <c r="B312" i="14"/>
  <c r="B311" i="14"/>
  <c r="C311" i="14"/>
  <c r="C309" i="14"/>
  <c r="H309" i="14" s="1"/>
  <c r="C307" i="14"/>
  <c r="E351" i="14"/>
  <c r="H351" i="14" s="1"/>
  <c r="H350" i="14"/>
  <c r="E349" i="14"/>
  <c r="H349" i="14" s="1"/>
  <c r="E348" i="14"/>
  <c r="H348" i="14" s="1"/>
  <c r="H290" i="14"/>
  <c r="D289" i="14"/>
  <c r="D288" i="14"/>
  <c r="H238" i="14"/>
  <c r="H237" i="14"/>
  <c r="H236" i="14"/>
  <c r="H235" i="14"/>
  <c r="H234" i="14"/>
  <c r="D192" i="14" s="1"/>
  <c r="H233" i="14"/>
  <c r="D191" i="14" s="1"/>
  <c r="H232" i="14"/>
  <c r="D190" i="14" s="1"/>
  <c r="H231" i="14"/>
  <c r="H207" i="14"/>
  <c r="H203" i="14"/>
  <c r="H204" i="14"/>
  <c r="H205" i="14"/>
  <c r="H206" i="14"/>
  <c r="H209" i="14"/>
  <c r="H202" i="14"/>
  <c r="H199" i="14"/>
  <c r="C192" i="14" s="1"/>
  <c r="H197" i="14"/>
  <c r="C190" i="14" s="1"/>
  <c r="H196" i="14"/>
  <c r="C189" i="14" s="1"/>
  <c r="D177" i="14"/>
  <c r="D184" i="14" s="1"/>
  <c r="C177" i="14"/>
  <c r="C184" i="14" s="1"/>
  <c r="H229" i="14" l="1"/>
  <c r="D189" i="14"/>
  <c r="H884" i="14"/>
  <c r="H288" i="14"/>
  <c r="H176" i="14"/>
  <c r="H186" i="14"/>
  <c r="H462" i="14"/>
  <c r="H346" i="14"/>
  <c r="H177" i="14"/>
  <c r="H183" i="14"/>
  <c r="H307" i="14"/>
  <c r="H498" i="14"/>
  <c r="H492" i="14"/>
  <c r="H289" i="14"/>
  <c r="H311" i="14"/>
  <c r="H200" i="14"/>
  <c r="H312" i="14"/>
  <c r="H178" i="14"/>
  <c r="H184" i="14"/>
  <c r="H372" i="14"/>
  <c r="H369" i="14" s="1"/>
  <c r="H194" i="14"/>
  <c r="E406" i="14"/>
  <c r="H406" i="14" s="1"/>
  <c r="E407" i="14"/>
  <c r="H407" i="14" s="1"/>
  <c r="E408" i="14"/>
  <c r="H408" i="14" s="1"/>
  <c r="E411" i="14"/>
  <c r="H411" i="14" s="1"/>
  <c r="E405" i="14"/>
  <c r="H405" i="14" s="1"/>
  <c r="E404" i="14"/>
  <c r="H404" i="14" s="1"/>
  <c r="H391" i="14"/>
  <c r="H394" i="14"/>
  <c r="H393" i="14"/>
  <c r="H392" i="14"/>
  <c r="H390" i="14"/>
  <c r="H377" i="14"/>
  <c r="H378" i="14"/>
  <c r="H379" i="14"/>
  <c r="H381" i="14"/>
  <c r="H376" i="14"/>
  <c r="G286" i="8"/>
  <c r="E286" i="8"/>
  <c r="D286" i="8"/>
  <c r="H1044" i="14"/>
  <c r="H1042" i="14" s="1"/>
  <c r="G273" i="8"/>
  <c r="E273" i="8"/>
  <c r="D273" i="8"/>
  <c r="H452" i="14"/>
  <c r="H449" i="14"/>
  <c r="H446" i="14"/>
  <c r="H117" i="14"/>
  <c r="H115" i="14" s="1"/>
  <c r="H1122" i="14"/>
  <c r="H1128" i="14"/>
  <c r="H1125" i="14"/>
  <c r="H1107" i="14"/>
  <c r="G290" i="8"/>
  <c r="E290" i="8"/>
  <c r="G1108" i="14" s="1"/>
  <c r="D290" i="8"/>
  <c r="B1108" i="14" s="1"/>
  <c r="H1116" i="14"/>
  <c r="H1105" i="14"/>
  <c r="H1080" i="14"/>
  <c r="H1079" i="14"/>
  <c r="H1078" i="14"/>
  <c r="H1064" i="14"/>
  <c r="H1059" i="14"/>
  <c r="H1055" i="14"/>
  <c r="H1054" i="14"/>
  <c r="H1068" i="14"/>
  <c r="H399" i="14" l="1"/>
  <c r="H386" i="14"/>
  <c r="B190" i="14"/>
  <c r="H190" i="14" s="1"/>
  <c r="B189" i="14"/>
  <c r="H189" i="14" s="1"/>
  <c r="H174" i="14"/>
  <c r="H192" i="14"/>
  <c r="B191" i="14"/>
  <c r="H191" i="14" s="1"/>
  <c r="H1103" i="14"/>
  <c r="H286" i="14"/>
  <c r="H305" i="14"/>
  <c r="H181" i="14"/>
  <c r="H1120" i="14"/>
  <c r="H374" i="14"/>
  <c r="H1076" i="14"/>
  <c r="H52" i="14"/>
  <c r="C167" i="14" s="1"/>
  <c r="H167" i="14" s="1"/>
  <c r="H102" i="14"/>
  <c r="H101" i="14"/>
  <c r="H99" i="14" l="1"/>
  <c r="H187" i="14"/>
  <c r="B169" i="14"/>
  <c r="H169" i="14" s="1"/>
  <c r="H34" i="14"/>
  <c r="H37" i="14"/>
  <c r="H736" i="14" l="1"/>
  <c r="H734" i="14" l="1"/>
  <c r="H1038" i="14"/>
  <c r="H1036" i="14" s="1"/>
  <c r="G272" i="8"/>
  <c r="E272" i="8"/>
  <c r="G1036" i="14" s="1"/>
  <c r="D272" i="8"/>
  <c r="B1036" i="14" s="1"/>
  <c r="H733" i="14"/>
  <c r="H65" i="14"/>
  <c r="H62" i="14" s="1"/>
  <c r="G1042" i="14" l="1"/>
  <c r="H731" i="14"/>
  <c r="H136" i="14"/>
  <c r="H126" i="14" s="1"/>
  <c r="C414" i="14" s="1"/>
  <c r="H994" i="14"/>
  <c r="H992" i="14" s="1"/>
  <c r="G251" i="8"/>
  <c r="E251" i="8"/>
  <c r="D251" i="8"/>
  <c r="H456" i="14"/>
  <c r="G90" i="8"/>
  <c r="E90" i="8"/>
  <c r="D90" i="8"/>
  <c r="B650" i="14" l="1"/>
  <c r="B665" i="14"/>
  <c r="G650" i="14"/>
  <c r="G665" i="14"/>
  <c r="H414" i="14"/>
  <c r="H97" i="14"/>
  <c r="H89" i="14" s="1"/>
  <c r="H106" i="14"/>
  <c r="H41" i="14"/>
  <c r="H43" i="14"/>
  <c r="C423" i="14" l="1"/>
  <c r="H423" i="14" s="1"/>
  <c r="H416" i="14" s="1"/>
  <c r="H39" i="14"/>
  <c r="H151" i="14"/>
  <c r="R32" i="16" l="1"/>
  <c r="B32" i="16"/>
  <c r="R30" i="16"/>
  <c r="B30" i="16"/>
  <c r="R28" i="16"/>
  <c r="B28" i="16"/>
  <c r="R26" i="16"/>
  <c r="B26" i="16"/>
  <c r="R24" i="16"/>
  <c r="B24" i="16"/>
  <c r="R22" i="16"/>
  <c r="B22" i="16"/>
  <c r="R20" i="16"/>
  <c r="B20" i="16"/>
  <c r="R18" i="16"/>
  <c r="B18" i="16"/>
  <c r="R38" i="16"/>
  <c r="B38" i="16"/>
  <c r="R36" i="16"/>
  <c r="B36" i="16"/>
  <c r="R34" i="16"/>
  <c r="B34" i="16"/>
  <c r="R16" i="16"/>
  <c r="B16" i="16"/>
  <c r="R14" i="16"/>
  <c r="B14" i="16"/>
  <c r="R48" i="16"/>
  <c r="B48" i="16"/>
  <c r="R42" i="16"/>
  <c r="B42" i="16"/>
  <c r="H1139" i="14"/>
  <c r="H1137" i="14" s="1"/>
  <c r="H1129" i="14"/>
  <c r="G1129" i="14"/>
  <c r="B1129" i="14"/>
  <c r="H1126" i="14"/>
  <c r="H1102" i="14"/>
  <c r="G1102" i="14"/>
  <c r="B1102" i="14"/>
  <c r="H1072" i="14"/>
  <c r="G1072" i="14"/>
  <c r="B1072" i="14"/>
  <c r="H1066" i="14"/>
  <c r="H1065" i="14"/>
  <c r="H1062" i="14" s="1"/>
  <c r="H1061" i="14"/>
  <c r="H1057" i="14" s="1"/>
  <c r="H1056" i="14"/>
  <c r="H1052" i="14" s="1"/>
  <c r="H149" i="14"/>
  <c r="H1051" i="14"/>
  <c r="G1051" i="14"/>
  <c r="B1051" i="14"/>
  <c r="H1041" i="14"/>
  <c r="H1039" i="14" s="1"/>
  <c r="H1035" i="14"/>
  <c r="H1033" i="14" s="1"/>
  <c r="H1032" i="14"/>
  <c r="H1030" i="14" s="1"/>
  <c r="H1029" i="14"/>
  <c r="G1029" i="14"/>
  <c r="B1029" i="14"/>
  <c r="H1028" i="14"/>
  <c r="H1026" i="14" s="1"/>
  <c r="H1010" i="14"/>
  <c r="G1010" i="14"/>
  <c r="B1010" i="14"/>
  <c r="H979" i="14"/>
  <c r="H977" i="14" s="1"/>
  <c r="H964" i="14"/>
  <c r="H962" i="14" s="1"/>
  <c r="H961" i="14"/>
  <c r="H959" i="14" s="1"/>
  <c r="H952" i="14"/>
  <c r="H950" i="14" s="1"/>
  <c r="H949" i="14"/>
  <c r="G949" i="14"/>
  <c r="B949" i="14"/>
  <c r="H926" i="14"/>
  <c r="G926" i="14"/>
  <c r="B926" i="14"/>
  <c r="H863" i="14"/>
  <c r="G863" i="14"/>
  <c r="B863" i="14"/>
  <c r="H672" i="14"/>
  <c r="G672" i="14"/>
  <c r="B672" i="14"/>
  <c r="H505" i="14"/>
  <c r="G505" i="14"/>
  <c r="B505" i="14"/>
  <c r="G463" i="9"/>
  <c r="G460" i="9"/>
  <c r="G459" i="9"/>
  <c r="G458" i="9"/>
  <c r="G23" i="9"/>
  <c r="G22" i="9"/>
  <c r="E23" i="9"/>
  <c r="E22" i="9"/>
  <c r="E463" i="9"/>
  <c r="E460" i="9"/>
  <c r="E459" i="9"/>
  <c r="E458" i="9"/>
  <c r="H491" i="14"/>
  <c r="G491" i="14"/>
  <c r="B491" i="14"/>
  <c r="H474" i="14"/>
  <c r="H461" i="14"/>
  <c r="G461" i="14"/>
  <c r="B461" i="14"/>
  <c r="H453" i="14"/>
  <c r="H450" i="14"/>
  <c r="H447" i="14"/>
  <c r="H444" i="14"/>
  <c r="H443" i="14"/>
  <c r="G443" i="14"/>
  <c r="B443" i="14"/>
  <c r="H412" i="14"/>
  <c r="H373" i="14"/>
  <c r="G373" i="14"/>
  <c r="B373" i="14"/>
  <c r="H285" i="14"/>
  <c r="G285" i="14"/>
  <c r="B285" i="14"/>
  <c r="H212" i="14"/>
  <c r="H193" i="14"/>
  <c r="G193" i="14"/>
  <c r="B193" i="14"/>
  <c r="H173" i="14"/>
  <c r="G173" i="14"/>
  <c r="B173" i="14"/>
  <c r="H145" i="14"/>
  <c r="H142" i="14" s="1"/>
  <c r="C171" i="14" s="1"/>
  <c r="H171" i="14" s="1"/>
  <c r="C170" i="14"/>
  <c r="H170" i="14" s="1"/>
  <c r="H104" i="14"/>
  <c r="E168" i="14"/>
  <c r="H168" i="14" s="1"/>
  <c r="H38" i="14"/>
  <c r="G38" i="14"/>
  <c r="B38" i="14"/>
  <c r="G89" i="8"/>
  <c r="E89" i="8"/>
  <c r="G450" i="14" s="1"/>
  <c r="D89" i="8"/>
  <c r="B450" i="14" s="1"/>
  <c r="G88" i="8"/>
  <c r="E88" i="8"/>
  <c r="G447" i="14" s="1"/>
  <c r="D88" i="8"/>
  <c r="B447" i="14" s="1"/>
  <c r="B1071" i="14" l="1"/>
  <c r="H1071" i="14" s="1"/>
  <c r="H1069" i="14" s="1"/>
  <c r="H164" i="14"/>
  <c r="G246" i="8"/>
  <c r="E246" i="8"/>
  <c r="G962" i="14" s="1"/>
  <c r="D246" i="8"/>
  <c r="B962" i="14" s="1"/>
  <c r="G180" i="8" l="1"/>
  <c r="E180" i="8"/>
  <c r="G737" i="14" s="1"/>
  <c r="D180" i="8"/>
  <c r="B737" i="14" s="1"/>
  <c r="G151" i="8"/>
  <c r="E151" i="8"/>
  <c r="G647" i="14" s="1"/>
  <c r="D151" i="8"/>
  <c r="B647" i="14" s="1"/>
  <c r="G81" i="8"/>
  <c r="E81" i="8"/>
  <c r="G399" i="14" s="1"/>
  <c r="D81" i="8"/>
  <c r="B399" i="14" s="1"/>
  <c r="G80" i="8"/>
  <c r="E80" i="8"/>
  <c r="G386" i="14" s="1"/>
  <c r="D80" i="8"/>
  <c r="B386" i="14" s="1"/>
  <c r="G73" i="8"/>
  <c r="E73" i="8"/>
  <c r="G346" i="14" s="1"/>
  <c r="D73" i="8"/>
  <c r="B346" i="14" s="1"/>
  <c r="G72" i="8"/>
  <c r="E72" i="8"/>
  <c r="G343" i="14" s="1"/>
  <c r="D72" i="8"/>
  <c r="B343" i="14" s="1"/>
  <c r="H366" i="14" s="1"/>
  <c r="G26" i="8"/>
  <c r="E26" i="8"/>
  <c r="D26" i="8"/>
  <c r="G20" i="8"/>
  <c r="E20" i="8"/>
  <c r="G52" i="14" s="1"/>
  <c r="D20" i="8"/>
  <c r="B52" i="14" s="1"/>
  <c r="G24" i="8"/>
  <c r="E24" i="8"/>
  <c r="G99" i="14" s="1"/>
  <c r="D24" i="8"/>
  <c r="B99" i="14" s="1"/>
  <c r="G22" i="8"/>
  <c r="E22" i="8"/>
  <c r="G81" i="14" s="1"/>
  <c r="D22" i="8"/>
  <c r="B81" i="14" s="1"/>
  <c r="G93" i="8"/>
  <c r="E93" i="8"/>
  <c r="G462" i="14" s="1"/>
  <c r="D93" i="8"/>
  <c r="B462" i="14" s="1"/>
  <c r="G91" i="8"/>
  <c r="E91" i="8"/>
  <c r="D91" i="8"/>
  <c r="G87" i="8"/>
  <c r="E87" i="8"/>
  <c r="G444" i="14" s="1"/>
  <c r="D87" i="8"/>
  <c r="B444" i="14" s="1"/>
  <c r="G28" i="8"/>
  <c r="E28" i="8"/>
  <c r="G115" i="14" s="1"/>
  <c r="D28" i="8"/>
  <c r="B115" i="14" s="1"/>
  <c r="G245" i="8"/>
  <c r="E245" i="8"/>
  <c r="G959" i="14" s="1"/>
  <c r="D245" i="8"/>
  <c r="B959" i="14" s="1"/>
  <c r="G242" i="8"/>
  <c r="E242" i="8"/>
  <c r="G950" i="14" s="1"/>
  <c r="D242" i="8"/>
  <c r="B950" i="14" s="1"/>
  <c r="G239" i="8"/>
  <c r="E239" i="8"/>
  <c r="G927" i="14" s="1"/>
  <c r="D239" i="8"/>
  <c r="B927" i="14" s="1"/>
  <c r="G284" i="8"/>
  <c r="E284" i="8"/>
  <c r="D284" i="8"/>
  <c r="G76" i="8"/>
  <c r="E76" i="8"/>
  <c r="G369" i="14" s="1"/>
  <c r="D76" i="8"/>
  <c r="B369" i="14" s="1"/>
  <c r="G71" i="8"/>
  <c r="E71" i="8"/>
  <c r="G337" i="14" s="1"/>
  <c r="D71" i="8"/>
  <c r="B337" i="14" s="1"/>
  <c r="G69" i="8"/>
  <c r="E69" i="8"/>
  <c r="G314" i="14" s="1"/>
  <c r="D69" i="8"/>
  <c r="B314" i="14" s="1"/>
  <c r="G68" i="8"/>
  <c r="E68" i="8"/>
  <c r="G305" i="14" s="1"/>
  <c r="D68" i="8"/>
  <c r="B305" i="14" s="1"/>
  <c r="E297" i="8"/>
  <c r="G1137" i="14" s="1"/>
  <c r="E295" i="8"/>
  <c r="G1130" i="14" s="1"/>
  <c r="E293" i="8"/>
  <c r="G1126" i="14" s="1"/>
  <c r="E292" i="8"/>
  <c r="G1120" i="14" s="1"/>
  <c r="E291" i="8"/>
  <c r="G1114" i="14" s="1"/>
  <c r="E282" i="8"/>
  <c r="E280" i="8"/>
  <c r="G1062" i="14" s="1"/>
  <c r="E279" i="8"/>
  <c r="G1057" i="14" s="1"/>
  <c r="E278" i="8"/>
  <c r="G1052" i="14" s="1"/>
  <c r="E35" i="8"/>
  <c r="G149" i="14" s="1"/>
  <c r="G1039" i="14"/>
  <c r="G1026" i="14"/>
  <c r="E179" i="8"/>
  <c r="G734" i="14" s="1"/>
  <c r="E103" i="8"/>
  <c r="E98" i="8"/>
  <c r="G492" i="14" s="1"/>
  <c r="E100" i="8"/>
  <c r="G424" i="14"/>
  <c r="E78" i="8"/>
  <c r="G374" i="14" s="1"/>
  <c r="E64" i="8"/>
  <c r="G286" i="14" s="1"/>
  <c r="G252" i="14"/>
  <c r="E50" i="8"/>
  <c r="G240" i="14" s="1"/>
  <c r="E49" i="8"/>
  <c r="G229" i="14" s="1"/>
  <c r="E48" i="8"/>
  <c r="G222" i="14" s="1"/>
  <c r="E47" i="8"/>
  <c r="G212" i="14" s="1"/>
  <c r="E46" i="8"/>
  <c r="G200" i="14" s="1"/>
  <c r="E45" i="8"/>
  <c r="G194" i="14" s="1"/>
  <c r="E43" i="8"/>
  <c r="G187" i="14" s="1"/>
  <c r="E42" i="8"/>
  <c r="G181" i="14" s="1"/>
  <c r="E41" i="8"/>
  <c r="G174" i="14" s="1"/>
  <c r="E39" i="8"/>
  <c r="E33" i="8"/>
  <c r="G142" i="14" s="1"/>
  <c r="E31" i="8"/>
  <c r="G126" i="14" s="1"/>
  <c r="E25" i="8"/>
  <c r="G104" i="14" s="1"/>
  <c r="E23" i="8"/>
  <c r="G89" i="14" s="1"/>
  <c r="E21" i="8"/>
  <c r="G62" i="14" s="1"/>
  <c r="E17" i="8"/>
  <c r="G39" i="14" s="1"/>
  <c r="E13" i="8"/>
  <c r="E12" i="8"/>
  <c r="E10" i="8"/>
  <c r="E9" i="8"/>
  <c r="E8" i="8"/>
  <c r="E7" i="8"/>
  <c r="G297" i="8"/>
  <c r="G295" i="8"/>
  <c r="G293" i="8"/>
  <c r="G292" i="8"/>
  <c r="G291" i="8"/>
  <c r="G282" i="8"/>
  <c r="G280" i="8"/>
  <c r="G279" i="8"/>
  <c r="G278" i="8"/>
  <c r="G35" i="8"/>
  <c r="G179" i="8"/>
  <c r="G103" i="8"/>
  <c r="G98" i="8"/>
  <c r="G100" i="8"/>
  <c r="G78" i="8"/>
  <c r="G64" i="8"/>
  <c r="G50" i="8"/>
  <c r="G49" i="8"/>
  <c r="G48" i="8"/>
  <c r="G47" i="8"/>
  <c r="G46" i="8"/>
  <c r="G45" i="8"/>
  <c r="G43" i="8"/>
  <c r="G42" i="8"/>
  <c r="G41" i="8"/>
  <c r="G39" i="8"/>
  <c r="G33" i="8"/>
  <c r="G31" i="8"/>
  <c r="G25" i="8"/>
  <c r="G23" i="8"/>
  <c r="G21" i="8"/>
  <c r="G17" i="8"/>
  <c r="G13" i="8"/>
  <c r="G12" i="8"/>
  <c r="G10" i="8"/>
  <c r="G9" i="8"/>
  <c r="G8" i="8"/>
  <c r="G7" i="8"/>
  <c r="D50" i="8"/>
  <c r="B240" i="14" s="1"/>
  <c r="D48" i="8"/>
  <c r="B222" i="14" s="1"/>
  <c r="D297" i="8"/>
  <c r="B1137" i="14" s="1"/>
  <c r="D295" i="8"/>
  <c r="B1130" i="14" s="1"/>
  <c r="D293" i="8"/>
  <c r="B1126" i="14" s="1"/>
  <c r="D292" i="8"/>
  <c r="B1120" i="14" s="1"/>
  <c r="D291" i="8"/>
  <c r="B1114" i="14" s="1"/>
  <c r="H1119" i="14" s="1"/>
  <c r="H1114" i="14" s="1"/>
  <c r="D282" i="8"/>
  <c r="D280" i="8"/>
  <c r="B1062" i="14" s="1"/>
  <c r="D279" i="8"/>
  <c r="B1057" i="14" s="1"/>
  <c r="D278" i="8"/>
  <c r="B1052" i="14" s="1"/>
  <c r="D35" i="8"/>
  <c r="B149" i="14" s="1"/>
  <c r="D268" i="8"/>
  <c r="B1026" i="14" s="1"/>
  <c r="D179" i="8"/>
  <c r="B734" i="14" s="1"/>
  <c r="D103" i="8"/>
  <c r="D98" i="8"/>
  <c r="B492" i="14" s="1"/>
  <c r="D100" i="8"/>
  <c r="B424" i="14"/>
  <c r="D78" i="8"/>
  <c r="B374" i="14" s="1"/>
  <c r="D64" i="8"/>
  <c r="B286" i="14" s="1"/>
  <c r="B252" i="14"/>
  <c r="D49" i="8"/>
  <c r="B229" i="14" s="1"/>
  <c r="D47" i="8"/>
  <c r="B212" i="14" s="1"/>
  <c r="D46" i="8"/>
  <c r="B200" i="14" s="1"/>
  <c r="D45" i="8"/>
  <c r="B194" i="14" s="1"/>
  <c r="D43" i="8"/>
  <c r="B187" i="14" s="1"/>
  <c r="D42" i="8"/>
  <c r="B181" i="14" s="1"/>
  <c r="D41" i="8"/>
  <c r="B174" i="14" s="1"/>
  <c r="D39" i="8"/>
  <c r="D33" i="8"/>
  <c r="B142" i="14" s="1"/>
  <c r="D31" i="8"/>
  <c r="B126" i="14" s="1"/>
  <c r="D25" i="8"/>
  <c r="B104" i="14" s="1"/>
  <c r="B89" i="14"/>
  <c r="D21" i="8"/>
  <c r="B62" i="14" s="1"/>
  <c r="H314" i="14" s="1"/>
  <c r="B345" i="14" s="1"/>
  <c r="D17" i="8"/>
  <c r="B39" i="14" s="1"/>
  <c r="D13" i="8"/>
  <c r="D12" i="8"/>
  <c r="D10" i="8"/>
  <c r="D9" i="8"/>
  <c r="D8" i="8"/>
  <c r="D7" i="8"/>
  <c r="G1066" i="14" l="1"/>
  <c r="G1069" i="14"/>
  <c r="B1066" i="14"/>
  <c r="B1069" i="14"/>
  <c r="G1076" i="14"/>
  <c r="G1073" i="14"/>
  <c r="B1076" i="14"/>
  <c r="B1073" i="14"/>
  <c r="B740" i="14"/>
  <c r="G740" i="14"/>
  <c r="G498" i="14"/>
  <c r="G502" i="14"/>
  <c r="B498" i="14"/>
  <c r="B502" i="14"/>
  <c r="H345" i="14"/>
  <c r="H343" i="14" s="1"/>
  <c r="B938" i="14" s="1"/>
  <c r="H938" i="14" s="1"/>
  <c r="H934" i="14" s="1"/>
  <c r="H368" i="14"/>
  <c r="H360" i="14" s="1"/>
  <c r="G507" i="14"/>
  <c r="B507" i="14"/>
  <c r="G743" i="14"/>
  <c r="G749" i="14"/>
  <c r="B743" i="14"/>
  <c r="B749" i="14"/>
  <c r="B731" i="14"/>
  <c r="B683" i="14"/>
  <c r="G731" i="14"/>
  <c r="G683" i="14"/>
  <c r="B111" i="14"/>
  <c r="B107" i="14"/>
  <c r="G111" i="14"/>
  <c r="G107" i="14"/>
  <c r="B416" i="14"/>
  <c r="G416" i="14"/>
  <c r="G244" i="14"/>
  <c r="B244" i="14"/>
  <c r="B164" i="14"/>
  <c r="G164" i="14"/>
  <c r="B884" i="14"/>
  <c r="G884" i="14"/>
  <c r="B934" i="14"/>
  <c r="G934" i="14"/>
  <c r="B1081" i="14"/>
  <c r="G1081" i="14"/>
  <c r="B1039" i="14"/>
  <c r="B1042" i="14"/>
  <c r="B977" i="14"/>
  <c r="B992" i="14"/>
  <c r="G977" i="14"/>
  <c r="G992" i="14"/>
  <c r="B453" i="14"/>
  <c r="B456" i="14"/>
  <c r="G453" i="14"/>
  <c r="G456" i="14"/>
  <c r="D465" i="9"/>
  <c r="D463" i="9"/>
  <c r="D460" i="9"/>
  <c r="D23" i="9"/>
  <c r="D22" i="9"/>
  <c r="H35" i="14" l="1"/>
  <c r="H32" i="14"/>
  <c r="H31" i="14"/>
  <c r="H29" i="14" s="1"/>
  <c r="H28" i="14"/>
  <c r="H26" i="14"/>
  <c r="H20" i="14"/>
  <c r="H18" i="14" s="1"/>
  <c r="H17" i="14"/>
  <c r="H15" i="14" s="1"/>
  <c r="H24" i="14" l="1"/>
  <c r="H8" i="14"/>
  <c r="G32" i="14"/>
  <c r="B32" i="14"/>
  <c r="G35" i="14" l="1"/>
  <c r="B35" i="14"/>
  <c r="G29" i="14"/>
  <c r="B29" i="14"/>
  <c r="H465" i="9" l="1"/>
  <c r="G24" i="14" l="1"/>
  <c r="B24" i="14"/>
  <c r="H463" i="9" l="1"/>
  <c r="H460" i="9"/>
  <c r="H459" i="9"/>
  <c r="H458" i="9"/>
  <c r="G18" i="14"/>
  <c r="B18" i="14"/>
  <c r="H456" i="9" l="1"/>
  <c r="H22" i="9"/>
  <c r="G15" i="14"/>
  <c r="B15" i="14"/>
  <c r="H23" i="9" l="1"/>
  <c r="G8" i="14" l="1"/>
  <c r="B8" i="14"/>
  <c r="H7" i="14" l="1"/>
  <c r="A5" i="14"/>
  <c r="A6" i="10"/>
  <c r="D452" i="9" l="1"/>
  <c r="E452" i="9"/>
  <c r="F65" i="8"/>
  <c r="F266" i="8"/>
  <c r="F38" i="8"/>
  <c r="F156" i="8"/>
  <c r="F36" i="8"/>
  <c r="F157" i="8"/>
  <c r="F95" i="8"/>
  <c r="F216" i="8"/>
  <c r="F260" i="8"/>
  <c r="F85" i="8"/>
  <c r="F84" i="8"/>
  <c r="F214" i="8"/>
  <c r="F15" i="8"/>
  <c r="F14" i="8"/>
  <c r="F217" i="8"/>
  <c r="F215" i="8"/>
  <c r="F213" i="8"/>
  <c r="F201" i="8"/>
  <c r="F281" i="8"/>
  <c r="F199" i="8"/>
  <c r="F163" i="8"/>
  <c r="F198" i="8"/>
  <c r="F200" i="8"/>
  <c r="F196" i="8"/>
  <c r="F197" i="8"/>
  <c r="F202" i="8"/>
  <c r="F195" i="8"/>
  <c r="F193" i="8"/>
  <c r="F194" i="8"/>
  <c r="F186" i="8"/>
  <c r="F185" i="8"/>
  <c r="F176" i="8"/>
  <c r="F175" i="8"/>
  <c r="F173" i="8"/>
  <c r="F174" i="8"/>
  <c r="F170" i="8"/>
  <c r="F169" i="8"/>
  <c r="F172" i="8"/>
  <c r="F171" i="8"/>
  <c r="F165" i="8"/>
  <c r="F166" i="8"/>
  <c r="F190" i="8"/>
  <c r="F168" i="8"/>
  <c r="F177" i="8"/>
  <c r="F167" i="8"/>
  <c r="F296" i="8"/>
  <c r="F11" i="8"/>
  <c r="F154" i="8"/>
  <c r="F155" i="8"/>
  <c r="F152" i="8"/>
  <c r="F153" i="8"/>
  <c r="F212" i="8"/>
  <c r="F150" i="8"/>
  <c r="F148" i="8"/>
  <c r="F147" i="8"/>
  <c r="F142" i="8"/>
  <c r="F143" i="8"/>
  <c r="F144" i="8"/>
  <c r="F133" i="8"/>
  <c r="F138" i="8"/>
  <c r="F137" i="8"/>
  <c r="F140" i="8"/>
  <c r="F139" i="8"/>
  <c r="F128" i="8"/>
  <c r="F127" i="8"/>
  <c r="F126" i="8"/>
  <c r="F129" i="8"/>
  <c r="F124" i="8"/>
  <c r="F130" i="8"/>
  <c r="F123" i="8"/>
  <c r="F132" i="8"/>
  <c r="F131" i="8"/>
  <c r="F134" i="8"/>
  <c r="F136" i="8"/>
  <c r="F141" i="8"/>
  <c r="F145" i="8"/>
  <c r="F149" i="8"/>
  <c r="F146" i="8"/>
  <c r="F116" i="8"/>
  <c r="F117" i="8"/>
  <c r="F119" i="8"/>
  <c r="F118" i="8"/>
  <c r="F111" i="8"/>
  <c r="F110" i="8"/>
  <c r="F113" i="8"/>
  <c r="F112" i="8"/>
  <c r="F115" i="8"/>
  <c r="F114" i="8"/>
  <c r="F105" i="8"/>
  <c r="F104" i="8"/>
  <c r="F107" i="8"/>
  <c r="F106" i="8"/>
  <c r="F120" i="8"/>
  <c r="F108" i="8"/>
  <c r="F109" i="8"/>
  <c r="F285" i="8"/>
  <c r="F121" i="8"/>
  <c r="F210" i="8"/>
  <c r="F211" i="8"/>
  <c r="F191" i="8"/>
  <c r="F209" i="8"/>
  <c r="F161" i="8"/>
  <c r="F160" i="8"/>
  <c r="F162" i="8"/>
  <c r="F189" i="8"/>
  <c r="F192" i="8"/>
  <c r="F182" i="8"/>
  <c r="F181" i="8"/>
  <c r="F183" i="8"/>
  <c r="F184" i="8"/>
  <c r="A15" i="10"/>
  <c r="A25" i="10" s="1"/>
  <c r="A35" i="10" s="1"/>
  <c r="D208" i="9" s="1"/>
  <c r="F258" i="8"/>
  <c r="F236" i="8"/>
  <c r="F257" i="8"/>
  <c r="F259" i="8"/>
  <c r="F250" i="8"/>
  <c r="F256" i="8"/>
  <c r="F18" i="8"/>
  <c r="F244" i="8"/>
  <c r="F99" i="8"/>
  <c r="F19" i="8"/>
  <c r="F66" i="8"/>
  <c r="F74" i="8"/>
  <c r="F122" i="8"/>
  <c r="F235" i="8"/>
  <c r="F208" i="8"/>
  <c r="F221" i="8"/>
  <c r="F207" i="8"/>
  <c r="F206" i="8"/>
  <c r="F188" i="8"/>
  <c r="F204" i="8"/>
  <c r="F218" i="8"/>
  <c r="F205" i="8"/>
  <c r="F164" i="8"/>
  <c r="F233" i="8"/>
  <c r="F178" i="8"/>
  <c r="F229" i="8"/>
  <c r="F234" i="8"/>
  <c r="F227" i="8"/>
  <c r="F230" i="8"/>
  <c r="F222" i="8"/>
  <c r="F220" i="8"/>
  <c r="F224" i="8"/>
  <c r="F225" i="8"/>
  <c r="F237" i="8"/>
  <c r="F232" i="8"/>
  <c r="F55" i="8"/>
  <c r="F83" i="8"/>
  <c r="F53" i="8"/>
  <c r="F54" i="8"/>
  <c r="F52" i="8"/>
  <c r="F61" i="8"/>
  <c r="F34" i="8"/>
  <c r="E453" i="9"/>
  <c r="D453" i="9"/>
  <c r="F264" i="8"/>
  <c r="F265" i="8"/>
  <c r="F263" i="8"/>
  <c r="F267" i="8"/>
  <c r="F37" i="8"/>
  <c r="F60" i="8"/>
  <c r="F79" i="8"/>
  <c r="F231" i="8"/>
  <c r="F252" i="8"/>
  <c r="F249" i="8"/>
  <c r="F248" i="8"/>
  <c r="F82" i="8"/>
  <c r="F27" i="8"/>
  <c r="F228" i="8"/>
  <c r="F67" i="8"/>
  <c r="F51" i="8"/>
  <c r="F275" i="8"/>
  <c r="F59" i="8"/>
  <c r="F32" i="8"/>
  <c r="F58" i="8"/>
  <c r="F254" i="8"/>
  <c r="F57" i="8"/>
  <c r="F62" i="8"/>
  <c r="F30" i="8"/>
  <c r="F255" i="8"/>
  <c r="F253" i="8"/>
  <c r="F247" i="8"/>
  <c r="F29" i="8"/>
  <c r="F274" i="8"/>
  <c r="F243" i="8"/>
  <c r="F226" i="8"/>
  <c r="F287" i="8"/>
  <c r="F75" i="8"/>
  <c r="F70" i="8"/>
  <c r="F240" i="8"/>
  <c r="F268" i="8"/>
  <c r="F273" i="8"/>
  <c r="F286" i="8"/>
  <c r="F272" i="8"/>
  <c r="F290" i="8"/>
  <c r="F251" i="8"/>
  <c r="F90" i="8"/>
  <c r="E27" i="9"/>
  <c r="D27" i="9"/>
  <c r="F88" i="8"/>
  <c r="F89" i="8"/>
  <c r="F187" i="8"/>
  <c r="F246" i="8"/>
  <c r="F151" i="8"/>
  <c r="F180" i="8"/>
  <c r="F80" i="8"/>
  <c r="F81" i="8"/>
  <c r="F72" i="8"/>
  <c r="F73" i="8"/>
  <c r="F20" i="8"/>
  <c r="F26" i="8"/>
  <c r="F22" i="8"/>
  <c r="F24" i="8"/>
  <c r="F93" i="8"/>
  <c r="F96" i="8"/>
  <c r="F94" i="8"/>
  <c r="F28" i="8"/>
  <c r="F91" i="8"/>
  <c r="F87" i="8"/>
  <c r="F242" i="8"/>
  <c r="F261" i="8"/>
  <c r="F245" i="8"/>
  <c r="F239" i="8"/>
  <c r="F284" i="8"/>
  <c r="F69" i="8"/>
  <c r="F76" i="8"/>
  <c r="F71" i="8"/>
  <c r="F68" i="8"/>
  <c r="F50" i="8"/>
  <c r="F39" i="8"/>
  <c r="F48" i="8"/>
  <c r="F271" i="8"/>
  <c r="F278" i="8"/>
  <c r="F291" i="8"/>
  <c r="F292" i="8"/>
  <c r="F293" i="8"/>
  <c r="F289" i="8"/>
  <c r="F276" i="8"/>
  <c r="F270" i="8"/>
  <c r="F282" i="8"/>
  <c r="F280" i="8"/>
  <c r="F35" i="8"/>
  <c r="F279" i="8"/>
  <c r="F223" i="8"/>
  <c r="F33" i="8"/>
  <c r="F31" i="8"/>
  <c r="F25" i="8"/>
  <c r="F21" i="8"/>
  <c r="F23" i="8"/>
  <c r="F17" i="8"/>
  <c r="F159" i="8"/>
  <c r="F179" i="8"/>
  <c r="F103" i="8"/>
  <c r="F78" i="8"/>
  <c r="F100" i="8"/>
  <c r="F98" i="8"/>
  <c r="F297" i="8"/>
  <c r="F13" i="8"/>
  <c r="F295" i="8"/>
  <c r="F12" i="8"/>
  <c r="F10" i="8"/>
  <c r="F42" i="8"/>
  <c r="F46" i="8"/>
  <c r="F9" i="8"/>
  <c r="F43" i="8"/>
  <c r="F41" i="8"/>
  <c r="F64" i="8"/>
  <c r="F49" i="8"/>
  <c r="F8" i="8"/>
  <c r="F47" i="8"/>
  <c r="F45" i="8"/>
  <c r="G5" i="14"/>
  <c r="B3" i="10"/>
  <c r="C3" i="9"/>
  <c r="C3" i="8"/>
  <c r="A45" i="10" l="1"/>
  <c r="G121" i="9" s="1"/>
  <c r="H121" i="9" s="1"/>
  <c r="H119" i="9" s="1"/>
  <c r="G192" i="9"/>
  <c r="H192" i="9" s="1"/>
  <c r="H190" i="9" s="1"/>
  <c r="E208" i="9"/>
  <c r="E183" i="9"/>
  <c r="G183" i="9"/>
  <c r="H183" i="9" s="1"/>
  <c r="H181" i="9" s="1"/>
  <c r="E192" i="9"/>
  <c r="D183" i="9"/>
  <c r="D192" i="9"/>
  <c r="G208" i="9"/>
  <c r="H208" i="9" s="1"/>
  <c r="H206" i="9" s="1"/>
  <c r="B2" i="10"/>
  <c r="C2" i="8"/>
  <c r="G4" i="14"/>
  <c r="A54" i="10" l="1"/>
  <c r="D121" i="9"/>
  <c r="E121" i="9"/>
  <c r="B8" i="16"/>
  <c r="E12" i="10"/>
  <c r="H4" i="14"/>
  <c r="B4" i="14"/>
  <c r="B6" i="16"/>
  <c r="E223" i="9" l="1"/>
  <c r="G223" i="9"/>
  <c r="H223" i="9" s="1"/>
  <c r="H221" i="9" s="1"/>
  <c r="A63" i="10"/>
  <c r="D216" i="9" s="1"/>
  <c r="D223" i="9"/>
  <c r="B5" i="14"/>
  <c r="A72" i="10" l="1"/>
  <c r="G200" i="9" s="1"/>
  <c r="H200" i="9" s="1"/>
  <c r="H198" i="9" s="1"/>
  <c r="E216" i="9"/>
  <c r="G216" i="9"/>
  <c r="H216" i="9" s="1"/>
  <c r="H214" i="9" s="1"/>
  <c r="R40" i="16"/>
  <c r="R12" i="16"/>
  <c r="R10" i="16"/>
  <c r="R8" i="16"/>
  <c r="R6" i="16"/>
  <c r="B10" i="16"/>
  <c r="B12" i="16"/>
  <c r="E5" i="16"/>
  <c r="F5" i="16" s="1"/>
  <c r="G5" i="16" s="1"/>
  <c r="H5" i="16" s="1"/>
  <c r="I5" i="16" s="1"/>
  <c r="J5" i="16" s="1"/>
  <c r="K5" i="16" s="1"/>
  <c r="L5" i="16" s="1"/>
  <c r="M5" i="16" s="1"/>
  <c r="N5" i="16" s="1"/>
  <c r="O5" i="16" s="1"/>
  <c r="P5" i="16" s="1"/>
  <c r="A12" i="7"/>
  <c r="B16" i="7"/>
  <c r="B15" i="7"/>
  <c r="D200" i="9" l="1"/>
  <c r="E200" i="9"/>
  <c r="B40" i="16"/>
  <c r="H5" i="14" l="1"/>
  <c r="F7" i="8" s="1"/>
  <c r="C3" i="16" l="1"/>
  <c r="C2" i="16"/>
  <c r="C2" i="9"/>
  <c r="B3" i="14"/>
  <c r="B2" i="14"/>
  <c r="E11" i="10" l="1"/>
  <c r="E6" i="10" s="1"/>
  <c r="G452" i="9" s="1"/>
  <c r="H452" i="9" s="1"/>
  <c r="G27" i="9" l="1"/>
  <c r="H27" i="9" s="1"/>
  <c r="H19" i="9" s="1"/>
  <c r="G453" i="9"/>
  <c r="H453" i="9" s="1"/>
  <c r="H448" i="9" s="1"/>
  <c r="C12" i="7"/>
  <c r="B12" i="7"/>
  <c r="A34" i="6"/>
  <c r="A31" i="6"/>
  <c r="C27" i="6"/>
  <c r="J2" i="8" s="1"/>
  <c r="H65" i="8" l="1"/>
  <c r="I65" i="8" s="1"/>
  <c r="H266" i="8"/>
  <c r="I266" i="8" s="1"/>
  <c r="H156" i="8"/>
  <c r="I156" i="8" s="1"/>
  <c r="H36" i="8"/>
  <c r="I36" i="8" s="1"/>
  <c r="H95" i="8"/>
  <c r="I95" i="8" s="1"/>
  <c r="H216" i="8"/>
  <c r="I216" i="8" s="1"/>
  <c r="H85" i="8"/>
  <c r="I85" i="8" s="1"/>
  <c r="H84" i="8"/>
  <c r="I84" i="8" s="1"/>
  <c r="H214" i="8"/>
  <c r="I214" i="8" s="1"/>
  <c r="H14" i="8"/>
  <c r="I14" i="8" s="1"/>
  <c r="H15" i="8"/>
  <c r="I15" i="8" s="1"/>
  <c r="H217" i="8"/>
  <c r="I217" i="8" s="1"/>
  <c r="H213" i="8"/>
  <c r="I213" i="8" s="1"/>
  <c r="H215" i="8"/>
  <c r="I215" i="8" s="1"/>
  <c r="H201" i="8"/>
  <c r="I201" i="8" s="1"/>
  <c r="H281" i="8"/>
  <c r="I281" i="8" s="1"/>
  <c r="H199" i="8"/>
  <c r="I199" i="8" s="1"/>
  <c r="H163" i="8"/>
  <c r="I163" i="8" s="1"/>
  <c r="H198" i="8"/>
  <c r="I198" i="8" s="1"/>
  <c r="H200" i="8"/>
  <c r="I200" i="8" s="1"/>
  <c r="H196" i="8"/>
  <c r="I196" i="8" s="1"/>
  <c r="H197" i="8"/>
  <c r="I197" i="8" s="1"/>
  <c r="H202" i="8"/>
  <c r="I202" i="8" s="1"/>
  <c r="H195" i="8"/>
  <c r="I195" i="8" s="1"/>
  <c r="H194" i="8"/>
  <c r="I194" i="8" s="1"/>
  <c r="H186" i="8"/>
  <c r="I186" i="8" s="1"/>
  <c r="H185" i="8"/>
  <c r="I185" i="8" s="1"/>
  <c r="H175" i="8"/>
  <c r="I175" i="8" s="1"/>
  <c r="H176" i="8"/>
  <c r="I176" i="8" s="1"/>
  <c r="H173" i="8"/>
  <c r="I173" i="8" s="1"/>
  <c r="H174" i="8"/>
  <c r="I174" i="8" s="1"/>
  <c r="H170" i="8"/>
  <c r="I170" i="8" s="1"/>
  <c r="H169" i="8"/>
  <c r="I169" i="8" s="1"/>
  <c r="H171" i="8"/>
  <c r="I171" i="8" s="1"/>
  <c r="H172" i="8"/>
  <c r="I172" i="8" s="1"/>
  <c r="H165" i="8"/>
  <c r="I165" i="8" s="1"/>
  <c r="H166" i="8"/>
  <c r="I166" i="8" s="1"/>
  <c r="H168" i="8"/>
  <c r="I168" i="8" s="1"/>
  <c r="H177" i="8"/>
  <c r="I177" i="8" s="1"/>
  <c r="H167" i="8"/>
  <c r="I167" i="8" s="1"/>
  <c r="H296" i="8"/>
  <c r="I296" i="8" s="1"/>
  <c r="H11" i="8"/>
  <c r="I11" i="8" s="1"/>
  <c r="H154" i="8"/>
  <c r="I154" i="8" s="1"/>
  <c r="H155" i="8"/>
  <c r="I155" i="8" s="1"/>
  <c r="H152" i="8"/>
  <c r="I152" i="8" s="1"/>
  <c r="H153" i="8"/>
  <c r="I153" i="8" s="1"/>
  <c r="H212" i="8"/>
  <c r="I212" i="8" s="1"/>
  <c r="H148" i="8"/>
  <c r="I148" i="8" s="1"/>
  <c r="H147" i="8"/>
  <c r="I147" i="8" s="1"/>
  <c r="H144" i="8"/>
  <c r="I144" i="8" s="1"/>
  <c r="H143" i="8"/>
  <c r="I143" i="8" s="1"/>
  <c r="H139" i="8"/>
  <c r="I139" i="8" s="1"/>
  <c r="H137" i="8"/>
  <c r="I137" i="8" s="1"/>
  <c r="H138" i="8"/>
  <c r="I138" i="8" s="1"/>
  <c r="H140" i="8"/>
  <c r="I140" i="8" s="1"/>
  <c r="H126" i="8"/>
  <c r="I126" i="8" s="1"/>
  <c r="H127" i="8"/>
  <c r="I127" i="8" s="1"/>
  <c r="H124" i="8"/>
  <c r="I124" i="8" s="1"/>
  <c r="H123" i="8"/>
  <c r="I123" i="8" s="1"/>
  <c r="H128" i="8"/>
  <c r="I128" i="8" s="1"/>
  <c r="H130" i="8"/>
  <c r="I130" i="8" s="1"/>
  <c r="H131" i="8"/>
  <c r="I131" i="8" s="1"/>
  <c r="H134" i="8"/>
  <c r="I134" i="8" s="1"/>
  <c r="H132" i="8"/>
  <c r="I132" i="8" s="1"/>
  <c r="H136" i="8"/>
  <c r="I136" i="8" s="1"/>
  <c r="H141" i="8"/>
  <c r="I141" i="8" s="1"/>
  <c r="H145" i="8"/>
  <c r="I145" i="8" s="1"/>
  <c r="H149" i="8"/>
  <c r="I149" i="8" s="1"/>
  <c r="H146" i="8"/>
  <c r="I146" i="8" s="1"/>
  <c r="H116" i="8"/>
  <c r="I116" i="8" s="1"/>
  <c r="H117" i="8"/>
  <c r="I117" i="8" s="1"/>
  <c r="H118" i="8"/>
  <c r="I118" i="8" s="1"/>
  <c r="H119" i="8"/>
  <c r="I119" i="8" s="1"/>
  <c r="H112" i="8"/>
  <c r="I112" i="8" s="1"/>
  <c r="H110" i="8"/>
  <c r="I110" i="8" s="1"/>
  <c r="H111" i="8"/>
  <c r="I111" i="8" s="1"/>
  <c r="H113" i="8"/>
  <c r="I113" i="8" s="1"/>
  <c r="H114" i="8"/>
  <c r="I114" i="8" s="1"/>
  <c r="H115" i="8"/>
  <c r="I115" i="8" s="1"/>
  <c r="H104" i="8"/>
  <c r="I104" i="8" s="1"/>
  <c r="H106" i="8"/>
  <c r="I106" i="8" s="1"/>
  <c r="H105" i="8"/>
  <c r="I105" i="8" s="1"/>
  <c r="H107" i="8"/>
  <c r="I107" i="8" s="1"/>
  <c r="H120" i="8"/>
  <c r="I120" i="8" s="1"/>
  <c r="H108" i="8"/>
  <c r="I108" i="8" s="1"/>
  <c r="H109" i="8"/>
  <c r="I109" i="8" s="1"/>
  <c r="H285" i="8"/>
  <c r="I285" i="8" s="1"/>
  <c r="H121" i="8"/>
  <c r="I121" i="8" s="1"/>
  <c r="H210" i="8"/>
  <c r="I210" i="8" s="1"/>
  <c r="H211" i="8"/>
  <c r="I211" i="8" s="1"/>
  <c r="H209" i="8"/>
  <c r="I209" i="8" s="1"/>
  <c r="H161" i="8"/>
  <c r="I161" i="8" s="1"/>
  <c r="H160" i="8"/>
  <c r="I160" i="8" s="1"/>
  <c r="H162" i="8"/>
  <c r="I162" i="8" s="1"/>
  <c r="H182" i="8"/>
  <c r="I182" i="8" s="1"/>
  <c r="H181" i="8"/>
  <c r="I181" i="8" s="1"/>
  <c r="H184" i="8"/>
  <c r="I184" i="8" s="1"/>
  <c r="H183" i="8"/>
  <c r="I183" i="8" s="1"/>
  <c r="H236" i="8"/>
  <c r="I236" i="8" s="1"/>
  <c r="H257" i="8"/>
  <c r="I257" i="8" s="1"/>
  <c r="H250" i="8"/>
  <c r="I250" i="8" s="1"/>
  <c r="H256" i="8"/>
  <c r="I256" i="8" s="1"/>
  <c r="H18" i="8"/>
  <c r="I18" i="8" s="1"/>
  <c r="H244" i="8"/>
  <c r="I244" i="8" s="1"/>
  <c r="H99" i="8"/>
  <c r="I99" i="8" s="1"/>
  <c r="H19" i="8"/>
  <c r="I19" i="8" s="1"/>
  <c r="H66" i="8"/>
  <c r="I66" i="8" s="1"/>
  <c r="H74" i="8"/>
  <c r="I74" i="8" s="1"/>
  <c r="H208" i="8"/>
  <c r="I208" i="8" s="1"/>
  <c r="H221" i="8"/>
  <c r="I221" i="8" s="1"/>
  <c r="H207" i="8"/>
  <c r="I207" i="8" s="1"/>
  <c r="H206" i="8"/>
  <c r="I206" i="8" s="1"/>
  <c r="H205" i="8"/>
  <c r="I205" i="8" s="1"/>
  <c r="H218" i="8"/>
  <c r="I218" i="8" s="1"/>
  <c r="H204" i="8"/>
  <c r="I204" i="8" s="1"/>
  <c r="H164" i="8"/>
  <c r="I164" i="8" s="1"/>
  <c r="H178" i="8"/>
  <c r="I178" i="8" s="1"/>
  <c r="H220" i="8"/>
  <c r="I220" i="8" s="1"/>
  <c r="H237" i="8"/>
  <c r="I237" i="8" s="1"/>
  <c r="H55" i="8"/>
  <c r="I55" i="8" s="1"/>
  <c r="H83" i="8"/>
  <c r="I83" i="8" s="1"/>
  <c r="H53" i="8"/>
  <c r="I53" i="8" s="1"/>
  <c r="H54" i="8"/>
  <c r="I54" i="8" s="1"/>
  <c r="H34" i="8"/>
  <c r="I34" i="8" s="1"/>
  <c r="H264" i="8"/>
  <c r="I264" i="8" s="1"/>
  <c r="H265" i="8"/>
  <c r="I265" i="8" s="1"/>
  <c r="H263" i="8"/>
  <c r="I263" i="8" s="1"/>
  <c r="H267" i="8"/>
  <c r="I267" i="8" s="1"/>
  <c r="H37" i="8"/>
  <c r="I37" i="8" s="1"/>
  <c r="H79" i="8"/>
  <c r="I79" i="8" s="1"/>
  <c r="H252" i="8"/>
  <c r="I252" i="8" s="1"/>
  <c r="H27" i="8"/>
  <c r="I27" i="8" s="1"/>
  <c r="H67" i="8"/>
  <c r="I67" i="8" s="1"/>
  <c r="H51" i="8"/>
  <c r="I51" i="8" s="1"/>
  <c r="H32" i="8"/>
  <c r="I32" i="8" s="1"/>
  <c r="H58" i="8"/>
  <c r="I58" i="8" s="1"/>
  <c r="H255" i="8"/>
  <c r="I255" i="8" s="1"/>
  <c r="H254" i="8"/>
  <c r="I254" i="8" s="1"/>
  <c r="H30" i="8"/>
  <c r="I30" i="8" s="1"/>
  <c r="H29" i="8"/>
  <c r="I29" i="8" s="1"/>
  <c r="H253" i="8"/>
  <c r="I253" i="8" s="1"/>
  <c r="H243" i="8"/>
  <c r="I243" i="8" s="1"/>
  <c r="H274" i="8"/>
  <c r="I274" i="8" s="1"/>
  <c r="H75" i="8"/>
  <c r="I75" i="8" s="1"/>
  <c r="H226" i="8"/>
  <c r="I226" i="8" s="1"/>
  <c r="H240" i="8"/>
  <c r="I240" i="8" s="1"/>
  <c r="H70" i="8"/>
  <c r="I70" i="8" s="1"/>
  <c r="H268" i="8"/>
  <c r="I268" i="8" s="1"/>
  <c r="H273" i="8"/>
  <c r="I273" i="8" s="1"/>
  <c r="H286" i="8"/>
  <c r="I286" i="8" s="1"/>
  <c r="H272" i="8"/>
  <c r="I272" i="8" s="1"/>
  <c r="H290" i="8"/>
  <c r="I290" i="8" s="1"/>
  <c r="H251" i="8"/>
  <c r="I251" i="8" s="1"/>
  <c r="H90" i="8"/>
  <c r="I90" i="8" s="1"/>
  <c r="H88" i="8"/>
  <c r="I88" i="8" s="1"/>
  <c r="H89" i="8"/>
  <c r="I89" i="8" s="1"/>
  <c r="H246" i="8"/>
  <c r="I246" i="8" s="1"/>
  <c r="H151" i="8"/>
  <c r="I151" i="8" s="1"/>
  <c r="H180" i="8"/>
  <c r="I180" i="8" s="1"/>
  <c r="H80" i="8"/>
  <c r="I80" i="8" s="1"/>
  <c r="H81" i="8"/>
  <c r="I81" i="8" s="1"/>
  <c r="H72" i="8"/>
  <c r="I72" i="8" s="1"/>
  <c r="H73" i="8"/>
  <c r="I73" i="8" s="1"/>
  <c r="H20" i="8"/>
  <c r="I20" i="8" s="1"/>
  <c r="H26" i="8"/>
  <c r="I26" i="8" s="1"/>
  <c r="H22" i="8"/>
  <c r="I22" i="8" s="1"/>
  <c r="H24" i="8"/>
  <c r="I24" i="8" s="1"/>
  <c r="H93" i="8"/>
  <c r="I93" i="8" s="1"/>
  <c r="H28" i="8"/>
  <c r="I28" i="8" s="1"/>
  <c r="H87" i="8"/>
  <c r="I87" i="8" s="1"/>
  <c r="H91" i="8"/>
  <c r="I91" i="8" s="1"/>
  <c r="H242" i="8"/>
  <c r="I242" i="8" s="1"/>
  <c r="H245" i="8"/>
  <c r="I245" i="8" s="1"/>
  <c r="H239" i="8"/>
  <c r="I239" i="8" s="1"/>
  <c r="H284" i="8"/>
  <c r="I284" i="8" s="1"/>
  <c r="H76" i="8"/>
  <c r="I76" i="8" s="1"/>
  <c r="H69" i="8"/>
  <c r="I69" i="8" s="1"/>
  <c r="H71" i="8"/>
  <c r="I71" i="8" s="1"/>
  <c r="H68" i="8"/>
  <c r="I68" i="8" s="1"/>
  <c r="H50" i="8"/>
  <c r="I50" i="8" s="1"/>
  <c r="H39" i="8"/>
  <c r="I39" i="8" s="1"/>
  <c r="H48" i="8"/>
  <c r="I48" i="8" s="1"/>
  <c r="H278" i="8"/>
  <c r="I278" i="8" s="1"/>
  <c r="H10" i="8"/>
  <c r="I10" i="8" s="1"/>
  <c r="H291" i="8"/>
  <c r="I291" i="8" s="1"/>
  <c r="H292" i="8"/>
  <c r="I292" i="8" s="1"/>
  <c r="H293" i="8"/>
  <c r="I293" i="8" s="1"/>
  <c r="H282" i="8"/>
  <c r="I282" i="8" s="1"/>
  <c r="H280" i="8"/>
  <c r="I280" i="8" s="1"/>
  <c r="H279" i="8"/>
  <c r="I279" i="8" s="1"/>
  <c r="H35" i="8"/>
  <c r="I35" i="8" s="1"/>
  <c r="H25" i="8"/>
  <c r="I25" i="8" s="1"/>
  <c r="H33" i="8"/>
  <c r="I33" i="8" s="1"/>
  <c r="H31" i="8"/>
  <c r="I31" i="8" s="1"/>
  <c r="H23" i="8"/>
  <c r="I23" i="8" s="1"/>
  <c r="H17" i="8"/>
  <c r="I17" i="8" s="1"/>
  <c r="H21" i="8"/>
  <c r="I21" i="8" s="1"/>
  <c r="H179" i="8"/>
  <c r="I179" i="8" s="1"/>
  <c r="H103" i="8"/>
  <c r="I103" i="8" s="1"/>
  <c r="H78" i="8"/>
  <c r="I78" i="8" s="1"/>
  <c r="H98" i="8"/>
  <c r="I98" i="8" s="1"/>
  <c r="H100" i="8"/>
  <c r="I100" i="8" s="1"/>
  <c r="H297" i="8"/>
  <c r="I297" i="8" s="1"/>
  <c r="H13" i="8"/>
  <c r="I13" i="8" s="1"/>
  <c r="H295" i="8"/>
  <c r="I295" i="8" s="1"/>
  <c r="H12" i="8"/>
  <c r="I12" i="8" s="1"/>
  <c r="H42" i="8"/>
  <c r="I42" i="8" s="1"/>
  <c r="H46" i="8"/>
  <c r="I46" i="8" s="1"/>
  <c r="H9" i="8"/>
  <c r="I9" i="8" s="1"/>
  <c r="H41" i="8"/>
  <c r="I41" i="8" s="1"/>
  <c r="H43" i="8"/>
  <c r="I43" i="8" s="1"/>
  <c r="H64" i="8"/>
  <c r="I64" i="8" s="1"/>
  <c r="H47" i="8"/>
  <c r="I47" i="8" s="1"/>
  <c r="H49" i="8"/>
  <c r="I49" i="8" s="1"/>
  <c r="H45" i="8"/>
  <c r="I45" i="8" s="1"/>
  <c r="H8" i="8"/>
  <c r="I8" i="8" s="1"/>
  <c r="H7" i="8"/>
  <c r="A17" i="7"/>
  <c r="E27" i="6" s="1"/>
  <c r="J263" i="8" l="1"/>
  <c r="J264" i="8"/>
  <c r="I203" i="8"/>
  <c r="J209" i="8" s="1"/>
  <c r="I277" i="8"/>
  <c r="I86" i="8"/>
  <c r="I262" i="8"/>
  <c r="J268" i="8" s="1"/>
  <c r="I63" i="8"/>
  <c r="I238" i="8"/>
  <c r="I97" i="8"/>
  <c r="J99" i="8" s="1"/>
  <c r="I294" i="8"/>
  <c r="J296" i="8" s="1"/>
  <c r="I40" i="8"/>
  <c r="I7" i="8"/>
  <c r="J205" i="8" l="1"/>
  <c r="J213" i="8"/>
  <c r="J207" i="8"/>
  <c r="J216" i="8"/>
  <c r="J212" i="8"/>
  <c r="J211" i="8"/>
  <c r="J267" i="8"/>
  <c r="J208" i="8"/>
  <c r="J206" i="8"/>
  <c r="J204" i="8"/>
  <c r="J266" i="8"/>
  <c r="J218" i="8"/>
  <c r="J215" i="8"/>
  <c r="J265" i="8"/>
  <c r="J214" i="8"/>
  <c r="J217" i="8"/>
  <c r="J210" i="8"/>
  <c r="J74" i="8"/>
  <c r="J65" i="8"/>
  <c r="J281" i="8"/>
  <c r="J67" i="8"/>
  <c r="J66" i="8"/>
  <c r="J70" i="8"/>
  <c r="J75" i="8"/>
  <c r="J240" i="8"/>
  <c r="C25" i="16"/>
  <c r="C49" i="16"/>
  <c r="C43" i="16"/>
  <c r="C35" i="16"/>
  <c r="C31" i="16"/>
  <c r="C17" i="16"/>
  <c r="J98" i="8"/>
  <c r="J100" i="8"/>
  <c r="C39" i="16"/>
  <c r="J239" i="8"/>
  <c r="J72" i="8"/>
  <c r="J73" i="8"/>
  <c r="J76" i="8"/>
  <c r="J71" i="8"/>
  <c r="J69" i="8"/>
  <c r="J68" i="8"/>
  <c r="J295" i="8"/>
  <c r="J297" i="8"/>
  <c r="J43" i="8"/>
  <c r="J42" i="8"/>
  <c r="J41" i="8"/>
  <c r="J64" i="8"/>
  <c r="I6" i="8"/>
  <c r="J15" i="8" l="1"/>
  <c r="J14" i="8"/>
  <c r="J11" i="8"/>
  <c r="G49" i="16"/>
  <c r="F49" i="16"/>
  <c r="K49" i="16"/>
  <c r="E49" i="16"/>
  <c r="J49" i="16"/>
  <c r="D49" i="16"/>
  <c r="I49" i="16"/>
  <c r="H49" i="16"/>
  <c r="G25" i="16"/>
  <c r="F25" i="16"/>
  <c r="I25" i="16"/>
  <c r="K25" i="16"/>
  <c r="E25" i="16"/>
  <c r="H25" i="16"/>
  <c r="J25" i="16"/>
  <c r="D25" i="16"/>
  <c r="M35" i="16"/>
  <c r="I35" i="16"/>
  <c r="H35" i="16"/>
  <c r="G35" i="16"/>
  <c r="K35" i="16"/>
  <c r="D35" i="16"/>
  <c r="F35" i="16"/>
  <c r="E35" i="16"/>
  <c r="J35" i="16"/>
  <c r="G43" i="16"/>
  <c r="F43" i="16"/>
  <c r="K43" i="16"/>
  <c r="E43" i="16"/>
  <c r="H43" i="16"/>
  <c r="J43" i="16"/>
  <c r="D43" i="16"/>
  <c r="I43" i="16"/>
  <c r="I17" i="16"/>
  <c r="E17" i="16"/>
  <c r="H17" i="16"/>
  <c r="K17" i="16"/>
  <c r="G17" i="16"/>
  <c r="D17" i="16"/>
  <c r="F17" i="16"/>
  <c r="J17" i="16"/>
  <c r="N31" i="16"/>
  <c r="G31" i="16"/>
  <c r="F31" i="16"/>
  <c r="I31" i="16"/>
  <c r="K31" i="16"/>
  <c r="E31" i="16"/>
  <c r="H31" i="16"/>
  <c r="J31" i="16"/>
  <c r="D31" i="16"/>
  <c r="M39" i="16"/>
  <c r="K39" i="16"/>
  <c r="E39" i="16"/>
  <c r="G39" i="16"/>
  <c r="J39" i="16"/>
  <c r="D39" i="16"/>
  <c r="I39" i="16"/>
  <c r="H39" i="16"/>
  <c r="F39" i="16"/>
  <c r="N25" i="16"/>
  <c r="M25" i="16"/>
  <c r="L25" i="16"/>
  <c r="O25" i="16"/>
  <c r="P25" i="16"/>
  <c r="N49" i="16"/>
  <c r="L49" i="16"/>
  <c r="M49" i="16"/>
  <c r="P49" i="16"/>
  <c r="O49" i="16"/>
  <c r="M43" i="16"/>
  <c r="O43" i="16"/>
  <c r="N43" i="16"/>
  <c r="P43" i="16"/>
  <c r="L43" i="16"/>
  <c r="O35" i="16"/>
  <c r="P35" i="16"/>
  <c r="L35" i="16"/>
  <c r="N35" i="16"/>
  <c r="M31" i="16"/>
  <c r="L31" i="16"/>
  <c r="O31" i="16"/>
  <c r="L17" i="16"/>
  <c r="M17" i="16"/>
  <c r="O17" i="16"/>
  <c r="P31" i="16"/>
  <c r="P17" i="16"/>
  <c r="N17" i="16"/>
  <c r="L39" i="16"/>
  <c r="P39" i="16"/>
  <c r="O39" i="16"/>
  <c r="N39" i="16"/>
  <c r="J238" i="8"/>
  <c r="J63" i="8"/>
  <c r="J97" i="8"/>
  <c r="J13" i="8"/>
  <c r="J10" i="8"/>
  <c r="J12" i="8"/>
  <c r="J9" i="8"/>
  <c r="J40" i="8"/>
  <c r="J8" i="8"/>
  <c r="J7" i="8"/>
  <c r="C7" i="16"/>
  <c r="I7" i="16" l="1"/>
  <c r="J7" i="16"/>
  <c r="E7" i="16"/>
  <c r="K7" i="16"/>
  <c r="H7" i="16"/>
  <c r="F7" i="16"/>
  <c r="G7" i="16"/>
  <c r="J6" i="8"/>
  <c r="O7" i="16"/>
  <c r="P7" i="16"/>
  <c r="L7" i="16"/>
  <c r="M7" i="16"/>
  <c r="N7" i="16"/>
  <c r="D7" i="16"/>
  <c r="C11" i="16" l="1"/>
  <c r="I11" i="16" l="1"/>
  <c r="H11" i="16"/>
  <c r="K11" i="16"/>
  <c r="G11" i="16"/>
  <c r="E11" i="16"/>
  <c r="D11" i="16"/>
  <c r="F11" i="16"/>
  <c r="J11" i="16"/>
  <c r="O11" i="16" l="1"/>
  <c r="P11" i="16"/>
  <c r="L11" i="16"/>
  <c r="M11" i="16"/>
  <c r="N11" i="16"/>
  <c r="J294" i="8" l="1"/>
  <c r="J88" i="8" l="1"/>
  <c r="J89" i="8"/>
  <c r="J87" i="8"/>
  <c r="J90" i="8"/>
  <c r="J91" i="8"/>
  <c r="C21" i="16"/>
  <c r="K21" i="16" l="1"/>
  <c r="E21" i="16"/>
  <c r="J21" i="16"/>
  <c r="D21" i="16"/>
  <c r="I21" i="16"/>
  <c r="G21" i="16"/>
  <c r="F21" i="16"/>
  <c r="H21" i="16"/>
  <c r="N21" i="16"/>
  <c r="J86" i="8"/>
  <c r="P21" i="16"/>
  <c r="O21" i="16"/>
  <c r="M21" i="16"/>
  <c r="L21" i="16"/>
  <c r="J279" i="8"/>
  <c r="J282" i="8"/>
  <c r="J280" i="8"/>
  <c r="J278" i="8"/>
  <c r="J277" i="8" l="1"/>
  <c r="E52" i="8"/>
  <c r="G248" i="14" s="1"/>
  <c r="G62" i="8"/>
  <c r="H62" i="8" s="1"/>
  <c r="I62" i="8" s="1"/>
  <c r="E59" i="8"/>
  <c r="G272" i="14" s="1"/>
  <c r="E82" i="8"/>
  <c r="G412" i="14" s="1"/>
  <c r="D94" i="8"/>
  <c r="B470" i="14" s="1"/>
  <c r="D52" i="8"/>
  <c r="B248" i="14" s="1"/>
  <c r="D82" i="8"/>
  <c r="B412" i="14" s="1"/>
  <c r="G59" i="8"/>
  <c r="H59" i="8" s="1"/>
  <c r="I59" i="8" s="1"/>
  <c r="D60" i="8"/>
  <c r="B275" i="14" s="1"/>
  <c r="D57" i="8"/>
  <c r="B262" i="14" s="1"/>
  <c r="D62" i="8"/>
  <c r="B282" i="14" s="1"/>
  <c r="E62" i="8"/>
  <c r="G282" i="14" s="1"/>
  <c r="E94" i="8"/>
  <c r="G470" i="14" s="1"/>
  <c r="D61" i="8"/>
  <c r="B279" i="14" s="1"/>
  <c r="G60" i="8"/>
  <c r="H60" i="8" s="1"/>
  <c r="I60" i="8" s="1"/>
  <c r="G82" i="8"/>
  <c r="H82" i="8" s="1"/>
  <c r="I82" i="8" s="1"/>
  <c r="I77" i="8" s="1"/>
  <c r="D59" i="8"/>
  <c r="B272" i="14" s="1"/>
  <c r="G57" i="8"/>
  <c r="H57" i="8" s="1"/>
  <c r="I57" i="8" s="1"/>
  <c r="E61" i="8"/>
  <c r="G279" i="14" s="1"/>
  <c r="E60" i="8"/>
  <c r="G275" i="14" s="1"/>
  <c r="E57" i="8"/>
  <c r="G262" i="14" s="1"/>
  <c r="G61" i="8"/>
  <c r="H61" i="8" s="1"/>
  <c r="I61" i="8" s="1"/>
  <c r="G94" i="8"/>
  <c r="H94" i="8" s="1"/>
  <c r="I94" i="8" s="1"/>
  <c r="G52" i="8"/>
  <c r="H52" i="8" s="1"/>
  <c r="I52" i="8" s="1"/>
  <c r="B474" i="14" l="1"/>
  <c r="G474" i="14"/>
  <c r="J85" i="8"/>
  <c r="J84" i="8"/>
  <c r="I56" i="8"/>
  <c r="I44" i="8"/>
  <c r="J79" i="8"/>
  <c r="J81" i="8"/>
  <c r="C19" i="16"/>
  <c r="J80" i="8"/>
  <c r="J83" i="8"/>
  <c r="J78" i="8"/>
  <c r="J82" i="8"/>
  <c r="C15" i="16" l="1"/>
  <c r="J15" i="16" s="1"/>
  <c r="J58" i="8"/>
  <c r="J60" i="8"/>
  <c r="J62" i="8"/>
  <c r="J61" i="8"/>
  <c r="J57" i="8"/>
  <c r="J59" i="8"/>
  <c r="J52" i="8"/>
  <c r="J77" i="8"/>
  <c r="J49" i="8"/>
  <c r="J47" i="8"/>
  <c r="J45" i="8"/>
  <c r="J55" i="8"/>
  <c r="J50" i="8"/>
  <c r="J53" i="8"/>
  <c r="J54" i="8"/>
  <c r="J46" i="8"/>
  <c r="J48" i="8"/>
  <c r="J51" i="8"/>
  <c r="C13" i="16"/>
  <c r="H15" i="16"/>
  <c r="F15" i="16"/>
  <c r="P15" i="16"/>
  <c r="I15" i="16"/>
  <c r="E15" i="16"/>
  <c r="N15" i="16"/>
  <c r="G15" i="16"/>
  <c r="O15" i="16"/>
  <c r="D15" i="16"/>
  <c r="L15" i="16"/>
  <c r="M15" i="16"/>
  <c r="K15" i="16"/>
  <c r="L19" i="16"/>
  <c r="K19" i="16"/>
  <c r="M19" i="16"/>
  <c r="D19" i="16"/>
  <c r="P19" i="16"/>
  <c r="J19" i="16"/>
  <c r="G19" i="16"/>
  <c r="F19" i="16"/>
  <c r="O19" i="16"/>
  <c r="N19" i="16"/>
  <c r="H19" i="16"/>
  <c r="E19" i="16"/>
  <c r="I19" i="16"/>
  <c r="J44" i="8" l="1"/>
  <c r="K13" i="16"/>
  <c r="O13" i="16"/>
  <c r="L13" i="16"/>
  <c r="N13" i="16"/>
  <c r="J13" i="16"/>
  <c r="I13" i="16"/>
  <c r="D13" i="16"/>
  <c r="M13" i="16"/>
  <c r="H13" i="16"/>
  <c r="F13" i="16"/>
  <c r="G13" i="16"/>
  <c r="E13" i="16"/>
  <c r="P13" i="16"/>
  <c r="A119" i="9" l="1"/>
  <c r="A129" i="9" l="1"/>
  <c r="A138" i="9" l="1"/>
  <c r="A146" i="9" l="1"/>
  <c r="A156" i="9" l="1"/>
  <c r="A169" i="9"/>
  <c r="A181" i="9" s="1"/>
  <c r="G122" i="8"/>
  <c r="H122" i="8" s="1"/>
  <c r="I122" i="8" s="1"/>
  <c r="G129" i="8"/>
  <c r="H129" i="8" s="1"/>
  <c r="I129" i="8" s="1"/>
  <c r="G133" i="8"/>
  <c r="H133" i="8" s="1"/>
  <c r="I133" i="8" s="1"/>
  <c r="G142" i="8"/>
  <c r="H142" i="8" s="1"/>
  <c r="I142" i="8" s="1"/>
  <c r="G150" i="8"/>
  <c r="H150" i="8" s="1"/>
  <c r="I150" i="8" s="1"/>
  <c r="G159" i="8"/>
  <c r="H159" i="8" s="1"/>
  <c r="I159" i="8" s="1"/>
  <c r="D142" i="8"/>
  <c r="B620" i="14" s="1"/>
  <c r="E142" i="8"/>
  <c r="G620" i="14" s="1"/>
  <c r="D133" i="8"/>
  <c r="B595" i="14" s="1"/>
  <c r="E133" i="8"/>
  <c r="G595" i="14" s="1"/>
  <c r="D150" i="8"/>
  <c r="B644" i="14" s="1"/>
  <c r="D129" i="8"/>
  <c r="B583" i="14" s="1"/>
  <c r="E129" i="8"/>
  <c r="G583" i="14" s="1"/>
  <c r="E150" i="8"/>
  <c r="G644" i="14" s="1"/>
  <c r="D122" i="8"/>
  <c r="B564" i="14" s="1"/>
  <c r="E122" i="8"/>
  <c r="G564" i="14" s="1"/>
  <c r="E187" i="8"/>
  <c r="G758" i="14" s="1"/>
  <c r="D159" i="8"/>
  <c r="B673" i="14" s="1"/>
  <c r="D187" i="8"/>
  <c r="B758" i="14" s="1"/>
  <c r="E159" i="8"/>
  <c r="G673" i="14" s="1"/>
  <c r="G187" i="8" l="1"/>
  <c r="H187" i="8" s="1"/>
  <c r="I187" i="8" s="1"/>
  <c r="E188" i="8"/>
  <c r="G761" i="14" s="1"/>
  <c r="D188" i="8"/>
  <c r="B761" i="14" s="1"/>
  <c r="G188" i="8"/>
  <c r="H188" i="8" s="1"/>
  <c r="I188" i="8" s="1"/>
  <c r="A190" i="9"/>
  <c r="A198" i="9" l="1"/>
  <c r="G190" i="8" s="1"/>
  <c r="H190" i="8" s="1"/>
  <c r="I190" i="8" s="1"/>
  <c r="E189" i="8"/>
  <c r="G764" i="14" s="1"/>
  <c r="D189" i="8"/>
  <c r="B764" i="14" s="1"/>
  <c r="G189" i="8"/>
  <c r="H189" i="8" s="1"/>
  <c r="I189" i="8" s="1"/>
  <c r="E190" i="8" l="1"/>
  <c r="G767" i="14" s="1"/>
  <c r="D190" i="8"/>
  <c r="B767" i="14" s="1"/>
  <c r="A206" i="9"/>
  <c r="D191" i="8" l="1"/>
  <c r="B770" i="14" s="1"/>
  <c r="E191" i="8"/>
  <c r="G770" i="14" s="1"/>
  <c r="G191" i="8"/>
  <c r="H191" i="8" s="1"/>
  <c r="I191" i="8" s="1"/>
  <c r="A214" i="9"/>
  <c r="E192" i="8" s="1"/>
  <c r="G773" i="14" s="1"/>
  <c r="A221" i="9" l="1"/>
  <c r="E193" i="8" s="1"/>
  <c r="G782" i="14" s="1"/>
  <c r="G192" i="8"/>
  <c r="H192" i="8" s="1"/>
  <c r="I192" i="8" s="1"/>
  <c r="D192" i="8"/>
  <c r="B773" i="14" s="1"/>
  <c r="A228" i="9" l="1"/>
  <c r="E222" i="8" s="1"/>
  <c r="G872" i="14" s="1"/>
  <c r="D193" i="8"/>
  <c r="B782" i="14" s="1"/>
  <c r="A243" i="9" l="1"/>
  <c r="G223" i="8" s="1"/>
  <c r="H223" i="8" s="1"/>
  <c r="I223" i="8" s="1"/>
  <c r="D222" i="8"/>
  <c r="B872" i="14" s="1"/>
  <c r="A251" i="9" l="1"/>
  <c r="A260" i="9" s="1"/>
  <c r="A271" i="9" s="1"/>
  <c r="A284" i="9" s="1"/>
  <c r="A302" i="9" s="1"/>
  <c r="A321" i="9" s="1"/>
  <c r="A338" i="9" s="1"/>
  <c r="A353" i="9" s="1"/>
  <c r="A362" i="9" s="1"/>
  <c r="A372" i="9" s="1"/>
  <c r="A382" i="9" s="1"/>
  <c r="A392" i="9" s="1"/>
  <c r="E223" i="8"/>
  <c r="G875" i="14" s="1"/>
  <c r="D223" i="8"/>
  <c r="B875" i="14" s="1"/>
  <c r="A403" i="9" l="1"/>
  <c r="A414" i="9" s="1"/>
  <c r="A424" i="9" s="1"/>
  <c r="A431" i="9" s="1"/>
  <c r="A439" i="9" s="1"/>
  <c r="A440" i="9" s="1"/>
  <c r="A448" i="9" s="1"/>
  <c r="A456" i="9" s="1"/>
  <c r="A468" i="9" s="1"/>
  <c r="A482" i="9" s="1"/>
  <c r="A492" i="9" s="1"/>
  <c r="A504" i="9" s="1"/>
  <c r="A514" i="9" s="1"/>
  <c r="E231" i="8"/>
  <c r="G902" i="14" s="1"/>
  <c r="E224" i="8"/>
  <c r="G878" i="14" s="1"/>
  <c r="D225" i="8"/>
  <c r="B881" i="14" s="1"/>
  <c r="G193" i="8"/>
  <c r="H193" i="8" s="1"/>
  <c r="I193" i="8" s="1"/>
  <c r="G222" i="8"/>
  <c r="H222" i="8" s="1"/>
  <c r="I222" i="8" s="1"/>
  <c r="G234" i="8"/>
  <c r="H234" i="8" s="1"/>
  <c r="I234" i="8" s="1"/>
  <c r="G225" i="8"/>
  <c r="H225" i="8" s="1"/>
  <c r="I225" i="8" s="1"/>
  <c r="G224" i="8"/>
  <c r="H224" i="8" s="1"/>
  <c r="I224" i="8" s="1"/>
  <c r="E247" i="8"/>
  <c r="G965" i="14" s="1"/>
  <c r="D233" i="8"/>
  <c r="B910" i="14" s="1"/>
  <c r="E234" i="8"/>
  <c r="G913" i="14" s="1"/>
  <c r="D234" i="8"/>
  <c r="B913" i="14" s="1"/>
  <c r="D227" i="8"/>
  <c r="B890" i="14" s="1"/>
  <c r="E232" i="8"/>
  <c r="G905" i="14" s="1"/>
  <c r="D232" i="8"/>
  <c r="B905" i="14" s="1"/>
  <c r="D230" i="8"/>
  <c r="B899" i="14" s="1"/>
  <c r="G248" i="8"/>
  <c r="H248" i="8" s="1"/>
  <c r="I248" i="8" s="1"/>
  <c r="G229" i="8"/>
  <c r="H229" i="8" s="1"/>
  <c r="I229" i="8" s="1"/>
  <c r="D248" i="8"/>
  <c r="B968" i="14" s="1"/>
  <c r="G233" i="8"/>
  <c r="H233" i="8" s="1"/>
  <c r="I233" i="8" s="1"/>
  <c r="G227" i="8"/>
  <c r="H227" i="8" s="1"/>
  <c r="I227" i="8" s="1"/>
  <c r="D224" i="8"/>
  <c r="B878" i="14" s="1"/>
  <c r="E225" i="8"/>
  <c r="G881" i="14" s="1"/>
  <c r="G249" i="8"/>
  <c r="H249" i="8" s="1"/>
  <c r="I249" i="8" s="1"/>
  <c r="D231" i="8"/>
  <c r="B902" i="14" s="1"/>
  <c r="E248" i="8"/>
  <c r="G968" i="14" s="1"/>
  <c r="G235" i="8"/>
  <c r="H235" i="8" s="1"/>
  <c r="I235" i="8" s="1"/>
  <c r="D249" i="8"/>
  <c r="B971" i="14" s="1"/>
  <c r="G230" i="8"/>
  <c r="H230" i="8" s="1"/>
  <c r="I230" i="8" s="1"/>
  <c r="G247" i="8"/>
  <c r="H247" i="8" s="1"/>
  <c r="I247" i="8" s="1"/>
  <c r="E227" i="8"/>
  <c r="G890" i="14" s="1"/>
  <c r="D247" i="8"/>
  <c r="B965" i="14" s="1"/>
  <c r="D258" i="8"/>
  <c r="B998" i="14" s="1"/>
  <c r="D228" i="8"/>
  <c r="B893" i="14" s="1"/>
  <c r="G228" i="8"/>
  <c r="H228" i="8" s="1"/>
  <c r="I228" i="8" s="1"/>
  <c r="D235" i="8"/>
  <c r="B916" i="14" s="1"/>
  <c r="G261" i="8"/>
  <c r="H261" i="8" s="1"/>
  <c r="I261" i="8" s="1"/>
  <c r="G259" i="8"/>
  <c r="H259" i="8" s="1"/>
  <c r="I259" i="8" s="1"/>
  <c r="E233" i="8"/>
  <c r="G910" i="14" s="1"/>
  <c r="D229" i="8"/>
  <c r="B896" i="14" s="1"/>
  <c r="G232" i="8"/>
  <c r="H232" i="8" s="1"/>
  <c r="I232" i="8" s="1"/>
  <c r="E235" i="8"/>
  <c r="G916" i="14" s="1"/>
  <c r="E249" i="8"/>
  <c r="G971" i="14" s="1"/>
  <c r="E230" i="8"/>
  <c r="G899" i="14" s="1"/>
  <c r="E229" i="8"/>
  <c r="G896" i="14" s="1"/>
  <c r="E228" i="8"/>
  <c r="G893" i="14" s="1"/>
  <c r="G231" i="8"/>
  <c r="H231" i="8" s="1"/>
  <c r="I231" i="8" s="1"/>
  <c r="D259" i="8" l="1"/>
  <c r="B1001" i="14" s="1"/>
  <c r="E259" i="8"/>
  <c r="G1001" i="14" s="1"/>
  <c r="G258" i="8"/>
  <c r="H258" i="8" s="1"/>
  <c r="I258" i="8" s="1"/>
  <c r="G38" i="8"/>
  <c r="H38" i="8" s="1"/>
  <c r="I38" i="8" s="1"/>
  <c r="E38" i="8"/>
  <c r="G160" i="14" s="1"/>
  <c r="D38" i="8"/>
  <c r="B160" i="14" s="1"/>
  <c r="D157" i="8"/>
  <c r="B669" i="14" s="1"/>
  <c r="G157" i="8"/>
  <c r="H157" i="8" s="1"/>
  <c r="I157" i="8" s="1"/>
  <c r="E157" i="8"/>
  <c r="G669" i="14" s="1"/>
  <c r="D260" i="8"/>
  <c r="E260" i="8"/>
  <c r="G260" i="8"/>
  <c r="H260" i="8" s="1"/>
  <c r="I260" i="8" s="1"/>
  <c r="G96" i="8"/>
  <c r="H96" i="8" s="1"/>
  <c r="I96" i="8" s="1"/>
  <c r="D96" i="8"/>
  <c r="B477" i="14" s="1"/>
  <c r="E96" i="8"/>
  <c r="G477" i="14" s="1"/>
  <c r="E276" i="8"/>
  <c r="G1048" i="14" s="1"/>
  <c r="D270" i="8"/>
  <c r="B1030" i="14" s="1"/>
  <c r="E270" i="8"/>
  <c r="G1030" i="14" s="1"/>
  <c r="E258" i="8"/>
  <c r="G998" i="14" s="1"/>
  <c r="E271" i="8"/>
  <c r="G1033" i="14" s="1"/>
  <c r="D275" i="8"/>
  <c r="B1045" i="14" s="1"/>
  <c r="G275" i="8"/>
  <c r="H275" i="8" s="1"/>
  <c r="I275" i="8" s="1"/>
  <c r="D261" i="8"/>
  <c r="D287" i="8"/>
  <c r="B1087" i="14" s="1"/>
  <c r="E261" i="8"/>
  <c r="E287" i="8"/>
  <c r="G1087" i="14" s="1"/>
  <c r="G271" i="8"/>
  <c r="H271" i="8" s="1"/>
  <c r="I271" i="8" s="1"/>
  <c r="D271" i="8"/>
  <c r="B1033" i="14" s="1"/>
  <c r="E275" i="8"/>
  <c r="G1045" i="14" s="1"/>
  <c r="G270" i="8"/>
  <c r="H270" i="8" s="1"/>
  <c r="I270" i="8" s="1"/>
  <c r="G276" i="8"/>
  <c r="H276" i="8" s="1"/>
  <c r="I276" i="8" s="1"/>
  <c r="D276" i="8"/>
  <c r="B1048" i="14" s="1"/>
  <c r="D289" i="8"/>
  <c r="B1103" i="14" s="1"/>
  <c r="G287" i="8"/>
  <c r="H287" i="8" s="1"/>
  <c r="I287" i="8" s="1"/>
  <c r="I283" i="8" s="1"/>
  <c r="J287" i="8" s="1"/>
  <c r="G289" i="8"/>
  <c r="H289" i="8" s="1"/>
  <c r="I289" i="8" s="1"/>
  <c r="I288" i="8" s="1"/>
  <c r="E289" i="8"/>
  <c r="G1103" i="14" s="1"/>
  <c r="I219" i="8"/>
  <c r="J233" i="8" s="1"/>
  <c r="I158" i="8"/>
  <c r="J230" i="8" l="1"/>
  <c r="J232" i="8"/>
  <c r="J234" i="8"/>
  <c r="J229" i="8"/>
  <c r="J225" i="8"/>
  <c r="J224" i="8"/>
  <c r="J221" i="8"/>
  <c r="J226" i="8"/>
  <c r="J236" i="8"/>
  <c r="J237" i="8"/>
  <c r="J223" i="8"/>
  <c r="J235" i="8"/>
  <c r="J227" i="8"/>
  <c r="J222" i="8"/>
  <c r="J228" i="8"/>
  <c r="J231" i="8"/>
  <c r="I241" i="8"/>
  <c r="J260" i="8" s="1"/>
  <c r="I16" i="8"/>
  <c r="I101" i="8"/>
  <c r="J157" i="8" s="1"/>
  <c r="I92" i="8"/>
  <c r="J96" i="8" s="1"/>
  <c r="G1004" i="14"/>
  <c r="G1007" i="14"/>
  <c r="B1004" i="14"/>
  <c r="B1007" i="14"/>
  <c r="J193" i="8"/>
  <c r="I269" i="8"/>
  <c r="C47" i="16"/>
  <c r="J290" i="8"/>
  <c r="J293" i="8"/>
  <c r="J291" i="8"/>
  <c r="J292" i="8"/>
  <c r="J220" i="8"/>
  <c r="C33" i="16"/>
  <c r="J284" i="8"/>
  <c r="J285" i="8"/>
  <c r="J286" i="8"/>
  <c r="C45" i="16"/>
  <c r="J289" i="8"/>
  <c r="J175" i="8"/>
  <c r="J173" i="8"/>
  <c r="J176" i="8"/>
  <c r="C29" i="16"/>
  <c r="J170" i="8"/>
  <c r="J195" i="8"/>
  <c r="J183" i="8"/>
  <c r="J161" i="8"/>
  <c r="J166" i="8"/>
  <c r="J187" i="8"/>
  <c r="J160" i="8"/>
  <c r="J162" i="8"/>
  <c r="J196" i="8"/>
  <c r="J177" i="8"/>
  <c r="J174" i="8"/>
  <c r="J164" i="8"/>
  <c r="J189" i="8"/>
  <c r="J201" i="8"/>
  <c r="J200" i="8"/>
  <c r="J181" i="8"/>
  <c r="J194" i="8"/>
  <c r="J167" i="8"/>
  <c r="J182" i="8"/>
  <c r="J185" i="8"/>
  <c r="J199" i="8"/>
  <c r="J178" i="8"/>
  <c r="J186" i="8"/>
  <c r="J202" i="8"/>
  <c r="J172" i="8"/>
  <c r="J163" i="8"/>
  <c r="J188" i="8"/>
  <c r="J169" i="8"/>
  <c r="J171" i="8"/>
  <c r="J159" i="8"/>
  <c r="J197" i="8"/>
  <c r="J190" i="8"/>
  <c r="J168" i="8"/>
  <c r="J198" i="8"/>
  <c r="J179" i="8"/>
  <c r="J180" i="8"/>
  <c r="J165" i="8"/>
  <c r="J184" i="8"/>
  <c r="J191" i="8"/>
  <c r="J192" i="8"/>
  <c r="J219" i="8" l="1"/>
  <c r="J25" i="8"/>
  <c r="J31" i="8"/>
  <c r="J35" i="8"/>
  <c r="J26" i="8"/>
  <c r="J21" i="8"/>
  <c r="J27" i="8"/>
  <c r="J37" i="8"/>
  <c r="J19" i="8"/>
  <c r="J22" i="8"/>
  <c r="J30" i="8"/>
  <c r="J18" i="8"/>
  <c r="J24" i="8"/>
  <c r="J20" i="8"/>
  <c r="J34" i="8"/>
  <c r="J29" i="8"/>
  <c r="J33" i="8"/>
  <c r="J32" i="8"/>
  <c r="J39" i="8"/>
  <c r="J36" i="8"/>
  <c r="J28" i="8"/>
  <c r="J23" i="8"/>
  <c r="C37" i="16"/>
  <c r="D37" i="16" s="1"/>
  <c r="J253" i="8"/>
  <c r="J254" i="8"/>
  <c r="J251" i="8"/>
  <c r="J252" i="8"/>
  <c r="J256" i="8"/>
  <c r="J245" i="8"/>
  <c r="J257" i="8"/>
  <c r="J244" i="8"/>
  <c r="J246" i="8"/>
  <c r="J255" i="8"/>
  <c r="J250" i="8"/>
  <c r="J243" i="8"/>
  <c r="J248" i="8"/>
  <c r="J261" i="8"/>
  <c r="J259" i="8"/>
  <c r="J249" i="8"/>
  <c r="J247" i="8"/>
  <c r="J258" i="8"/>
  <c r="J38" i="8"/>
  <c r="J270" i="8"/>
  <c r="J242" i="8"/>
  <c r="J17" i="8"/>
  <c r="C9" i="16"/>
  <c r="J114" i="8"/>
  <c r="J139" i="8"/>
  <c r="J146" i="8"/>
  <c r="J154" i="8"/>
  <c r="J147" i="8"/>
  <c r="J123" i="8"/>
  <c r="J124" i="8"/>
  <c r="J119" i="8"/>
  <c r="J143" i="8"/>
  <c r="J156" i="8"/>
  <c r="J120" i="8"/>
  <c r="J107" i="8"/>
  <c r="J155" i="8"/>
  <c r="J112" i="8"/>
  <c r="C27" i="16"/>
  <c r="J122" i="8"/>
  <c r="J129" i="8"/>
  <c r="J127" i="8"/>
  <c r="J115" i="8"/>
  <c r="J104" i="8"/>
  <c r="J108" i="8"/>
  <c r="J148" i="8"/>
  <c r="J141" i="8"/>
  <c r="J150" i="8"/>
  <c r="J134" i="8"/>
  <c r="J133" i="8"/>
  <c r="J137" i="8"/>
  <c r="J121" i="8"/>
  <c r="J118" i="8"/>
  <c r="J116" i="8"/>
  <c r="J103" i="8"/>
  <c r="J149" i="8"/>
  <c r="J136" i="8"/>
  <c r="J144" i="8"/>
  <c r="J109" i="8"/>
  <c r="J145" i="8"/>
  <c r="J128" i="8"/>
  <c r="J132" i="8"/>
  <c r="J130" i="8"/>
  <c r="J110" i="8"/>
  <c r="J142" i="8"/>
  <c r="J105" i="8"/>
  <c r="J152" i="8"/>
  <c r="J106" i="8"/>
  <c r="J153" i="8"/>
  <c r="J138" i="8"/>
  <c r="J151" i="8"/>
  <c r="J140" i="8"/>
  <c r="J117" i="8"/>
  <c r="J111" i="8"/>
  <c r="J113" i="8"/>
  <c r="J131" i="8"/>
  <c r="J126" i="8"/>
  <c r="J93" i="8"/>
  <c r="J95" i="8"/>
  <c r="J94" i="8"/>
  <c r="C23" i="16"/>
  <c r="I298" i="8"/>
  <c r="J271" i="8"/>
  <c r="C41" i="16"/>
  <c r="M41" i="16" s="1"/>
  <c r="J274" i="8"/>
  <c r="J273" i="8"/>
  <c r="J276" i="8"/>
  <c r="J158" i="8"/>
  <c r="J272" i="8"/>
  <c r="J275" i="8"/>
  <c r="J288" i="8"/>
  <c r="J283" i="8"/>
  <c r="J203" i="8"/>
  <c r="J33" i="16"/>
  <c r="D33" i="16"/>
  <c r="M33" i="16"/>
  <c r="K33" i="16"/>
  <c r="F33" i="16"/>
  <c r="N33" i="16"/>
  <c r="H33" i="16"/>
  <c r="G33" i="16"/>
  <c r="O33" i="16"/>
  <c r="L33" i="16"/>
  <c r="P33" i="16"/>
  <c r="E33" i="16"/>
  <c r="I33" i="16"/>
  <c r="N45" i="16"/>
  <c r="E45" i="16"/>
  <c r="P45" i="16"/>
  <c r="H45" i="16"/>
  <c r="G45" i="16"/>
  <c r="J45" i="16"/>
  <c r="O45" i="16"/>
  <c r="D45" i="16"/>
  <c r="I45" i="16"/>
  <c r="K45" i="16"/>
  <c r="M45" i="16"/>
  <c r="L45" i="16"/>
  <c r="F45" i="16"/>
  <c r="F29" i="16"/>
  <c r="E29" i="16"/>
  <c r="H29" i="16"/>
  <c r="I29" i="16"/>
  <c r="G29" i="16"/>
  <c r="L29" i="16"/>
  <c r="J29" i="16"/>
  <c r="O29" i="16"/>
  <c r="M29" i="16"/>
  <c r="K29" i="16"/>
  <c r="P29" i="16"/>
  <c r="N29" i="16"/>
  <c r="D29" i="16"/>
  <c r="I47" i="16"/>
  <c r="O47" i="16"/>
  <c r="F47" i="16"/>
  <c r="K47" i="16"/>
  <c r="N47" i="16"/>
  <c r="M47" i="16"/>
  <c r="D47" i="16"/>
  <c r="E47" i="16"/>
  <c r="H47" i="16"/>
  <c r="L47" i="16"/>
  <c r="P47" i="16"/>
  <c r="G47" i="16"/>
  <c r="J47" i="16"/>
  <c r="K37" i="16" l="1"/>
  <c r="L37" i="16"/>
  <c r="H37" i="16"/>
  <c r="P37" i="16"/>
  <c r="G37" i="16"/>
  <c r="E37" i="16"/>
  <c r="O37" i="16"/>
  <c r="N37" i="16"/>
  <c r="M37" i="16"/>
  <c r="I37" i="16"/>
  <c r="F37" i="16"/>
  <c r="J37" i="16"/>
  <c r="J241" i="8"/>
  <c r="J16" i="8"/>
  <c r="E9" i="16"/>
  <c r="F9" i="16"/>
  <c r="G9" i="16"/>
  <c r="J9" i="16"/>
  <c r="I9" i="16"/>
  <c r="D9" i="16"/>
  <c r="D50" i="16" s="1"/>
  <c r="K9" i="16"/>
  <c r="H9" i="16"/>
  <c r="H50" i="16" s="1"/>
  <c r="N9" i="16"/>
  <c r="L9" i="16"/>
  <c r="M9" i="16"/>
  <c r="P9" i="16"/>
  <c r="O9" i="16"/>
  <c r="E27" i="16"/>
  <c r="H27" i="16"/>
  <c r="O27" i="16"/>
  <c r="G27" i="16"/>
  <c r="M27" i="16"/>
  <c r="D27" i="16"/>
  <c r="K27" i="16"/>
  <c r="N27" i="16"/>
  <c r="F27" i="16"/>
  <c r="I27" i="16"/>
  <c r="L27" i="16"/>
  <c r="J27" i="16"/>
  <c r="P27" i="16"/>
  <c r="J101" i="8"/>
  <c r="E23" i="16"/>
  <c r="O23" i="16"/>
  <c r="G23" i="16"/>
  <c r="H23" i="16"/>
  <c r="N23" i="16"/>
  <c r="I23" i="16"/>
  <c r="M23" i="16"/>
  <c r="K23" i="16"/>
  <c r="D23" i="16"/>
  <c r="P23" i="16"/>
  <c r="J23" i="16"/>
  <c r="F23" i="16"/>
  <c r="L23" i="16"/>
  <c r="J56" i="8"/>
  <c r="J92" i="8"/>
  <c r="D41" i="16"/>
  <c r="C50" i="16"/>
  <c r="C32" i="16" s="1"/>
  <c r="O41" i="16"/>
  <c r="K41" i="16"/>
  <c r="F41" i="16"/>
  <c r="I41" i="16"/>
  <c r="G41" i="16"/>
  <c r="L41" i="16"/>
  <c r="E41" i="16"/>
  <c r="H41" i="16"/>
  <c r="J41" i="16"/>
  <c r="N41" i="16"/>
  <c r="P41" i="16"/>
  <c r="J262" i="8"/>
  <c r="J269" i="8"/>
  <c r="K50" i="16" l="1"/>
  <c r="J50" i="16"/>
  <c r="G50" i="16"/>
  <c r="F50" i="16"/>
  <c r="F51" i="16" s="1"/>
  <c r="E50" i="16"/>
  <c r="I50" i="16"/>
  <c r="I51" i="16" s="1"/>
  <c r="P50" i="16"/>
  <c r="P51" i="16" s="1"/>
  <c r="M50" i="16"/>
  <c r="M51" i="16" s="1"/>
  <c r="E51" i="16"/>
  <c r="G51" i="16"/>
  <c r="D52" i="16"/>
  <c r="O50" i="16"/>
  <c r="O51" i="16" s="1"/>
  <c r="L50" i="16"/>
  <c r="L51" i="16" s="1"/>
  <c r="N50" i="16"/>
  <c r="N51" i="16" s="1"/>
  <c r="J51" i="16"/>
  <c r="H51" i="16"/>
  <c r="K51" i="16"/>
  <c r="C36" i="16"/>
  <c r="C10" i="16"/>
  <c r="C6" i="16"/>
  <c r="C22" i="16"/>
  <c r="C16" i="16"/>
  <c r="C30" i="16"/>
  <c r="C46" i="16"/>
  <c r="C24" i="16"/>
  <c r="C12" i="16"/>
  <c r="C38" i="16"/>
  <c r="C18" i="16"/>
  <c r="C8" i="16"/>
  <c r="C44" i="16"/>
  <c r="C34" i="16"/>
  <c r="C20" i="16"/>
  <c r="C48" i="16"/>
  <c r="C14" i="16"/>
  <c r="C40" i="16"/>
  <c r="C26" i="16"/>
  <c r="C42" i="16"/>
  <c r="C28" i="16"/>
  <c r="E52" i="16" l="1"/>
  <c r="D51" i="16"/>
  <c r="D53" i="16" s="1"/>
  <c r="E53" i="16" s="1"/>
  <c r="F53" i="16" s="1"/>
  <c r="G53" i="16" s="1"/>
  <c r="H53" i="16" s="1"/>
  <c r="I53" i="16" s="1"/>
  <c r="J53" i="16" s="1"/>
  <c r="K53" i="16" s="1"/>
  <c r="L53" i="16" s="1"/>
  <c r="M53" i="16" s="1"/>
  <c r="N53" i="16" s="1"/>
  <c r="O53" i="16" s="1"/>
  <c r="P53" i="16" s="1"/>
  <c r="F52" i="16"/>
  <c r="G52" i="16" s="1"/>
  <c r="H52" i="16" s="1"/>
  <c r="I52" i="16" s="1"/>
  <c r="J52" i="16" s="1"/>
  <c r="K52" i="16" s="1"/>
  <c r="L52" i="16" s="1"/>
  <c r="M52" i="16" s="1"/>
  <c r="N52" i="16" s="1"/>
  <c r="O52" i="16" s="1"/>
  <c r="P52" i="16" s="1"/>
  <c r="C51" i="16"/>
</calcChain>
</file>

<file path=xl/comments1.xml><?xml version="1.0" encoding="utf-8"?>
<comments xmlns="http://schemas.openxmlformats.org/spreadsheetml/2006/main">
  <authors>
    <author/>
  </authors>
  <commentList>
    <comment ref="B2" authorId="0" shapeId="0">
      <text>
        <r>
          <rPr>
            <sz val="9"/>
            <color rgb="FF000000"/>
            <rFont val="Liberation Sans"/>
            <family val="2"/>
          </rPr>
          <t>Nome do Orgão  ou Empresa Executante</t>
        </r>
      </text>
    </comment>
    <comment ref="B6" authorId="0" shapeId="0">
      <text>
        <r>
          <rPr>
            <b/>
            <sz val="9"/>
            <color rgb="FF000000"/>
            <rFont val="Liberation Sans"/>
            <family val="2"/>
          </rPr>
          <t>Escolha</t>
        </r>
        <r>
          <rPr>
            <b/>
            <sz val="9"/>
            <color rgb="FF000000"/>
            <rFont val="Liberation Sans"/>
            <family val="2"/>
          </rPr>
          <t xml:space="preserve">
</t>
        </r>
      </text>
    </comment>
    <comment ref="B8"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0"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1"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13"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15"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18"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23"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24"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<sst xmlns="http://schemas.openxmlformats.org/spreadsheetml/2006/main" count="70741" uniqueCount="29153">
  <si>
    <t>2</t>
  </si>
  <si>
    <t>3</t>
  </si>
  <si>
    <t>5</t>
  </si>
  <si>
    <t>CODIGO  DA COMPOSICAO</t>
  </si>
  <si>
    <t>DESCRICAO DA COMPOSICAO</t>
  </si>
  <si>
    <t>UNIDADE</t>
  </si>
  <si>
    <t>M</t>
  </si>
  <si>
    <t>UN</t>
  </si>
  <si>
    <t>KG</t>
  </si>
  <si>
    <t>M2</t>
  </si>
  <si>
    <t>H</t>
  </si>
  <si>
    <t>COBERTURA</t>
  </si>
  <si>
    <t>M3</t>
  </si>
  <si>
    <t>DISJUNTORES</t>
  </si>
  <si>
    <t>TRANSFORMADORES</t>
  </si>
  <si>
    <t>CHAVES</t>
  </si>
  <si>
    <t>MOVIMENTO DE TERRA</t>
  </si>
  <si>
    <t>ML</t>
  </si>
  <si>
    <t>L</t>
  </si>
  <si>
    <t xml:space="preserve">CODIGO  </t>
  </si>
  <si>
    <t>DESCRICAO DO INSUMO</t>
  </si>
  <si>
    <t>ORIGEM DO PRECO</t>
  </si>
  <si>
    <t xml:space="preserve">  PRECO MEDIANO R$</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</si>
  <si>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</si>
  <si>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</si>
  <si>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</si>
  <si>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</si>
  <si>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</si>
  <si>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</si>
  <si>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</si>
  <si>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</si>
  <si>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</si>
  <si>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</si>
  <si>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</si>
  <si>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</si>
  <si>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</si>
  <si>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</si>
  <si>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</si>
  <si>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</si>
  <si>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</si>
  <si>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</si>
  <si>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</si>
  <si>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</si>
  <si>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</si>
  <si>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</si>
  <si>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</si>
  <si>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</si>
  <si>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</si>
  <si>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</si>
  <si>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</si>
  <si>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</si>
  <si>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</si>
  <si>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</si>
  <si>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</si>
  <si>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</si>
  <si>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</si>
  <si>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</si>
  <si>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</si>
  <si>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</si>
  <si>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</si>
  <si>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</si>
  <si>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</si>
  <si>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</si>
  <si>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</si>
  <si>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</si>
  <si>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</si>
  <si>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</si>
  <si>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</si>
  <si>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</si>
  <si>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</si>
  <si>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</si>
  <si>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</si>
  <si>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</si>
  <si>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</si>
  <si>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</si>
  <si>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</si>
  <si>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</si>
  <si>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</si>
  <si>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</si>
  <si>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</si>
  <si>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</si>
  <si>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</si>
  <si>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</si>
  <si>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</si>
  <si>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</si>
  <si>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</si>
  <si>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</si>
  <si>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</si>
  <si>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</si>
  <si>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</si>
  <si>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</si>
  <si>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</si>
  <si>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</si>
  <si>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</si>
  <si>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</si>
  <si>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</si>
  <si>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</si>
  <si>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</si>
  <si>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</si>
  <si>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</si>
  <si>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</si>
  <si>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</si>
  <si>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</si>
  <si>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</si>
  <si>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</si>
  <si>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</si>
  <si>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</si>
  <si>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</si>
  <si>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</si>
  <si>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</si>
  <si>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</si>
  <si>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</si>
  <si>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</si>
  <si>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</si>
  <si>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</si>
  <si>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</si>
  <si>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</si>
  <si>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</si>
  <si>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</si>
  <si>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</si>
  <si>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</si>
  <si>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</si>
  <si>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</si>
  <si>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</si>
  <si>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</si>
  <si>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</si>
  <si>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</si>
  <si>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</si>
  <si>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</si>
  <si>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</si>
  <si>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</si>
  <si>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</si>
  <si>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</si>
  <si>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</si>
  <si>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</si>
  <si>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</si>
  <si>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</si>
  <si>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</si>
  <si>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</si>
  <si>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</si>
  <si>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</si>
  <si>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</si>
  <si>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</si>
  <si>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</si>
  <si>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</si>
  <si>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</si>
  <si>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</si>
  <si>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</si>
  <si>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</si>
  <si>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</si>
  <si>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</si>
  <si>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</si>
  <si>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</si>
  <si>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</si>
  <si>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</si>
  <si>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</si>
  <si>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</si>
  <si>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</si>
  <si>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</si>
  <si>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</si>
  <si>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</si>
  <si>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</si>
  <si>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</si>
  <si>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</si>
  <si>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</si>
  <si>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</si>
  <si>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</si>
  <si>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</si>
  <si>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</si>
  <si>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</si>
  <si>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</si>
  <si>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</si>
  <si>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</si>
  <si>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</si>
  <si>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</si>
  <si>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</si>
  <si>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</si>
  <si>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</si>
  <si>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</si>
  <si>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</si>
  <si>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</si>
  <si>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</si>
  <si>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</si>
  <si>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</si>
  <si>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</si>
  <si>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</si>
  <si>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</si>
  <si>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</si>
  <si>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</si>
  <si>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</si>
  <si>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</si>
  <si>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</si>
  <si>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</si>
  <si>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</si>
  <si>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</si>
  <si>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</si>
  <si>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</si>
  <si>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</si>
  <si>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</si>
  <si>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</si>
  <si>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</si>
  <si>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</si>
  <si>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</si>
  <si>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</si>
  <si>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</si>
  <si>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</si>
  <si>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</si>
  <si>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</si>
  <si>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</si>
  <si>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</si>
  <si>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</si>
  <si>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</si>
  <si>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</si>
  <si>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</si>
  <si>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</si>
  <si>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</si>
  <si>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</si>
  <si>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</si>
  <si>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</si>
  <si>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</si>
  <si>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</si>
  <si>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</si>
  <si>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</si>
  <si>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</si>
  <si>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</si>
  <si>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</si>
  <si>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</si>
  <si>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</si>
  <si>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</si>
  <si>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</si>
  <si>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</si>
  <si>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</si>
  <si>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</si>
  <si>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</si>
  <si>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</si>
  <si>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</si>
  <si>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</si>
  <si>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</si>
  <si>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</si>
  <si>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</si>
  <si>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</si>
  <si>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</si>
  <si>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</si>
  <si>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</si>
  <si>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</si>
  <si>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</si>
  <si>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</si>
  <si>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</si>
  <si>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</si>
  <si>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</si>
  <si>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</si>
  <si>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</si>
  <si>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</si>
  <si>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</si>
  <si>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</si>
  <si>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</si>
  <si>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</si>
  <si>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</si>
  <si>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</si>
  <si>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</si>
  <si>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</si>
  <si>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</si>
  <si>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</si>
  <si>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</si>
  <si>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</si>
  <si>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</si>
  <si>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</si>
  <si>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</si>
  <si>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</si>
  <si>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</si>
  <si>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</si>
  <si>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</si>
  <si>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</si>
  <si>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</si>
  <si>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</si>
  <si>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</si>
  <si>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</si>
  <si>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</si>
  <si>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</si>
  <si>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</si>
  <si>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</si>
  <si>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</si>
  <si>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</si>
  <si>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</si>
  <si>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</si>
  <si>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</si>
  <si>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</si>
  <si>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</si>
  <si>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</si>
  <si>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</si>
  <si>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</si>
  <si>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</si>
  <si>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</si>
  <si>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</si>
  <si>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</si>
  <si>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</si>
  <si>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</si>
  <si>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</si>
  <si>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</si>
  <si>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</si>
  <si>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</si>
  <si>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</si>
  <si>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</si>
  <si>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</si>
  <si>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</si>
  <si>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</si>
  <si>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</si>
  <si>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</si>
  <si>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</si>
  <si>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</si>
  <si>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</si>
  <si>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</si>
  <si>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</si>
  <si>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</si>
  <si>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</si>
  <si>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</si>
  <si>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</si>
  <si>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</si>
  <si>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</si>
  <si>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</si>
  <si>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</si>
  <si>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</si>
  <si>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</si>
  <si>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</si>
  <si>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</si>
  <si>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</si>
  <si>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</si>
  <si>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</si>
  <si>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</si>
  <si>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</si>
  <si>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</si>
  <si>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</si>
  <si>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</si>
  <si>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</si>
  <si>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</si>
  <si>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</si>
  <si>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</si>
  <si>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</si>
  <si>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</si>
  <si>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</si>
  <si>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</si>
  <si>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</si>
  <si>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</si>
  <si>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</si>
  <si>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</si>
  <si>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</si>
  <si>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</si>
  <si>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</si>
  <si>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</si>
  <si>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</si>
  <si>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</si>
  <si>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</si>
  <si>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</si>
  <si>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</si>
  <si>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</si>
  <si>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</si>
  <si>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</si>
  <si>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</si>
  <si>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</si>
  <si>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</si>
  <si>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</si>
  <si>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</si>
  <si>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</si>
  <si>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</si>
  <si>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</si>
  <si>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</si>
  <si>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</si>
  <si>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</si>
  <si>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</si>
  <si>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</si>
  <si>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</si>
  <si>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</si>
  <si>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</si>
  <si>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</si>
  <si>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</si>
  <si>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</si>
  <si>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</si>
  <si>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</si>
  <si>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</si>
  <si>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</si>
  <si>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</si>
  <si>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</si>
  <si>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</si>
  <si>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</si>
  <si>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</si>
  <si>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</si>
  <si>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</si>
  <si>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</si>
  <si>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</si>
  <si>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</si>
  <si>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</si>
  <si>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</si>
  <si>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</si>
  <si>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</si>
  <si>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</si>
  <si>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</si>
  <si>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</si>
  <si>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</si>
  <si>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</si>
  <si>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</si>
  <si>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</si>
  <si>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</si>
  <si>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</si>
  <si>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</si>
  <si>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</si>
  <si>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</si>
  <si>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</si>
  <si>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</si>
  <si>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</si>
  <si>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</si>
  <si>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</si>
  <si>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</si>
  <si>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</si>
  <si>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</si>
  <si>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</si>
  <si>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</si>
  <si>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</si>
  <si>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</si>
  <si>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</si>
  <si>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</si>
  <si>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</si>
  <si>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</si>
  <si>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</si>
  <si>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</si>
  <si>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</si>
  <si>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</si>
  <si>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</si>
  <si>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</si>
  <si>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</si>
  <si>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</si>
  <si>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</si>
  <si>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</si>
  <si>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</si>
  <si>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</si>
  <si>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</si>
  <si>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</si>
  <si>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</si>
  <si>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</si>
  <si>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</si>
  <si>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</si>
  <si>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</si>
  <si>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</si>
  <si>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</si>
  <si>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</si>
  <si>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</si>
  <si>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</si>
  <si>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</si>
  <si>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</si>
  <si>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</si>
  <si>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</si>
  <si>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</si>
  <si>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</si>
  <si>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</si>
  <si>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</si>
  <si>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</si>
  <si>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</si>
  <si>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</si>
  <si>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</si>
  <si>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</si>
  <si>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</si>
  <si>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</si>
  <si>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</si>
  <si>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</si>
  <si>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</si>
  <si>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</si>
  <si>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</si>
  <si>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</si>
  <si>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</si>
  <si>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</si>
  <si>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</si>
  <si>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</si>
  <si>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</si>
  <si>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</si>
  <si>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</si>
  <si>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</si>
  <si>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</si>
  <si>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</si>
  <si>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</si>
  <si>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</si>
  <si>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</si>
  <si>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</si>
  <si>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</si>
  <si>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</si>
  <si>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</si>
  <si>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</si>
  <si>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</si>
  <si>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</si>
  <si>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</si>
  <si>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</si>
  <si>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</si>
  <si>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</si>
  <si>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</si>
  <si>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</si>
  <si>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</si>
  <si>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</si>
  <si>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</si>
  <si>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</si>
  <si>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</si>
  <si>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</si>
  <si>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</si>
  <si>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</si>
  <si>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</si>
  <si>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</si>
  <si>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</si>
  <si>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</si>
  <si>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</si>
  <si>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</si>
  <si>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</si>
  <si>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</si>
  <si>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</si>
  <si>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</si>
  <si>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</si>
  <si>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</si>
  <si>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</si>
  <si>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</si>
  <si>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</si>
  <si>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</si>
  <si>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</si>
  <si>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</si>
  <si>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</si>
  <si>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</si>
  <si>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</si>
  <si>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</si>
  <si>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</si>
  <si>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</si>
  <si>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</si>
  <si>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</si>
  <si>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</si>
  <si>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</si>
  <si>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</si>
  <si>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</si>
  <si>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</si>
  <si>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</si>
  <si>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</si>
  <si>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</si>
  <si>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</si>
  <si>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</si>
  <si>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</si>
  <si>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</si>
  <si>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</si>
  <si>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</si>
  <si>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</si>
  <si>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</si>
  <si>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</si>
  <si>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</si>
  <si>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</si>
  <si>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</si>
  <si>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</si>
  <si>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</si>
  <si>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</si>
  <si>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</si>
  <si>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</si>
  <si>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</si>
  <si>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</si>
  <si>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</si>
  <si>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</si>
  <si>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</si>
  <si>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</si>
  <si>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</si>
  <si>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</si>
  <si>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</si>
  <si>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</si>
  <si>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</si>
  <si>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</si>
  <si>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</si>
  <si>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</si>
  <si>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</si>
  <si>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</si>
  <si>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</si>
  <si>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</si>
  <si>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</si>
  <si>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</si>
  <si>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</si>
  <si>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</si>
  <si>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</si>
  <si>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</si>
  <si>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</si>
  <si>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</si>
  <si>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</si>
  <si>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</si>
  <si>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</si>
  <si>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</si>
  <si>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</si>
  <si>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</si>
  <si>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</si>
  <si>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</si>
  <si>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</si>
  <si>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</si>
  <si>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</si>
  <si>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</si>
  <si>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</si>
  <si>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</si>
  <si>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</si>
  <si>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</si>
  <si>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</si>
  <si>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</si>
  <si>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</si>
  <si>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</si>
  <si>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</si>
  <si>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</si>
  <si>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</si>
  <si>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</si>
  <si>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</si>
  <si>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</si>
  <si>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</si>
  <si>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</si>
  <si>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</si>
  <si>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</si>
  <si>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</si>
  <si>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</si>
  <si>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</si>
  <si>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</si>
  <si>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</si>
  <si>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</si>
  <si>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</si>
  <si>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</si>
  <si>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</si>
  <si>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</si>
  <si>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</si>
  <si>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</si>
  <si>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</si>
  <si>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</si>
  <si>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</si>
  <si>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</si>
  <si>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</si>
  <si>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</si>
  <si>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</si>
  <si>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</si>
  <si>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</si>
  <si>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</si>
  <si>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</si>
  <si>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</si>
  <si>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</si>
  <si>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</si>
  <si>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</si>
  <si>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</si>
  <si>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</si>
  <si>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</si>
  <si>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</si>
  <si>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</si>
  <si>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</si>
  <si>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</si>
  <si>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</si>
  <si>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</si>
  <si>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</si>
  <si>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</si>
  <si>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</si>
  <si>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</si>
  <si>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</si>
  <si>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</si>
  <si>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</si>
  <si>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</si>
  <si>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</si>
  <si>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</si>
  <si>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</si>
  <si>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</si>
  <si>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</si>
  <si>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</si>
  <si>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</si>
  <si>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</si>
  <si>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</si>
  <si>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</si>
  <si>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</si>
  <si>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</si>
  <si>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</si>
  <si>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</si>
  <si>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</si>
  <si>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</si>
  <si>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</si>
  <si>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</si>
  <si>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</si>
  <si>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</si>
  <si>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</si>
  <si>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</si>
  <si>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</si>
  <si>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</si>
  <si>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</si>
  <si>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</si>
  <si>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</si>
  <si>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</si>
  <si>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</si>
  <si>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</si>
  <si>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</si>
  <si>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</si>
  <si>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</si>
  <si>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</si>
  <si>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</si>
  <si>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</si>
  <si>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</si>
  <si>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</si>
  <si>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</si>
  <si>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</si>
  <si>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</si>
  <si>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</si>
  <si>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</si>
  <si>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</si>
  <si>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</si>
  <si>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</si>
  <si>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</si>
  <si>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</si>
  <si>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</si>
  <si>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</si>
  <si>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</si>
  <si>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</si>
  <si>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</si>
  <si>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</si>
  <si>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</si>
  <si>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</si>
  <si>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</si>
  <si>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</si>
  <si>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</si>
  <si>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</si>
  <si>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</si>
  <si>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</si>
  <si>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</si>
  <si>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</si>
  <si>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</si>
  <si>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</si>
  <si>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</si>
  <si>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</si>
  <si>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</si>
  <si>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</si>
  <si>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</si>
  <si>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</si>
  <si>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</si>
  <si>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</si>
  <si>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</si>
  <si>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</si>
  <si>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</si>
  <si>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</si>
  <si>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</si>
  <si>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</si>
  <si>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</si>
  <si>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</si>
  <si>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</si>
  <si>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</si>
  <si>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</si>
  <si>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</si>
  <si>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</si>
  <si>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</si>
  <si>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</si>
  <si>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</si>
  <si>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</si>
  <si>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</si>
  <si>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</si>
  <si>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</si>
  <si>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</si>
  <si>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</si>
  <si>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</si>
  <si>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</si>
  <si>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</si>
  <si>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</si>
  <si>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</si>
  <si>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</si>
  <si>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</si>
  <si>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</si>
  <si>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</si>
  <si>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</si>
  <si>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</si>
  <si>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</si>
  <si>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</si>
  <si>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</si>
  <si>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</si>
  <si>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</si>
  <si>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</si>
  <si>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</si>
  <si>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</si>
  <si>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</si>
  <si>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</si>
  <si>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</si>
  <si>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</si>
  <si>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</si>
  <si>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</si>
  <si>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</si>
  <si>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</si>
  <si>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</si>
  <si>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</si>
  <si>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</si>
  <si>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</si>
  <si>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</si>
  <si>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</si>
  <si>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</si>
  <si>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</si>
  <si>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</si>
  <si>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</si>
  <si>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</si>
  <si>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</si>
  <si>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</si>
  <si>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</si>
  <si>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</si>
  <si>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</si>
  <si>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</si>
  <si>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</si>
  <si>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</si>
  <si>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</si>
  <si>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</si>
  <si>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</si>
  <si>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</si>
  <si>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</si>
  <si>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</si>
  <si>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</si>
  <si>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</si>
  <si>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</si>
  <si>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</si>
  <si>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</si>
  <si>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</si>
  <si>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</si>
  <si>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</si>
  <si>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</si>
  <si>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</si>
  <si>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</si>
  <si>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</si>
  <si>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</si>
  <si>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</si>
  <si>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</si>
  <si>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</si>
  <si>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</si>
  <si>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</si>
  <si>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</si>
  <si>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</si>
  <si>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</si>
  <si>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</si>
  <si>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</si>
  <si>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</si>
  <si>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</si>
  <si>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</si>
  <si>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</si>
  <si>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</si>
  <si>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</si>
  <si>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</si>
  <si>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</si>
  <si>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</si>
  <si>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</si>
  <si>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</si>
  <si>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</si>
  <si>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</si>
  <si>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</si>
  <si>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</si>
  <si>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</si>
  <si>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</si>
  <si>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</si>
  <si>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</si>
  <si>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</si>
  <si>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</si>
  <si>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</si>
  <si>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</si>
  <si>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</si>
  <si>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</si>
  <si>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</si>
  <si>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</si>
  <si>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</si>
  <si>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</si>
  <si>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</si>
  <si>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</si>
  <si>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</si>
  <si>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</si>
  <si>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</si>
  <si>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</si>
  <si>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</si>
  <si>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</si>
  <si>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</si>
  <si>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</si>
  <si>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</si>
  <si>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</si>
  <si>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</si>
  <si>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</si>
  <si>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</si>
  <si>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</si>
  <si>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</si>
  <si>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</si>
  <si>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</si>
  <si>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</si>
  <si>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</si>
  <si>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</si>
  <si>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</si>
  <si>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</si>
  <si>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</si>
  <si>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</si>
  <si>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</si>
  <si>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</si>
  <si>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</si>
  <si>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</si>
  <si>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</si>
  <si>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</si>
  <si>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</si>
  <si>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</si>
  <si>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</si>
  <si>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</si>
  <si>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</si>
  <si>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</si>
  <si>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</si>
  <si>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</si>
  <si>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</si>
  <si>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</si>
  <si>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</si>
  <si>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</si>
  <si>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</si>
  <si>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</si>
  <si>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</si>
  <si>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</si>
  <si>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</si>
  <si>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</si>
  <si>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</si>
  <si>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</si>
  <si>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</si>
  <si>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</si>
  <si>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</si>
  <si>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</si>
  <si>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</si>
  <si>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</si>
  <si>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</si>
  <si>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</si>
  <si>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</si>
  <si>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</si>
  <si>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</si>
  <si>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</si>
  <si>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</si>
  <si>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</si>
  <si>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</si>
  <si>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</si>
  <si>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</si>
  <si>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</si>
  <si>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</si>
  <si>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</si>
  <si>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</si>
  <si>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</si>
  <si>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</si>
  <si>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</si>
  <si>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</si>
  <si>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</si>
  <si>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</si>
  <si>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</si>
  <si>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</si>
  <si>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</si>
  <si>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</si>
  <si>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</si>
  <si>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</si>
  <si>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</si>
  <si>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</si>
  <si>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</si>
  <si>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</si>
  <si>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</si>
  <si>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</si>
  <si>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</si>
  <si>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</si>
  <si>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</si>
  <si>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</si>
  <si>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</si>
  <si>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</si>
  <si>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</si>
  <si>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</si>
  <si>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</si>
  <si>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</si>
  <si>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</si>
  <si>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</si>
  <si>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</si>
  <si>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</si>
  <si>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</si>
  <si>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</si>
  <si>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</si>
  <si>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</si>
  <si>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</si>
  <si>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</si>
  <si>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</si>
  <si>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</si>
  <si>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</si>
  <si>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</si>
  <si>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</si>
  <si>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</si>
  <si>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</si>
  <si>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</si>
  <si>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</si>
  <si>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</si>
  <si>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</si>
  <si>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</si>
  <si>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</si>
  <si>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</si>
  <si>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</si>
  <si>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</si>
  <si>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</si>
  <si>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</si>
  <si>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</si>
  <si>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</si>
  <si>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</si>
  <si>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</si>
  <si>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</si>
  <si>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</si>
  <si>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</si>
  <si>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t>%</t>
  </si>
  <si>
    <t>4 – Incidências sobre o preço de venda</t>
  </si>
  <si>
    <t>Despesas Tributárias - I</t>
  </si>
  <si>
    <t>Percentual da base de cálculo para o ISS:</t>
  </si>
  <si>
    <t>Alíquota do ISS (sobre a base de cálculo):</t>
  </si>
  <si>
    <t>COFINS</t>
  </si>
  <si>
    <t>PIS</t>
  </si>
  <si>
    <t>INSS</t>
  </si>
  <si>
    <t>5 – Demonstrativo de cálculo do BDI</t>
  </si>
  <si>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</si>
  <si>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</si>
  <si>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</si>
  <si>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</si>
  <si>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</si>
  <si>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</si>
  <si>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</si>
  <si>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</si>
  <si>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</si>
  <si>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</si>
  <si>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</si>
  <si>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</si>
  <si>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</si>
  <si>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</si>
  <si>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</si>
  <si>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</si>
  <si>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ITEM</t>
  </si>
  <si>
    <t>FONTE</t>
  </si>
  <si>
    <t>ESPECIFICAÇÃO DO SERVIÇO</t>
  </si>
  <si>
    <t>QUANT.</t>
  </si>
  <si>
    <t>SERVIÇOS PRELIMINARES</t>
  </si>
  <si>
    <t>CESAN</t>
  </si>
  <si>
    <t>SINAPI</t>
  </si>
  <si>
    <t>COMP</t>
  </si>
  <si>
    <t>MERC</t>
  </si>
  <si>
    <t>SERVIÇO</t>
  </si>
  <si>
    <t>FUNÇÃO</t>
  </si>
  <si>
    <t>PREÇO</t>
  </si>
  <si>
    <t>DESCRIÇÃO</t>
  </si>
  <si>
    <t>TIPO</t>
  </si>
  <si>
    <t>ÓRGÃO</t>
  </si>
  <si>
    <t>Código</t>
  </si>
  <si>
    <t>Descrição</t>
  </si>
  <si>
    <t>Und.</t>
  </si>
  <si>
    <t>Preço</t>
  </si>
  <si>
    <t>INSUMOS DE MAO DE OBRA</t>
  </si>
  <si>
    <t>MAO DE OBRA (SALARIOS)</t>
  </si>
  <si>
    <t>MAO DE OBRA (SALARIOS) - CONTINUACAO</t>
  </si>
  <si>
    <t>TOPOGRAFO - (TECNICO 2O GRAU NIVEL C)</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</si>
  <si>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</si>
  <si>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</si>
  <si>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</si>
  <si>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</si>
  <si>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</si>
  <si>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</si>
  <si>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</si>
  <si>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</si>
  <si>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</si>
  <si>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</si>
  <si>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</si>
  <si>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</si>
  <si>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</si>
  <si>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</si>
  <si>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</si>
  <si>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</si>
  <si>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</si>
  <si>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</si>
  <si>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</si>
  <si>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</si>
  <si>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</si>
  <si>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</si>
  <si>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</si>
  <si>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</si>
  <si>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</si>
  <si>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</si>
  <si>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</si>
  <si>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</si>
  <si>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</si>
  <si>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</si>
  <si>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</si>
  <si>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</si>
  <si>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</si>
  <si>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</si>
  <si>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</si>
  <si>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</si>
  <si>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</si>
  <si>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</si>
  <si>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</si>
  <si>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</si>
  <si>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</si>
  <si>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</si>
  <si>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</si>
  <si>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</si>
  <si>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</si>
  <si>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</si>
  <si>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</si>
  <si>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</si>
  <si>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</si>
  <si>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</si>
  <si>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</si>
  <si>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</si>
  <si>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</si>
  <si>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</si>
  <si>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</si>
  <si>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</si>
  <si>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</si>
  <si>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</si>
  <si>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</si>
  <si>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</si>
  <si>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</si>
  <si>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</si>
  <si>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</si>
  <si>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</si>
  <si>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</si>
  <si>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</si>
  <si>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</si>
  <si>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</si>
  <si>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</si>
  <si>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</si>
  <si>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</si>
  <si>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</si>
  <si>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</si>
  <si>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</si>
  <si>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</si>
  <si>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</si>
  <si>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</si>
  <si>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</si>
  <si>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</si>
  <si>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</si>
  <si>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</si>
  <si>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</si>
  <si>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</si>
  <si>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</si>
  <si>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</si>
  <si>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</si>
  <si>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</si>
  <si>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</si>
  <si>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</si>
  <si>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</si>
  <si>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</si>
  <si>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</si>
  <si>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</si>
  <si>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</si>
  <si>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PAINEL/PAINEL</t>
  </si>
  <si>
    <t>PORTA P/ DIVISORIA 80X210 CM, INC DOBR/FECH INTERN</t>
  </si>
  <si>
    <t>GRANITO CINZA ANDORINHA E = 3 CM POLIDO NOS DOIS LADOS</t>
  </si>
  <si>
    <t>MATERIAIS PARA IMPERMEABILIZACAO</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</si>
  <si>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</si>
  <si>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</si>
  <si>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</si>
  <si>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</si>
  <si>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</si>
  <si>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</si>
  <si>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</si>
  <si>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</si>
  <si>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</si>
  <si>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</si>
  <si>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</si>
  <si>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</si>
  <si>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</si>
  <si>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</si>
  <si>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</si>
  <si>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</si>
  <si>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</si>
  <si>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</si>
  <si>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</si>
  <si>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</si>
  <si>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</si>
  <si>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TELHAS (ELEMENTOS DE ARREMATE)</t>
  </si>
  <si>
    <t>RUFO EM ALUMINIO ESP. 0.5 MM LARGURA 30 CM</t>
  </si>
  <si>
    <t>CUMEEIRA FIBROCIMENTO NORMAL (ONDULADA)</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</si>
  <si>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</si>
  <si>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</si>
  <si>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</si>
  <si>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</si>
  <si>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</si>
  <si>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</si>
  <si>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</si>
  <si>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</si>
  <si>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</si>
  <si>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</si>
  <si>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</si>
  <si>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</si>
  <si>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</si>
  <si>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</si>
  <si>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</si>
  <si>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</si>
  <si>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</si>
  <si>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</si>
  <si>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</si>
  <si>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</si>
  <si>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</si>
  <si>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</si>
  <si>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</si>
  <si>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</si>
  <si>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</si>
  <si>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</si>
  <si>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</si>
  <si>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</si>
  <si>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</si>
  <si>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</si>
  <si>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</si>
  <si>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</si>
  <si>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</si>
  <si>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</si>
  <si>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</si>
  <si>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</si>
  <si>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</si>
  <si>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</si>
  <si>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</si>
  <si>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</si>
  <si>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</si>
  <si>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</si>
  <si>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</si>
  <si>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</si>
  <si>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</si>
  <si>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</si>
  <si>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</si>
  <si>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</si>
  <si>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</si>
  <si>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</si>
  <si>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</si>
  <si>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</si>
  <si>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</si>
  <si>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</si>
  <si>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</si>
  <si>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</si>
  <si>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</si>
  <si>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</si>
  <si>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</si>
  <si>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</si>
  <si>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</si>
  <si>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</si>
  <si>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</si>
  <si>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</si>
  <si>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</si>
  <si>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</si>
  <si>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</si>
  <si>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</si>
  <si>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</si>
  <si>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</si>
  <si>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</si>
  <si>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</si>
  <si>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</si>
  <si>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</si>
  <si>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</si>
  <si>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</si>
  <si>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</si>
  <si>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</si>
  <si>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</si>
  <si>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</si>
  <si>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</si>
  <si>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</si>
  <si>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</si>
  <si>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</si>
  <si>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</si>
  <si>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</si>
  <si>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</si>
  <si>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</si>
  <si>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</si>
  <si>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</si>
  <si>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</si>
  <si>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</si>
  <si>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</si>
  <si>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</si>
  <si>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</si>
  <si>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</si>
  <si>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</si>
  <si>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</si>
  <si>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</si>
  <si>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</si>
  <si>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</si>
  <si>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</si>
  <si>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</si>
  <si>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</si>
  <si>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</si>
  <si>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</si>
  <si>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</si>
  <si>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</si>
  <si>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</si>
  <si>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</si>
  <si>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</si>
  <si>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</si>
  <si>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</si>
  <si>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</si>
  <si>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</si>
  <si>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</si>
  <si>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</si>
  <si>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</si>
  <si>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</si>
  <si>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</si>
  <si>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</si>
  <si>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</si>
  <si>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</si>
  <si>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</si>
  <si>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</si>
  <si>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</si>
  <si>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</si>
  <si>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</si>
  <si>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</si>
  <si>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</si>
  <si>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</si>
  <si>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</si>
  <si>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</si>
  <si>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</si>
  <si>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</si>
  <si>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</si>
  <si>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</si>
  <si>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</si>
  <si>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</si>
  <si>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</si>
  <si>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</si>
  <si>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</si>
  <si>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</si>
  <si>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</si>
  <si>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</si>
  <si>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</si>
  <si>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</si>
  <si>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</si>
  <si>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</si>
  <si>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</si>
  <si>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</si>
  <si>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</si>
  <si>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</si>
  <si>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</si>
  <si>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</si>
  <si>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</si>
  <si>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</si>
  <si>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PISO CERAMICO 45X45CM PEI5 CARGO PLUS GRAY ELIANE</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</si>
  <si>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</si>
  <si>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</si>
  <si>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</si>
  <si>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</si>
  <si>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</si>
  <si>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</si>
  <si>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POLIDO PANNA PLUS PO 50X50CM</t>
  </si>
  <si>
    <t>PORCELANATO POL ACET 60X60CM CIMENTO CINZA BOLD</t>
  </si>
  <si>
    <t>PORCELANTO NATURAL ACETINADO 60X60CM PLATINA NA</t>
  </si>
  <si>
    <t>FERRAGENS PARA ESQUADRIAS (CONTINUAÇÃO)</t>
  </si>
  <si>
    <t>GONZO DIAM 1" (MACHO/FEMEA) PARA PORTÃO (DE SOBREPOR)</t>
  </si>
  <si>
    <t>PISOS (MADEIRA, PLÁSTICOS, ETC)</t>
  </si>
  <si>
    <t>AGREGADO DE ALTA RESISTENCIA PARA PISOS</t>
  </si>
  <si>
    <t>PISO VIN PAVIFLEX CHROMA CONCEPT 30X30CM - ESP.2MM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</si>
  <si>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</si>
  <si>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</si>
  <si>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</si>
  <si>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</si>
  <si>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</si>
  <si>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</si>
  <si>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</si>
  <si>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</si>
  <si>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</si>
  <si>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</si>
  <si>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</si>
  <si>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</si>
  <si>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</si>
  <si>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</si>
  <si>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</si>
  <si>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</si>
  <si>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</si>
  <si>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</si>
  <si>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VIDROS E ACESSORIOS</t>
  </si>
  <si>
    <t>VIDRO TRANSPARENTE LISO ESP.4MM,COLOCADO</t>
  </si>
  <si>
    <t>VIDRO MINI-BOREAL ESP.4MM, COLOCADO</t>
  </si>
  <si>
    <t>ESPELHO PRATA ESPESSURA 4 MM</t>
  </si>
  <si>
    <t>BOTAO FRANCES P/FIXACAO DE ESPELHOS, CROMADO</t>
  </si>
  <si>
    <t>VIDROS E ACESSORIOS (CONTINUAÇÃO)</t>
  </si>
  <si>
    <t>VIDRO ARAMADO ESP. 6MM, COLOCADO</t>
  </si>
  <si>
    <t>TINTAS (CONT.)</t>
  </si>
  <si>
    <t>ESMALTE SINTETICO</t>
  </si>
  <si>
    <t>TINTA LATEX PVA</t>
  </si>
  <si>
    <t>TINTA LATEX ACRILICA FOSCA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</si>
  <si>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</si>
  <si>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</si>
  <si>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</si>
  <si>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</si>
  <si>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</si>
  <si>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</si>
  <si>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</si>
  <si>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</si>
  <si>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</si>
  <si>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</si>
  <si>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</si>
  <si>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</si>
  <si>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</si>
  <si>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</si>
  <si>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</si>
  <si>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</si>
  <si>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</si>
  <si>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</si>
  <si>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</si>
  <si>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</si>
  <si>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</si>
  <si>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</si>
  <si>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</si>
  <si>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</si>
  <si>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</si>
  <si>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</si>
  <si>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</si>
  <si>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</si>
  <si>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</si>
  <si>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</si>
  <si>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</si>
  <si>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</si>
  <si>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</si>
  <si>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</si>
  <si>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</si>
  <si>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</si>
  <si>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</si>
  <si>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</si>
  <si>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</si>
  <si>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</si>
  <si>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</si>
  <si>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</si>
  <si>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POSTES</t>
  </si>
  <si>
    <t>POSTE CIRC.CONCRETO ALT.MONT.11M/300KG,PAD ESCELSA</t>
  </si>
  <si>
    <t>POSTE CIRCULAR DE CONCRETO 11M/600KG</t>
  </si>
  <si>
    <t>POSTE DT PADRAO TRIFASICO 16MM AEREO 63A H=7M/100DAN</t>
  </si>
  <si>
    <t>POSTE (CONT)</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</si>
  <si>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</si>
  <si>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</si>
  <si>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</si>
  <si>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</si>
  <si>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</si>
  <si>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</si>
  <si>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</si>
  <si>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</si>
  <si>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</si>
  <si>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</si>
  <si>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</si>
  <si>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</si>
  <si>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LUMINARIAS - CONT</t>
  </si>
  <si>
    <t>LUMINARIA BETA E40 250/400 IP66/44 CT SR TECNOWATT OU EQUIVALENTE</t>
  </si>
  <si>
    <t>ARMACAO SECUNDARIA 2 ESTRIBOS COM HASTE 16X150MM</t>
  </si>
  <si>
    <t>PARA-RAIOS - ACESSORIOS</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</si>
  <si>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</si>
  <si>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</si>
  <si>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</si>
  <si>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</si>
  <si>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</si>
  <si>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</si>
  <si>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</si>
  <si>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</si>
  <si>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</si>
  <si>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</si>
  <si>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</si>
  <si>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</si>
  <si>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</si>
  <si>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</si>
  <si>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</si>
  <si>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</si>
  <si>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</si>
  <si>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</si>
  <si>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</si>
  <si>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</si>
  <si>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ELETRODUTOS (AÇO ESMALTADO E CONEXÕES)</t>
  </si>
  <si>
    <t>ELETRODUTO DE FERRO GALVANIZADO 6"</t>
  </si>
  <si>
    <t>ELETRODUTO FERRO GALV LEVE - 2.1/2"</t>
  </si>
  <si>
    <t>ELETRODUTO DE FERRO GALVANIZADO 4"</t>
  </si>
  <si>
    <t>CURVA 90º DE FERRO GALVANIZADO 3"</t>
  </si>
  <si>
    <t>ELETRODUTO DE FERRO GALVANIZADO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</si>
  <si>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</si>
  <si>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</si>
  <si>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</si>
  <si>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</si>
  <si>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</si>
  <si>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</si>
  <si>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</si>
  <si>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</si>
  <si>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</si>
  <si>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</si>
  <si>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</si>
  <si>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</si>
  <si>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</si>
  <si>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</si>
  <si>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</si>
  <si>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</si>
  <si>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</si>
  <si>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</si>
  <si>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</si>
  <si>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</si>
  <si>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</si>
  <si>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</si>
  <si>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</si>
  <si>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</si>
  <si>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</si>
  <si>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</si>
  <si>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</si>
  <si>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</si>
  <si>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</si>
  <si>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</si>
  <si>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</si>
  <si>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</si>
  <si>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</si>
  <si>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</si>
  <si>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</si>
  <si>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</si>
  <si>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</si>
  <si>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</si>
  <si>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TELEFONICO CI C/ 30 PARES Ø 50 MM</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</si>
  <si>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</si>
  <si>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</si>
  <si>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</si>
  <si>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</si>
  <si>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</si>
  <si>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</si>
  <si>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</si>
  <si>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</si>
  <si>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</si>
  <si>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</si>
  <si>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</si>
  <si>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</si>
  <si>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</si>
  <si>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</si>
  <si>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</si>
  <si>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</si>
  <si>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</si>
  <si>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</si>
  <si>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</si>
  <si>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</si>
  <si>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</si>
  <si>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FIOS E CABOS (CONT)</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</si>
  <si>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</si>
  <si>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</si>
  <si>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</si>
  <si>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</si>
  <si>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</si>
  <si>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</si>
  <si>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</si>
  <si>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</si>
  <si>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</si>
  <si>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</si>
  <si>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</si>
  <si>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</si>
  <si>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</si>
  <si>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</si>
  <si>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</si>
  <si>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</si>
  <si>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</si>
  <si>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</si>
  <si>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</si>
  <si>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</si>
  <si>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</si>
  <si>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</si>
  <si>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</si>
  <si>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</si>
  <si>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</si>
  <si>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</si>
  <si>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</si>
  <si>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</si>
  <si>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</si>
  <si>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</si>
  <si>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</si>
  <si>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</si>
  <si>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</si>
  <si>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</si>
  <si>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</si>
  <si>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</si>
  <si>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</si>
  <si>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</si>
  <si>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</si>
  <si>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</si>
  <si>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</si>
  <si>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</si>
  <si>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</si>
  <si>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</si>
  <si>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</si>
  <si>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</si>
  <si>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</si>
  <si>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</si>
  <si>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</si>
  <si>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</si>
  <si>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</si>
  <si>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</si>
  <si>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</si>
  <si>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</si>
  <si>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</si>
  <si>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</si>
  <si>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</si>
  <si>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</si>
  <si>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</si>
  <si>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</si>
  <si>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</si>
  <si>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</si>
  <si>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</si>
  <si>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</si>
  <si>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</si>
  <si>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</si>
  <si>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</si>
  <si>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</si>
  <si>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</si>
  <si>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</si>
  <si>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</si>
  <si>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</si>
  <si>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</si>
  <si>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</si>
  <si>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MINI DISJUNTOR MONOPOLAR 2A CURVA C 5KA 220/127V</t>
  </si>
  <si>
    <t>CAIXAS DE PASSAGEM E CONDULETES</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</si>
  <si>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</si>
  <si>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</si>
  <si>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</si>
  <si>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</si>
  <si>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</si>
  <si>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</si>
  <si>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</si>
  <si>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CAIXAS DE PASSAGEM E CONDULETES (CONTINUAÇÃO)</t>
  </si>
  <si>
    <t>APARELHOS ELÉTRICOS</t>
  </si>
  <si>
    <t>BEBEDOURO P/ DEFIC. REF. BDF 300 - IBBL</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</si>
  <si>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</si>
  <si>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</si>
  <si>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</si>
  <si>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</si>
  <si>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</si>
  <si>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</si>
  <si>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</si>
  <si>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</si>
  <si>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</si>
  <si>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LUMINÁRIAS (CALHAS, PROJETORES, CONJUNTOS)</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</si>
  <si>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</si>
  <si>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</si>
  <si>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</si>
  <si>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</si>
  <si>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</si>
  <si>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</si>
  <si>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PROJ. RETANGULAR PL 400 MA TECNOWATT</t>
  </si>
  <si>
    <t>LÂMPADAS</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</si>
  <si>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</si>
  <si>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</si>
  <si>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</si>
  <si>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</si>
  <si>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</si>
  <si>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</si>
  <si>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</si>
  <si>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</si>
  <si>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</si>
  <si>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</si>
  <si>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</si>
  <si>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</si>
  <si>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LUMINARIAS (CONT )</t>
  </si>
  <si>
    <t>ARANDELA PROVA DE TEMPO 45º EM ALUM SILICIO, ACAB EPOXI CINZA (E-27) - VISOR POLICARB. C/ GRADE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</si>
  <si>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</si>
  <si>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</si>
  <si>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</si>
  <si>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</si>
  <si>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</si>
  <si>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</si>
  <si>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</si>
  <si>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</si>
  <si>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</si>
  <si>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</si>
  <si>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</si>
  <si>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</si>
  <si>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</si>
  <si>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</si>
  <si>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</si>
  <si>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</si>
  <si>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</si>
  <si>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</si>
  <si>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</si>
  <si>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</si>
  <si>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</si>
  <si>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</si>
  <si>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</si>
  <si>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</si>
  <si>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</si>
  <si>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</si>
  <si>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</si>
  <si>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</si>
  <si>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</si>
  <si>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</si>
  <si>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</si>
  <si>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</si>
  <si>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</si>
  <si>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</si>
  <si>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</si>
  <si>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</si>
  <si>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</si>
  <si>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</si>
  <si>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</si>
  <si>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</si>
  <si>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</si>
  <si>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</si>
  <si>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</si>
  <si>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</si>
  <si>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</si>
  <si>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</si>
  <si>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</si>
  <si>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</si>
  <si>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</si>
  <si>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</si>
  <si>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</si>
  <si>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</si>
  <si>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</si>
  <si>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</si>
  <si>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</si>
  <si>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</si>
  <si>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</si>
  <si>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</si>
  <si>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</si>
  <si>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</si>
  <si>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</si>
  <si>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</si>
  <si>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</si>
  <si>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</si>
  <si>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</si>
  <si>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</si>
  <si>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</si>
  <si>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</si>
  <si>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</si>
  <si>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</si>
  <si>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</si>
  <si>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</si>
  <si>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</si>
  <si>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</si>
  <si>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</si>
  <si>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</si>
  <si>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</si>
  <si>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</si>
  <si>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</si>
  <si>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</si>
  <si>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</si>
  <si>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</si>
  <si>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</si>
  <si>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</si>
  <si>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</si>
  <si>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</si>
  <si>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</si>
  <si>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</si>
  <si>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</si>
  <si>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</si>
  <si>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</si>
  <si>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</si>
  <si>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</si>
  <si>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</si>
  <si>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</si>
  <si>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</si>
  <si>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</si>
  <si>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</si>
  <si>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</si>
  <si>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</si>
  <si>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</si>
  <si>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</si>
  <si>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</si>
  <si>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</si>
  <si>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</si>
  <si>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</si>
  <si>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</si>
  <si>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</si>
  <si>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</si>
  <si>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</si>
  <si>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</si>
  <si>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</si>
  <si>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</si>
  <si>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</si>
  <si>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</si>
  <si>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</si>
  <si>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</si>
  <si>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</si>
  <si>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</si>
  <si>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</si>
  <si>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</si>
  <si>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</si>
  <si>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</si>
  <si>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</si>
  <si>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</si>
  <si>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</si>
  <si>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</si>
  <si>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</si>
  <si>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</si>
  <si>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</si>
  <si>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</si>
  <si>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</si>
  <si>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</si>
  <si>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</si>
  <si>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</si>
  <si>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</si>
  <si>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</si>
  <si>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</si>
  <si>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</si>
  <si>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</si>
  <si>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DIVERSOS (CONT.)</t>
  </si>
  <si>
    <t>SUPORTE P/ TRANSFORMADOR EM LIGA DE ALUMINIO P/ POSTE CONCRETO CIRCULAR - 225MM</t>
  </si>
  <si>
    <t>TERMINAL CABO-BARRA EM LATAO 2X # 300MM2</t>
  </si>
  <si>
    <t>INSUMOS DE REDE LOGICA / TELEFONIA/ CFTV/ SOM</t>
  </si>
  <si>
    <t>CABOS E CONEXOES</t>
  </si>
  <si>
    <t>CONECTOR RJ45 MACHO - PARA REDE DE DADOS</t>
  </si>
  <si>
    <t>PRENSA CABOS PARA ELETRODUTO 1/2"</t>
  </si>
  <si>
    <t>PRENSA CABOS PARA ELETRODUTO 1"</t>
  </si>
  <si>
    <t>TOMADAS</t>
  </si>
  <si>
    <t>ESPELHO 4X2" C/ 1 CONECTOR RJ-45 FEMEA CAT 5E</t>
  </si>
  <si>
    <t>TOMADA TELEFONE COM CONECTOR RJ11</t>
  </si>
  <si>
    <t>TOMADA COAXIAL 75 OHMS PARA TV C/ ESPELHO 4X2"</t>
  </si>
  <si>
    <t>TERMINAL COMPRESSÃO COBRE ESTANHADO 35MM TEL 5135</t>
  </si>
  <si>
    <t>CONECTOR DE MEDICAO EM LATAO C/ 2 PARAFUSOS TEL-562</t>
  </si>
  <si>
    <t>INSUMOS DE HIDRAULICA</t>
  </si>
  <si>
    <t>TUBOS (CONCRETO)</t>
  </si>
  <si>
    <t>TUBO DE CONCRETO SIMPLES DIAM. 30CM - PS1</t>
  </si>
  <si>
    <t>TUBO DE CONCRETO SIMPLES DIAM. 20CM - PS1</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</si>
  <si>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</si>
  <si>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</si>
  <si>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</si>
  <si>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</si>
  <si>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</si>
  <si>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</si>
  <si>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</si>
  <si>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</si>
  <si>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</si>
  <si>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</si>
  <si>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</si>
  <si>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</si>
  <si>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</si>
  <si>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</si>
  <si>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</si>
  <si>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</si>
  <si>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</si>
  <si>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</si>
  <si>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</si>
  <si>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</si>
  <si>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</si>
  <si>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</si>
  <si>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</si>
  <si>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</si>
  <si>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</si>
  <si>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</si>
  <si>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</si>
  <si>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</si>
  <si>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</si>
  <si>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</si>
  <si>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</si>
  <si>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</si>
  <si>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</si>
  <si>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</si>
  <si>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</si>
  <si>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</si>
  <si>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</si>
  <si>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</si>
  <si>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</si>
  <si>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</si>
  <si>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</si>
  <si>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</si>
  <si>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</si>
  <si>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</si>
  <si>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</si>
  <si>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</si>
  <si>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</si>
  <si>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</si>
  <si>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</si>
  <si>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</si>
  <si>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</si>
  <si>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</si>
  <si>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</si>
  <si>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</si>
  <si>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</si>
  <si>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</si>
  <si>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</si>
  <si>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</si>
  <si>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</si>
  <si>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</si>
  <si>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</si>
  <si>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</si>
  <si>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</si>
  <si>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</si>
  <si>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</si>
  <si>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</si>
  <si>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</si>
  <si>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</si>
  <si>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</si>
  <si>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</si>
  <si>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</si>
  <si>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</si>
  <si>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</si>
  <si>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</si>
  <si>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</si>
  <si>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</si>
  <si>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</si>
  <si>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</si>
  <si>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</si>
  <si>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</si>
  <si>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</si>
  <si>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</si>
  <si>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</si>
  <si>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</si>
  <si>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</si>
  <si>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</si>
  <si>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</si>
  <si>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</si>
  <si>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</si>
  <si>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</si>
  <si>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</si>
  <si>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</si>
  <si>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</si>
  <si>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</si>
  <si>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</si>
  <si>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</si>
  <si>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</si>
  <si>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</si>
  <si>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</si>
  <si>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</si>
  <si>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</si>
  <si>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</si>
  <si>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</si>
  <si>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</si>
  <si>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</si>
  <si>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</si>
  <si>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</si>
  <si>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</si>
  <si>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</si>
  <si>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</si>
  <si>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</si>
  <si>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</si>
  <si>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</si>
  <si>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</si>
  <si>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</si>
  <si>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</si>
  <si>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</si>
  <si>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</si>
  <si>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</si>
  <si>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</si>
  <si>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</si>
  <si>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</si>
  <si>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</si>
  <si>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</si>
  <si>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</si>
  <si>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</si>
  <si>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</si>
  <si>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</si>
  <si>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</si>
  <si>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</si>
  <si>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</si>
  <si>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</si>
  <si>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</si>
  <si>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</si>
  <si>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</si>
  <si>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</si>
  <si>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</si>
  <si>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</si>
  <si>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</si>
  <si>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</si>
  <si>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</si>
  <si>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</si>
  <si>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</si>
  <si>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</si>
  <si>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</si>
  <si>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</si>
  <si>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</si>
  <si>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</si>
  <si>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</si>
  <si>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</si>
  <si>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</si>
  <si>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</si>
  <si>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</si>
  <si>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</si>
  <si>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</si>
  <si>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</si>
  <si>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</si>
  <si>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</si>
  <si>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</si>
  <si>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</si>
  <si>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</si>
  <si>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</si>
  <si>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</si>
  <si>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</si>
  <si>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</si>
  <si>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</si>
  <si>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</si>
  <si>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</si>
  <si>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</si>
  <si>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</si>
  <si>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</si>
  <si>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</si>
  <si>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</si>
  <si>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</si>
  <si>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</si>
  <si>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</si>
  <si>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</si>
  <si>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</si>
  <si>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</si>
  <si>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</si>
  <si>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</si>
  <si>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</si>
  <si>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</si>
  <si>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</si>
  <si>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</si>
  <si>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</si>
  <si>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</si>
  <si>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</si>
  <si>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</si>
  <si>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</si>
  <si>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</si>
  <si>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</si>
  <si>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</si>
  <si>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</si>
  <si>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</si>
  <si>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</si>
  <si>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</si>
  <si>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</si>
  <si>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</si>
  <si>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</si>
  <si>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</si>
  <si>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</si>
  <si>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</si>
  <si>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</si>
  <si>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</si>
  <si>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</si>
  <si>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</si>
  <si>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</si>
  <si>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</si>
  <si>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</si>
  <si>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</si>
  <si>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</si>
  <si>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</si>
  <si>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</si>
  <si>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</si>
  <si>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</si>
  <si>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</si>
  <si>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</si>
  <si>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</si>
  <si>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</si>
  <si>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</si>
  <si>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</si>
  <si>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</si>
  <si>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</si>
  <si>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</si>
  <si>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</si>
  <si>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</si>
  <si>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</si>
  <si>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</si>
  <si>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</si>
  <si>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</si>
  <si>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</si>
  <si>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</si>
  <si>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</si>
  <si>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</si>
  <si>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</si>
  <si>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</si>
  <si>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</si>
  <si>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</si>
  <si>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</si>
  <si>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CAIXA TERMOPLASTICA P/ HIDROMETRO DN 3/4" P/PAREDE</t>
  </si>
  <si>
    <t>DIVERSOS (CONT)</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</si>
  <si>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</si>
  <si>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</si>
  <si>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</si>
  <si>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</si>
  <si>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</si>
  <si>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</si>
  <si>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</si>
  <si>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</si>
  <si>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</si>
  <si>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</si>
  <si>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</si>
  <si>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</si>
  <si>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</si>
  <si>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</si>
  <si>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</si>
  <si>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</si>
  <si>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</si>
  <si>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</si>
  <si>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</si>
  <si>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</si>
  <si>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</si>
  <si>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</si>
  <si>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</si>
  <si>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</si>
  <si>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</si>
  <si>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</si>
  <si>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</si>
  <si>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</si>
  <si>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</si>
  <si>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</si>
  <si>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</si>
  <si>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</si>
  <si>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</si>
  <si>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</si>
  <si>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</si>
  <si>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</si>
  <si>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</si>
  <si>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</si>
  <si>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</si>
  <si>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</si>
  <si>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</si>
  <si>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</si>
  <si>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</si>
  <si>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</si>
  <si>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</si>
  <si>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</si>
  <si>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</si>
  <si>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</si>
  <si>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</si>
  <si>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</si>
  <si>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</si>
  <si>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</si>
  <si>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</si>
  <si>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</si>
  <si>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</si>
  <si>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</si>
  <si>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</si>
  <si>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</si>
  <si>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INSUMOS DE MANUTENCAO - SERRALHERIA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</si>
  <si>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</si>
  <si>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</si>
  <si>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</si>
  <si>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</si>
  <si>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</si>
  <si>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</si>
  <si>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</si>
  <si>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</si>
  <si>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</si>
  <si>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</si>
  <si>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</si>
  <si>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88,90 X 4,00MM (3") DIN 2440 - MEDIO</t>
  </si>
  <si>
    <t>PERFIL "U" ENRIJECIDO 200 X 75 X 25 X 2,65MM (7,92KG/M)</t>
  </si>
  <si>
    <t>INSUMOS DE ELETRICA (CONT.)</t>
  </si>
  <si>
    <t>PARA RAIOS E ACESSORIOS (CONT)</t>
  </si>
  <si>
    <t>MASTRO SIMPLES FG DE 1 1/2"X3M</t>
  </si>
  <si>
    <t>INSUMOS ACABAMENTOS - CIVIL</t>
  </si>
  <si>
    <t>REVESTIMENTOS CERAMICOS (PAREDES)</t>
  </si>
  <si>
    <t>CERAMICA LISA BRANCA REF POLAR 33X61 A - INCESA OU EQUIVALENE</t>
  </si>
  <si>
    <t>ESQUADRIAS METALICAS</t>
  </si>
  <si>
    <t>PORTA CORTA FOGO COM BARRA ANTIPANICO 1.00 X 2.10</t>
  </si>
  <si>
    <t>ROD. FEDERAL - CONSTRUCAO</t>
  </si>
  <si>
    <t>CONTINUACAO - CONSTRUCAO DE ESTRADAS</t>
  </si>
  <si>
    <t>SOLO BRITA</t>
  </si>
  <si>
    <t>OFICINA</t>
  </si>
  <si>
    <t>COMBUSTIVEL</t>
  </si>
  <si>
    <t>MATERIAL DE CONSUMO I</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</si>
  <si>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</si>
  <si>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</si>
  <si>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</si>
  <si>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</si>
  <si>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</si>
  <si>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</si>
  <si>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</si>
  <si>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</si>
  <si>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</si>
  <si>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</si>
  <si>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</si>
  <si>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</si>
  <si>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</si>
  <si>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</si>
  <si>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</si>
  <si>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</si>
  <si>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</si>
  <si>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</si>
  <si>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</si>
  <si>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</si>
  <si>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</si>
  <si>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</si>
  <si>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</si>
  <si>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</si>
  <si>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</si>
  <si>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</si>
  <si>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</si>
  <si>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</si>
  <si>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</si>
  <si>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MÃO DE OBRA (SALARIO MENSAL)</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</si>
  <si>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</si>
  <si>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</si>
  <si>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</si>
  <si>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</si>
  <si>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</si>
  <si>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</si>
  <si>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</si>
  <si>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</si>
  <si>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</si>
  <si>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</si>
  <si>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</si>
  <si>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</si>
  <si>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</si>
  <si>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</si>
  <si>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</si>
  <si>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</si>
  <si>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</si>
  <si>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</si>
  <si>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</si>
  <si>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</si>
  <si>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</si>
  <si>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</si>
  <si>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</si>
  <si>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</si>
  <si>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</si>
  <si>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</si>
  <si>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</si>
  <si>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</si>
  <si>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</si>
  <si>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</si>
  <si>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</si>
  <si>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</si>
  <si>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</si>
  <si>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</si>
  <si>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</si>
  <si>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</si>
  <si>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</si>
  <si>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</si>
  <si>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</si>
  <si>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</si>
  <si>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</si>
  <si>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</si>
  <si>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</si>
  <si>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</si>
  <si>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</si>
  <si>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</si>
  <si>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</si>
  <si>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</si>
  <si>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</si>
  <si>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</si>
  <si>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</si>
  <si>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</si>
  <si>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</si>
  <si>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</si>
  <si>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</si>
  <si>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</si>
  <si>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</si>
  <si>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</si>
  <si>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</si>
  <si>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</si>
  <si>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</si>
  <si>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</si>
  <si>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</si>
  <si>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</si>
  <si>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</si>
  <si>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</si>
  <si>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</si>
  <si>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</si>
  <si>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</si>
  <si>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</si>
  <si>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</si>
  <si>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</si>
  <si>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</si>
  <si>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</si>
  <si>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</si>
  <si>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</si>
  <si>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</si>
  <si>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</si>
  <si>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</si>
  <si>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</si>
  <si>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</si>
  <si>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</si>
  <si>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</si>
  <si>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</si>
  <si>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</si>
  <si>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</si>
  <si>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</si>
  <si>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</si>
  <si>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</si>
  <si>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</si>
  <si>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</si>
  <si>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</si>
  <si>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</si>
  <si>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</si>
  <si>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</si>
  <si>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</si>
  <si>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</si>
  <si>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</si>
  <si>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</si>
  <si>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</si>
  <si>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</si>
  <si>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</si>
  <si>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</si>
  <si>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</si>
  <si>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</si>
  <si>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</si>
  <si>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</si>
  <si>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</si>
  <si>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</si>
  <si>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</si>
  <si>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</si>
  <si>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</si>
  <si>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</si>
  <si>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</si>
  <si>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</si>
  <si>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</si>
  <si>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</si>
  <si>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</si>
  <si>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</si>
  <si>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</si>
  <si>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</si>
  <si>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</si>
  <si>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</si>
  <si>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</si>
  <si>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</si>
  <si>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</si>
  <si>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</si>
  <si>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</si>
  <si>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</si>
  <si>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</si>
  <si>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</si>
  <si>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</si>
  <si>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</si>
  <si>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</si>
  <si>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</si>
  <si>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</si>
  <si>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</si>
  <si>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</si>
  <si>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</si>
  <si>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</si>
  <si>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</si>
  <si>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</si>
  <si>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</si>
  <si>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</si>
  <si>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</si>
  <si>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</si>
  <si>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</si>
  <si>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</si>
  <si>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</si>
  <si>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</si>
  <si>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</si>
  <si>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</si>
  <si>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</si>
  <si>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</si>
  <si>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</si>
  <si>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</si>
  <si>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</si>
  <si>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</si>
  <si>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</si>
  <si>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</si>
  <si>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</si>
  <si>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</si>
  <si>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</si>
  <si>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</si>
  <si>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</si>
  <si>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</si>
  <si>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</si>
  <si>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</si>
  <si>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</si>
  <si>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</si>
  <si>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</si>
  <si>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</si>
  <si>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</si>
  <si>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</si>
  <si>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</si>
  <si>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</si>
  <si>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</si>
  <si>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</si>
  <si>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</si>
  <si>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</si>
  <si>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</si>
  <si>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</si>
  <si>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</si>
  <si>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</si>
  <si>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</si>
  <si>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</si>
  <si>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</si>
  <si>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</si>
  <si>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</si>
  <si>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</si>
  <si>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</si>
  <si>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</si>
  <si>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</si>
  <si>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</si>
  <si>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</si>
  <si>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</si>
  <si>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</si>
  <si>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</si>
  <si>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</si>
  <si>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PRECO UNITARIO</t>
  </si>
  <si>
    <t>COEF</t>
  </si>
  <si>
    <t>SICRO</t>
  </si>
  <si>
    <t>MASSA PARA MADEIRA</t>
  </si>
  <si>
    <t>CUSTO UNIT</t>
  </si>
  <si>
    <t>CÓD</t>
  </si>
  <si>
    <t xml:space="preserve">UN    </t>
  </si>
  <si>
    <t>CR</t>
  </si>
  <si>
    <t xml:space="preserve">M2    </t>
  </si>
  <si>
    <t>AS</t>
  </si>
  <si>
    <t xml:space="preserve">H     </t>
  </si>
  <si>
    <t xml:space="preserve">C </t>
  </si>
  <si>
    <t>19,07</t>
  </si>
  <si>
    <t xml:space="preserve">M     </t>
  </si>
  <si>
    <t xml:space="preserve">KG    </t>
  </si>
  <si>
    <t>1,61</t>
  </si>
  <si>
    <t>0,77</t>
  </si>
  <si>
    <t>0,79</t>
  </si>
  <si>
    <t>2,12</t>
  </si>
  <si>
    <t>0,65</t>
  </si>
  <si>
    <t>2,04</t>
  </si>
  <si>
    <t xml:space="preserve">L     </t>
  </si>
  <si>
    <t>5,70</t>
  </si>
  <si>
    <t>15,39</t>
  </si>
  <si>
    <t>22,72</t>
  </si>
  <si>
    <t>11,10</t>
  </si>
  <si>
    <t xml:space="preserve">M3    </t>
  </si>
  <si>
    <t xml:space="preserve">MES   </t>
  </si>
  <si>
    <t>13,33</t>
  </si>
  <si>
    <t>44,60</t>
  </si>
  <si>
    <t>107,01</t>
  </si>
  <si>
    <t>19,28</t>
  </si>
  <si>
    <t>0,50</t>
  </si>
  <si>
    <t>1,38</t>
  </si>
  <si>
    <t>2,65</t>
  </si>
  <si>
    <t>16,96</t>
  </si>
  <si>
    <t>0,78</t>
  </si>
  <si>
    <t>8,49</t>
  </si>
  <si>
    <t>10,55</t>
  </si>
  <si>
    <t>180,03</t>
  </si>
  <si>
    <t xml:space="preserve">PAR   </t>
  </si>
  <si>
    <t>66,30</t>
  </si>
  <si>
    <t>86,11</t>
  </si>
  <si>
    <t>18,61</t>
  </si>
  <si>
    <t xml:space="preserve">JG    </t>
  </si>
  <si>
    <t xml:space="preserve">MIL   </t>
  </si>
  <si>
    <t>0,71</t>
  </si>
  <si>
    <t>1,22</t>
  </si>
  <si>
    <t>2,25</t>
  </si>
  <si>
    <t>1,79</t>
  </si>
  <si>
    <t>1,93</t>
  </si>
  <si>
    <t>1,91</t>
  </si>
  <si>
    <t>53,40</t>
  </si>
  <si>
    <t>18,05</t>
  </si>
  <si>
    <t>0,25</t>
  </si>
  <si>
    <t>7,50</t>
  </si>
  <si>
    <t>3,31</t>
  </si>
  <si>
    <t>54,20</t>
  </si>
  <si>
    <t>6,08</t>
  </si>
  <si>
    <t>10,62</t>
  </si>
  <si>
    <t>1,49</t>
  </si>
  <si>
    <t>3,59</t>
  </si>
  <si>
    <t>30,53</t>
  </si>
  <si>
    <t>36,16</t>
  </si>
  <si>
    <t>49,11</t>
  </si>
  <si>
    <t>11,23</t>
  </si>
  <si>
    <t>2,76</t>
  </si>
  <si>
    <t>1,16</t>
  </si>
  <si>
    <t>2,99</t>
  </si>
  <si>
    <t>14,96</t>
  </si>
  <si>
    <t>2,90</t>
  </si>
  <si>
    <t>8,69</t>
  </si>
  <si>
    <t>7,22</t>
  </si>
  <si>
    <t xml:space="preserve">T     </t>
  </si>
  <si>
    <t>13,29</t>
  </si>
  <si>
    <t>5,33</t>
  </si>
  <si>
    <t>15,29</t>
  </si>
  <si>
    <t>26,52</t>
  </si>
  <si>
    <t>63,55</t>
  </si>
  <si>
    <t>12,24</t>
  </si>
  <si>
    <t>13,90</t>
  </si>
  <si>
    <t>68,14</t>
  </si>
  <si>
    <t>13,19</t>
  </si>
  <si>
    <t>4,56</t>
  </si>
  <si>
    <t>13,06</t>
  </si>
  <si>
    <t>7,96</t>
  </si>
  <si>
    <t>8,65</t>
  </si>
  <si>
    <t>16,90</t>
  </si>
  <si>
    <t>8,77</t>
  </si>
  <si>
    <t>9,65</t>
  </si>
  <si>
    <t>5,05</t>
  </si>
  <si>
    <t>8,27</t>
  </si>
  <si>
    <t>3,89</t>
  </si>
  <si>
    <t>16,23</t>
  </si>
  <si>
    <t>12,81</t>
  </si>
  <si>
    <t>6,36</t>
  </si>
  <si>
    <t>10,68</t>
  </si>
  <si>
    <t>7,86</t>
  </si>
  <si>
    <t xml:space="preserve">CJ    </t>
  </si>
  <si>
    <t>0,17</t>
  </si>
  <si>
    <t xml:space="preserve">100M  </t>
  </si>
  <si>
    <t>96,00</t>
  </si>
  <si>
    <t>66,46</t>
  </si>
  <si>
    <t>6,28</t>
  </si>
  <si>
    <t>19,36</t>
  </si>
  <si>
    <t>3,26</t>
  </si>
  <si>
    <t>11,03</t>
  </si>
  <si>
    <t>64,87</t>
  </si>
  <si>
    <t>25,95</t>
  </si>
  <si>
    <t>20,46</t>
  </si>
  <si>
    <t>16,48</t>
  </si>
  <si>
    <t>3,11</t>
  </si>
  <si>
    <t>4,41</t>
  </si>
  <si>
    <t>15,00</t>
  </si>
  <si>
    <t>9,64</t>
  </si>
  <si>
    <t>1,41</t>
  </si>
  <si>
    <t>25,51</t>
  </si>
  <si>
    <t>3,15</t>
  </si>
  <si>
    <t xml:space="preserve">KW/H  </t>
  </si>
  <si>
    <t>4,98</t>
  </si>
  <si>
    <t>26,06</t>
  </si>
  <si>
    <t>450,00</t>
  </si>
  <si>
    <t>27,53</t>
  </si>
  <si>
    <t xml:space="preserve">CENTO </t>
  </si>
  <si>
    <t>47,63</t>
  </si>
  <si>
    <t>10,00</t>
  </si>
  <si>
    <t>38,59</t>
  </si>
  <si>
    <t>2,02</t>
  </si>
  <si>
    <t>85,28</t>
  </si>
  <si>
    <t>16,52</t>
  </si>
  <si>
    <t>14,49</t>
  </si>
  <si>
    <t>0,44</t>
  </si>
  <si>
    <t>7,12</t>
  </si>
  <si>
    <t>SC25KG</t>
  </si>
  <si>
    <t>522,23</t>
  </si>
  <si>
    <t>8,29</t>
  </si>
  <si>
    <t>2,01</t>
  </si>
  <si>
    <t>0,41</t>
  </si>
  <si>
    <t>5,65</t>
  </si>
  <si>
    <t>6,14</t>
  </si>
  <si>
    <t>10,17</t>
  </si>
  <si>
    <t>5,67</t>
  </si>
  <si>
    <t>13,22</t>
  </si>
  <si>
    <t>15,60</t>
  </si>
  <si>
    <t>34,55</t>
  </si>
  <si>
    <t>8,24</t>
  </si>
  <si>
    <t>M2XMES</t>
  </si>
  <si>
    <t>3,33</t>
  </si>
  <si>
    <t xml:space="preserve">MXMES </t>
  </si>
  <si>
    <t>515,00</t>
  </si>
  <si>
    <t>402,34</t>
  </si>
  <si>
    <t>584,73</t>
  </si>
  <si>
    <t>0,86</t>
  </si>
  <si>
    <t>14,44</t>
  </si>
  <si>
    <t>83,91</t>
  </si>
  <si>
    <t>1,10</t>
  </si>
  <si>
    <t>8,18</t>
  </si>
  <si>
    <t>9,56</t>
  </si>
  <si>
    <t>8,16</t>
  </si>
  <si>
    <t>401,46</t>
  </si>
  <si>
    <t>436,63</t>
  </si>
  <si>
    <t>14,66</t>
  </si>
  <si>
    <t>6,00</t>
  </si>
  <si>
    <t>0,94</t>
  </si>
  <si>
    <t>40,33</t>
  </si>
  <si>
    <t>19,17</t>
  </si>
  <si>
    <t>27,82</t>
  </si>
  <si>
    <t>30,00</t>
  </si>
  <si>
    <t>47,04</t>
  </si>
  <si>
    <t>0,32</t>
  </si>
  <si>
    <t>226,46</t>
  </si>
  <si>
    <t>12,51</t>
  </si>
  <si>
    <t>23,20</t>
  </si>
  <si>
    <t>3,18</t>
  </si>
  <si>
    <t>1,01</t>
  </si>
  <si>
    <t>8,06</t>
  </si>
  <si>
    <t>6,73</t>
  </si>
  <si>
    <t>3,84</t>
  </si>
  <si>
    <t>15,10</t>
  </si>
  <si>
    <t xml:space="preserve">310ML </t>
  </si>
  <si>
    <t>26,40</t>
  </si>
  <si>
    <t>11,55</t>
  </si>
  <si>
    <t>7,13</t>
  </si>
  <si>
    <t>133,43</t>
  </si>
  <si>
    <t>499,53</t>
  </si>
  <si>
    <t>20,79</t>
  </si>
  <si>
    <t>3,99</t>
  </si>
  <si>
    <t>112,21</t>
  </si>
  <si>
    <t>32,22</t>
  </si>
  <si>
    <t>12,74</t>
  </si>
  <si>
    <t>16,22</t>
  </si>
  <si>
    <t>9,80</t>
  </si>
  <si>
    <t>12,92</t>
  </si>
  <si>
    <t>56,03</t>
  </si>
  <si>
    <t>13,77</t>
  </si>
  <si>
    <t>153,80</t>
  </si>
  <si>
    <t>6,85</t>
  </si>
  <si>
    <t>91,64</t>
  </si>
  <si>
    <t>106,30</t>
  </si>
  <si>
    <t>144,20</t>
  </si>
  <si>
    <t>23,95</t>
  </si>
  <si>
    <t>64,44</t>
  </si>
  <si>
    <t>18,16</t>
  </si>
  <si>
    <t>20,54</t>
  </si>
  <si>
    <t>20,19</t>
  </si>
  <si>
    <t>3,65</t>
  </si>
  <si>
    <t>68,86</t>
  </si>
  <si>
    <t>11,02</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</si>
  <si>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</si>
  <si>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</si>
  <si>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</si>
  <si>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7,48</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</si>
  <si>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</si>
  <si>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</si>
  <si>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</si>
  <si>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</si>
  <si>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</si>
  <si>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17,43</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</si>
  <si>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</si>
  <si>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</si>
  <si>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</si>
  <si>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</si>
  <si>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</si>
  <si>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</si>
  <si>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</si>
  <si>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</si>
  <si>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</si>
  <si>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</si>
  <si>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</si>
  <si>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</si>
  <si>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</si>
  <si>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</si>
  <si>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</si>
  <si>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</si>
  <si>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</si>
  <si>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</si>
  <si>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</si>
  <si>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</si>
  <si>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</si>
  <si>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</si>
  <si>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</si>
  <si>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</si>
  <si>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</si>
  <si>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</si>
  <si>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</si>
  <si>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</si>
  <si>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</si>
  <si>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</si>
  <si>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</si>
  <si>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</si>
  <si>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</si>
  <si>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</si>
  <si>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</si>
  <si>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</si>
  <si>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</si>
  <si>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26,98</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</si>
  <si>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</si>
  <si>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</si>
  <si>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</si>
  <si>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</si>
  <si>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</si>
  <si>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</si>
  <si>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</si>
  <si>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</si>
  <si>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18,17</t>
  </si>
  <si>
    <t>1,04</t>
  </si>
  <si>
    <t>24,51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</si>
  <si>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</si>
  <si>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</si>
  <si>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</si>
  <si>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</si>
  <si>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</si>
  <si>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</si>
  <si>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</si>
  <si>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</si>
  <si>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</si>
  <si>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</si>
  <si>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</si>
  <si>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</si>
  <si>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</si>
  <si>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</si>
  <si>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</si>
  <si>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</si>
  <si>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</si>
  <si>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</si>
  <si>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</si>
  <si>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</si>
  <si>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19,13</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</si>
  <si>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</si>
  <si>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</si>
  <si>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</si>
  <si>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</si>
  <si>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</si>
  <si>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</si>
  <si>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</si>
  <si>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</si>
  <si>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</si>
  <si>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</si>
  <si>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25,92</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</si>
  <si>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</si>
  <si>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</si>
  <si>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</si>
  <si>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</si>
  <si>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</si>
  <si>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</si>
  <si>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</si>
  <si>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</si>
  <si>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</si>
  <si>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</si>
  <si>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</si>
  <si>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</si>
  <si>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</si>
  <si>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</si>
  <si>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</si>
  <si>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</si>
  <si>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</si>
  <si>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</si>
  <si>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</si>
  <si>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</si>
  <si>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</si>
  <si>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46,16</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</si>
  <si>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</si>
  <si>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</si>
  <si>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</si>
  <si>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73,18</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</si>
  <si>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</si>
  <si>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</si>
  <si>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</si>
  <si>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</si>
  <si>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</si>
  <si>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</si>
  <si>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</si>
  <si>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</si>
  <si>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</si>
  <si>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</si>
  <si>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</si>
  <si>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</si>
  <si>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</si>
  <si>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</si>
  <si>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</si>
  <si>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</si>
  <si>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</si>
  <si>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</si>
  <si>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</si>
  <si>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</si>
  <si>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</si>
  <si>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</si>
  <si>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</si>
  <si>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</si>
  <si>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</si>
  <si>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</si>
  <si>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</si>
  <si>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</si>
  <si>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</si>
  <si>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</si>
  <si>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</si>
  <si>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</si>
  <si>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</si>
  <si>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</si>
  <si>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</si>
  <si>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</si>
  <si>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</si>
  <si>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</si>
  <si>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</si>
  <si>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</si>
  <si>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</si>
  <si>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</si>
  <si>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</si>
  <si>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</si>
  <si>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</si>
  <si>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</si>
  <si>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</si>
  <si>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</si>
  <si>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</si>
  <si>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</si>
  <si>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</si>
  <si>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</si>
  <si>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</si>
  <si>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</si>
  <si>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</si>
  <si>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</si>
  <si>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</si>
  <si>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</si>
  <si>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</si>
  <si>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</si>
  <si>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</si>
  <si>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</si>
  <si>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</si>
  <si>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</si>
  <si>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</si>
  <si>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</si>
  <si>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</si>
  <si>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</si>
  <si>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</si>
  <si>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</si>
  <si>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</si>
  <si>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</si>
  <si>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</si>
  <si>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</si>
  <si>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</si>
  <si>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</si>
  <si>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</si>
  <si>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</si>
  <si>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</si>
  <si>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</si>
  <si>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</si>
  <si>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</si>
  <si>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</si>
  <si>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</si>
  <si>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</si>
  <si>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</si>
  <si>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</si>
  <si>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</si>
  <si>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</si>
  <si>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</si>
  <si>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</si>
  <si>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</si>
  <si>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</si>
  <si>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</si>
  <si>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</si>
  <si>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</si>
  <si>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</si>
  <si>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</si>
  <si>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</si>
  <si>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</si>
  <si>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</si>
  <si>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</si>
  <si>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</si>
  <si>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</si>
  <si>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</si>
  <si>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</si>
  <si>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</si>
  <si>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</si>
  <si>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</si>
  <si>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</si>
  <si>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</si>
  <si>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</si>
  <si>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</si>
  <si>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</si>
  <si>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</si>
  <si>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</si>
  <si>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</si>
  <si>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</si>
  <si>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</si>
  <si>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</si>
  <si>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</si>
  <si>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</si>
  <si>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</si>
  <si>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</si>
  <si>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</si>
  <si>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</si>
  <si>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</si>
  <si>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</si>
  <si>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</si>
  <si>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</si>
  <si>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</si>
  <si>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</si>
  <si>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</si>
  <si>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</si>
  <si>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</si>
  <si>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</si>
  <si>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7,21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</si>
  <si>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</si>
  <si>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</si>
  <si>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</si>
  <si>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</si>
  <si>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1,24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</si>
  <si>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</si>
  <si>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</si>
  <si>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</si>
  <si>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</si>
  <si>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</si>
  <si>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</si>
  <si>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</si>
  <si>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10,11</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</si>
  <si>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</si>
  <si>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</si>
  <si>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</si>
  <si>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</si>
  <si>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</si>
  <si>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</si>
  <si>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</si>
  <si>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</si>
  <si>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</si>
  <si>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</si>
  <si>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</si>
  <si>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</si>
  <si>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</si>
  <si>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</si>
  <si>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</si>
  <si>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</si>
  <si>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</si>
  <si>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</si>
  <si>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</si>
  <si>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</si>
  <si>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</si>
  <si>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</si>
  <si>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</si>
  <si>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</si>
  <si>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58,81</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</si>
  <si>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</si>
  <si>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</si>
  <si>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</si>
  <si>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</si>
  <si>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</si>
  <si>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</si>
  <si>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</si>
  <si>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</si>
  <si>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</si>
  <si>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</si>
  <si>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</si>
  <si>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</si>
  <si>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</si>
  <si>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</si>
  <si>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</si>
  <si>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</si>
  <si>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</si>
  <si>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</si>
  <si>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</si>
  <si>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</si>
  <si>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</si>
  <si>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</si>
  <si>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</si>
  <si>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</si>
  <si>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</si>
  <si>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</si>
  <si>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</si>
  <si>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</si>
  <si>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</si>
  <si>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</si>
  <si>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</si>
  <si>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</si>
  <si>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</si>
  <si>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</si>
  <si>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</si>
  <si>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</si>
  <si>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</si>
  <si>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</si>
  <si>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122,29</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</si>
  <si>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</si>
  <si>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</si>
  <si>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</si>
  <si>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</si>
  <si>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</si>
  <si>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</si>
  <si>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</si>
  <si>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</si>
  <si>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</si>
  <si>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</si>
  <si>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</si>
  <si>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</si>
  <si>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</si>
  <si>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</si>
  <si>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</si>
  <si>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</si>
  <si>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</si>
  <si>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</si>
  <si>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</si>
  <si>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</si>
  <si>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</si>
  <si>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</si>
  <si>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</si>
  <si>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</si>
  <si>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</si>
  <si>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</si>
  <si>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</si>
  <si>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</si>
  <si>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</si>
  <si>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</si>
  <si>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</si>
  <si>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</si>
  <si>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</si>
  <si>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</si>
  <si>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</si>
  <si>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</si>
  <si>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</si>
  <si>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</si>
  <si>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</si>
  <si>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</si>
  <si>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</si>
  <si>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</si>
  <si>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</si>
  <si>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</si>
  <si>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</si>
  <si>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</si>
  <si>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</si>
  <si>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</si>
  <si>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</si>
  <si>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</si>
  <si>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</si>
  <si>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</si>
  <si>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</si>
  <si>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</si>
  <si>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</si>
  <si>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</si>
  <si>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</si>
  <si>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</si>
  <si>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</si>
  <si>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</si>
  <si>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</si>
  <si>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</si>
  <si>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</si>
  <si>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</si>
  <si>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</si>
  <si>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</si>
  <si>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</si>
  <si>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</si>
  <si>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</si>
  <si>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</si>
  <si>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</si>
  <si>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</si>
  <si>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</si>
  <si>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</si>
  <si>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</si>
  <si>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</si>
  <si>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</si>
  <si>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</si>
  <si>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</si>
  <si>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</si>
  <si>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</si>
  <si>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</si>
  <si>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</si>
  <si>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</si>
  <si>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</si>
  <si>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</si>
  <si>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</si>
  <si>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</si>
  <si>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</si>
  <si>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</si>
  <si>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</si>
  <si>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</si>
  <si>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</si>
  <si>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</si>
  <si>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</si>
  <si>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</si>
  <si>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</si>
  <si>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</si>
  <si>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</si>
  <si>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</si>
  <si>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</si>
  <si>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</si>
  <si>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</si>
  <si>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</si>
  <si>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</si>
  <si>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</si>
  <si>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</si>
  <si>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</si>
  <si>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</si>
  <si>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</si>
  <si>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</si>
  <si>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</si>
  <si>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</si>
  <si>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</si>
  <si>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</si>
  <si>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</si>
  <si>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</si>
  <si>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</si>
  <si>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</si>
  <si>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</si>
  <si>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</si>
  <si>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</si>
  <si>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</si>
  <si>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</si>
  <si>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</si>
  <si>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</si>
  <si>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</si>
  <si>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</si>
  <si>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</si>
  <si>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</si>
  <si>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</si>
  <si>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</si>
  <si>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</si>
  <si>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</si>
  <si>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</si>
  <si>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</si>
  <si>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</si>
  <si>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</si>
  <si>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</si>
  <si>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</si>
  <si>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</si>
  <si>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</si>
  <si>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</si>
  <si>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</si>
  <si>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</si>
  <si>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</si>
  <si>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</si>
  <si>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</si>
  <si>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</si>
  <si>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</si>
  <si>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</si>
  <si>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</si>
  <si>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</si>
  <si>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</si>
  <si>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</si>
  <si>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</si>
  <si>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</si>
  <si>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</si>
  <si>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</si>
  <si>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</si>
  <si>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</si>
  <si>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</si>
  <si>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</si>
  <si>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</si>
  <si>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</si>
  <si>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</si>
  <si>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</si>
  <si>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</si>
  <si>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</si>
  <si>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</si>
  <si>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</si>
  <si>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</si>
  <si>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</si>
  <si>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</si>
  <si>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</si>
  <si>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5,81</t>
  </si>
  <si>
    <t>ROLO COMPACTADOR VIBRATÓRIO TANDEM AÇO LISO, POTÊNCIA 58 HP, PESO SEM/COM LASTRO 6,5 / 9,4 T, LARGURA DE TRABALHO 1,2 M - MANUTENÇÃO. AF_06/2014</t>
  </si>
  <si>
    <t>23,63</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</si>
  <si>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</si>
  <si>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</si>
  <si>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</si>
  <si>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</si>
  <si>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</si>
  <si>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</si>
  <si>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</si>
  <si>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</si>
  <si>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</si>
  <si>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</si>
  <si>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</si>
  <si>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</si>
  <si>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</si>
  <si>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</si>
  <si>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</si>
  <si>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</si>
  <si>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</si>
  <si>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</si>
  <si>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</si>
  <si>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</si>
  <si>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</si>
  <si>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</si>
  <si>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</si>
  <si>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</si>
  <si>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</si>
  <si>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</si>
  <si>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</si>
  <si>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</si>
  <si>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</si>
  <si>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</si>
  <si>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</si>
  <si>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</si>
  <si>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</si>
  <si>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</si>
  <si>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</si>
  <si>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</si>
  <si>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</si>
  <si>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</si>
  <si>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</si>
  <si>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</si>
  <si>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</si>
  <si>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</si>
  <si>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35,62</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</si>
  <si>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</si>
  <si>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</si>
  <si>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</si>
  <si>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</si>
  <si>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</si>
  <si>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40,89</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</si>
  <si>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</si>
  <si>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</si>
  <si>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</si>
  <si>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</si>
  <si>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</si>
  <si>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</si>
  <si>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</si>
  <si>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</si>
  <si>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</si>
  <si>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</si>
  <si>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</si>
  <si>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</si>
  <si>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</si>
  <si>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</si>
  <si>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</si>
  <si>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</si>
  <si>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</si>
  <si>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</si>
  <si>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</si>
  <si>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</si>
  <si>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</si>
  <si>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</si>
  <si>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</si>
  <si>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</si>
  <si>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</si>
  <si>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</si>
  <si>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</si>
  <si>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</si>
  <si>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8,91</t>
  </si>
  <si>
    <t>GRUPO DE SOLDAGEM COM GERADOR A DIESEL 60 CV PARA SOLDA ELÉTRICA, SOBRE 04 RODAS, COM MOTOR 4 CILINDROS 600 A - MANUTENÇÃO. AF_02/2016</t>
  </si>
  <si>
    <t>11,13</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</si>
  <si>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</si>
  <si>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</si>
  <si>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</si>
  <si>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</si>
  <si>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</si>
  <si>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</si>
  <si>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</si>
  <si>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</si>
  <si>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</si>
  <si>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</si>
  <si>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</si>
  <si>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</si>
  <si>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</si>
  <si>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</si>
  <si>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</si>
  <si>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</si>
  <si>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</si>
  <si>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</si>
  <si>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</si>
  <si>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</si>
  <si>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</si>
  <si>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</si>
  <si>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</si>
  <si>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</si>
  <si>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</si>
  <si>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</si>
  <si>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</si>
  <si>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</si>
  <si>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</si>
  <si>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</si>
  <si>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</si>
  <si>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</si>
  <si>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</si>
  <si>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</si>
  <si>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</si>
  <si>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</si>
  <si>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</si>
  <si>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</si>
  <si>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</si>
  <si>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</si>
  <si>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</si>
  <si>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</si>
  <si>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</si>
  <si>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</si>
  <si>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</si>
  <si>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</si>
  <si>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</si>
  <si>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</si>
  <si>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</si>
  <si>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</si>
  <si>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</si>
  <si>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</si>
  <si>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</si>
  <si>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</si>
  <si>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</si>
  <si>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</si>
  <si>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</si>
  <si>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</si>
  <si>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</si>
  <si>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</si>
  <si>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</si>
  <si>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</si>
  <si>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5,14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</si>
  <si>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</si>
  <si>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</si>
  <si>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</si>
  <si>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</si>
  <si>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</si>
  <si>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</si>
  <si>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</si>
  <si>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</si>
  <si>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</si>
  <si>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</si>
  <si>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</si>
  <si>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</si>
  <si>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</si>
  <si>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</si>
  <si>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</si>
  <si>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</si>
  <si>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</si>
  <si>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</si>
  <si>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</si>
  <si>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</si>
  <si>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</si>
  <si>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</si>
  <si>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</si>
  <si>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</si>
  <si>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</si>
  <si>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</si>
  <si>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</si>
  <si>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</si>
  <si>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</si>
  <si>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</si>
  <si>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</si>
  <si>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</si>
  <si>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</si>
  <si>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</si>
  <si>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</si>
  <si>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</si>
  <si>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</si>
  <si>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</si>
  <si>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</si>
  <si>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</si>
  <si>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</si>
  <si>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</si>
  <si>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</si>
  <si>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</si>
  <si>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</si>
  <si>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</si>
  <si>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</si>
  <si>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</si>
  <si>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</si>
  <si>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</si>
  <si>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</si>
  <si>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</si>
  <si>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</si>
  <si>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</si>
  <si>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</si>
  <si>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</si>
  <si>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</si>
  <si>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</si>
  <si>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</si>
  <si>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</si>
  <si>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</si>
  <si>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</si>
  <si>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</si>
  <si>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22,60</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</si>
  <si>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</si>
  <si>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</si>
  <si>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</si>
  <si>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</si>
  <si>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</si>
  <si>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</si>
  <si>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</si>
  <si>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</si>
  <si>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</si>
  <si>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</si>
  <si>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</si>
  <si>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</si>
  <si>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</si>
  <si>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</si>
  <si>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</si>
  <si>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</si>
  <si>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</si>
  <si>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</si>
  <si>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</si>
  <si>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</si>
  <si>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</si>
  <si>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</si>
  <si>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</si>
  <si>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</si>
  <si>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</si>
  <si>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</si>
  <si>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</si>
  <si>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</si>
  <si>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</si>
  <si>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</si>
  <si>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</si>
  <si>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</si>
  <si>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</si>
  <si>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</si>
  <si>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0,29</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</si>
  <si>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</si>
  <si>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</si>
  <si>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</si>
  <si>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3,76</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</si>
  <si>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</si>
  <si>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</si>
  <si>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</si>
  <si>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</si>
  <si>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</si>
  <si>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</si>
  <si>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</si>
  <si>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</si>
  <si>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</si>
  <si>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</si>
  <si>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</si>
  <si>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</si>
  <si>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</si>
  <si>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</si>
  <si>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</si>
  <si>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</si>
  <si>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</si>
  <si>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</si>
  <si>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</si>
  <si>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</si>
  <si>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</si>
  <si>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</si>
  <si>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</si>
  <si>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</si>
  <si>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</si>
  <si>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</si>
  <si>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</si>
  <si>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</si>
  <si>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</si>
  <si>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</si>
  <si>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</si>
  <si>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</si>
  <si>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</si>
  <si>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</si>
  <si>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</si>
  <si>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</si>
  <si>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</si>
  <si>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</si>
  <si>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</si>
  <si>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</si>
  <si>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</si>
  <si>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</si>
  <si>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</si>
  <si>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</si>
  <si>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</si>
  <si>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</si>
  <si>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</si>
  <si>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</si>
  <si>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</si>
  <si>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</si>
  <si>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</si>
  <si>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</si>
  <si>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</si>
  <si>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</si>
  <si>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</si>
  <si>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</si>
  <si>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</si>
  <si>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</si>
  <si>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</si>
  <si>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</si>
  <si>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</si>
  <si>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</si>
  <si>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</si>
  <si>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</si>
  <si>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</si>
  <si>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</si>
  <si>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</si>
  <si>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</si>
  <si>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</si>
  <si>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</si>
  <si>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</si>
  <si>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</si>
  <si>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12,56</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</si>
  <si>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</si>
  <si>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</si>
  <si>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</si>
  <si>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</si>
  <si>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</si>
  <si>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</si>
  <si>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13,76</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</si>
  <si>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</si>
  <si>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</si>
  <si>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</si>
  <si>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</si>
  <si>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</si>
  <si>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</si>
  <si>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</si>
  <si>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</si>
  <si>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</si>
  <si>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</si>
  <si>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</si>
  <si>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</si>
  <si>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</si>
  <si>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</si>
  <si>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</si>
  <si>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</si>
  <si>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</si>
  <si>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</si>
  <si>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</si>
  <si>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</si>
  <si>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</si>
  <si>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</si>
  <si>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</si>
  <si>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</si>
  <si>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</si>
  <si>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</si>
  <si>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</si>
  <si>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</si>
  <si>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</si>
  <si>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</si>
  <si>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</si>
  <si>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</si>
  <si>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</si>
  <si>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</si>
  <si>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</si>
  <si>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</si>
  <si>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</si>
  <si>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</si>
  <si>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</si>
  <si>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</si>
  <si>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</si>
  <si>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</si>
  <si>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</si>
  <si>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</si>
  <si>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</si>
  <si>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</si>
  <si>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</si>
  <si>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</si>
  <si>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</si>
  <si>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</si>
  <si>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</si>
  <si>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</si>
  <si>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</si>
  <si>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</si>
  <si>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</si>
  <si>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</si>
  <si>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</si>
  <si>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</si>
  <si>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</si>
  <si>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5,78</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</si>
  <si>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</si>
  <si>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</si>
  <si>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</si>
  <si>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</si>
  <si>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178,97</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</si>
  <si>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</si>
  <si>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</si>
  <si>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</si>
  <si>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</si>
  <si>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</si>
  <si>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</si>
  <si>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</si>
  <si>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</si>
  <si>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</si>
  <si>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</si>
  <si>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</si>
  <si>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</si>
  <si>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</si>
  <si>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</si>
  <si>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</si>
  <si>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</si>
  <si>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</si>
  <si>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</si>
  <si>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</si>
  <si>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</si>
  <si>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</si>
  <si>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</si>
  <si>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</si>
  <si>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</si>
  <si>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</si>
  <si>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</si>
  <si>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</si>
  <si>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</si>
  <si>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</si>
  <si>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</si>
  <si>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</si>
  <si>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</si>
  <si>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</si>
  <si>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</si>
  <si>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</si>
  <si>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</si>
  <si>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</si>
  <si>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</si>
  <si>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</si>
  <si>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</si>
  <si>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</si>
  <si>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</si>
  <si>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</si>
  <si>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</si>
  <si>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</si>
  <si>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</si>
  <si>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</si>
  <si>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</si>
  <si>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</si>
  <si>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</si>
  <si>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</si>
  <si>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</si>
  <si>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</si>
  <si>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</si>
  <si>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</si>
  <si>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</si>
  <si>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</si>
  <si>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</si>
  <si>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</si>
  <si>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</si>
  <si>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</si>
  <si>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</si>
  <si>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</si>
  <si>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</si>
  <si>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</si>
  <si>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</si>
  <si>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</si>
  <si>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</si>
  <si>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</si>
  <si>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</si>
  <si>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</si>
  <si>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</si>
  <si>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</si>
  <si>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</si>
  <si>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</si>
  <si>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</si>
  <si>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</si>
  <si>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</si>
  <si>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</si>
  <si>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</si>
  <si>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</si>
  <si>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</si>
  <si>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</si>
  <si>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</si>
  <si>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</si>
  <si>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</si>
  <si>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</si>
  <si>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</si>
  <si>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</si>
  <si>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</si>
  <si>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</si>
  <si>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</si>
  <si>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</si>
  <si>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</si>
  <si>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</si>
  <si>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</si>
  <si>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</si>
  <si>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</si>
  <si>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</si>
  <si>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</si>
  <si>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</si>
  <si>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</si>
  <si>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</si>
  <si>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</si>
  <si>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</si>
  <si>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</si>
  <si>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</si>
  <si>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</si>
  <si>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</si>
  <si>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</si>
  <si>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</si>
  <si>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</si>
  <si>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</si>
  <si>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</si>
  <si>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</si>
  <si>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</si>
  <si>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</si>
  <si>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</si>
  <si>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</si>
  <si>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</si>
  <si>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</si>
  <si>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</si>
  <si>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</si>
  <si>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</si>
  <si>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</si>
  <si>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</si>
  <si>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</si>
  <si>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</si>
  <si>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</si>
  <si>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</si>
  <si>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</si>
  <si>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</si>
  <si>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</si>
  <si>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</si>
  <si>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</si>
  <si>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</si>
  <si>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</si>
  <si>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</si>
  <si>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</si>
  <si>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</si>
  <si>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</si>
  <si>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</si>
  <si>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</si>
  <si>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</si>
  <si>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</si>
  <si>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</si>
  <si>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</si>
  <si>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</si>
  <si>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</si>
  <si>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</si>
  <si>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</si>
  <si>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</si>
  <si>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</si>
  <si>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</si>
  <si>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</si>
  <si>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</si>
  <si>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3,30</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</si>
  <si>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</si>
  <si>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</si>
  <si>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</si>
  <si>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</si>
  <si>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</si>
  <si>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</si>
  <si>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</si>
  <si>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</si>
  <si>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</si>
  <si>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</si>
  <si>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</si>
  <si>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</si>
  <si>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</si>
  <si>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</si>
  <si>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</si>
  <si>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</si>
  <si>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</si>
  <si>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</si>
  <si>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</si>
  <si>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</si>
  <si>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</si>
  <si>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</si>
  <si>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</si>
  <si>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</si>
  <si>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</si>
  <si>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</si>
  <si>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</si>
  <si>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</si>
  <si>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</si>
  <si>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</si>
  <si>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</si>
  <si>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</si>
  <si>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</si>
  <si>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</si>
  <si>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</si>
  <si>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</si>
  <si>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</si>
  <si>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</si>
  <si>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</si>
  <si>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</si>
  <si>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</si>
  <si>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</si>
  <si>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</si>
  <si>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</si>
  <si>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</si>
  <si>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</si>
  <si>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</si>
  <si>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</si>
  <si>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</si>
  <si>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</si>
  <si>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</si>
  <si>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</si>
  <si>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</si>
  <si>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</si>
  <si>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</si>
  <si>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</si>
  <si>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</si>
  <si>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</si>
  <si>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</si>
  <si>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</si>
  <si>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</si>
  <si>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</si>
  <si>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</si>
  <si>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</si>
  <si>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</si>
  <si>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</si>
  <si>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</si>
  <si>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</si>
  <si>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</si>
  <si>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</si>
  <si>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</si>
  <si>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</si>
  <si>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</si>
  <si>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</si>
  <si>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</si>
  <si>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</si>
  <si>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</si>
  <si>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</si>
  <si>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</si>
  <si>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</si>
  <si>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</si>
  <si>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</si>
  <si>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</si>
  <si>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</si>
  <si>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</si>
  <si>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</si>
  <si>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</si>
  <si>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</si>
  <si>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</si>
  <si>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</si>
  <si>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</si>
  <si>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9,38</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</si>
  <si>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</si>
  <si>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</si>
  <si>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</si>
  <si>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</si>
  <si>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</si>
  <si>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</si>
  <si>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</si>
  <si>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</si>
  <si>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</si>
  <si>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</si>
  <si>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</si>
  <si>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</si>
  <si>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</si>
  <si>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</si>
  <si>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</si>
  <si>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</si>
  <si>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</si>
  <si>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</si>
  <si>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</si>
  <si>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</si>
  <si>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</si>
  <si>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76,06</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</si>
  <si>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</si>
  <si>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</si>
  <si>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</si>
  <si>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</si>
  <si>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</si>
  <si>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</si>
  <si>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</si>
  <si>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</si>
  <si>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</si>
  <si>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</si>
  <si>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</si>
  <si>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</si>
  <si>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</si>
  <si>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</si>
  <si>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</si>
  <si>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</si>
  <si>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</si>
  <si>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</si>
  <si>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</si>
  <si>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</si>
  <si>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</si>
  <si>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</si>
  <si>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</si>
  <si>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</si>
  <si>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</si>
  <si>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</si>
  <si>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</si>
  <si>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</si>
  <si>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</si>
  <si>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</si>
  <si>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</si>
  <si>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</si>
  <si>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</si>
  <si>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</si>
  <si>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</si>
  <si>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</si>
  <si>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</si>
  <si>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</si>
  <si>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</si>
  <si>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</si>
  <si>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</si>
  <si>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</si>
  <si>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</si>
  <si>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</si>
  <si>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</si>
  <si>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</si>
  <si>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</si>
  <si>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</si>
  <si>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</si>
  <si>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</si>
  <si>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</si>
  <si>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</si>
  <si>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</si>
  <si>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</si>
  <si>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</si>
  <si>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</si>
  <si>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</si>
  <si>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</si>
  <si>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</si>
  <si>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</si>
  <si>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</si>
  <si>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</si>
  <si>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</si>
  <si>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</si>
  <si>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</si>
  <si>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</si>
  <si>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</si>
  <si>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</si>
  <si>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</si>
  <si>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</si>
  <si>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</si>
  <si>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</si>
  <si>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</si>
  <si>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</si>
  <si>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</si>
  <si>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</si>
  <si>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</si>
  <si>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</si>
  <si>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</si>
  <si>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</si>
  <si>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</si>
  <si>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</si>
  <si>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</si>
  <si>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</si>
  <si>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</si>
  <si>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</si>
  <si>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</si>
  <si>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</si>
  <si>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</si>
  <si>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</si>
  <si>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</si>
  <si>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</si>
  <si>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</si>
  <si>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</si>
  <si>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</si>
  <si>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</si>
  <si>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</si>
  <si>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</si>
  <si>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</si>
  <si>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</si>
  <si>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</si>
  <si>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</si>
  <si>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</si>
  <si>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</si>
  <si>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</si>
  <si>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</si>
  <si>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</si>
  <si>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</si>
  <si>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</si>
  <si>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</si>
  <si>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</si>
  <si>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</si>
  <si>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</si>
  <si>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</si>
  <si>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</si>
  <si>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</si>
  <si>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</si>
  <si>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</si>
  <si>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</si>
  <si>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</si>
  <si>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</si>
  <si>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23,39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</si>
  <si>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</si>
  <si>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</si>
  <si>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</si>
  <si>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</si>
  <si>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252,10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</si>
  <si>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</si>
  <si>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</si>
  <si>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</si>
  <si>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</si>
  <si>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</si>
  <si>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</si>
  <si>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</si>
  <si>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</si>
  <si>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</si>
  <si>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</si>
  <si>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</si>
  <si>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</si>
  <si>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</si>
  <si>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</si>
  <si>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</si>
  <si>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</si>
  <si>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</si>
  <si>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</si>
  <si>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</si>
  <si>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</si>
  <si>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</si>
  <si>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</si>
  <si>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</si>
  <si>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</si>
  <si>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</si>
  <si>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</si>
  <si>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</si>
  <si>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</si>
  <si>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</si>
  <si>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</si>
  <si>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</si>
  <si>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</si>
  <si>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</si>
  <si>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</si>
  <si>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</si>
  <si>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</si>
  <si>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</si>
  <si>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</si>
  <si>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</si>
  <si>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</si>
  <si>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</si>
  <si>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</si>
  <si>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</si>
  <si>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</si>
  <si>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</si>
  <si>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</si>
  <si>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</si>
  <si>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</si>
  <si>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</si>
  <si>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</si>
  <si>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</si>
  <si>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</si>
  <si>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</si>
  <si>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</si>
  <si>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</si>
  <si>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</si>
  <si>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</si>
  <si>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12,70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</si>
  <si>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</si>
  <si>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</si>
  <si>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</si>
  <si>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</si>
  <si>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</si>
  <si>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</si>
  <si>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</si>
  <si>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</si>
  <si>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</si>
  <si>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</si>
  <si>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</si>
  <si>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</si>
  <si>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</si>
  <si>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</si>
  <si>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</si>
  <si>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</si>
  <si>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</si>
  <si>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</si>
  <si>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</si>
  <si>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</si>
  <si>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</si>
  <si>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</si>
  <si>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</si>
  <si>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</si>
  <si>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</si>
  <si>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</si>
  <si>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</si>
  <si>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</si>
  <si>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</si>
  <si>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</si>
  <si>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</si>
  <si>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</si>
  <si>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</si>
  <si>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</si>
  <si>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</si>
  <si>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</si>
  <si>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</si>
  <si>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</si>
  <si>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</si>
  <si>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</si>
  <si>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</si>
  <si>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</si>
  <si>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</si>
  <si>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</si>
  <si>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</si>
  <si>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</si>
  <si>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</si>
  <si>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</si>
  <si>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</si>
  <si>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</si>
  <si>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</si>
  <si>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</si>
  <si>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</si>
  <si>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</si>
  <si>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</si>
  <si>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</si>
  <si>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</si>
  <si>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</si>
  <si>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</si>
  <si>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</si>
  <si>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</si>
  <si>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</si>
  <si>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</si>
  <si>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</si>
  <si>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</si>
  <si>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</si>
  <si>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</si>
  <si>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</si>
  <si>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</si>
  <si>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</si>
  <si>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</si>
  <si>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</si>
  <si>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683,81</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</si>
  <si>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</si>
  <si>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</si>
  <si>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</si>
  <si>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</si>
  <si>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</si>
  <si>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</si>
  <si>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</si>
  <si>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</si>
  <si>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</si>
  <si>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</si>
  <si>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</si>
  <si>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</si>
  <si>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</si>
  <si>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</si>
  <si>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</si>
  <si>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</si>
  <si>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</si>
  <si>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</si>
  <si>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</si>
  <si>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</si>
  <si>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</si>
  <si>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</si>
  <si>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</si>
  <si>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</si>
  <si>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</si>
  <si>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</si>
  <si>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</si>
  <si>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</si>
  <si>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</si>
  <si>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</si>
  <si>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</si>
  <si>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</si>
  <si>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</si>
  <si>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</si>
  <si>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</si>
  <si>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</si>
  <si>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</si>
  <si>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</si>
  <si>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</si>
  <si>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</si>
  <si>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</si>
  <si>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</si>
  <si>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</si>
  <si>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</si>
  <si>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</si>
  <si>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</si>
  <si>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</si>
  <si>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</si>
  <si>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</si>
  <si>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</si>
  <si>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</si>
  <si>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</si>
  <si>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</si>
  <si>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</si>
  <si>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</si>
  <si>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</si>
  <si>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</si>
  <si>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</si>
  <si>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</si>
  <si>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</si>
  <si>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</si>
  <si>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</si>
  <si>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</si>
  <si>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</si>
  <si>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</si>
  <si>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</si>
  <si>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</si>
  <si>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</si>
  <si>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</si>
  <si>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</si>
  <si>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</si>
  <si>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</si>
  <si>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</si>
  <si>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</si>
  <si>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</si>
  <si>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</si>
  <si>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</si>
  <si>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93,57</t>
  </si>
  <si>
    <t>61,65</t>
  </si>
  <si>
    <t>MONTAGEM E DESMONTAGEM DE FÔRMA DE VIGA, ESCORAMENTO METÁLICO, PÉ-DIREITO DUPLO, EM CHAPA DE MADEIRA RESINADA, 6 UTILIZAÇÕES. AF_12/2015</t>
  </si>
  <si>
    <t>41,79</t>
  </si>
  <si>
    <t>21,48</t>
  </si>
  <si>
    <t>20,11</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</si>
  <si>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</si>
  <si>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</si>
  <si>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</si>
  <si>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</si>
  <si>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</si>
  <si>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</si>
  <si>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</si>
  <si>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</si>
  <si>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</si>
  <si>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</si>
  <si>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</si>
  <si>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</si>
  <si>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</si>
  <si>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</si>
  <si>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</si>
  <si>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83,59</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</si>
  <si>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</si>
  <si>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</si>
  <si>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</si>
  <si>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</si>
  <si>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</si>
  <si>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</si>
  <si>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</si>
  <si>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8,23</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</si>
  <si>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</si>
  <si>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</si>
  <si>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</si>
  <si>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</si>
  <si>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</si>
  <si>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</si>
  <si>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</si>
  <si>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</si>
  <si>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</si>
  <si>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</si>
  <si>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</si>
  <si>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</si>
  <si>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</si>
  <si>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</si>
  <si>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</si>
  <si>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</si>
  <si>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</si>
  <si>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</si>
  <si>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</si>
  <si>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</si>
  <si>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</si>
  <si>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</si>
  <si>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</si>
  <si>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</si>
  <si>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</si>
  <si>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</si>
  <si>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</si>
  <si>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</si>
  <si>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</si>
  <si>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</si>
  <si>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</si>
  <si>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</si>
  <si>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6,48</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</si>
  <si>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</si>
  <si>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</si>
  <si>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</si>
  <si>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</si>
  <si>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</si>
  <si>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</si>
  <si>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7,34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</si>
  <si>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</si>
  <si>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</si>
  <si>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</si>
  <si>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</si>
  <si>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</si>
  <si>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</si>
  <si>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</si>
  <si>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</si>
  <si>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</si>
  <si>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</si>
  <si>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</si>
  <si>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</si>
  <si>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</si>
  <si>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</si>
  <si>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</si>
  <si>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</si>
  <si>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</si>
  <si>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</si>
  <si>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</si>
  <si>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</si>
  <si>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</si>
  <si>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</si>
  <si>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</si>
  <si>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</si>
  <si>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</si>
  <si>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</si>
  <si>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</si>
  <si>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</si>
  <si>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</si>
  <si>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</si>
  <si>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</si>
  <si>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</si>
  <si>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</si>
  <si>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</si>
  <si>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</si>
  <si>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</si>
  <si>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8,94</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</si>
  <si>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</si>
  <si>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</si>
  <si>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</si>
  <si>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</si>
  <si>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</si>
  <si>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</si>
  <si>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</si>
  <si>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</si>
  <si>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</si>
  <si>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</si>
  <si>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</si>
  <si>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</si>
  <si>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</si>
  <si>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</si>
  <si>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</si>
  <si>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</si>
  <si>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</si>
  <si>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</si>
  <si>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</si>
  <si>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</si>
  <si>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</si>
  <si>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</si>
  <si>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</si>
  <si>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</si>
  <si>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</si>
  <si>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</si>
  <si>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</si>
  <si>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</si>
  <si>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</si>
  <si>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</si>
  <si>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</si>
  <si>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</si>
  <si>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</si>
  <si>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</si>
  <si>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</si>
  <si>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</si>
  <si>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</si>
  <si>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</si>
  <si>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</si>
  <si>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</si>
  <si>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</si>
  <si>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</si>
  <si>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</si>
  <si>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</si>
  <si>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</si>
  <si>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</si>
  <si>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</si>
  <si>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</si>
  <si>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</si>
  <si>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</si>
  <si>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</si>
  <si>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</si>
  <si>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</si>
  <si>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</si>
  <si>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</si>
  <si>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</si>
  <si>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30,13</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</si>
  <si>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</si>
  <si>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</si>
  <si>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</si>
  <si>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</si>
  <si>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</si>
  <si>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</si>
  <si>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</si>
  <si>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</si>
  <si>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</si>
  <si>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</si>
  <si>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</si>
  <si>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9,14</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</si>
  <si>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</si>
  <si>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</si>
  <si>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</si>
  <si>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</si>
  <si>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</si>
  <si>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</si>
  <si>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</si>
  <si>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</si>
  <si>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</si>
  <si>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</si>
  <si>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</si>
  <si>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</si>
  <si>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</si>
  <si>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</si>
  <si>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</si>
  <si>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</si>
  <si>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</si>
  <si>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</si>
  <si>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</si>
  <si>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</si>
  <si>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</si>
  <si>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</si>
  <si>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</si>
  <si>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</si>
  <si>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</si>
  <si>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</si>
  <si>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</si>
  <si>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</si>
  <si>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</si>
  <si>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</si>
  <si>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</si>
  <si>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</si>
  <si>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</si>
  <si>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</si>
  <si>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</si>
  <si>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</si>
  <si>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</si>
  <si>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</si>
  <si>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</si>
  <si>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</si>
  <si>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</si>
  <si>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</si>
  <si>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</si>
  <si>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</si>
  <si>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</si>
  <si>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</si>
  <si>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</si>
  <si>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</si>
  <si>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</si>
  <si>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</si>
  <si>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</si>
  <si>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</si>
  <si>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</si>
  <si>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</si>
  <si>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</si>
  <si>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</si>
  <si>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</si>
  <si>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</si>
  <si>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</si>
  <si>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</si>
  <si>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</si>
  <si>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</si>
  <si>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</si>
  <si>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</si>
  <si>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</si>
  <si>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</si>
  <si>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</si>
  <si>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</si>
  <si>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</si>
  <si>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</si>
  <si>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</si>
  <si>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</si>
  <si>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</si>
  <si>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</si>
  <si>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</si>
  <si>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</si>
  <si>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</si>
  <si>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</si>
  <si>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</si>
  <si>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</si>
  <si>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</si>
  <si>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</si>
  <si>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</si>
  <si>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</si>
  <si>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</si>
  <si>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</si>
  <si>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</si>
  <si>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</si>
  <si>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</si>
  <si>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</si>
  <si>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</si>
  <si>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</si>
  <si>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</si>
  <si>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</si>
  <si>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</si>
  <si>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</si>
  <si>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9,47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</si>
  <si>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</si>
  <si>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</si>
  <si>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</si>
  <si>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</si>
  <si>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</si>
  <si>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</si>
  <si>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</si>
  <si>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</si>
  <si>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</si>
  <si>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</si>
  <si>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</si>
  <si>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</si>
  <si>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</si>
  <si>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</si>
  <si>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</si>
  <si>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</si>
  <si>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</si>
  <si>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</si>
  <si>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</si>
  <si>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</si>
  <si>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</si>
  <si>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</si>
  <si>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</si>
  <si>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</si>
  <si>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</si>
  <si>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</si>
  <si>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</si>
  <si>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</si>
  <si>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</si>
  <si>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</si>
  <si>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</si>
  <si>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</si>
  <si>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</si>
  <si>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</si>
  <si>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</si>
  <si>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</si>
  <si>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</si>
  <si>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</si>
  <si>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</si>
  <si>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</si>
  <si>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</si>
  <si>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</si>
  <si>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</si>
  <si>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</si>
  <si>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</si>
  <si>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</si>
  <si>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</si>
  <si>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</si>
  <si>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</si>
  <si>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</si>
  <si>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</si>
  <si>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</si>
  <si>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</si>
  <si>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</si>
  <si>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</si>
  <si>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</si>
  <si>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</si>
  <si>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</si>
  <si>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</si>
  <si>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</si>
  <si>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</si>
  <si>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</si>
  <si>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</si>
  <si>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</si>
  <si>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</si>
  <si>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</si>
  <si>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</si>
  <si>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</si>
  <si>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</si>
  <si>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</si>
  <si>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</si>
  <si>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</si>
  <si>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</si>
  <si>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</si>
  <si>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</si>
  <si>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</si>
  <si>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</si>
  <si>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</si>
  <si>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</si>
  <si>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</si>
  <si>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</si>
  <si>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</si>
  <si>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</si>
  <si>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</si>
  <si>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</si>
  <si>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</si>
  <si>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</si>
  <si>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</si>
  <si>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</si>
  <si>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</si>
  <si>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</si>
  <si>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</si>
  <si>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</si>
  <si>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</si>
  <si>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</si>
  <si>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</si>
  <si>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</si>
  <si>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</si>
  <si>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</si>
  <si>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26,83</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</si>
  <si>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</si>
  <si>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</si>
  <si>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</si>
  <si>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</si>
  <si>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</si>
  <si>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</si>
  <si>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</si>
  <si>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</si>
  <si>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</si>
  <si>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</si>
  <si>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</si>
  <si>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</si>
  <si>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</si>
  <si>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</si>
  <si>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</si>
  <si>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</si>
  <si>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9,45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</si>
  <si>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</si>
  <si>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</si>
  <si>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</si>
  <si>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</si>
  <si>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</si>
  <si>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</si>
  <si>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</si>
  <si>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</si>
  <si>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</si>
  <si>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</si>
  <si>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</si>
  <si>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28,24</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</si>
  <si>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</si>
  <si>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</si>
  <si>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</si>
  <si>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</si>
  <si>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</si>
  <si>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</si>
  <si>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</si>
  <si>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</si>
  <si>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</si>
  <si>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</si>
  <si>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</si>
  <si>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</si>
  <si>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</si>
  <si>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</si>
  <si>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</si>
  <si>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</si>
  <si>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</si>
  <si>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</si>
  <si>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</si>
  <si>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</si>
  <si>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</si>
  <si>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</si>
  <si>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</si>
  <si>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</si>
  <si>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</si>
  <si>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</si>
  <si>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</si>
  <si>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</si>
  <si>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</si>
  <si>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</si>
  <si>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</si>
  <si>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</si>
  <si>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</si>
  <si>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</si>
  <si>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</si>
  <si>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</si>
  <si>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</si>
  <si>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51,77</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</si>
  <si>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</si>
  <si>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</si>
  <si>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</si>
  <si>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</si>
  <si>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</si>
  <si>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</si>
  <si>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</si>
  <si>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</si>
  <si>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</si>
  <si>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</si>
  <si>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</si>
  <si>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</si>
  <si>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</si>
  <si>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</si>
  <si>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</si>
  <si>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</si>
  <si>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</si>
  <si>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</si>
  <si>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</si>
  <si>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</si>
  <si>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</si>
  <si>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</si>
  <si>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</si>
  <si>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</si>
  <si>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</si>
  <si>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</si>
  <si>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</si>
  <si>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</si>
  <si>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</si>
  <si>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29,74</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</si>
  <si>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</si>
  <si>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</si>
  <si>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</si>
  <si>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</si>
  <si>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</si>
  <si>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</si>
  <si>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</si>
  <si>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</si>
  <si>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</si>
  <si>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</si>
  <si>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</si>
  <si>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</si>
  <si>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</si>
  <si>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43,72</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</si>
  <si>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</si>
  <si>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</si>
  <si>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</si>
  <si>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</si>
  <si>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</si>
  <si>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</si>
  <si>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</si>
  <si>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</si>
  <si>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</si>
  <si>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</si>
  <si>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</si>
  <si>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</si>
  <si>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</si>
  <si>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</si>
  <si>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</si>
  <si>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</si>
  <si>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</si>
  <si>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</si>
  <si>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</si>
  <si>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</si>
  <si>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</si>
  <si>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</si>
  <si>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</si>
  <si>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</si>
  <si>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</si>
  <si>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</si>
  <si>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</si>
  <si>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</si>
  <si>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</si>
  <si>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</si>
  <si>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</si>
  <si>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28,33</t>
  </si>
  <si>
    <t>42,71</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</si>
  <si>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</si>
  <si>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</si>
  <si>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</si>
  <si>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</si>
  <si>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</si>
  <si>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</si>
  <si>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</si>
  <si>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</si>
  <si>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</si>
  <si>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</si>
  <si>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</si>
  <si>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</si>
  <si>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</si>
  <si>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</si>
  <si>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</si>
  <si>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</si>
  <si>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</si>
  <si>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</si>
  <si>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</si>
  <si>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</si>
  <si>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</si>
  <si>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</si>
  <si>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</si>
  <si>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</si>
  <si>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</si>
  <si>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</si>
  <si>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</si>
  <si>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</si>
  <si>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</si>
  <si>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</si>
  <si>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</si>
  <si>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</si>
  <si>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</si>
  <si>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</si>
  <si>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</si>
  <si>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</si>
  <si>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</si>
  <si>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</si>
  <si>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</si>
  <si>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</si>
  <si>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</si>
  <si>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</si>
  <si>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</si>
  <si>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</si>
  <si>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</si>
  <si>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</si>
  <si>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</si>
  <si>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</si>
  <si>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</si>
  <si>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</si>
  <si>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</si>
  <si>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</si>
  <si>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</si>
  <si>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</si>
  <si>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</si>
  <si>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</si>
  <si>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</si>
  <si>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</si>
  <si>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</si>
  <si>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</si>
  <si>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</si>
  <si>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</si>
  <si>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</si>
  <si>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</si>
  <si>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</si>
  <si>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</si>
  <si>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</si>
  <si>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</si>
  <si>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</si>
  <si>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57,46</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</si>
  <si>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</si>
  <si>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</si>
  <si>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</si>
  <si>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</si>
  <si>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</si>
  <si>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</si>
  <si>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</si>
  <si>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</si>
  <si>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</si>
  <si>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</si>
  <si>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</si>
  <si>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</si>
  <si>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</si>
  <si>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</si>
  <si>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</si>
  <si>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</si>
  <si>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</si>
  <si>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</si>
  <si>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</si>
  <si>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</si>
  <si>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</si>
  <si>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</si>
  <si>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</si>
  <si>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</si>
  <si>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</si>
  <si>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</si>
  <si>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</si>
  <si>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</si>
  <si>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</si>
  <si>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</si>
  <si>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</si>
  <si>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</si>
  <si>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</si>
  <si>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</si>
  <si>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</si>
  <si>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</si>
  <si>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</si>
  <si>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</si>
  <si>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</si>
  <si>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</si>
  <si>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</si>
  <si>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</si>
  <si>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</si>
  <si>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</si>
  <si>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</si>
  <si>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</si>
  <si>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</si>
  <si>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256,76</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</si>
  <si>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</si>
  <si>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</si>
  <si>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</si>
  <si>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</si>
  <si>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</si>
  <si>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</si>
  <si>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</si>
  <si>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</si>
  <si>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</si>
  <si>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</si>
  <si>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</si>
  <si>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</si>
  <si>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</si>
  <si>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</si>
  <si>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</si>
  <si>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</si>
  <si>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</si>
  <si>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</si>
  <si>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</si>
  <si>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</si>
  <si>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</si>
  <si>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</si>
  <si>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</si>
  <si>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</si>
  <si>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</si>
  <si>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</si>
  <si>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</si>
  <si>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</si>
  <si>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</si>
  <si>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</si>
  <si>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</si>
  <si>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</si>
  <si>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</si>
  <si>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</si>
  <si>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</si>
  <si>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</si>
  <si>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</si>
  <si>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</si>
  <si>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</si>
  <si>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</si>
  <si>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</si>
  <si>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</si>
  <si>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</si>
  <si>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</si>
  <si>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</si>
  <si>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</si>
  <si>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</si>
  <si>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</si>
  <si>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</si>
  <si>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</si>
  <si>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</si>
  <si>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</si>
  <si>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</si>
  <si>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</si>
  <si>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</si>
  <si>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</si>
  <si>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</si>
  <si>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</si>
  <si>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</si>
  <si>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</si>
  <si>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</si>
  <si>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</si>
  <si>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</si>
  <si>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</si>
  <si>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</si>
  <si>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</si>
  <si>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</si>
  <si>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</si>
  <si>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</si>
  <si>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</si>
  <si>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</si>
  <si>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</si>
  <si>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</si>
  <si>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</si>
  <si>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</si>
  <si>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</si>
  <si>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</si>
  <si>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</si>
  <si>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</si>
  <si>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</si>
  <si>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</si>
  <si>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</si>
  <si>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</si>
  <si>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</si>
  <si>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49,14</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</si>
  <si>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</si>
  <si>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</si>
  <si>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</si>
  <si>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</si>
  <si>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</si>
  <si>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</si>
  <si>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</si>
  <si>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</si>
  <si>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</si>
  <si>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</si>
  <si>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</si>
  <si>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</si>
  <si>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</si>
  <si>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</si>
  <si>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</si>
  <si>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</si>
  <si>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</si>
  <si>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</si>
  <si>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</si>
  <si>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</si>
  <si>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</si>
  <si>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</si>
  <si>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</si>
  <si>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</si>
  <si>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</si>
  <si>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</si>
  <si>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</si>
  <si>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</si>
  <si>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</si>
  <si>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</si>
  <si>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</si>
  <si>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</si>
  <si>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</si>
  <si>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</si>
  <si>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</si>
  <si>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</si>
  <si>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</si>
  <si>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</si>
  <si>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</si>
  <si>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</si>
  <si>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</si>
  <si>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</si>
  <si>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</si>
  <si>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</si>
  <si>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</si>
  <si>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</si>
  <si>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</si>
  <si>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</si>
  <si>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</si>
  <si>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</si>
  <si>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</si>
  <si>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</si>
  <si>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</si>
  <si>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14,69</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</si>
  <si>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</si>
  <si>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</si>
  <si>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</si>
  <si>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</si>
  <si>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</si>
  <si>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</si>
  <si>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</si>
  <si>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</si>
  <si>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</si>
  <si>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</si>
  <si>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</si>
  <si>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</si>
  <si>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</si>
  <si>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</si>
  <si>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</si>
  <si>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</si>
  <si>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</si>
  <si>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</si>
  <si>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</si>
  <si>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</si>
  <si>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</si>
  <si>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</si>
  <si>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</si>
  <si>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</si>
  <si>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</si>
  <si>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</si>
  <si>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</si>
  <si>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</si>
  <si>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</si>
  <si>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</si>
  <si>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</si>
  <si>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</si>
  <si>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</si>
  <si>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</si>
  <si>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</si>
  <si>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</si>
  <si>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</si>
  <si>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</si>
  <si>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</si>
  <si>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</si>
  <si>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</si>
  <si>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</si>
  <si>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</si>
  <si>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</si>
  <si>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</si>
  <si>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</si>
  <si>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</si>
  <si>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</si>
  <si>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</si>
  <si>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</si>
  <si>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</si>
  <si>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</si>
  <si>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</si>
  <si>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</si>
  <si>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</si>
  <si>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</si>
  <si>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</si>
  <si>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</si>
  <si>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</si>
  <si>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</si>
  <si>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</si>
  <si>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</si>
  <si>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</si>
  <si>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</si>
  <si>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123,64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</si>
  <si>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</si>
  <si>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</si>
  <si>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</si>
  <si>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</si>
  <si>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</si>
  <si>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</si>
  <si>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</si>
  <si>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</si>
  <si>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</si>
  <si>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</si>
  <si>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</si>
  <si>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</si>
  <si>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</si>
  <si>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</si>
  <si>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</si>
  <si>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</si>
  <si>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</si>
  <si>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</si>
  <si>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</si>
  <si>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4,31</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</si>
  <si>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</si>
  <si>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</si>
  <si>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</si>
  <si>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</si>
  <si>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</si>
  <si>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</si>
  <si>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</si>
  <si>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</si>
  <si>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</si>
  <si>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5,68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</si>
  <si>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</si>
  <si>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</si>
  <si>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</si>
  <si>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</si>
  <si>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</si>
  <si>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</si>
  <si>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</si>
  <si>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</si>
  <si>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</si>
  <si>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</si>
  <si>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</si>
  <si>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</si>
  <si>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</si>
  <si>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</si>
  <si>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</si>
  <si>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</si>
  <si>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</si>
  <si>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</si>
  <si>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</si>
  <si>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</si>
  <si>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</si>
  <si>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</si>
  <si>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</si>
  <si>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</si>
  <si>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</si>
  <si>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</si>
  <si>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</si>
  <si>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</si>
  <si>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</si>
  <si>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</si>
  <si>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</si>
  <si>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</si>
  <si>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</si>
  <si>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</si>
  <si>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</si>
  <si>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</si>
  <si>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</si>
  <si>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</si>
  <si>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</si>
  <si>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</si>
  <si>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</si>
  <si>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</si>
  <si>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</si>
  <si>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</si>
  <si>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</si>
  <si>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</si>
  <si>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</si>
  <si>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</si>
  <si>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</si>
  <si>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</si>
  <si>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</si>
  <si>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</si>
  <si>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</si>
  <si>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</si>
  <si>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</si>
  <si>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</si>
  <si>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</si>
  <si>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</si>
  <si>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</si>
  <si>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</si>
  <si>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</si>
  <si>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</si>
  <si>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</si>
  <si>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</si>
  <si>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</si>
  <si>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</si>
  <si>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</si>
  <si>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</si>
  <si>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</si>
  <si>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</si>
  <si>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</si>
  <si>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</si>
  <si>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</si>
  <si>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</si>
  <si>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</si>
  <si>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</si>
  <si>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</si>
  <si>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</si>
  <si>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</si>
  <si>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</si>
  <si>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</si>
  <si>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</si>
  <si>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</si>
  <si>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</si>
  <si>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</si>
  <si>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</si>
  <si>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</si>
  <si>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</si>
  <si>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</si>
  <si>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</si>
  <si>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</si>
  <si>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</si>
  <si>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</si>
  <si>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</si>
  <si>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</si>
  <si>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</si>
  <si>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</si>
  <si>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</si>
  <si>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</si>
  <si>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</si>
  <si>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</si>
  <si>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</si>
  <si>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</si>
  <si>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</si>
  <si>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</si>
  <si>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</si>
  <si>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</si>
  <si>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</si>
  <si>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</si>
  <si>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</si>
  <si>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</si>
  <si>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</si>
  <si>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</si>
  <si>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</si>
  <si>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</si>
  <si>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</si>
  <si>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</si>
  <si>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</si>
  <si>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</si>
  <si>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</si>
  <si>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</si>
  <si>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</si>
  <si>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</si>
  <si>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</si>
  <si>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</si>
  <si>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</si>
  <si>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</si>
  <si>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</si>
  <si>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</si>
  <si>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</si>
  <si>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</si>
  <si>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</si>
  <si>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</si>
  <si>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</si>
  <si>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</si>
  <si>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</si>
  <si>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</si>
  <si>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</si>
  <si>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</si>
  <si>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</si>
  <si>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</si>
  <si>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</si>
  <si>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</si>
  <si>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</si>
  <si>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</si>
  <si>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</si>
  <si>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</si>
  <si>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</si>
  <si>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</si>
  <si>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</si>
  <si>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</si>
  <si>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</si>
  <si>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</si>
  <si>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</si>
  <si>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</si>
  <si>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</si>
  <si>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</si>
  <si>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</si>
  <si>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</si>
  <si>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</si>
  <si>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</si>
  <si>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</si>
  <si>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</si>
  <si>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</si>
  <si>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</si>
  <si>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</si>
  <si>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</si>
  <si>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</si>
  <si>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</si>
  <si>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</si>
  <si>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</si>
  <si>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</si>
  <si>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</si>
  <si>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</si>
  <si>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</si>
  <si>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22,16</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</si>
  <si>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</si>
  <si>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</si>
  <si>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</si>
  <si>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</si>
  <si>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</si>
  <si>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</si>
  <si>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</si>
  <si>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</si>
  <si>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</si>
  <si>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</si>
  <si>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</si>
  <si>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</si>
  <si>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</si>
  <si>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</si>
  <si>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</si>
  <si>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</si>
  <si>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</si>
  <si>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</si>
  <si>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</si>
  <si>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</si>
  <si>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</si>
  <si>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</si>
  <si>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</si>
  <si>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</si>
  <si>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</si>
  <si>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</si>
  <si>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</si>
  <si>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</si>
  <si>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</si>
  <si>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</si>
  <si>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</si>
  <si>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</si>
  <si>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</si>
  <si>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</si>
  <si>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</si>
  <si>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10,20</t>
  </si>
  <si>
    <t>BUCHA DE REDUÇÃO, CPVC, SOLDÁVEL, DN22MM X 15MM, INSTALADO EM RAMAL OU SUB-RAMAL DE ÁGUA  FORNECIMENTO E INSTALAÇÃO. AF_12/2014</t>
  </si>
  <si>
    <t>5,10</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</si>
  <si>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</si>
  <si>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</si>
  <si>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</si>
  <si>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</si>
  <si>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</si>
  <si>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</si>
  <si>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</si>
  <si>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</si>
  <si>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17,08</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</si>
  <si>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</si>
  <si>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</si>
  <si>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</si>
  <si>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</si>
  <si>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</si>
  <si>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</si>
  <si>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</si>
  <si>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</si>
  <si>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</si>
  <si>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</si>
  <si>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</si>
  <si>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</si>
  <si>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</si>
  <si>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</si>
  <si>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</si>
  <si>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</si>
  <si>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</si>
  <si>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</si>
  <si>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</si>
  <si>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</si>
  <si>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</si>
  <si>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</si>
  <si>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</si>
  <si>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</si>
  <si>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</si>
  <si>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</si>
  <si>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</si>
  <si>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</si>
  <si>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</si>
  <si>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</si>
  <si>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</si>
  <si>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</si>
  <si>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</si>
  <si>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</si>
  <si>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</si>
  <si>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</si>
  <si>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</si>
  <si>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</si>
  <si>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</si>
  <si>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</si>
  <si>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</si>
  <si>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</si>
  <si>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</si>
  <si>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</si>
  <si>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</si>
  <si>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8,90</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</si>
  <si>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</si>
  <si>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</si>
  <si>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</si>
  <si>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</si>
  <si>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</si>
  <si>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14,52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</si>
  <si>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</si>
  <si>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</si>
  <si>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</si>
  <si>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</si>
  <si>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</si>
  <si>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</si>
  <si>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</si>
  <si>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</si>
  <si>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</si>
  <si>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</si>
  <si>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</si>
  <si>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</si>
  <si>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</si>
  <si>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</si>
  <si>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</si>
  <si>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</si>
  <si>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</si>
  <si>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</si>
  <si>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</si>
  <si>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</si>
  <si>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</si>
  <si>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</si>
  <si>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</si>
  <si>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</si>
  <si>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</si>
  <si>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</si>
  <si>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</si>
  <si>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</si>
  <si>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</si>
  <si>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</si>
  <si>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</si>
  <si>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</si>
  <si>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26,63</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</si>
  <si>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</si>
  <si>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</si>
  <si>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</si>
  <si>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</si>
  <si>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</si>
  <si>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</si>
  <si>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</si>
  <si>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</si>
  <si>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</si>
  <si>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</si>
  <si>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</si>
  <si>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</si>
  <si>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</si>
  <si>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</si>
  <si>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</si>
  <si>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</si>
  <si>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</si>
  <si>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</si>
  <si>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94,30</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</si>
  <si>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</si>
  <si>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</si>
  <si>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</si>
  <si>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</si>
  <si>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</si>
  <si>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</si>
  <si>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</si>
  <si>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</si>
  <si>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</si>
  <si>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</si>
  <si>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</si>
  <si>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</si>
  <si>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</si>
  <si>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</si>
  <si>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</si>
  <si>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</si>
  <si>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</si>
  <si>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</si>
  <si>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</si>
  <si>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</si>
  <si>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</si>
  <si>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</si>
  <si>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</si>
  <si>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</si>
  <si>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</si>
  <si>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</si>
  <si>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</si>
  <si>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</si>
  <si>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</si>
  <si>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</si>
  <si>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</si>
  <si>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</si>
  <si>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</si>
  <si>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</si>
  <si>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</si>
  <si>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</si>
  <si>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</si>
  <si>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</si>
  <si>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</si>
  <si>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</si>
  <si>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</si>
  <si>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</si>
  <si>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</si>
  <si>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</si>
  <si>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</si>
  <si>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</si>
  <si>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</si>
  <si>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</si>
  <si>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</si>
  <si>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</si>
  <si>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</si>
  <si>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</si>
  <si>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</si>
  <si>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</si>
  <si>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</si>
  <si>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</si>
  <si>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</si>
  <si>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</si>
  <si>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</si>
  <si>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</si>
  <si>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</si>
  <si>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</si>
  <si>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</si>
  <si>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</si>
  <si>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</si>
  <si>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</si>
  <si>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</si>
  <si>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</si>
  <si>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</si>
  <si>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</si>
  <si>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</si>
  <si>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</si>
  <si>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</si>
  <si>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</si>
  <si>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</si>
  <si>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</si>
  <si>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</si>
  <si>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</si>
  <si>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</si>
  <si>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</si>
  <si>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</si>
  <si>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</si>
  <si>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</si>
  <si>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</si>
  <si>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</si>
  <si>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</si>
  <si>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</si>
  <si>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</si>
  <si>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</si>
  <si>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</si>
  <si>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</si>
  <si>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</si>
  <si>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</si>
  <si>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</si>
  <si>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</si>
  <si>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</si>
  <si>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</si>
  <si>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</si>
  <si>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</si>
  <si>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</si>
  <si>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</si>
  <si>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</si>
  <si>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</si>
  <si>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</si>
  <si>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</si>
  <si>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</si>
  <si>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</si>
  <si>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</si>
  <si>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</si>
  <si>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</si>
  <si>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</si>
  <si>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96,20</t>
  </si>
  <si>
    <t>14,70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</si>
  <si>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</si>
  <si>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</si>
  <si>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</si>
  <si>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</si>
  <si>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13,28</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</si>
  <si>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</si>
  <si>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</si>
  <si>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</si>
  <si>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</si>
  <si>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</si>
  <si>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</si>
  <si>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</si>
  <si>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</si>
  <si>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</si>
  <si>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</si>
  <si>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</si>
  <si>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</si>
  <si>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</si>
  <si>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</si>
  <si>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</si>
  <si>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</si>
  <si>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</si>
  <si>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</si>
  <si>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</si>
  <si>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</si>
  <si>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</si>
  <si>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</si>
  <si>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</si>
  <si>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</si>
  <si>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</si>
  <si>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</si>
  <si>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</si>
  <si>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</si>
  <si>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</si>
  <si>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</si>
  <si>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</si>
  <si>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</si>
  <si>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</si>
  <si>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</si>
  <si>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</si>
  <si>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</si>
  <si>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</si>
  <si>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</si>
  <si>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</si>
  <si>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</si>
  <si>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</si>
  <si>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</si>
  <si>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</si>
  <si>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</si>
  <si>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</si>
  <si>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15,32</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</si>
  <si>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</si>
  <si>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</si>
  <si>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</si>
  <si>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</si>
  <si>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</si>
  <si>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</si>
  <si>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</si>
  <si>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</si>
  <si>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10,14</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</si>
  <si>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</si>
  <si>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</si>
  <si>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</si>
  <si>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</si>
  <si>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</si>
  <si>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</si>
  <si>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</si>
  <si>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</si>
  <si>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</si>
  <si>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</si>
  <si>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</si>
  <si>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</si>
  <si>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</si>
  <si>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</si>
  <si>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</si>
  <si>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</si>
  <si>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</si>
  <si>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</si>
  <si>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</si>
  <si>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</si>
  <si>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</si>
  <si>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</si>
  <si>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</si>
  <si>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</si>
  <si>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</si>
  <si>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</si>
  <si>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</si>
  <si>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</si>
  <si>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</si>
  <si>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</si>
  <si>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</si>
  <si>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</si>
  <si>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</si>
  <si>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</si>
  <si>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</si>
  <si>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</si>
  <si>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</si>
  <si>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</si>
  <si>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</si>
  <si>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</si>
  <si>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</si>
  <si>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</si>
  <si>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</si>
  <si>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</si>
  <si>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</si>
  <si>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</si>
  <si>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</si>
  <si>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</si>
  <si>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</si>
  <si>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</si>
  <si>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</si>
  <si>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</si>
  <si>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</si>
  <si>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</si>
  <si>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</si>
  <si>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</si>
  <si>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</si>
  <si>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</si>
  <si>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</si>
  <si>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</si>
  <si>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</si>
  <si>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</si>
  <si>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</si>
  <si>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</si>
  <si>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</si>
  <si>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</si>
  <si>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</si>
  <si>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</si>
  <si>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</si>
  <si>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</si>
  <si>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</si>
  <si>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</si>
  <si>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</si>
  <si>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20,04</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</si>
  <si>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</si>
  <si>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</si>
  <si>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</si>
  <si>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</si>
  <si>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</si>
  <si>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</si>
  <si>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</si>
  <si>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</si>
  <si>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</si>
  <si>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</si>
  <si>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</si>
  <si>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</si>
  <si>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</si>
  <si>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</si>
  <si>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</si>
  <si>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</si>
  <si>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</si>
  <si>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</si>
  <si>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</si>
  <si>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</si>
  <si>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</si>
  <si>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</si>
  <si>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</si>
  <si>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</si>
  <si>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</si>
  <si>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</si>
  <si>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</si>
  <si>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</si>
  <si>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</si>
  <si>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</si>
  <si>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</si>
  <si>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</si>
  <si>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</si>
  <si>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59,61</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</si>
  <si>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</si>
  <si>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</si>
  <si>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</si>
  <si>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</si>
  <si>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</si>
  <si>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</si>
  <si>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</si>
  <si>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</si>
  <si>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</si>
  <si>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</si>
  <si>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</si>
  <si>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</si>
  <si>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</si>
  <si>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</si>
  <si>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</si>
  <si>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</si>
  <si>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</si>
  <si>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</si>
  <si>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</si>
  <si>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</si>
  <si>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</si>
  <si>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</si>
  <si>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</si>
  <si>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</si>
  <si>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</si>
  <si>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</si>
  <si>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</si>
  <si>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</si>
  <si>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</si>
  <si>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</si>
  <si>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</si>
  <si>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</si>
  <si>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</si>
  <si>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</si>
  <si>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</si>
  <si>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</si>
  <si>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</si>
  <si>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</si>
  <si>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</si>
  <si>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</si>
  <si>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</si>
  <si>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</si>
  <si>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</si>
  <si>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35,15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</si>
  <si>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</si>
  <si>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</si>
  <si>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</si>
  <si>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</si>
  <si>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</si>
  <si>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</si>
  <si>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</si>
  <si>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</si>
  <si>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</si>
  <si>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</si>
  <si>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</si>
  <si>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</si>
  <si>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</si>
  <si>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</si>
  <si>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</si>
  <si>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</si>
  <si>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</si>
  <si>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</si>
  <si>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</si>
  <si>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</si>
  <si>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</si>
  <si>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</si>
  <si>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</si>
  <si>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</si>
  <si>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</si>
  <si>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</si>
  <si>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</si>
  <si>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</si>
  <si>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</si>
  <si>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</si>
  <si>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</si>
  <si>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</si>
  <si>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</si>
  <si>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</si>
  <si>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</si>
  <si>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</si>
  <si>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</si>
  <si>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</si>
  <si>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</si>
  <si>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</si>
  <si>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</si>
  <si>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</si>
  <si>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</si>
  <si>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</si>
  <si>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</si>
  <si>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</si>
  <si>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</si>
  <si>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</si>
  <si>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</si>
  <si>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</si>
  <si>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</si>
  <si>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</si>
  <si>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</si>
  <si>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</si>
  <si>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</si>
  <si>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</si>
  <si>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</si>
  <si>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</si>
  <si>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</si>
  <si>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</si>
  <si>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</si>
  <si>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</si>
  <si>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</si>
  <si>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</si>
  <si>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</si>
  <si>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</si>
  <si>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</si>
  <si>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</si>
  <si>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</si>
  <si>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</si>
  <si>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</si>
  <si>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</si>
  <si>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</si>
  <si>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</si>
  <si>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</si>
  <si>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</si>
  <si>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</si>
  <si>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</si>
  <si>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</si>
  <si>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</si>
  <si>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</si>
  <si>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</si>
  <si>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12,06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</si>
  <si>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</si>
  <si>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</si>
  <si>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</si>
  <si>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</si>
  <si>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</si>
  <si>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</si>
  <si>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</si>
  <si>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</si>
  <si>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</si>
  <si>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</si>
  <si>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</si>
  <si>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</si>
  <si>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</si>
  <si>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</si>
  <si>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</si>
  <si>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</si>
  <si>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</si>
  <si>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</si>
  <si>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</si>
  <si>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</si>
  <si>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</si>
  <si>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16,34</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</si>
  <si>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</si>
  <si>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</si>
  <si>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</si>
  <si>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</si>
  <si>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30,95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</si>
  <si>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</si>
  <si>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</si>
  <si>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</si>
  <si>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</si>
  <si>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</si>
  <si>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</si>
  <si>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</si>
  <si>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</si>
  <si>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</si>
  <si>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</si>
  <si>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</si>
  <si>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</si>
  <si>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</si>
  <si>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</si>
  <si>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</si>
  <si>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</si>
  <si>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</si>
  <si>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</si>
  <si>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</si>
  <si>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</si>
  <si>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</si>
  <si>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</si>
  <si>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</si>
  <si>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</si>
  <si>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</si>
  <si>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</si>
  <si>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</si>
  <si>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</si>
  <si>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</si>
  <si>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</si>
  <si>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</si>
  <si>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</si>
  <si>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</si>
  <si>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</si>
  <si>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</si>
  <si>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</si>
  <si>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</si>
  <si>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</si>
  <si>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</si>
  <si>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</si>
  <si>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</si>
  <si>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</si>
  <si>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</si>
  <si>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</si>
  <si>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</si>
  <si>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</si>
  <si>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</si>
  <si>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</si>
  <si>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</si>
  <si>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</si>
  <si>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</si>
  <si>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</si>
  <si>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</si>
  <si>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</si>
  <si>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</si>
  <si>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</si>
  <si>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</si>
  <si>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</si>
  <si>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</si>
  <si>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</si>
  <si>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</si>
  <si>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</si>
  <si>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</si>
  <si>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</si>
  <si>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</si>
  <si>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</si>
  <si>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</si>
  <si>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194,62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</si>
  <si>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</si>
  <si>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</si>
  <si>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</si>
  <si>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</si>
  <si>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</si>
  <si>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</si>
  <si>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</si>
  <si>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</si>
  <si>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</si>
  <si>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</si>
  <si>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</si>
  <si>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</si>
  <si>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</si>
  <si>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</si>
  <si>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</si>
  <si>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</si>
  <si>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</si>
  <si>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</si>
  <si>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</si>
  <si>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</si>
  <si>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</si>
  <si>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</si>
  <si>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</si>
  <si>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</si>
  <si>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</si>
  <si>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</si>
  <si>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</si>
  <si>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</si>
  <si>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</si>
  <si>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</si>
  <si>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</si>
  <si>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</si>
  <si>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</si>
  <si>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</si>
  <si>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</si>
  <si>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</si>
  <si>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</si>
  <si>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</si>
  <si>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</si>
  <si>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</si>
  <si>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</si>
  <si>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</si>
  <si>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</si>
  <si>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</si>
  <si>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</si>
  <si>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</si>
  <si>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</si>
  <si>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</si>
  <si>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</si>
  <si>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</si>
  <si>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</si>
  <si>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</si>
  <si>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</si>
  <si>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</si>
  <si>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</si>
  <si>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</si>
  <si>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</si>
  <si>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</si>
  <si>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</si>
  <si>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</si>
  <si>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</si>
  <si>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</si>
  <si>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</si>
  <si>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</si>
  <si>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</si>
  <si>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</si>
  <si>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</si>
  <si>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</si>
  <si>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</si>
  <si>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</si>
  <si>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</si>
  <si>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</si>
  <si>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</si>
  <si>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</si>
  <si>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</si>
  <si>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</si>
  <si>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</si>
  <si>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</si>
  <si>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</si>
  <si>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</si>
  <si>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</si>
  <si>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</si>
  <si>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</si>
  <si>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</si>
  <si>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</si>
  <si>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</si>
  <si>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</si>
  <si>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</si>
  <si>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</si>
  <si>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</si>
  <si>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</si>
  <si>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</si>
  <si>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</si>
  <si>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</si>
  <si>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</si>
  <si>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</si>
  <si>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</si>
  <si>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</si>
  <si>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</si>
  <si>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</si>
  <si>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</si>
  <si>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</si>
  <si>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</si>
  <si>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</si>
  <si>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</si>
  <si>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</si>
  <si>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</si>
  <si>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</si>
  <si>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</si>
  <si>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</si>
  <si>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</si>
  <si>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</si>
  <si>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</si>
  <si>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</si>
  <si>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</si>
  <si>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</si>
  <si>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</si>
  <si>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</si>
  <si>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</si>
  <si>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</si>
  <si>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</si>
  <si>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</si>
  <si>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</si>
  <si>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</si>
  <si>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</si>
  <si>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</si>
  <si>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</si>
  <si>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</si>
  <si>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</si>
  <si>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</si>
  <si>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</si>
  <si>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</si>
  <si>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</si>
  <si>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</si>
  <si>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</si>
  <si>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</si>
  <si>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</si>
  <si>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</si>
  <si>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</si>
  <si>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</si>
  <si>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</si>
  <si>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</si>
  <si>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</si>
  <si>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</si>
  <si>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</si>
  <si>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</si>
  <si>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</si>
  <si>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</si>
  <si>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</si>
  <si>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</si>
  <si>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</si>
  <si>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</si>
  <si>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</si>
  <si>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</si>
  <si>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</si>
  <si>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</si>
  <si>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</si>
  <si>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</si>
  <si>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</si>
  <si>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</si>
  <si>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</si>
  <si>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</si>
  <si>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</si>
  <si>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</si>
  <si>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</si>
  <si>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</si>
  <si>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</si>
  <si>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</si>
  <si>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</si>
  <si>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</si>
  <si>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</si>
  <si>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</si>
  <si>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</si>
  <si>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</si>
  <si>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</si>
  <si>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</si>
  <si>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</si>
  <si>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</si>
  <si>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</si>
  <si>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</si>
  <si>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</si>
  <si>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</si>
  <si>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</si>
  <si>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</si>
  <si>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</si>
  <si>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42,17</t>
  </si>
  <si>
    <t>79,79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</si>
  <si>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</si>
  <si>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</si>
  <si>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</si>
  <si>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</si>
  <si>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</si>
  <si>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</si>
  <si>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</si>
  <si>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</si>
  <si>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</si>
  <si>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3,56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</si>
  <si>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</si>
  <si>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</si>
  <si>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</si>
  <si>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</si>
  <si>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</si>
  <si>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</si>
  <si>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</si>
  <si>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</si>
  <si>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</si>
  <si>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</si>
  <si>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</si>
  <si>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</si>
  <si>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</si>
  <si>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</si>
  <si>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60,96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</si>
  <si>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</si>
  <si>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</si>
  <si>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</si>
  <si>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55,71</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</si>
  <si>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</si>
  <si>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</si>
  <si>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</si>
  <si>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</si>
  <si>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</si>
  <si>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</si>
  <si>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</si>
  <si>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</si>
  <si>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</si>
  <si>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</si>
  <si>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</si>
  <si>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</si>
  <si>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</si>
  <si>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</si>
  <si>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</si>
  <si>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</si>
  <si>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</si>
  <si>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</si>
  <si>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</si>
  <si>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</si>
  <si>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</si>
  <si>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</si>
  <si>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</si>
  <si>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</si>
  <si>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</si>
  <si>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</si>
  <si>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</si>
  <si>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</si>
  <si>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</si>
  <si>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</si>
  <si>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</si>
  <si>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</si>
  <si>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</si>
  <si>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</si>
  <si>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</si>
  <si>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</si>
  <si>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</si>
  <si>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</si>
  <si>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</si>
  <si>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</si>
  <si>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</si>
  <si>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</si>
  <si>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</si>
  <si>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</si>
  <si>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</si>
  <si>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</si>
  <si>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</si>
  <si>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</si>
  <si>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</si>
  <si>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</si>
  <si>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</si>
  <si>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</si>
  <si>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</si>
  <si>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</si>
  <si>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</si>
  <si>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</si>
  <si>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</si>
  <si>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</si>
  <si>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</si>
  <si>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</si>
  <si>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</si>
  <si>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</si>
  <si>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</si>
  <si>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</si>
  <si>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</si>
  <si>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</si>
  <si>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</si>
  <si>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</si>
  <si>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</si>
  <si>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</si>
  <si>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</si>
  <si>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</si>
  <si>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</si>
  <si>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</si>
  <si>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</si>
  <si>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</si>
  <si>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</si>
  <si>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</si>
  <si>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</si>
  <si>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</si>
  <si>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</si>
  <si>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65,71</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</si>
  <si>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</si>
  <si>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</si>
  <si>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</si>
  <si>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</si>
  <si>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</si>
  <si>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</si>
  <si>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</si>
  <si>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</si>
  <si>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</si>
  <si>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</si>
  <si>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</si>
  <si>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</si>
  <si>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</si>
  <si>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</si>
  <si>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</si>
  <si>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</si>
  <si>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</si>
  <si>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</si>
  <si>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</si>
  <si>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</si>
  <si>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</si>
  <si>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</si>
  <si>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</si>
  <si>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73,55</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</si>
  <si>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</si>
  <si>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</si>
  <si>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</si>
  <si>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</si>
  <si>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</si>
  <si>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</si>
  <si>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</si>
  <si>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</si>
  <si>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</si>
  <si>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</si>
  <si>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</si>
  <si>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</si>
  <si>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</si>
  <si>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</si>
  <si>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</si>
  <si>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</si>
  <si>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</si>
  <si>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</si>
  <si>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</si>
  <si>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</si>
  <si>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</si>
  <si>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</si>
  <si>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</si>
  <si>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</si>
  <si>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</si>
  <si>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</si>
  <si>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</si>
  <si>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</si>
  <si>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</si>
  <si>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</si>
  <si>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</si>
  <si>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</si>
  <si>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</si>
  <si>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</si>
  <si>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</si>
  <si>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</si>
  <si>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</si>
  <si>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</si>
  <si>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</si>
  <si>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</si>
  <si>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</si>
  <si>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</si>
  <si>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</si>
  <si>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</si>
  <si>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</si>
  <si>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</si>
  <si>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</si>
  <si>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</si>
  <si>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</si>
  <si>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</si>
  <si>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</si>
  <si>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</si>
  <si>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</si>
  <si>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</si>
  <si>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</si>
  <si>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</si>
  <si>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</si>
  <si>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</si>
  <si>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</si>
  <si>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</si>
  <si>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</si>
  <si>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</si>
  <si>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</si>
  <si>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</si>
  <si>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</si>
  <si>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</si>
  <si>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</si>
  <si>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</si>
  <si>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</si>
  <si>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</si>
  <si>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</si>
  <si>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</si>
  <si>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</si>
  <si>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</si>
  <si>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</si>
  <si>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</si>
  <si>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</si>
  <si>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</si>
  <si>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</si>
  <si>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</si>
  <si>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</si>
  <si>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</si>
  <si>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</si>
  <si>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</si>
  <si>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</si>
  <si>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</si>
  <si>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</si>
  <si>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</si>
  <si>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</si>
  <si>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</si>
  <si>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</si>
  <si>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</si>
  <si>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</si>
  <si>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</si>
  <si>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</si>
  <si>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</si>
  <si>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</si>
  <si>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</si>
  <si>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</si>
  <si>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</si>
  <si>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</si>
  <si>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</si>
  <si>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</si>
  <si>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</si>
  <si>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</si>
  <si>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</si>
  <si>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</si>
  <si>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</si>
  <si>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</si>
  <si>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</si>
  <si>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</si>
  <si>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</si>
  <si>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</si>
  <si>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</si>
  <si>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</si>
  <si>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</si>
  <si>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</si>
  <si>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</si>
  <si>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</si>
  <si>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11,93</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</si>
  <si>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</si>
  <si>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</si>
  <si>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</si>
  <si>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</si>
  <si>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</si>
  <si>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</si>
  <si>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19,03</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</si>
  <si>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</si>
  <si>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</si>
  <si>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</si>
  <si>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</si>
  <si>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</si>
  <si>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</si>
  <si>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</si>
  <si>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36,10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</si>
  <si>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</si>
  <si>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</si>
  <si>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</si>
  <si>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</si>
  <si>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</si>
  <si>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</si>
  <si>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</si>
  <si>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</si>
  <si>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</si>
  <si>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</si>
  <si>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</si>
  <si>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</si>
  <si>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</si>
  <si>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</si>
  <si>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</si>
  <si>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</si>
  <si>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102,87</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</si>
  <si>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</si>
  <si>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</si>
  <si>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</si>
  <si>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</si>
  <si>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</si>
  <si>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</si>
  <si>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</si>
  <si>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</si>
  <si>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</si>
  <si>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</si>
  <si>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</si>
  <si>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</si>
  <si>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</si>
  <si>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</si>
  <si>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</si>
  <si>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</si>
  <si>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</si>
  <si>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</si>
  <si>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83,24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</si>
  <si>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</si>
  <si>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</si>
  <si>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29,87</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</si>
  <si>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</si>
  <si>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</si>
  <si>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</si>
  <si>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</si>
  <si>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3,81</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</si>
  <si>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</si>
  <si>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</si>
  <si>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</si>
  <si>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</si>
  <si>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</si>
  <si>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</si>
  <si>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</si>
  <si>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</si>
  <si>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</si>
  <si>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</si>
  <si>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</si>
  <si>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</si>
  <si>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</si>
  <si>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</si>
  <si>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</si>
  <si>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</si>
  <si>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</si>
  <si>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</si>
  <si>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</si>
  <si>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</si>
  <si>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</si>
  <si>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</si>
  <si>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</si>
  <si>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</si>
  <si>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</si>
  <si>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</si>
  <si>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</si>
  <si>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</si>
  <si>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</si>
  <si>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</si>
  <si>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</si>
  <si>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</si>
  <si>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</si>
  <si>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</si>
  <si>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</si>
  <si>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</si>
  <si>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</si>
  <si>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</si>
  <si>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</si>
  <si>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</si>
  <si>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</si>
  <si>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</si>
  <si>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</si>
  <si>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</si>
  <si>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</si>
  <si>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</si>
  <si>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</si>
  <si>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</si>
  <si>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</si>
  <si>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</si>
  <si>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</si>
  <si>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</si>
  <si>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</si>
  <si>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</si>
  <si>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</si>
  <si>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</si>
  <si>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</si>
  <si>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</si>
  <si>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</si>
  <si>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</si>
  <si>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</si>
  <si>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</si>
  <si>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</si>
  <si>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</si>
  <si>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</si>
  <si>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</si>
  <si>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</si>
  <si>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</si>
  <si>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</si>
  <si>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</si>
  <si>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</si>
  <si>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</si>
  <si>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</si>
  <si>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</si>
  <si>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</si>
  <si>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</si>
  <si>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</si>
  <si>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</si>
  <si>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</si>
  <si>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</si>
  <si>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</si>
  <si>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</si>
  <si>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</si>
  <si>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</si>
  <si>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</si>
  <si>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</si>
  <si>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</si>
  <si>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</si>
  <si>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</si>
  <si>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</si>
  <si>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</si>
  <si>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</si>
  <si>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60,35</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</si>
  <si>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</si>
  <si>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</si>
  <si>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</si>
  <si>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</si>
  <si>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</si>
  <si>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</si>
  <si>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</si>
  <si>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</si>
  <si>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</si>
  <si>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</si>
  <si>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</si>
  <si>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</si>
  <si>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</si>
  <si>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</si>
  <si>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</si>
  <si>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</si>
  <si>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</si>
  <si>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</si>
  <si>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</si>
  <si>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</si>
  <si>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</si>
  <si>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</si>
  <si>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</si>
  <si>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</si>
  <si>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</si>
  <si>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</si>
  <si>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</si>
  <si>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</si>
  <si>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</si>
  <si>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</si>
  <si>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</si>
  <si>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</si>
  <si>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</si>
  <si>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</si>
  <si>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</si>
  <si>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</si>
  <si>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</si>
  <si>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</si>
  <si>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</si>
  <si>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</si>
  <si>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</si>
  <si>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</si>
  <si>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</si>
  <si>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</si>
  <si>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</si>
  <si>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</si>
  <si>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</si>
  <si>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</si>
  <si>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</si>
  <si>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</si>
  <si>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</si>
  <si>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</si>
  <si>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</si>
  <si>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</si>
  <si>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</si>
  <si>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</si>
  <si>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</si>
  <si>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</si>
  <si>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</si>
  <si>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</si>
  <si>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</si>
  <si>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</si>
  <si>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</si>
  <si>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</si>
  <si>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</si>
  <si>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</si>
  <si>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</si>
  <si>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</si>
  <si>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</si>
  <si>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</si>
  <si>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</si>
  <si>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</si>
  <si>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</si>
  <si>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</si>
  <si>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</si>
  <si>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</si>
  <si>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</si>
  <si>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</si>
  <si>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</si>
  <si>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</si>
  <si>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</si>
  <si>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</si>
  <si>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</si>
  <si>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</si>
  <si>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</si>
  <si>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</si>
  <si>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</si>
  <si>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293,87</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</si>
  <si>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</si>
  <si>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</si>
  <si>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</si>
  <si>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</si>
  <si>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</si>
  <si>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</si>
  <si>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</si>
  <si>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</si>
  <si>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</si>
  <si>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</si>
  <si>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</si>
  <si>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</si>
  <si>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</si>
  <si>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</si>
  <si>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</si>
  <si>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</si>
  <si>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</si>
  <si>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</si>
  <si>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</si>
  <si>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</si>
  <si>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</si>
  <si>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</si>
  <si>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</si>
  <si>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</si>
  <si>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</si>
  <si>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</si>
  <si>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</si>
  <si>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</si>
  <si>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</si>
  <si>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</si>
  <si>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</si>
  <si>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</si>
  <si>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</si>
  <si>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</si>
  <si>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</si>
  <si>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</si>
  <si>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</si>
  <si>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</si>
  <si>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</si>
  <si>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</si>
  <si>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</si>
  <si>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</si>
  <si>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</si>
  <si>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</si>
  <si>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</si>
  <si>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</si>
  <si>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331,73</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</si>
  <si>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</si>
  <si>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</si>
  <si>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</si>
  <si>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</si>
  <si>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</si>
  <si>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</si>
  <si>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</si>
  <si>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</si>
  <si>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</si>
  <si>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</si>
  <si>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</si>
  <si>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</si>
  <si>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</si>
  <si>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</si>
  <si>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</si>
  <si>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</si>
  <si>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</si>
  <si>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</si>
  <si>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</si>
  <si>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</si>
  <si>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</si>
  <si>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</si>
  <si>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</si>
  <si>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</si>
  <si>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</si>
  <si>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</si>
  <si>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</si>
  <si>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</si>
  <si>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</si>
  <si>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</si>
  <si>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</si>
  <si>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</si>
  <si>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</si>
  <si>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</si>
  <si>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</si>
  <si>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</si>
  <si>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</si>
  <si>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</si>
  <si>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271,98</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</si>
  <si>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</si>
  <si>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</si>
  <si>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</si>
  <si>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</si>
  <si>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</si>
  <si>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</si>
  <si>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</si>
  <si>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</si>
  <si>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</si>
  <si>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</si>
  <si>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</si>
  <si>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</si>
  <si>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</si>
  <si>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</si>
  <si>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</si>
  <si>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</si>
  <si>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</si>
  <si>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</si>
  <si>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</si>
  <si>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334,04</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</si>
  <si>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</si>
  <si>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</si>
  <si>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</si>
  <si>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</si>
  <si>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</si>
  <si>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</si>
  <si>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</si>
  <si>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</si>
  <si>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</si>
  <si>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</si>
  <si>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</si>
  <si>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</si>
  <si>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</si>
  <si>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</si>
  <si>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</si>
  <si>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</si>
  <si>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</si>
  <si>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</si>
  <si>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</si>
  <si>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</si>
  <si>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</si>
  <si>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</si>
  <si>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</si>
  <si>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</si>
  <si>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</si>
  <si>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</si>
  <si>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</si>
  <si>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</si>
  <si>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</si>
  <si>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</si>
  <si>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</si>
  <si>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</si>
  <si>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</si>
  <si>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</si>
  <si>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</si>
  <si>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</si>
  <si>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</si>
  <si>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</si>
  <si>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</si>
  <si>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</si>
  <si>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</si>
  <si>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</si>
  <si>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</si>
  <si>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</si>
  <si>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</si>
  <si>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</si>
  <si>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</si>
  <si>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</si>
  <si>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</si>
  <si>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</si>
  <si>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</si>
  <si>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</si>
  <si>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</si>
  <si>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</si>
  <si>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</si>
  <si>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</si>
  <si>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</si>
  <si>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</si>
  <si>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</si>
  <si>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</si>
  <si>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</si>
  <si>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</si>
  <si>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</si>
  <si>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</si>
  <si>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</si>
  <si>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</si>
  <si>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</si>
  <si>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</si>
  <si>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</si>
  <si>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</si>
  <si>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</si>
  <si>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</si>
  <si>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</si>
  <si>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</si>
  <si>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</si>
  <si>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</si>
  <si>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</si>
  <si>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</si>
  <si>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</si>
  <si>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</si>
  <si>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</si>
  <si>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</si>
  <si>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</si>
  <si>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</si>
  <si>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</si>
  <si>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</si>
  <si>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</si>
  <si>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</si>
  <si>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</si>
  <si>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</si>
  <si>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</si>
  <si>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</si>
  <si>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</si>
  <si>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</si>
  <si>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</si>
  <si>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</si>
  <si>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</si>
  <si>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</si>
  <si>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</si>
  <si>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</si>
  <si>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</si>
  <si>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</si>
  <si>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</si>
  <si>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</si>
  <si>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</si>
  <si>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</si>
  <si>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</si>
  <si>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</si>
  <si>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</si>
  <si>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</si>
  <si>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</si>
  <si>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</si>
  <si>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</si>
  <si>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</si>
  <si>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</si>
  <si>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</si>
  <si>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</si>
  <si>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</si>
  <si>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</si>
  <si>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</si>
  <si>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</si>
  <si>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</si>
  <si>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</si>
  <si>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</si>
  <si>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</si>
  <si>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</si>
  <si>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</si>
  <si>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</si>
  <si>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</si>
  <si>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</si>
  <si>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</si>
  <si>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</si>
  <si>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</si>
  <si>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</si>
  <si>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</si>
  <si>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</si>
  <si>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</si>
  <si>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</si>
  <si>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</si>
  <si>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</si>
  <si>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</si>
  <si>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</si>
  <si>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</si>
  <si>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</si>
  <si>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</si>
  <si>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</si>
  <si>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</si>
  <si>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</si>
  <si>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</si>
  <si>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</si>
  <si>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</si>
  <si>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</si>
  <si>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</si>
  <si>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</si>
  <si>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</si>
  <si>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</si>
  <si>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</si>
  <si>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</si>
  <si>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</si>
  <si>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</si>
  <si>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</si>
  <si>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</si>
  <si>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</si>
  <si>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</si>
  <si>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</si>
  <si>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</si>
  <si>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</si>
  <si>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</si>
  <si>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</si>
  <si>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</si>
  <si>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</si>
  <si>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</si>
  <si>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</si>
  <si>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</si>
  <si>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</si>
  <si>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</si>
  <si>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</si>
  <si>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</si>
  <si>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</si>
  <si>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</si>
  <si>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</si>
  <si>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</si>
  <si>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</si>
  <si>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</si>
  <si>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</si>
  <si>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</si>
  <si>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</si>
  <si>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</si>
  <si>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</si>
  <si>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</si>
  <si>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</si>
  <si>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62,86</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</si>
  <si>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</si>
  <si>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</si>
  <si>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</si>
  <si>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</si>
  <si>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</si>
  <si>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</si>
  <si>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</si>
  <si>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</si>
  <si>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</si>
  <si>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</si>
  <si>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</si>
  <si>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</si>
  <si>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17,04</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</si>
  <si>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</si>
  <si>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</si>
  <si>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</si>
  <si>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</si>
  <si>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</si>
  <si>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</si>
  <si>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</si>
  <si>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</si>
  <si>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</si>
  <si>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</si>
  <si>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</si>
  <si>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</si>
  <si>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</si>
  <si>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</si>
  <si>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</si>
  <si>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</si>
  <si>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</si>
  <si>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</si>
  <si>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</si>
  <si>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</si>
  <si>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</si>
  <si>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</si>
  <si>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</si>
  <si>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</si>
  <si>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</si>
  <si>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</si>
  <si>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</si>
  <si>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</si>
  <si>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</si>
  <si>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</si>
  <si>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</si>
  <si>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</si>
  <si>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</si>
  <si>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</si>
  <si>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</si>
  <si>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</si>
  <si>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</si>
  <si>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</si>
  <si>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</si>
  <si>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</si>
  <si>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</si>
  <si>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</si>
  <si>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</si>
  <si>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</si>
  <si>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</si>
  <si>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</si>
  <si>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</si>
  <si>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</si>
  <si>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</si>
  <si>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</si>
  <si>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</si>
  <si>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</si>
  <si>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</si>
  <si>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135,76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</si>
  <si>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</si>
  <si>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</si>
  <si>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</si>
  <si>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</si>
  <si>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</si>
  <si>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</si>
  <si>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</si>
  <si>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</si>
  <si>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</si>
  <si>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</si>
  <si>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</si>
  <si>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</si>
  <si>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</si>
  <si>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</si>
  <si>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</si>
  <si>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</si>
  <si>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</si>
  <si>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</si>
  <si>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</si>
  <si>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</si>
  <si>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</si>
  <si>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</si>
  <si>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</si>
  <si>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</si>
  <si>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</si>
  <si>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</si>
  <si>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</si>
  <si>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</si>
  <si>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</si>
  <si>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</si>
  <si>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</si>
  <si>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</si>
  <si>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</si>
  <si>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</si>
  <si>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</si>
  <si>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</si>
  <si>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</si>
  <si>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</si>
  <si>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</si>
  <si>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</si>
  <si>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</si>
  <si>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</si>
  <si>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</si>
  <si>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</si>
  <si>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</si>
  <si>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</si>
  <si>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</si>
  <si>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</si>
  <si>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</si>
  <si>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</si>
  <si>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</si>
  <si>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</si>
  <si>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</si>
  <si>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</si>
  <si>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</si>
  <si>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</si>
  <si>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</si>
  <si>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</si>
  <si>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</si>
  <si>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</si>
  <si>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</si>
  <si>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</si>
  <si>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</si>
  <si>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</si>
  <si>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</si>
  <si>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</si>
  <si>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</si>
  <si>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</si>
  <si>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</si>
  <si>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</si>
  <si>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</si>
  <si>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</si>
  <si>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</si>
  <si>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</si>
  <si>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</si>
  <si>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</si>
  <si>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</si>
  <si>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</si>
  <si>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</si>
  <si>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20,12</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</si>
  <si>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</si>
  <si>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</si>
  <si>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</si>
  <si>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</si>
  <si>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</si>
  <si>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</si>
  <si>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</si>
  <si>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</si>
  <si>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</si>
  <si>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20,74</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</si>
  <si>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</si>
  <si>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</si>
  <si>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</si>
  <si>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</si>
  <si>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</si>
  <si>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</si>
  <si>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</si>
  <si>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</si>
  <si>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</si>
  <si>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</si>
  <si>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</si>
  <si>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</si>
  <si>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</si>
  <si>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</si>
  <si>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</si>
  <si>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</si>
  <si>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</si>
  <si>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</si>
  <si>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</si>
  <si>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</si>
  <si>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</si>
  <si>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</si>
  <si>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</si>
  <si>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</si>
  <si>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</si>
  <si>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</si>
  <si>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</si>
  <si>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</si>
  <si>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</si>
  <si>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</si>
  <si>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</si>
  <si>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</si>
  <si>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</si>
  <si>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</si>
  <si>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</si>
  <si>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</si>
  <si>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</si>
  <si>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</si>
  <si>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</si>
  <si>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</si>
  <si>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</si>
  <si>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</si>
  <si>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</si>
  <si>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</si>
  <si>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</si>
  <si>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</si>
  <si>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</si>
  <si>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</si>
  <si>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</si>
  <si>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</si>
  <si>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</si>
  <si>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</si>
  <si>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</si>
  <si>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</si>
  <si>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</si>
  <si>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</si>
  <si>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</si>
  <si>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</si>
  <si>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</si>
  <si>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</si>
  <si>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</si>
  <si>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</si>
  <si>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</si>
  <si>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</si>
  <si>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</si>
  <si>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</si>
  <si>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</si>
  <si>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</si>
  <si>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</si>
  <si>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</si>
  <si>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</si>
  <si>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</si>
  <si>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</si>
  <si>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</si>
  <si>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</si>
  <si>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</si>
  <si>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</si>
  <si>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</si>
  <si>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</si>
  <si>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</si>
  <si>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</si>
  <si>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</si>
  <si>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</si>
  <si>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</si>
  <si>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</si>
  <si>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</si>
  <si>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</si>
  <si>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</si>
  <si>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</si>
  <si>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</si>
  <si>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</si>
  <si>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</si>
  <si>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</si>
  <si>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</si>
  <si>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</si>
  <si>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</si>
  <si>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</si>
  <si>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</si>
  <si>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</si>
  <si>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</si>
  <si>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</si>
  <si>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</si>
  <si>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</si>
  <si>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</si>
  <si>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</si>
  <si>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</si>
  <si>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</si>
  <si>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</si>
  <si>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</si>
  <si>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</si>
  <si>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</si>
  <si>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</si>
  <si>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</si>
  <si>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</si>
  <si>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</si>
  <si>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</si>
  <si>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</si>
  <si>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</si>
  <si>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</si>
  <si>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</si>
  <si>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</si>
  <si>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</si>
  <si>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</si>
  <si>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</si>
  <si>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</si>
  <si>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</si>
  <si>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</si>
  <si>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</si>
  <si>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</si>
  <si>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</si>
  <si>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</si>
  <si>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</si>
  <si>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</si>
  <si>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</si>
  <si>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</si>
  <si>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</si>
  <si>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</si>
  <si>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</si>
  <si>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</si>
  <si>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</si>
  <si>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</si>
  <si>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</si>
  <si>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</si>
  <si>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8,45</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</si>
  <si>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</si>
  <si>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</si>
  <si>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</si>
  <si>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</si>
  <si>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</si>
  <si>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</si>
  <si>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</si>
  <si>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</si>
  <si>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22,62</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</si>
  <si>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</si>
  <si>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</si>
  <si>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</si>
  <si>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</si>
  <si>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</si>
  <si>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</si>
  <si>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</si>
  <si>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</si>
  <si>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</si>
  <si>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</si>
  <si>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</si>
  <si>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</si>
  <si>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</si>
  <si>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</si>
  <si>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</si>
  <si>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</si>
  <si>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</si>
  <si>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</si>
  <si>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</si>
  <si>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</si>
  <si>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</si>
  <si>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</si>
  <si>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</si>
  <si>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</si>
  <si>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</si>
  <si>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</si>
  <si>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</si>
  <si>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</si>
  <si>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</si>
  <si>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</si>
  <si>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</si>
  <si>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</si>
  <si>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04.05.0050 (/)</t>
  </si>
  <si>
    <t>Análise granulométrica sem sedimentação.(desonerado)</t>
  </si>
  <si>
    <t>un</t>
  </si>
  <si>
    <t>AD 04.05.0053 (/)</t>
  </si>
  <si>
    <t>Análise granulométrica completa, em amostra de solo, de acordo com a NBR7181 e NBR6457, compreendendo as fases de peneiramento e sedimentação, quando constatada a presença de partículas finas em sua composição.(desonerado)</t>
  </si>
  <si>
    <t>AD 04.05.0100 (/)</t>
  </si>
  <si>
    <t>Ensaio de adensamento endométrico em amostra de solo, envolvendo, no mínimo, 10 estágios de carga, inclusive um laço de descarregamento e recarregamento, de acordo com as recomendações estabelecidas na NBR12007.(desonerado)</t>
  </si>
  <si>
    <t>AD 04.05.0150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</si>
  <si>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tensão.(desonerado)</t>
  </si>
  <si>
    <t>AD 04.05.0200 (/)</t>
  </si>
  <si>
    <t>Ensaio de laboratório, para determinação da Densidade Real dos grãos de amostra de solo, de acordo com as recomendações de preparo descritas na NBR6457.(desonerado)</t>
  </si>
  <si>
    <t>AD 04.05.0250 (/)</t>
  </si>
  <si>
    <t>Ensaio para determinação, em laboratório, do Limite de Liquidez de amostra de solo fino, de acordo com as recomendações da NBR7180 e da NBR6457.(desonerado)</t>
  </si>
  <si>
    <t>AD 04.05.0300 (/)</t>
  </si>
  <si>
    <t>Ensaio para determinação, em laboratório, do Limite de Plasticidade de amostra de solo fino, de acordo com as recomendações da NBR7180 e da NBR6457.(desonerado)</t>
  </si>
  <si>
    <t>AD 04.05.0325 (/)</t>
  </si>
  <si>
    <t>Ensaio para determinação de massa específica aparente "in situ" (DPTM-92/64).(desonerado)</t>
  </si>
  <si>
    <t>AD 04.05.0350 (/)</t>
  </si>
  <si>
    <t>Ensaio para determinação, em laboratório, do Peso Específico Aparente de amostra de solo, de acordo com as recomendações da NBR6457.(desonerado)</t>
  </si>
  <si>
    <t>AD 04.05.0450 (/)</t>
  </si>
  <si>
    <t>Ensaio para determinação do Índice de Suporte Califórnia (CBR) - 3 pontos - obtido com energia Proctor Normal, através de, no mínimo, 5 corpos de prova, conforme recomendações da NBR9895.(desonerado)</t>
  </si>
  <si>
    <t>AD 04.05.0500 (/)</t>
  </si>
  <si>
    <t>Ensaio para determinação, no campo, da umidade aparente do solo, através do Método "speedy".(desonerado)</t>
  </si>
  <si>
    <t>AD 04.05.0550 (/)</t>
  </si>
  <si>
    <t>Ensaio para determinação da umidade natural de amostras de solo, em laboratório.(desonerado)</t>
  </si>
  <si>
    <t>AD 04.05.0600 (/)</t>
  </si>
  <si>
    <t>Extração e acondicionamento de amostra indeformada de solo, com pistão estacionário de 100mm e de acordo com as recomendações estabelecidas na NBR9820.(desonerado)</t>
  </si>
  <si>
    <t>AD 04.05.0650 (B)</t>
  </si>
  <si>
    <t>Instalação de medidor de nível de água, inclusive transporte da equipe.(desonerado)</t>
  </si>
  <si>
    <t>AD 04.05.0700 (/)</t>
  </si>
  <si>
    <t>Sondagem manual com pá e picareta, por metro linear ou fração.(desonerado)</t>
  </si>
  <si>
    <t>AD 04.05.0703 (/)</t>
  </si>
  <si>
    <t>Sondagem manual com trado e cavadeira, por metro linear ou fração.(desonerado)</t>
  </si>
  <si>
    <t>AD 04.05.0706 (A)</t>
  </si>
  <si>
    <t>Sondagem de reconhecimento, a trado manual, com diâmetro de 100mm.(desonerado)</t>
  </si>
  <si>
    <t>AD 04.10.0050 (/)</t>
  </si>
  <si>
    <t>Sondagem rotativa vertical, em rocha alterada, com coroa de Wídia ou similar, diâmetro B (60mm), inclusive deslocamento e posicionamento em cada furo.(desonerado)</t>
  </si>
  <si>
    <t>AD 04.10.0100 (/)</t>
  </si>
  <si>
    <t>Sondagem rotativa vertical, em rocha alterada, com coroa de Wídia ou similar, diâmetro N (75mm), inclusive deslocamento e posicionamento em cada furo.(desonerado)</t>
  </si>
  <si>
    <t>AD 04.10.0150 (/)</t>
  </si>
  <si>
    <t>Sondagem rotativa vertical, em solo, com coroa de  Wídia ou similar, diâmetro B (60mm), inclusive deslocamento e posicionamento em cada furo.(desonerado)</t>
  </si>
  <si>
    <t>AD 04.10.0200 (/)</t>
  </si>
  <si>
    <t>Sondagem rotativa vertical, em solo, com coroa de  Wídia ou similar, diâmetro N (75mm), inclusive deslocamento e posicionamento em cada furo.(desonerado)</t>
  </si>
  <si>
    <t>AD 04.15.0050 (/)</t>
  </si>
  <si>
    <t>Sondagem rotativa com Coroa de diamante, em rocha sã, diâmetro HW, inclinada (qualquer inclinação diferente da vertical), inclusive deslocamento dentro do canteiro e instalação da sonda no furo.(desonerado)</t>
  </si>
  <si>
    <t>AD 04.15.0100 (/)</t>
  </si>
  <si>
    <t>Sondagem rotativa com Coroa de diamante, em rocha sã, diâmetro NW, inclinada (qualquer inclinação diferente da vertical), inclusive deslocamento dentro do canteiro e instalação da sonda no furo.(desonerado)</t>
  </si>
  <si>
    <t>AD 04.15.0150 (/)</t>
  </si>
  <si>
    <t>Sondagem rotativa vertical, em rocha alterada, com coroa de diamante, diâmetro B (60mm), inclusive deslocamento e posicionamento em cada furo.(desonerado)</t>
  </si>
  <si>
    <t>AD 04.15.0200 (/)</t>
  </si>
  <si>
    <t>Sondagem rotativa vertical, em rocha alterada, com coroa de diamante, diâmetro H (99mm),  inclusive deslocamento e posicionamento em cada furo.(desonerado)</t>
  </si>
  <si>
    <t>AD 04.15.0250 (/)</t>
  </si>
  <si>
    <t>Sondagem rotativa vertical, em rocha sã, com coroa de diamante, diâmetro B (60mm), inclusive deslocamento e posicionamento em cada furo.(desonerado)</t>
  </si>
  <si>
    <t>AD 04.15.0300 (/)</t>
  </si>
  <si>
    <t>Sondagem rotativa vertical, em rocha sã, com coroa de diamante, diâmetro N (75mm), inclusive deslocamento e posicionamento em cada furo.(desonerado)</t>
  </si>
  <si>
    <t>AD 04.15.0400 (/)</t>
  </si>
  <si>
    <t>Sondagem rotativa vertical, em rocha sã, com coroa de diamante, diâmetro H (99mm), inclusive deslocamento e posicionamento em cada furo.(desonerado)</t>
  </si>
  <si>
    <t>AD 04.20.0050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</si>
  <si>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desmobilização.(desonerado)</t>
  </si>
  <si>
    <t>AD 09.05 Marcação de Obra sem Instrumento de Topografia</t>
  </si>
  <si>
    <t>AD 09.05.0050 (/)</t>
  </si>
  <si>
    <t>Marcação de obra, sem instrumento topográfico, considerada a projeção horizontal da área envolvente.(desonerado)</t>
  </si>
  <si>
    <t>AD 09.10 Marcação de Obra com Instrumento de Topografia</t>
  </si>
  <si>
    <t>AD 09.10.0100 (/)</t>
  </si>
  <si>
    <t>Locação de obra com aparelho topográfico, sobre cerca de marcação, inclusive construção desta e sua pré-locação e o fornecimento do material e tendo, por medição, o perímetro a construir.(desonerado)</t>
  </si>
  <si>
    <t>AD 14.05 Mobilização e Desmobilização de Equipamentos e Amostras de Sondagem</t>
  </si>
  <si>
    <t>AD 14.05.0050 (/)</t>
  </si>
  <si>
    <t>Deslocamento, entre furos, de equipamento de sondagem a percurssão, incluindo desmontagem e remontagem.(desonerado)</t>
  </si>
  <si>
    <t>AD 14.10 Mobilização e Desmobilização de Equipamentos e Cargas de Grande Porte</t>
  </si>
  <si>
    <t>AD 14.10.0050 (/)</t>
  </si>
  <si>
    <t>Carga e descarga de equipamentos pesados em carretas, exclusive o custo horário do equipamento, durante a operação.(desonerado)</t>
  </si>
  <si>
    <t>t</t>
  </si>
  <si>
    <t>AD 14.10.0100 (A)</t>
  </si>
  <si>
    <t>Transporte de andaime suspenso, tipo leve, para pintura, inclusive ida e volta do caminhão, carga e descarga (considerar o mínimo de 40unxKm, para cálculo deste transporte).(desonerado)</t>
  </si>
  <si>
    <t>un.Km</t>
  </si>
  <si>
    <t>AD 14.10.0150 (A)</t>
  </si>
  <si>
    <t>Transporte de andaime suspenso, tipo pesado, para revestimento, inclusive ida e volta do caminhão, carga e descarga (considerar o mínimo de 200unxKm, para cálculo deste transporte).(desonerado)</t>
  </si>
  <si>
    <t>AD 14.10.0200 (/)</t>
  </si>
  <si>
    <t>Transporte de andaime tubular, considerando-se a área de projeção vertical do andaime, inclusive ida e volta do caminhão, carga e descarga (considerar o mínimo de 315m2xKm, para cálculo deste transporte).(desonerado)</t>
  </si>
  <si>
    <t>m2.Km</t>
  </si>
  <si>
    <t>AD 14.10.0250 (/)</t>
  </si>
  <si>
    <t>Transporte de elevador de obras constituído por cabine aberta, com plataforma, guinchos e cabos de 16m de altura.(desonerado)</t>
  </si>
  <si>
    <t>AD 14.10.0300 (/)</t>
  </si>
  <si>
    <t>Transporte de equipamentos pesados em carretas, exclusive a carga e descarga e  o custo horário dos equipamentos transportados.(desonerado)</t>
  </si>
  <si>
    <t>t.Km</t>
  </si>
  <si>
    <t>AD 14.10.0350 (A)</t>
  </si>
  <si>
    <t>Transporte marítimo de carga de qualquer natureza, exclusive despesas de carga e descarga, no trajeto da Ilha do Governador até a Ilha de Paquetá ou vice-versa, em embarcação apropriada (considerar apenas a viagem com a carga).(desonerado)</t>
  </si>
  <si>
    <t>AD 14.15 Equipamentos para Transporte</t>
  </si>
  <si>
    <t>AD 14.15.0050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</si>
  <si>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produtivo.(desonerado)</t>
  </si>
  <si>
    <t>h</t>
  </si>
  <si>
    <t>AD 14.15.0100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</si>
  <si>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funcionando).(desonerado)</t>
  </si>
  <si>
    <t>AD 14.15.0150 (B)</t>
  </si>
  <si>
    <t>Caminhoneta de serviço, com cabine e caçamba, com  motor bicombustível, cabine simples, com ar condicionado e direção hidráulica, capacidade de carga mínima de 650Kg, tração 4 x 2, com motorista.  Custo horário improdutivo (motor desligado).(desonerado)</t>
  </si>
  <si>
    <t>AD 14.15.0200 (A)</t>
  </si>
  <si>
    <t>Caminhoneta de servico, capacidade mínima para 13 passageiros ou 1650Kg, com motorista, material de operacao e material de manutencao, com as seguintes especificacoes minimas: motor a gasolina de 123CV, modelo básico. Custo horario diurno (entre 05:00h e 22:00h).(desonerado)</t>
  </si>
  <si>
    <t>AD 14.15.0250 (B)</t>
  </si>
  <si>
    <t>Caminhoneta de Servico, capacidade de 13 passageiros ou 1650Kg, com motorista, material de operacao e material de manutencao, com as seguintes especificacoes minimas: motor a gasolina de 123CV, modelo básico. Custo horario produtivo.(desonerado)</t>
  </si>
  <si>
    <t>AD 14.15.0300 (A)</t>
  </si>
  <si>
    <t>Caminhoneta de Servico, capacidade de 13 passageiros ou 1650Kg, com motorista e material de operacao, com as seguintes especificacoes minimas: motor a gasolina de 123CV. Custo horario improdutivo (motor funcionando).(desonerado)</t>
  </si>
  <si>
    <t>AD 14.15.0350 (A)</t>
  </si>
  <si>
    <t>Caminhoneta de Servico, capacidade de 13 passageiros ou 1650Kg, com motorista, com as seguintes especificacoes minimas: motor a gasolina de 123CV. Custo horario improdutivo (motor desligado).(desonerado)</t>
  </si>
  <si>
    <t>AD 14.15.0401 (B)</t>
  </si>
  <si>
    <t>Caminhoneta de Serviço, capacidade de 7 passageiros ou 600 Kg, com motorista, material de operacao e material de manutencao, com as seguintes especificacoes minimas: a gasolina de 83CV, autonomia de 3000 Km/mês. Custo mensal.(desonerado)</t>
  </si>
  <si>
    <t>un.mês</t>
  </si>
  <si>
    <t>AD 14.15.0403 (B)</t>
  </si>
  <si>
    <t>Caminhoneta de Servico (kilometragem adicional), capacidade para 13 passageiros ou 1650 Kg, com motorista, material de operacao e material de manutencao, com as seguintes especificacoes minimas: motor a gasolina de 123CV.  Custo do quilometro adicional.(desonerado)</t>
  </si>
  <si>
    <t>Km</t>
  </si>
  <si>
    <t>AD 14.15.0550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</si>
  <si>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produtivo.(desonerado)</t>
  </si>
  <si>
    <t>AD 14.15.0600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</si>
  <si>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funcionando).(desonerado)</t>
  </si>
  <si>
    <t>AD 14.15.0650 (A)</t>
  </si>
  <si>
    <t>Carreta para transporte pesado, com capacidade de carga útil de 60/80t, com motorista operador, com as seguintes especificações mínimas: motor diesel de 330CV, chassis extensível até 21m e semi-reboque de 4 eixos.  Custo horário improdutivo (motor desligado).(desonerado)</t>
  </si>
  <si>
    <t>AD 14.15.0700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</si>
  <si>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produtivo.(desonerado)</t>
  </si>
  <si>
    <t>AD 14.15.0703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</si>
  <si>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funcionando).(desonerado)</t>
  </si>
  <si>
    <t>AD 14.15.0706 (/)</t>
  </si>
  <si>
    <t>Carreta para transporte pesado, com capacidade de carga útil de 30t, com motorista, com as seguintes especificações mínimas: motor diesel de 330CV, chassis extensível até 21m e semi-reboque de 3 eixos.  Custo horário improdutivo (motor desligado).(desonerado)</t>
  </si>
  <si>
    <t>AD 14.15.0750 (B)</t>
  </si>
  <si>
    <t>Veículo de serviço, motor 1.0, com ar condicionado, direção hidráulica, rádio, inclusive combustível, seguro, lubrificação, manutenção, licenciamento, quilometragem livre, sem motorista.  Custo mensal.(desonerado)</t>
  </si>
  <si>
    <t>AD 14.15.0770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</si>
  <si>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mensal.(desonerado)</t>
  </si>
  <si>
    <t>AD 14.15.0800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</si>
  <si>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mensal.(desonerado)</t>
  </si>
  <si>
    <t>AD 19.05 Tapumes e Barracões</t>
  </si>
  <si>
    <t>AD 19.05.0050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</si>
  <si>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provisórias.(desonerado)</t>
  </si>
  <si>
    <t>AD 19.05.0100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</si>
  <si>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sanitários.(desonerado)</t>
  </si>
  <si>
    <t>AD 19.05.0200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</si>
  <si>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</si>
  <si>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AD 19.05.0250 (B)</t>
  </si>
  <si>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</si>
  <si>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AD 19.05.0300 (/)</t>
  </si>
  <si>
    <t>Tapume de vedação ou proteção, executado com chapas de compensado, tipo chapa resinada ou similar, com 6mm de espessura, exclusive pintura.(desonerado)</t>
  </si>
  <si>
    <t>AD 19.05.0350 (/)</t>
  </si>
  <si>
    <t>Tapume de vedação ou proteção, executado com chapas de compensado, tipo chapa resinada ou similar, com 6mm de espessura, com utilização 2 vezes, exclusive pintura.(desonerado)</t>
  </si>
  <si>
    <t>AD 19.05.0400 (A)</t>
  </si>
  <si>
    <t>Tapume de vedação ou proteção, executado com tábuas de madeira serrada, sendo o aproveitamento da madeira 2 vezes, exclusive pintura.(desonerado)</t>
  </si>
  <si>
    <t>AD 19.05.0450 (/)</t>
  </si>
  <si>
    <t>Tapume de vedação ou proteção, executado com telhas trapezoidais de aço galvanizado (esp.: 0,50mm), inclusive duas demãos de pintura esmalte sintético, na face externa, considerando a utilização das telhas 4 vezes e da moldura em perna de 3"x3", duas vezes.(desonerado)</t>
  </si>
  <si>
    <t>AD 19.05.0500 (/)</t>
  </si>
  <si>
    <t>Aluguel de banheiro quimico, incluindo transporte de ida e volta, manutenção e higienização 3 vezes por semana. Modelo Luxo, dimensções 2,31 x 1,15 x 1,15m.(desonerado)</t>
  </si>
  <si>
    <t>AD 19.10 Galpões</t>
  </si>
  <si>
    <t>AD 19.10.0050 (/)</t>
  </si>
  <si>
    <t>Galpão de canteiro de obras, para oficina e/ou depósito, inclusive o madeiramento, a cobertura de telha ondulada de fibrocimento, sem amianto, de 6mm de espessura, preparo do terreno e piso cimentado.(desonerado)</t>
  </si>
  <si>
    <t>AD 19.15 Container</t>
  </si>
  <si>
    <t>AD 19.15.0050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</si>
  <si>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t>
  </si>
  <si>
    <t>AD 19.15.0100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</si>
  <si>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t>
  </si>
  <si>
    <t>AD 19.15.0150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</si>
  <si>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mensal.(desonerado)</t>
  </si>
  <si>
    <t>AD 19.20 Ligações Provisórias</t>
  </si>
  <si>
    <t>AD 19.20.0050 (/)</t>
  </si>
  <si>
    <t>Instalação e ligação provisórias de alimentação de energia elétrica, em baixa tensão (BT), para canteiro de obras, exclusive o fornecimento do medidor.(desonerado)</t>
  </si>
  <si>
    <t>AD 19.20.0100 (/)</t>
  </si>
  <si>
    <t>Instalação e ligação provisória de obra de água e esgoto a rede pública.(desonerado)</t>
  </si>
  <si>
    <t>AD 19.25 Sinalização de Obras Públicas</t>
  </si>
  <si>
    <t>AD 19.25.0050 (A)</t>
  </si>
  <si>
    <t>Barragem de bloqueio, de obra na via pública, de acordo com a Deliberação OCOR 01/2001 de 17/10/2001, compreendendo o fornecimento, pintura dos suportes de madeira e reaproveitamento do conjunto 40 vezes.(desonerado)</t>
  </si>
  <si>
    <t>AD 19.25.0051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</si>
  <si>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obras.(desonerado)</t>
  </si>
  <si>
    <t>AD 19.25.0100 (/)</t>
  </si>
  <si>
    <t>Barragem de bloqueio, de obra na via pública, de acordo com a Deliberação OCOR 01/2001 de 17/10/2001, compreendendo a colocação e retirada uma vez.(desonerado)</t>
  </si>
  <si>
    <t>AD 19.25.0150 (/)</t>
  </si>
  <si>
    <t>Demarcação provisória de pavimento, por pintura, em cor amarela.  Medido por área efetivamente pintada.(desonerado)</t>
  </si>
  <si>
    <t>AD 19.25.0200 (/)</t>
  </si>
  <si>
    <t>Placa de sinalização para obra na via pública, com 0,60m de largura por 1m de altura, com avisos em letras pintadas, compreendendo o fornecimento e pintura, inclusive da estrutura e suporte em madeira serrada e base de concreto.(desonerado)</t>
  </si>
  <si>
    <t>AD 19.25.0210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</si>
  <si>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Fornecimento.(desonerado)</t>
  </si>
  <si>
    <t>AD 19.25.0250 (/)</t>
  </si>
  <si>
    <t>Placa de sinalização para obra na via pública, compreendendo exclusivamente o serviço de colocação e retirada.(desonerado)</t>
  </si>
  <si>
    <t>AD 19.25.0300 (A)</t>
  </si>
  <si>
    <t>Placa de identificação de obra pública, inclusive pintura, estrutura, suporte de madeira em peças de madeira serrada de (7,5 x 7,5)cm e transporte.  Fornecimento e colocação.(desonerado)</t>
  </si>
  <si>
    <t>AD 19.25.0310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</si>
  <si>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colocação.(desonerado)</t>
  </si>
  <si>
    <t>AD 19.25.0350 (/)</t>
  </si>
  <si>
    <t>Semáforo para sinalização de obra na via pública, compreendendo exclusivamente o serviço e retirada.(desonerado)</t>
  </si>
  <si>
    <t>AD 19.25.0400 (A)</t>
  </si>
  <si>
    <t>Semaforo para sinalizaçao de obra na via publica, compreendendo o fornecimento do semaforo, do suporte de madeira e do material eletrico. Exclusive a colocacao e retirada.(desonerado)</t>
  </si>
  <si>
    <t>AD 24.05 Sinalização Preventiva</t>
  </si>
  <si>
    <t>AD 24.05.0050 (/)</t>
  </si>
  <si>
    <t>Aluguel de balizador vagalume, equipado com pisca alerta e painéis de fita refletiva padrão Engenharia com altura de 1,32m, de acordo com o manual do DNSR e CET-RIO, incluindo manutenção, primeira colocação e retirada da obra.(desonerado)</t>
  </si>
  <si>
    <t>AD 24.05.0150 (/)</t>
  </si>
  <si>
    <t>Aluguel de cavalete minicade, equipado com painéis refletivos de alta intensidade e um pisca alerta com célula foto-elétrica, alimentada por 2 baterias de 6V (dispensa o uso de gerador).(desonerado)</t>
  </si>
  <si>
    <t>AD 24.05.0200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</si>
  <si>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obra.(desonerado)</t>
  </si>
  <si>
    <t>AD 24.05.0250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</si>
  <si>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alerta.(desonerado)</t>
  </si>
  <si>
    <t>AD 24.05.0300 (A)</t>
  </si>
  <si>
    <t>Aluguel de pisca alerta para adaptação em cones canalizadores e cavaletes.(desonerado)</t>
  </si>
  <si>
    <t>AD 24.05.0350 (/)</t>
  </si>
  <si>
    <t>Aluguel de placas de sinalização de obras, refletivas, revestidas com película refletiva grau técnico.(desonerado)</t>
  </si>
  <si>
    <t>m2.mês</t>
  </si>
  <si>
    <t>AD 24.05.0450 (A)</t>
  </si>
  <si>
    <t>Rolo de tela plástica, nas dimensões de (50x1,20)m, na cor laranja, sendo utilizada 2 vezes.  Fornecimento.(desonerado)</t>
  </si>
  <si>
    <t>AD 24.05.0500 (A)</t>
  </si>
  <si>
    <t>Proteção de canteiro de obra em áreas públicas, compreendendo tela plástica, estrutura de madeira a cada 3m de distância com base de concreto, utilização 2 vezes.(desonerado)</t>
  </si>
  <si>
    <t>AD 29.05 Relatórios</t>
  </si>
  <si>
    <t>AD 29.05.0050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</si>
  <si>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relatório.(desonerado)</t>
  </si>
  <si>
    <t>AD 29.05.0100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</si>
  <si>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</si>
  <si>
    <t>AD 29.05.0200 (/)</t>
  </si>
  <si>
    <t>Relatório técnico cadastral de estruturas de drenagem em encostas, conforme modelo GEO-RIO.  Incluído vistoria em campo, desenhos digitais georreferenciados e cotados da estrutura e registro fotográfico.(desonerado)</t>
  </si>
  <si>
    <t>AD 29.05.0300 (/)</t>
  </si>
  <si>
    <t>Relatório técnico cadastral de estruturas de contenção em encostas, conforme modelo GEO-RIO.  Incluído vistoria em campo, desenhos digitais georreferenciados e cotados da estrutura e registro fotográfico.(desonerado)</t>
  </si>
  <si>
    <t>AD 34.05.0050 (/)</t>
  </si>
  <si>
    <t>Carga das partículas (PMB-565).(desonerado)</t>
  </si>
  <si>
    <t>AD 34.05.0053 (/)</t>
  </si>
  <si>
    <t>Desemulsibilidade (PMB-580).(desonerado)</t>
  </si>
  <si>
    <t>AD 34.05.0056 (/)</t>
  </si>
  <si>
    <t>Penetração à 25°C, 100g, 5s (MB-107).(desonerado)</t>
  </si>
  <si>
    <t>AD 34.05.0059 (/)</t>
  </si>
  <si>
    <t>Ponto de Fulgor Cleveland (MB-90).(desonerado)</t>
  </si>
  <si>
    <t>AD 34.05.0062 (/)</t>
  </si>
  <si>
    <t>Viscosidade SSF a cada temperatura, para emulsão (PMB-581 a 512).(desonerado)</t>
  </si>
  <si>
    <t>AD 34.10.0050 (/)</t>
  </si>
  <si>
    <t>Ensaio normal completo (MB-1).(desonerado)</t>
  </si>
  <si>
    <t>AD 34.10.0100 (/)</t>
  </si>
  <si>
    <t>Ensaio químico completo de cimento.(desonerado)</t>
  </si>
  <si>
    <t>AD 34.15.0050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</si>
  <si>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formas.(desonerado)</t>
  </si>
  <si>
    <t>AD 34.15.0100 (A)</t>
  </si>
  <si>
    <t>Ensaio de resistência à compressão de corpo de prova cilíndrico (15x30)cm, exclusive o transporte.(desonerado)</t>
  </si>
  <si>
    <t>AD 34.15.0150 (A)</t>
  </si>
  <si>
    <t>Moldagem e coleta de corpo de prova de concreto e transporte a 50Km, por topo.(desonerado)</t>
  </si>
  <si>
    <t>AD 34.15.0200 (A)</t>
  </si>
  <si>
    <t>Remate e capeamento de corpo de prova, exclusive o transporte.(desonerado)</t>
  </si>
  <si>
    <t>AD 34.20.0050 (/)</t>
  </si>
  <si>
    <t>Análise granulométrica após extração do ligante.(desonerado)</t>
  </si>
  <si>
    <t>AD 34.20.0053 (/)</t>
  </si>
  <si>
    <t>Densidade aparente (DPTM-77/63).(desonerado)</t>
  </si>
  <si>
    <t>AD 34.20.0056 (/)</t>
  </si>
  <si>
    <t>Determinação, com auxílio de sonda rotativa, da densidade de mistura compactada, por corpo de prova.(desonerado)</t>
  </si>
  <si>
    <t>AD 34.20.0059 (/)</t>
  </si>
  <si>
    <t>Determinação da estabilidade e fluência Marshall (DPTM-43/64).(desonerado)</t>
  </si>
  <si>
    <t>AD 34.20.0062 (/)</t>
  </si>
  <si>
    <t>Determinação do teor de betume (DBTM-53/63).(desonerado)</t>
  </si>
  <si>
    <t>AD 34.20.0065 (/)</t>
  </si>
  <si>
    <t>Fadiga por compressão diametral.(desonerado)</t>
  </si>
  <si>
    <t>AD 34.20.0068 (/)</t>
  </si>
  <si>
    <t>Fadiga por flexão (vigota).(desonerado)</t>
  </si>
  <si>
    <t>AD 34.20.0071 (/)</t>
  </si>
  <si>
    <t>Módulo resiliente por compressão diametral.(desonerado)</t>
  </si>
  <si>
    <t>AD 34.20.0074 (/)</t>
  </si>
  <si>
    <t>Módulo resiliente por flexão (vigota).(desonerado)</t>
  </si>
  <si>
    <t>AD 34.20.0077 (/)</t>
  </si>
  <si>
    <t>Recuperação do ligante (Abson).(desonerado)</t>
  </si>
  <si>
    <t>AD 34.25.0050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</si>
  <si>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orientada.(desonerado)</t>
  </si>
  <si>
    <t>AD 34.25.0100 (/)</t>
  </si>
  <si>
    <t>Ensaio para determinação de Módulo de Deformação, coeficiente de Poisson e resistência à compressão, em corpos de prova de rocha, nos diâmetros N até H, excluindo a preparação da amostra, por corpo de prova.(desonerado)</t>
  </si>
  <si>
    <t>AD 34.25.0150 (/)</t>
  </si>
  <si>
    <t>Ensaio para determinação da resistência á compressão simples axial, em corpos de prova em rocha, com diâmetro entre N até H, excluindo a preparação da amostra.(desonerado)</t>
  </si>
  <si>
    <t>AD 34.25.0200 (/)</t>
  </si>
  <si>
    <t>Ensaio de SPT, com amostrador padrão, durante sondagem rotativa mista, qualquer diâmetro, qualquer profundidade, por ensaio.(desonerado)</t>
  </si>
  <si>
    <t>AD 34.25.0250 (/)</t>
  </si>
  <si>
    <t>Preparação de corpos de prova, em rocha, com serra diamantada, incluindo retificação de topo, base e geratriz, nos diâmetros de N até H, por corpo de prova.(desonerado)</t>
  </si>
  <si>
    <t>AD 34.30.0050 (A)</t>
  </si>
  <si>
    <t>Avaliação da espessura de carbonatação, por ponto, em estruturas de concreto armado ou protendido, através de aspersão de solução de fenolftaleína, inclusive coleta da amostra.(desonerado)</t>
  </si>
  <si>
    <t>AD 34.30.0150 (/)</t>
  </si>
  <si>
    <t>Determinação do índice de vazios, massa específica e capacidade de absorção do concreto, através de corpo de prova retirado em estruturas de concreto armado ou protendido, conforme NBR 9778, inclusive coleta da amostra.(desonerado)</t>
  </si>
  <si>
    <t>AD 34.30.0200 (/)</t>
  </si>
  <si>
    <t>Determinação de teor de cloretos, por amostra, em estruturas de concreto armado ou protendido, conforme Norma da ACI-318/31-BR36, inclusive coleta da amostra.(desonerado)</t>
  </si>
  <si>
    <t>AD 34.30.0250 (/)</t>
  </si>
  <si>
    <t>Determinação do teor de sulfatos, por amostra, em estruturas de concreto armado ou protendido, conforme boletim n° 25 do IPT, inclusive coleta da amostra.(desonerado)</t>
  </si>
  <si>
    <t>AD 34.30.0300 (/)</t>
  </si>
  <si>
    <t>Extração de corpo de prova de concreto, diâmetro de 4", com corte, preparo e ensaios de compressão axial, para determinação da resistência do concreto em estruturas de concreto, armado ou protendido, conforme NBR-7680 e NBR-5739, inclusive coleta da amostra.(desonerado)</t>
  </si>
  <si>
    <t>AD 34.30.0350 (/)</t>
  </si>
  <si>
    <t>Reconstituição do traço de concreto, por amostra, através de corpos de provas retirados em estruturas de concreto armado ou protendido, conforme boletim n° 25 do IPT, inclusive coleta de amostra.(desonerado)</t>
  </si>
  <si>
    <t>AD 34.30.0400 (A)</t>
  </si>
  <si>
    <t>Verificação do potencial de corrosão da armadura (por ensaio, área de 2m2) em estrutura de concreto armado ou protendido, conforme Norma ASTM-C-868/87, inclusive coleta da amostra.(desonerado)</t>
  </si>
  <si>
    <t>AD 34.35.0050 (A)</t>
  </si>
  <si>
    <t>Amostra indeformada em bloco.(desonerado)</t>
  </si>
  <si>
    <t>AD 34.35.0100 (/)</t>
  </si>
  <si>
    <t>Ensaio de amostra de areia.(desonerado)</t>
  </si>
  <si>
    <t>AD 34.35.0150 (/)</t>
  </si>
  <si>
    <t>Ensaio de amostra de material pétreo.(desonerado)</t>
  </si>
  <si>
    <t>AD 34.35.0200 (/)</t>
  </si>
  <si>
    <t>Ensaio de compactação com energia Proctor Intermediário, conforme as recomendações da NBR7182 e da NBR6457.(desonerado)</t>
  </si>
  <si>
    <t>AD 34.35.0250 (/)</t>
  </si>
  <si>
    <t>Ensaio de compactação com energia Proctor Modificado, conforme as recomendações da NBR7182 e da NBR6457.(desonerado)</t>
  </si>
  <si>
    <t>AD 34.35.0300 (/)</t>
  </si>
  <si>
    <t>Ensaio de compactação com energia Proctor Normal, conforme recomendações da NBR 7182 e NBR 6457.(desonerado)</t>
  </si>
  <si>
    <t>AD 34.35.0350 (/)</t>
  </si>
  <si>
    <t>Ensaio de compressão não confinada em amostra natural de solo, conforme recomendações da NBR12770.(desonerado)</t>
  </si>
  <si>
    <t>AD 34.35.0400 (/)</t>
  </si>
  <si>
    <t>Ensaio de compressão simples em amostra moldada.(desonerado)</t>
  </si>
  <si>
    <t>AD 34.35.0450 (A)</t>
  </si>
  <si>
    <t>AD 34.35.0500 (A)</t>
  </si>
  <si>
    <t>Ensaio de perda d'água, sondagem rotativa em rocha.(desonerado)</t>
  </si>
  <si>
    <t>AD 34.35.0550 (/)</t>
  </si>
  <si>
    <t>Ensaio para determinação do coeficiente de permeabilidade, em amostra argilosa moldada, à carga variável, conforme NBR14545.(desonerado)</t>
  </si>
  <si>
    <t>AD 34.35.0600 (/)</t>
  </si>
  <si>
    <t>Ensaio para determinação do coeficiente de permeabilidade, em amostra argilosa natural, à carga variável, conforme NBR14545.(desonerado)</t>
  </si>
  <si>
    <t>AD 34.35.0650 (/)</t>
  </si>
  <si>
    <t>Ensaio para determinação de coeficiente de permeabilidade, em amostra granular natural, à carga constante, conforme NBR13292.(desonerado)</t>
  </si>
  <si>
    <t>AD 34.35.0700 (/)</t>
  </si>
  <si>
    <t>Ensaio para determinação do Índice Suporte Califórnia (CBR) - 5 pontos - obtido com energia Proctor Intermediário, através de, no mínimo, 5 corpos de prova, conforme recomendação da NBR9895, NBR6457, NBR7182.(desonerado)</t>
  </si>
  <si>
    <t>AD 34.35.0750 (/)</t>
  </si>
  <si>
    <t>Ensaio para determinação do Índice Suporte Califórnia (CBR) - 5 pontos - obtido com energia Proctor Modificado, através de, no mínimo, 5 corpos de prova, conforme recomendação da NBR9895, NBR6457, NBR7182.(desonerado)</t>
  </si>
  <si>
    <t>AD 34.35.0800 (/)</t>
  </si>
  <si>
    <t>Ensaio para determinação do Índice Suporte Califórnia (CBR) - 5 pontos - obtido com energia Proctor Normal, através de, no mínimo, 5 corpos de prova, conforme recomendação da NBR9895, NBR6457, NBR7182.(desonerado)</t>
  </si>
  <si>
    <t>AD 34.35.0850 (/)</t>
  </si>
  <si>
    <t>Ensaio para determinação do Índice Suporte Califórnia (CBR) - 3 pontos - obtido com energia Proctor Intermediário, através de, no mínimo, 5 corpos de prova, conforme recomendação da NBR9895, NBR6457, NBR7182.(desonerado)</t>
  </si>
  <si>
    <t>AD 34.35.0900 (/)</t>
  </si>
  <si>
    <t>Ensaio para determinação do Índice Suporte Califórnia (CBR) - 3 pontos - obtido com energia Proctor Modificado, através de, no mínimo, 5 corpos de prova, conforme recomendação da NBR9895, NBR6457, NBR7182.(desonerado)</t>
  </si>
  <si>
    <t>AD 34.35.0950 (/)</t>
  </si>
  <si>
    <t>Ensaio triaxial drenado em amostra moldada por CP.(desonerado)</t>
  </si>
  <si>
    <t>AD 34.35.1000 (/)</t>
  </si>
  <si>
    <t>Ensaio triaxial drenado em amostra natural por CP.(desonerado)</t>
  </si>
  <si>
    <t>AD 34.35.1050 (/)</t>
  </si>
  <si>
    <t>Ensaio triaxial não drenado em amostra moldada por CP.(desonerado)</t>
  </si>
  <si>
    <t>AD 34.35.1100 (/)</t>
  </si>
  <si>
    <t>Ensaio triaxial não drenado em amostra natural por CP.(desonerado)</t>
  </si>
  <si>
    <t>AD 39.05 Mão-de-Obra da Administração Local</t>
  </si>
  <si>
    <t>AD 39.05.0050 (/)</t>
  </si>
  <si>
    <t>Ajudante (inclusive encargos sociais).(desonerado)</t>
  </si>
  <si>
    <t>AD 39.05.0056 (/)</t>
  </si>
  <si>
    <t>Almoxarife (inclusive encargos sociais).(desonerado)</t>
  </si>
  <si>
    <t>AD 39.05.0068 (/)</t>
  </si>
  <si>
    <t>Apontador (inclusive encargos sociais).(desonerado)</t>
  </si>
  <si>
    <t>AD 39.05.0074 (/)</t>
  </si>
  <si>
    <t>Auxiliar de almoxarife (inclusive encargos sociais).(desonerado)</t>
  </si>
  <si>
    <t>AD 39.05.0077 (A)</t>
  </si>
  <si>
    <t>Auxiliar de enfermagem (inclusive encargos sociais). (desonerado)</t>
  </si>
  <si>
    <t>AD 39.05.0080 (/)</t>
  </si>
  <si>
    <t>Auxiliar de escritório (inclusive encargos sociais).(desonerado)</t>
  </si>
  <si>
    <t>AD 39.05.0086 (/)</t>
  </si>
  <si>
    <t>Técnico de nível médio (inclusive encargos sociais).(desonerado)</t>
  </si>
  <si>
    <t>AD 39.05.0092 (/)</t>
  </si>
  <si>
    <t>Auxiliar de topografia - serviços de campo (inclusive encargos sociais).(desonerado)</t>
  </si>
  <si>
    <t>AD 39.05.0094 (/)</t>
  </si>
  <si>
    <t>Biólogo na área de Meio Ambiente (inclusive encargos sociais).(desonerado)</t>
  </si>
  <si>
    <t>AD 39.05.0098 (/)</t>
  </si>
  <si>
    <t>Chefe de escritório (inclusive encargos sociais).(desonerado)</t>
  </si>
  <si>
    <t>AD 39.05.0104 (/)</t>
  </si>
  <si>
    <t>Desenhista A (inclusive encargos sociais).(desonerado)</t>
  </si>
  <si>
    <t>AD 39.05.0110 (/)</t>
  </si>
  <si>
    <t>Digitador (inclusive encargos sociais).(desonerado)</t>
  </si>
  <si>
    <t>AD 39.05.0116 (/)</t>
  </si>
  <si>
    <t>Encarregado (inclusive encargos sociais).(desonerado)</t>
  </si>
  <si>
    <t>AD 39.05.0119 (A)</t>
  </si>
  <si>
    <t>Enfermeiro (inclusive encargos sociais). (desonerado)</t>
  </si>
  <si>
    <t>AD 39.05.0122 (/)</t>
  </si>
  <si>
    <t>Engenheiro, arquiteto ou geólogo jr (inclusive encargos sociais).(desonerado)</t>
  </si>
  <si>
    <t>AD 39.05.0128 (/)</t>
  </si>
  <si>
    <t>Engenheiro ou arquiteto, coordenador geral de projetos ou supervisor de obras (inclusive encargos sociais).(desonerado)</t>
  </si>
  <si>
    <t>AD 39.05.0134 (/)</t>
  </si>
  <si>
    <t>Engenheiro,  arquiteto ou geólogo sênior (inclusive encargos sociais).(desonerado)</t>
  </si>
  <si>
    <t>AD 39.05.0138 (A)</t>
  </si>
  <si>
    <t>Engenheiro de segurança do trabalho (inclusive encargos sociais). (desonerado)</t>
  </si>
  <si>
    <t>AD 39.05.0140 (/)</t>
  </si>
  <si>
    <t>Escriturário (inclusive encargos sociais).(desonerado)</t>
  </si>
  <si>
    <t>AD 39.05.0146 (/)</t>
  </si>
  <si>
    <t>Estagiário (inclusive encargos sociais).(desonerado)</t>
  </si>
  <si>
    <t>AD 39.05.0149 (A)</t>
  </si>
  <si>
    <t>Médico do trabalho (inclusive encargos sociais). (desonerado)</t>
  </si>
  <si>
    <t>AD 39.05.0152 (/)</t>
  </si>
  <si>
    <t>Mestre de obra A (inclusive encargos sociais).(desonerado)</t>
  </si>
  <si>
    <t>AD 39.05.0158 (/)</t>
  </si>
  <si>
    <t>Mestre de obra B (inclusive encargos sociais).(desonerado)</t>
  </si>
  <si>
    <t>AD 39.05.0164 (/)</t>
  </si>
  <si>
    <t>Motorista de caminhão e carreta (inclusive encargos sociais).(desonerado)</t>
  </si>
  <si>
    <t>AD 39.05.0170 (/)</t>
  </si>
  <si>
    <t>Motorista de veículo leve de serviço (inclusive encargos sociais).(desonerado)</t>
  </si>
  <si>
    <t>AD 39.05.0173 (/)</t>
  </si>
  <si>
    <t>Motorista operador de reboque e munck (inclusive encargos sociais).(desonerado)</t>
  </si>
  <si>
    <t>AD 39.05.0176 (/)</t>
  </si>
  <si>
    <t>Operador de computador (inclusive encargos sociais).(desonerado)</t>
  </si>
  <si>
    <t>AD 39.05.0182 (/)</t>
  </si>
  <si>
    <t>Programador de computador (inclusive encargos sociais).(desonerado)</t>
  </si>
  <si>
    <t>AD 39.05.0188 (/)</t>
  </si>
  <si>
    <t>Secretária (inclusive encargos sociais).(desonerado)</t>
  </si>
  <si>
    <t>AD 39.05.0200 (/)</t>
  </si>
  <si>
    <t>Supervisor de tráfego, com todo o seu EPI, colete, capa, boné, apito, (inclusive encargos sociais).(desonerado)</t>
  </si>
  <si>
    <t>AD 39.05.0206 (/)</t>
  </si>
  <si>
    <t>Técnico em eletrônica ou eletrotécnica (inclusive encargos sociais).(desonerado)</t>
  </si>
  <si>
    <t>AD 39.05.0209 (A)</t>
  </si>
  <si>
    <t>Técnico de segurança do trabalho (inclusive encargos sociais). (desonerado)</t>
  </si>
  <si>
    <t>AD 39.05.0212 (/)</t>
  </si>
  <si>
    <t>Topógrafo A - serviços de campo e escritório, com responsabilidade de dirigí-los (inclusive encargos sociais).(desonerado)</t>
  </si>
  <si>
    <t>AD 39.05.0218 (A)</t>
  </si>
  <si>
    <t>Vigia (inclusive encargos sociais).(desonerado)</t>
  </si>
  <si>
    <t>AL 04.03 Alvenaria de Pedra Natural Bruta (seca) - Paredes</t>
  </si>
  <si>
    <t>AL 04.03.0050 (/)</t>
  </si>
  <si>
    <t>Alvenaria de pedra seca em elevação, de uma face, feita com blocos de dimensões aproximadas de (30x30x30)cm até (40x40x40)cm, até 3m de altura.(desonerado)</t>
  </si>
  <si>
    <t>AL 04.05 Alvenaria de Pedra Natural Aparelhada (argamassada)</t>
  </si>
  <si>
    <t>AL 04.05.0050 (/)</t>
  </si>
  <si>
    <t>Alvenaria de pedra em elevação, de uma face, feita com blocos de dimensões aproximadas de (30x30x30)cm até (40x40x40)cm, assentes com argamassa de cimento, saibro e areia 1:2:3, juntas simples, até 1,50m de altura.(desonerado)</t>
  </si>
  <si>
    <t>AL 04.05.0053 (/)</t>
  </si>
  <si>
    <t>Alvenaria de pedra em elevação, de uma face, feita com blocos de  pedra-de-mão, assentes com argamassa de cimento, saibro e areia, traço 1:2:3, até 1,50m de altura, sendo a espessura até 0,35m.(desonerado)</t>
  </si>
  <si>
    <t>AL 04.05.0100 (/)</t>
  </si>
  <si>
    <t>Alvenaria de pedra em elevação, de uma face, feita com blocos de dimensões aproximadas de (30x30x30)cm até (40x40x40)cm, assentes com argamassa de cimento, saibro e areia 1:2:3, juntas simples, acima de 1,50 até 3m de altura.(desonerado)</t>
  </si>
  <si>
    <t>AL 04.05.0150 (/)</t>
  </si>
  <si>
    <t>Alvenaria de pedra em elevação, de 2 faces, feita com blocos de pedra-de-mão, assentes com argamassa de cimento, saibro e areia no traço 1:2:3, até 1,50m de altura, sendo espessura até 0,35m.(desonerado)</t>
  </si>
  <si>
    <t>AL 04.05.0200 (/)</t>
  </si>
  <si>
    <t>Alvenaria de pedra em elevação, de 2 faces, feita com blocos de  pedra-de-mão, assentes com argamassa de cimento, saibro e areia no traço 1:2:3, acima de 1,50 até 3m de altura, sendo espessura até 0,35m.(desonerado)</t>
  </si>
  <si>
    <t>AL 04.05.0250 (A)</t>
  </si>
  <si>
    <t>Junta relevo, em alvenaria de pedra em elevação, de 1 face, feita com blocos de dimensões aproximadas de (30x30x30)cm até (40x40x40)cm, com argamassa de cimento, cal e areia fina, no traço 1:3:5.(desonerado)</t>
  </si>
  <si>
    <t>AL 04.10 Alvenaria de Tijolos Cerâmicos Maciços - Paredes</t>
  </si>
  <si>
    <t>AL 04.10.0050 (/)</t>
  </si>
  <si>
    <t>Alvenaria de tijolo maciço (7x10x20)cm, com argamassa de cimento e saibro no traço 1:6, em paredes de meia vez (0,10m), de superfície corrida, até 1,50m de altura, e medida pela área real.(desonerado)</t>
  </si>
  <si>
    <t>AL 04.10.0053 (/)</t>
  </si>
  <si>
    <t>Alvenaria de tijolo maciço (7x10x20)cm, com argamassa de cimento e saibro no traço 1:6, em paredes de meia vez (0,10m), de superfície corrida, até 3m de altura, e medida pela área real.(desonerado)</t>
  </si>
  <si>
    <t>AL 04.10.0059 (/)</t>
  </si>
  <si>
    <t>Alvenaria de tijolo maciço (7x10x20)cm, com argamassa de cimento e saibro no traço 1:6, em paredes de meia vez (0,10m), de superfície corrida, de 3m a 4,50m de altura, e medida pela área real.(desonerado)</t>
  </si>
  <si>
    <t>AL 04.10.0103 (/)</t>
  </si>
  <si>
    <t>Alvenaria de tijolo maciço (7x10x20)cm, com argamassa de cimento e saibro no traço 1:6, em paredes com vãos ou arestas, de meia vez (0,10m), até 3m  de altura, e medida pela área real.(desonerado)</t>
  </si>
  <si>
    <t>AL 04.10.0106 (/)</t>
  </si>
  <si>
    <t>Alvenaria de tijolo maciço (7x10x20)cm, com argamassa de cimento e saibro no traço 1:6, em paredes com vãos ou arestas, de meia vez (0,10m), de 3m a 4,50m de altura, e medida pela área real.(desonerado)</t>
  </si>
  <si>
    <t>AL 04.10.0150 (/)</t>
  </si>
  <si>
    <t>Alvenaria de tijolo maciço (7x10x20)cm, com argamassa de cimento e saibro no traço 1:6, em paredes de 1 vez (0,20m), de superfície corrida, até 1,50m de altura, e medida pela área real.(desonerado)</t>
  </si>
  <si>
    <t>AL 04.10.0152 (/)</t>
  </si>
  <si>
    <t>Alvenaria de tijolo maciço (7x10x20)cm, com argamassa de cimento e saibro no traço 1:6, em paredes de 1 vez (0,20m), de superfície corrida, até 3m de altura, e medida pela área real.(desonerado)</t>
  </si>
  <si>
    <t>AL 04.10.0153 (/)</t>
  </si>
  <si>
    <t>Alvenaria de tijolo maciço (7x10x20)cm, com argamassa de cimento e saibro no traço 1:6, em paredes com vãos ou arestas, de 1 vez (0,20m), até 3m de altura, e medida pela área real.(desonerado)</t>
  </si>
  <si>
    <t>AL 04.10.0156 (/)</t>
  </si>
  <si>
    <t>Alvenaria de tijolo maciço (7x10x20)cm, com argamassa de cimento e saibro no traço 1:6, em paredes de 1 vez (0,20m), de superfície corrida, de 3m a 4,50m de altura, e medida pela área real.(desonerado)</t>
  </si>
  <si>
    <t>AL 04.10.0200 (/)</t>
  </si>
  <si>
    <t>Alvenaria de tijolo maciço (7x10x20)cm, com argamassa de cimento e saibro no traço 1:6, em paredes com vãos ou arestas, de 1 vez (0,20m), de 3m a 4,50m de altura, e medida pela área real.(desonerado)</t>
  </si>
  <si>
    <t>AL 04.15 Alvenaria de Tijolos Cerâmicos Maciços - Caixas Enterradas</t>
  </si>
  <si>
    <t>AL 04.15.0050 (/)</t>
  </si>
  <si>
    <t>Alvenaria para caixas enterradas, até 0,80m de profundidade, de tijolo maciço (7x10x20)cm, com argamassa de cimento, saibro e areia no traço 1:2:2 e parede de meia vez.(desonerado)</t>
  </si>
  <si>
    <t>AL 04.15.0100 (/)</t>
  </si>
  <si>
    <t>Alvenaria para caixas enterradas, até 0,80m de profundidade, de tijolo maciço (7x10x20)cm, com argamassa de cimento, saibro e areia no traço 1:2:2 e parede de 1 vez (19cm).(desonerado)</t>
  </si>
  <si>
    <t>AL 04.15.0103 (/)</t>
  </si>
  <si>
    <t>Alvenaria para caixas enterradas, de 0,80m a 1,60m de profundidade, de tijolo maciço (7x10x20)cm, com argamassa de cimento, saibro e areia no traço 1:2:2 e parede de 1 vez e meia (29cm).(desonerado)</t>
  </si>
  <si>
    <t>AL 04.20 Alvenaria de Blocos Cerâmicos Vazados (vedação)</t>
  </si>
  <si>
    <t>AL 04.20.0050 (/)</t>
  </si>
  <si>
    <t>Alvenaria de tijolo (10x20x20)cm,de furos redondos, com argamassa de cimento e saibro no traço 1:8, em parede de meia vez (0,10m), de superfície corrida, até 1,50m de altura, e medida pela área real.(desonerado)</t>
  </si>
  <si>
    <t>AL 04.20.0053 (/)</t>
  </si>
  <si>
    <t>Alvenaria de tijolo (10x20x20)cm, de furos redondos, com argamassa de cimento e saibro no traço 1:8, em parede de meia vez (0,10m), de superfície corrida, até 3m de altura, e medida pela área real.(desonerado)</t>
  </si>
  <si>
    <t>AL 04.20.0056 (/)</t>
  </si>
  <si>
    <t>Alvenaria de tijolo (10x20x20)cm, de furos redondos, com argamassa de cimento e saibro no traço 1:8, em paredes de meia vez (0,10m), de superfície corrida, de 3m a 4,50m de altura, e medida pela área real.(desonerado)</t>
  </si>
  <si>
    <t>AL 04.20.0100 (/)</t>
  </si>
  <si>
    <t>Alvenaria de tijolo (10x20x20)cm, de furos redondos, com argamassa de cimento e saibro no traço 1:8, em parede com vãos ou arestas (0,10m), até 3m de altura, e medida pela área real.(desonerado)</t>
  </si>
  <si>
    <t>AL 04.20.0103 (/)</t>
  </si>
  <si>
    <t>Alvenaria de tijolo (10x20x20)cm, de furos redondos, com argamassa de cimento e saibro no traço 1:8, em paredes com vãos ou arestas de meia vez (0,10m), de 3m a 4,50m de altura, e medida pela área real.(desonerado)</t>
  </si>
  <si>
    <t>AL 04.20.0150 (/)</t>
  </si>
  <si>
    <t>Alvenaria de tijolo (10x20x30)cm, de furos redondos, com argamassa de cimento e saibro no traço 1:8, em paredes de meia vez (0,10m), de superfície corrida, até 1,50m de altura, e medida pela área real.(desonerado)</t>
  </si>
  <si>
    <t>AL 04.20.0153 (/)</t>
  </si>
  <si>
    <t>Alvenaria de tijolo (10x20x30)cm, de furos redondos, com argamassa de cimento e saibro no traço 1:8, em paredes de meia vez (0,10m), de superfície corrida, até 3m de altura, e medida pela área real.(desonerado)</t>
  </si>
  <si>
    <t>AL 04.20.0156 (/)</t>
  </si>
  <si>
    <t>Alvenaria de tijolo (10x20x30)cm, de furos redondos, com argamassa de cimento e saibro no traço 1:8, em paredes de meia vez (0,10m), de superfície corrida de 3m a 4,50m de altura, e medida pela área real.(desonerado)</t>
  </si>
  <si>
    <t>AL 04.20.0200 (/)</t>
  </si>
  <si>
    <t>Alvenaria de tijolo (10x20x30)cm, de furos redondos, com argamassa de cimento e saibro no traço 1:8, em paredes com vãos ou arestas (0,10m), até 3m de altura, e medida pela área real.(desonerado)</t>
  </si>
  <si>
    <t>AL 04.20.0203 (/)</t>
  </si>
  <si>
    <t>Alvenaria de tijolo (10x20x30)cm, de furos redondos, com argamassa de cimento e saibro no traço 1:8, em paredes com vãos ou arestas de meia vez (0,10m), de 3m a 4,50m de altura, e medida pela área real.(desonerado)</t>
  </si>
  <si>
    <t>AL 04.20.0250 (/)</t>
  </si>
  <si>
    <t>Alvenaria de tijolo (10x20x20)cm, de furos redondos, com argamassa de cimento e saibro no traço 1:8, em paredes de 1 vez (0,20m), de superfície corrida, até 1,50m de altura, e medida pela área real.(desonerado)</t>
  </si>
  <si>
    <t>AL 04.20.0253 (/)</t>
  </si>
  <si>
    <t>Alvenaria de tijolo (10x20x20)cm, de furos redondos, com argamassa de cimento e saibro no traço 1:8, em paredes de 1 vez (0,20m), de superfície corrida, até 3m de altura, e medida pela área real.(desonerado)</t>
  </si>
  <si>
    <t>AL 04.20.0300 (/)</t>
  </si>
  <si>
    <t>Alvenaria de tijolo (10x20x20)cm, de furos redondos, com argamassa de cimento e saibro no traço 1:8, em parede com vãos ou arestas (0,20m), até 3m de altura, e medida pela área real.(desonerado)</t>
  </si>
  <si>
    <t>AL 04.20.0303 (/)</t>
  </si>
  <si>
    <t>Alvenaria de tijolo (10x20x20)cm, de furos redondos, com argamassa de cimento e saibro no traço 1:8, em parede com vãos ou arestas (0,20m), de 3m a 4,50m de altura, e medida pela área real.(desonerado)</t>
  </si>
  <si>
    <t>AL 04.20.0350 (/)</t>
  </si>
  <si>
    <t>Alvenaria de tijolo (10x20x30)cm, de furos redondos, com argamassa de cimento e saibro no traço 1:8, em paredes de 1 vez (0,20m), de superfície corrida, até 1,50m de altura, e medida pela área real.(desonerado)</t>
  </si>
  <si>
    <t>AL 04.20.0353 (/)</t>
  </si>
  <si>
    <t>Alvenaria de tijolo (10x20x30)cm, de furos redondos, com argamassa de cimento e saibro no traço 1:8, em paredes de 1 vez (0,20m), de superfície corrida, até 3m de altura, e medida pela área real.(desonerado)</t>
  </si>
  <si>
    <t>AL 04.20.0400 (/)</t>
  </si>
  <si>
    <t>Alvenaria de tijolo (10x20x30)cm, de furos redondos, com argamassa de cimento e saibro no traço 1:8, em paredes com vãos ou arestas (0,20m), até 3m de altura, e medida pela área real.(desonerado)</t>
  </si>
  <si>
    <t>AL 04.20.0450 (/)</t>
  </si>
  <si>
    <t>Alvenaria de tijolo (10x20x30)cm, de furos redondos, com argamassa de cimento e saibro no traço 1:8, em paredes corridas de 1 vez (0,20m), de 3m a 4,50m de altura, e medida pela área real.(desonerado)</t>
  </si>
  <si>
    <t>AL 04.20.0500 (/)</t>
  </si>
  <si>
    <t>Alvenaria de tijolo (10x20x30)cm, de furos redondos, com argamassa de cimento e saibro no traço 1:8, em paredes com vãos ou arestas de 1 vez (0,20m), de 3m a 4,50m de altura, e medida pela área real.(desonerado)</t>
  </si>
  <si>
    <t>AL 04.23 Alvenaria de Blocos Cerâmicos Vazados (estrutural)</t>
  </si>
  <si>
    <t>AL 04.23.0100 (/)</t>
  </si>
  <si>
    <t>Alvenaria estrutural de tijolo cerâmico (14x19x29)cm, aparentes, espessura de 14cm, para superfícies com vãos e arestas.  Fornecimento e assentamento.(desonerado)</t>
  </si>
  <si>
    <t>AL 04.23.0200 (/)</t>
  </si>
  <si>
    <t>Alvenaria estrutural de tijolo cerâmico tipo "L" (14x19x29)cm, aparentes, espessura de 14cm, para cintas e vergas de amarração.  Fornecimento e assentamento.(desonerado)</t>
  </si>
  <si>
    <t>AL 04.23.0300 (/)</t>
  </si>
  <si>
    <t>Alvenaria estrutural de tijolo cerâmico tipo "U" (14x19x29)cm, aparentes, espessura de 14cm, para cintas e vergas de amarração.  Fornecimento e assentamento.(desonerado)</t>
  </si>
  <si>
    <t>AL 04.25 Alvenaria de Blocos de Concreto (vedação)</t>
  </si>
  <si>
    <t>AL 04.25.0050 (/)</t>
  </si>
  <si>
    <t>Alvenaria de blocos de concreto (10x20x40)cm, com argamassa de cimento e areia no traço 1:8, em paredes corridas de 0,10m de espessura, até 3m de altura, e medida pela área real.(desonerado)</t>
  </si>
  <si>
    <t>AL 04.25.0053 (/)</t>
  </si>
  <si>
    <t>Alvenaria de blocos de concreto (10x20x40)cm, com argamassa de cimento e areia no traço 1:8, em paredes corridas de 0,10m de espessura, de 3m a 4,50m de altura, e medida pela área real.(desonerado)</t>
  </si>
  <si>
    <t>AL 04.25.0100 (/)</t>
  </si>
  <si>
    <t>Alvenaria de blocos de concreto (10x20x40)cm, com argamassa de cimento e areia, no traço 1:8, em paredes com vãos e arestas de meia vez (0,10m), até 3m de altura, e medida pela área real.(desonerado)</t>
  </si>
  <si>
    <t>AL 04.25.0103 (/)</t>
  </si>
  <si>
    <t>Alvenaria de blocos de concreto (10x20x40)cm, com argamassa de cimento e areia no traço 1:8, em paredes com vãos e arestas de meia vez (0,10m),de 3m a 4,50m de altura, e medida pela área real.(desonerado)</t>
  </si>
  <si>
    <t>AL 04.25.0250 (/)</t>
  </si>
  <si>
    <t>Alvenaria de blocos de concreto (15x20x40)cm, em paredes de 0,15m de espessura, com argamassa de cimento e areia no traço 1:4 (em volume), no assentamento e no preenchimento dos vazios dos blocos, até 1,50m de altura e medida pela área real.(desonerado)</t>
  </si>
  <si>
    <t>AL 04.25.0300 (/)</t>
  </si>
  <si>
    <t>Alvenaria de blocos de concreto (15x20x40)cm, com argamassa de cimento e areia no traço 1:8, em paredes de 0,15m de espessura, de superfície corrida, e medida pela área real.(desonerado)</t>
  </si>
  <si>
    <t>AL 04.25.0350 (/)</t>
  </si>
  <si>
    <t>Alvenaria de blocos de concreto (10x20x40)cm, com argamassa de cimento e areia no traço 1:8, em paredes corridas de 0,20m de espessura, até 3m de altura, e medida pela área real.(desonerado)</t>
  </si>
  <si>
    <t>AL 04.25.0353 (/)</t>
  </si>
  <si>
    <t>Alvenaria de blocos de concreto (10x20x40)cm, com argamassa de cimento e areia no traço 1:8, em paredes corridas de 0,20m de espessura, de 3m a 4,50m de altura, e medida pela área real.(desonerado)</t>
  </si>
  <si>
    <t>AL 04.25.0400 (/)</t>
  </si>
  <si>
    <t>Alvenaria de blocos de concreto (10x20x40)cm, com argamassa de cimento e areia no traço 1:8, em paredes com vãos ou arestas de 0,20m de espessura, até 3m de altura, e medida pela área real.(desonerado)</t>
  </si>
  <si>
    <t>AL 04.25.0403 (/)</t>
  </si>
  <si>
    <t>Alvenaria de blocos de concreto (10x20x40)cm, com argamassa de cimento e areia no traço 1:8, em paredes com vãos ou arestas de 0,20m de espessura, de 3m a 4,50m de altura, e medida pela área real.(desonerado)</t>
  </si>
  <si>
    <t>AL 04.25.0450 (/)</t>
  </si>
  <si>
    <t>Alvenaria de blocos de concreto (20x20x40)cm, com argamassa de cimento e areia no traço 1:6, em paredes de 0,20m de espessura, de superfície corrida, até 3m de altura, e medida pela área real.(desonerado)</t>
  </si>
  <si>
    <t>AL 04.25.0453 (/)</t>
  </si>
  <si>
    <t>Alvenaria de blocos de concreto (20x20x40)cm, com argamassa de cimento e areia no traço 1:6, em paredes corridas de 0,20m de espessura, de 3m a 4,50m de altura, e medida pela área real.(desonerado)</t>
  </si>
  <si>
    <t>AL 04.27 Alvenaria de Blocos de Concreto (estrutural)</t>
  </si>
  <si>
    <t>AL 04.27.0100 (/)</t>
  </si>
  <si>
    <t>Alvenaria de blocos de concreto estrutural (15x20x40)cm, com argamassa de cimento e areia no traço 1:8, em paredes com vãos de meia vez (0,15m), até 3m de altura, e medida pela área real.(desonerado)</t>
  </si>
  <si>
    <t>AL 04.29 Alvenaria de Blocos de Concreto Celular</t>
  </si>
  <si>
    <t>AL 04.29.0100 (/)</t>
  </si>
  <si>
    <t>Alvenaria de blocos de concreto celular (10x30x60)cm, com argamassa de cimento, cal hidratada e areia fina no traço 1:3:5, em paredes de 10cm de espessura e medida pela área real.(desonerado)</t>
  </si>
  <si>
    <t>AL 04.30 Alvenaria de Blocos Vazados (cobogó)</t>
  </si>
  <si>
    <t>AL 04.30.0050 (A)</t>
  </si>
  <si>
    <t>Parede de blocos vazados (cobogó), em tijolos cerâmicos (10x10x10)cm, assentes com argamassa de cimento e areia no traço 1:4, levando um vergalhão de 5,0mm em cada junta, preso nas extremidades à estrutura ou alvenaria existente. Fornecimento e assentamento.(desonerado)</t>
  </si>
  <si>
    <t>AL 04.30.0150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</si>
  <si>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assentamento.(desonerado)</t>
  </si>
  <si>
    <t>AL 04.30.0200 (/)</t>
  </si>
  <si>
    <t>Parede de elementos vazados (cobogó), em placas de concreto modelo 22-B, Neo-Rex ou similar, medindo: (33x33x10)cm, assentes com argamassa de cimento e areia, no traço 1:4.  Fornecimento e assentamento.(desonerado)</t>
  </si>
  <si>
    <t>AL 04.30.0250 (/)</t>
  </si>
  <si>
    <t>Paredes de veneziana de concreto, em tijolos tipo Neo-Rex nº 59 (39x10x10)cm ou similar, assentes com argamassa de cimento e aeia no traço 1:4.  Fornecimento e assentamento.(desonerado)</t>
  </si>
  <si>
    <t>AL 04.35 Alvenaria de Blocos de Vidro</t>
  </si>
  <si>
    <t>AL 04.35.0050 (A)</t>
  </si>
  <si>
    <t>Alvenaria de blocos de vidro nacional, tipo veneziana (19x8x9,5)cm, assentes com argamassa de cimento, cal e areia fina, no traço 1:3:5.  Fornecimento e assentamento.(desonerado)</t>
  </si>
  <si>
    <t>AL 04.35.0100 (/)</t>
  </si>
  <si>
    <t>Alvenaria de blocos de vidro nacional, canelado (20x20x10)cm, assentes com argamassa de cimento, cal e areia fina, no traço 1:3:5. Fornecimento e assentamento.(desonerado)</t>
  </si>
  <si>
    <t>AL 04.35.0150 (/)</t>
  </si>
  <si>
    <t>Alvenaria de blocos de vidro nacional, incolor (20x20x10)cm, padrão Rio-Cidade, assentes com silicone. Fornecimento e assentamento.(desonerado)</t>
  </si>
  <si>
    <t>AL 09.05 Paredes Divisórias</t>
  </si>
  <si>
    <t>AL 09.05.0050 (A)</t>
  </si>
  <si>
    <t>Divisória de madeira de dupla face, construída com chapas de compensado de 6mm, estruturada internamente com sarrafos de madeira serrada de (2,5 x 5)cm, com utilização de 2 vezes, exclusive pintura.  Fornecimento e colocação.(desonerado)</t>
  </si>
  <si>
    <t>AL 09.05.0100 (A)</t>
  </si>
  <si>
    <t>Painel de madeira face única, construído com chapa de compensado com 10mm, estruturada com sarrafos de madeira serrada de (2,5 x 5)cm, com utilização de 2 vezes, exclusive pintura.  Fornecimento e colocação.(desonerado)</t>
  </si>
  <si>
    <t>AL 09.05.0150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</si>
  <si>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colocação.(desonerado)</t>
  </si>
  <si>
    <t>AL 09.05.0153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</si>
  <si>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colocação.(desonerado)</t>
  </si>
  <si>
    <t>AL 09.05.0156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</si>
  <si>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colocação.(desonerado)</t>
  </si>
  <si>
    <t>AL 09.05.0200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</si>
  <si>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colocação.(desonerado)</t>
  </si>
  <si>
    <t>AL 09.05.0400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</si>
  <si>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colocação.(desonerado)</t>
  </si>
  <si>
    <t>AL 09.05.0450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</si>
  <si>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colocação.(desonerado)</t>
  </si>
  <si>
    <t>AL 09.05.0600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</si>
  <si>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colocação.(desonerado)</t>
  </si>
  <si>
    <t>AL 09.05.0650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</si>
  <si>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colocação.(desonerado)</t>
  </si>
  <si>
    <t>AL 09.05.0750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</si>
  <si>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colocação.(desonerado)</t>
  </si>
  <si>
    <t>AL 09.05.0800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</si>
  <si>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colocação.(desonerado)</t>
  </si>
  <si>
    <t>AL 09.05.0850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</si>
  <si>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colocação.(desonerado)</t>
  </si>
  <si>
    <t>AL 09.05.0950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</si>
  <si>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colocação.(desonerado)</t>
  </si>
  <si>
    <t>AL 09.05.1000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</si>
  <si>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colocação.(desonerado)</t>
  </si>
  <si>
    <t>AL 09.05.1150 (A)</t>
  </si>
  <si>
    <t>Painel de acabamento para cabines e palcos, construído com pano de polipropileno, gramatura 60, com largura de 1,40m, em cor, estruturado com madeira serrada de (2 x 5)cm .  Fornecimento e colocação.(desonerado)</t>
  </si>
  <si>
    <t>AL 09.05.1200 (/)</t>
  </si>
  <si>
    <t>Painel divisório com (3,0x0,5x0,1)m, de concreto celular autoclavado, conforme DIN 4223, com densidade nominal de 725Kg/m3, resistência mínima de ruptura de 45Kg/m2 e armadura CA-60 eletrosoldada , Sical ou similar.  Fornecimento e instalação.(desonerado)</t>
  </si>
  <si>
    <t>AL 09.05.2000 (/)</t>
  </si>
  <si>
    <t>Parede divisória em Painel Wall Eternit ou similar, fixado em perfil guia no piso ou teto e perfil "H" montante em chapa perfilada de aço zincado.  Fornecimento e colocação.(desonerado)</t>
  </si>
  <si>
    <t>AL 09.05.2500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</si>
  <si>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colocação.(desonerado)</t>
  </si>
  <si>
    <t>AL 09.05.3000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</si>
  <si>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colocação.(desonerado)</t>
  </si>
  <si>
    <t>AL 09.10 Paredes Divisórias para Sanitários e Banheiros</t>
  </si>
  <si>
    <t>AL 09.10.0050 (A)</t>
  </si>
  <si>
    <t>Parede divisória para sanitários, em placa de Mármore Branco Nacional, com 3cm de espessura, polida nas 2 faces, apoiada no piso e parede, exclusive fornecimento das ferragens de fixação do mármore, portas e suas ferragens. Fornecimento e colocação.(desonerado)</t>
  </si>
  <si>
    <t>AL 09.10.0053 (A)</t>
  </si>
  <si>
    <t>Parede divisória para sanitários, de placa de Mármore Branco Cintilante, com de 3cm de espessura, polida nas faces apoiada no piso e parede, exclusive fornecimento das ferragens de fixação de mármore, portas e suas ferragens. Fornecimento e colocação.(desonerado)</t>
  </si>
  <si>
    <t>AL 09.10.0100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</si>
  <si>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colocação.(desonerado)</t>
  </si>
  <si>
    <t>AL 09.10.0103 (/)</t>
  </si>
  <si>
    <t>Parede, em placa de concreto armado fck=15MPa, com 5cm de espessura, chumbadas no piso e fixada na parede em 3 pontos, por estribos previamente deixados na furação da placa. Fornecimento e colocação.(desonerado)</t>
  </si>
  <si>
    <t>AL 09.15 Paredes Divisórias de Gesso</t>
  </si>
  <si>
    <t>AL 09.15.0050 (/)</t>
  </si>
  <si>
    <t>Parede interna, de gesso acartonado, constituído por 2 painéis de 12,5mm, estruturado em perfilados metálicos de 75mm, com espessura de 100mm e pé direito máximo de 3,50m, Lafarge - Gypsum ou similar.  Fornecimento e colocação.(desonerado)</t>
  </si>
  <si>
    <t>AP 04.05 Aparelhos de Louça</t>
  </si>
  <si>
    <t>AP 04.05.0100 (/)</t>
  </si>
  <si>
    <t>Cabide de louça, de 4"x2", na cor branca, Celite ou similar.  Fornecimento e colocação.(desonerado)</t>
  </si>
  <si>
    <t>AP 04.05.0150 (/)</t>
  </si>
  <si>
    <t>Cuba de louça, de (49x36)cm, para lavatório, na cor branca.  Fornecimento.(desonerado)</t>
  </si>
  <si>
    <t>AP 04.05.0153 (A)</t>
  </si>
  <si>
    <t>Cuba de louça, de (49x36)cm,  para lavatório, na cor branca, torneira de 1/2", válvula de PVC rígido de 1"x2 3/8" e sifão de PVC rígido de 1"x1 1/2".  Fornecimento e colocação.(desonerado)</t>
  </si>
  <si>
    <t>AP 04.05.0200 (/)</t>
  </si>
  <si>
    <t>Lavatório, de (42x30)cm, na cor branca, torneira de 1/2", válvula, sifão de PVC rígido e rabicho de plástico.  Fornecimento.(desonerado)</t>
  </si>
  <si>
    <t>AP 04.05.0203 (/)</t>
  </si>
  <si>
    <t>Lavatório L911, na cor branca, de (42x30)cm, Deca ou similar.  Fornecimento.(desonerado)</t>
  </si>
  <si>
    <t>AP 04.05.0206 (/)</t>
  </si>
  <si>
    <t>Lavatório, na cor branca, de (45x33)cm, sifão de 1"x1 1/4", torneira de 1/2" com arejador, válvula e rabicho de plástico.  Fornecimento.(desonerado)</t>
  </si>
  <si>
    <t>AP 04.05.0209 (/)</t>
  </si>
  <si>
    <t>Lavatório, de (45x33)cm, na cor branca, referência 001905, Celite ou similar, com fixação.  Fornecimento.(desonerado)</t>
  </si>
  <si>
    <t>AP 04.05.0212 (/)</t>
  </si>
  <si>
    <t>Lavatório, na cor branca, de (52x43)cm, fixação, sifão de 1"x1 1/4", aparelho  com válvula simples, arrejador e rabicho cromado de 1/2".  Fornecimento.(desonerado)</t>
  </si>
  <si>
    <t>AP 04.05.0215 (/)</t>
  </si>
  <si>
    <t>Lavatório de embutir, na cor branca, linha ovalada, referência 13310103-6, Ideal Standard ou similar.  Fornecimento.(desonerado)</t>
  </si>
  <si>
    <t>AP 04.05.0250 (/)</t>
  </si>
  <si>
    <t>Mictório, com sifão integrado, na cor branca.  Fornecimento.(desonerado)</t>
  </si>
  <si>
    <t>AP 04.05.0300 (/)</t>
  </si>
  <si>
    <t>Papeleira de louça, de (15 x 15)cm, com rolete de plástico, na cor branca.  Fornecimento e colocação.(desonerado)</t>
  </si>
  <si>
    <t>AP 04.05.0400 (/)</t>
  </si>
  <si>
    <t>Porta-toalha de plástico, de 24", com consolos de louça, na cor branca.  Fornecimento e colocação.(desonerado)</t>
  </si>
  <si>
    <t>AP 04.05.0450 (/)</t>
  </si>
  <si>
    <t>Tanque de louça, de (63x55)cm, coluna e fixação.  Fornecimento.(desonerado)</t>
  </si>
  <si>
    <t>AP 04.05.0500 (/)</t>
  </si>
  <si>
    <t>Vaso sifonado, na cor branca, válvula de descarga luxo,  de 1 1/2", assento plástico.  Fornecimento.(desonerado)</t>
  </si>
  <si>
    <t>AP 04.05.0503 (/)</t>
  </si>
  <si>
    <t>Vaso sifonado, na cor branca.  Fornecimento.(desonerado)</t>
  </si>
  <si>
    <t>AP 04.05.0509 (/)</t>
  </si>
  <si>
    <t>Vaso sifonado, na cor branca, com assento plástico tipo popular e caixa de descarga plástica externa.  Fornecimento.(desonerado)</t>
  </si>
  <si>
    <t>AP 04.05.0512 (/)</t>
  </si>
  <si>
    <t>Vaso sifonado, linha Azaléia, na cor branca, Celite ou similar, e caixa de descarga de louça acoplada.  Fornecimento.(desonerado)</t>
  </si>
  <si>
    <t>AP 04.05.0550 (/)</t>
  </si>
  <si>
    <t>Vaso sifonado, infantil, na cor branca.  Fornecimento.(desonerado)</t>
  </si>
  <si>
    <t>AP 04.05.0553 (/)</t>
  </si>
  <si>
    <t>Vaso sanitário infantil, na cor branca, com fixação.  Fornecimento e assentamento.(desonerado)</t>
  </si>
  <si>
    <t>AP 04.07 Aparelhos Hidro-Sanitários para Deficientes Físicos</t>
  </si>
  <si>
    <t>AP 04.07.0100 (/)</t>
  </si>
  <si>
    <t>Assento especial para bacia sanitária para deficiente físico, cor gelo, linha Vogue Plus Conforto, referência AP52, da Deca ou similar.  Fornecimento.(desonerado)</t>
  </si>
  <si>
    <t>AP 04.07.0300 (/)</t>
  </si>
  <si>
    <t>Bacia sanitária para deficiente físico, cor gelo, linha Vogue Plus Conforto, referência P51, da Deca ou similar.  Fornecimento.(desonerado)</t>
  </si>
  <si>
    <t>AP 04.07.0800 (/)</t>
  </si>
  <si>
    <t>Lavatório de louça com coluna, para deficiente físico, cor gelo, linha Vogue Plus Conforto, referência L51, dimensões 55x47 cm, da Deca ou similar, coluna de louça universal referência C1, da Deca ou similar.  Fornecimento.(desonerado)</t>
  </si>
  <si>
    <t>AP 04.10 Aparelhos de Aço Inoxidável</t>
  </si>
  <si>
    <t>AP 04.10.0050 (/)</t>
  </si>
  <si>
    <t>Banca seca de aço inoxidável com 0,55m de largura, até 3m de comprimento, em chapa  18-304, sobre apoios de alvenaria de meia vez e verga de concreto, sem revestimento.  Fornecimento e colocação.(desonerado)</t>
  </si>
  <si>
    <t>AP 04.10.0053 (/)</t>
  </si>
  <si>
    <t>Banca de aço inoxidável de (2x0,55)m, em chapa 18-304, com 1 cuba de (500x400x200)mm, em chapa 20-304, válvula americana, sifão de 1 1/2"x1 1/2", sobre apoios de alvenaria de meia vez e verga de concreto, sem revestimento; exclusive torneira.  Fornecimento e colocação.(desonerado)</t>
  </si>
  <si>
    <t>AP 04.10.0100 (/)</t>
  </si>
  <si>
    <t>Banca de aço inoxidável de (2x0,55)m, em chapa 18-304, com 2 cubas de (500x400x200)mm, em chapa 20-304, 2 válvulas americana, 2 sifões de 1 1/2"x1 1/2", sobre apoios de alvenaria de meia vez e verga de concreto, sem revestimento; exclusive torneira.  Fornecimento e colocação.(desonerado)</t>
  </si>
  <si>
    <t>AP 04.10.0125 (/)</t>
  </si>
  <si>
    <t>Barra de apoio angular, em aço inoxidável AISI 304, diâmetro de 1 1/4", inclusive fixação com parafusos inoxidável e buchas plásticas.  Fornecimento.(desonerado)</t>
  </si>
  <si>
    <t>AP 04.10.0128 (/)</t>
  </si>
  <si>
    <t>Barra de apoio 90º, modelo "L", (60x60)cm, em aço inoxidável AISI 304, diâmetro de 1 1/4", inclusive fixação com parafusos inoxidável e buchas plásticas.  Fornecimento.(desonerado)</t>
  </si>
  <si>
    <t>AP 04.10.0131 (/)</t>
  </si>
  <si>
    <t>Barra de apoio reta, com 50cm, em aço inoxidável AISI 304, tubo de 1 1/4", inclusive fixação com parafuso inoxidável e buchas plásticas.  Fornecimento.(desonerado)</t>
  </si>
  <si>
    <t>AP 04.10.0134 (/)</t>
  </si>
  <si>
    <t>Barra de apoio para pia ou lavatório (proteção para pia), em aço inoxidável AISI 304, tubo de 1 1/4", inclusive fixação com parafusos inoxidáveis e buchas plásticas.  Fornecimento.(desonerado)</t>
  </si>
  <si>
    <t>AP 04.10.0137 (/)</t>
  </si>
  <si>
    <t>Barra de apoio lateral de vaso sanitário, modelo "P" ou "U", em aço inoxidável AISI 304, de 1 1/4", inclusive fixação com parafusos inoxidável e buchas plásticas.  Fornecimento.(desonerado)</t>
  </si>
  <si>
    <t>AP 04.10.0150 (A)</t>
  </si>
  <si>
    <t>Cuba aço inoxidável de (500x400x200)mm, em chapa 20-304, válvula americana, sifão de   1 1/2"x1 1/2", exclusive torneira.  Fornecimento e colocação.(desonerado)</t>
  </si>
  <si>
    <t>AP 04.10.0200 (/)</t>
  </si>
  <si>
    <t>Coifa de aço inoxidável medindo: (2,1x1,2)m; inclusive 3m de duto com (500x500)mm, exaustor de 3CV.  Fornecimento e colocação.(desonerado)</t>
  </si>
  <si>
    <t>AP 04.10.0250 (/)</t>
  </si>
  <si>
    <t>Escovário em aço inoxidável, padrão Secretaria Municipal de Saúde, com (150x50)cm, para 3 torneiras.  Fornecimento e colocação.(desonerado)</t>
  </si>
  <si>
    <t>AP 04.10.0253 (/)</t>
  </si>
  <si>
    <t>Escovário em aço inoxidável, padrão Secretaria Municipal de Saúde, com (260x50)cm, para 4 torneiras.  Fornecimento e colocação.(desonerado)</t>
  </si>
  <si>
    <t>AP 04.10.0400 (/)</t>
  </si>
  <si>
    <t>Mictório coletivo de aço inoxidável, com seção de (580x300)mm, em chapa 20-304, com crivo de saída de 1 1/4", registro de 3/4". Fornecimento.(desonerado)</t>
  </si>
  <si>
    <t>AP 04.10.0500 (/)</t>
  </si>
  <si>
    <t>Porta caçamba, de ferro esmaltado, lixeira de aço inoxidável, em chapa 18-304, com (300x300)mm.  Fornecimento e colocação.(desonerado)</t>
  </si>
  <si>
    <t>AP 04.10.0600 (/)</t>
  </si>
  <si>
    <t>Tanque de aço inoxidável, em chapa 22-304, de (520x520)mm, capacidade de 30l, com esfregador; exclusive torneira.  Fornecimento.(desonerado)</t>
  </si>
  <si>
    <t>AP 04.10.0603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</si>
  <si>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Fornecimento.(desonerado)</t>
  </si>
  <si>
    <t>AP 04.15 Aparelhos e Acessórios Hidro-Sanitários de Plástico - PVC</t>
  </si>
  <si>
    <t>AP 04.15.0050 (/)</t>
  </si>
  <si>
    <t>Aspersores de PVC rígido, giro de 360°, entrada de 3/4", Sempreverde, Fabrimar ou similar.  Fornecimento.(desonerado)</t>
  </si>
  <si>
    <t>AP 04.15.0101 (/)</t>
  </si>
  <si>
    <t>Assento sanitário convencional em polietileno. Fornecimento e colocação. (Desonerado)</t>
  </si>
  <si>
    <t>AP 04.15.0106 (/)</t>
  </si>
  <si>
    <t>Assento plástico, para vaso infantil.  Fornecimento e colocação.(desonerado)</t>
  </si>
  <si>
    <t>AP 04.15.0150 (/)</t>
  </si>
  <si>
    <t>Braço de plástico branco, de 1/2", com canopla.  Fornecimento.(desonerado)</t>
  </si>
  <si>
    <t>AP 04.15.0200 (/)</t>
  </si>
  <si>
    <t>Caixa de descarga, plástica, externa.  Fornecimento.(desonerado)</t>
  </si>
  <si>
    <t>AP 04.15.0250 (/)</t>
  </si>
  <si>
    <t>Chuveiro de plástico, na cor branca, exclusive braço.(desonerado)</t>
  </si>
  <si>
    <t>AP 04.15.0253 (/)</t>
  </si>
  <si>
    <t>Chuveiro de plástico, com braço de 1/2", na cor branca e 1 registro de pressão nº B-1416 ou similar de 1/2".  Fornecimento.(desonerado)</t>
  </si>
  <si>
    <t>AP 04.15.0300 (/)</t>
  </si>
  <si>
    <t>Mangueira de borracha flexível, cristal, com diâmetro de 1/2".  Fornecimento.(desonerado)</t>
  </si>
  <si>
    <t>AP 04.15.0303 (/)</t>
  </si>
  <si>
    <t>Mangueira de borracha flexível, cristal, com diâmetro de 3/4".  Fornecimento.(desonerado)</t>
  </si>
  <si>
    <t>AP 04.15.0306 (/)</t>
  </si>
  <si>
    <t>Mangueira de borracha flexível, cristal, com diâmetro de 1".  Fornecimento.(desonerado)</t>
  </si>
  <si>
    <t>AP 04.15.0350 (/)</t>
  </si>
  <si>
    <t>Rabicho plástico de 30cm com saída de 1/2".  Fornecimento.(desonerado)</t>
  </si>
  <si>
    <t>AP 04.15.0401 (/)</t>
  </si>
  <si>
    <t>Registro de esfera de PVC rígido, soldável, diâmetro de 20mm.  Fornecimento e instalação.(desonerado)</t>
  </si>
  <si>
    <t>AP 04.15.0403 (/)</t>
  </si>
  <si>
    <t>Registro de esfera de PVC rígido, soldável, diâmetro de 20mm.  Fornecimento.(desonerado)</t>
  </si>
  <si>
    <t>AP 04.15.0406 (/)</t>
  </si>
  <si>
    <t>Registro de esfera de PVC rígido, soldável, diâmetro de 25mm.  Fornecimento e instalação.(desonerado)</t>
  </si>
  <si>
    <t>AP 04.15.0409 (/)</t>
  </si>
  <si>
    <t>Registro de esfera de PVC rígido, soldável, diâmetro de 25mm.  Fornecimento.(desonerado)</t>
  </si>
  <si>
    <t>AP 04.15.0412 (/)</t>
  </si>
  <si>
    <t>Registro de esfera de PVC rígido, soldável, diâmetro de 32mm.  Fornecimento e instalação.(desonerado)</t>
  </si>
  <si>
    <t>AP 04.15.0415 (/)</t>
  </si>
  <si>
    <t>Registro de esfera de PVC rígido, soldável, diâmetro de 40mm.  Fornecimento e instalação.(desonerado)</t>
  </si>
  <si>
    <t>AP 04.15.0418 (/)</t>
  </si>
  <si>
    <t>Registro de esfera de PVC rígido, soldável, diâmetro de 40mm.  Fornecimento.(desonerado)</t>
  </si>
  <si>
    <t>AP 04.15.0421 (/)</t>
  </si>
  <si>
    <t>Registro de esfera de PVC rígido, soldável, diâmetro de 50mm.  Fornecimento e instalação.(desonerado)</t>
  </si>
  <si>
    <t>AP 04.15.0424 (/)</t>
  </si>
  <si>
    <t>Registro de esfera de PVC rígido, soldável, diâmetro de 50mm.  Fornecimento.(desonerado)</t>
  </si>
  <si>
    <t>AP 04.15.0427 (/)</t>
  </si>
  <si>
    <t>Registro de esfera de PVC rígido, roscável, diâmetro de 1 1/2".   Fornecimento e instalação.(desonerado)</t>
  </si>
  <si>
    <t>AP 04.15.0450 (/)</t>
  </si>
  <si>
    <t>Saboneteira plástica de sobrepor, para sabonete líquido.  Fornecimento.(desonerado)</t>
  </si>
  <si>
    <t>AP 04.15.0500 (/)</t>
  </si>
  <si>
    <t>Sifão roscável para pia ou lavatório de PVC rígido, diâmetro de 1".  Fornecimento.(desonerado)</t>
  </si>
  <si>
    <t>AP 04.15.0503 (/)</t>
  </si>
  <si>
    <t>Sifão para tanque, de PVC rígido, diâmetro de 1 1/4".  Fornecimento e instalação.(desonerado)</t>
  </si>
  <si>
    <t>AP 04.15.0506 (/)</t>
  </si>
  <si>
    <t>Sifão soldável, de PVC rígido, de 40mm, para pia ou lavatório.  Fornecimento.(desonerado)</t>
  </si>
  <si>
    <t>AP 04.15.0550 (/)</t>
  </si>
  <si>
    <t>Tanque de esterilização de mamadeiras, em PVC.  Fornecimento e instalação.(desonerado)</t>
  </si>
  <si>
    <t>AP 04.15.0600 (/)</t>
  </si>
  <si>
    <t>Torneira de bóia, de PVC rígido, diâmetro de 1/2".  Fornecimento e instalação.(desonerado)</t>
  </si>
  <si>
    <t>AP 04.15.0603 (/)</t>
  </si>
  <si>
    <t>Torneira de bóia, de PVC rígido, diâmetro de 3/4".  Fornecimento e instalação.(desonerado)</t>
  </si>
  <si>
    <t>AP 04.15.0650 (/)</t>
  </si>
  <si>
    <t>Torneira de PVC rígido, diâmetro de 1/2".  Fornecimento e instalação.(desonerado)</t>
  </si>
  <si>
    <t>AP 04.15.0700 (/)</t>
  </si>
  <si>
    <t>Torneira para pia ou tanque, de PVC rígido, diâmetro de 1/2".  Fornecimento e instalação.(desonerado)</t>
  </si>
  <si>
    <t>AP 04.15.0750 (/)</t>
  </si>
  <si>
    <t>Tubo de descarga, tipo longo de 1 1/2", de PVC rígido, para caixa de descarga externa.  Fornecimento.(desonerado)</t>
  </si>
  <si>
    <t>AP 04.15.0800 (/)</t>
  </si>
  <si>
    <t>Válvula para lavatório, de 1 1/4", de PVC rígido.  Fornecimento.(desonerado)</t>
  </si>
  <si>
    <t>AP 04.15.0803 (/)</t>
  </si>
  <si>
    <t>Válvula para lavatório, de 1"x 2 3/4".  Fornecimento.(desonerado)</t>
  </si>
  <si>
    <t>AP 04.15.0806 (/)</t>
  </si>
  <si>
    <t>Válvula para pia, de PVC rígido.  Fornecimento.(desonerado)</t>
  </si>
  <si>
    <t>AP 04.20 Aparelhos e Acessórios Hidro-Sanitários de Metal</t>
  </si>
  <si>
    <t>AP 04.20.0100 (/)</t>
  </si>
  <si>
    <t>Chuveiro estampado, acabamento cromado, articulado com braço de 1/2".  Fornecimento.(desonerado)</t>
  </si>
  <si>
    <t>AP 04.20.0118 (/)</t>
  </si>
  <si>
    <t>Duchinha manual, com registro de pressão.  Fornecimento.(desonerado)</t>
  </si>
  <si>
    <t>AP 04.20.0150 (/)</t>
  </si>
  <si>
    <t>Misturador simples para chuveiro, de 3/4".  Fornecimento.(desonerado)</t>
  </si>
  <si>
    <t>AP 04.20.0153 (/)</t>
  </si>
  <si>
    <t>Misturador Belle Epoque Light, para lavatório, acabamento cromado, Deca ou similar.  Fornecimento.(desonerado)</t>
  </si>
  <si>
    <t>AP 04.20.0200 (/)</t>
  </si>
  <si>
    <t>Registro de pressão, em bronze, bruto, com diâmetro de 1/2".  Fornecimento.(desonerado)</t>
  </si>
  <si>
    <t>AP 04.20.0206 (A)</t>
  </si>
  <si>
    <t>Registro de pressão, em bronze, diâmetro de 1/2", com acabamento cromado, para filtro.  Fornecimento e instalação.(desonerado)</t>
  </si>
  <si>
    <t>AP 04.20.0230 (/)</t>
  </si>
  <si>
    <t>Registro regulador de vazão Economaster, para controle de vazão em pontos de abastecimento de água, de 1/2", acabamento cromado, para uso em conjunto com rabichos de ligação, exclusive estes, referência 1450, da Fabrimar ou similar.  Fornecimento.(desonerado)</t>
  </si>
  <si>
    <t>AP 04.20.0250 (/)</t>
  </si>
  <si>
    <t>Rabicho cromado de 30cm com saída de 1/2".  Fornecimento.(desonerado)</t>
  </si>
  <si>
    <t>AP 04.20.0253 (A)</t>
  </si>
  <si>
    <t>Rabicho flexível cromado de 40cm com saída de 1/2".  Fornecimento e instalação.(desonerado)</t>
  </si>
  <si>
    <t>AP 04.20.0300 (/)</t>
  </si>
  <si>
    <t>Sifão, de 1" x 1 1/4", Deca 1680-C ou similar.  Fornecimento.(desonerado)</t>
  </si>
  <si>
    <t>AP 04.20.0303 (/)</t>
  </si>
  <si>
    <t>Sifão, diâmetro de 1 1/2"x 1 1/2".  Fornecimento.(desonerado)</t>
  </si>
  <si>
    <t>AP 04.20.0306 (A)</t>
  </si>
  <si>
    <t>Sifão metálico cromado, de 1 1/2"x2".  Fornecimento e instalação.(desonerado)</t>
  </si>
  <si>
    <t>AP 04.20.0400 (/)</t>
  </si>
  <si>
    <t>Torneira  de bóia, em bronze, de pressão, de 3/4".  Fornecimento e instalação.(desonerado)</t>
  </si>
  <si>
    <t>AP 04.20.0403 (/)</t>
  </si>
  <si>
    <t>Torneira de bóia, em bronze, de pressão, de 1".  Fornecimento e instalação.(desonerado)</t>
  </si>
  <si>
    <t>AP 04.20.0406 (/)</t>
  </si>
  <si>
    <t>Torneira de bóia, em bronze, de pressão, de 1 1/4".  Fornecimento e instalação.(desonerado)</t>
  </si>
  <si>
    <t>AP 04.20.0409 (/)</t>
  </si>
  <si>
    <t>Torneira de bóia, em bronze, de pressão, de 1 1/2".  Fornecimento e instalação.(desonerado)</t>
  </si>
  <si>
    <t>AP 04.20.0412 (/)</t>
  </si>
  <si>
    <t>Torneira de bóia, em bronze, de pressão, de 2".  Fornecimento e instalação.(desonerado)</t>
  </si>
  <si>
    <t>AP 04.20.0450 (/)</t>
  </si>
  <si>
    <t>Torneira para filtro, 1147-A, Fabrimar ou similar.  Fornecimento.(desonerado)</t>
  </si>
  <si>
    <t>AP 04.20.0500 (/)</t>
  </si>
  <si>
    <t>Torneira para jardins, modelo 1153, de 1/2", Deca ou similar.  Fornecimento. (desonerado)</t>
  </si>
  <si>
    <t>AP 04.20.0550 (/)</t>
  </si>
  <si>
    <t>Torneira com arejador para lavatório, 1193-A, Fabrimar ou similar.  Fornecimento.(desonerado)</t>
  </si>
  <si>
    <t>AP 04.20.0560 (/)</t>
  </si>
  <si>
    <t>Torneira de fechamento automático Acquapress para lavatório, com arejador anti-vandalismo, acabamento cromado, referência 1180-AV, Fabrimar ou similar.  Fornecimento.(desonerado)</t>
  </si>
  <si>
    <t>AP 04.20.0570 (/)</t>
  </si>
  <si>
    <t>Torneira para lavatório Pressmatic Benefit de Mesa Chrome, código 00185106, Docol ou similar.  Fornecimento.(desonerado)</t>
  </si>
  <si>
    <t>AP 04.20.0600 (/)</t>
  </si>
  <si>
    <t>Torneira para pia, com arejador, 1168, tipo parede, de 1/2", Deca ou similar.  Fornecimento.(desonerado)</t>
  </si>
  <si>
    <t>AP 04.20.0606 (/)</t>
  </si>
  <si>
    <t>Torneira para pia ou tanque, nº 1158-A, de 1/2", Fabrimar ou similar.  Fornecimento.(desonerado)</t>
  </si>
  <si>
    <t>AP 04.20.0650 (/)</t>
  </si>
  <si>
    <t>Torneira para lavatório, Aquarius 1193-A, de 1/2", da Fabrimar ou similar. Fornecimento. (desonerado)</t>
  </si>
  <si>
    <t>AP 04.20.0700 (/)</t>
  </si>
  <si>
    <t>Tubo de ligação para vaso sanitário, com anel expansor, cromado.  Fornecimento.(desonerado)</t>
  </si>
  <si>
    <t>AP 04.20.0750 (/)</t>
  </si>
  <si>
    <t>Válvula americana, de 3 1/2"x1 1/2". Fornecimento.(desonerado)</t>
  </si>
  <si>
    <t>AP 04.20.0753 (A)</t>
  </si>
  <si>
    <t>Válvula americana, de 3 1/2"x1 1/2".  Fornecimento e instalação.(desonerado)</t>
  </si>
  <si>
    <t>AP 04.20.0760 (/)</t>
  </si>
  <si>
    <t>Válvula de escoamento universal para cubas e lavatórios, diâmetro de 1", acabamento cromado, referência 1601, Fabrimar ou similar.  Fornecimento.(desonerado)</t>
  </si>
  <si>
    <t>AP 04.20.0800 (/)</t>
  </si>
  <si>
    <t>Válvula para tanque, de 1 1/4"x 2 3/4".  Fornecimento.(desonerado)</t>
  </si>
  <si>
    <t>AP 04.20.0840 (/)</t>
  </si>
  <si>
    <t>Válvula de descarga externa Silent Flux, com acionamento por alavanca, com regulagem de tempo de descarga e vazão, bitola de 1 1/4", para pressão de serviço entre 2 a 40 mca, referência 3500, da Fabrimar ou similar.  Fornecimento.(desonerado)</t>
  </si>
  <si>
    <t>AP 04.20.0850 (A)</t>
  </si>
  <si>
    <t>Válvula de descarga, silenciosa, cromada, de embutir, com registro de 1 1/4".  Fornecimento.(desonerado)</t>
  </si>
  <si>
    <t>AP 04.20.0853 (A)</t>
  </si>
  <si>
    <t>Válvula de descarga, silenciosa, cromada, de embutir, com registro de 1 1/4".   Fornecimento e instalação.(desonerado)</t>
  </si>
  <si>
    <t>AP 04.20.0871 (A)</t>
  </si>
  <si>
    <t>Válvula de descarga, silenciosa, cromada, de embutir, com registro de 1 1/2".  Fornecimento.(desonerado)</t>
  </si>
  <si>
    <t>AP 04.20.0876 (/)</t>
  </si>
  <si>
    <t>Válvula de descarga para mictório Acquapress, de fechamento automático, acabamento cromado, referência 1181, da Fabrimar ou similar.  Fornecimento.(desonerado)</t>
  </si>
  <si>
    <t>AP 04.20.0897 (/)</t>
  </si>
  <si>
    <t>Válvula de esfera em bronze, com diâmetro de 1/2", referência 1552, Deca ou similar.  Fornecimento.(desonerado)</t>
  </si>
  <si>
    <t>AP 04.20.0900 (/)</t>
  </si>
  <si>
    <t>Válvula de esfera em bronze, com diâmetro de 3/4", referência 1552, Deca ou similar.  Fornecimento.(desonerado)</t>
  </si>
  <si>
    <t>AP 04.20.0903 (/)</t>
  </si>
  <si>
    <t>Válvula de esfera em bronze, com diâmetro de 1", referência 1552, Deca ou similar.  Fornecimento.(desonerado)</t>
  </si>
  <si>
    <t>AP 04.20.0906 (/)</t>
  </si>
  <si>
    <t>Válvula de esfera em bronze, com diâmetro de 1 1/2", referência 1552, Deca ou similar.  Fornecimento.(desonerado)</t>
  </si>
  <si>
    <t>AP 09.05 Aquecedores Elétricos</t>
  </si>
  <si>
    <t>AP 09.05.0050 (A)</t>
  </si>
  <si>
    <t>Aquecedor elétrico automático de 200l, compreendendo 6m de eletroduto de 3/4" e 20m de fio de cobre de 6mm².  Fornecimento e instalação.(desonerado)</t>
  </si>
  <si>
    <t>AP 09.10 Bebedouros Elétricos</t>
  </si>
  <si>
    <t>AP 09.10.0050 (/)</t>
  </si>
  <si>
    <t>Bebedouro elétrico tipo pressão em aço inoxidável, modelo de pé, adulto/criança, capacidade 80l/h.  Fornecimento.(desonerado)</t>
  </si>
  <si>
    <t>AP 09.10.0053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</si>
  <si>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assentamento.(desonerado)</t>
  </si>
  <si>
    <t>AP 09.15 Chuveiros Elétricos</t>
  </si>
  <si>
    <t>AP 09.15.0010 (/)</t>
  </si>
  <si>
    <t>Braço cromado para chuveiro elétrico, diâmetro de 1/2". Fornecimento.(desonerado)</t>
  </si>
  <si>
    <t>AP 09.15.0050 (/)</t>
  </si>
  <si>
    <t>Chuveiro elétrico, automático, 110/220V, Lorenzetti ou similar.  Fornecimento.(desonerado)</t>
  </si>
  <si>
    <t>AP 09.15.0100 (/)</t>
  </si>
  <si>
    <t>Chuveiro elétrico, automático, maxi-ducha, com braço cromado de 1/2", 110/220V e 1 registro  de pressão de 3/4".  Fornecimento.(desonerado)</t>
  </si>
  <si>
    <t>AP 09.20 Aparelhos Eletrodomésticos</t>
  </si>
  <si>
    <t>AP 09.20.0050 (/)</t>
  </si>
  <si>
    <t>Ar Condicionado para colocação em parede, de 7500BTUS.  Fornecimento.(desonerado)</t>
  </si>
  <si>
    <t>AP 09.20.0059 (/)</t>
  </si>
  <si>
    <t>Ar Condicionado para colocação em parede, de 21000BTUS.  Fornecimento.(desonerado)</t>
  </si>
  <si>
    <t>AP 09.20.0100 (/)</t>
  </si>
  <si>
    <t>Condicionador de ar, tipo Split convencional, 9.000 btu, quente / frio, controle remoto total sem fio, mostrador digital, inclusive unidade externa independente, Ever Confort ou similar. Fornecimento.(desonerado)</t>
  </si>
  <si>
    <t>AP 09.20.0103 (/)</t>
  </si>
  <si>
    <t>Condicionador de ar, tipo Split convencional, 12.000 btu, quente / frio, controle remoto total sem fio, mostrador digital, inclusive unidade externa independente, Ever Confort ou similar. Fornecimento.(desonerado)</t>
  </si>
  <si>
    <t>AP 09.20.0106 (/)</t>
  </si>
  <si>
    <t>Condicionador de ar, tipo Split convencional, 18.000 btu, quente / frio, controle remoto total sem fio, mostrador digital, inclusive unidade externa independente, Ever Confort ou similar. Fornecimento.(desonerado)</t>
  </si>
  <si>
    <t>AP 09.20.0109 (/)</t>
  </si>
  <si>
    <t>Condicionador de ar, tipo Split convencional, 24.000 btu, quente / frio, controle remoto total sem fio, mostrador digital, inclusive unidade externa independente, Ever Confort ou similar.  Fornecimento.(desonerado)</t>
  </si>
  <si>
    <t>AP 09.25 Exaustores</t>
  </si>
  <si>
    <t>AP 09.25.0025 (/)</t>
  </si>
  <si>
    <t>Exaustor axial de parede, com diâmetro de 300mm, da True ou similar.  Fornecimento e instalação.(desonerado)</t>
  </si>
  <si>
    <t>AP 09.25.0050 (/)</t>
  </si>
  <si>
    <t>Exaustor axial de parede, com diâmetro de 800mm, vazão de 22000m3/h, pressão de 5mmca e motor de 1,5HP de 6 polos/220V. Fornecimento.(desonerado)</t>
  </si>
  <si>
    <t>AP 09.25.0100 (/)</t>
  </si>
  <si>
    <t>Exaustor eólico de 24", para fixação em telhados.  Fornecimento.(desonerado)</t>
  </si>
  <si>
    <t>AP 09.30 Torneiras Elétricas</t>
  </si>
  <si>
    <t>AP 09.30.0050 (A)</t>
  </si>
  <si>
    <t>Torneira elétrica 110/220V.  Fornecimento e instalação.(desonerado)</t>
  </si>
  <si>
    <t>AP 09.30.0059 (A)</t>
  </si>
  <si>
    <t>Torneira fotoelétrica.  Fornecimento e instalação.(desonerado)</t>
  </si>
  <si>
    <t>AP 09.35 Ventiladores Elétricos</t>
  </si>
  <si>
    <t>AP 09.35.0050 (/)</t>
  </si>
  <si>
    <t>Ventilador de teto, com chave para ventilação e exaustão e pás em aço pintado, Ventaço ou similar.  Fornecimento e instalação.(desonerado)</t>
  </si>
  <si>
    <t>AP 09.35.0100 (/)</t>
  </si>
  <si>
    <t>Ventilador de parede, com diâmetro de 400mm, vazão de 5000m3/h, pressão de 5mmca e motor de 0,33HP de 4 polos/220V.  Fornecimento e instalação.(desonerado)</t>
  </si>
  <si>
    <t>AP 09.35.0150 (/)</t>
  </si>
  <si>
    <t>Ventilador de parede, tipo comercial, oscilante, VP20, diâmetro de 20", motor de 270W, rotação de 1500RPM, vazão de 280m3/min., monofásico de 110/220V, da Viva Vento ou similar.  Fornecimento.(desonerado)</t>
  </si>
  <si>
    <t>AP 09.35.0200 (/)</t>
  </si>
  <si>
    <t>Ventilador de parede, tipo industrial, oscilante, diâmetro de 24", motor de 1/8HP, rotação de 1500RPM (com 3 velocidades), vazão de 380m3/min., monofásico de 110/220V, Veneza Plus V2, Solaster ou similar.  Fornecimento.(desonerado)</t>
  </si>
  <si>
    <t>AP 09.99 Diversos</t>
  </si>
  <si>
    <t>AP 09.99.0100 (/)</t>
  </si>
  <si>
    <t>Lanterna de segurança, tipo giratória, para Câmara Escura, com filtro vermelho, tipo Kodak 6B ou similar, em estrutura de aço pintado.  Fornecimento.(desonerado)</t>
  </si>
  <si>
    <t>AP 09.99.0150 (/)</t>
  </si>
  <si>
    <t>Prisma bicolor de sinalização para portas de salas de Raio X.  Fornecimento e instalação.(desonerado)</t>
  </si>
  <si>
    <t>AP 14.05 Fogões</t>
  </si>
  <si>
    <t>AP 14.05.0050 (/)</t>
  </si>
  <si>
    <t>Fogão industrial, à gás, em aço carbono pintado, de 4 bocas com grelha em ferro fundido de (30x30)cm, provido de 2 queimadores simples e 2 queimadores duplos e estrado paneleiro inferior, nas medidas de (76x86x85)cm, Merinox Fog 430 ou similar.  Fornecimento.(desonerado)</t>
  </si>
  <si>
    <t>AP 14.05.0100 (/)</t>
  </si>
  <si>
    <t>Fogão industrial, à gás, em aço carbono pintado, de 6 bocas com grelha em ferro fundido de (30x30)cm, provido de 3 queimadores simples e 3 queimadores duplos e estrado paneleiro inferior, Merinox Fog 630 ou similar.  Fornecimento.(desonerado)</t>
  </si>
  <si>
    <t>AP 14.05.0150 (/)</t>
  </si>
  <si>
    <t>Fogão industrial de 6 bocas com forno.  Fornecimento.(desonerado)</t>
  </si>
  <si>
    <t>AP 14.10 Filtros</t>
  </si>
  <si>
    <t>AP 14.10.0050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</si>
  <si>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Fornecimento.(desonerado)</t>
  </si>
  <si>
    <t>AP 19.05 Elevadores Hidráulicos</t>
  </si>
  <si>
    <t>AP 19.05.0050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</si>
  <si>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instalação.(desonerado)</t>
  </si>
  <si>
    <t>AP 19.05.0100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</si>
  <si>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instalação.(desonerado)</t>
  </si>
  <si>
    <t>AP 19.05.0140 (/)</t>
  </si>
  <si>
    <t>Elevador sem casa de máquinas, com 3 paradas, capacidade 8 pessoas ou 600Kg, modelo Smart MRL8-DF da Atlas Schindler ou similar.  Fornecimento, montagem e instalação.(desonerado)</t>
  </si>
  <si>
    <t>AP 19.05.0150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</si>
  <si>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instalação.(desonerado)</t>
  </si>
  <si>
    <t>AP 19.05.0200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</si>
  <si>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instalação.(desonerado)</t>
  </si>
  <si>
    <t>AP 24.05 Aparelhos Hospitalares</t>
  </si>
  <si>
    <t>AP 24.05.0050 (/)</t>
  </si>
  <si>
    <t>Aspirador a vácuo com frasco para redes de gases medicinais.  Fornecimento.(desonerado)</t>
  </si>
  <si>
    <t>AP 24.05.0100 (/)</t>
  </si>
  <si>
    <t>Fluxômetro com umidificador, ar comprimido/oxigênio, para redes de gases medicinais.  Fornecimento.(desonerado)</t>
  </si>
  <si>
    <t>AP 29.05 Botijões de Gás</t>
  </si>
  <si>
    <t>AP 29.05.0051 (/)</t>
  </si>
  <si>
    <t>Botijão de gás engarrafado (GLP), capacidade para 13Kg, inclusive o vasilhame e o gás.  Fornecimento e colocação.(desonerado)</t>
  </si>
  <si>
    <t>AP 29.05.0101 (/)</t>
  </si>
  <si>
    <t>Botijão de gás engarrafado (GLP), capacidade para 45Kg, inclusive o vasilhame e o gás.  Fornecimento e colocação.(desonerado)</t>
  </si>
  <si>
    <t>AP 29.05.0300 (/)</t>
  </si>
  <si>
    <t>Regulador Fisher para botijões de gás GLP com 13Kg.  Fornecimento.(desonerado)</t>
  </si>
  <si>
    <t>AP 34.05 Caixas d'Água</t>
  </si>
  <si>
    <t>AP 34.05.0050 (/)</t>
  </si>
  <si>
    <t>Caixa d'água em polietileno, capacidade para 500l, com alças de ancoragem e transporte, tampa  com fechamento por meio de travas, diâmetro de 131cm e altura de 72cm, modelo Aqualev ou similar.  Fornecimento.(desonerado)</t>
  </si>
  <si>
    <t>AP 34.05.0100 (/)</t>
  </si>
  <si>
    <t>Caixa d'água redonda, de fibra de vidro, capacidade para 1000l, com tampa.  Fornecimento.(desonerado)</t>
  </si>
  <si>
    <t>AP 34.05.0103 (/)</t>
  </si>
  <si>
    <t>Caixa d'água em polietileno, capacidade para 1000l, com alças de ancoragem e transporte, tampa  com fechamento por meio de travas, diâmetro de 163cm e altura de 93cm, modelo Aqualev ou similar.  Fornecimento.(desonerado)</t>
  </si>
  <si>
    <t>AP 34.10 Reservatórios</t>
  </si>
  <si>
    <t>AP 34.10.0050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</si>
  <si>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</si>
  <si>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AP 34.10.0100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</si>
  <si>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</si>
  <si>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AP 34.10.0150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</si>
  <si>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</si>
  <si>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AP 34.15 Castelos D'Água</t>
  </si>
  <si>
    <t>AP 34.15.0050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</si>
  <si>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t>
  </si>
  <si>
    <t>AP 34.15.0100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</si>
  <si>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t>
  </si>
  <si>
    <t>AP 39.05 Elementos de Concreto e Alvenaria</t>
  </si>
  <si>
    <t>AP 39.05.0050 (A)</t>
  </si>
  <si>
    <t>Balcão de passagem de alimentos, em concretro aparente, guarnição em madeira aparelhada, exclusive pintura.(desonerado)</t>
  </si>
  <si>
    <t>AP 39.05.0100 (A)</t>
  </si>
  <si>
    <t>Banca de concreto aparente, com 0,60m de largura e 0,06m de espessura, para 1 cuba, exclusive esta.(desonerado)</t>
  </si>
  <si>
    <t>AP 39.05.0150 (A)</t>
  </si>
  <si>
    <t>Bebedouro ou lavatório de concreto, fundido no local, seção em calha prismática, largura de 0,40m, rebordo com 0,25m de altura, medidos internamente em osso, revestido de azulejos brancos (15x15)cm interna e externamente, e válvula; exclusive torneira.(desonerado)</t>
  </si>
  <si>
    <t>AP 39.05.0200 (A)</t>
  </si>
  <si>
    <t>Mictório de concreto, fundido no local, com seção em calha prismática, largura de 0,40m, rebordo com 0,15m, medidos internamente em osso, revestido de azulejos brancos (15x15)cm, interna e externamente, e válvula. Exclusive instalação hidráulica.(desonerado)</t>
  </si>
  <si>
    <t>AP 44.05 Extintores</t>
  </si>
  <si>
    <t>AP 44.05.0050 (/)</t>
  </si>
  <si>
    <t>Extintor de incêndio, tipo água sob pressão, de 10l, completo.  Fornecimento.(desonerado)</t>
  </si>
  <si>
    <t>AP 44.05.0100 (/)</t>
  </si>
  <si>
    <t>Extintor de incêndio, tipo gás carbônico, de 4kg, completo.  Fornecimento e colocação.(desonerado)</t>
  </si>
  <si>
    <t>AP 44.05.0103 (/)</t>
  </si>
  <si>
    <t>Extintor de incêndio, tipo gás carbônico, de 6kg, completo.  Fornecimento e colocação.(desonerado)</t>
  </si>
  <si>
    <t>AP 44.05.0106 (/)</t>
  </si>
  <si>
    <t>Extintor de incêndio, tipo gás carbônico, de 10Kg, completo.  Fornecimento.(desonerado)</t>
  </si>
  <si>
    <t>AP 44.05.0150 (/)</t>
  </si>
  <si>
    <t>Extintor de incêndio, tipo pó químico, de 4kg, completo.  Fornecimento e colocação.(desonerado)</t>
  </si>
  <si>
    <t>AP 44.05.0153 (/)</t>
  </si>
  <si>
    <t>Extintor de incêndio, tipo pó químico, de 6kg, completo.  Fornecimento e colocação.(desonerado)</t>
  </si>
  <si>
    <t>AP 44.05.0156 (/)</t>
  </si>
  <si>
    <t>Extintor de incêndio, tipo pó químico seco, de 12kg, completo.  Fornecimento.(desonerado)</t>
  </si>
  <si>
    <t>AP 44.05.0159 (/)</t>
  </si>
  <si>
    <t>Extintor de incêndio, tipo pó químico seco, de 30kg, completo com carreta.  Fornecimento.(desonerado)</t>
  </si>
  <si>
    <t>AP 49.05 Itens de Mármore, Granito e Outros</t>
  </si>
  <si>
    <t>AP 49.05.0040 (A)</t>
  </si>
  <si>
    <t>Banca de Mármore Branco Nacional, com 3cm de espessura, medindo: (1,00x0,60)m, com abertura para uma cuba, sobre apoios de alvenaria de meia vez e verga de concreto, sem revestimento. Fornecimento e assentamento.(desonerado)</t>
  </si>
  <si>
    <t>AP 49.05.0050 (/)</t>
  </si>
  <si>
    <t>Banca de Mármore Branco Nacional, com 3cm de espessura, medindo (1,50x0,60)m, com abertura para 1 cuba, sobre apoios de alvenaria de meia vez e verga de concreto, sem revestimento.  Fornecimento e assentamento.(desonerado)</t>
  </si>
  <si>
    <t>AP 49.05.0053 (/)</t>
  </si>
  <si>
    <t>Banca de Mármore Branco Nacional, com 3cm de espessura, medindo: (2x0,60)m com abertura para 1 ou 2 cubas sobre apoios de alvenaria de meia vez e vergas de concreto, sem revestimento. Fornecimento e assentamento.(desonerado)</t>
  </si>
  <si>
    <t>AP 49.05.0056 (/)</t>
  </si>
  <si>
    <t>Banca de Mármore Branco Cintilante, com 3cm de espessura, medindo: (2,20x0,60)m com abertura para 1cuba sobre apoio de alvenaria de meia vez e vergas de concreto sem revestimento.  Fornecimento e assentamento.(desonerado)</t>
  </si>
  <si>
    <t>AP 49.05.0059 (/)</t>
  </si>
  <si>
    <t>Banca de Mármore Branco Nacional, com 3cm de espessura, medindo: (2,50x0,60)m, com abertura para 1 ou 2 cubas sobre apoios de alvenaria de meia vez e vergas de concreto, se(desonerado)</t>
  </si>
  <si>
    <t>AP 49.05.0062 (/)</t>
  </si>
  <si>
    <t>Banca de Mármore Branco Nacional, com 3cm de espessura, medindo (3x0,60)m, com abertura para 1 ou 2 cubas, sobre apoios de alvenaria de meia vez e vergas de concreto, sem revestimento.  Fornecimento e assentamento.(desonerado)</t>
  </si>
  <si>
    <t>AP 49.05.0065 (/)</t>
  </si>
  <si>
    <t>Banca de Mármore Branco Nacional, com 3cm de espessura, medindo (3,50x0,60)m, com abertura para 1 ou 2 cubas, sobre apoios de alvenaria de meia vez e vergas de concreto, sem revestimento.  Fornecimento e assentamento.(desonerado)</t>
  </si>
  <si>
    <t>AP 49.05.0068 (/)</t>
  </si>
  <si>
    <t>Banca de Mármore Branco Nacional, com 3cm de espessura, medindo (4x0,60)m, com abertura para 1 ou 2 cubas, sobre apoios de alvenaria de meia vez e vergas de concreto, sem revestimento.  Fornecimento e assentamento.(desonerado)</t>
  </si>
  <si>
    <t>AP 49.05.0071 (/)</t>
  </si>
  <si>
    <t>Banca de Mármore Branco Nacional, com 3cm de espessura, medindo 0,60m de largura, com abertura para 1 ou 2 cubas, sobre apoios de alvenaria de meia vez e vergas de concreto, sem revestimento.  Fornecimento e assentamento.(desonerado)</t>
  </si>
  <si>
    <t>AP 49.05.0074 (/)</t>
  </si>
  <si>
    <t>Banca de Mármore Branco Nacional, com 3cm de espessura medindo: (2x0,60)m, com abertura para 2 conchas de louça, sobre apoios de alvenaria de meia vez e vergas de concreto, sem revestimento.  Fornecimento e assentamento.(desonerado)</t>
  </si>
  <si>
    <t>AP 49.05.0150 (/)</t>
  </si>
  <si>
    <t>Banca seca de Mármore Branco Nacional, com 3cm de espessura e 0,60m de largura, sobre apoios de alvenaria de meia vez e verga de concreto, sem revestimento.  Fornecimento e assentamento.(desonerado)</t>
  </si>
  <si>
    <t>AP 49.05.0153 (A)</t>
  </si>
  <si>
    <t>Banca de mármore sintético, medindo: (120x50)cm, com cuba do mesmo material, exclusive torneira, válvula e sifão.  Fornecimento e assentamento.(desonerado)</t>
  </si>
  <si>
    <t>AP 49.05.0250 (A)</t>
  </si>
  <si>
    <t>Banca de mármore sintético, medindo: (140x55)cm, com cuba do mesmo material, exclusive torneira, válvula e sifão.  Fornecimento e assentamento.(desonerado)</t>
  </si>
  <si>
    <t>AP 49.05.0253 (/)</t>
  </si>
  <si>
    <t>Banca de mármore sintético, medindo: (150x55)cm, com cuba do mesmo material, exclusive torneira, válvula e sifão.  Fornecimento e assentamento.(desonerado)</t>
  </si>
  <si>
    <t>AP 49.05.0256 (/)</t>
  </si>
  <si>
    <t>Banca de mármore sintético, medindo: (160x55)cm, com cuba do mesmo material, exclusive torneira, válvula e sifão.  Fornecimento e assentamento.(desonerado)</t>
  </si>
  <si>
    <t>AP 49.05.0300 (/)</t>
  </si>
  <si>
    <t>Banca de mármore sintético, medindo: (100x50)cm, com cuba do mesmo material, exclusive torneira, válvula e sifão.  Fornecimento e assentamento.(desonerado)</t>
  </si>
  <si>
    <t>AP 49.05.0500 (/)</t>
  </si>
  <si>
    <t>Banca seca em granito Cinza Andorinha, com 3cm de espessura e 0,60m de largura, sobre apoios de alvenaria de meia vez e verga de concreto, sem revestimento.  Fornecimento e assentamento.(desonerado)</t>
  </si>
  <si>
    <t>AP 49.05.0503 (/)</t>
  </si>
  <si>
    <t>Banca em granito Cinza Andorinha, com 3cm de espessura e 0,60m de largura, com abertura para 1 ou 2 cubas, sobre apoios de alvenaria de meia vez e verga de concreto, sem revestimento.  Fornecimento e assentamento.(desonerado)</t>
  </si>
  <si>
    <t>AP 49.05.0550 (/)</t>
  </si>
  <si>
    <t>Banca de granito Preto Tijuca, com 3cm de espessura, sem abertura para cuba, sobre apoios de alvenaria de meia vez e verga de concreto, sem revestimento.  Fornecimento e assentamento.(desonerado)</t>
  </si>
  <si>
    <t>AP 49.05.0600 (/)</t>
  </si>
  <si>
    <t>Prateleira em Mármore Branco Nacional, com 3cm de espessura, 40cm de largura, com rasgo na parede.  Fornecimento e assentamento.(desonerado)</t>
  </si>
  <si>
    <t>AP 49.05.0650 (/)</t>
  </si>
  <si>
    <t>Tanque para lavagem em marmorite, medindo: (47x60)cm, de coralita.  Fornecimento.(desonerado)</t>
  </si>
  <si>
    <t>AP 54.05 Filtros</t>
  </si>
  <si>
    <t>AP 54.05.0050 (A)</t>
  </si>
  <si>
    <t>Filtro industrial, com vazão de 1000l/h, Líder ou similar.  Fornecimento.(desonerado)</t>
  </si>
  <si>
    <t>AP 54.05.0100 (A)</t>
  </si>
  <si>
    <t>Filtro residencial de 1 vela, de metal, esmaltado com registro.  Fornecimento.(desonerado)</t>
  </si>
  <si>
    <t>AP 54.05.0150 (A)</t>
  </si>
  <si>
    <t>Filtro termoplástico, com areia (100Kg), para bomba com motor monofásico ou trifásico, com vazão de 4100l/h, exclusive esta, modelo 19 TP-2, Jacuzzi ou similar.  Fornecimento.(desonerado)</t>
  </si>
  <si>
    <t>AP 59.05 Móveis</t>
  </si>
  <si>
    <t>AP 59.05.0050 (/)</t>
  </si>
  <si>
    <t>Banco de madeira aparelhada, envernizado, boleado nas bordas, confeccionado com assento de (30x30)cm, revestido com laminado melamínico, sendo a altura do banco de 52cm.(desonerado)</t>
  </si>
  <si>
    <t>AP 64.05 Cortinas e Persianas</t>
  </si>
  <si>
    <t>AP 64.05.0100 (/)</t>
  </si>
  <si>
    <t>Persianas horizontais em alumínio, lâminas micro 25 (2,5cm), nas dimensões de (1,25x1,85)m, Luxaflex ou similar.  Fornecimento e colocação.(desonerado)</t>
  </si>
  <si>
    <t>AP 64.05.0203 (/)</t>
  </si>
  <si>
    <t>Persiana horizontal metálica 16mm, na cor branca, sem bando, com trilhos e demais materias necessários para fixação.  Fornecimento e colocação.(desonerado)</t>
  </si>
  <si>
    <t>AP 64.05.0240 (/)</t>
  </si>
  <si>
    <t>Persiana vertical em PVC, na cor branca, sem bando, com trilhos e demais materias necessários para fixação.  Fornecimento e colocação.(desonerado)</t>
  </si>
  <si>
    <t>AP 64.05.0250 (/)</t>
  </si>
  <si>
    <t>Persiana vertical em tecido, com trilhos e demais materiais necessários para fixação.  Fornecimento e colocação.(desonerado)</t>
  </si>
  <si>
    <t>AP 98.99 Diversos</t>
  </si>
  <si>
    <t>AP 98.99.0050 (/)</t>
  </si>
  <si>
    <t>Braçadeira para dutos de ar condicionado em cantoneira de 3/4"x1/8".   Fornecimento e colocação.(desonerado)</t>
  </si>
  <si>
    <t>AP 98.99.0100 (/)</t>
  </si>
  <si>
    <t>Lava olhos de emergência com acionamento manual por alavanca, tubulação e conexões em ferro galvanizado, pia em AISI 304, conexões de entrada e saída de 1" BSP, pintura anticorrosiva, na cor verde segurança, pia com diâmetro de 300mm.  Fornecimento e colocação.(desonerado)</t>
  </si>
  <si>
    <t>AP 98.99.0112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</si>
  <si>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t>
  </si>
  <si>
    <t>AP 98.99.0115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</si>
  <si>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t>
  </si>
  <si>
    <t>BP 04.05 Bases e Pavimentos</t>
  </si>
  <si>
    <t>BP 04.05.0025 (/)</t>
  </si>
  <si>
    <t>Base de brita graduada, inclusive fornecimento de materiais, exclusive transporte do canteiro para a pista, medida após compactação.(desonerado)</t>
  </si>
  <si>
    <t>BP 04.05.0050 (/)</t>
  </si>
  <si>
    <t>Base de brita corrida, inclusive fornecimento dos materiais, medida após a compactação.(desonerado)</t>
  </si>
  <si>
    <t>BP 04.05.0053 (/)</t>
  </si>
  <si>
    <t>Base ou sub base estabilizada sem mistura de materiais, conforme Caderno de Encargos - PCRJ, exclusive escavação e transporte dos materiais, inclusive o transporte da água.(desonerado)</t>
  </si>
  <si>
    <t>BP 04.05.0056 (/)</t>
  </si>
  <si>
    <t>Base ou sub base estabilizada granulometricamente, com mistura de 2 ou mais materiais, conforme Caderno de Encargos - PCRJ, exclusive escavação e transporte dos materiais, inclusive o transporte de água.(desonerado)</t>
  </si>
  <si>
    <t>BP 04.05.0059 (/)</t>
  </si>
  <si>
    <t>Base de solo-cimento, executado "in loco", o custo indeniza as operações de execução na pista, inclusive transporte da água e se aplica ao volume de solo-cimento executado, medido após a compactação, exclusive a escavação, cimento e transporte dos materiais.(desonerado)</t>
  </si>
  <si>
    <t>BP 04.05.0100 (A)</t>
  </si>
  <si>
    <t>Camada de bloqueio (colchão) de areia, espalhado e comprimido mecanicamente, medido após compressão.(desonerado)</t>
  </si>
  <si>
    <t>BP 04.05.0103 (A)</t>
  </si>
  <si>
    <t>Camada de bloqueio (colchão) de pó-de-pedra, espalhado e comprimido mecanicamente, medida após compressão.(desonerado)</t>
  </si>
  <si>
    <t>BP 04.05.0150 (/)</t>
  </si>
  <si>
    <t>Camada de pó-de-pedra espalhada manualmente, medida após a compactação.(desonerado)</t>
  </si>
  <si>
    <t>BP 04.05.0200 (A)</t>
  </si>
  <si>
    <t>Capa selante compreendendo aplicação de asfalto na proporção de 1,1 a 1,4l/m2, distribuição de agregado (5 a 15Kg/m2) e compactação com rolo leve.(desonerado)</t>
  </si>
  <si>
    <t>BP 04.05.0250 (A)</t>
  </si>
  <si>
    <t>Construção de aterro, conforme Caderno de Encargos - PCRJ; exclusive escavação e carga, transporte e fornecimento dos materiais.(desonerado)</t>
  </si>
  <si>
    <t>BP 04.05.0300 (A)</t>
  </si>
  <si>
    <t>Construção de reforço de sub leito, conforme Caderno de Encargos - PCRJ; exclusive escavação e carga, transporte e fornecimento dos materiais.(desonerado)</t>
  </si>
  <si>
    <t>BP 04.05.0350 (/)</t>
  </si>
  <si>
    <t>Execução de pavimentação de saibro arenoso, em camadas de 10cm, medida após a compactação, inclusive fornecimento do material, espalhamento, rega e compactação.(desonerado)</t>
  </si>
  <si>
    <t>BP 04.05.0353 (/)</t>
  </si>
  <si>
    <t>Execução de pavimentação em saibro melhorado com cimento, em camadas de 8cm de espessura, medida após a compressão, sendo a proporção de cimento de 5% em volume (72Kg/m3), inclusive fornecimento dos materiais.(desonerado)</t>
  </si>
  <si>
    <t>BP 04.05.0400 (A)</t>
  </si>
  <si>
    <t>Imprimação de base de pavimentação, conforme Caderno de Encargos - PCRJ.(desonerado)</t>
  </si>
  <si>
    <t>BP 04.05.0450 (B)</t>
  </si>
  <si>
    <t>Regularização de subleito, conforme Caderno de Encargos - PCRJ.  O preço indeniza as operações de execução e transporte de água e se aplica à área efetivamente regularizada, exclusive transporte e escavação de corretivos.(desonerado)</t>
  </si>
  <si>
    <t>BP 04.10 Bases e Sub-bases de Material Reciclado</t>
  </si>
  <si>
    <t>BP 04.10.0100 (B)</t>
  </si>
  <si>
    <t>Base de agregados reciclados, de resíduos da construção civil, inclusive fornecimento dos materiais, medido após compactação.(desonerado)</t>
  </si>
  <si>
    <t>BP 04.10.0500 (B)</t>
  </si>
  <si>
    <t>Sub-base e reforço de agregados reciclados, de resíduos da construção civil, inclusive fornecimento dos materiais, medido após compactação.(desonerado)</t>
  </si>
  <si>
    <t>BP 09.05 Pavimentos Flexíveis</t>
  </si>
  <si>
    <t>BP 09.05.0050 (A)</t>
  </si>
  <si>
    <t>Concreto betuminoso usinado a quente, para camada intermediária (BINDER), de acordo com as  especificações da PCRJ; exclusive transporte da usina para a pista e espalhamento da mistura.(desonerado)</t>
  </si>
  <si>
    <t>BP 09.05.0100 (A)</t>
  </si>
  <si>
    <t>Concreto betuminoso usinado a quente, para camada de rolamento, de acordo com as  especificações da PCRJ; exclusive transporte da usina para a pista e espalhamento da mistura.(desonerado)</t>
  </si>
  <si>
    <t>BP 09.05.0150 (/)</t>
  </si>
  <si>
    <t>Concreto asfáltico pré-misturado a frio, conforme Caderno de Encargos - PCRJ.  O preço indeniza as operações de execução, o fornecimento e o transporte dos materiais empregados, e aplica-se ao volume executado, medido após a compressão.(desonerado)</t>
  </si>
  <si>
    <t>BP 09.05.0170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</si>
  <si>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mistura.(desonerado)</t>
  </si>
  <si>
    <t>BP 09.05.0200 (/)</t>
  </si>
  <si>
    <t>Espalhamento manual e compactação mecânica de concreto asfáltico usinado a quente, ou de pré-misturado, exclusive fornecimento de todos os materiais.(desonerado)</t>
  </si>
  <si>
    <t>BP 09.05.0250 (/)</t>
  </si>
  <si>
    <t>Espalhamento com motonivelaora e compactação mecânica de qualquer tipo de revestimento asfáltico, executado de acordo com as especificações da PCRJ.(desonerado)</t>
  </si>
  <si>
    <t>BP 09.05.0300 (/)</t>
  </si>
  <si>
    <t>Espalhamento com vibro acabadora convencional e compactação mecânica de qualquer tipo de concreto asfáltico usinado a quente, executado de acordo com as especificações da PCRJ, exclusive os materiais.(desonerado)</t>
  </si>
  <si>
    <t>BP 09.05.0303 (/)</t>
  </si>
  <si>
    <t>Espalhamento com vibro acabadora eletrônica e compactação mecânica de qualquer tipo de concreto asfáltico usinado a quente, executado de acordo com as especificações da PCRJ.(desonerado)</t>
  </si>
  <si>
    <t>BP 09.05.0350 (/)</t>
  </si>
  <si>
    <t>Manta geotêxtil de poliéster, em uma camada, sobre pavimentação betuminosa tipo OP-20, Bidim ou similar.  Fornecimento e colocação.(desonerado)</t>
  </si>
  <si>
    <t>BP 09.05.0355 (/)</t>
  </si>
  <si>
    <t>Reparador instantâneo de pavimentos (concreto asfáltico não emulsionado) para aplicação a frio, embalado em sacos multifoliados de papel Kraft com 40 Kg. Fornecimento e aplicação (espalhamento).</t>
  </si>
  <si>
    <t>BP 09.05.0400 (B)</t>
  </si>
  <si>
    <t>Pintura de ligação, inclusive limpeza do trecho a ser trabalhado.(desonerado)</t>
  </si>
  <si>
    <t>BP 09.05.0450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</si>
  <si>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similar.(desonerado)</t>
  </si>
  <si>
    <t>BP 09.05.0500 (/)</t>
  </si>
  <si>
    <t>Recomposição de revestimento em concreto asfáltico usinado a quente, executado em áreas de pequenas dimensões; exclusive corte, pintura de ligação e fornecimento de todos os materiais.(desonerado)</t>
  </si>
  <si>
    <t>BP 09.05.0550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</si>
  <si>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colocação.(desonerado)</t>
  </si>
  <si>
    <t>BP 09.05.0600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</si>
  <si>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DNER.(desonerado)</t>
  </si>
  <si>
    <t>BP 09.05.0650 (/)</t>
  </si>
  <si>
    <t>Revestimento de concreto betuminoso usinado a quente, para camada de rolamento, com 4cm de espessura, exclusive transporte da usina para a pista de imprimação.(desonerado)</t>
  </si>
  <si>
    <t>BP 09.05.0651 (/)</t>
  </si>
  <si>
    <t>Revestimento de concreto betuminoso usinado a quente, espalhado manualmente, com 4cm de espessura, exclusive transporte da usina para o local de aplicação.(desonerado)</t>
  </si>
  <si>
    <t>BP 09.05.0653 (B)</t>
  </si>
  <si>
    <t>Revestimento de concreto betuminoso usinado a quente, com 5 cm de espessura, executado em uma camada, de acordo com as instruções do DER-RJ, exclusive o transporte da usina para o local de aplicação.(desonerado)</t>
  </si>
  <si>
    <t>BP 09.05.0656 (/)</t>
  </si>
  <si>
    <t>Revestimento de concreto betuminoso usinado a quente, com 8cm de espessura, executado em 2 camadas, sendo a inferior de ligação (Binder), com 4cm de espessura e a superior de rolamento, conforme Caderno de Encargos - PCRJ, exclusive transporte da usina para a pista.(desonerado)</t>
  </si>
  <si>
    <t>BP 09.05.0659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</si>
  <si>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pista.(desonerado)</t>
  </si>
  <si>
    <t>BP 09.05.0670 (/)</t>
  </si>
  <si>
    <t>Revestimento de concreto betuminoso usinado a quente, executado em uma camada, de acordo com as instruções do DER-RJ, exclusive o transporte da usina para o local de aplicação.(desonerado)</t>
  </si>
  <si>
    <t>BP 09.05.0700 (A)</t>
  </si>
  <si>
    <t>Revestimento de concreto asfáltico, com polímero, usinado à quente, com 5cm de espessura, executado com vibroacabadora com controle eletrônico e mesa extensiva de no mínimo 7m, conforme especificações da Prefeitura da Cidade do Rio de Janeiro.(desonerado)</t>
  </si>
  <si>
    <t>BP 09.05.0703 (A)</t>
  </si>
  <si>
    <t>Revestimento de concreto asfáltico, com polímero, usinado à quente, com 7cm de espessura, executado com vibroacabadora com controle eletrônico e mesa extensiva de no mínimo 7m, conforme especificações da Prefeitura da Cidade do Rio de Janeiro.(desonerado)</t>
  </si>
  <si>
    <t>BP 09.05.0715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</si>
  <si>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pista.(desonerado)</t>
  </si>
  <si>
    <t>BP 09.05.0725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</si>
  <si>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pista.(desonerado)</t>
  </si>
  <si>
    <t>BP 09.05.0750 (/)</t>
  </si>
  <si>
    <t>Revestimento de saibro executado manualmente, comprimido em camada; exclusive o fornecimento e o transporte do saibro, sendo a camada medida após a compressão.(desonerado)</t>
  </si>
  <si>
    <t>BP 09.05.0800 (/)</t>
  </si>
  <si>
    <t>Revestimento de saibro executado mecanicamente (motoniveladora e rolo), comprimido em camada; exclusive o fornecimento e o transporte do saibro, sendo a camada medida após a compressão.(desonerado)</t>
  </si>
  <si>
    <t>BP 09.10 Pavimentos Rígidos</t>
  </si>
  <si>
    <t>BP 09.10.0050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</si>
  <si>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terreno.(desonerado)</t>
  </si>
  <si>
    <t>BP 09.10.0500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</si>
  <si>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terreno.(desonerado)</t>
  </si>
  <si>
    <t>BP 09.10.0600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</si>
  <si>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terreno.(desonerado)</t>
  </si>
  <si>
    <t>BP 09.15 Juntas</t>
  </si>
  <si>
    <t>BP 09.15.0050 (A)</t>
  </si>
  <si>
    <t>Junta de retração, serrada com disco de diamantes, para pavimentos de placas de concreto, com 5cm de profundidade, somente o corte, exclusive preenchimento e barras de ligação e de transferência.(desonerado)</t>
  </si>
  <si>
    <t>BP 09.15.0100 (/)</t>
  </si>
  <si>
    <t>Junta de retração, serrada com disco de diamante,  em revestimento de placas de concreto, com 5cm de profundidade, inclusive preenchimento de asfalto diluído CM-30, exclusive barras de ligação e de transferência.(desonerado)</t>
  </si>
  <si>
    <t>BP 09.15.0150 (/)</t>
  </si>
  <si>
    <t>Junta de retração, em revestimento de placa de concreto do tipo encaixe (macho e fêmea), inclusive preenchimento de asfalto diluído CM-30, exclusive barras de ligação e de transferência.(desonerado)</t>
  </si>
  <si>
    <t>BP 09.15.0200 (/)</t>
  </si>
  <si>
    <t>Limpeza e preenchimento de junta de retração, com asfalto duluído CM-30, exclusive corte, barras de ligação e de transferência.(desonerado)</t>
  </si>
  <si>
    <t>BP 09.20 Pavimentos em Lajotas de Concreto Pré-Moldado</t>
  </si>
  <si>
    <t>BP 09.20.0050 (A)</t>
  </si>
  <si>
    <t>Assentamento de artefato de concreto, sobre colchão de pó-de-pedra, areia ou material equivalente, com fornecimento de todos os materiais, exclusive o artefato de concreto, inclusive rejuntamento, de acordo com as especificações da PCRJ.(desonerado)</t>
  </si>
  <si>
    <t>BP 09.20.0100 (A)</t>
  </si>
  <si>
    <t>Reassentamento de artefato de concreto, com reaproveitamento deste, com limpeza de rejunte aderente, sobre colchão de pó-de-pedra, areia ou material equivalente, inclusive fornecimento de todos os materiais, inclusive rejuntamento.(desonerado)</t>
  </si>
  <si>
    <t>BP 09.20.0103 (A)</t>
  </si>
  <si>
    <t>Reassentamento de artefato de concreto, com reaproveitamento deste, sobre colchão de pó-de-pedra, areia ou material equivalente e o fornecimento de todos os materiais.(desonerado)</t>
  </si>
  <si>
    <t>BP 09.20.0150 (/)</t>
  </si>
  <si>
    <t>Pavimentação com blocos vazados de concreto, medindo: (50x50x10)cm, assentes em camadas de areia grossa de 2cm, exclusive preparo do terreno, Concregrama CGD, Neo-Rex ou similar.  Fornecimento e assentamento.(desonerado)</t>
  </si>
  <si>
    <t>BP 09.20.0153 (/)</t>
  </si>
  <si>
    <t>Pavimentação com blocos vazados de concreto, medindo: (60x45x7,5)cm, assentes em camadas de areia grossa de 2cm, exclusive preparo do terreno, Concregrama CG7, Neo-Rex ou similar.  Fornecimento e assentamento.(desonerado)</t>
  </si>
  <si>
    <t>BP 09.20.0300 (A)</t>
  </si>
  <si>
    <t>Rejuntamento de artefato de concreto, com argamassa de cimento e areia no traço 1:3, com fornecimento de todos os materiais.(desonerado)</t>
  </si>
  <si>
    <t>BP 09.20.0350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</si>
  <si>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</si>
  <si>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</si>
  <si>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</si>
  <si>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</si>
  <si>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</si>
  <si>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</si>
  <si>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</si>
  <si>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</si>
  <si>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</si>
  <si>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</si>
  <si>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</si>
  <si>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</si>
  <si>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</si>
  <si>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BP 09.25 Pavimentos em Paralelepípedo</t>
  </si>
  <si>
    <t>BP 09.25.0050 (/)</t>
  </si>
  <si>
    <t>Paralelepípedos.  Fornecimento.(desonerado)</t>
  </si>
  <si>
    <t>BP 09.25.0100 (/)</t>
  </si>
  <si>
    <t>Assentamento de paralelepípedos com reaproveitamento destes, fornecimento de pó-de-pedra e rejuntamento com betume e cascalhinho.(desonerado)</t>
  </si>
  <si>
    <t>BP 09.25.0103 (/)</t>
  </si>
  <si>
    <t>Assentamento de paralelepípedos com reaproveitamento destes e fornecimento de pó-de-pedra e rejuntamento com argamassa de cimento e areia no traço 1:3.(desonerado)</t>
  </si>
  <si>
    <t>BP 09.25.0150 (/)</t>
  </si>
  <si>
    <t>Arrancamento e reassentamento de paralelepípedos com limpeza de betume, aderente sobre colchão de pó-de-pedra, incluindo fornecimento do pó-de-pedra, exclusive rejuntamento e fornecimento dos paralelepípedos.(desonerado)</t>
  </si>
  <si>
    <t>BP 09.25.0153 (/)</t>
  </si>
  <si>
    <t>Arrancamento e reassentamento de paralelepípedos com limpeza do betume, aderente sobre colchão de pó-de-pedra, inclusive fornecimento de pó-de-pedra e rejuntamento com argamassa de cimento e areia no traço 1:3, exclusive fornecimento dos paralelepípedos.(desonerado)</t>
  </si>
  <si>
    <t>BP 09.25.0156 (/)</t>
  </si>
  <si>
    <t>Assentamento de paralelepípedos com reaproveitamento destes, inclusive fornecimento de pó-de-pedra, exclusive rejuntamento.(desonerado)</t>
  </si>
  <si>
    <t>BP 09.25.0200 (A)</t>
  </si>
  <si>
    <t>Reassentamento de paralelepípedos, com reaproveitamento deste, com limpeza de rejunto aderido, sobre colchão de pó-de-pedra, areia ou material equivalente, inclusive fornecimento de todos os materiais e o rejuntamento.(desonerado)</t>
  </si>
  <si>
    <t>BP 09.25.0250 (/)</t>
  </si>
  <si>
    <t>Rejuntamento de pavimentação de paralelepípedos com betume e cascalhinho, exclusive o fornecimento do betume.(desonerado)</t>
  </si>
  <si>
    <t>BP 09.25.0253 (/)</t>
  </si>
  <si>
    <t>Rejuntamento de revestimento em paralelepípedos, com CAP-40 e Brita 0, inclusive fornecimento de todos os materiais.(desonerado)</t>
  </si>
  <si>
    <t>BP 09.25.0303 (/)</t>
  </si>
  <si>
    <t>Pavimentação com paralelepípedos sobre colchão de pó-de-pedra e rejuntamento com betume e cascalhinho, inclusive fornecimento de todos os materiais.(desonerado)</t>
  </si>
  <si>
    <t>BP 14.05 Fresagem</t>
  </si>
  <si>
    <t>BP 14.05.0051 (/)</t>
  </si>
  <si>
    <t>Corte mecânico com fresadora a frio, em zona urbana sem interferências, inclusive coleta do material em caminhão basculante, exclusive transporte do material.(desonerado)</t>
  </si>
  <si>
    <t>BP 14.05.0060 (A)</t>
  </si>
  <si>
    <t>Corte mecânico com fresadora à frio, em concreto asfáltico, em zona urbana com interferências, inclusive coleta do material em caminhão basculante, exclusive transporte do material.(desonerado)</t>
  </si>
  <si>
    <t>BP 14.05.0100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</si>
  <si>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compactação).(desonerado)</t>
  </si>
  <si>
    <t>BP 19.05 Meio-Fio e Tento de Granito</t>
  </si>
  <si>
    <t>BP 19.05.0050 (/)</t>
  </si>
  <si>
    <t>Meio-fio em granito, com seção de (20x25)cm, formato de paralelogramo com ângulo de 83°, superfícies sem polimento com chanfro de 1cm na parte superior, em uma das faces.  Fornecimento e assentamento.(desonerado)</t>
  </si>
  <si>
    <t>BP 19.05.0053 (/)</t>
  </si>
  <si>
    <t>Meio-fio reto de granito, altura de 0,35m, apicoado comum, fornecimento e assentamento com rejuntamento de argamassa de cimento e areia no traço 1:4.(desonerado)</t>
  </si>
  <si>
    <t>BP 19.05.0100 (/)</t>
  </si>
  <si>
    <t>Travessão ou tento de granito, fornecimento e assentamento com rejuntamento de argamassa de cimento e areia no traço 1:4.(desonerado)</t>
  </si>
  <si>
    <t>BP 19.10 Meio-Fio e Tento Moldado no Local</t>
  </si>
  <si>
    <t>BP 19.10.0050 (B)</t>
  </si>
  <si>
    <t>Cordão de concreto simples, com secção de (6x25)cm, moldados no local, inclusive escavação e reaterro.(desonerado)</t>
  </si>
  <si>
    <t>BP 19.10.0053 (B)</t>
  </si>
  <si>
    <t>Cordão de concreto simples, com secção de (10x25)cm, moldados no local, inclusive escavação e reaterro.(desonerado)</t>
  </si>
  <si>
    <t>BP 19.10.0100 (B)</t>
  </si>
  <si>
    <t>Meio-fio de concreto simples (fck=13,5MPa), moldado no local, conforme Caderno de Encargos - PCRJ, medindo 0,15m na base e com altura de 0,30m, rejuntamento com argamassa de cimento e areia no traço 1:4, inclusive o fornecimento de todos os materiais, escavação e reaterro.(desonerado)</t>
  </si>
  <si>
    <t>BP 19.10.0150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</si>
  <si>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reaterro.(desonerado)</t>
  </si>
  <si>
    <t>BP 19.10.0200 (B)</t>
  </si>
  <si>
    <t>Meio-fio curvo de concreto simples (fck=13,5MPa), moldado no local, conforme Caderno de Encargos - PCRJ, medindo 0,15m na base e com altura de 0,30m, rejuntamento com argamassa de cimento e areia no traço 1:4; com fornecimento de todos os materiais, escavação e reaterro.(desonerado)</t>
  </si>
  <si>
    <t>BP 19.10.0250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</si>
  <si>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reaterro.(desonerado)</t>
  </si>
  <si>
    <t>BP 19.10.0300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</si>
  <si>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 (desonerado)</t>
  </si>
  <si>
    <t>BP 19.15 Meio-Fio e Sarjeta Conjugados Moldados no Local</t>
  </si>
  <si>
    <t>BP 19.15.0050 (A)</t>
  </si>
  <si>
    <t>Sarjeta e meio-fio conjugados, de concreto simples (fck=15MPa), moldado no local, conforme Caderno de Encargos - PCRJ, medindo 0,45m de base e com altura de 0,30m, rejuntamento de argamassa de cimento e areia no traço 1:4; inclusive o fornecimento de todos os materiais.(desonerado)</t>
  </si>
  <si>
    <t>BP 19.15.0053 (B)</t>
  </si>
  <si>
    <t>Sarjeta e meio-fio conjugados, de concreto simples (fck=35MPa), moldado no local, conforme Caderno de Encargos - PCRJ, medindo 0,45m de base e com altura de 0,30m, rejuntamento de argamassa de cimento e areia no traço 1:4; inclusive o fornecimento de todos os materiais.(desonerado)</t>
  </si>
  <si>
    <t>BP 19.15.0056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</si>
  <si>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materiais.(desonerado)</t>
  </si>
  <si>
    <t>BP 19.15.0059 (A)</t>
  </si>
  <si>
    <t>Sarjeta e meio-fio conjugados, de concreto simples (fck=15MPa), moldado no local, conforme Caderno de Encargos - PCRJ, medindo 0,65m de base e com altura de 0,30m, rejuntamento de argamassa de cimento e areia no traço 1:4; inclusive o fornecimento de todos os materiais.(desonerado)</t>
  </si>
  <si>
    <t>BP 19.15.0065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</si>
  <si>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acabamento.(desonerado)</t>
  </si>
  <si>
    <t>BP 19.20 Meio-Fio e Sarjeta Pré-Moldados</t>
  </si>
  <si>
    <t>BP 19.20.0050 (A)</t>
  </si>
  <si>
    <t>Meio-fio de concreto pré-moldado (fck=15MPa), medindo 0,15m na base e com altura de 0,30m, rejuntamento com argamassa de cimento e areia no traço 1:4, inclusive o fornecimento de todos os materiais, escavação e reaterro.(desonerado)</t>
  </si>
  <si>
    <t>BP 19.20.0053 (B)</t>
  </si>
  <si>
    <t>Meio-fio de concreto pré-moldado (fck=15MPa), medindo 0,15m na base e com altura de 0,45m, rejuntamento com argamassa de cimento e areia no traço 1:4, inclusive o fornecimento de todos os materiais, escavação e reaterro.(desonerado)</t>
  </si>
  <si>
    <t>BP 19.25 Sarjetas e Guias</t>
  </si>
  <si>
    <t>BP 19.25.0050 (A)</t>
  </si>
  <si>
    <t>Guia de concreto armado, destinado ao encunhamento de pavimentação em paralelos, em logradouro com declividade do greide maior que 18%, de seção (0,15x0,40)m, assentado transversalmente ao eixo da via.  Fornecimento e assentamento.(desonerado)</t>
  </si>
  <si>
    <t>BP 19.25.0100 (/)</t>
  </si>
  <si>
    <t>Sarjeta-guia de paralelepípedo (1 fiada), assente sobre base de concreto (fck=11MPa); inclusive esta, rejuntamento de argamassa de cimento e areia (traço 1:3), para pavimentação betuminosa.(desonerado)</t>
  </si>
  <si>
    <t>BP 19.25.0150 (/)</t>
  </si>
  <si>
    <t>Sarjeta de concreto simples (fck=13,5MPa), moldada no local, conforme Caderno de Encargos - PCRJ, medindo 0,30m de largura e 0,10m de espessura, inclusive o fornecimento de todos os materiais.(desonerado)</t>
  </si>
  <si>
    <t>BP 19.25.0200 (/)</t>
  </si>
  <si>
    <t>Sarjeta de concreto simples (fck=15MPa), moldada no local, conforme Caderno de Encargos - PCRJ, medindo 0,30m de largura e 0,15m de espessura, inclusive o fornecimento de todos os materiais.(desonerado)</t>
  </si>
  <si>
    <t>BP 19.30 Levantamentos e Reassentamentos</t>
  </si>
  <si>
    <t>BP 19.30.0050 (/)</t>
  </si>
  <si>
    <t>Levantamento e reassentamento de meio-fio.(desonerado)</t>
  </si>
  <si>
    <t>BP 19.30.0053 (/)</t>
  </si>
  <si>
    <t>Levantamento e reassentamento de tento ou travessão.(desonerado)</t>
  </si>
  <si>
    <t>BP 19.30.0100 (/)</t>
  </si>
  <si>
    <t>Reassentamento de meio-fio.(desonerado)</t>
  </si>
  <si>
    <t>BP 19.30.0103 (/)</t>
  </si>
  <si>
    <t>Reassentamento de tento ou travessão.(desonerado)</t>
  </si>
  <si>
    <t>CE 04.05 Acompanhamento e Desenvolvimento de Projetos</t>
  </si>
  <si>
    <t>CE 04.05.0050 (/)</t>
  </si>
  <si>
    <t>Prestação de serviços de engenharia para acompanhamento e desenvolvimento de estudos e projetos das Diretorias de Projetos e de Informações Gerenciais, com alocação de técnicos especializados.(desonerado)</t>
  </si>
  <si>
    <t>hh</t>
  </si>
  <si>
    <t>CE 04.10 Elaboração de Estudos e Projetos</t>
  </si>
  <si>
    <t>CE 04.10.0056 (/)</t>
  </si>
  <si>
    <t>Arquiteto júnior de serviços técnicos especializados de consultoria de engenharia e arquitetura.(desonerado)</t>
  </si>
  <si>
    <t>CE 04.10.0062 (/)</t>
  </si>
  <si>
    <t>Arquiteto pleno de serviços técnicos especializados de consultoria de engenharia e arquitetura.(desonerado)</t>
  </si>
  <si>
    <t>CE 04.10.0068 (/)</t>
  </si>
  <si>
    <t>Arquiteto sênior de serviços técnicos especializados de consultoria de engenharia e arquitetura.(desonerado)</t>
  </si>
  <si>
    <t>CE 04.10.0074 (/)</t>
  </si>
  <si>
    <t>Arquivista técnico de serviços técnicos especializados de consultoria de engenharia e arquitetura.(desonerado)</t>
  </si>
  <si>
    <t>CE 04.10.0080 (/)</t>
  </si>
  <si>
    <t>Auxiliar de laboratorista de serviços técnicos especializados de consultoria de engenharia e arquitetura.(desonerado)</t>
  </si>
  <si>
    <t>CE 04.10.0086 (/)</t>
  </si>
  <si>
    <t>Técnico de nível médio de serviços técnicos especializados de consultoria de engenharia e arquitetura.(desonerado)</t>
  </si>
  <si>
    <t>CE 04.10.0092 (/)</t>
  </si>
  <si>
    <t>Auxiliar de topografia de serviços técnicos especializados de consultoria de engenharia e arquitetura.(desonerado)</t>
  </si>
  <si>
    <t>CE 04.10.0104 (/)</t>
  </si>
  <si>
    <t>Biólogo pleno de serviços técnicos especializados de consultoria de engenharia e arquitetura.(desonerado)</t>
  </si>
  <si>
    <t>CE 04.10.0110 (/)</t>
  </si>
  <si>
    <t>Consultor de serviços técnicos especializados de consultoria de engenharia e arquitetura.(desonerado)</t>
  </si>
  <si>
    <t>CE 04.10.0116 (/)</t>
  </si>
  <si>
    <t>Coordenador de serviços técnicos especializados de consultoria de engenharia e arquitetura.(desonerado)</t>
  </si>
  <si>
    <t>CE 04.10.0122 (/)</t>
  </si>
  <si>
    <t>Desenhista cadista sênior de serviços técnicos especializados de consultoria de engenharia e arquitetura.(desonerado)</t>
  </si>
  <si>
    <t>CE 04.10.0128 (/)</t>
  </si>
  <si>
    <t>Desenhista júnior de serviços técnicos especializados de consultoria de engenharia e arquitetura.(desonerado)</t>
  </si>
  <si>
    <t>CE 04.10.0134 (/)</t>
  </si>
  <si>
    <t>Desenhista pleno de serviços técnicos especializados de consultoria de engenharia e arquitetura.(desonerado)</t>
  </si>
  <si>
    <t>CE 04.10.0146 (/)</t>
  </si>
  <si>
    <t>Encarregado de serviços técnicos especializados de consultoria de engenharia e arquitetura.(desonerado)</t>
  </si>
  <si>
    <t>CE 04.10.0152 (/)</t>
  </si>
  <si>
    <t>Engenheiro júnior de serviços técnicos especializados de consultoria de engenharia e arquitetura.(desonerado)</t>
  </si>
  <si>
    <t>CE 04.10.0158 (/)</t>
  </si>
  <si>
    <t>Engenheiro pleno de serviços técnicos especializados de consultoria de engenharia e arquitetura.(desonerado)</t>
  </si>
  <si>
    <t>CE 04.10.0164 (/)</t>
  </si>
  <si>
    <t>Engenheiro sênior de serviços técnicos especializados de consultoria de engenharia e arquitetura.(desonerado)</t>
  </si>
  <si>
    <t>CE 04.10.0170 (/)</t>
  </si>
  <si>
    <t>Geólogo júnior de serviços técnicos especializados de consultoria de engenharia e arquitetura.(desonerado)</t>
  </si>
  <si>
    <t>CE 04.10.0176 (/)</t>
  </si>
  <si>
    <t>Geólogo pleno de serviços técnicos especializados de consultoria de engenharia e arquitetura.(desonerado)</t>
  </si>
  <si>
    <t>CE 04.10.0182 (/)</t>
  </si>
  <si>
    <t>Geólogo sênior de serviços técnicos especializados de consultoria de engenharia e arquitetura.(desonerado)</t>
  </si>
  <si>
    <t>CE 04.10.0188 (/)</t>
  </si>
  <si>
    <t>Laboratorista de serviços técnicos especializados de consultoria de engenharia e arquitetura.(desonerado)</t>
  </si>
  <si>
    <t>CE 04.10.0192 (/)</t>
  </si>
  <si>
    <t>Laboratorista especializado em solos - A(desonerado)</t>
  </si>
  <si>
    <t>CE 04.10.0194 (/)</t>
  </si>
  <si>
    <t>Nivelador de serviços técnicos especializados de consultoria de engenharia e arquitetura.(desonerado)</t>
  </si>
  <si>
    <t>CE 04.10.0200 (/)</t>
  </si>
  <si>
    <t>Projetista júnior de serviços técnicos especializados de consultoria de engenharia e arquitetura.(desonerado)</t>
  </si>
  <si>
    <t>CE 04.10.0206 (/)</t>
  </si>
  <si>
    <t>Projetista pleno de serviços técnicos especializados de consultoria de engenharia e arquitetura.(desonerado)</t>
  </si>
  <si>
    <t>CE 04.10.0212 (/)</t>
  </si>
  <si>
    <t>Projetista sênior de serviços técnicos especializados de consultoria de engenharia e arquitetura.(desonerado)</t>
  </si>
  <si>
    <t>CE 04.10.0218 (/)</t>
  </si>
  <si>
    <t>Secretária executiva de serviços técnicos especializados de consultoria de engenharia e arquitetura.(desonerado)</t>
  </si>
  <si>
    <t>CE 04.10.0224 (/)</t>
  </si>
  <si>
    <t>Secretária júnior de serviços técnicos especializados de consultoria de engenharia e arquitetura.(desonerado)</t>
  </si>
  <si>
    <t>CE 04.10.0242 (/)</t>
  </si>
  <si>
    <t>Tecnólogo júnior de serviços técnicos especializados de consultoria de engenharia e arquitetura.(desonerado)</t>
  </si>
  <si>
    <t>CE 04.10.0248 (/)</t>
  </si>
  <si>
    <t>Tecnólogo sênior de serviços técnicos especializados de consultoria de engenharia e arquitetura.(desonerado)</t>
  </si>
  <si>
    <t>CE 04.10.0254 (/)</t>
  </si>
  <si>
    <t>Topógrafo de serviços técnicos especializados de consultoria de engenharia e arquitetura.(desonerado)</t>
  </si>
  <si>
    <t>CI 04.05 Madeiramento</t>
  </si>
  <si>
    <t>CI 04.05.0050 (/)</t>
  </si>
  <si>
    <t>Colocação de madeiramento de telhas cerâmicas, inclusive pregos, exclusive o fornecimento do madeiramento e das telhas.(desonerado)</t>
  </si>
  <si>
    <t>CI 04.05.0100 (/)</t>
  </si>
  <si>
    <t>Madeiramento para cobertura de telhas onduladas de cimento amianto ou Fiber-Glass ou similar, pregadas sem tesouras ou pontaletes, medido pela projeção.(desonerado)</t>
  </si>
  <si>
    <t>CI 04.05.0150 (A)</t>
  </si>
  <si>
    <t>Madeiramento para cobertura de telhas cerâmicas, (francesa, portuguesa, duplana, colonial ou similar), constituído de cumeeira, terças, caibros, pontaletes e ripas de madeira serrada, pregados sem tesoura, medido pela projeção horizontal.(desonerado)</t>
  </si>
  <si>
    <t>CI 04.05.0200 (/)</t>
  </si>
  <si>
    <t>Peça em madeira serrada, de (7 x 20)cm, para cobertura de qualquer tipo.  Fornecimento e colocação.(desonerado)</t>
  </si>
  <si>
    <t>CI 04.10 Terça</t>
  </si>
  <si>
    <t>CI 04.10.0050 (/)</t>
  </si>
  <si>
    <t>Terça em serrada, de (7,5cm x 7,5cm / 3" x 3"), para estrutura de telhados e coberturas.  Fornecimento e colocação.(desonerado)</t>
  </si>
  <si>
    <t>CI 04.10.0100 (/)</t>
  </si>
  <si>
    <t>Terça em madeira serrada de (7,5cm x 11,25cm / 3" x 4 1/2"), para estrutura de telhados e coberturas. Fornecimento e colocação.(desonerado)</t>
  </si>
  <si>
    <t>CI 04.10.0150 (A)</t>
  </si>
  <si>
    <t>Terça em serrada de (7,5cm x 15cm / 3" x 6"), para estrutura de telhados e coberturas.  Fornecimento e colocação.(desonerado)</t>
  </si>
  <si>
    <t>CI 04.10.0200 (/)</t>
  </si>
  <si>
    <t>Terça em madeira serrada, de (7,5cm x 22,5cm / 3" x 9"), para estrutura de telhados e coberturas.  Fornecimento e colocação.(desonerado)</t>
  </si>
  <si>
    <t>CI 04.15 Caibro</t>
  </si>
  <si>
    <t>CI 04.15.0050 (/)</t>
  </si>
  <si>
    <t>Caibro em madeira serrada, de (3,75cm x 7,5cm / 1 1/2" x 3").  Fornecimento e colocação.(desonerado)</t>
  </si>
  <si>
    <t>CI 04.15.0100 (/)</t>
  </si>
  <si>
    <t>Caibro em madeira serrada, de (5cm x 7,5cm / 2" x 3").  Fornecimento e colocação.(desonerado)</t>
  </si>
  <si>
    <t>CI 04.20 Tesoura</t>
  </si>
  <si>
    <t>CI 04.20.0050 (/)</t>
  </si>
  <si>
    <t>Tesoura completa em madeira serrada, para telhados com vãos de 4m.  Fornecimento e colocação.(desonerado)</t>
  </si>
  <si>
    <t>CI 04.20.0100 (/)</t>
  </si>
  <si>
    <t>Tesoura completa em madeira serrada, para telhados com vãos de 5m.  Fornecimento e colocação.(desonerado)</t>
  </si>
  <si>
    <t>CI 04.20.0150 (/)</t>
  </si>
  <si>
    <t>Tesoura completa em madeira serrada, para telhados com vãos de 6m.  Fornecimento e colocação.(desonerado)</t>
  </si>
  <si>
    <t>CI 04.20.0200 (/)</t>
  </si>
  <si>
    <t>Tesoura completa em madeira serrada, para telhados com vãos de 7m.  Fornecimento e colocação.(desonerado)</t>
  </si>
  <si>
    <t>CI 04.20.0250 (/)</t>
  </si>
  <si>
    <t>Tesoura completa em madeira serrada, para telhados com vãos de 8m.  Fornecimento e colocação.(desonerado)</t>
  </si>
  <si>
    <t>CI 04.20.0300 (/)</t>
  </si>
  <si>
    <t>Tesoura completa em madeira serrada, para telhados com vãos de 9m.  Fornecimento e colocação.(desonerado)</t>
  </si>
  <si>
    <t>CI 04.20.0350 (/)</t>
  </si>
  <si>
    <t>Tesoura completa em madeira serrada, para telhados com vãos de 10m.  Fornecimento e colocação.(desonerado)</t>
  </si>
  <si>
    <t>CI 04.20.0400 (/)</t>
  </si>
  <si>
    <t>Tesoura completa em madeira serrada, para telhados com vãos de 12m.  Fornecimento e colocação.(desonerado)</t>
  </si>
  <si>
    <t>CI 04.25 Pontalete</t>
  </si>
  <si>
    <t>CI 04.25.0050 (/)</t>
  </si>
  <si>
    <t>Pontalete em madeira serrada, de (7,5cm x 7,5cm / 3" x 3"), verticais e horizontais para estrutura de telhados de telhas cerâmicas, medido pela projeção horizontal do telhado.  Fornecimento e Colocação.(desonerado)</t>
  </si>
  <si>
    <t>CI 04.25.0100 (/)</t>
  </si>
  <si>
    <t>Pontalete em madeira serrada, de (7,5cm x 7,5cm / 3" x 3"), verticais e horizontais para estrutura de coberturas de telhas leves (mineral, fibra-vegetal, fiber-glass e similares), medido pela projeção horizontal do telhado.  Fornecimento e colocação.(desonerado)</t>
  </si>
  <si>
    <t>CI 04.30 Coberturas, Telhas e Complementos</t>
  </si>
  <si>
    <t>CI 04.30.0050 (/)</t>
  </si>
  <si>
    <t>Cobertura em telhas coloniais; exclusive cumeeira e madeiramento.  Fornecimento e colocação.(desonerado)</t>
  </si>
  <si>
    <t>CI 04.30.0053 (/)</t>
  </si>
  <si>
    <t>Cobertura em telhas francesas; exclusive cumeeira e madeiramento.  Fornecimento e colocação.(desonerado)</t>
  </si>
  <si>
    <t>CI 04.30.0056 (/)</t>
  </si>
  <si>
    <t>Cobertura em telha portuguesa, exclusive cumeeira e madeiramento.  Fornecimento e colocação.(desonerado)</t>
  </si>
  <si>
    <t>CI 04.30.0100 (/)</t>
  </si>
  <si>
    <t>Colocação de telhas francesas, exclusive fornecimento.(desonerado)</t>
  </si>
  <si>
    <t>CI 04.30.0150 (/)</t>
  </si>
  <si>
    <t>Cobertura em telhas de concreto, exclusive cumeeira e madeiramento.  Fornecimento e colocação.(desonerado)</t>
  </si>
  <si>
    <t>CI 04.30.0250 (/)</t>
  </si>
  <si>
    <t>Cordão para arremate de telhado, executado com argamassa de cimento, areia e saibro no traço 1:2:2.(desonerado)</t>
  </si>
  <si>
    <t>CI 04.30.0300 (/)</t>
  </si>
  <si>
    <t>Cumeeira para cobertura em telhas francesas ou coloniais.  Fornecimento e colocação.(desonerado)</t>
  </si>
  <si>
    <t>CI 04.30.0303 (/)</t>
  </si>
  <si>
    <t>Cumeeira para cobertura em telhas de concreto.  Fornecimento e colocação.(desonerado)</t>
  </si>
  <si>
    <t>CI 04.30.0350 (/)</t>
  </si>
  <si>
    <t>Telhas francesas.  Fornecimento.(desonerado)</t>
  </si>
  <si>
    <t>CI 04.35 Cobertura Simples em Aço Galvanizado</t>
  </si>
  <si>
    <t>CI 04.35.0050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</si>
  <si>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colocação.(desonerado)</t>
  </si>
  <si>
    <t>CI 04.35.0203 (/)</t>
  </si>
  <si>
    <t>Telha metálica CE-100, 0,65mm, perfil trapezoidal, fabricado em aço galvanizado com 270g/m2 de zinco, com largura total de 808mm, largura útil de 750mm e comprimento de 6600mm, pintado por processo eletrostático polimerizada em estufa.  Fornecimento.(desonerado)</t>
  </si>
  <si>
    <t>CI 04.37 Cobertura Dupla em Aço Galvanizado</t>
  </si>
  <si>
    <t>CI 04.37.0100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</si>
  <si>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colocação.(desonerado)</t>
  </si>
  <si>
    <t>CI 04.37.0150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</si>
  <si>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t>
  </si>
  <si>
    <t>CI 04.37.0200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</si>
  <si>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t>
  </si>
  <si>
    <t>CI 04.40 Cobertura Simples em alumínio</t>
  </si>
  <si>
    <t>CI 04.40.0100 (/)</t>
  </si>
  <si>
    <t>Cobertura em chapas de alumínio de 0,5mm de espessura, com sobreposição lateral de 1 onda e longitudinal de 14cm, sendo as chapas fixadas com ganchos de alumínio com rosca de 6mm de diâmetro; exclusive madeiramento e cumeeira.(desonerado)</t>
  </si>
  <si>
    <t>CI 04.40.0150 (/)</t>
  </si>
  <si>
    <t>Colocação de rufo, cumeeira ou contra-rufo de alumínio com 0,8mmx1056mm.(desonerado)</t>
  </si>
  <si>
    <t>CI 04.40.0200 (/)</t>
  </si>
  <si>
    <t>Contra rufo em alumínio, com acabamento em verniz em 1 face e pintada na outra, trapezoidal ou ondulada, medindo: (1500x562x0,8)mm, Alcoa ou similar.  Fornecimento e colocação.(desonerado)</t>
  </si>
  <si>
    <t>CI 04.40.0203 (/)</t>
  </si>
  <si>
    <t>Contra rufo em alumínio, com acabamento em verniz nas 2 faces, trapezoidal ou ondulada, medindo: (1500x562x0,8)mm, Alcoa ou similar.  Fornecimento e colocação.(desonerado)</t>
  </si>
  <si>
    <t>CI 04.40.0250 (/)</t>
  </si>
  <si>
    <t>Cumeeira em alumínio com acabamento em verniz em 1 face e pintada em outra, trapezoidal ou ondulada, medindo: (1265x600x0,8)mm, Alcoa ou similar.  Fornecimento e colocação.(desonerado)</t>
  </si>
  <si>
    <t>CI 04.40.0253 (/)</t>
  </si>
  <si>
    <t>Cumeeira em alumínio com acabamento em verniz nas 2 faces, trapezoidal ou ondulada, medindo: (1265x600x0,8)mm, Alcoa ou similar.  Fornecimento e colocação.(desonerado)</t>
  </si>
  <si>
    <t>CI 04.40.0350 (/)</t>
  </si>
  <si>
    <t>Rufo em alumínio, com acabamento em verniz em 1 face e pintada na outra, trapezoidal, medindo: (1265x600x0,8)mm, Alcoa ou similar.  Fornecimento e colocação.(desonerado)</t>
  </si>
  <si>
    <t>CI 04.40.0353 (/)</t>
  </si>
  <si>
    <t>Rufo em alumínio, com acabamento em verniz nas 2 faces, trapezoidal ou ondulada, medindo: (1265x600x0,8)mm, Alcoa ou similar.  Fornecimento e colocação.(desonerado)</t>
  </si>
  <si>
    <t>CI 04.40.0400 (A)</t>
  </si>
  <si>
    <t>Telha de alumínio, com acabamento em verniz nas 2 faces (interna e externa), no modelo trapezoidal ou ondulada, na espessura de 0,5mm, Alcoflon ou similar.  Fornecimento e colocação.(desonerado)</t>
  </si>
  <si>
    <t>CI 04.40.0403 (A)</t>
  </si>
  <si>
    <t>Telha de alumínio, com acabamento em verniz em 1 face e pintado na outra, no modelo trapezoidal ou ondulada, na espessura de 0,5mm, Alcoflon ou similar.  Fornecimento e colocação.(desonerado)</t>
  </si>
  <si>
    <t>CI 04.43 Cobertura Dupla em alumínio</t>
  </si>
  <si>
    <t>CI 04.43.0050 (/)</t>
  </si>
  <si>
    <t>Cobertura dupla de 30mm, com telha térmica, trapezoidal em alumínio, inclusive todos os acessórios necessários à sua execução, Bernini ou similar.  Fornecimento e colocação, exclusive transporte.(desonerado)</t>
  </si>
  <si>
    <t>CI 04.43.0100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</si>
  <si>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colocação.(desonerado)</t>
  </si>
  <si>
    <t>CI 04.45 Cobertura em Cimento e Fibras Sem Amianto</t>
  </si>
  <si>
    <t>CI 04.45.0050 (/)</t>
  </si>
  <si>
    <t>Cobertura em telhas onduladas, sem amianto, com espessura de 4mm, fixadas por pregos, inclusive vedação, exclusive o madeiramento, Vogatex ou similar.  Fornecimento e colocação.(desonerado)</t>
  </si>
  <si>
    <t>CI 04.45.0100 (/)</t>
  </si>
  <si>
    <t>Cobertura em telhas onduladas, sem amianto, com espessura de 6mm, fixadas por parafusos galvanizados, inclusive vedação, exclusive o madeiramento, Eternit ou similar.  Fornecimento e colocação.(desonerado)</t>
  </si>
  <si>
    <t>CI 04.45.0106 (/)</t>
  </si>
  <si>
    <t>Cobertura em telhas onduladas, sem amianto, com espessura de 6mm, fixadas por parafusos galvanizados, inclusive vedação, exclusive o madeiramento, Maxiplac da Brasilit ou similar.  Fornecimento e colocação.(desonerado)</t>
  </si>
  <si>
    <t>CI 04.45.0150 (/)</t>
  </si>
  <si>
    <t>Cobertura em telhas onduladas, sem amianto, com espessura de 8mm, fixadas por parafusos galvanizados, inclusive vedação, exclusive o madeiramento, Eternit ou similar.  Fornecimento e colocação.(desonerado)</t>
  </si>
  <si>
    <t>CI 04.45.0156 (A)</t>
  </si>
  <si>
    <t>Cobertura em telhas onduladas, sem amianto, com espessura de 8mm, nas dimensões úteis de (2,30 x 0,50)m, fixadas por parafusos galvanizados, inclusive vedação, exclusive o madeiramento, Modulada da Eternit ou similar.  Fornecimento e colocação.(desonerado)</t>
  </si>
  <si>
    <t>CI 04.45.0200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</si>
  <si>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colocação.(desonerado)</t>
  </si>
  <si>
    <t>CI 04.45.0250 (/)</t>
  </si>
  <si>
    <t>Cumeeira normal para telhas onduladas de 6mm a 8mm, sem amianto, fixada por parafusos galvanizados, inclusive vedação, Eternit ou similar.  Fornecimento e colocação.(desonerado)</t>
  </si>
  <si>
    <t>CI 04.45.0253 (/)</t>
  </si>
  <si>
    <t>Cumeeira normal para telhas onduladas, sem amianto, fixada por parafusos galvanizados, inclusive vedação, Eternit ou similar.  Fornecimento e colocação.(desonerado)</t>
  </si>
  <si>
    <t>CI 04.45.0256 (/)</t>
  </si>
  <si>
    <t>Cumeeira normal para telhas canalete 90, sem amianto, fixada por parafusos galvanizados, inclusive vedação, Eternit ou similar.  Fornecimento e colocação.(desonerado)</t>
  </si>
  <si>
    <t>CI 04.45.0262 (/)</t>
  </si>
  <si>
    <t>Cumeeira para cobertura tipo Shed e Shed terminal, sem amianto, fixada por parafusos galvanizados, inclusive vedação.  Fornecimento e colocação.(desonerado)</t>
  </si>
  <si>
    <t>CI 04.45.0300 (/)</t>
  </si>
  <si>
    <t>Espigão para cobertura em telhas sem amianto, fixado por parafusos galvanizados, inclusive vedação.  Fornecimento e colocação.(desonerado)</t>
  </si>
  <si>
    <t>CI 04.45.0350 (/)</t>
  </si>
  <si>
    <t>Rufo para cobertura em telhas sem amianto, fixado por parafusos galvanizados, inclusive vedação.  Fornecimento e colocação.(desonerado)</t>
  </si>
  <si>
    <t>CI 04.50 Cobertura em Fibras Vegetais e Minerais</t>
  </si>
  <si>
    <t>CI 04.50.0050 (/)</t>
  </si>
  <si>
    <t>Cobertura em telhas onduladas fabricadas com fibras vegetais e minerais, com espessura de 3mm, presas por pregos galvanizados, exclusive madeiramento, Onduline ou similar.  Fornecimento e colocação.(desonerado)</t>
  </si>
  <si>
    <t>CI 04.50.0100 (/)</t>
  </si>
  <si>
    <t>Cumeeira normal, para telhas onduladas, de (0,50x0,90)m, presas por pregos galvanizados, Onduline ou similar.  Fornecimento e colocação.(desonerado)</t>
  </si>
  <si>
    <t>CI 04.55 Cobertura em Policarbonato, Acrílico e Resina</t>
  </si>
  <si>
    <t>CI 04.55.0050 (A)</t>
  </si>
  <si>
    <t>Chapa de policarbonato alveolar para caixilho com painel fixo, espessura de 10mm.  Fornecimento e colocação.(desonerado)</t>
  </si>
  <si>
    <t>CI 04.55.0100 (A)</t>
  </si>
  <si>
    <t>Cobertura em chapa de policarbonato alveolar, na cor cristal, com 10mm de espessura, incluindo madeiramento em peças de madeira e pilares em tubo de aço galvanizado.  Fornecimento e colocação.(desonerado)</t>
  </si>
  <si>
    <t>CI 04.55.0150 (A)</t>
  </si>
  <si>
    <t>Cobertura em chapas de acrílicos translúcidos de 6mm de espessura, inclusive fixação, exclusive estrutura.  Fornecimento e colocação.(desonerado)</t>
  </si>
  <si>
    <t>CI 04.55.0200 (/)</t>
  </si>
  <si>
    <t>Cobertura em plástico Night and Day ou similar, liso, translúcido, branco, largura de 1,45m.  Fornecimento e colocação.(desonerado)</t>
  </si>
  <si>
    <t>CI 04.55.0220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</si>
  <si>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colocação.(desonerado)</t>
  </si>
  <si>
    <t>CI 04.55.0223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</si>
  <si>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colocação.(desonerado)</t>
  </si>
  <si>
    <t>CI 04.55.0250 (/)</t>
  </si>
  <si>
    <t>Estrutura em alumínio em clarabóia para chapa de policarbonato.  Fornecimento e colocação.(desonerado)</t>
  </si>
  <si>
    <t>CI 04.60 Calha de PVC Rígido</t>
  </si>
  <si>
    <t>CI 04.60.0050 (A)</t>
  </si>
  <si>
    <t>Calha de beiral, semicircular de PVC rígido, exclusive condutores (vide item CI 05.60.0100).  Fornecimento e colocação.(desonerado)</t>
  </si>
  <si>
    <t>CI 04.60.0100 (/)</t>
  </si>
  <si>
    <t>Condutor para calha de beiral de PVC rígido, inclusive conexões.  Fornecimento e colocação.(desonerado)</t>
  </si>
  <si>
    <t>CI 04.65 Calha de Cobre</t>
  </si>
  <si>
    <t>CI 04.65.0050 (A)</t>
  </si>
  <si>
    <t>Calha de cobre, semicircular, com 25cm de desenvolvimento, inclusive emendas soldadas.  Fornecimento e colocação.(desonerado)</t>
  </si>
  <si>
    <t>CI 04.70 Calha Metálica</t>
  </si>
  <si>
    <t>CI 04.70.0100 (/)</t>
  </si>
  <si>
    <t>Calha de beiral, em chapa galvanizada nº 26, com 25cm de desenvolvimento.  Fornecimento e colocação.(desonerado)</t>
  </si>
  <si>
    <t>CI 04.70.0150 (/)</t>
  </si>
  <si>
    <t>Calha de platibanda ou de rincão, em chapa galvanizada nº 26, com 25cm de desenvolvimento.  Fornecimento e colocação.(desonerado)</t>
  </si>
  <si>
    <t>CI 04.70.0500 (/)</t>
  </si>
  <si>
    <t>Calha de beiral, em chapa galvanizada nº 24, com 75cm de desenvolvimento.  Fornecimento e colocação.(desonerado)</t>
  </si>
  <si>
    <t>CI 04.75 Cobertura em Fiberglass</t>
  </si>
  <si>
    <t>CI 04.75.0100 (/)</t>
  </si>
  <si>
    <t>Cobertura em telhas onduladas translúcidas de Fiber-Glass ou similar, exclusive madeiramento.  Fornecimento e colocação.(desonerado)</t>
  </si>
  <si>
    <t>CI 09.05 Isolamento</t>
  </si>
  <si>
    <t>CI 09.05.0050 (/)</t>
  </si>
  <si>
    <t>Argila expandida com granulometria fina de 2215.  Fornecimento, inclusive transporte.(desonerado)</t>
  </si>
  <si>
    <t>CI 09.05.0053 (/)</t>
  </si>
  <si>
    <t>Argila expandida com granulometria grossa de 3222.  Fornecimento, inclusive transporte.(desonerado)</t>
  </si>
  <si>
    <t>CI 09.05.0100 (A)</t>
  </si>
  <si>
    <t>Chapa de ferro galvanizada nº 11, de 3mm (1/8").  Fornecimento e instalação.(desonerado)</t>
  </si>
  <si>
    <t>CI 09.05.0121 (A)</t>
  </si>
  <si>
    <t>Chapa de ferro galvanizado nº 18.  Fornecimento e instalação.(desonerado)</t>
  </si>
  <si>
    <t>CI 09.05.0150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</si>
  <si>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instalação.(desonerado)</t>
  </si>
  <si>
    <t>CI 09.05.0153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</si>
  <si>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instalação.(desonerado)</t>
  </si>
  <si>
    <t>CI 09.05.0200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</si>
  <si>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instalação.(desonerado)</t>
  </si>
  <si>
    <t>CI 09.05.0250 (/)</t>
  </si>
  <si>
    <t>Subcobertura em fibras contínuas de polietileno de alta densidade, permeável ao vapor e com resistência à passagem de água, inclusive madeiramento para contra-caibros em madeira serrada de (1,50x4,00)cm, Tyvec ou similar.  Fornecimento e instalação.(desonerado)</t>
  </si>
  <si>
    <t>CI 09.05.0300 (A)</t>
  </si>
  <si>
    <t>Tela Sombrit ou similar, com 80% de proteção.  Fornecimento e instalação.(desonerado)</t>
  </si>
  <si>
    <t>CI 14.05 Impermeabilizações</t>
  </si>
  <si>
    <t>CI 14.05.0050 (/)</t>
  </si>
  <si>
    <t>Aplicação de 2 demãos de impermeabilizante por cristalização da Texas, Denver, Reax, Viapol ou similar.(desonerado)</t>
  </si>
  <si>
    <t>CI 14.05.0100 (/)</t>
  </si>
  <si>
    <t>Argamassa de proteção mecânica com espessura de 2cm, no traço 1:3, com colação de tela.(desonerado)</t>
  </si>
  <si>
    <t>CI 14.05.0125 (/)</t>
  </si>
  <si>
    <t>Impermeabilização de terraços, jardineiras, reservatórios, piscinas, coberturas e superfícies metálicas com membrana flexível aderente, de base acrílica, aplicado a frio, em quatro demãos cruzadas, nas cores branca, azul, cinza ou telha, tipo TECRYL-D3 ou similar.(desonerado)</t>
  </si>
  <si>
    <t>CI 14.05.0150 (/)</t>
  </si>
  <si>
    <t>Impermeabilização de terraços, jardineiras e coberturas isoladas com 3 camadas de asfalto oxidado entremeadas por 3 camadas de feltro asfáltico.(desonerado)</t>
  </si>
  <si>
    <t>CI 14.05.0200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</si>
  <si>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2,5cm.(desonerado)</t>
  </si>
  <si>
    <t>CI 14.05.0250 (/)</t>
  </si>
  <si>
    <t>Impermeabilização de terraço com membrana flexível, com terminação em argamassa de cimento e areia no traço 1:5 com 1,5cm de espessura e regularizações da laje com argamassa de cimento e areia no traço 1:3 com espessura média de 4cm, Torodim ou similar 4p.p.(desonerado)</t>
  </si>
  <si>
    <t>CI 14.05.0300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</si>
  <si>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similar.(desonerado)</t>
  </si>
  <si>
    <t>CI 14.05.0350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</si>
  <si>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similar.(desonerado)</t>
  </si>
  <si>
    <t>CI 14.05.0400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</si>
  <si>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1:1.(desonerado)</t>
  </si>
  <si>
    <t>CI 14.05.0450 (A)</t>
  </si>
  <si>
    <t>Impermeabilização de caixa d'água elevada com 2Kg de Denverlit ou similar, 0,15Kg de Denverfix ou similar, 1,50Kg de Denver LP 54 e 1,10m2 de tela de poliéster, inclusive proteção mecânica.(desonerado)</t>
  </si>
  <si>
    <t>CI 14.05.0453 (/)</t>
  </si>
  <si>
    <t>Impermeabilização de caixa d'água subterrânea com 4Kg de Denverlit ou similar, 0,35Kg de Denverfix ou similar, inclusive proteção mecânica.(desonerado)</t>
  </si>
  <si>
    <t>CI 14.05.0500 (A)</t>
  </si>
  <si>
    <t>Impermeabilização de lajes com Hey'di Cryl ou similar, aplicado em 8 demãos e 1 tela de poliéster, sobre 2 demãos de K11-SR misturado ao KZ usados com base diretamente sobre a laje, após limpeza e regularização, exclusive proteção mecânica e térmica.(desonerado)</t>
  </si>
  <si>
    <t>CI 14.05.0550 (/)</t>
  </si>
  <si>
    <t>Impermeabilização de laje com 0,45Kg de Denver Primer ou similar, 3,50Kg de Denverpren ou similar e 1,10m2 de poliéster.  Fornecimento e aplicação, exclusive proteção mecânica.(desonerado)</t>
  </si>
  <si>
    <t>CI 14.05.0600 (/)</t>
  </si>
  <si>
    <t>Impermeabilização de laje de terraço com 0,45Kg de Denver Primer ou similar, 5Kg de Denverpren ou similar e 1,10m2 de poliéster.  Fornecimento e aplicação, exclusive proteção mecânica e térmica.(desonerado)</t>
  </si>
  <si>
    <t>CI 14.05.0650 (/)</t>
  </si>
  <si>
    <t>Impermeabilização de lajes sem proteção mecânica à base de resinas elastoméricas de poliuretano, bicomponente, aplicado e curado a frio, IMP-C (2,2 Kg/m2) da Imperbras ou similar, estruturado com uma camada de bidim (75 g/cm2).(desonerado)</t>
  </si>
  <si>
    <t>CI 14.05.0700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</si>
  <si>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similar.(desonerado)</t>
  </si>
  <si>
    <t>CI 14.05.0750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</si>
  <si>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asfáltica.(desonerado)</t>
  </si>
  <si>
    <t>CI 14.05.0800 (/)</t>
  </si>
  <si>
    <t>Pintura asfáltica (uma demão com 200g/m2), para superfícies lisas de marquizes, banheiros e demais superfícies de pequenas dimensões.  Igol 2 ou similar.  Fornecimento e aplicação.(desonerado)</t>
  </si>
  <si>
    <t>CI 14.05.0850 (B)</t>
  </si>
  <si>
    <t>Plaqueamento in situ para cobertura de impermeabilização com placas 60x60x2,5cm fundidas e revestidas com argamassa de cimento e areia no traço 1:3 juntas espaçadas de 2,5cm tomadas com mastique de hibroasfalto, cimento e areia no traço 1:3.(desonerado)</t>
  </si>
  <si>
    <t>CI 14.05.0900 (/)</t>
  </si>
  <si>
    <t>Revestimento formulado a partir de resinas de poliuretano protetivo sobre impermeabilização elastomérica, acabamento semi-brilho, resistente à abrasão, Top-Coat da Imperbras ou similar.(desonerado)</t>
  </si>
  <si>
    <t>CI 14.05.0950 (/)</t>
  </si>
  <si>
    <t>Selante de silicone de cura neutra, a prova d'água, com comportamento de borracha numa variação de temperatura de 0° a 100° C.  Com preenchimento de (1,5x1,5)cm na interseção da manta com o teto da caixa d'água, Silastic 790 da Dow Corning ou similar.(desonerado)</t>
  </si>
  <si>
    <t>CI 19.05 Itens de Reforma</t>
  </si>
  <si>
    <t>CI 19.05.0050 (A)</t>
  </si>
  <si>
    <t>Retirada e recolocação de telhas do tipo colonial, inclusive cumeeira e respectiva argamassa, exclusive o fornecimento do material novo.  Medida pela área coberta em projeção.(desonerado)</t>
  </si>
  <si>
    <t>CI 19.05.0100 (/)</t>
  </si>
  <si>
    <t>Retirada e recolocação de telhas francesas, inclusive cumeeira excluindo o fornecimento do material novo.  Medida pela área coberta em projeção.(desonerado)</t>
  </si>
  <si>
    <t>CI 19.05.0150 (/)</t>
  </si>
  <si>
    <t>Retirada e recolocação de telhas em fibro-cimento, ondulado, tipo convencional, inclusive cumeeira, medida pela área coberta em projeção.(desonerado)</t>
  </si>
  <si>
    <t>CI 19.05.0200 (/)</t>
  </si>
  <si>
    <t>Retirada e recolocação de telha em fibro-cimento do tipo Max-calha ou calha 43 ou 49 ou similar, inclusive cumeeira, medida pela área coberta em projeção.(desonerado)</t>
  </si>
  <si>
    <t>CI 19.05.0250 (/)</t>
  </si>
  <si>
    <t>Retirada e recolocação de telha em fibro-cimento do tipo canalete 90 ou similar, inclusive cumeeira, medida pela área coberta em projeção.(desonerado)</t>
  </si>
  <si>
    <t>CO 04.05 Andaimes, Plataformas, Escadas e Torres de Madeira</t>
  </si>
  <si>
    <t>CO 04.05.0050 (A)</t>
  </si>
  <si>
    <t>Andaime de madeira, para altura até 7m, compreendendo montagem e desmontagem, já considerando o reaproveitamento 3 vezes da madeira.(desonerado)</t>
  </si>
  <si>
    <t>CO 04.05.0100 (A)</t>
  </si>
  <si>
    <t>Andaime de madeira, para altura entre 7m e 14m, compreendendo montagem e desmontagem, já considerando o reaproveitamento 3 vezes da madeira.(desonerado)</t>
  </si>
  <si>
    <t>CO 04.05.0150 (A)</t>
  </si>
  <si>
    <t>Andaime de madeira, tabuado, sobre cavaletes, para pé direito até 4m, já considerando o reaproveitamento 20 vezes da madeira.  Inclusive movimentação.(desonerado)</t>
  </si>
  <si>
    <t>CO 04.05.0200 (A)</t>
  </si>
  <si>
    <t>Andaime de madeira, tabuado, sobre cavaletes (inclusive estes), com aproveitamento da madeira 20 vezes, inclusive movimentação para pé direito de 4m.(desonerado)</t>
  </si>
  <si>
    <t>CO 04.05.0250 (/)</t>
  </si>
  <si>
    <t>Andaime suspenso de madeira pendente da estrutura por cabos de aço de 3/8", utilização das tábuas 3 vezes, toras e cabos 6 vezes, montagem e desmontagem 1 vez, inclusive plataforma de madeira serrada, e perfuração de laje de concreto, montagem e desmontagem 1 vez.(desonerado)</t>
  </si>
  <si>
    <t>CO 04.05.0300 (/)</t>
  </si>
  <si>
    <t>Escada de madeira executada sobre terreno inclinado, com 80cm de largura mínima, com reaproveitamento da madeira uma vez, compreendo montagem e desmontagem.(desonerado)</t>
  </si>
  <si>
    <t>CO 04.05.0350 (B)</t>
  </si>
  <si>
    <t>Plano inclinado para transporte de materiais diversos encosta acima, com largura de 1,50m e caçamba 1m3, incluindo todos os materiais para sua instalação, exclusive aluguel de guincho.(desonerado)</t>
  </si>
  <si>
    <t>CO 04.05.0400 (A)</t>
  </si>
  <si>
    <t>Plataforma de madeira apoiada sobre suporte, compreendendo montagem e desmontagem, já considerando o reaproveitamento 20 vezes da madeira.(desonerado)</t>
  </si>
  <si>
    <t>CO 04.05.0450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</si>
  <si>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Janeiro.(desonerado)</t>
  </si>
  <si>
    <t>CO 04.05.0500 (A)</t>
  </si>
  <si>
    <t>Plataforma ou passarela de madeira, (2,5 x 30)cm, considerando-se o aproveitamento da madeira 10 vezes, exclusive andaime ou outro suporte e movimentação (vide item CO 05.15.0300).(desonerado)</t>
  </si>
  <si>
    <t>CO 04.05.0550 (A)</t>
  </si>
  <si>
    <t>Plataforma ou passarela de madeira, (2,5 x 30)cm, considerando-se o aproveitamento da madeira 20 vezes, exclusive andaime e movimentação (vide item CO 05.15.0300).(desonerado)</t>
  </si>
  <si>
    <t>CO 04.05.0600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</si>
  <si>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lajes.(desonerado)</t>
  </si>
  <si>
    <t>CO 04.05.0650 (A)</t>
  </si>
  <si>
    <t>Tela para proteção de fachada, Sampa ou similar, malha de (3x3)mm, na cor azul, larguras de 1,50m ou 2,85m, 100% polipropileno.  Fornecimento e assentamento.(desonerado)</t>
  </si>
  <si>
    <t>CO 04.05.0700 (/)</t>
  </si>
  <si>
    <t>Torre para guincho, com prumos de madeira serrada, prancha de (1,50x1,60)m, inclusive fornecimento do cabo, montagem e desmontagem de torre e do guincho, exclusive fornecimento do guincho.(desonerado)</t>
  </si>
  <si>
    <t>CO 04.10 Aluguel de Andaimes Metálicos., Elevadores e Teleféricos de Obra</t>
  </si>
  <si>
    <t>CO 04.10.0050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</si>
  <si>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05.15.0100).(desonerado)</t>
  </si>
  <si>
    <t>CO 04.10.0100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</si>
  <si>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05.15.0100).(desonerado)</t>
  </si>
  <si>
    <t>CO 04.10.0150 (/)</t>
  </si>
  <si>
    <t>Aluguel de andaime tubular, para altura de até 4m; exclusive mão-de-obra de montagem e desmontagem e transporte.(desonerado)</t>
  </si>
  <si>
    <t>CO 04.10.0200 (/)</t>
  </si>
  <si>
    <t>Aluguel de andaime tubular, para altura de até 15m; exclusive mão-de-obra de montagem e desmontagem, inclusive transporte.(desonerado)</t>
  </si>
  <si>
    <t>CO 04.10.0250 (/)</t>
  </si>
  <si>
    <t>Aluguel de andaime tubular, para altura de 16m até 20m; exclusive mão-de-obra de montagem e desmontagem, inclusive transporte.(desonerado)</t>
  </si>
  <si>
    <t>CO 04.10.0300 (/)</t>
  </si>
  <si>
    <t>Aluguel de andaime tubular, para altura de 21m até 50m; exclusive mão-de-obra de montagem e desmontagem, inclusive transporte.(desonerado)</t>
  </si>
  <si>
    <t>CO 04.10.0350 (/)</t>
  </si>
  <si>
    <t>Aluguel de torre-andaime tubular sobre rodízios com largura e profundidade de 1,50m e 10,50m de altura, exclusive transporte dos elementos da torre, plataforma ou passarela  de Pinho ou similar (vide item CO 05.05.0350).  Montagem e desmontagem (vide item CO 05.15.0100).(desonerado)</t>
  </si>
  <si>
    <t>CO 04.10.0400 (A)</t>
  </si>
  <si>
    <t>Aluguel de elevador para obra, de elementos tubulares, para transporte vertical de materiais em cabine aberta, inclusive esta, guincho de 10CV, plataforma e cabos de 16m de altura, exclusive: transporte dos elementos até a obra.  Inclusive montagem e desmontagem.(desonerado)</t>
  </si>
  <si>
    <t>CO 04.10.0450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</si>
  <si>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elevador.(desonerado)</t>
  </si>
  <si>
    <t>CO 04.10.0475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</si>
  <si>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equipamento.(desonerado)</t>
  </si>
  <si>
    <t>CO 04.10.0500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</si>
  <si>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05.15.0150).(desonerado)</t>
  </si>
  <si>
    <t>CO 04.10.0550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</si>
  <si>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05.15.0300).(desonerado)</t>
  </si>
  <si>
    <t>CO 04.10.0600 (A)</t>
  </si>
  <si>
    <t>Teleférico de obra para transporte de materiais diversos encosta acima, incluindo todos os materiais para sua instalação, exclusive aluguel guincho, talha manual e montagem e desmontagem.(desonerado)</t>
  </si>
  <si>
    <t>CO 04.15 Montagem, Desmontagem, Remontagem e Movimentação Vertical de Andaimes</t>
  </si>
  <si>
    <t>CO 04.15.0050 (/)</t>
  </si>
  <si>
    <t>Montagem e desmontagem de andaime tubular.(desonerado)</t>
  </si>
  <si>
    <t>CO 04.15.0100 (/)</t>
  </si>
  <si>
    <t>Montagem e desmontagem de andaime tubular, considerando-se a área vertical recoberta.(desonerado)</t>
  </si>
  <si>
    <t>CO 04.15.0150 (/)</t>
  </si>
  <si>
    <t>Montagem e desmontagem de andaime suspenso, considerando-se a extensão horizontal das fachadas e/ou empenas.(desonerado)</t>
  </si>
  <si>
    <t>CO 04.15.0200 (/)</t>
  </si>
  <si>
    <t>Desmontagem e remontagem de andaimes suspensos pendentes da estrutura.(desonerado)</t>
  </si>
  <si>
    <t>CO 04.15.0250 (/)</t>
  </si>
  <si>
    <t>Movimentação vertical de andaime suspenso, considerando-se uma vez a área trabalhada, em projeção vertical.(desonerado)</t>
  </si>
  <si>
    <t>CO 04.15.0300 (/)</t>
  </si>
  <si>
    <t>Movimentação vertical ou horizontal de plataforma ou passarela.(desonerado)</t>
  </si>
  <si>
    <t>CO 04.20 Montagem e Desmontagem de Elevadores de Obras</t>
  </si>
  <si>
    <t>CO 04.20.0050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</si>
  <si>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altura.(desonerado)</t>
  </si>
  <si>
    <t>CO 09.05 Equipamentos Auxiliares Diversos</t>
  </si>
  <si>
    <t>CO 09.05.0050 (/)</t>
  </si>
  <si>
    <t>Montagem ou desmontagem de andaime tipo flutuante, com plataforma.(desonerado)</t>
  </si>
  <si>
    <t>DR 04.05 Tampão de Ferro Fundido</t>
  </si>
  <si>
    <t>DR 04.05.0050 (/)</t>
  </si>
  <si>
    <t>Tampão de ferro fundido, tipo quadrado até (25x25)cm, assentado com argamassa de cimento e areia no traço 1:4 em volume, exclusive o tampão.  Assentamento.(desonerado)</t>
  </si>
  <si>
    <t>DR 04.05.0100 (/)</t>
  </si>
  <si>
    <t>Tampão de ferro fundido, tipo quadrado de (50x50)cm até (1x1)m, assentamento com argamassa de cimento e areia no traço 1:4 em volume, exclusive o tampão.(desonerado)</t>
  </si>
  <si>
    <t>DR 04.05.0150 (/)</t>
  </si>
  <si>
    <t>DR 04.05.0200 (/)</t>
  </si>
  <si>
    <t>Tampão de ferro fundido, circular, de 0,60m de diâmetro, pesando 175Kg, assentado com argamassa de cimento e areia no traço 1:4 em volume, exclusive o tampão.  Assentamento.(desonerado)</t>
  </si>
  <si>
    <t>DR 04.10 Calhas de Concreto Vibrado</t>
  </si>
  <si>
    <t>DR 04.10.0050 (/)</t>
  </si>
  <si>
    <t>Calhas meio-tubo circulares de concreto vibrado, diâmetro interno de 0,30m.  Fornecimento e assentamento.(desonerado)</t>
  </si>
  <si>
    <t>DR 04.10.0100 (/)</t>
  </si>
  <si>
    <t>Calhas meio-tubo circulares de concreto vibrado, diâmetro interno de 0,40m.  Fornecimento e assentamento.(desonerado)</t>
  </si>
  <si>
    <t>DR 04.10.0200 (/)</t>
  </si>
  <si>
    <t>Calhas meio-tubo circulares de concreto vibrado, diâmetro interno de 0,60m.  Fornecimento e assentamento.(desonerado)</t>
  </si>
  <si>
    <t>DR 04.15 Tubo de Concreto Classe PS-1 - Águas Pluviais</t>
  </si>
  <si>
    <t>DR 04.15.0050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</si>
  <si>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assentamento.(desonerado)</t>
  </si>
  <si>
    <t>DR 04.15.0100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</si>
  <si>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assentamento.(desonerado)</t>
  </si>
  <si>
    <t>DR 04.15.0150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</si>
  <si>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assentamento.(desonerado)</t>
  </si>
  <si>
    <t>DR 04.15.0200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</si>
  <si>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assentamento.(desonerado)</t>
  </si>
  <si>
    <t>DR 04.20 Tubo de Concreto Classe PA-1 - Águas Pluviais</t>
  </si>
  <si>
    <t>DR 04.20.0050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</si>
  <si>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assentamento.(desonerado)</t>
  </si>
  <si>
    <t>DR 04.20.0100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</si>
  <si>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assentamento.(desonerado)</t>
  </si>
  <si>
    <t>DR 04.20.0150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</si>
  <si>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assentamento.(desonerado)</t>
  </si>
  <si>
    <t>DR 04.20.0200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</si>
  <si>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assentamento.(desonerado)</t>
  </si>
  <si>
    <t>DR 04.20.0250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</si>
  <si>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assentamento.(desonerado)</t>
  </si>
  <si>
    <t>DR 04.20.0300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</si>
  <si>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assentamento.(desonerado)</t>
  </si>
  <si>
    <t>DR 04.20.0350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</si>
  <si>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assentamento.(desonerado)</t>
  </si>
  <si>
    <t>DR 04.20.0400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</si>
  <si>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assentamento.(desonerado)</t>
  </si>
  <si>
    <t>DR 04.20.0450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</si>
  <si>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assentamento.(desonerado)</t>
  </si>
  <si>
    <t>DR 04.20.0500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</si>
  <si>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assentamento.(desonerado)</t>
  </si>
  <si>
    <t>DR 04.20.0550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</si>
  <si>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assentamento.(desonerado)</t>
  </si>
  <si>
    <t>DR 04.25 Tubo de Concreto Classe PA-2 - Águas Pluviais</t>
  </si>
  <si>
    <t>DR 04.25.0050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</si>
  <si>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assentamento.(desonerado)</t>
  </si>
  <si>
    <t>DR 04.25.0100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</si>
  <si>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assentamento.(desonerado)</t>
  </si>
  <si>
    <t>DR 04.25.0150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</si>
  <si>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assentamento.(desonerado)</t>
  </si>
  <si>
    <t>DR 04.25.0170 (/)</t>
  </si>
  <si>
    <t>DR 04.25.0180 (/)</t>
  </si>
  <si>
    <t>DR 04.25.0190 (/)</t>
  </si>
  <si>
    <t>DR 04.25.0200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</si>
  <si>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assentamento.(desonerado)</t>
  </si>
  <si>
    <t>DR 04.25.0250 (/)</t>
  </si>
  <si>
    <t>DR 04.25.0300 (/)</t>
  </si>
  <si>
    <t>DR 04.25.0350 (/)</t>
  </si>
  <si>
    <t>DR 04.27 Tubo de Concreto Armado, Classe EA2, Esgoto Sanitário</t>
  </si>
  <si>
    <t>DR 04.27.0300 (/)</t>
  </si>
  <si>
    <t>Tubo de concreto armado com junta elástica, classe EA-2, para coletor de esgoto sanitário, com diâmetro de 0,30m, aterro e compactação até a geratriz superior do tubo.  Fornecimento e assentamento.(desonerado)</t>
  </si>
  <si>
    <t>DR 04.27.0400 (/)</t>
  </si>
  <si>
    <t>Tubo de concreto armado com junta elástica, classe EA-2, para coletor de esgoto sanitário, com diâmetro de 0,40m, aterro e compactação até a geratriz superior do tubo.  Fornecimento e assentamento.(desonerado)</t>
  </si>
  <si>
    <t>DR 04.27.0500 (/)</t>
  </si>
  <si>
    <t>Tubo de concreto armado com junta elástica, classe EA-2, para coletor de esgoto sanitário, com diâmetro de 0,50m, aterro e compactação até a geratriz superior do tubo.  Fornecimento e assentamento.(desonerado)</t>
  </si>
  <si>
    <t>DR 04.27.0600 (/)</t>
  </si>
  <si>
    <t>Tubo de concreto armado com junta elástica, classe EA-2, para coletor de esgoto sanitário, com diâmetro de 0,60m, aterro e compactação até a geratriz superior do tubo.  Fornecimento e assentamento.(desonerado)</t>
  </si>
  <si>
    <t>DR 04.27.0700 (/)</t>
  </si>
  <si>
    <t>Tubo de concreto armado com junta elástica, classe EA2,  para coletor de esgoto sanitário, com diâmetro de 0,70m, aterro e compactação até a geratriz superior do tubo.  Fornecimento e assentamento.(desonerado)</t>
  </si>
  <si>
    <t>DR 04.27.0901 (/)</t>
  </si>
  <si>
    <t>Tubo de concreto armado com junta elástica, classe EA-2, para coletor de esgoto sanitário, com diâmetro de 0,90m, aterro e compactação até a geratriz superior do tubo.  Fornecimento e assentamento.(desonerado)</t>
  </si>
  <si>
    <t>DR 04.30 Manilhas Cerâmicas Rejuntadas com Argamassa</t>
  </si>
  <si>
    <t>DR 04.30.0050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</si>
  <si>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assentamento.(desonerado)</t>
  </si>
  <si>
    <t>DR 04.30.0100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</si>
  <si>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assentamento.(desonerado)</t>
  </si>
  <si>
    <t>DR 04.30.0150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</si>
  <si>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assentamento.(desonerado)</t>
  </si>
  <si>
    <t>DR 04.30.0200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</si>
  <si>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assentamento.(desonerado)</t>
  </si>
  <si>
    <t>DR 04.30.0250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</si>
  <si>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assentamento.(desonerado)</t>
  </si>
  <si>
    <t>DR 04.35 Conexões de Cerâmica</t>
  </si>
  <si>
    <t>DR 04.35.0050 (/)</t>
  </si>
  <si>
    <t>Curva cerâmica de 45° ou 90° de cerâmica, vibrada internamente, para esgoto, com diâmetro de 0,15m, inclusive fornecimento do material para rejuntamento com argamassa de cimento e areia no traço 1:4.  Fornecimento e assentamento.(desonerado)</t>
  </si>
  <si>
    <t>DR 04.35.0100 (/)</t>
  </si>
  <si>
    <t>Junção de 45° ou 90° de cerâmica, vibrada internamente, para esgoto, com diâmetro de 0,15m, inclusive fornecimento do material para rejuntamento com argamassa de cimento e areia no traço 1:4.  Fornecimento e assentamento.(desonerado)</t>
  </si>
  <si>
    <t>DR 04.35.0150 (/)</t>
  </si>
  <si>
    <t>Junção de 45° ou 90°, vibrada internamente, para esgoto, com diâmetro de 0,20m, inclusive fornecimento do material para rejuntamento com argamassa de cimento e areia no traço 1:4. Fornecimento e assentamento.(desonerado)</t>
  </si>
  <si>
    <t>DR 04.40 Tubo de PVC Rígido para Esgotos Sanitários</t>
  </si>
  <si>
    <t>DR 04.40.0050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</si>
  <si>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assentamento.(desonerado)</t>
  </si>
  <si>
    <t>DR 04.40.0100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</si>
  <si>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assentamento.(desonerado)</t>
  </si>
  <si>
    <t>DR 04.40.0150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</si>
  <si>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assentamento.(desonerado)</t>
  </si>
  <si>
    <t>DR 04.40.0200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</si>
  <si>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assentamento.(desonerado)</t>
  </si>
  <si>
    <t>DR 04.40.0250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</si>
  <si>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assentamento.(desonerado)</t>
  </si>
  <si>
    <t>DR 04.41 Tubulações em PEAD Dupla Parede para Esgotos Sanitários</t>
  </si>
  <si>
    <t>DR 04.41.0100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</si>
  <si>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colocação.(desonerado)</t>
  </si>
  <si>
    <t>DR 04.41.0150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</si>
  <si>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colocação.(desonerado)</t>
  </si>
  <si>
    <t>DR 04.45 Tubos de PVC rígido para adução e distribuição de àgua</t>
  </si>
  <si>
    <t>DR 04.45.0050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</si>
  <si>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assentamento.(desonerado)</t>
  </si>
  <si>
    <t>DR 04.45.0053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</si>
  <si>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assentamento.(desonerado)</t>
  </si>
  <si>
    <t>DR 04.45.0056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</si>
  <si>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assentamento.(desonerado)</t>
  </si>
  <si>
    <t>DR 04.45.0100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</si>
  <si>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assentamento.(desonerado)</t>
  </si>
  <si>
    <t>DR 04.45.0103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</si>
  <si>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assentamento.(desonerado)</t>
  </si>
  <si>
    <t>DR 04.45.0106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</si>
  <si>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assentamento.(desonerado)</t>
  </si>
  <si>
    <t>DR 04.45.0150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</si>
  <si>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assentamento.(desonerado)</t>
  </si>
  <si>
    <t>DR 04.45.0153 (/)</t>
  </si>
  <si>
    <t>Tubo de PVC rígido - PBA, classe 20, para adução e distibuição de águas, com diâmetro nominal de 75mm, compreendendo carga e descarga, colocação na vala, montagem e reaterro até a geratriz superior do tubo, inclusive anel de borracha.  Fornecimento e assentamento.(desonerado)</t>
  </si>
  <si>
    <t>DR 04.45.0156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</si>
  <si>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assentamento.(desonerado)</t>
  </si>
  <si>
    <t>DR 04.45.0200 (A)</t>
  </si>
  <si>
    <t>Tubo de PVC rígido - DEFoFo, para adução e distribuição de águas, com diâmetro nominal de 100mm, compreendendo carga e descarga, colocação na vala, montagem e reaterro até a geratriz superior do tubo, inclusive anel de borracha.  Fornecimento e assentamento.(desonerado)</t>
  </si>
  <si>
    <t>DR 04.45.0203 (A)</t>
  </si>
  <si>
    <t>Tubo de PVC rígido - DEFoFo, para adução e distribuição de águas, com diâmetro nominal de 150mm, compreendendo carga e descarga, colocação na vala, montagem e reaterro até a geratriz superior do tubo, inclusive anel de borracha.  Fornecimento e assentamento.(desonerado)</t>
  </si>
  <si>
    <t>DR 04.45.0206 (A)</t>
  </si>
  <si>
    <t>Tubo de PVC rígido - DEFoFo, para adução e distribuição de águas, com diâmetro nominal de 200mm, compreendendo carga e descarga, colocação na vala, montagem e reaterro até a geratriz superior do tubo, inclusive  anel de borracha.  Fornecimento e assentamento.(desonerado)</t>
  </si>
  <si>
    <t>DR 04.45.0209 (A)</t>
  </si>
  <si>
    <t>Tubo de PVC rígido - DEFoFo, para adução e distribuição de águas, com diâmetro nominal de 250mm, compreendendo carga e descarga, colocação na vala, montagem e reaterro até a geratriz superior do tubo, inclusive anel de borracha.  Fornecimento e assentamento.(desonerado)</t>
  </si>
  <si>
    <t>DR 04.45.0212 (A)</t>
  </si>
  <si>
    <t>Tubo de PVC rígido - DEFoFo, para adução e distribuição de águas, com diâmetro nominal de 300mm, compreendendo carga e descarga, colocação na vala, montagem e reaterro até a geratriz superior do tubo, inclusive anel de borracha.  Fornecimento e assentamento.(desonerado)</t>
  </si>
  <si>
    <t>DR 04.50 Conexões e Acessórios de Tubo de PVC Rígido</t>
  </si>
  <si>
    <t>DR 04.50.0050 (/)</t>
  </si>
  <si>
    <t>Adaptador de PVC rígido - PBA com 1 bolsa e rosca, classe 12, inclusive fornecimento do material para junta (anel de borracha e lubrificante) com diâmetro de 50mm.  Fornecimento e assentamento.(desonerado)</t>
  </si>
  <si>
    <t>DR 04.50.0053 (/)</t>
  </si>
  <si>
    <t>Adaptador de PVC rígido - PBA com 1 bolsa e rosca, classe 12, inclusive fornecimento do material para junta (anel de borracha e lubrificante) com diâmetro de 75mm.  Fornecimento e assentamento.(desonerado)</t>
  </si>
  <si>
    <t>DR 04.50.0056 (/)</t>
  </si>
  <si>
    <t>Adaptador de PVC rígido - PBA com 1 bolsa e rosca, classe 12, inclusive fornecimento do material para junta (anel de borracha e lubrificante) com diâmetro de 100mm.  Fornecimento e assentamento.(desonerado)</t>
  </si>
  <si>
    <t>DR 04.50.0100 (/)</t>
  </si>
  <si>
    <t>Adaptador de PVC rígido - PBA com 1 bolsa e rosca, classe 12, diâmetro de 50mm.  Fornecimento e assentamento.(desonerado)</t>
  </si>
  <si>
    <t>DR 04.50.0103 (/)</t>
  </si>
  <si>
    <t>Adaptador de PVC rígido - PBA com 1 bolsa e rosca, classe 12, diâmetro de 75mm.  Fornecimento e assentamento.(desonerado)</t>
  </si>
  <si>
    <t>DR 04.50.0150 (/)</t>
  </si>
  <si>
    <t>Adaptador de PVC rígido - PBA à  bolsa de ferro fundido junta elástica com 1 ponta e 1 bolsa, classe 12, diâmetro de 50mm.  Fornecimento e assentamento.(desonerado)</t>
  </si>
  <si>
    <t>DR 04.50.0153 (/)</t>
  </si>
  <si>
    <t>Adaptador de PVC rígido - PBA à  bolsa de ferro fundido junta elástica com 1 ponta e 1 bolsa, classe 12, diâmetro de 75mm.  Fornecimento e assentamento.(desonerado)</t>
  </si>
  <si>
    <t>DR 04.50.0156 (/)</t>
  </si>
  <si>
    <t>Adaptador de PVC rígido - PBA à  bolsa de ferro fundido junta elástica com 1 ponta e 1 bolsa, classe 12, diâmetro de 100mm.  Fornecimento e assentamento.(desonerado)</t>
  </si>
  <si>
    <t>DR 04.50.0200 (/)</t>
  </si>
  <si>
    <t>Adaptador de PVC rígido, Vinilfort, com 1 ponta e 1 bolsa, para tubo cerâmico, diâmetro de (100x100)mm.  Fornecimento e assentamento.(desonerado)</t>
  </si>
  <si>
    <t>DR 04.50.0250 (/)</t>
  </si>
  <si>
    <t>Cap de PVC rígido - PBA com 1 bolsa, classe 12, diâmetro de 50mm.  Fornecimento e assentamento.(desonerado)</t>
  </si>
  <si>
    <t>DR 04.50.0253 (/)</t>
  </si>
  <si>
    <t>Cap de PVC rígido - PBA com 1 bolsa, classe 12, diâmetro de 75mm.  Fornecimento e assentamento.(desonerado)</t>
  </si>
  <si>
    <t>DR 04.50.0256 (/)</t>
  </si>
  <si>
    <t>Cap de PVC rígido - PBA com 1 bolsa, classe 12, diâmetro de 100mm.  Fornecimento e assentamento.(desonerado)</t>
  </si>
  <si>
    <t>DR 04.50.0300 (/)</t>
  </si>
  <si>
    <t>Curva de 22° 30' de  PVC rígido - PBA com 1 ponta e 1 bolsa, classe 12, diâmetro de 50mm. Fornecimento e assentamento.(desonerado)</t>
  </si>
  <si>
    <t>DR 04.50.0303 (/)</t>
  </si>
  <si>
    <t>Curva de 22°30' de  PVC rígido - PBA com 1 ponta e 1 bolsa, classe 12, diâmetro de 75mm.  Fornecimento e assentamento.(desonerado)</t>
  </si>
  <si>
    <t>DR 04.50.0306 (/)</t>
  </si>
  <si>
    <t>Curva de 22°30' de  PVC rígido - PBA com 1 ponta e 1 bolsa, classe 12, diâmetro de 100mm.  Fornecimento e assentamento.(desonerado)</t>
  </si>
  <si>
    <t>DR 04.50.0350 (/)</t>
  </si>
  <si>
    <t>Curva de 45° de PVC rígido - PBA com 1 ponta e 1 bolsa, classe 12, inclusive fornecimento do material para junta (anel de borracha e lubrificante) diâmetro de 50mm.  Fornecimento e assentamento.(desonerado)</t>
  </si>
  <si>
    <t>DR 04.50.0353 (/)</t>
  </si>
  <si>
    <t>Curva de 45° de PVC rígido - PBA com 1 ponta e 1 bolsa, classe 12, inclusive fornecimento do material para junta (anel de borracha e lubrificante) diâmetro de 75mm.  Fornecimento e assentamento.(desonerado)</t>
  </si>
  <si>
    <t>DR 04.50.0356 (/)</t>
  </si>
  <si>
    <t>Curva de 45° de PVC rígido - PBA com 1 ponta e 1 bolsa, classe 12, inclusive fornecimento do material para junta (anel de borracha e lubrificante) diâmetro de 100mm.  Fornecimento e assentamento.(desonerado)</t>
  </si>
  <si>
    <t>DR 04.50.0359 (/)</t>
  </si>
  <si>
    <t>Curva de 45° de PVC rígido - PBA com 1 ponta e 1 bolsa, classe 12, diâmetro de 160mm, inclusive fornecimento do material para junta (anel de borracha elubrificante).  Fornecimento e assentamento.(desonerado)</t>
  </si>
  <si>
    <t>DR 04.50.0400 (/)</t>
  </si>
  <si>
    <t>Curva longa de 45° de PVC rígido, Vinilfort, com 1 ponta e 1 bolsa, inclusive fornecimento do material para junta (anel de borracha e lubrificante) diâmetro de 100mm.  Fornecimento e assentamento.(desonerado)</t>
  </si>
  <si>
    <t>DR 04.50.0403 (/)</t>
  </si>
  <si>
    <t>Curva curta de 45° de PVC rígido, Vinilfort, com 1 ponta e 1 bolsa, inclusive fornecimento do material para junta (anel de borracha e lubrificante) diâmetro de 100mm.  Fornecimento e assentamento.(desonerado)</t>
  </si>
  <si>
    <t>DR 04.50.0406 (/)</t>
  </si>
  <si>
    <t>Curva de 45° de PVC rígido, Vinilfort, com 1 ponta e 1 bolsa, inclusive fornecimento do material para junta (anel de borracha e lubrificante) diâmetro de 150mm.  Fornecimento e assentamento.(desonerado)</t>
  </si>
  <si>
    <t>DR 04.50.0409 (/)</t>
  </si>
  <si>
    <t>Curva de 45° de PVC rígido, Vinilfort, com 1 ponta e 1 bolsa, inclusive fornecimento do material para junta (anel de borracha e lubrificante) diâmetro de 200mm.  Fornecimento e assentamento.(desonerado)</t>
  </si>
  <si>
    <t>DR 04.50.0412 (/)</t>
  </si>
  <si>
    <t>Curva de 45° de PVC rígido, Vinilfort ou similar, ponta e bolsa, inclusive fornecimento do material para junta (anel de borracha e lubrificante) diâmetro de 250mm.  Fornecimento e assentamento.(desonerado)</t>
  </si>
  <si>
    <t>DR 04.50.0415 (/)</t>
  </si>
  <si>
    <t>Curva de 45° de PVC rígido, Vinilfort, com 1 ponta e 1 bolsa, inclusive fornecimento do material para junta (anel de borracha e lubrificante) diâmetro de 300mm.  Fornecimento e assentamento.(desonerado)</t>
  </si>
  <si>
    <t>DR 04.50.0450 (/)</t>
  </si>
  <si>
    <t>Curva de 90° de PVC rígido - PBA com 1 ponta e 1 bolsa, classe 12, inclusive fornecimento do material para junta (anel de borracha e lubrificante) diâmetro de 50mm.  Fornecimento e assentamento.(desonerado)</t>
  </si>
  <si>
    <t>DR 04.50.0453 (/)</t>
  </si>
  <si>
    <t>Curva de 90º de PVC rígido - PBA com 1 ponta e 1 bolsa, classe 12, inclusive fornecimento do material para junta (anel de borracha e lubrificante) diâmetro de 75mm.  Fornecimento e assentamento.(desonerado)</t>
  </si>
  <si>
    <t>DR 04.50.0456 (/)</t>
  </si>
  <si>
    <t>Curva de 90° de PVC rígido - PBA com 1 ponta e 1 bolsa, classe 12, inclusive fornecimento do material para junta (anel de borracha e lubrificante) diâmetro de 100mm.  Fornecimento e assentamento.(desonerado)</t>
  </si>
  <si>
    <t>DR 04.50.0462 (/)</t>
  </si>
  <si>
    <t>Curva de 90° de PVC rígido - PBA com 1 ponta e 1 bolsa, classe 12, diâmetro de 200mm, inclusive fornecimento do material para junta (anel de borracha elubrificante).  Fornecimento e assentamento.(desonerado)</t>
  </si>
  <si>
    <t>DR 04.50.0500 (/)</t>
  </si>
  <si>
    <t>Curva curta de 90° de PVC rígido, Vinilfort, com 1 ponta e 1 bolsa, inclusive fornecimento do material para junta (anel de borracha e lubrificante) diâmetro de 100mm.  Fornecimento e assentamento.(desonerado)</t>
  </si>
  <si>
    <t>DR 04.50.0550 (/)</t>
  </si>
  <si>
    <t>Curva longa de 90° de PVC rígido, Vinilfort, com 1 ponta e 1 bolsa, inclusive fornecimento do material para junta (lubrificante) diâmetro de 150mm.  Fornecimento e assentamento.(desonerado)</t>
  </si>
  <si>
    <t>DR 04.50.0600 (/)</t>
  </si>
  <si>
    <t>Curva curta de 90° de PVC rígido para esgoto predial com 1 ponta e 1 bolsa, inclusive fornecimento do material para junta (anel de borracha e lubrificante) diâmetro de 100mm.  Fornecimento e assentamento.(desonerado)</t>
  </si>
  <si>
    <t>DR 04.50.0650 (/)</t>
  </si>
  <si>
    <t>Cruzeta de PVC rígido - PBA com 4 bolsas, classe 12, inclusive fornecimento do material para junta (anel de borracha e lubrificante) diâmetro de 75mm.  Fornecimento e assentamento.(desonerado)</t>
  </si>
  <si>
    <t>DR 04.50.0700 (/)</t>
  </si>
  <si>
    <t>Cruzeta de redução de PVC rígido - PBA com 4 bolsas, classe 12, inclusive fornecimento do material para junta (anel de borracha, lubrificante) diâmetro de (75x50)mm.  Fornecimento e assentamento.(desonerado)</t>
  </si>
  <si>
    <t>DR 04.50.0750 (/)</t>
  </si>
  <si>
    <t>Extremidade de PVC rígido - PBA com 1 flange e 1bolsa, classe 12 , inclusive fornecimento do material para junta ( anel e arruela de borracha, parafusos com porca e lubrificante) diâmetro de 50mm.  Fornecimento e assentamento.(desonerado)</t>
  </si>
  <si>
    <t>DR 04.50.0756 (/)</t>
  </si>
  <si>
    <t>Extremidade de PVC rígido - PBA com 1 flange e 1 bolsa, classe 12 , inclusive fornecimento do material para junta (anel e arruela de borracha, parafusos com porca e lubrificante) diâmetro de 75mm.  Fornecimento e assentamento.(desonerado)</t>
  </si>
  <si>
    <t>DR 04.50.0759 (/)</t>
  </si>
  <si>
    <t>Extremidade de PVC rígido - PBA com 1 flange e 1 bolsa, classe 12 , inclusive fornecimento do material para junta (anel e arruela de borracha, parafusos com porca e lubrificante) diâmetro de 100mm.  Fornecimento e assentamento.(desonerado)</t>
  </si>
  <si>
    <t>DR 04.50.0800 (/)</t>
  </si>
  <si>
    <t>Extremidade de PVC rígido - PBA com 1 flange e 1 ponta, classe 12 , inclusive fornecimento do material para junta (arruela de borracha, parafusos com porca) diâmetro de 50mm.  Fornecimento e assentamento.(desonerado)</t>
  </si>
  <si>
    <t>DR 04.50.0803 (/)</t>
  </si>
  <si>
    <t>Extremidade de PVC rígido - PBA com 1 flange e 1 ponta, classe 12 , inclusive fornecimento do material para junta (arruela de borracha, parafusos com porca) diâmetro de 75mm.  Fornecimento e assentamento.(desonerado)</t>
  </si>
  <si>
    <t>DR 04.50.0806 (/)</t>
  </si>
  <si>
    <t>Extremidade de PVC rígido - PBA com 1 flange e 1 ponta, classe 12 , inclusive fornecimento do material para junta (arruela de borracha, parafusos com porca) diâmetro de 100mm.  Fornecimento e assentamento.(desonerado)</t>
  </si>
  <si>
    <t>DR 04.50.0850 (/)</t>
  </si>
  <si>
    <t>Junção de 45° de PVC rígido, PBA com 3 bolsas, classe 12, inclusive fornecimento do material para junta (anel de borracha, lubrificante) diâmetro de 50mm.  Fornecimento e assentamento.(desonerado)</t>
  </si>
  <si>
    <t>DR 04.50.0900 (/)</t>
  </si>
  <si>
    <t>Junção de 45° de PVC rígido, Vinilfort com 3 bolsas, inclusive fornecimento do material para junta (anel de borracha e lubrificante) diâmetro de 100mm.  Fornecimento e assentamento.(desonerado)</t>
  </si>
  <si>
    <t>DR 04.50.0950 (/)</t>
  </si>
  <si>
    <t>Luva simples de PVC rígido - PBA, classe 12, inclusive fornecimento do material para junta (anel de borracha) com diâmetro nominal de 50mm.  Fornecimento e assentamento.(desonerado)</t>
  </si>
  <si>
    <t>DR 04.50.0953 (/)</t>
  </si>
  <si>
    <t>Luva simples de PVC rígido - PBA, classe 12, inclusive fornecimento do material para junta (anel de borracha) com diâmetro nominal de 75mm.  Fornecimento e assentamento.(desonerado)</t>
  </si>
  <si>
    <t>DR 04.50.0956 (/)</t>
  </si>
  <si>
    <t>Luva simples de PVC rígido - PBA, classe 12, inclusive fornecimento do material para junta (anel de borracha) com diâmetro nominal de 100mm.  Fornecimento e assentamento.(desonerado)</t>
  </si>
  <si>
    <t>DR 04.50.1000 (/)</t>
  </si>
  <si>
    <t>Luva de correr de PVC rígido - PBA, classe 12, inclusive fornecimento do material para junta (anel de borracha) com diâmetro nominal de 50mm.  Fornecimento e assentamento.(desonerado)</t>
  </si>
  <si>
    <t>DR 04.50.1003 (/)</t>
  </si>
  <si>
    <t>Luva de correr de PVC rígido - PBA, classe 12, inclusive fornecimento do material para junta (anel de borracha) com diâmetro nominal de 75mm.  Fornecimento e assentamento.(desonerado)</t>
  </si>
  <si>
    <t>DR 04.50.1006 (/)</t>
  </si>
  <si>
    <t>Luva de correr de PVC rígido - PBA, classe 12, inclusive fornecimento do material para junta (anel de borracha) com diâmetro nominal de 100mm.  Fornecimento e assentamento.(desonerado)</t>
  </si>
  <si>
    <t>DR 04.50.1050 (/)</t>
  </si>
  <si>
    <t>Luva de correr de PVC rígido - DEFoFo, Vinilfler, classe 12, inclusive fornecimento do material para junta elástica (anel de borracha) com diâmetro nominal de 100mm.  Fornecimento e assentamento.(desonerado)</t>
  </si>
  <si>
    <t>DR 04.50.1053 (/)</t>
  </si>
  <si>
    <t>Luva de correr de PVC rígido - DEFoFo, Vinilfler, classe 12, inclusive fornecimento do material para junta elástica (anel de borracha) com diâmetro nominal de 150mm.  Fornecimento e assentamento.(desonerado)</t>
  </si>
  <si>
    <t>DR 04.50.1056 (/)</t>
  </si>
  <si>
    <t>Luva de correr de PVC rígido - DEFoFo, Vinilfler, classe 12, inclusive fornecimento do material para junta elástica (anel de borracha) com diâmetro nominal de 200mm.  Fornecimento e assentamento.(desonerado)</t>
  </si>
  <si>
    <t>DR 04.50.1059 (/)</t>
  </si>
  <si>
    <t>Luva de correr de PVC rígido - DEFoFo, Vinilfler, classe 12, inclusive fornecimento do material para junta elástica (anel de borracha) com diâmetro nominal de 250mm.  Fornecimento e assentamento.(desonerado)</t>
  </si>
  <si>
    <t>DR 04.50.1062 (/)</t>
  </si>
  <si>
    <t>Luva de correr de PVC rígido - DEFoFo, Vinilfler, classe 12, inclusive fornecimento do material para junta elástica (anel de borracha) com diâmetro nominal de 300mm.  Fornecimento e assentamento.(desonerado)</t>
  </si>
  <si>
    <t>DR 04.50.1100 (/)</t>
  </si>
  <si>
    <t>Luva de correr de PVC rígido, Vinilfort, classe 12, inclusive fornecimento do material para junta (anel de borracha) com diâmetro nominal de 100mm.  Fornecimento e assentamento.(desonerado)</t>
  </si>
  <si>
    <t>DR 04.50.1103 (/)</t>
  </si>
  <si>
    <t>Luva de correr de PVC rígido, Vinilfort, classe 12, inclusive fornecimento do material para junta (anel de borracha) com diâmetro nominal de 150mm.  Fornecimento e assentamento.(desonerado)</t>
  </si>
  <si>
    <t>DR 04.50.1106 (/)</t>
  </si>
  <si>
    <t>Luva de correr de PVC rígido, Vinilfort, classe 12, inclusive fornecimento do material para junta (anel de borracha) com diâmetro nominal de 200mm.  Fornecimento e assentamento.(desonerado)</t>
  </si>
  <si>
    <t>DR 04.50.1109 (/)</t>
  </si>
  <si>
    <t>Luva de correr de PVC rígido, Vinilfort, classe 12, inclusive fornecimento do material para junta (anel de borracha) com diâmetro nominal de 250mm.  Fornecimento e assentamento.(desonerado)</t>
  </si>
  <si>
    <t>DR 04.50.1112 (/)</t>
  </si>
  <si>
    <t>Luva de correr de PVC rígido, Vinilfort, classe 12, inclusive fornecimento do material para junta (anel de borracha) com diâmetro nominal de 300mm.  Fornecimento e assentamento.(desonerado)</t>
  </si>
  <si>
    <t>DR 04.50.1150 (/)</t>
  </si>
  <si>
    <t>Redução de PVC rígido - PBA com 1 ponta e 1 bolsa, classe 12, inclusive fornecimento do material para junta (anel de borracha, lubrificante) diâmetro de (75x50)mm.  Fornecimento e assentamento.(desonerado)</t>
  </si>
  <si>
    <t>DR 04.50.1200 (/)</t>
  </si>
  <si>
    <t>Redução de PVC rígido - PBA com 1 ponta e 1 bolsa, classe 12, inclusive fornecimento do material para junta (anel de borracha, lubrificante) diâmetro de (100x50)mm.  Fornecimento e assentamento.(desonerado)</t>
  </si>
  <si>
    <t>DR 04.50.1203 (/)</t>
  </si>
  <si>
    <t>Redução de PVC rígido - PBA com 1 ponta e 1 bolsa, classe 12, inclusive fornecimento do material para junta (anel de borracha, lubrificante) diâmetro de (100x75)mm.  Fornecimento e assentamento.(desonerado)</t>
  </si>
  <si>
    <t>DR 04.50.1250 (/)</t>
  </si>
  <si>
    <t>Redução de PVC rígido - PBA com 1 ponta e 1 bolsa, classe 12, inclusive fornecimento do material para junta (anel de borracha, lubrificante), diâmetro de (160x110)mm.  Fornecimento e assentamento.(desonerado)</t>
  </si>
  <si>
    <t>DR 04.50.1300 (/)</t>
  </si>
  <si>
    <t>Redução de PVC rígido - PBA com 1 ponta e 1 bolsa, classe 12, inclusive fornecimento do material para junta (anel de borracha, lubrificante), diâmetro de (200x160)mm.  Fornecimento e assentamento.(desonerado)</t>
  </si>
  <si>
    <t>DR 04.50.1350 (/)</t>
  </si>
  <si>
    <t>Redução excêntrica de PVC rígido, Vinilfort, classe 12, com 1 ponta e 1 bolsa, inclusive fornecimento do material para junta (anel de borracha e lubrificante) com diâmetro de (150x100)mm.  Fornecimento e assentamento.(desonerado)</t>
  </si>
  <si>
    <t>DR 04.50.1353 (/)</t>
  </si>
  <si>
    <t>Redução excêntrica de PVC rígido, Vinilfort, classe 12, com 1 ponta e 1 bolsa, inclusive fornecimento do material para junta (anel de borracha e lubrificante) com diâmetro de (200x150)mm.  Fornecimento e assentamento.(desonerado)</t>
  </si>
  <si>
    <t>DR 04.50.1356 (/)</t>
  </si>
  <si>
    <t>Redução excêntrica de PVC rígido, Vinilfort, classe 12, com 1 ponta e 1 bolsa, inclusive fornecimento do material para junta (anel de borracha e lubrificante) com diâmetro de (250x200)mm.  Fornecimento e assentamento.(desonerado)</t>
  </si>
  <si>
    <t>DR 04.50.1359 (/)</t>
  </si>
  <si>
    <t>Redução excêntrica de PVC rígido, Vinilfort, classe 12, com 1 ponta e 1 bolsa, inclusive fornecimento do material para junta (anel de borracha e lubrificante) com diâmetro de (300x250)mm.  Fornecimento e assentamento.(desonerado)</t>
  </si>
  <si>
    <t>DR 04.50.1400 (/)</t>
  </si>
  <si>
    <t>Selim de 90° elástico de PVC rígido, Vinilfort, com 1 bolsa, inclusive fornecimento do material para junta (anel de borracha e lubrificante) diâmetro de (150x100)mm.  Fornecimento e assentamento.(desonerado)</t>
  </si>
  <si>
    <t>DR 04.50.1403 (/)</t>
  </si>
  <si>
    <t>Selim de 90° elástico de PVC rígido, Vinilfort, com 1 bolsa, inclusive fornecimento do material para junta (anel de borracha e lubrificante) diâmetro de (200x100)mm.  Fornecimento e assentamento.(desonerado)</t>
  </si>
  <si>
    <t>DR 04.50.1406 (/)</t>
  </si>
  <si>
    <t>Selim de 90° elástico de PVC rígido, Vinilfort, com 1 bolsa, inclusive fornecimento do material para junta (anel de borracha e lubrificante) diâmetro de (250x100)mm.  Fornecimento e assentamento.(desonerado)</t>
  </si>
  <si>
    <t>DR 04.50.1409 (/)</t>
  </si>
  <si>
    <t>Selim de 90° elástico de PVC rígido, Vinilfort, com 1 bolsa, inclusive fornecimento do material para junta (anel de borracha e lubrificante) diâmetro de (300x100)mm.  Fornecimento e assentamento.(desonerado)</t>
  </si>
  <si>
    <t>DR 04.50.1450 (/)</t>
  </si>
  <si>
    <t>Tê de PVC rígido - PBA com 3 bolsas, classe 12, inclusive fornecimento do material para junta (anel de borracha, lubrificante) diâmetro de 50mm.  Fornecimento e assentamento.(desonerado)</t>
  </si>
  <si>
    <t>DR 04.50.1453 (/)</t>
  </si>
  <si>
    <t>Tê de PVC rígido - PBA com 3 bolsas, classe 12, inclusive fornecimento do material para junta (anel de borracha, lubrificante) diâmetro de 75mm.  Fornecimento e assentamento.(desonerado)</t>
  </si>
  <si>
    <t>DR 04.50.1456 (/)</t>
  </si>
  <si>
    <t>Tê de PVC rígido - PBA com 3 bolsas, classe 12, inclusive fornecimento do material para junta (anel de borracha, lubrificante) diâmetro de 100mm.  Fornecimento e assentamento.(desonerado)</t>
  </si>
  <si>
    <t>DR 04.50.1459 (/)</t>
  </si>
  <si>
    <t>Tê de PVC rígido - PBA com 3 bolsas, classe 12, inclusive fornecimento do material para junta (anel de borracha, lubrificante), diâmetro de 160mm.  Fornecimento e assentamento.(desonerado)</t>
  </si>
  <si>
    <t>DR 04.50.1500 (/)</t>
  </si>
  <si>
    <t>Tê de redução de PVC rígido - PBA com 3 bolsas, classe 12, inclusive fornecimento do material para junta (anel de borracha, lubrificante), diâmetro de (75x50)mm.  Fornecimento e assentamento.(desonerado)</t>
  </si>
  <si>
    <t>DR 04.50.1503 (/)</t>
  </si>
  <si>
    <t>Tê de redução de PVC rígido - PBA com 3 bolsas, classe 12, inclusive fornecimento do material para junta (anel de borracha, lubrificante), diâmetro de (100x50)mm.  Fornecimento e assentamento.(desonerado)</t>
  </si>
  <si>
    <t>DR 04.50.1506 (/)</t>
  </si>
  <si>
    <t>Tê de redução de PVC rígido - PBA com 3 bolsas, classe 12, inclusive fornecimento do material para junta (anel de borracha, lubrificante), diâmetro de (100x75)mm.  Fornecimento e assentamento.(desonerado)</t>
  </si>
  <si>
    <t>DR 04.50.1509 (/)</t>
  </si>
  <si>
    <t>Tê de redução de PVC rígido - PBA com 3 bolsas, classe 12, inclusive fornecimento do material para junta (anel de borracha, lubrificante), diâmetro de (160x85)mm.  Fornecimento e assentamento.(desonerado)</t>
  </si>
  <si>
    <t>DR 04.50.1512 (/)</t>
  </si>
  <si>
    <t>Tê de redução de PVC rígido - PBA com 3 bolsas, classe 12, inclusive fornecimento do material para junta (anel de borracha, lubrificante), diâmetro de (160x110)mm.  Fornecimento e assentamento.(desonerado)</t>
  </si>
  <si>
    <t>DR 04.50.1515 (/)</t>
  </si>
  <si>
    <t>Tê de redução de PVC rígido - PBA com 3 bolsas, classe 12, inclusive fornecimento do material para junta (anel de borracha, lubrificante), diâmetro de (200x60)mm.  Fornecimento e assentamento.(desonerado)</t>
  </si>
  <si>
    <t>DR 04.50.1550 (/)</t>
  </si>
  <si>
    <t>Tê de PVC rígido, Vinilfort, com 3 bolsas, classe 12, inclusive fornecimento do material para junta (anel de borracha e lubrificante) diâmetro nominal de 100mm.  Fornecimento e assentamento.(desonerado)</t>
  </si>
  <si>
    <t>DR 04.50.1553 (/)</t>
  </si>
  <si>
    <t>Tê de PVC rígido, Vinilfort, com 3 bolsas, classe 12, inclusive fornecimento do material para junta (anel de borracha e lubrificante) diâmetro nominal de 150mm.  Fornecimento e assentamento.(desonerado)</t>
  </si>
  <si>
    <t>DR 04.50.1556 (/)</t>
  </si>
  <si>
    <t>Tê de PVC rígido, Vinilfort, com 3 bolsas, classe 12, inclusive fornecimento do material para junta (anel de borracha e lubrificante) diâmetro nominal de 200mm.  Fornecimento e assentamento.(desonerado)</t>
  </si>
  <si>
    <t>DR 04.50.1559 (/)</t>
  </si>
  <si>
    <t>Tê de PVC rígido, Vinilfort, com 3 bolsas, classe 12, inclusive fornecimento do material para junta (anel de borracha e lubrificante) diâmetro nominal de 250mm.  Fornecimento e assentamento.(desonerado)</t>
  </si>
  <si>
    <t>DR 04.50.1562 (/)</t>
  </si>
  <si>
    <t>Tê de PVC rígido, Vinilfort, com 3 bolsas, classe 12, inclusive fornecimento do material para junta (anel de borracha e lubrificante) diâmetro nominal de 300mm.  Fornecimento e assentamento.(desonerado)</t>
  </si>
  <si>
    <t>DR 04.50.1600 (/)</t>
  </si>
  <si>
    <t>Tê de redução de PVC rígido, Vinilfort, com 3 bolsas, classe 12, inclusive fornecimento do material para junta (anel de borracha) diâmetro de (200x150)mm.  Fornecimento e assentamento.(desonerado)</t>
  </si>
  <si>
    <t>DR 04.50.1603 (/)</t>
  </si>
  <si>
    <t>Tê de redução de PVC rígido, Vinilfort, com 3 bolsas, classe 12, inclusive fornecimento do material para junta (anel de borracha), diâmetro de (250x150)mm.  Fornecimento e assentamento.(desonerado)</t>
  </si>
  <si>
    <t>DR 04.50.1606 (/)</t>
  </si>
  <si>
    <t>Tê de redução de PVC rígido, Vinilfort, com 3 bolsas, classe 12, inclusive fornecimento do material para junta (anel de borracha), diâmetro de (300x150)mm.  Fornecimento e assentamento.(desonerado)</t>
  </si>
  <si>
    <t>DR 04.55 Tubos de PVC - Águas Pluviais</t>
  </si>
  <si>
    <t>DR 04.55.0050 (/)</t>
  </si>
  <si>
    <t>Tubo flexível estruturado de PVC, diâmetro de 300mm, assentado sobre berço flexível, inclusive emendas, aterro e compactação até a geratriz superior do tubo, exclusive material de reaterro.  Fornecimento e assentamento.(desonerado)</t>
  </si>
  <si>
    <t>DR 04.55.0053 (/)</t>
  </si>
  <si>
    <t>Tubo flexível estruturado de PVC, diâmetro de 400mm, assentado sobre berço flexível, inclusive emendas, aterro e compactação até a geratriz superior do tubo, exclusive material de reaterro.  Fornecimento e assentamento.(desonerado)</t>
  </si>
  <si>
    <t>DR 04.55.0056 (/)</t>
  </si>
  <si>
    <t>Tubo flexível estruturado de PVC, diâmetro de 500mm, assentado sobre berço flexível, inclusive emendas, aterro e compactação até a geratriz superior do tubo, exclusive material de reaterro.  Fornecimento e assentamento.(desonerado)</t>
  </si>
  <si>
    <t>DR 04.55.0059 (/)</t>
  </si>
  <si>
    <t>Tubo flexível estruturado de PVC, diâmetro de 600mm, assentado sobre berço flexível, inclusive emendas, aterro e compactação até a geratriz superior do tubo, exclusive material de reaterro.  Fornecimento e assentamento.(desonerado)</t>
  </si>
  <si>
    <t>DR 04.55.0062 (/)</t>
  </si>
  <si>
    <t>Tubo flexível estruturado de PVC, diâmetro de 700mm, assentado sobre berço flexível, inclusive emendas, aterro e compactação até a geratriz superior do tubo, exclusive material de reaterro.  Fornecimento e assentamento.(desonerado)</t>
  </si>
  <si>
    <t>DR 04.55.0065 (/)</t>
  </si>
  <si>
    <t>Tubo flexível estruturado de PVC, diâmetro de 800mm, assentado sobre berço flexível, inclusive emendas, aterro e compactação até a geratriz superior do tubo, exclusive material de reaterro.  Fornecimento e assentamento.(desonerado)</t>
  </si>
  <si>
    <t>DR 04.55.0068 (/)</t>
  </si>
  <si>
    <t>Tubo flexível estruturado de PVC, diâmetro de 900mm, assentado sobre berço flexível, inclusive emendas, aterro e compactação até a geratriz superior do tubo, exclusive material de reaterro.  Fornecimento e assentamento.(desonerado)</t>
  </si>
  <si>
    <t>DR 04.55.0071 (/)</t>
  </si>
  <si>
    <t>Tubo flexível estruturado de PVC, diâmetro de 1000mm, assentado sobre berço flexível, inclusive emendas, aterro e compactação até a geratriz superior do tubo, exclusive material de reaterro.  Fornecimento e assentamento.(desonerado)</t>
  </si>
  <si>
    <t>DR 04.55.0074 (/)</t>
  </si>
  <si>
    <t>Tubo flexível estruturado de PVC, diâmetro de 1100mm, assentado sobre berço flexível, inclusive emendas, aterro e compactação até a geratriz superior do tubo, exclusive material de reaterro.  Fornecimento e assentamento.(desonerado)</t>
  </si>
  <si>
    <t>DR 04.55.0077 (/)</t>
  </si>
  <si>
    <t>Tubo flexível estruturado de PVC, diâmetro de 1200mm, assentado sobre berço flexível, inclusive emendas, aterro e compactação até a geratriz superior do tubo, exclusive material de reaterro.  Fornecimento e assentamento.(desonerado)</t>
  </si>
  <si>
    <t>DR 09.05 Tubo de Ferro Fundido para Pressão</t>
  </si>
  <si>
    <t>DR 09.05.0050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</si>
  <si>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assentamento.(desonerado)</t>
  </si>
  <si>
    <t>DR 09.05.0053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</si>
  <si>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assentamento.(desonerado)</t>
  </si>
  <si>
    <t>DR 09.05.0056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</si>
  <si>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assentamento.(desonerado)</t>
  </si>
  <si>
    <t>DR 09.05.0059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</si>
  <si>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assentamento.(desonerado)</t>
  </si>
  <si>
    <t>DR 09.05.0062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</si>
  <si>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assentamento.(desonerado)</t>
  </si>
  <si>
    <t>DR 09.05.0065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</si>
  <si>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assentamento.(desonerado)</t>
  </si>
  <si>
    <t>DR 09.15 Conexões de Tubos de Ferro Fundido para Pressão</t>
  </si>
  <si>
    <t>DR 09.15.0050 (/)</t>
  </si>
  <si>
    <t>Cap de ferro fundido dúctil, pintado interna e externamente com tinta betuminosa, com uma bolsa, inclusive fornecimento do material para junta (anel de borracha), com diâmetro de 80mm.  Fornecimento e assentamento.(desonerado)</t>
  </si>
  <si>
    <t>DR 09.15.0053 (/)</t>
  </si>
  <si>
    <t>Cap de ferro fundido dúctil, pintado interna e externamente com tinta betuminosa, com uma bolsa, inclusive fornecimento do material para junta (anel de borracha), com diâmetro de 100mm.  Fornecimento e assentamento.(desonerado)</t>
  </si>
  <si>
    <t>DR 09.15.0056 (/)</t>
  </si>
  <si>
    <t>Cap de ferro fundido dúctil, pintado interna e externamente com tinta betuminosa, com uma bolsa, inclusive fornecimento do material para junta (anel de borracha), com diâmetro de 150mm.  Fornecimento e assentamento.(desonerado)</t>
  </si>
  <si>
    <t>DR 09.15.0200 (/)</t>
  </si>
  <si>
    <t>Curva de 90° de ferro fundido dúctil, pintada interna e externamente com tinta betuminosa, com 2 flanges, inclusive  fornecimento do material para junta (arruela de borracha, parafusos com porca), com diâmetro de 50mm.  Fornecimento e assentamento.(desonerado)</t>
  </si>
  <si>
    <t>DR 09.15.0203 (/)</t>
  </si>
  <si>
    <t>Curva de 90° de ferro fundido dúctil, pintada interna e externamente com tinta betuminosa, com 2 flanges, inclusive fornecimento do material para junta (arruela de borracha, parafusos com porca), com diâmetro de 80mm.  Fornecimento e assentamento.(desonerado)</t>
  </si>
  <si>
    <t>DR 09.15.0206 (/)</t>
  </si>
  <si>
    <t>Curva de 90° de ferro fundido dúctil, pintada interna e externamente com tinta betuminosa, com 2 flanges, inclusive  fornecimento do material para junta (arruela de borracha, parafusos com porca), com diâmetro de 100mm.  Fornecimento e assentamento.(desonerado)</t>
  </si>
  <si>
    <t>DR 09.15.0209 (/)</t>
  </si>
  <si>
    <t>Curva de 90° de ferro fundido dúctil, pintada interna e externamente com tinta betuminosa, com 2 flanges, inclusive fornecimento do material para junta (arruela de borracha, parafusos com porca), com diâmetro de 150mm.  Fornecimento e assentamento.(desonerado)</t>
  </si>
  <si>
    <t>DR 09.15.0212 (/)</t>
  </si>
  <si>
    <t>Curva de 90° de ferro fundido dúctil, pintada interna e externamente com tinta betuminosa, com 2 flanges, inclusive fornecimento do material para junta (arruela de borracha, parafusos com porca), com diâmetro de 200mm.  Fornecimento e assentamento.(desonerado)</t>
  </si>
  <si>
    <t>DR 09.15.0215 (/)</t>
  </si>
  <si>
    <t>Curva de 90° de ferro fundido dúctil, pintada interna e externamente com tinta betuminosa, com 2 flanges, inclusive fornecimento do material para junta (arruela de borracha, parafusos com porca), com diâmetro de 250mm.  Fornecimento e assentamento.(desonerado)</t>
  </si>
  <si>
    <t>DR 09.15.0220 (/)</t>
  </si>
  <si>
    <t>Curva de 90° de ferro fundido dúctil, pintada interna e externamente com tinta betuminosa, com 2 flanges, inclusive fornecimento de material para junta (arruela de borracha, parafusos com porca), com diâmetro de 300mm.  Fornecimento e Assentamento.(desonerado)</t>
  </si>
  <si>
    <t>DR 09.15.0253 (/)</t>
  </si>
  <si>
    <t>Curva de 45° de ferro fundido dúctil, pintada interna e externamente com tinta betuminosa, com 2 flanges, inclusive fornecimento do material para junta (arruela de borracha, parafusos com porca), com diâmetro de 80mm.  Fornecimento e assentamento.(desonerado)</t>
  </si>
  <si>
    <t>DR 09.15.0256 (/)</t>
  </si>
  <si>
    <t>Curva de 45° de ferro fundido dúctil, pintada interna e externamente com tinta betuminosa, com 2 flanges, inclusive fornecimento do material para junta (arruela de borracha, parafusos com porca), com diâmetro de 100mm.  Fornecimento e assentamento.(desonerado)</t>
  </si>
  <si>
    <t>DR 09.15.0259 (/)</t>
  </si>
  <si>
    <t>Curva de 45° de ferro fundido dúctil, pintada interna e externamente com tinta betuminosa, com 2 flanges, inclusive fornecimento do material para junta (arruela de borracha, parafusos com porca), com diâmetro de 150mm.  Fornecimento e assentamento.(desonerado)</t>
  </si>
  <si>
    <t>DR 09.15.0262 (/)</t>
  </si>
  <si>
    <t>Curva de 45° de ferro fundido dúctil, pintada interna e externamente com tinta betuminosa, com 2 flanges, inclusive fornecimento do material para junta (arruela de borracha, parafusos com porca), com diâmetro de 200mm.  Fornecimento e assentamento.(desonerado)</t>
  </si>
  <si>
    <t>DR 09.15.0265 (/)</t>
  </si>
  <si>
    <t>Curva de 45° de ferro fundido dúctil, pintada interna e externamente com tinta betuminosa, com 2 flanges, inclusive fornecimento do material para junta (arruela de borracha, parafusos com porca), com diâmetro de 250mm.  Fornecimento e assentamento.(desonerado)</t>
  </si>
  <si>
    <t>DR 09.15.0268 (/)</t>
  </si>
  <si>
    <t>Curva de 45° de ferro fundido dúctil, pintada interna e externamente com tinta betuminosa, com 2 flanges, inclusive fornecimento do material para junta (arruela de borracha, parafusos com porca), com diâmetro de 300mm.  Fornecimento e assentamento.(desonerado)</t>
  </si>
  <si>
    <t>DR 09.15.0280 (/)</t>
  </si>
  <si>
    <t>Curva de 22°30' de ferro fundido dúctil, pintada interna e externamente com tinta betuminosa, com 2 flanges, inclusive fornecimento de material para junta (arruela de borracha, parafusos com porca), com diâmetro de 80mm.  Fornecimento e Assentamento.(desonerado)</t>
  </si>
  <si>
    <t>DR 09.15.0283 (/)</t>
  </si>
  <si>
    <t>Curva de 22°30' de ferro fundido dúctil, pintada interna e externamente com tinta betuminosa, com 2 flanges, inclusive fornecimento de material para junta (arruela de borracha, parafusos com porca), com diâmetro de 100mm.  Fornecimento e Assentamento.(desonerado)</t>
  </si>
  <si>
    <t>DR 09.15.0286 (/)</t>
  </si>
  <si>
    <t>Curva de 22°30' de ferro fundido dúctil, pintada interna e externamente com tinta betuminosa, com 2 flanges, inclusive fornecimento de material para junta (arruela de borracha, parafusos com porca), com diâmetro de 150mm.  Fornecimento e Assentamento.(desonerado)</t>
  </si>
  <si>
    <t>DR 09.15.0289 (/)</t>
  </si>
  <si>
    <t>Curva de 22°30' de ferro fundido dúctil, pintada interna e externamente com tinta betuminosa, com 2 flanges, inclusive fornecimento de material para junta (arruela de borracha, parafusos com porca), com diâmetro de 200mm.  Fornecimento e Assentamento.(desonerado)</t>
  </si>
  <si>
    <t>DR 09.15.0291 (/)</t>
  </si>
  <si>
    <t>Curva de 22°30' de ferro fundido dúctil, pintada interna e externamente com tinta betuminosa, com 2 flanges, inclusive fornecimento de material para junta (arruela de borracha, parafusos com porca), com diâmetro de 250mm.  Fornecimento e Assentamento.(desonerado)</t>
  </si>
  <si>
    <t>DR 09.15.0294 (/)</t>
  </si>
  <si>
    <t>Curva de 22°30' de ferro fundido dúctil, pintada interna e externamente com tinta betuminosa, com 2 flanges, inclusive fornecimento de material para junta (arruela de borracha, parafusos com porca), com diâmetro de 300mm.  Fornecimento e Assentamento.(desonerado)</t>
  </si>
  <si>
    <t>DR 09.15.0303 (/)</t>
  </si>
  <si>
    <t>Extremidade de ferro fundido dúctil, pintado internamente e externamente com tinta betuminosa, com 1 flange e 1 bolsa, inclusive fornecimento do material para junta (arruela, parafusos, anel de borracha), com diâmetro de 80mm.  Fornecimento e assentamento.(desonerado)</t>
  </si>
  <si>
    <t>DR 09.15.0306 (/)</t>
  </si>
  <si>
    <t>Extremidade de ferro fundido dúctil, pintado internamente e externamente com tinta betuminosa, com 1 flange e 1 bolsa, inclusive fornecimento do material para junta (arruela, parafusos, anel de borracha), com diâmetro de 100mm.  Fornecimento e assentamento.(desonerado)</t>
  </si>
  <si>
    <t>DR 09.15.0309 (/)</t>
  </si>
  <si>
    <t>Extremidade de ferro fundido dúctil, pintado internamente e externamente com tinta betuminosa, com 1 flange e 1 bolsa, inclusive fornecimento do material para junta (arruela, parafusos, anel de borracha), com diâmetro de 150mm.  Fornecimento e assentamento.(desonerado)</t>
  </si>
  <si>
    <t>DR 09.15.0312 (/)</t>
  </si>
  <si>
    <t>Extremidade de ferro fundido dúctil, pintado internamente e externamente com tinta betuminosa, com 1 flange e 1bolsa, inclusive fornecimento do material para junta (arruela, parafusos, anel de borracha), com diâmetro de 200mm.  Fornecimento e assentamento.(desonerado)</t>
  </si>
  <si>
    <t>DR 09.15.0315 (/)</t>
  </si>
  <si>
    <t>Extremidade de ferro fundido dúctil, pintado internamente e externamente com tinta betuminosa, com 1 flange e 1 bolsa, inclusive fornecimento do material para junta (arruela, parafusos, anel de borracha), com diâmetro de 250mm.  Fornecimento e assentamento.(desonerado)</t>
  </si>
  <si>
    <t>DR 09.15.0318 (A)</t>
  </si>
  <si>
    <t>Extremidade de ferro fundido dúctil, pintado internamente e externamente com tinta betuminosa, com 1 flange e 1 bolsa, inclusive fornecimento do material para junta (arruela, parafusos, anel de borracha), com diâmetro de 300mm.  Fornecimento e assentamento.(desonerado)</t>
  </si>
  <si>
    <t>DR 09.15.0353 (/)</t>
  </si>
  <si>
    <t>Extremidade de ferro fundido dúctil, pintado internamente e externamente com tinta betuminosa, com 1 flange e 1ponta, inclusive fornecimento do material para junta (arruela de borracha, parafusos com porca), com diâmetro de 80mm.  Fornecimento e assentamento.(desonerado)</t>
  </si>
  <si>
    <t>DR 09.15.0356 (/)</t>
  </si>
  <si>
    <t>Extremidade de ferro fundido dúctil, pintado internamente e externamente com tinta betuminosa, com 1 flange e 1ponta, inclusive fornecimento do material para junta (arruela de borracha, parafusos com porca), com diâmetro de 100mm.  Fornecimento e assentamento.(desonerado)</t>
  </si>
  <si>
    <t>DR 09.15.0359 (/)</t>
  </si>
  <si>
    <t>Extremidade de ferro fundido dúctil, pintado internamente e externamente com tinta betuminosa, com 1 flange e 1ponta, inclusive fornecimento do material para junta (arruela de borracha, parafusos com porca), com diâmetro de 150mm.  Fornecimento e assentamento.(desonerado)</t>
  </si>
  <si>
    <t>DR 09.15.0362 (/)</t>
  </si>
  <si>
    <t>Extremidade de ferro fundido dúctil, pintado internamente e externamente com tinta betuminosa, com 1 flange e 1ponta, inclusive fornecimento do material para junta (arruela de borracha, parafusos com porca), com diâmetro de 200mm.  Fornecimento e assentamento.(desonerado)</t>
  </si>
  <si>
    <t>DR 09.15.0365 (/)</t>
  </si>
  <si>
    <t>Extremidade de ferro fundido dúctil, pintado internamente e externamente com tinta betuminosa, com 1 flange e 1ponta, inclusive fornecimento do material para junta (arruela de borracha, parafusos com porca), com diâmetro de 250mm.  Fornecimento e assentamento.(desonerado)</t>
  </si>
  <si>
    <t>DR 09.15.0368 (/)</t>
  </si>
  <si>
    <t>Extremidade de ferro fundido dúctil, pintado internamente e externamente com tinta betuminosa, com 1 flange e 1ponta, inclusive fornecimento do material para junta (arruela de borracha, parafusos com porca), com diâmetro de 300mm.  Fornecimento e assentamento.(desonerado)</t>
  </si>
  <si>
    <t>DR 09.15.0400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</si>
  <si>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assentamento.(desonerado)</t>
  </si>
  <si>
    <t>DR 09.15.0403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</si>
  <si>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assentamento.(desonerado)</t>
  </si>
  <si>
    <t>DR 09.15.0406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</si>
  <si>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assentamento.(desonerado)</t>
  </si>
  <si>
    <t>DR 09.15.0450 (/)</t>
  </si>
  <si>
    <t>Flange cego de ferro fundido dúctil, pintado interna e externamente com tinta betuminosa, inclusive fornecimento do material para junta (arruela de borracha, parafusos com porca), com diâmetro de 80mm.  Fornecimento e assentamento.(desonerado)</t>
  </si>
  <si>
    <t>DR 09.15.0453 (/)</t>
  </si>
  <si>
    <t>Flange cego de ferro fundido dúctil, pintado interna e externamente com tinta betuminosa, inclusive fornecimento do material para junta (arruela de borracha, parafusos com porca), com diâmetro de 100mm.  Fornecimento e assentamento.(desonerado)</t>
  </si>
  <si>
    <t>DR 09.15.0456 (/)</t>
  </si>
  <si>
    <t>Flange cego de ferro fundido dúctil, pintado interna e externamente com tinta betuminosa, inclusive fornecimento do material para junta (arruela de borracha, parafusos com porca), com diâmetro de 150mm.  Fornecimento e assentamento.(desonerado)</t>
  </si>
  <si>
    <t>DR 09.15.0459 (/)</t>
  </si>
  <si>
    <t>Flange cego de ferro fundido dúctil, pintado interna e externamente com tinta betuminosa, inclusive fornecimento do material para junta (arruela de borracha, parafusos com porca), com diâmetro de 200mm.  Fornecimento e assentamento.(desonerado)</t>
  </si>
  <si>
    <t>DR 09.15.0462 (/)</t>
  </si>
  <si>
    <t>Flange cego de ferro fundido dúctil, pintado interna e externamente com tinta betuminosa, inclusive fornecimento do material para junta (arruela de borracha, parafusos com porca), com diâmetro de 250mm.  Fornecimento e assentamento.(desonerado)</t>
  </si>
  <si>
    <t>DR 09.15.0503 (/)</t>
  </si>
  <si>
    <t>Flange de ferro fundido dúctil, pintado interna e externamente com tinta betuminosa, inclusive fornecimento do material para junta (arruela de borracha, parafusos com porca), com diâmetro de 75mm (DN 80mm).  Fornecimento e assentamento.(desonerado)</t>
  </si>
  <si>
    <t>DR 09.15.0506 (/)</t>
  </si>
  <si>
    <t>Flange de ferro fundido dúctil, pintado interna e externamente com tinta betuminosa, inclusive fornecimento do material para junta (arruela de borracha, parafusos com porca), com diâmetro de 100mm.  Fornecimento e assentamento.(desonerado)</t>
  </si>
  <si>
    <t>DR 09.15.0509 (/)</t>
  </si>
  <si>
    <t>Flange de ferro fundido dúctil, pintado interna e externamente com tinta betuminosa, inclusive fornecimento do material para junta (arruela de borracha, parafusos com porca), com diâmetro de 150mm.  Fornecimento e assentamento.(desonerado)</t>
  </si>
  <si>
    <t>DR 09.15.0512 (/)</t>
  </si>
  <si>
    <t>Flange de ferro fundido dúctil, pintado interna e externamente com tinta betuminosa, inclusive fornecimento do material para junta (arruela de borracha, parafusos com porca), com diâmetro de 200mm.  Fornecimento e assentamento.(desonerado)</t>
  </si>
  <si>
    <t>DR 09.15.0515 (/)</t>
  </si>
  <si>
    <t>Flange de ferro fundido dúctil, pintado interna e externamente com tinta betuminosa, inclusive fornecimento do material para junta (arruela de borracha, parafusos com porca), com diâmetro de 250mm.  Fornecimento e assentamento.(desonerado)</t>
  </si>
  <si>
    <t>DR 09.15.0530 (/)</t>
  </si>
  <si>
    <t>Junção de 45° de ferro fundido dúctil, pintado interna e externamente com tinta betuminosa, com 3 flanges, inclusive fornecimento do material para junta (arruela de borracha, parafusos com porca), com diâmetro de (80x80)mm.  Fornecimento e assentamento.(desonerado)</t>
  </si>
  <si>
    <t>DR 09.15.0533 (/)</t>
  </si>
  <si>
    <t>Junção de 45° de ferro fundido dúctil, pintado interna e externamente com tinta betuminosa, com 3 flanges, inclusive fornecimento do material para junta (arruela de borracha, parafusos com porca), com diâmetro de (100x80)mm.  Fornecimento e assentamento.(desonerado)</t>
  </si>
  <si>
    <t>DR 09.15.0536 (/)</t>
  </si>
  <si>
    <t>Junção de 45° de ferro fundido dúctil, pintado interna e externamente com tinta betuminosa, com 3 flanges, inclusive fornecimento do material para junta (arruela de borracha, parafusos com porca), com diâmetro de (100x100)mm.  Fornecimento e assentamento.(desonerado)</t>
  </si>
  <si>
    <t>DR 09.15.0539 (/)</t>
  </si>
  <si>
    <t>Junção de 45° de ferro fundido dúctil, pintado interna e externamente com tinta betuminosa, com 3 flanges, inclusive fornecimento do material para junta (arruela de borracha, parafusos com porca), com diâmetro de (150x150)mm.  Fornecimento e assentamento.(desonerado)</t>
  </si>
  <si>
    <t>DR 09.15.0542 (/)</t>
  </si>
  <si>
    <t>Junção de 45° de ferro fundido dúctil, pintado interna e externamente com tinta betuminosa, com 3 flanges, inclusive fornecimento do material para junta (arruela de borracha, parafusos com porca), com diâmetro de (250x250)mm.  Fornecimento e assentamento.(desonerado)</t>
  </si>
  <si>
    <t>DR 09.15.0550 (/)</t>
  </si>
  <si>
    <t>Junta Gibault de ferro fundido dúctil, pintado interna e externamente com tinta betuminosa, inclusive fornecimento do material para junta (anel de borracha, luva, contra-flanges e parafusos com porca), com diâmetro de 50mm.  Fornecimento e assentamento.(desonerado)</t>
  </si>
  <si>
    <t>DR 09.15.0553 (/)</t>
  </si>
  <si>
    <t>Junta Gibault de ferro fundido dúctil, pintado interna e externamente com tinta betuminosa, inclusive fornecimento do material para junta (anel de borracha, luva, contra-flanges e parafusos com porca), com diâmetro de 75mm.  Fornecimento e assentamento.(desonerado)</t>
  </si>
  <si>
    <t>DR 09.15.0556 (/)</t>
  </si>
  <si>
    <t>Junta Gibault de ferro fundido dúctil, pintado interna e externamente com tinta betuminosa, inclusive fornecimento do material para junta (anel de borracha, luva, contra-flanges e parafusos com porca), com diâmetro de 100mm.  Fornecimento e assentamento.(desonerado)</t>
  </si>
  <si>
    <t>DR 09.15.0559 (/)</t>
  </si>
  <si>
    <t>Junta Gibault de ferro fundido dúctil, pintado interna e externamente com tinta betuminosa, inclusive fornecimento do material para junta (anel de borracha, luva, contra-flanges e parafusos com porca), com diâmetro de 150mm.  Fornecimento e assentamento.(desonerado)</t>
  </si>
  <si>
    <t>DR 09.15.0562 (/)</t>
  </si>
  <si>
    <t>Junta Gibault de ferro fundido dúctil, pintado interna e externamente com tinta betuminosa, inclusive fornecimento do material para junta (anel de borracha, luva, contra-flanges e parafusos com porca), com diâmetro de 200mm.  Fornecimento e assentamento.(desonerado)</t>
  </si>
  <si>
    <t>DR 09.15.0565 (/)</t>
  </si>
  <si>
    <t>Junta Gibault de ferro fundido dúctil, pintado interna e externamente com tinta betuminosa, inclusive fornecimento do material para junta (anel de borracha, luva, contra-flanges e parafusos com porca), com diâmetro de 250mm.  Fornecimento e assentamento.(desonerado)</t>
  </si>
  <si>
    <t>DR 09.15.0569 (A)</t>
  </si>
  <si>
    <t>Junta Gibault de ferro fundido dúctil, pintado interna e externamente com tinta betuminosa, inclusive fornecimento do material para junta (anel de borracha, luva, contra-flanges e parafusos com porca), com diâmetro de 300mm.  Fornecimento e assentamento.(desonerado)</t>
  </si>
  <si>
    <t>DR 09.15.0600 (/)</t>
  </si>
  <si>
    <t>Luva de ferro fundido dúctil, pintado interna e externamente com tinta betuminosa, com 2 bolsas, inclusive fornecimento do material para junta (anel de borracha), com diâmetro de 100mm.  Fornecimento e assentamento.(desonerado)</t>
  </si>
  <si>
    <t>DR 09.15.0603 (/)</t>
  </si>
  <si>
    <t>Luva de ferro fundido dúctil, pintado interna e externamente com tinta betuminosa, com 2 bolsas, inclusive fornecimento do material para junta (anel de borracha), com diâmetro de 150mm.  Fornecimento e assentamento.(desonerado)</t>
  </si>
  <si>
    <t>DR 09.15.0606 (/)</t>
  </si>
  <si>
    <t>Luva de ferro fundido dúctil, pintado interna e externamente com tinta betuminosa, com 2 bolsas, inclusive fornecimento do material para junta (anel de borracha), com diâmetro de 200mm.  Fornecimento e assentamento.(desonerado)</t>
  </si>
  <si>
    <t>DR 09.15.0656 (/)</t>
  </si>
  <si>
    <t>Redução de ferro fundido dúctil, pintada interna e externamente com tinta betuminosa, com ponta e bolsa, inclusive fornecimento do material para junta (anel de borracha), com diâmetro nominal de (100x80)mm.  Fornecimento e assentamento.(desonerado)</t>
  </si>
  <si>
    <t>DR 09.15.0659 (/)</t>
  </si>
  <si>
    <t>Redução de ferro fundido dúctil, pintada interna e externamente com tinta betuminosa, com ponta e bolsa, inclusive fornecimento do material para junta (anel de borracha), com diâmetro nominal de (150x80)mm.  Fornecimento e assentamento.(desonerado)</t>
  </si>
  <si>
    <t>DR 09.15.0662 (/)</t>
  </si>
  <si>
    <t>Redução de ferro fundido dúctil, pintada interna e externamente com tinta betuminosa, com ponta e bolsa, inclusive fornecimento do material para junta (anel de borracha), com diâmetro nominal de (150x100)mm.  Fornecimento e assentamento.(desonerado)</t>
  </si>
  <si>
    <t>DR 09.15.0665 (/)</t>
  </si>
  <si>
    <t>Redução de ferro fundido dúctil, pintada interna e externamente com tinta betuminosa, com ponta e bolsa, inclusive fornecimento do material para junta (anel de borracha), com diâmetro nominal de (200x100)mm.  Fornecimento e assentamento.(desonerado)</t>
  </si>
  <si>
    <t>DR 09.15.0669 (/)</t>
  </si>
  <si>
    <t>Redução de ferro fundido dúctil, pintada interna e externamente com tinta betuminosa, com ponta e bolsa, inclusive fornecimento do material para junta (anel de borracha), com diâmetro nominal de (200x150)mm.  Fornecimento e assentamento.(desonerado)</t>
  </si>
  <si>
    <t>DR 09.15.0700 (/)</t>
  </si>
  <si>
    <t>Redução de ferro fundido dúctil, pintado interna e externamente com tinta betuminosa, com 2 flanges, inclusive fornecimento do material para junta (arruela de borracha, parafusos com porca) com diâmetro de (80x50)mm.  Fornecimento e assentamento.(desonerado)</t>
  </si>
  <si>
    <t>DR 09.15.0703 (/)</t>
  </si>
  <si>
    <t>Redução de ferro fundido dúctil, pintado interna e externamente com tinta betuminosa, com 2 flanges, inclusive fornecimento do material para junta (arruela de borracha, parafusos com porca) com diâmetro de (100x80)mm.  Fornecimento e assentamento.(desonerado)</t>
  </si>
  <si>
    <t>DR 09.15.0706 (/)</t>
  </si>
  <si>
    <t>Redução de ferro fundido dúctil, pintado interna e externamente com tinta betuminosa, com 2 flanges, inclusive fornecimento do material para junta (arruela de borracha, parafusos com porca) com diâmetro de (150x80)mm.  Fornecimento e assentamento.(desonerado)</t>
  </si>
  <si>
    <t>DR 09.15.0709 (/)</t>
  </si>
  <si>
    <t>Redução de ferro fundido dúctil, pintado interna e externamente com tinta betuminosa, com 2 flanges, inclusive fornecimento do material para junta (arruela de borracha, parafusos com porca) com diâmetro de (150x100)mm.  Fornecimento e assentamento.(desonerado)</t>
  </si>
  <si>
    <t>DR 09.15.0712 (/)</t>
  </si>
  <si>
    <t>Redução de ferro fundido dúctil, pintado interna e externamente com tinta betuminosa, com 2 flanges, inclusive fornecimento do material para junta (arruela de borracha, parafusos com porca) com diâmetro de (200x100)mm.  Fornecimento e assentamento.(desonerado)</t>
  </si>
  <si>
    <t>DR 09.15.0715 (/)</t>
  </si>
  <si>
    <t>Redução de ferro fundido dúctil, pintado interna e externamente com tinta betuminosa, com 2 flanges, inclusive fornecimento do material para junta (arruela de borracha, parafusos com porca) com diâmetro de (200x150)mm.  Fornecimento e assentamento.(desonerado)</t>
  </si>
  <si>
    <t>DR 09.15.0718 (/)</t>
  </si>
  <si>
    <t>Redução de ferro fundido dúctil, pintado interna e externamente com tinta betuminosa, com 2 flanges, inclusive fornecimento do material para junta (arruela de borracha, parafusos com porca) com diâmetro de (250x200)mm.  Fornecimento e assentamento.(desonerado)</t>
  </si>
  <si>
    <t>DR 09.15.0750 (/)</t>
  </si>
  <si>
    <t>Redução excêntrica de ferro fundido dúctil, pintado interna e externamente com tinta betuminosa, com 2 flanges,  inclusive fornecimento do material para junta (arruela de borracha, parafusos com porca) com diâmetro de (80x50)mm.  Fornecimento e assentamento.(desonerado)</t>
  </si>
  <si>
    <t>DR 09.15.0756 (/)</t>
  </si>
  <si>
    <t>Redução excêntrica de ferro fundido dúctil, pintado interna e externamente com tinta betuminosa, com 2 flanges, inclusive fornecimento do material para junta (arruela de borracha, parafusos com porca) com diâmetro de (100x80)mm.  Fornecimento e assentamento.(desonerado)</t>
  </si>
  <si>
    <t>DR 09.15.0759 (/)</t>
  </si>
  <si>
    <t>Redução excêntrica de ferro fundido dúctil, pintado interna e externamente com tinta betuminosa, com 2 flanges, inclusive fornecimento do material para junta (arruela de borracha, parafusos com porca) com diâmetro de (150x80)mm.  Fornecimento e assentamento.(desonerado)</t>
  </si>
  <si>
    <t>DR 09.15.0762 (/)</t>
  </si>
  <si>
    <t>Redução excêntrica de ferro fundido dúctil, pintado interna e externamente com tinta betuminosa, com 2 flanges, inclusive fornecimento do material para junta (arruela de borracha, parafusos com porca) com diâmetro de (150x100)mm.  Fornecimento e assentamento.(desonerado)</t>
  </si>
  <si>
    <t>DR 09.15.0765 (/)</t>
  </si>
  <si>
    <t>Redução excêntrica de ferro fundido dúctil, pintado interna e externamente com tinta betuminosa, com 2 flanges,  inclusive fornecimento do material para junta (arruela de borracha, parafusos com porca) com diâmetro de (200x100)mm.  Fornecimento e assentamento.(desonerado)</t>
  </si>
  <si>
    <t>DR 09.15.0853 (/)</t>
  </si>
  <si>
    <t>Tê de ferro fundido dúctil, pintado interna e externamente com tinta betuminosa, com 3 bolsas, inclusive fornecimento do material para junta (anel de borracha), com diâmetro nominal de (80x80)mm.  Fornecimento e assentamento.(desonerado)</t>
  </si>
  <si>
    <t>DR 09.15.0859 (/)</t>
  </si>
  <si>
    <t>Tê de ferro fundido dúctil, pintado interna e externamente com tinta betuminosa, com 3 bolsas, inclusive fornecimento do material para junta (anel de borracha), com diâmetro nominal de (100x80)mm.  Fornecimento e assentamento.(desonerado)</t>
  </si>
  <si>
    <t>DR 09.15.0862 (/)</t>
  </si>
  <si>
    <t>Tê de ferro fundido dúctil, pintado interna e externamente com tinta betuminosa, com 3 bolsas, inclusive fornecimento do material para junta (anel de borracha), com diâmetro nominal de (100x100)mm.  Fornecimento e assentamento.(desonerado)</t>
  </si>
  <si>
    <t>DR 09.15.0868 (/)</t>
  </si>
  <si>
    <t>Tê de ferro fundido dúctil, pintado interna e externamente com tinta betuminosa, com 3 bolsas, inclusive fornecimento do material para junta (anel de borracha), com diâmetro nominal de (150x80)mm.  Fornecimento e assentamento.(desonerado)</t>
  </si>
  <si>
    <t>DR 09.15.0871 (/)</t>
  </si>
  <si>
    <t>Tê de ferro fundido dúctil, pintado interna e externamente com tinta betuminosa, com 3 bolsas, inclusive fornecimento do material para junta (anel de borracha), com diâmetro nominal de (150x100)mm.  Fornecimento e assentamento.(desonerado)</t>
  </si>
  <si>
    <t>DR 09.15.0874 (/)</t>
  </si>
  <si>
    <t>Tê de ferro fundido dúctil, pintado interna e externamente com tinta betuminosa, com 3 bolsas, inclusive fornecimento do material para junta (anel de borracha), com diâmetro nominal de (150x150)mm.  Fornecimento e assentamento.(desonerado)</t>
  </si>
  <si>
    <t>DR 09.15.0877 (/)</t>
  </si>
  <si>
    <t>Tê de ferro fundido dúctil, pintado interna e externamente com tinta betuminosa, com 3 bolsas, inclusive fornecimento do material para junta (anel de borracha), com diâmetro nominal de (200x100)mm.  Fornecimento e assentamento.(desonerado)</t>
  </si>
  <si>
    <t>DR 09.15.0878 (/)</t>
  </si>
  <si>
    <t>Tê de ferro fundido dúctil, pintado interna e externamente com tinta betuminosa, com 3 bolsas, inclusive fornecimento de material para junta (anel de borracha), com diâmetro nominal de (200x150)mm.  Fornecimento e Assentamento.(desonerado)</t>
  </si>
  <si>
    <t>DR 09.15.0880 (/)</t>
  </si>
  <si>
    <t>Tê de ferro fundido dúctil, pintado interna e externamente com tinta betuminosa, com 3 bolsas, inclusive fornecimento do material para junta (anel de borracha), com diâmetro nominal de (200x200)mm.  Fornecimento e assentamento.(desonerado)</t>
  </si>
  <si>
    <t>DR 09.15.0883 (/)</t>
  </si>
  <si>
    <t>Tê de ferro fundido dúctil, pintado interna e externamente com tinta betuminosa, com 3 bolsas, inclusive fornecimento do material para junta (anel de borracha), com diâmetro nominal de (250x250)mm.  Fornecimento e assentamento.(desonerado)</t>
  </si>
  <si>
    <t>DR 09.15.0885 (/)</t>
  </si>
  <si>
    <t>Tê de ferro fundido dúctil, pintado interna e externamente com tinta betuminosa, com 3 bolsas, inclusive fornecimento de material para junta (anel de borracha), com diâmetro nominal de (300x250)mm.  Fornecimento e Assentamento.(desonerado)</t>
  </si>
  <si>
    <t>DR 09.15.0887 (/)</t>
  </si>
  <si>
    <t>Tê de ferro fundido dúctil, pintado interna e externamente com tinta betuminosa, com 3 bolsas, inclusive fornecimento de material para junta (anel de borracha), com diâmetro nominal de (300x300)mm.  Fornecimento e Assentamento.(desonerado)</t>
  </si>
  <si>
    <t>DR 09.15.0900 (/)</t>
  </si>
  <si>
    <t>Tê de ferro fundido dúctil, pintado interna e externamente com tinta betuminosa, com 3 flanges, inclusive fornecimento do material para junta (arruela de borracha, parafusos com porca), com diâmetro de (80x50)mm.  Fornecimento e assentamento.(desonerado)</t>
  </si>
  <si>
    <t>DR 09.15.0903 (/)</t>
  </si>
  <si>
    <t>Tê de ferro fundido dúctil, pintado interna e externamente com tinta betuminosa, com 3 flanges, inclusive fornecimento do material para junta (arruela de borracha, parafusos com porca), com diâmetro de (80x80)mm.  Fornecimento e assentamento.(desonerado)</t>
  </si>
  <si>
    <t>DR 09.15.0906 (/)</t>
  </si>
  <si>
    <t>Tê de ferro fundido dúctil, pintado interna e externamente com tinta betuminosa, com 3 flanges, inclusive fornecimento do material para junta (arruela de borracha, parafusos com porca), com diâmetro de (100x50)mm.  Fornecimento e assentamento.(desonerado)</t>
  </si>
  <si>
    <t>DR 09.15.0909 (/)</t>
  </si>
  <si>
    <t>Tê de ferro fundido dúctil, pintado interna e externamente com tinta betuminosa, com 3 flanges, inclusive fornecimento do material para junta (arruela de borracha, parafusos com porca), com diâmetro de (100x100)mm.  Fornecimento e assentamento.(desonerado)</t>
  </si>
  <si>
    <t>DR 09.15.0912 (/)</t>
  </si>
  <si>
    <t>Tê de ferro fundido dúctil, pintado interna e externamente com tinta betuminosa, com 3 flanges, inclusive fornecimento do material para junta (arruela de borracha, parafusos com porca), com diâmetro de (150x80)mm.  Fornecimento e assentamento.(desonerado)</t>
  </si>
  <si>
    <t>DR 09.15.0915 (/)</t>
  </si>
  <si>
    <t>Tê de ferro fundido dúctil, pintado interna e externamente com tinta betuminosa, com 3 flanges, inclusive fornecimento do material para junta (arruela de borracha, parafusos com porca), com diâmetro de (150x100)mm.  Fornecimento e assentamento.(desonerado)</t>
  </si>
  <si>
    <t>DR 09.15.0918 (/)</t>
  </si>
  <si>
    <t>Tê de ferro fundido dúctil, pintado interna e externamente com tinta betuminosa, com 3 flanges, inclusive fornecimento do material para junta (arruela de borracha, parafusos com porca), com diâmetro de (150x150)mm.  Fornecimento e assentamento.(desonerado)</t>
  </si>
  <si>
    <t>DR 09.15.0921 (/)</t>
  </si>
  <si>
    <t>Tê de ferro fundido dúctil, pintado interna e externamente com tinta betuminosa, com 3 flanges, inclusive fornecimento do material para junta (arruela de borracha, parafusos com porca), com diâmetro de (200x80)mm.  Fornecimento e assentamento.(desonerado)</t>
  </si>
  <si>
    <t>DR 09.15.0924 (/)</t>
  </si>
  <si>
    <t>Tê de ferro fundido dúctil, pintado interna e externamente com tinta betuminosa, com 3 flanges, inclusive fornecimento do material para junta (arruela de borracha, parafusos com porca), com diâmetro de (200x100)mm.  Fornecimento e assentamento.(desonerado)</t>
  </si>
  <si>
    <t>DR 09.15.0925 (/)</t>
  </si>
  <si>
    <t>Tê de ferro fundido dúctil, pintado interna e externamente com tinta betuminosa, com 3 flanges, inclusive fornecimento de material para junta (arruela de borracha, parafusos com porca), com diâmetro de (200x150)mm.  Fornecimento e Assentamento.(desonerado)</t>
  </si>
  <si>
    <t>DR 09.15.0927 (/)</t>
  </si>
  <si>
    <t>Tê de ferro fundido dúctil, pintado interna e externamente com tinta betuminosa, com 3 flanges, inclusive fornecimento do material para junta (arruela de borracha, parafusos com porca), com diâmetro de (200x200)mm.  Fornecimento e assentamento.(desonerado)</t>
  </si>
  <si>
    <t>DR 09.15.0928 (/)</t>
  </si>
  <si>
    <t>Tê de ferro fundido dúctil, pintado interna e externamente com tinta betuminosa, com 3 flanges, inclusive fornecimento de material para junta (arruela de borracha, parafusos com porca), com diâmetro de (250x200)mm.  Fornecimento e Assentamento.(desonerado)</t>
  </si>
  <si>
    <t>DR 09.15.0930 (/)</t>
  </si>
  <si>
    <t>Tê de ferro fundido dúctil, pintada interna e externamente com tinta betuminosa, com 3 flanges, inclusive fornecimento do material para junta (arruela de borracha, parafusos com porca), com diâmetro de (250x250)mm.  Fornecimento e assentamento.(desonerado)</t>
  </si>
  <si>
    <t>DR 09.15.0953 (/)</t>
  </si>
  <si>
    <t>Tê de ferro fundido dúctil, pintado interna e externamente com tinta betuminosa, com 3 flanges, inclusive fornecimento do material para junta (arruela de borracha, parafusos com porca), com diâmetro de (100x80)mm.  Fornecimento e assentamento.(desonerado)</t>
  </si>
  <si>
    <t>DR 09.15.0956 (/)</t>
  </si>
  <si>
    <t>Tê de ferro fundido dúctil, pintado interna e externamente com tinta betuminosa, com 3 flanges, inclusive fornecimento do material para junta (arruela de borracha, parafusos com porca), com diâmetro de (150x50)mm.  Fornecimento e assentamento.(desonerado)</t>
  </si>
  <si>
    <t>DR 09.15.0959 (/)</t>
  </si>
  <si>
    <t>Tê de ferro fundido dúctil, pintada interna e externamente com tinta betuminosa, com 3 flanges, inclusive fornecimento do material para junta (arruela de borracha, parafusos com porca), com diâmetro de (250x50)mm.  Fornecimento e assentamento.(desonerado)</t>
  </si>
  <si>
    <t>DR 09.15.1050 (/)</t>
  </si>
  <si>
    <t>Toco de ferro fundido dúctil, pintado interna e externamente com tinta betuminosa, com 2 flanges, inclusive fornecimento do material para junta (arruela de borracha, parafusos com porca), comprimento de 0,25m com diâmetro de 50mm.  Fornecimento e assentamento.(desonerado)</t>
  </si>
  <si>
    <t>DR 09.15.1051 (/)</t>
  </si>
  <si>
    <t>Toco de ferro fundido dúctil, pintado interna e externamente com tinta betuminosa, com 2 flanges, inclusive fornecimento de material para junta (arruela de borracha, parafusos com porca), comprimento de 0,25m com diâmetro de 80mm.  Fornecimento e Assentamento.(desonerado)</t>
  </si>
  <si>
    <t>DR 09.15.1053 (/)</t>
  </si>
  <si>
    <t>Toco de ferro fundido dúctil, pintado interna e externamente com tinta betuminosa, com 2 flanges, inclusive fornecimento do material para junta (arruela de borracha, parafusos com porca), comprimento de 0,25m com diâmetro de 100mm.  Fornecimento e assentamento.(desonerado)</t>
  </si>
  <si>
    <t>DR 09.15.1056 (/)</t>
  </si>
  <si>
    <t>Toco de ferro fundido dúctil, pintado interna e externamente com tinta betuminosa, com 2 flanges, inclusive fornecimento do material para junta (arruela de borracha, parafusos com porca), comprimento de 0,25m com diâmetro de 150mm.  Fornecimento e assentamento.(desonerado)</t>
  </si>
  <si>
    <t>DR 09.15.1059 (/)</t>
  </si>
  <si>
    <t>Toco de ferro fundido dúctil, pintado interna e externamente com tinta betuminosa, com 2 flanges, inclusive fornecimento do material para junta (arruela de borracha, parafusos com porca), comprimento de 0,25m com diâmetro de 200mm.  Fornecimento e assentamento.(desonerado)</t>
  </si>
  <si>
    <t>DR 09.15.1062 (/)</t>
  </si>
  <si>
    <t>Toco de ferro fundido dúctil, pintado interna e externamente com tinta betuminosa, com 2 flanges, inclusive fornecimento do material para junta (arruela de borracha, parafusos com porca), comprimento de 0,25m com diâmetro de 250mm.  Fornecimento e assentamento.(desonerado)</t>
  </si>
  <si>
    <t>DR 09.15.1100 (/)</t>
  </si>
  <si>
    <t>Toco de ferro fundido dúctil, pintado interna e externamente com tinta betuminosa, com 2 flanges, inclusive fornecimento do material para junta (arruela de borracha, parafusos com porca), comprimento de 0,50m com diâmetro de 50mm.  Fornecimento e assentamento.(desonerado)</t>
  </si>
  <si>
    <t>DR 09.15.1101 (/)</t>
  </si>
  <si>
    <t>Toco de ferro fundido dúctil, pintado interna e externamente com tinta betuminosa, com 2 flanges, inclusive fornecimento de material para junta (arruela de borracha, parafusos com porca), comprimento de 0,50m com diâmetro de 80mm.  Fornecimento e Assentamento.(desonerado)</t>
  </si>
  <si>
    <t>DR 09.15.1103 (/)</t>
  </si>
  <si>
    <t>Toco de ferro fundido dúctil, pintado interna e externamente com tinta betuminosa, com 2 flanges,  inclusive fornecimento do material para junta (arruela de borracha, parafusos com porca), comprimento de 0,50m com diâmetro de 100mm.  Fornecimento e assentamento.(desonerado)</t>
  </si>
  <si>
    <t>DR 09.15.1106 (/)</t>
  </si>
  <si>
    <t>Toco de ferro fundido dúctil, pintado interna e externamente com tinta betuminosa, com 2 flanges,  inclusive fornecimento do material para junta (arruela de borracha, parafusos com porca), comprimento de 0,50m com diâmetro de 150mm.  Fornecimento e assentamento.(desonerado)</t>
  </si>
  <si>
    <t>DR 09.15.1110 (/)</t>
  </si>
  <si>
    <t>Toco de ferro fundido dúctil, pintado interna e externamente com tinta betuminosa, com 2 flanges, inclusive fornecimento de material para junta (arruela de borracha, parafusos com porca), comprimento de 0,50m com diâmetro de 200mm.  Fornecimento e Assentamento.(desonerado)</t>
  </si>
  <si>
    <t>DR 09.15.1145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</si>
  <si>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Assentamento.(desonerado)</t>
  </si>
  <si>
    <t>DR 09.15.1150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</si>
  <si>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assentamento.(desonerado)</t>
  </si>
  <si>
    <t>DR 09.15.1153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</si>
  <si>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assentamento.(desonerado)</t>
  </si>
  <si>
    <t>DR 09.15.1160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</si>
  <si>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Assentamento.(desonerado)</t>
  </si>
  <si>
    <t>DR 14.10 Registro de Gaveta</t>
  </si>
  <si>
    <t>DR 14.10.0025 (/)</t>
  </si>
  <si>
    <t>Registro de gaveta chato de ferro fundido dúctil, pintado interna e externamente com tinta betuminosa, com 2 flanges, inclusive fornecimento de material para junta (arruela de borracha, parafusos com porca), com diâmetro de 80mm.  Fornecimento e Assentamento.(desonerado)</t>
  </si>
  <si>
    <t>DR 14.10.0056 (/)</t>
  </si>
  <si>
    <t>Registro de gaveta chato de ferro fundido dúctil, pintado interna e externamente com tinta betuminosa, com 2 flanges, inclusive fornecimento do material para junta (arruela de borracha, parafusos com porca) com diâmetro de 100mm.  Fornecimento e assentamento.(desonerado)</t>
  </si>
  <si>
    <t>DR 14.10.0059 (/)</t>
  </si>
  <si>
    <t>Registro de gaveta chato de ferro fundido dúctil, pintado interna e externamente com tinta betuminosa, com 2 flanges, inclusive fornecimento do material para junta (arruela de borracha, parafusos com porca) com diâmetro de 150mm.  Fornecimento e assentamento.(desonerado)</t>
  </si>
  <si>
    <t>DR 14.10.0062 (/)</t>
  </si>
  <si>
    <t>Registro de gaveta chato de ferro fundido dúctil, pintado interna e externamente com tinta betuminosa, com 2 flanges, inclusive fornecimento do material para junta (arruela de borracha, parafusos com porca) com diâmetro de 200mm.  Fornecimento e assentamento.(desonerado)</t>
  </si>
  <si>
    <t>DR 14.10.0064 (/)</t>
  </si>
  <si>
    <t>Registro de gaveta chato de ferro fundido dúctil, pintado interna e externamente com tinta betuminosa, com 2 flanges, inclusive fornecimento de material para junta (arruela de borracha, parafusos com porca), com diâmetro de 250mm.  Fornecimento e assentamento.(desonerado)</t>
  </si>
  <si>
    <t>DR 14.10.0068 (/)</t>
  </si>
  <si>
    <t>Registro de gaveta chato de ferro fundido dúctil, pintado interna e externamente com tinta betuminosa, com 2 flanges, inclusive fornecimento do material para junta (arruela de borracha, parafusos com porca) com diâmetro de 300mm.  Fornecimento e assentamento.(desonerado)</t>
  </si>
  <si>
    <t>DR 14.10.0100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</si>
  <si>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assentamento.(desonerado)</t>
  </si>
  <si>
    <t>DR 14.10.0150 (/)</t>
  </si>
  <si>
    <t>Registro de gaveta chato de ferro fundido dúctil, pintado interna e externamente com tinta betuminosa, com 2 bolsas, inclusive anel de borracha para tubos de PVC para água, com diâmetro de 100mm.  Fornecimento e assentamento.(desonerado)</t>
  </si>
  <si>
    <t>DR 14.15 Registro de Gaveta, Ferro Fundido - Junta de Chumbo</t>
  </si>
  <si>
    <t>DR 14.15.0050 (/)</t>
  </si>
  <si>
    <t>Registro de gaveta de ferro fundido com flanges; inclusive fornecimento do material para junta de chumbo e parafusos, com diâmetro de 50mm.  Assentamento, sem fornecimento.(desonerado)</t>
  </si>
  <si>
    <t>DR 14.15.0053 (/)</t>
  </si>
  <si>
    <t>Registro de gaveta de ferro fundido com flanges; inclusive fornecimento do material para junta de chumbo e parafusos, com diâmetro de 75mm.  Assentamento, sem fornecimento.(desonerado)</t>
  </si>
  <si>
    <t>DR 14.15.0056 (/)</t>
  </si>
  <si>
    <t>Registro de gaveta de ferro fundido com flanges; inclusive fornecimento do material para junta de chumbo e parafusos, com diâmetro de 100mm.  Assentamento, sem fornecimento.(desonerado)</t>
  </si>
  <si>
    <t>DR 14.15.0065 (/)</t>
  </si>
  <si>
    <t>Registro de gaveta de ferro fundido com flanges; inclusive fornecimento do material para junta de chumbo e parafusos, com diâmetro de 300mm.  Assentamento, sem fornecimento.(desonerado)</t>
  </si>
  <si>
    <t>DR 14.20 Válvula Angular</t>
  </si>
  <si>
    <t>DR 14.20.0050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</si>
  <si>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assentamento.(desonerado)</t>
  </si>
  <si>
    <t>DR 14.25 Válvula Borboleta</t>
  </si>
  <si>
    <t>DR 14.25.0050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</si>
  <si>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assentamento.(desonerado)</t>
  </si>
  <si>
    <t>DR 14.25.0053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</si>
  <si>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assentamento.(desonerado)</t>
  </si>
  <si>
    <t>DR 14.25.0056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</si>
  <si>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assentamento.(desonerado)</t>
  </si>
  <si>
    <t>DR 14.25.0059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</si>
  <si>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assentamento.(desonerado)</t>
  </si>
  <si>
    <t>DR 14.25.0062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</si>
  <si>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assentamento.(desonerado)</t>
  </si>
  <si>
    <t>DR 14.30 Válvulas Redutoras de Pressão</t>
  </si>
  <si>
    <t>DR 14.30.0050 (/)</t>
  </si>
  <si>
    <t>Válvula redutora de pressão com roscas de ferro fundido dúctil, classe 1MPa, com diâmetro de 1".  Fornecimento e assentamento.(desonerado)</t>
  </si>
  <si>
    <t>DR 14.30.0056 (/)</t>
  </si>
  <si>
    <t>Válvula redutora de pressão com roscas de ferro fundido dúctil, classe 1MPa, com diâmetro de 1 1/2".  Fornecimento e assentamento.(desonerado)</t>
  </si>
  <si>
    <t>DR 14.30.0059 (/)</t>
  </si>
  <si>
    <t>Válvula redutora de pressão com roscas de ferro fundido dúctil, classe 1MPa, com diâmetro de 2".  Fornecimento e assentamento.(desonerado)</t>
  </si>
  <si>
    <t>DR 14.30.0062 (/)</t>
  </si>
  <si>
    <t>Válvula redutora de pressão com roscas de ferro fundido dúctil, classe 1MPa, com diâmetro de 3".  Fornecimento e assentamento.(desonerado)</t>
  </si>
  <si>
    <t>DR 14.30.0100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</si>
  <si>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assentamento.(desonerado)</t>
  </si>
  <si>
    <t>DR 14.30.0103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</si>
  <si>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assentamento.(desonerado)</t>
  </si>
  <si>
    <t>DR 14.30.0109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</si>
  <si>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assentamento.(desonerado)</t>
  </si>
  <si>
    <t>DR 14.45 Ventosa</t>
  </si>
  <si>
    <t>DR 14.45.0050 (/)</t>
  </si>
  <si>
    <t>Ventosa tríplice com flange, de ferro fundido dúctil, classe 1MPa, pintada interna e externamente com tinta Epóxi poliamida, inclusive fornecimento do material para junta (arruela de borracha, parafusos com porca), com diâmetro de 50mm.  Fornecimento e assentamento.(desonerado)</t>
  </si>
  <si>
    <t>DR 14.45.0056 (/)</t>
  </si>
  <si>
    <t>Ventosa tríplice com flange, de ferro fundido dúctil, classe 1MPa, pintada interna e externamente com tinta Epóxi poliamida, inclusive fornecimento do material para junta (arruela de borracha, parafusos com porca), com diâmetro de 100mm.  Fornecimento e assentamento.(desonerado)</t>
  </si>
  <si>
    <t>DR 14.45.0059 (/)</t>
  </si>
  <si>
    <t>Ventosa tríplice com flange, de ferro fundido dúctil, classe 1MPa, pintada interna e externamente com tinta Epóxi poliamida, inclusive fornecimento do material para junta (arruela de borracha, parafusos com porca), com diâmetro de 150mm.  Fornecimento e assentamento.(desonerado)</t>
  </si>
  <si>
    <t>DR 14.45.0062 (/)</t>
  </si>
  <si>
    <t>Ventosa tríplice com flange, de ferro fundido dúctil, classe 1MPa, pintada interna e externamente com tinta Epóxi poliamida, inclusive fornecimento do material para junta (arruela de borracha, parafusos com porca), com diâmetro de 200mm.  Fornecimento e assentamento.(desonerado)</t>
  </si>
  <si>
    <t>DR 14.50 Volante</t>
  </si>
  <si>
    <t>DR 14.50.0050 (/)</t>
  </si>
  <si>
    <t>Volante de ferro fundido dúctil para registros e válvulas com diâmetro de 50mm, referência nº 34, Barbará ou similar.  Fornecimento e assentamento.(desonerado)</t>
  </si>
  <si>
    <t>DR 14.50.0053 (/)</t>
  </si>
  <si>
    <t>Volante de ferro fundido dúctil para registros e válvulas com diâmetro de 75mm, referência nº 35, Barbará ou similar.  Fornecimento e assentamento.(desonerado)</t>
  </si>
  <si>
    <t>DR 14.50.0056 (/)</t>
  </si>
  <si>
    <t>Volante de ferro fundido dúctil para registros e válvulas com diâmetro de 100mm, referência  nº 36, Barbará ou similar.  Fornecimento e assentamento.(desonerado)</t>
  </si>
  <si>
    <t>DR 14.50.0059 (/)</t>
  </si>
  <si>
    <t>Volante de ferro fundido dúctil para registros e válvulas com diâmetro de 150mm e 200mm referência nº 36, Barbará ou similar.  Fornecimento e assentamento.(desonerado)</t>
  </si>
  <si>
    <t>DR 14.50.0062 (/)</t>
  </si>
  <si>
    <t>Volante de ferro fundido dúctil para registros e válvulas com diâmetro de 250mm e 300mm referência nº 21, Barbará ou similar.  Fornecimento e assentamento.(desonerado)</t>
  </si>
  <si>
    <t>DR 19.05 Poço de Visita de Concreto Armado para Coletor de Águas Pluviais</t>
  </si>
  <si>
    <t>DR 19.05.0050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</si>
  <si>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reaterro.(desonerado)</t>
  </si>
  <si>
    <t>DR 19.10 Poço de Visita de Bloco de Concreto  para Coletor de Águas Pluviais</t>
  </si>
  <si>
    <t>DR 19.10.0050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</si>
  <si>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reaterro.(desonerado)</t>
  </si>
  <si>
    <t>DR 19.10.0053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</si>
  <si>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reaterro.(desonerado)</t>
  </si>
  <si>
    <t>DR 19.10.0056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</si>
  <si>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reaterro.(desonerado)</t>
  </si>
  <si>
    <t>DR 19.10.0059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</si>
  <si>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reaterro.(desonerado)</t>
  </si>
  <si>
    <t>DR 19.10.0065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</si>
  <si>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reaterro.(desonerado)</t>
  </si>
  <si>
    <t>DR 19.10.0068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</si>
  <si>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reaterro.(desonerado)</t>
  </si>
  <si>
    <t>DR 19.10.0072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</si>
  <si>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reaterro.(desonerado)</t>
  </si>
  <si>
    <t>DR 19.15 Poço de Visita de Anéis de Concreto para Coletor de Esgoto Sanitário</t>
  </si>
  <si>
    <t>DR 19.15.0050 (A)</t>
  </si>
  <si>
    <t>Poço de visita para coletor de esgoto sanitário, em anéis de concreto pré-moldado, diâmetro 600mm, profundidade útil de 0,80m, conforme as especificações da CEDAE; exclusive tampão de ferro fundido.(desonerado)</t>
  </si>
  <si>
    <t>DR 19.15.0053 (A)</t>
  </si>
  <si>
    <t>Poço de visita para coletor de esgoto sanitário, em anéis de concreto pré-moldado, diâmetro 600mm, profundidade útil de 1,00m, conforme as especificações da CEDAE, inclusive o fornecimento de degraus de ferro fundido; exclusive o tampão de ferro fundido.(desonerado)</t>
  </si>
  <si>
    <t>DR 19.15.0056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</si>
  <si>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fundido.(desonerado)</t>
  </si>
  <si>
    <t>DR 19.15.0059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</si>
  <si>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fundido.(desonerado)</t>
  </si>
  <si>
    <t>DR 19.15.0062 (B)</t>
  </si>
  <si>
    <t>Poço de visita para coletor de esgoto sanitário, em anéis de concreto pré-moldado, diâmetro 1100mm, sem chaminé, profundidade útil de 1,40m, conforme as especificações da CEDAE, inclusive degraus de ferro fundido; exclusive tampão de ferro fundido.(desonerado)</t>
  </si>
  <si>
    <t>DR 19.15.0065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</si>
  <si>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fundido.(desonerado)</t>
  </si>
  <si>
    <t>DR 19.15.0068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</si>
  <si>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fundido.(desonerado)</t>
  </si>
  <si>
    <t>DR 19.15.0071 (A)</t>
  </si>
  <si>
    <t>Poço de visita para coletor de esgoto sanitário, em anéis de concreto pré-moldado, diâmetro 1100mm, sem chaminé, profundidade útil de 1,70m, conforme as especificações da CEDAE, inclusive degraus de ferro fundido; exclusive tampão de ferro fundido.(desonerado)</t>
  </si>
  <si>
    <t>DR 19.15.0074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</si>
  <si>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fundido.(desonerado)</t>
  </si>
  <si>
    <t>DR 19.15.0077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</si>
  <si>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fundido.(desonerado)</t>
  </si>
  <si>
    <t>DR 19.15.0080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</si>
  <si>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fundido.(desonerado)</t>
  </si>
  <si>
    <t>DR 19.15.0083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</si>
  <si>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fundido.(desonerado)</t>
  </si>
  <si>
    <t>DR 19.15.0086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</si>
  <si>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fundido.(desonerado)</t>
  </si>
  <si>
    <t>DR 19.15.0089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</si>
  <si>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fundido.(desonerado)</t>
  </si>
  <si>
    <t>DR 19.15.0092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</si>
  <si>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fundido.(desonerado)</t>
  </si>
  <si>
    <t>DR 19.15.0095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</si>
  <si>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fundido.(desonerado)</t>
  </si>
  <si>
    <t>DR 19.15.0098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</si>
  <si>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fundido.(desonerado)</t>
  </si>
  <si>
    <t>DR 19.15.0101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</si>
  <si>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fundido.(desonerado)</t>
  </si>
  <si>
    <t>DR 19.15.0200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</si>
  <si>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reaterro.(desonerado)</t>
  </si>
  <si>
    <t>DR 19.15.0203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</si>
  <si>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reaterro.(desonerado)</t>
  </si>
  <si>
    <t>DR 19.15.0209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</si>
  <si>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reaterro.(desonerado)</t>
  </si>
  <si>
    <t>DR 19.20 Poço de Visita de Concreto Armado para Coletor de Esgoto Sanitário</t>
  </si>
  <si>
    <t>DR 19.20.0500 (/)</t>
  </si>
  <si>
    <t>Poço de visita em concreto armado para profundidades de 3,00 a 5,00m para coletores de esgoto sanitário de diâmetro de 0,80 a 1,00m, inclusive chaminé de acesso de tampão de ferro fundido.(desonerado)</t>
  </si>
  <si>
    <t>DR 29.05 Caixa de Passagem</t>
  </si>
  <si>
    <t>DR 29.05.0050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</si>
  <si>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reaterro.(desonerado)</t>
  </si>
  <si>
    <t>DR 29.05.0100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</si>
  <si>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reaterro.(desonerado)</t>
  </si>
  <si>
    <t>DR 29.10 Caixa para Registro</t>
  </si>
  <si>
    <t>DR 29.10.0050 (/)</t>
  </si>
  <si>
    <t>Caixa para registro, de alvenaria de tijolo maciço (7x10x20)cm, em paredes de meia vez (0,10m), de (0,28x0,28x0,50)m, com tampa de concreto com 0,10m de espessura mínima, utilizando argamassa de cimento e areia, no traço 1:4.(desonerado)</t>
  </si>
  <si>
    <t>DR 29.10.0053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</si>
  <si>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reaterro.(desonerado)</t>
  </si>
  <si>
    <t>DR 29.10.0056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</si>
  <si>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reaterro.(desonerado)</t>
  </si>
  <si>
    <t>DR 29.10.0059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</si>
  <si>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reaterro.(desonerado)</t>
  </si>
  <si>
    <t>DR 29.10.0100 (A)</t>
  </si>
  <si>
    <t>Caixa de concreto pre-moldado, medindo (30x30x30) cm com tampao para registro de incendio de (30x30)cm. Fornecimento (desonerado)</t>
  </si>
  <si>
    <t>DR 29.15 Caixa de Ralo</t>
  </si>
  <si>
    <t>DR 29.15.0050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</si>
  <si>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reaterro.(desonerado)</t>
  </si>
  <si>
    <t>DR 29.15.0053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</si>
  <si>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reaterro.(desonerado)</t>
  </si>
  <si>
    <t>DR 29.15.0100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</si>
  <si>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reaterro.(desonerado)</t>
  </si>
  <si>
    <t>DR 29.15.0103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</si>
  <si>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reaterro.(desonerado)</t>
  </si>
  <si>
    <t>DR 29.15.0200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</si>
  <si>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reaterro.(desonerado)</t>
  </si>
  <si>
    <t>DR 29.20 Caixa de Inspeção</t>
  </si>
  <si>
    <t>DR 29.20.0050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</si>
  <si>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</si>
  <si>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DR 29.20.0053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</si>
  <si>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</si>
  <si>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DR 29.20.0056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</si>
  <si>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</si>
  <si>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DR 34.05 Tampões</t>
  </si>
  <si>
    <t>DR 34.05.0050 (/)</t>
  </si>
  <si>
    <t>Tampão de ferro fundido articulado, de 30cm de diâmetro, padrão RIOLUZ/CET-RIO, assentado com argamassa de cimento e areia no traço 1:4 em volume.  Fornecimento e assentamento.(desonerado)</t>
  </si>
  <si>
    <t>DR 34.05.0053 (/)</t>
  </si>
  <si>
    <t>Tampão de ferro fundido, articulado, de 0,60m de diâmetro, padrão RIOLUZ, tipo leve, assentado com argamassa de cimento e areia no traço 1:4 em volume.  Fornecimento e assentamento.(desonerado)</t>
  </si>
  <si>
    <t>DR 34.05.0056 (/)</t>
  </si>
  <si>
    <t>Tampão de ferro fundido, articulado, de 0,60m de diâmetro, padrão RIOLUZ, tipo pesado, assentado com argamassa de cimento e areia no traço 1:4 em volume.  Fornecimento e assentamento.(desonerado)</t>
  </si>
  <si>
    <t>DR 34.05.0100 (/)</t>
  </si>
  <si>
    <t>Tampão de ferro fundido completo, para caixa de inspeção ou semelhante, com 25Kg, assentado com argamassa de cimento e areia no traço 1:4 em volume.  Fornecimento e assentamento.(desonerado)</t>
  </si>
  <si>
    <t>DR 34.05.0150 (/)</t>
  </si>
  <si>
    <t>Tampão de ferro fundido completo, de 0,40m a 0,60m de diâmetro, com 125Kg, para caixa de registro, assentamento com argamassa de cimento e areia no traço 1:3 em volume.  Fornecimento e assentamento.(desonerado)</t>
  </si>
  <si>
    <t>DR 34.05.0200 (/)</t>
  </si>
  <si>
    <t>Tampão de ferro fundido completo, tipo médio, com 125Kg, para  poço de visita de esgoto sanitário, assentado com argamassa de cimento e areia no traço 1:4 em volume.  Fornecimento e assentamento.(desonerado)</t>
  </si>
  <si>
    <t>DR 34.05.0225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</si>
  <si>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responsável.(desonerado)</t>
  </si>
  <si>
    <t>DR 34.05.0250 (/)</t>
  </si>
  <si>
    <t>Tampão de ferro fundido completo, articulado, pesado, de 0,60m de diâmetro, tipo avenida, assentado com argamassa de cimento e areia no traço 1:4 em volume.  Fornecimento e assentamento.(desonerado)</t>
  </si>
  <si>
    <t>DR 34.05.0253 (/)</t>
  </si>
  <si>
    <t>Tampão de ferro fundido completo, de 0,60m de diâmetro, com 175Kg, para chaminés de caixa de areia ou poço de visita, assentamento com argamassa de cimento e areia no traço 1:4 em volume.  Fornecimento e assentamento.(desonerado)</t>
  </si>
  <si>
    <t>DR 34.05.0300 (B)</t>
  </si>
  <si>
    <t>Tampão de ferro fundido completo, de 3 seções, medindo (1,50x0,90)m, com 690Kg, assentamento com argamassa de cimento e areia no traço 1:4 em volume, fixado com concreto simples, dosado para um fck=13,5MPa.  Fornecimento e assentamento.(desonerado)</t>
  </si>
  <si>
    <t>DR 34.10 Grelhas</t>
  </si>
  <si>
    <t>DR 34.10.0050 (/)</t>
  </si>
  <si>
    <t>Grelha de ferro fundido completa, de (30x90)cm, com 135Kg, para caixa de ralo, assentada com argamassa de cimento e areia no traço 1:4.  Fornecimento e assentamento.(desonerado)</t>
  </si>
  <si>
    <t>DR 34.10.0100 (/)</t>
  </si>
  <si>
    <t>Grelha de ferro fundido completa, de (30x90)cm, com 135Kg, para caixa de ralo, articulada, assentada com argamassa de cimento e areia no traço 1:4, padrão Prefeitura-RJ.  Fornecimento e colocação.(desonerado)</t>
  </si>
  <si>
    <t>DR 34.10.0150 (/)</t>
  </si>
  <si>
    <t>Grelha de ferro fundido, para canaleta, com 0,15m de largura.  Fornecimento e colocação.(desonerado)</t>
  </si>
  <si>
    <t>DR 34.10.0153 (/)</t>
  </si>
  <si>
    <t>Grelha de ferro fundido, para canaleta, com 0,30m de largura.  Fornecimento e colocação.(desonerado)</t>
  </si>
  <si>
    <t>DR 34.10.0156 (/)</t>
  </si>
  <si>
    <t>Grelha de ferro fundido, para canaleta, com 0,40m de largura.  Fornecimento e colocação.(desonerado)</t>
  </si>
  <si>
    <t>DR 34.10.0200 (/)</t>
  </si>
  <si>
    <t>Grelha de ferro fundido completa, articulada, 30Kg, para drenagem de viaduto, com (17x20)cm, com saída para tubo de ferro fundido de diâmetro de 10mm.  Fornecimento e colocação.(desonerado)</t>
  </si>
  <si>
    <t>DR 34.10.0300 (/)</t>
  </si>
  <si>
    <t>Grelha articulada de (30x30x1,5)cm, pesando 13Kg em ferro fundido, inclusive caixilho de (34x34x3,5)cm, assentado com argamassa de cimento e areia no traço 1:4.  Fornecimento e assentamento.(desonerado)</t>
  </si>
  <si>
    <t>DR 34.15 Caixa de Rua para Proteção de Registro</t>
  </si>
  <si>
    <t>DR 34.15.0050 (/)</t>
  </si>
  <si>
    <t>Caixa de rua completa de ferro fundido, para proteção de registro, com peso total de 59Kg, padrão CEDAE, assentada com argamassa de cimento e areia no traço 1:4 em volume.  Fornecimento e assentamento.(desonerado)</t>
  </si>
  <si>
    <t>DR 34.20 Caixa de Passeio para Proteção de Registro</t>
  </si>
  <si>
    <t>DR 34.20.0050 (/)</t>
  </si>
  <si>
    <t>Caixa de passeio de ferro fundido, para proteção de registro, com peso total de 28Kg, padrão CEDAE, assentada com argamassa de cimento e areia no traço 1:4 em volume.  Fornecimento e assentamento.(desonerado)</t>
  </si>
  <si>
    <t>DR 39.05 Tampão de Concreto Armado</t>
  </si>
  <si>
    <t>DR 39.05.0050 (A)</t>
  </si>
  <si>
    <t>Tampão de concreto armado 15MPa, com 4cm de espessura, diâmetro de 0,60m, moldado no local, aço CA-60, 4,2mm.(desonerado)</t>
  </si>
  <si>
    <t>DR 39.10 Anel de Concreto</t>
  </si>
  <si>
    <t>DR 39.10.0050 (/)</t>
  </si>
  <si>
    <t>Anel de concreto armado, pré-moldado, para caixa de inspeção, com diâmetro de (60x30x5)cm.  Fornecimento.(desonerado)</t>
  </si>
  <si>
    <t>DR 39.10.0100 (/)</t>
  </si>
  <si>
    <t>Anel de concreto armado, pré-moldado, para poço de visita de esgoto sanitário com diâmetro nominal de (110x30x8)cm.  Fornecimento.(desonerado)</t>
  </si>
  <si>
    <t>DR 39.10.0150 (/)</t>
  </si>
  <si>
    <t>Anel de concreto armado, pré-moldado, com diâmetro de (120x50x5)cm.  Fornecimento.(desonerado)</t>
  </si>
  <si>
    <t>DR 39.10.0200 (/)</t>
  </si>
  <si>
    <t>Anel de concreto pré-moldado de (150x40x5)cm.  Fornecimento.(desonerado)</t>
  </si>
  <si>
    <t>DR 39.15 Grelhas</t>
  </si>
  <si>
    <t>DR 39.15.0050 (A)</t>
  </si>
  <si>
    <t>Grelha e caixilho de concreto armado, sendo as dimensões externas da grelha de (0,30x0,90)m e do caixilho de (1,00x0,40)m, para caixa de ralo, utilizando argamassa de cimento e areia no traço 1:4.  Fornecimento e assentamento.(desonerado)</t>
  </si>
  <si>
    <t>DR 39.15.0100 (A)</t>
  </si>
  <si>
    <t>Grelha e caixilho de concreto armado, sendo as dimensões externas da grelha de (0,40x0,90)m e do caixilho de (1,10x0,54)m.  Fornecimento e assentamento.(desonerado)</t>
  </si>
  <si>
    <t>DR 39.15.0200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</si>
  <si>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assentamento.(desonerado)</t>
  </si>
  <si>
    <t>DR 44.05 Artefatos de Ferro Fundido e Concreto</t>
  </si>
  <si>
    <t>DR 44.05.0050 (/)</t>
  </si>
  <si>
    <t>Tampão misto (ferro fundido e concreto), pesado, de 0,60m de diâmetro, peso total de 106Kg, conforme projeto CEDAE, assentado com argamassa de cimento e areia no traço 1:4 em volume.  Fornecimento e assentamento.(desonerado)</t>
  </si>
  <si>
    <t>DR 44.05.0100 (/)</t>
  </si>
  <si>
    <t>Tampão misto (ferro fundido e concreto), leve, de 0,60m de diâmetro, conforme projeto CEDAE, assentado com argamassa de cimento e areia no traço 1:4 em volume.  Fornecimento e assentamento.(desonerado)</t>
  </si>
  <si>
    <t>DR 49.05 Calha Modular</t>
  </si>
  <si>
    <t>DR 49.05.0050 (/)</t>
  </si>
  <si>
    <t>Conjunto de calha modular com grelha, para tráfego leve.  Fornecimento e assentamento.(desonerado)</t>
  </si>
  <si>
    <t>DR 49.05.0100 (/)</t>
  </si>
  <si>
    <t>Conjunto de calha modular com grelha, para tráfego pesado.  Fornecimento e assentamento.(desonerado)</t>
  </si>
  <si>
    <t>DR 49.10 Grelhas e Tampões</t>
  </si>
  <si>
    <t>DR 49.10.0050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</si>
  <si>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assentamento.(desonerado)</t>
  </si>
  <si>
    <t>DR 49.10.0500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</si>
  <si>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assentamento.(desonerado)</t>
  </si>
  <si>
    <t>DR 54.05 Drenagem, Enrocamento, Embasamento de Tubulação</t>
  </si>
  <si>
    <t>DR 54.05.0050 (/)</t>
  </si>
  <si>
    <t>Camada horizontal de brita, inclusive fornecimento e espalhamento.(desonerado)</t>
  </si>
  <si>
    <t>DR 54.05.0053 (/)</t>
  </si>
  <si>
    <t>Camada vertical drenante feita com pedra britada, inclusive fornecimento do material.(desonerado)</t>
  </si>
  <si>
    <t>DR 54.05.0056 (/)</t>
  </si>
  <si>
    <t>Camada vertical drenante feita com areia, inclusive fornecimento do material.(desonerado)</t>
  </si>
  <si>
    <t>DR 54.05.0101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</si>
  <si>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</si>
  <si>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DR 54.05.0104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</si>
  <si>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</si>
  <si>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DR 54.05.0107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</si>
  <si>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</si>
  <si>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DR 54.05.0110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</si>
  <si>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</si>
  <si>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DR 54.05.0200 (A)</t>
  </si>
  <si>
    <t>Dreno ou Barbaca em tubo de PVC rígido, diâmetro de 2", inclusive fornecimento do tubo e material drenante.(desonerado)</t>
  </si>
  <si>
    <t>DR 54.05.0203 (/)</t>
  </si>
  <si>
    <t>Dreno em tubo de PVC rígido, diâmetro de 3", para viadutos, inclusive fornecimento do tubo, exclusive perfuração e colagem.(desonerado)</t>
  </si>
  <si>
    <t>DR 54.05.0206 (/)</t>
  </si>
  <si>
    <t>Dreno em tubo de PVC rígido, diâmetro de 4", para viadutos, inclusive fornecimento do tubo, exclusive perfuração e colagem.(desonerado)</t>
  </si>
  <si>
    <t>DR 54.05.0209 (A)</t>
  </si>
  <si>
    <t>Dreno ou Barbaca em tubo de PVC rígido, diâmetro de 4", inclusive fornecimento do tubo e material drenante.(desonerado)</t>
  </si>
  <si>
    <t>DR 54.05.0250 (/)</t>
  </si>
  <si>
    <t>Dreno profundo em tubo plástico perfurado, 2 1/2" de diâmetro, inclusive tela de nylon e fornecimento dos materiais; exclusive perfuração do terreno.(desonerado)</t>
  </si>
  <si>
    <t>DR 54.05.0300 (/)</t>
  </si>
  <si>
    <t>Dreno de tubos de concreto, sem armadura, de 0,30m de diâmetro, perfurado ou não, assentados em drenos de pedra britada, inclusive reaterro e exclusive escavação.(desonerado)</t>
  </si>
  <si>
    <t>DR 54.05.0350 (/)</t>
  </si>
  <si>
    <t>Dreno vertical no paramento interno de muros de arrimo, executado em prismas de (0,25x0,25)m de seção, cheios de brita nº 3, admitindo as Barbacãs espaçadas de 1,50m verticalmente e 2m horizontalmente, medindo-se o serviço pela área do muro.(desonerado)</t>
  </si>
  <si>
    <t>DR 54.05.0400 (/)</t>
  </si>
  <si>
    <t>Valeta drenante de 0,5m de largura e 0,7m de profundidade, preenchida até 0,3m com pedra britada, incluindo reaterro.(desonerado)</t>
  </si>
  <si>
    <t>DR 54.05.0450 (A)</t>
  </si>
  <si>
    <t>Embasamento de tubulação, feito com pó-de-pedra.(desonerado)</t>
  </si>
  <si>
    <t>DR 54.05.0500 (/)</t>
  </si>
  <si>
    <t>Enrocamento com  pedra-de-mão jogada, inclusive fornecimento desta.(desonerado)</t>
  </si>
  <si>
    <t>DR 54.05.0503 (/)</t>
  </si>
  <si>
    <t>Enrocamento com  pedra-de-mão arrumada, inclusive fornecimento desta.(desonerado)</t>
  </si>
  <si>
    <t>DR 54.05.0506 (B)</t>
  </si>
  <si>
    <t>Enrocamento com pedra até 1000Kg, inclusive fornecimento, carga, descarga e colocação com equipamentos pesados, exclusive transporte.(desonerado)</t>
  </si>
  <si>
    <t>DR 54.05.0509 (B)</t>
  </si>
  <si>
    <t>Enrocamento com pedra até 1000Kg a 3000Kg, inclusive fornecimento, carga, descarga e colocação com equipamentos pesados, exclusive transporte.(desonerado)</t>
  </si>
  <si>
    <t>DR 54.05.0512 (B)</t>
  </si>
  <si>
    <t>Enrocamento com pedra até 4000Kg a 7000Kg, inclusive fornecimento, carga, descarga e colocação com equipamentos pesados, exclusive transporte.(desonerado)</t>
  </si>
  <si>
    <t>DR 54.10 Bueiros em Chapa de Aço Galvanizada</t>
  </si>
  <si>
    <t>DR 54.10.0100 (A)</t>
  </si>
  <si>
    <t>Bueiro circular, em chapa galvanizada com revestimento Epóxi, espessura de 2mm, diâmetro de 1,90m, recobrimento mínimo de 0,40m e máximo de 7,90m.(desonerado)</t>
  </si>
  <si>
    <t>DR 54.10.0150 (A)</t>
  </si>
  <si>
    <t>Bueiro circular, em chapa galvanizada com revestimento Epóxi, espessura de 2mm, diâmetro de 2,10m, recobrimento mínimo de 0,50m e máximo de 7,10m.(desonerado)</t>
  </si>
  <si>
    <t>DR 54.10.0200 (A)</t>
  </si>
  <si>
    <t>Bueiro circular, em chapa galvanizada com revestimento Epóxi, espessura de 2,7mm, diâmetro de 3,80m, recobrimento mínimo de 0,60m e máximo de 10,50m.(desonerado)</t>
  </si>
  <si>
    <t>DR 54.10.0250 (/)</t>
  </si>
  <si>
    <t>Fornecimento de chapas, parafusos, porcas, e ferramentas necessárias à montagem de  bueiro simples, multi-plate circular, com 3,05m de diâmetro, sendo a chapa, revestida com Epóxi, com 2,65mm de espessura, Armco ou similar.(desonerado)</t>
  </si>
  <si>
    <t>DR 59.05 Gabião Caixa</t>
  </si>
  <si>
    <t>DR 59.05.0050 (/)</t>
  </si>
  <si>
    <t>Gabião caixa, malha hexagonal de (8x10)cm, fio com 2,4mm de diâmetro, revestido de PVC rígido, inclusive materiais e montagem; exclusive fornecimento de pedra de mão.(desonerado)</t>
  </si>
  <si>
    <t>DR 59.05.0053 (/)</t>
  </si>
  <si>
    <t>Gabião caixa, malha hexagonal de (8x10)cm, fio com  2,4mm de diâmetro, revestido de PVC rígido, inclusive materias e montagem.(desonerado)</t>
  </si>
  <si>
    <t>DR 59.05.0100 (/)</t>
  </si>
  <si>
    <t>Gabião caixa, malha haxagonal de (8x10)cm, fio com 2,7mm de diâmetro, de aço galvanizado, inclusive materiais e montagem; exclusive fornecimento de pedra de mão.(desonerado)</t>
  </si>
  <si>
    <t>DR 59.05.0103 (/)</t>
  </si>
  <si>
    <t>Gabião caixa, em malha de (8x10)cm, com fio 2,7mm de diâmetro, em aço galvanizado.  Fornecimento e colocação de todos os materiais.(desonerado)</t>
  </si>
  <si>
    <t>DR 59.05.0106 (/)</t>
  </si>
  <si>
    <t>Gabião caixa, malha haxagonal de (8x10)cm, fio com 2,7mm de diâmetro, de aço galvanizado, inclusive materiais e montagem.(desonerado)</t>
  </si>
  <si>
    <t>DR 59.10 Gabião Manta</t>
  </si>
  <si>
    <t>DR 59.10.0050 (A)</t>
  </si>
  <si>
    <t>Gabião manta com espessura de 0,30m, malha de 6x8, fio de 2mm, revestido de PVC, inclusive o fornecimento de todos os materiais e colocação.(desonerado)</t>
  </si>
  <si>
    <t>DR 64.05 Geossintéticos</t>
  </si>
  <si>
    <t>DR 64.05.0050 (/)</t>
  </si>
  <si>
    <t>Colchão drenante com camada de 30cm de pedra britada nº 3 e filtro de transição de manta Bidim, tipo OP-30 ou similar.(desonerado)</t>
  </si>
  <si>
    <t>DR 64.05.0100 (/)</t>
  </si>
  <si>
    <t>Manta Bidim ou similar tipo OP-30 em drenos subterrâneos, gabiões, filtros de transição, drenos profundos ou valetas.  Fornecimento e colocação.(desonerado)</t>
  </si>
  <si>
    <t>DR 64.05.0103 (/)</t>
  </si>
  <si>
    <t>Manta Bidim ou similar tipo OP-40 em drenos subterrâneos, gabiões, filtros de transição, drenos profundos ou valetas.  Fornecimento e colocação.(desonerado)</t>
  </si>
  <si>
    <t>DR 64.05.0106 (/)</t>
  </si>
  <si>
    <t>Manta Bidim ou similar tipo OP-60 em drenos subterrâneos, gabiões, filtros de transição, drenos profundos ou valetas.  Fornecimento e colocação.(desonerado)</t>
  </si>
  <si>
    <t>DR 64.05.0150 (/)</t>
  </si>
  <si>
    <t>Manta de Geogrelha flexível, em fios multifilamentos de poliéster de alta tenacidade, revestidos de PVC, em forma de grelha com abertura de malha de (20x20)mm, do tipo 20/13-20, Fortrac ou similar.  Fornecimento.(desonerado)</t>
  </si>
  <si>
    <t>DR 64.05.0153 (/)</t>
  </si>
  <si>
    <t>Manta de Geogrelha flexível, em fios multifilamentos de poliéster de alta tenacidade, revestidos de PVC, em forma de grelha com abertura de malha de (20x20)mm, do tipo 35/20-20, Fortrac ou similar.  Fornecimento.(desonerado)</t>
  </si>
  <si>
    <t>DR 64.05.0156 (/)</t>
  </si>
  <si>
    <t>Manta de Geogrelha flexível, em fios multifilamentos de poliéster de alta tenacidade, revestidos de PVC, em forma de grelha com abertura de malha de (20x20)mm, do tipo 55/30-20, Fortrac ou similar.  Fornecimento.(desonerado)</t>
  </si>
  <si>
    <t>DR 64.05.0159 (/)</t>
  </si>
  <si>
    <t>Manta de Geogrelha flexível, em fios multifilamentos de poliéster de alta tenacidade, revestidos de PVC, em forma de grelha com abertura de malha de (20x20)mm, do tipo 80/30-20, Fortrac ou similar.  Fornecimento.(desonerado)</t>
  </si>
  <si>
    <t>DR 64.05.0250 (/)</t>
  </si>
  <si>
    <t>Sistema de Confinamento Celular de polietileno texturizado, medindo (2,4x6)m, tipo GW 8204, GEOWEB ou similar.  Fornecimento.(desonerado)</t>
  </si>
  <si>
    <t>DR 64.05.0253 (/)</t>
  </si>
  <si>
    <t>Sistema de Confinamento Celular de polietileno texturizado, medindo (2,4x12)m, tipo GW 8404, GEOWEB ou similar.  Fornecimento.(desonerado)</t>
  </si>
  <si>
    <t>DR 69.05 Revestimento de Canal</t>
  </si>
  <si>
    <t>DR 69.05.0050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</si>
  <si>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terreno.(desonerado)</t>
  </si>
  <si>
    <t>DR 74.05 Levantamento e Reassentamento de Tubos</t>
  </si>
  <si>
    <t>DR 74.05.0050 (/)</t>
  </si>
  <si>
    <t>Levantamento, limpeza e reassentamento de tubos de concreto para galerias de águas pluviais, com diâmetro de 0,40m.(desonerado)</t>
  </si>
  <si>
    <t>DR 74.05.0053 (/)</t>
  </si>
  <si>
    <t>Levantamento, limpeza e reassentamento de tubos de concreto para galerias de águas pluviais, com diâmetro de 0,50m.(desonerado)</t>
  </si>
  <si>
    <t>DR 74.05.0056 (/)</t>
  </si>
  <si>
    <t>Levantamento, limpeza e reassentamento de tubos de concreto para galerias de águas pluviais, com diâmetro de 0,60m.(desonerado)</t>
  </si>
  <si>
    <t>DR 74.05.0059 (/)</t>
  </si>
  <si>
    <t>Levantamento, limpeza e reassentamento de tubos de concreto para galerias de águas pluviais, com diâmetro de 0,70m.(desonerado)</t>
  </si>
  <si>
    <t>DR 74.05.0062 (/)</t>
  </si>
  <si>
    <t>Levantamento, limpeza e reassentamento de tubos de concreto para galerias de águas pluviais, com diâmetro de 0,80m.(desonerado)</t>
  </si>
  <si>
    <t>DR 74.05.0065 (/)</t>
  </si>
  <si>
    <t>Levantamento, limpeza e reassentamento de tubos de concreto para galerias de águas pluviais, com diâmetro de 0,90m.(desonerado)</t>
  </si>
  <si>
    <t>DR 74.05.0068 (/)</t>
  </si>
  <si>
    <t>Levantamento, limpeza e reassentamento de tubos de concreto para galerias de águas pluviais, com diâmetro de 1,00m.(desonerado)</t>
  </si>
  <si>
    <t>DR 74.05.0071 (/)</t>
  </si>
  <si>
    <t>Levantamento, limpeza e reassentamento de tubos de concreto para galerias de águas pluviais, com diâmetro de 1,10m.(desonerado)</t>
  </si>
  <si>
    <t>DR 74.05.0074 (/)</t>
  </si>
  <si>
    <t>Levantamento, limpeza e reassentamento de tubos de concreto para galerias de águas pluviais, com diâmetro de 1,20m.(desonerado)</t>
  </si>
  <si>
    <t>DR 74.05.0077 (/)</t>
  </si>
  <si>
    <t>Levantamento, limpeza e reassentamento de tubos de concreto para galerias de águas pluviais, com diâmetro de 1,50m.(desonerado)</t>
  </si>
  <si>
    <t>DR 74.05.0080 (/)</t>
  </si>
  <si>
    <t>Levantamento, limpeza e reassentamento de tubos de concreto para galerias de águas pluviais, com diâmetro de 2,00m.(desonerado)</t>
  </si>
  <si>
    <t>EQ 04.05 Equipamentos para Transporte Horizontal e Vertical</t>
  </si>
  <si>
    <t>EQ 04.05.0050 (C)</t>
  </si>
  <si>
    <t>Caminhão basculante, capacidade de 5m3, com motorista, material de operação e material de manutenção, com as seguintes especificações mínimas: motor diesel de 162CV.  Custo horário produtivo.(desonerado)</t>
  </si>
  <si>
    <t>EQ 04.05.0053 (B)</t>
  </si>
  <si>
    <t>Caminhão bascalunte, capacidade de 5m3, com motorista e material de operação, com as seguintes especificações mínimas: motor diesel de 162CV.  Custo horário improdutivo (motor funcionando).(desonerado)</t>
  </si>
  <si>
    <t>EQ 04.05.0056 (A)</t>
  </si>
  <si>
    <t>Caminhão basculante, capacidade de 5m3, com motorista, com as seguintes especificações mínimas: motor diesel de 162CV.  Custo horário improdutivo (motor desligado).(desonerado)</t>
  </si>
  <si>
    <t>EQ 04.05.0062 (C)</t>
  </si>
  <si>
    <t>Caminhão basculante, capacidade de 5m3, com motorista, material de operação, material de manutenção e licenciamento,  com as seguintes especificações mínimas: motor diesel de 208CV.  Custo mensal.(desonerado)</t>
  </si>
  <si>
    <t>EQ 04.05.0080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</si>
  <si>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produtivo.(desonerado)</t>
  </si>
  <si>
    <t>EQ 04.05.0083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</si>
  <si>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improdutivo.(desonerado)</t>
  </si>
  <si>
    <t>EQ 04.05.0100 (B)</t>
  </si>
  <si>
    <t>Caminhão basculante, com capacidade de 7m3, com motorista, material de operação e material de manutenção, com as seguintes especificações mínimas: motor diesel de 208CV.  Custo horário produtivo.(desonerado)</t>
  </si>
  <si>
    <t>EQ 04.05.0103 (A)</t>
  </si>
  <si>
    <t>Caminhão basculante, com capacidade de 7m3, com motorista e material de operação, com as seguintes especificações mínimas: motor diesel de 208CV.  Custo horário improdutivo (motor funcionando).(desonerado)</t>
  </si>
  <si>
    <t>EQ 04.05.0106 (/)</t>
  </si>
  <si>
    <t>Caminhão basculante, com capacidade de 7m3, com motorista, com as seguintes especificações mínimas: motor diesel de 208CV.  Custo horário improdutivo (motor desligado).(desonerado)</t>
  </si>
  <si>
    <t>EQ 04.05.0112 (B)</t>
  </si>
  <si>
    <t>Caminhão basculante, capacidade de 7m3, com motorista, material de  operação, material de manutenção e licenciamento,  com as seguintes especificações mínimas: motor diesel de 208CV.  Custo mensal.(desonerado)</t>
  </si>
  <si>
    <t>EQ 04.05.0150 (A)</t>
  </si>
  <si>
    <t>Caminhão basculante, com capacidade de 8m3 a 10m3, com motorista, material de operação e material de manutenção, com as seguintes especificações mínimas: motor diesel de 210CV. Custo horário produtivo.(desonerado)</t>
  </si>
  <si>
    <t>EQ 04.05.0153 (/)</t>
  </si>
  <si>
    <t>Caminhão basculante, com capacidade de 8m3 a 10m3, com motorista e material de operação, com as seguintes especificações mínimas: motor diesel de 210CV. Custo horário improdutivo (motor funcionando).(desonerado)</t>
  </si>
  <si>
    <t>EQ 04.05.0156 (/)</t>
  </si>
  <si>
    <t>Caminhão basculante, com capacidade de 8m3 a 10m3, com motorista, com as seguintes especificações mínimas: motor diesel de 210CV. Custo horário improdutivo (motor desligado).(desonerado)</t>
  </si>
  <si>
    <t>EQ 04.05.0200 (A)</t>
  </si>
  <si>
    <t>Caminhão basculante, com capacidade de 10m3 a 12m3, com motorista, material de operação e material de manutenção, com as seguintes especificações mínimas: motor diesel de 220CV. Custo horário produtivo.(desonerado)</t>
  </si>
  <si>
    <t>EQ 04.05.0203 (/)</t>
  </si>
  <si>
    <t>Caminhão basculante, com capacidade de 10m3 a 12m3, com motorista, material de operação, com as seguintes especificações mínimas: motor diesel de 220CV. Custo horário improdutivo (motor funcionando).(desonerado)</t>
  </si>
  <si>
    <t>EQ 04.05.0206 (/)</t>
  </si>
  <si>
    <t>Caminhão basculante, com capacidade de 10m3 a 12m3, com motorista, com as seguintes especificações mínimas: motor diesel de 220CV. Custo horário improdutivo (motor desligado).(desonerado)</t>
  </si>
  <si>
    <t>EQ 04.05.0250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</si>
  <si>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mensal.(desonerado)</t>
  </si>
  <si>
    <t>EQ 04.05.0300 (A)</t>
  </si>
  <si>
    <t>Caminhão com Carroceria Fixa, capacidade de 3,5t, com motorista, material de operação e material de manutenção, com as seguintes especificações mínimas: motor diesel de 85CV.  Custo horário produtivo.(desonerado)</t>
  </si>
  <si>
    <t>EQ 04.05.0303 (/)</t>
  </si>
  <si>
    <t>Caminhão com Carroceria Fixa, capacidade de 3,5t, com motorista e material de operação, com as seguintes especificações mínimas: motor diesel de 85CV.  Custo horário improdutivo (motor funcionando).(desonerado)</t>
  </si>
  <si>
    <t>EQ 04.05.0306 (/)</t>
  </si>
  <si>
    <t>Caminhão com Carroceria Fixa, capacidade de 3,5t, com motorista, com as seguintes especificações mínimas: motor diesel de 85CV.  Custo horário improdutivo (motor desligado).(desonerado)</t>
  </si>
  <si>
    <t>EQ 04.05.0312 (B)</t>
  </si>
  <si>
    <t>Caminhão Carroceria fixa, capacidade de 3,5t, com motorista, material de operação, material de manutenção e licenciamento, com as seguintes especificações mínimas: motor diesel de 85CV.  Custo mensal.(desonerado)</t>
  </si>
  <si>
    <t>EQ 04.05.0350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</si>
  <si>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produtivo.(desonerado)</t>
  </si>
  <si>
    <t>EQ 04.05.0353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</si>
  <si>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funcionando).(desonerado)</t>
  </si>
  <si>
    <t>EQ 04.05.0356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</si>
  <si>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desligado).(desonerado)</t>
  </si>
  <si>
    <t>EQ 04.05.0360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</si>
  <si>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produtivo.(desonerado)</t>
  </si>
  <si>
    <t>EQ 04.05.0363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</si>
  <si>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improdutivo.(desonerado)</t>
  </si>
  <si>
    <t>EQ 04.05.0370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</si>
  <si>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mensal.(desonerado)</t>
  </si>
  <si>
    <t>EQ 04.05.0400 (C)</t>
  </si>
  <si>
    <t>Caminhão com Carroceria Fixa, capacidade de 7,5t, com motorista, material de operação e material de manutenção, com as seguintes especificações mínimas: motor diesel de 162CV.  Custo horário produtivo.(desonerado)</t>
  </si>
  <si>
    <t>EQ 04.05.0403 (A)</t>
  </si>
  <si>
    <t>Caminhão com Carroceria Fixa, capacidade de 7,5t, com motorista e material de operação, com as seguintes especificações mínimas: motor diesel de 162CV.  Custo horário improdutivo (motor funcionando).(desonerado)</t>
  </si>
  <si>
    <t>EQ 04.05.0406 (A)</t>
  </si>
  <si>
    <t>Caminhão com Carroceria Fixa, capacidade de 7,5t, com motorista, com as seguintes especificações mínimas: motor diesel de 162CV.  Custo horário improdutivo (motor desligado).(desonerado)</t>
  </si>
  <si>
    <t>EQ 04.05.0415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</si>
  <si>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produtivo.(desonerado)</t>
  </si>
  <si>
    <t>EQ 04.05.0418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</si>
  <si>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funcionando).(desonerado)</t>
  </si>
  <si>
    <t>EQ 04.05.0421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</si>
  <si>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desligado).(desonerado)</t>
  </si>
  <si>
    <t>EQ 04.05.0450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</si>
  <si>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produtivo.(desonerado)</t>
  </si>
  <si>
    <t>EQ 04.05.0453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</si>
  <si>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funcionando).(desonerado)</t>
  </si>
  <si>
    <t>EQ 04.05.0456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</si>
  <si>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desligado).(desonerado)</t>
  </si>
  <si>
    <t>EQ 04.05.0500 (A)</t>
  </si>
  <si>
    <t>Caminhão plataforma, capacidade de 3,5t, com motorista operador, com as seguintes especificações mínimas: motor diesel de 85CV, elevação de 8,5m.  Custo horário improdutivo (motor desligado).(desonerado)</t>
  </si>
  <si>
    <t>EQ 04.05.0509 (B)</t>
  </si>
  <si>
    <t>Caminhão com plataforma elevatória pantográfica hidráulica, com elevação até 8,5m, com motorista operador e um ajudante, com as seguintes especificações mínimas: motor diesel de 85CV.  Custo mensal.(desonerado)</t>
  </si>
  <si>
    <t>EQ 04.05.0512 (/)</t>
  </si>
  <si>
    <t>Plataforma pantográfica, elevação até 8,5m, exclusive operador.  Custo horário produtivo.(desonerado)</t>
  </si>
  <si>
    <t>EQ 04.05.0600 (B)</t>
  </si>
  <si>
    <t>Caminhão tanque, com capacidade de 6000 litros, com motorista, material de operação e material de manutenção, com as seguintes especificações mínimas: motor diesel de 162CV, pipa com motobamba e barra de irrigação.  Custo horário produtivo.(desonerado)</t>
  </si>
  <si>
    <t>EQ 04.05.0603 (A)</t>
  </si>
  <si>
    <t>Caminhão tanque, com capacidade de 6000 litros, com motorista e material de operação, com as seguintes especificações mínimas: motor diesel de 162CV, pipa com motobamba e barra de irrigação.  Custo horário improdutivo (motor funcionando).(desonerado)</t>
  </si>
  <si>
    <t>EQ 04.05.0606 (A)</t>
  </si>
  <si>
    <t>Caminhão tanque, com capacidade de 6000 litros, com motorista, com as seguintes especificações mínimas: motor diesel de 162CV, pipa com motobamba e barra de irrigação.  Custo horário improdutivo (motor desligado).(desonerado)</t>
  </si>
  <si>
    <t>EQ 04.05.0615 (B)</t>
  </si>
  <si>
    <t>Caminhão tanque, capacidade de 10.000l, com motorista, material de operação e material de manutenção, com as seguintes especificações mínimas: motor diesel de 142CV, bomba d'água e mangote com 50m de extensão.  Custo horário produtivo.(desonerado)</t>
  </si>
  <si>
    <t>EQ 04.05.0618 (A)</t>
  </si>
  <si>
    <t>Caminhão tanque, capacidade de 10.000l, com motorista e material de operação, com as seguintes especificações mínimas: motor diesel de 142CV, bomba d'água e mangote com 50m de extensão.  Custo horário improdutivo (motor funcionando).(desonerado)</t>
  </si>
  <si>
    <t>EQ 04.05.0621 (A)</t>
  </si>
  <si>
    <t>Caminhão tanque, capacidade de 10.000l, com motorista, com as seguintes especificações mínimas: motor diesel de 142CV, bomba d'água e mangote com 50m de extensão.  Custo horário improdutivo (motor desligado).(desonerado)</t>
  </si>
  <si>
    <t>EQ 04.05.0650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</si>
  <si>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produtivo.(desonerado)</t>
  </si>
  <si>
    <t>EQ 04.05.0653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</si>
  <si>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improdutivo.(desonerado)</t>
  </si>
  <si>
    <t>EQ 04.05.0700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</si>
  <si>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produtivo.(desonerado)</t>
  </si>
  <si>
    <t>EQ 04.05.0703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</si>
  <si>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funcionando).(desonerado)</t>
  </si>
  <si>
    <t>EQ 04.05.0706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</si>
  <si>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desligado)(desonerado)</t>
  </si>
  <si>
    <t>EQ 04.05.0715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</si>
  <si>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produtivo.(desonerado)</t>
  </si>
  <si>
    <t>EQ 04.05.0718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</si>
  <si>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funcionando).(desonerado)</t>
  </si>
  <si>
    <t>EQ 04.05.0721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</si>
  <si>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desligado).(desonerado)</t>
  </si>
  <si>
    <t>EQ 04.05.0730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</si>
  <si>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produtivo.(desonerado)</t>
  </si>
  <si>
    <t>EQ 04.05.0733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</si>
  <si>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funcionando).(desonerado)</t>
  </si>
  <si>
    <t>EQ 04.05.0736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</si>
  <si>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desligado).(desonerado)</t>
  </si>
  <si>
    <t>EQ 04.05.0750 (/)</t>
  </si>
  <si>
    <t>Guindauto sobre chassis, capacidade de 3,5t, exclusive operador, inclusive 2 ajudantes, com material de operação e de manutenção, com as seguintes especificações mínimas: Lança com alcance de até 5,9m, ângulo de giro de 180°.  Custo horário produtivo.(desonerado)</t>
  </si>
  <si>
    <t>EQ 04.05.0756 (/)</t>
  </si>
  <si>
    <t>Guindauto sobre chassis, capacidade de 3,5t, exclusive operador, inclusive 2 ajudantes, com as seguintes especificações mínimas: Lança com alcance de até 5,9m, ângulo de giro de 180°.  Custo horário improdutivo (motor desligado).(desonerado)</t>
  </si>
  <si>
    <t>EQ 04.05.0800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</si>
  <si>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produtivo.(desonerado)</t>
  </si>
  <si>
    <t>EQ 04.05.0806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</si>
  <si>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improdutivo.(desonerado)</t>
  </si>
  <si>
    <t>EQ 04.05.0850 (/)</t>
  </si>
  <si>
    <t>Pórtico móvel metálico, com talha manual de 10t, vão de 5m, curso de 30m em trilhos, exclusive operador.  Custo horário produtivo.(desonerado)</t>
  </si>
  <si>
    <t>EQ 04.05.0853 (/)</t>
  </si>
  <si>
    <t>Pórtico móvel metálico, com talha manual de 10t, vão de 5m, curso de 30m em trilhos, exclusive operador.  Custo horário improdutivo.(desonerado)</t>
  </si>
  <si>
    <t>EQ 04.10 Equipamentos para Serviços da RIOLUZ</t>
  </si>
  <si>
    <t>EQ 04.10.0050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</si>
  <si>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22:00h).(desonerado)</t>
  </si>
  <si>
    <t>EQ 04.10.0053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</si>
  <si>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05:00h).(desonerado)</t>
  </si>
  <si>
    <t>EQ 04.10.0300 (/)</t>
  </si>
  <si>
    <t>Cavalo mecânico, com semi-reboque extensível até 22m, com motorista, material de operação e material de manutenção, com as seguintes especificações mínimas: motor diesel de 330Cv.  Custo horário diurno (entre 05:00hs e 22:00h).(desonerado)</t>
  </si>
  <si>
    <t>EQ 04.15 Equipamentos para Serviços da SMTR / CET-RIO</t>
  </si>
  <si>
    <t>EQ 04.15.0500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</si>
  <si>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mensal.(desonerado)</t>
  </si>
  <si>
    <t>EQ 09.05 Perfuratriz Pneumática Leve</t>
  </si>
  <si>
    <t>EQ 09.05.0200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</si>
  <si>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produtivo.(desonerado)</t>
  </si>
  <si>
    <t>EQ 09.05.0206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</si>
  <si>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improdutivo.(desonerado)</t>
  </si>
  <si>
    <t>EQ 14.05 Equipamento para Demolição, Escavação e Movimento de Terra</t>
  </si>
  <si>
    <t>EQ 14.05.0212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</si>
  <si>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produtivo.(desonerado)</t>
  </si>
  <si>
    <t>EQ 14.05.0215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</si>
  <si>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funcionando).(desonerado)</t>
  </si>
  <si>
    <t>EQ 14.05.0218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</si>
  <si>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desligado).(desonerado)</t>
  </si>
  <si>
    <t>EQ 14.05.0270 (/)</t>
  </si>
  <si>
    <t>Fresadora/recicladora acoplável à pá-carregadeira, exclusive esta, com as seguintes especificações mínimas:  motor de 123 CV, largura de corte de 1000 mm e profundidade de corte de 200 mm como recicladora e 80 mm como fresadora.  Custo horário corrido.(desonerado)</t>
  </si>
  <si>
    <t>EQ 14.05.0300 (B)</t>
  </si>
  <si>
    <t>Fresadora à frio, com operador, material de operação e material de manutenção, com as seguintes especificações mínimas: motor de 211CV, largura de corte de 1000mm e profundidade de corte 300mm.  Custo horário produtivo.(desonerado)</t>
  </si>
  <si>
    <t>EQ 14.05.0303 (B)</t>
  </si>
  <si>
    <t>Fresadora à frio, com operador e material de operação, com as seguintes especificações mínimas: motor de 211CV, largura de corte de 1000mm e profundidade de corte 300mm.  Custo horário improdutivo (motor funcionando).(desonerado)</t>
  </si>
  <si>
    <t>EQ 14.05.0306 (B)</t>
  </si>
  <si>
    <t>Fresadora à frio, com operador, com as seguintes especificações mínimas: motor de 211CV, largura de corte de 1000mm e profundidade de corte 300mm.  Custo horário improdutivo (motor desligado).(desonerado)</t>
  </si>
  <si>
    <t>EQ 14.05.0350 (/)</t>
  </si>
  <si>
    <t>Grade de disco, peso de 13t, exclusive operador, com material de manutenção, com as seguintes especificações mínimas: armadura leve, composta de 20 discos, largura de corte de 2,30m, acionamento mecânico.  Custo horário produtivo.(desonerado)</t>
  </si>
  <si>
    <t>EQ 14.05.0356 (/)</t>
  </si>
  <si>
    <t>Grade de disco, peso de 13t, exclusive operador, com as seguintes especificações mínimas: armadura leve, composta de 20 discos, largura de corte de 2,30m, acionamento mecânico.  Custo horário improdutivo.(desonerado)</t>
  </si>
  <si>
    <t>EQ 14.05.0380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</si>
  <si>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produtivo.(desonerado)</t>
  </si>
  <si>
    <t>EQ 14.05.0386 (/)</t>
  </si>
  <si>
    <t>Minicarregadeira, com operador e as seguintes especificações mínimas: motor diesel de 50CV, peso de operação de 2,5t, capacidade de operação de 680Kg, força de desagregação de 1.400Kgf, altura de descarga de 2,3m.  Custo horário improdutivo (motor desligado).(desonerado)</t>
  </si>
  <si>
    <t>EQ 14.05.0400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</si>
  <si>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produtivo.(desonerado)</t>
  </si>
  <si>
    <t>EQ 14.05.0403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</si>
  <si>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funcionando).(desonerado)</t>
  </si>
  <si>
    <t>EQ 14.05.0406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</si>
  <si>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desligado).(desonerado)</t>
  </si>
  <si>
    <t>EQ 14.05.0450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</si>
  <si>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produtivo.(desonerado)</t>
  </si>
  <si>
    <t>EQ 14.05.0453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</si>
  <si>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funcionando).(desonerado)</t>
  </si>
  <si>
    <t>EQ 14.05.0456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</si>
  <si>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desligado).(desonerado)</t>
  </si>
  <si>
    <t>EQ 14.05.0461 (A)</t>
  </si>
  <si>
    <t>Pá-Carregadeira (Carregador frontal) sobre rodas, capacidade rasa de 2,66m3, com operador, material de operação e material de manutenção, com as seguintes especificações mínimas: motor diesel de 183,7CV.  Custo horário produtivo.(desonerado)</t>
  </si>
  <si>
    <t>EQ 14.05.0464 (/)</t>
  </si>
  <si>
    <t>Pá-Carregadeira (Carregador frontal) sobre rodas, capacidade rasa de 2,66m3, com operador, material de operação, com as seguintes especificações mínimas: motor diesel de 183,7CV.  Custo horário improdutivo (motor funcionando).(desonerado)</t>
  </si>
  <si>
    <t>EQ 14.05.0467 (/)</t>
  </si>
  <si>
    <t>Pá-Carregadeira (Carregador frontal) sobre rodas, capacidade rasa de 2,66m3, com operador, com as seguintes especificações mínimas: motor diesel de 183,7CV.  Custo horário improdutivo (motor desligado).(desonerado)</t>
  </si>
  <si>
    <t>EQ 14.05.0500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</si>
  <si>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produtivo.(desonerado)</t>
  </si>
  <si>
    <t>EQ 14.05.0503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</si>
  <si>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funcionando).(desonerado)</t>
  </si>
  <si>
    <t>EQ 14.05.0506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</si>
  <si>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desligado).(desonerado)</t>
  </si>
  <si>
    <t>EQ 14.05.0562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</si>
  <si>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produtivo.(desonerado)</t>
  </si>
  <si>
    <t>EQ 14.05.0574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</si>
  <si>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produtivo.(desonerado)</t>
  </si>
  <si>
    <t>EQ 14.05.0580 (/)</t>
  </si>
  <si>
    <t>Tesoura hidraúlica (pulverizador) com peso operacional de 1500Kg, adaptável à escavadeira hidraúlica.  Custo horário corrido.(desonerado)</t>
  </si>
  <si>
    <t>EQ 14.05.0600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</si>
  <si>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produtivo.(desonerado)</t>
  </si>
  <si>
    <t>EQ 14.05.0604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</si>
  <si>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funcionando).(desonerado)</t>
  </si>
  <si>
    <t>EQ 14.05.0607 (/)</t>
  </si>
  <si>
    <t>Trator de esteiras, com operador, com as seguintes especificações mínimas: motor diesel de 80HP, peso operacional de 8t, capacidade da lâmina de 1,8m3, profundidade de escavação com o riper de 0,35m.  Custo horário improdutivo (motor desligado).(desonerado)</t>
  </si>
  <si>
    <t>EQ 14.05.0612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</si>
  <si>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produtivo.(desonerado)</t>
  </si>
  <si>
    <t>EQ 14.05.0615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</si>
  <si>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funcionando).(desonerado)</t>
  </si>
  <si>
    <t>EQ 14.05.0618 (/)</t>
  </si>
  <si>
    <t>Trator de esteiras, com operador, com as seguintes especificações mínimas: motor diesel de 110HP, peso operacional de 11t, capacidade da lâmina de 3,2m3, profundidade de escavação com o riper de 0,50m.  Custo horário improdutivo (motor desligado).(desonerado)</t>
  </si>
  <si>
    <t>EQ 14.05.0650 (A)</t>
  </si>
  <si>
    <t>Trator de pneus, com operador, material de operação e material de manutenção, com as seguintes especificações mínimas: motor diesel de 75HP, tração 4x2, raio de giro 3.200mm e peso operacional de 3,7t.  Custo horário produtivo.(desonerado)</t>
  </si>
  <si>
    <t>EQ 14.05.0653 (/)</t>
  </si>
  <si>
    <t>Trator de pneus, com operador, material de operação, com as seguintes especificações mínimas: motor diesel de 75HP, tração 4x2, raio de giro 3.200mm e peso operacional de 3,7t.  Custo horário improdutivo (motor funcionando).(desonerado)</t>
  </si>
  <si>
    <t>EQ 14.05.0656 (/)</t>
  </si>
  <si>
    <t>Trator de pneus, com operador, com as seguintes especificações mínimas: motor diesel de 75HP, tração 4x2, raio de giro 3.200mm e peso operacional de 3,7t.  Custo horário improdutivo (motor desligado).(desonerado)</t>
  </si>
  <si>
    <t>EQ 19.05 Equipamento para Execução de Bases e Pavimentação</t>
  </si>
  <si>
    <t>EQ 19.05.0150 (A)</t>
  </si>
  <si>
    <t>Conjunto de Britagem, capacidade de 30m3/h de brita, com operador, energia de operação por grupo gerador, com as seguintes especificações mínimas: britador, rebritador, silos, gerador,estrutura de suporte tranportável e desmontável. Custo horário produtivo.(desonerado)</t>
  </si>
  <si>
    <t>EQ 19.05.0200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</si>
  <si>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produtivo.(desonerado)</t>
  </si>
  <si>
    <t>EQ 19.05.0203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</si>
  <si>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funcionando).(desonerado)</t>
  </si>
  <si>
    <t>EQ 19.05.0206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</si>
  <si>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desligado)(desonerado)</t>
  </si>
  <si>
    <t>EQ 19.05.0209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</si>
  <si>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 (Desonerado).</t>
  </si>
  <si>
    <t>EQ 19.05.0215 (A)</t>
  </si>
  <si>
    <t>Compactador Vibratório, com tambor Pé-de-Carneiro, auto-propulsor, com operador, material de operação e material de manutenção, com as seguintes especificações mínimas: motor diesel de 76HP, largura de 1,85m, com 6t a 7t.  Custo horário produtivo.(desonerado)</t>
  </si>
  <si>
    <t>EQ 19.05.0218 (/)</t>
  </si>
  <si>
    <t>Compactador Vibratório, com tambor Pé-de-Carneiro, auto-propulsor, com operador e material de operação, com as seguintes especificações mínimas: motor diesel de 76HP, largura de 1,85m, com 6t a 7t.  Custo horário improdutivo (motor funcionando).(desonerado)</t>
  </si>
  <si>
    <t>EQ 19.05.0221 (/)</t>
  </si>
  <si>
    <t>Compactador Vibratório, com tambor Pé-de-Carneiro, auto-propulsor, com operador, com as seguintes especificações mínimas: motor diesel de 76HP, largura de 1,85m, com 6t a 7t.  Custo horário improdutivo (motor desligado).(desonerado)</t>
  </si>
  <si>
    <t>EQ 19.05.0250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</si>
  <si>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produtivo.(desonerado)</t>
  </si>
  <si>
    <t>EQ 19.05.0256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</si>
  <si>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desligado).(desonerado)</t>
  </si>
  <si>
    <t>EQ 19.05.0260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</si>
  <si>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 (Desonerado).</t>
  </si>
  <si>
    <t>EQ 19.05.0300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</si>
  <si>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produtivo.(desonerado)</t>
  </si>
  <si>
    <t>EQ 19.05.0306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</si>
  <si>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funcionando).(desonerado)</t>
  </si>
  <si>
    <t>EQ 19.05.0350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</si>
  <si>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produtivo.(desonerado)</t>
  </si>
  <si>
    <t>EQ 19.05.0356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</si>
  <si>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improdutivo.(desonerado)</t>
  </si>
  <si>
    <t>EQ 19.05.0400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</si>
  <si>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produtivo.(desonerado)</t>
  </si>
  <si>
    <t>EQ 19.05.0403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</si>
  <si>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funcionando).(desonerado)</t>
  </si>
  <si>
    <t>EQ 19.05.0406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</si>
  <si>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desligado).(desonerado)</t>
  </si>
  <si>
    <t>EQ 19.05.0450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</si>
  <si>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produtivo.(desonerado)</t>
  </si>
  <si>
    <t>EQ 19.05.0453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</si>
  <si>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funcionando).(desonerado)</t>
  </si>
  <si>
    <t>EQ 19.05.0456 (A)</t>
  </si>
  <si>
    <t>Rolo Compactador Tanden Vibratório auto-propelido, capacidade de 4t para reparo de pavimentação, com operador, com as seguintes especificações mínimas: motor diesel de 13CV e respectiva carreta transportadora.  Custo horário improdutivo (motor desligado).(desonerado)</t>
  </si>
  <si>
    <t>EQ 19.05.0459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</si>
  <si>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 (Desonerado).</t>
  </si>
  <si>
    <t>EQ 19.05.0462 (A)</t>
  </si>
  <si>
    <t>Rolo Compactador Tandem, com operador, material de operação e material de manutenção, com as seguintes especificações mínimas: motor diesel de 58,5CV,  de 5t a 10t.  Custo horário produtivo.(desonerado)</t>
  </si>
  <si>
    <t>EQ 19.05.0465 (/)</t>
  </si>
  <si>
    <t>Rolo Compactador Tandem, com operador e material de operação,  com as seguintes especificações mínimas: motor diesel de 58,5CV,  de 5t a 10t.  Custo horário improdutivo (motor funcionando).(desonerado)</t>
  </si>
  <si>
    <t>EQ 19.05.0468 (/)</t>
  </si>
  <si>
    <t>Rolo Compactador Tandem, com operador, com as seguintes especificações mínimas: motor diesel de 58,5CV,  de 5t a 10t.  Custo horário improdutivo (motor desligado).(desonerado)</t>
  </si>
  <si>
    <t>EQ 19.05.0472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</si>
  <si>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produtivo.(desonerado)</t>
  </si>
  <si>
    <t>EQ 19.05.0475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</si>
  <si>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funcionando).(desonerado)</t>
  </si>
  <si>
    <t>EQ 19.05.0478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</si>
  <si>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parado).(desonerado)</t>
  </si>
  <si>
    <t>EQ 19.05.0480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</si>
  <si>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 (Desonerado).</t>
  </si>
  <si>
    <t>EQ 19.05.0500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</si>
  <si>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produtivo.(desonerado)</t>
  </si>
  <si>
    <t>EQ 19.05.0506 (A)</t>
  </si>
  <si>
    <t>Rolo Compactador Pé-de-Carneiro, rebocável duplo, com peso líquido 2,1t sem lastro e com lastro de areia, máximo de 6t, sem operador, com as seguintes especificações mínimas: dois tambores de 1,22m de comprimento, com patas, rebocável.  Custo horário improdutivo.(desonerado)</t>
  </si>
  <si>
    <t>EQ 19.05.0550 (B)</t>
  </si>
  <si>
    <t>Rolo Vibratório Liso de 7t, auto-propulsor para pavimentação, com operador, material de operação e material de manutenção, com as seguintes especificações mínimas: motor diesel de 76,5HP, largura total de 2,015m.  Custo horário produtivo.(desonerado)</t>
  </si>
  <si>
    <t>EQ 19.05.0553 (A)</t>
  </si>
  <si>
    <t>Rolo Vibratório Liso de 7t, auto-propulsor para pavimentação, com operador e material de operação, com as seguintes especificações mínimas: motor diesel de 76,5HP, largura total de 2,015m.  Custo horário improdutivo (motor funcionando).(desonerado)</t>
  </si>
  <si>
    <t>EQ 19.05.0556 (A)</t>
  </si>
  <si>
    <t>Rolo Vibratório Liso de 7t, auto-propulsor para pavimentação, com operador, com as seguintes especificações mínimas: motor diesel de 76,5HP, largura total de 2,015m.  Custo horário improdutivo (motor desligado).(desonerado)</t>
  </si>
  <si>
    <t>EQ 19.05.0600 (B)</t>
  </si>
  <si>
    <t>Rolo Compactador Tandem Vibratório, auto-propelido, para reparo de pavimentação, com operador, material de operação e material de manutenção, com as seguintes especificações mínimas: motor diesel de 28HP.  Custo horário produtivo.(desonerado)</t>
  </si>
  <si>
    <t>EQ 19.05.0603 (A)</t>
  </si>
  <si>
    <t>Rolo Compactador Tandem Vibratório, auto-propelido, para reparo de pavimentação, com operador e material de operação, com as seguintes especificações mínimas: motor diesel de 28HP.  Custo horário improdutivo (motor funcionando).(desonerado)</t>
  </si>
  <si>
    <t>EQ 19.05.0606 (A)</t>
  </si>
  <si>
    <t>Rolo Compactador Tandem Vibratório, auto-propelido, para reparo de pavimentação, com operador, com as seguintes especificações mínimas: motor diesel de 28HP.  Custo horário improdutivo (motor desligado).(desonerado)</t>
  </si>
  <si>
    <t>EQ 19.05.0700 (A)</t>
  </si>
  <si>
    <t>Soquete Vibratório de 78Kg, sem operador, com material de operação e material de manutenção, com as seguintes especificações mínimas: motor a gasolina de 2,5CV.  Custo horário produtivo.(desonerado)</t>
  </si>
  <si>
    <t>EQ 19.05.0706 (/)</t>
  </si>
  <si>
    <t>Soquete Vibratório de 78Kg, sem operador, com as seguintes especificações mínimas: motor a gasolina de 2,5CV.  Custo horário improdutivo(desonerado)</t>
  </si>
  <si>
    <t>EQ 19.05.0750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</si>
  <si>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produtivo.(desonerado)</t>
  </si>
  <si>
    <t>EQ 19.05.0756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</si>
  <si>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 (desonerado)</t>
  </si>
  <si>
    <t>EQ 19.05.0762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</si>
  <si>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 (desonerado)</t>
  </si>
  <si>
    <t>EQ 19.05.0775 (A)</t>
  </si>
  <si>
    <t>EQ 19.05.0800 (A)</t>
  </si>
  <si>
    <t>Vassoura Mecânica, sem operador, com material de manutenção, com as seguintes especificações mínimas: largura de trabalho de 2,44m, rebocável.  Custo horário produtivo.(desonerado)</t>
  </si>
  <si>
    <t>EQ 19.05.0806 (/)</t>
  </si>
  <si>
    <t>Vassoura Mecânica, sem operador, com as seguintes especificações mínimas: largura de trabalho de 2,44m, rebocável.  Custo horário improdutivo.(desonerado)</t>
  </si>
  <si>
    <t>EQ 19.05.0850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</si>
  <si>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produtivo.(desonerado)</t>
  </si>
  <si>
    <t>EQ 19.05.0853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</si>
  <si>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funcionando).(desonerado)</t>
  </si>
  <si>
    <t>EQ 19.05.0856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</si>
  <si>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desligado).(desonerado)</t>
  </si>
  <si>
    <t>EQ 19.05.0862 (A)</t>
  </si>
  <si>
    <t>Vibro-acabadora para asfalto, capacidade do silo de 10,5t, com operador e um servente, material de operação e material de manutenção, com as seguintes especificações mínimas: motor diesel de 98CV (96,04HP), largura de pavimentação 4,55m.  Custo horário produtivo.(desonerado)</t>
  </si>
  <si>
    <t>EQ 19.05.0865 (/)</t>
  </si>
  <si>
    <t>Vibro-acabadora para asfalto, capacidade do silo de 10,5t, com operador e um servente, material de operação, com as seguintes especificações mínimas: motor diesel de 98CV (96,04HP), largura de pavimentação 4,55m.  Custo horário improdutivo (motor funcionando).(desonerado)</t>
  </si>
  <si>
    <t>EQ 19.05.0868 (/)</t>
  </si>
  <si>
    <t>Vibro-acabadora para asfalto, capacidade do silo de 10,5t, com operador e um servente, com as seguintes especificações mínimas: motor diesel de 98CV (96,04HP), largura de pavimentação 4,55m.  Custo horário improdutivo (motor desligado).(desonerado)</t>
  </si>
  <si>
    <t>EQ 19.05.0870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</si>
  <si>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 (Desonerado).</t>
  </si>
  <si>
    <t>EQ 19.05.0871 (/)</t>
  </si>
  <si>
    <t>Kit do Sistema de nivelamento eletrônico para Vibro-acabadoras.  Custo horário.(desonerado)</t>
  </si>
  <si>
    <t>EQ 19.05.0900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</si>
  <si>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produtivo.(desonerado)</t>
  </si>
  <si>
    <t>EQ 19.05.0903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</si>
  <si>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improdutivo.(desonerado)</t>
  </si>
  <si>
    <t>EQ 24.05 Equipamento para Cravação de Estacas e Tubulões</t>
  </si>
  <si>
    <t>EQ 24.05.0050 (A)</t>
  </si>
  <si>
    <t>Bate Estacas sobre rolos, de queda simples com martelo de até 0,75t, com operador, encarregado geral de cravação e um servente, com material de operação e material de manutenção.  Custo horário produtivo.(desonerado)</t>
  </si>
  <si>
    <t>EQ 24.05.0053 (/)</t>
  </si>
  <si>
    <t>Bate Estacas sobre rolos, de queda simples com martelo de até 0,75t, com operador, encarregado geral de cravação e um servente, com material de operação.  Custo horário improdutivo (motor funcionando).(desonerado)</t>
  </si>
  <si>
    <t>EQ 24.05.0056 (/)</t>
  </si>
  <si>
    <t>Bate Estacas sobre rolos, de queda simples com martelo de até 0,75t, com operador, encarregado geral de cravação e um servente.  Custo horário improdutivo (motor desligado).(desonerado)</t>
  </si>
  <si>
    <t>EQ 24.05.0100 (A)</t>
  </si>
  <si>
    <t>Bate Estacas sobre rolos, de queda simples com martelo de 1,5t a 2,2t, com operador, encarregado geral de cravação e um servente, com material de operação e material de manutenção.  Custo horário produtivo.(desonerado)</t>
  </si>
  <si>
    <t>EQ 24.05.0103 (/)</t>
  </si>
  <si>
    <t>Bate Estacas sobre rolos, de queda simples com martelo de 1,5t a 2,2t, com operador, encarregado geral de cravação e um servente, com material de operação.  Custo horário improdutivo (motor funcionando).(desonerado)</t>
  </si>
  <si>
    <t>EQ 24.05.0106 (/)</t>
  </si>
  <si>
    <t>Bate Estacas sobre rolos, de queda simples com martelo de 1,5t a 2,2t, com operador, encarregado geral de cravação e um servente.  Custo horário improdutivo (motor desligado).(desonerado)</t>
  </si>
  <si>
    <t>EQ 24.05.0150 (A)</t>
  </si>
  <si>
    <t>Bate Estacas sobre rolos, de queda simples com martelo de 2,5t a 3,0t, com operador, encarregado geral de cravação e um servente, com material de operação e material de manutenção.  Custo horário produtivo.(desonerado)</t>
  </si>
  <si>
    <t>EQ 24.05.0153 (/)</t>
  </si>
  <si>
    <t>Bate Estacas sobre rolos, de queda simples com martelo de 2,5t a 3,0t, com operador, encarregado geral de cravação e um servente, com material de operação.  Custo horário improdutivo (motor funcionando).(desonerado)</t>
  </si>
  <si>
    <t>EQ 24.05.0156 (/)</t>
  </si>
  <si>
    <t>Bate Estacas sobre rolos, de queda simples com martelo de 2,5t a 3,0t, com operador, encarregado geral de cravação e um servente.  Custo horário improdutivo (motor desligado).(desonerado)</t>
  </si>
  <si>
    <t>EQ 24.05.0200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</si>
  <si>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produtivo.(desonerado)</t>
  </si>
  <si>
    <t>EQ 24.05.0203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</si>
  <si>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funcionando).(desonerado)</t>
  </si>
  <si>
    <t>EQ 24.05.0206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</si>
  <si>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desligado).(desonerado)</t>
  </si>
  <si>
    <t>EQ 24.05.0250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</si>
  <si>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produtivo.(desonerado)</t>
  </si>
  <si>
    <t>EQ 24.05.0253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</si>
  <si>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funcionando).(desonerado)</t>
  </si>
  <si>
    <t>EQ 24.05.0256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</si>
  <si>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desligado).(desonerado)</t>
  </si>
  <si>
    <t>EQ 24.05.0300 (A)</t>
  </si>
  <si>
    <t>Campânula para Tubulão Pneumático, capacidade de içamento de até 800Kg, sem operador, com as seguintes especificações mínimas: pressão de serviço de até 2,5Kg/cm2, inclusive guincho elétrico de içamento.  Custo horário produtivo.(desonerado)</t>
  </si>
  <si>
    <t>EQ 24.05.0303 (A)</t>
  </si>
  <si>
    <t>Campânula para Tubulão Pneumático, capacidade de içamento de até 800Kg, sem operador, com as seguintes especificações mínimas: pressão de serviço de até 2,5Kg/cm2, inclusive guincho elétrico de içamento.  Custo horário improdutivo.(desonerado)</t>
  </si>
  <si>
    <t>EQ 29.05 Equipamento para Preparo e Lançamento de Concreto</t>
  </si>
  <si>
    <t>EQ 29.05.0100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</si>
  <si>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produtivo.(desonerado)</t>
  </si>
  <si>
    <t>EQ 29.05.0106 (/)</t>
  </si>
  <si>
    <t>Betoneira com capacidade de 320l de mistura seca, sem operador, com as seguintes especificações mínimas: motor elétrico trifásico de 2CV, carregamento mecânico e tambor reversível.  Custo horário improdutivo.(desonerado)</t>
  </si>
  <si>
    <t>EQ 29.05.0150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</si>
  <si>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obra)(desonerado)</t>
  </si>
  <si>
    <t>EQ 29.05.0156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</si>
  <si>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obra)(desonerado)</t>
  </si>
  <si>
    <t>EQ 29.05.0200 (/)</t>
  </si>
  <si>
    <t>Betoneira com capacidade de 580l, carregador e motor elétrico WEG 7,5CV, 4 pólos, 220/380V, sem caixa d'água, Menegotti ou similar, sem operador.  Aluguel produtivo.(desonerado)</t>
  </si>
  <si>
    <t>EQ 29.05.0206 (/)</t>
  </si>
  <si>
    <t>Betoneira com capacidade de 580l, carregador e motor elétrico WEG 7,5CV, 4 pólos, 220/380V, sem caixa d'água, Menegotti ou similar, sem operador.  Aluguel improdutivo motor parado.(desonerado)</t>
  </si>
  <si>
    <t>EQ 29.05.0300 (A)</t>
  </si>
  <si>
    <t>Conjunto para projeção de concreto.  Custo horário produtivo.(desonerado)</t>
  </si>
  <si>
    <t>EQ 29.05.0303 (/)</t>
  </si>
  <si>
    <t>Conjunto para projeção de concreto.  Custo horário improdutivo.(desonerado)</t>
  </si>
  <si>
    <t>EQ 29.05.0550 (A)</t>
  </si>
  <si>
    <t>Vibrador de Imersão com tubo de 48mmx480mm, sem operador, com material de operação, energia elétrica e material de manutenção, com as seguintes especificações mínimas: motor elétrico trifásico de 2CV e mangote de 5m de comprimentor.  Custo horário produtivo.(desonerado)</t>
  </si>
  <si>
    <t>EQ 29.05.0556 (/)</t>
  </si>
  <si>
    <t>Vibrador de Imersão com tubo de 48mmx480mm, sem operador, com as seguintes especificações mínimas: motor elétrico trifásico de 2CV e mangote de 5m de comprimentor.  Custo horário improdutivo.(desonerado)</t>
  </si>
  <si>
    <t>EQ 34.05 Equipamentos para Poços Profundos</t>
  </si>
  <si>
    <t>EQ 34.05.0050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</si>
  <si>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produtivo.(desonerado)</t>
  </si>
  <si>
    <t>EQ 34.05.0053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</si>
  <si>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funcionando).(desonerado)</t>
  </si>
  <si>
    <t>EQ 34.05.0056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</si>
  <si>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desligado).(desonerado)</t>
  </si>
  <si>
    <t>EQ 34.10 Equipamentos para Drenagem</t>
  </si>
  <si>
    <t>EQ 34.10.0050 (/)</t>
  </si>
  <si>
    <t>Bomba Hidráulica Submersível, monofásica, com motor elétrico com potência de 1CV - 220V/380V, marca ABS modelo UNI 500 ou similar, exclusive acessórios.  Fornecimento e colocação.(desonerado)</t>
  </si>
  <si>
    <t>EQ 34.10.0100 (/)</t>
  </si>
  <si>
    <t>Bomba Hidráulica Submersível, trifásica, com motor elétrico com potência de 2CV - 220V/380V, marca ABS modelo UNI 600T ou similar, exclusive acessórios.  Fornecimento e colocação.(desonerado)</t>
  </si>
  <si>
    <t>EQ 34.10.0150 (/)</t>
  </si>
  <si>
    <t>Bomba Hidráulica Submersível, trifásica, com motor elétrico com potência de 3,5CV - 220V/380V, modelo AFP-100 ou similar, exclusive acessórios.  Fornecimento e colocação.(desonerado)</t>
  </si>
  <si>
    <t>EQ 34.10.0200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</si>
  <si>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produtivo.(desonerado)</t>
  </si>
  <si>
    <t>EQ 34.10.0203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</si>
  <si>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improdutivo.(desonerado)</t>
  </si>
  <si>
    <t>EQ 34.10.0250 (/)</t>
  </si>
  <si>
    <t>Bomba Hidráulica Submersível, trifásica, com motor elétrico com potência de 8CV - 220V/380V, modelo JUMBO S1ND ou similar, exclusive acessórios.  Fornecimento e instalação hidráulica e elétrica.(desonerado)</t>
  </si>
  <si>
    <t>EQ 34.10.0253 (/)</t>
  </si>
  <si>
    <t>Bomba hidráulica submersível, trifásica, motor elétrico com potência de 3,8CV, 220/380V, para tubulação de 3", modelo Jumbo 24ND da ABS ou similar.  Fornecimento.(desonerado)</t>
  </si>
  <si>
    <t>EQ 34.10.0256 (/)</t>
  </si>
  <si>
    <t>Bomba hidráulica submersível, trifásica, motor elétrico com potência de 2CV, 220/380V, para tubulação de 2", modelo Jumbo 14D da ABS ou similar.  Fornecimento.(desonerado)</t>
  </si>
  <si>
    <t>EQ 34.10.0259 (/)</t>
  </si>
  <si>
    <t>Bomba hidráulica submersível, trifásica, motor elétrico com potência de 1,5CV, 220/380V, para tubulação de 2", modelo Jumbo 12D da ABS ou similar.  Fornecimento.(desonerado)</t>
  </si>
  <si>
    <t>EQ 34.10.0262 (/)</t>
  </si>
  <si>
    <t>Bomba hidráulica submersível, trifásica, motor elétrico com potência de 15CV, 220/380V, para tubulação de 6", modelo Jumbo 84LD da ABS ou similar.  Fornecimento.(desonerado)</t>
  </si>
  <si>
    <t>EQ 34.10.0265 (/)</t>
  </si>
  <si>
    <t>Bomba hidráulica submersível, trifásica, motor elétrico com potência de 15CV, 220/380V, para tubulação de 4", modelo Jumbo 84ND da ABS ou similar.  Fornecimento.(desonerado)</t>
  </si>
  <si>
    <t>EQ 34.10.0268 (/)</t>
  </si>
  <si>
    <t>Bomba hidráulica submersível, trifásica, motor elétrico com potência de 9CV, 220/380V, para tubulação de 4", modelo Jumbo 54HD da ABS ou similar.  Fornecimento.(desonerado)</t>
  </si>
  <si>
    <t>EQ 34.10.0271 (/)</t>
  </si>
  <si>
    <t>Bomba hidráulica submersível, trifásica, motor elétrico com potência de 6CV, 220/380V, para tubulação de 3", modelo Jumbo 30MD da ABS ou similar.  Fornecimento.(desonerado)</t>
  </si>
  <si>
    <t>EQ 34.10.0274 (/)</t>
  </si>
  <si>
    <t>Bomba hidráulica submersível, trifásica, motor elétrico com potência de 6CV, 220/380V, para tubulação de 2", modelo Jumbo 30HD da ABS ou similar.  Fornecimento.(desonerado)</t>
  </si>
  <si>
    <t>EQ 34.10.0300 (A)</t>
  </si>
  <si>
    <t>Bomba hidráulica centrífuga submersa, com motor elétrico de 10CV, exclusive acessórios.   Fornecimento e instalação hidráulica e elétrica.(desonerado)</t>
  </si>
  <si>
    <t>EQ 34.10.0325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</si>
  <si>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Fornecimento.(desonerado)</t>
  </si>
  <si>
    <t>EQ 34.10.0350 (A)</t>
  </si>
  <si>
    <t>Bomba submersível para esgoto sanitário, curva 483, 7,5KW-1745RPM, 220/380 ou 440V,  trifásico, descarga de 100m, modelo CP 3127, tipo Flygt ou similar.  Fornecimento, instalação hidráulica e elétrica.(desonerado)</t>
  </si>
  <si>
    <t>EQ 34.10.0400 (/)</t>
  </si>
  <si>
    <t>Bomba Hidráulica Centrífuga Submersível, de 30CV, saída de 4" ou 6", modelo Jumbo 201, fabricação ABS ou similar.  Fornecimento.(desonerado)</t>
  </si>
  <si>
    <t>EQ 34.10.0450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</si>
  <si>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produtivo.(desonerado)</t>
  </si>
  <si>
    <t>EQ 34.10.0453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</si>
  <si>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improdutivo.(desonerado)</t>
  </si>
  <si>
    <t>EQ 34.10.0500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</si>
  <si>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produtivo.(desonerado)</t>
  </si>
  <si>
    <t>EQ 34.10.0503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</si>
  <si>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improdutivo.(desonerado)</t>
  </si>
  <si>
    <t>EQ 34.10.0551 (/)</t>
  </si>
  <si>
    <t>Moto Bomba Susuki ou similar, com bomba centrífuga auto-escorvante de rotor aberto, bocais de sucção de 3 , motor a gasolina de 5,3HP, inclusive mangueiras de sucção e recalque, sem operador.  Fornecimento.(desonerado)</t>
  </si>
  <si>
    <t>EQ 34.10.0600 (A)</t>
  </si>
  <si>
    <t>Recuperação de bomba hidráulica, centrífuga, trifásica, com motor elétrico de 3/4CV - 220V/380V, compreendendo a troca de selo, gaxetas, buchas, mancal, rolamentos e a pintura externa.(desonerado)</t>
  </si>
  <si>
    <t>EQ 34.10.0650 (A)</t>
  </si>
  <si>
    <t>Recuperação de bomba hidráulica, centrífuga submersível, monofásica, com motor elétrico de 1CV - 220V/380V, tipo ABS ou similar, compreendendo a troca de selo, gaxetas, buchas, mancal, rolamentos e a pintura externa.(desonerado)</t>
  </si>
  <si>
    <t>EQ 34.10.0670 (/)</t>
  </si>
  <si>
    <t>Recuperação de bomba hidráulica centrífuga, trifásica, motor elétrico de 1CV, modelo 250RS, Dancor ou similar, compreendendo a troca de selo, gaxetas, buchas, mancal, rolamentos e pintura externa.(desonerado)</t>
  </si>
  <si>
    <t>EQ 34.10.0685 (/)</t>
  </si>
  <si>
    <t>Recuperação de bomba hidráulica centrífuga, com motor elétrico, potência de 2CV, 220V, compreendendo a troca de selo, gaxetas, buchas, mancal, rolamentos e a pintura externa.(desonerado)</t>
  </si>
  <si>
    <t>EQ 34.10.0700 (A)</t>
  </si>
  <si>
    <t>Recuperação de bomba hidráulica, submersível, trifásica, com motor elétrico de 2CV - 220V/380V, tipo ABS ou similar, compreendendo a troca de selo, gaxetas, buchas, mancal, rolamentos e a pintura externa.(desonerado)</t>
  </si>
  <si>
    <t>EQ 34.10.0750 (A)</t>
  </si>
  <si>
    <t>Recuperação de bomba hidráulica, centrifuga submersível, tipo "sapo", trifásica, com motor elétrico de 2CV - 220V, compreendendo a troca de selo, gaxetas, buchas, mancal, rolamentos e a pintura externa.(desonerado)</t>
  </si>
  <si>
    <t>EQ 34.10.0800 (A)</t>
  </si>
  <si>
    <t>Recuperação de bomba hidráulica, vazão de 42m3/h, centrífuga submersível, refrigerada a água, trifásica com motor elétrico de 2,4CV - 220V/380V, compreendendo a troca de selo, gaxetas, buchas, mancal, rolamentos e a pintura externa.(desonerado)</t>
  </si>
  <si>
    <t>EQ 34.10.0850 (A)</t>
  </si>
  <si>
    <t>Recuperação de bomba hidráulica, centrífuga submersível, trifásica com motor elétrico de 3,5CV - 220V/380V, compreendendo a troca de selo, gaxetas, buchas, mancal, rolamentos e a pintura externa, tipo AFP-100 ou similar.(desonerado)</t>
  </si>
  <si>
    <t>EQ 34.10.0870 (/)</t>
  </si>
  <si>
    <t>Recuperação de bomba hidráulica centrífuga, submersível, trifásica, motor elétrico de 3,8CV modelo Jumbo 24ND, ABS ou similar, compreendendo a troca de selo, gaxetas, buchas, mancal, rolamentos e pintura externa.(desonerado)</t>
  </si>
  <si>
    <t>EQ 34.10.0880 (/)</t>
  </si>
  <si>
    <t>Recuperação de bomba hidráulica centrífuga, trifásica, motor elétrico de 5CV, série CAM,  modelo 618TJM, Dancor ou similar, compreendendo a troca de selo, gaxetas, buchas, mancal, rolamentos e pintura externa.(desonerado)</t>
  </si>
  <si>
    <t>EQ 34.10.0900 (A)</t>
  </si>
  <si>
    <t>Recuperação de bomba hidráulica, centrífuga submersível, trifásica com motor elétrico de 8CV - 220V/380V, tipo JUMBO S1ND ou similar, compreendendo a troca de selo, gaxetas, buchas, mancal, rolamentos e a pintura externa.(desonerado)</t>
  </si>
  <si>
    <t>EQ 34.10.0930 (/)</t>
  </si>
  <si>
    <t>Recuperação de bomba hidráulica centrífuga, submersível, trifásica, motor elétrico de 9CV modelo Jumbo 54HD, ABS ou similar, compreendendo a troca de selo, gaxetas, buchas, mancal, rolamentos e pintura externa.(desonerado)</t>
  </si>
  <si>
    <t>EQ 34.10.0950 (A)</t>
  </si>
  <si>
    <t>Recuperação de bomba hidráulica, centrífuga submersível, trifásica com motor elétrico de 4,2CV - 220V/380V, tipo SPV 30/2 ou similar, compreendendo a troca de selo, gaxetas, buchas, mancal, rolamentos e a pintura externa.(desonerado)</t>
  </si>
  <si>
    <t>EQ 34.10.1000 (A)</t>
  </si>
  <si>
    <t>Recuperação de bomba hidráulica, centrífuga submersível, trifásica com motor elétrico de 6,3CV - 220V/380V, compreendendo a troca de selo, gaxetas, buchas, mancal, rolamentos e a pintura externa, tipo SPV 40/C ou similar.(desonerado)</t>
  </si>
  <si>
    <t>EQ 34.10.1050 (/)</t>
  </si>
  <si>
    <t>Recuperação de Bomba Hidráulica Centrífuga Submersível, de 30CV, saída de 4" ou 6", modelo Jumbo 201, fabricação ABS ou similar.(desonerado)</t>
  </si>
  <si>
    <t>EQ 34.15 Eletrobombas</t>
  </si>
  <si>
    <t>EQ 34.15.0200 (/)</t>
  </si>
  <si>
    <t>Bomba Hidráulica Centrífuga trifásica, com motor elétrico de 3/4CV - 220V/380V, marca Worthington modelo D-520 ou similar, exclusive acessórios.  Fornecimento e colocação.(desonerado)</t>
  </si>
  <si>
    <t>EQ 34.15.0250 (A)</t>
  </si>
  <si>
    <t>Bomba Hidráulica Centrífuga, com motor elétrico, potência de 1CV, sucção de 1", elevação de 1", vazão de 5m3/h, altura manométrica máxima de 35MCA, trifásica, modelo 250RS da Dancor ou similar, exclusive acessórios.  Fornecimento e colocação.(desonerado)</t>
  </si>
  <si>
    <t>EQ 34.15.0253 (/)</t>
  </si>
  <si>
    <t>Bomba Hidráulica centrífuga, trifásica, motor elétrico 220/380V, com potência de 5CV, com sucção de 2" e elevação de 1 1/2", série CAM, modelo 618TJM, Dancor ou similar.  Fornecimento.(desonerado)</t>
  </si>
  <si>
    <t>EQ 34.15.0350 (A)</t>
  </si>
  <si>
    <t>Bomba Hidráulica Centrífuga, com motor elétrico, potência de 2CV; exclusive acessórios.   Fornecimento e colocação.(desonerado)</t>
  </si>
  <si>
    <t>EQ 34.15.0370 (/)</t>
  </si>
  <si>
    <t>Bomba hidráulica centrífuga, trifásica, motor elétrico de 3CV, tipo Mark Peerless DB7-C ou similar, exclusive acessórios.  Fornecimento e colocação.(desonerado)</t>
  </si>
  <si>
    <t>EQ 34.15.0470 (/)</t>
  </si>
  <si>
    <t>Bomba hidráulica centrífuga, trifásica, motor elétrico de 7,5CV, modelo DS9, WEG ou similar, exclusive acessórios.  Fornecimento e colocação.(desonerado)</t>
  </si>
  <si>
    <t>EQ 34.15.0500 (/)</t>
  </si>
  <si>
    <t>Bomba Hidráulica Centrífuga, com motor elétrico, potência de 10CV; exclusive acessórios.   Fornecimento e colocação.(desonerado)</t>
  </si>
  <si>
    <t>EQ 34.15.0600 (/)</t>
  </si>
  <si>
    <t>Bomba Hidráulica Centrífuga trifásica, com motor elétrico de 15CV - 220V/380V, marca Worthington modelo D-1020 ou similar, exclusive acessórios.  Fornecimento e colocação.(desonerado)</t>
  </si>
  <si>
    <t>EQ 34.15.0700 (/)</t>
  </si>
  <si>
    <t>Bomba Hidráulica Centrífuga, trifásica, com motor elétrico com potência de 25CV - 220V/380V, sucção de 2", elevação de 1 1/2", vazão de 40m3/h, altura de recalque de 90m, marca Alleri ou similar, exclusive acessórios.  Fornecimento e colocação.(desonerado)</t>
  </si>
  <si>
    <t>EQ 34.15.0800 (/)</t>
  </si>
  <si>
    <t>Bomba de eixo vertical, 1HP, 380V, diâmetro de 2" do tubo de elevação, AMT=5m, vazão de 26m3/h, modelo 1063 da Dancor, ou similar.  Fornecimento e colocação.(desonerado)</t>
  </si>
  <si>
    <t>EQ 34.15.1000 (A)</t>
  </si>
  <si>
    <t>Recuperação de bomba hidráulica, centrífuga, trifásica, com motor elétrico de 0,5CV, vazão de 9m3/h, compreendendo a troca de selo, gaxetas, buchas, mancal, rolamentos e a pintura externa, tipo Mark Peerless XD2-003 ou similar.(desonerado)</t>
  </si>
  <si>
    <t>EQ 34.15.1200 (A)</t>
  </si>
  <si>
    <t>Recuperação de bomba hidráulica, centrífuga, trifásica, com motor elétrico de 3CV, tipo Mark Peerless DBC 710 ou similar, compreendendo a troca de selo, gaxetas, buchas, mancal, rolamentos e a pintura externa.(desonerado)</t>
  </si>
  <si>
    <t>EQ 34.15.1250 (A)</t>
  </si>
  <si>
    <t>Recuperação de bomba hidráulica, centrífuga, trifásica, com motor elétrico de 7,5CV - 220/380V, tipo Mark Peerless DS9-009 ou similar, compreendendo a troca de selo, gaxetas, buchas, mancal, rolamentos e a pintura externa.(desonerado)</t>
  </si>
  <si>
    <t>EQ 34.15.1400 (A)</t>
  </si>
  <si>
    <t>Recuperação de bomba hidráulica, centrífuga, trifásica, com motor elétrico de 10CV - 220/380V, compreendendo a troca de selo, gaxetas, buchas, mancal, rolamentos e a pintura externa.(desonerado)</t>
  </si>
  <si>
    <t>EQ 34.15.1700 (A)</t>
  </si>
  <si>
    <t>Recuperação de bomba hidráulica, centrífuga, trifásica, com motor elétrico de 15CV - 220/380V, tipo Worthington D-1020 ou similar, compreendendo a troca de selo, gaxetas, buchas, mancal, rolamentos e a pintura externa.(desonerado)</t>
  </si>
  <si>
    <t>EQ 34.15.1800 (A)</t>
  </si>
  <si>
    <t>Recuperação de bomba hidráulica, centrífuga, trifásica, com motor elétrico de 25CV - 220/380V, sucção com diâmetro de 2", recalque com diâmetro de 1 1/2", compreendendo a troca de selo, gaxetas, buchas, mancal, rolamentos e a pintura externa, tipo Alleri ou similar.(desonerado)</t>
  </si>
  <si>
    <t>EQ 39.05 Equipamento para Desobstrução e Dragagem</t>
  </si>
  <si>
    <t>EQ 39.05.0150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</si>
  <si>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corrido.(desonerado)</t>
  </si>
  <si>
    <t>EQ 39.05.0153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</si>
  <si>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corrido.(desonerado)</t>
  </si>
  <si>
    <t>EQ 39.05.0200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</si>
  <si>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corrido.(desonerado)</t>
  </si>
  <si>
    <t>EQ 39.05.0250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</si>
  <si>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produtivo.(desonerado)</t>
  </si>
  <si>
    <t>EQ 39.05.0253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</si>
  <si>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funcionando).(desonerado)</t>
  </si>
  <si>
    <t>EQ 39.05.0256 (/)</t>
  </si>
  <si>
    <t>Equipamento para desobstrução de galerias (Bucket - Machine), sem operador, com as seguintes especificações mínimas: motor diesel de 12CV, avanço mecânico, jogo completo de acessórios e rebocável.  Custo horário improdutivo (motor desligado).(desonerado)</t>
  </si>
  <si>
    <t>EQ 39.05.0300 (/)</t>
  </si>
  <si>
    <t>Escavadeira sobre esteiras, com Clam - Shell, capacidade de 0,78m3, com operador, com material de operação e material de manutenção.  Custo horário corrido.(desonerado)</t>
  </si>
  <si>
    <t>EQ 39.05.0350 (/)</t>
  </si>
  <si>
    <t>Escavadeira sobre esteiras, com Drag - Line, capacidade de 0,78m3, com operador, com material de operação e material de manutenção.  Custo horário corrido.(desonerado)</t>
  </si>
  <si>
    <t>EQ 44.05 Equipamento de Ar Comprimido</t>
  </si>
  <si>
    <t>EQ 44.05.0050 (/)</t>
  </si>
  <si>
    <t>Broca de metal duro para perfuratriz pneumática, com comprimento de 0,80m, série 12 (800x40)mm, haste de 7/8".  Custo horário produtivo.(desonerado)</t>
  </si>
  <si>
    <t>EQ 44.05.0053 (/)</t>
  </si>
  <si>
    <t>Broca de metal duro para perfuratriz pneumática, com comprimento de 1,60m, série 12 (1600x39)mm, haste de 7/8".  Custo horário produtivo.(desonerado)</t>
  </si>
  <si>
    <t>EQ 44.05.0056 (/)</t>
  </si>
  <si>
    <t>Broca de metal duro para perfuratriz pneumática, com comprimento de 2,40m, série 12 (2400x38)mm, haste de 7/8".  Custo horário produtivo.(desonerado)</t>
  </si>
  <si>
    <t>EQ 44.05.0059 (/)</t>
  </si>
  <si>
    <t>Mangueira para compressor de ar, duas lonas, diâmetro de 3/4".  Custo horário corrido por decâmetro.(desonerado)</t>
  </si>
  <si>
    <t>h.dam</t>
  </si>
  <si>
    <t>EQ 44.05.0100 (B)</t>
  </si>
  <si>
    <t>Compressor de ar, portátil e rebocável, sem operador, com material de operação e material de manutenção, com as seguintes especificações mínimas: motor diesel de 40CV, pressão de trabalho de 102PSI, descarga livre de 170PCM.  Custo horário produtivo.(desonerado)</t>
  </si>
  <si>
    <t>EQ 44.05.0103 (/)</t>
  </si>
  <si>
    <t>Compressor de ar, portátil e rebocável, sem operador, com material de operação, com as seguintes especificações mínimas: motor diesel de 40CV, pressão de trabalho de 102PSI, descarga livre de 170PCM.  Custo horário improdutivo (motor funcionando).(desonerado)</t>
  </si>
  <si>
    <t>EQ 44.05.0106 (/)</t>
  </si>
  <si>
    <t>Compressor de ar, portátil e rebocável, sem operador, com as seguintes especificações mínimas: motor diesel de 40CV, pressão de trabalho de 102PSI, descarga livre de 170PCM.  Custo horário improdutivo (motor desligado).(desonerado)</t>
  </si>
  <si>
    <t>EQ 44.05.0150 (B)</t>
  </si>
  <si>
    <t>Compressor de ar, portátil e rebocável, sem operador, com material de operação e material de manutenção, com as seguintes especificações mínimas: motor diesel de 77CV, pressão de trabalho de 102PSI, descarga livre de 250PCM.  Custo horário produtivo.(desonerado)</t>
  </si>
  <si>
    <t>EQ 44.05.0156 (/)</t>
  </si>
  <si>
    <t>Compressor de ar, portátil e rebocável, sem operador, com material de operação, com as seguintes especificações mínimas: motor diesel de 77CV, pressão de trabalho de 102PSI, descarga livre de 250PCM.  Custo horário improdutivo (motor funcionando).(desonerado)</t>
  </si>
  <si>
    <t>EQ 44.05.0159 (/)</t>
  </si>
  <si>
    <t>Compressor de ar, portátil e rebocável, sem operador, com as seguintes especificações mínimas: motor diesel de 77CV, pressão de trabalho de 102PSI, descarga livre de 250PCM.  Custo horário improdutivo (motor desligado).(desonerado)</t>
  </si>
  <si>
    <t>EQ 44.05.0162 (/)</t>
  </si>
  <si>
    <t>Compressor de ar, portátil e rebocável, sem operador, com material de operação e material de manutenção, com as seguintes especificações mínimas: motor diesel de 77CV, pressão de trabalho de 102PSI, descarga livre de 335PCM.  Custo horário produtivo.(desonerado)</t>
  </si>
  <si>
    <t>EQ 44.05.0165 (/)</t>
  </si>
  <si>
    <t>Compressor de ar, portatil e rebocabel, sem operador, com material de operacao e material de manutencao, com as seguintes especificacoes minimas: motor diesel de 77CV, pressao de trabalho de 102PSI, descarga livre de 335PCM. Custo horario improdutivo (motor funcionando).</t>
  </si>
  <si>
    <t>EQ 44.05.0168 (/)</t>
  </si>
  <si>
    <t>Compressor de ar, portatil e rebocabel, sem operador, com material de operacao e material de manutencao, com as seguintes especificacoes minimas: motor diesel de 77CV, pressao de trabalho de 102PSI, descarga livre de 335PCM. Custo horario improdutivo (motor desligado).</t>
  </si>
  <si>
    <t>EQ 44.05.0200 (/)</t>
  </si>
  <si>
    <t>Compressor de ar, estacionário, sem operador, com material de operação e material de manutenção, com as seguintes especificações mínimas: motor diesel de 125HP, pressão de trabalho de 100PSI, descarga livre de 631PCM.  Custo horário produtivo.(desonerado)</t>
  </si>
  <si>
    <t>EQ 44.05.0203 (/)</t>
  </si>
  <si>
    <t>Compressor de ar, estacionário, sem operador, com material de operação, com as seguintes especificações mínimas: motor diesel de 125HP, pressão de trabalho de 100PSI, descarga livre de 631PCM.  Custo horário improdutivo (motor funcionando).(desonerado)</t>
  </si>
  <si>
    <t>EQ 44.05.0206 (A)</t>
  </si>
  <si>
    <t>Compressor de ar, estacionário, sem operador, com as seguintes especificações mínimas: motor diesel de 125HP, pressão de trabalho de 100PSI, descarga livre de 631PCM.  Custo horário improdutivo (motor desligado).</t>
  </si>
  <si>
    <t>EQ 44.05.0600 (A)</t>
  </si>
  <si>
    <t>Rompedor Pneumático, peso de 32,6Kg, com material de manutenção, exclusive o operador, ponteiro e mangueira, com as seguintes especificações mínimas: consumo de ar de 38,8l/s, freqüência de impactos 1110 impactos/min.  Custo horário produtivo.(desonerado)</t>
  </si>
  <si>
    <t>EQ 44.05.0606 (/)</t>
  </si>
  <si>
    <t>Rompedor Pneumático, peso de 32,6Kg, exclusive o operador, ponteiro e mangueira, com as seguintes especificações mínimas: consumo de ar de 38,8l/s, freqüência de impactos 1110 impactos/min.  Custo horário improdutivo (motor desligado).(desonerado)</t>
  </si>
  <si>
    <t>EQ 44.10 Geradores</t>
  </si>
  <si>
    <t>EQ 44.10.0050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</si>
  <si>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produtivo.(desonerado)</t>
  </si>
  <si>
    <t>EQ 44.10.0056 (/)</t>
  </si>
  <si>
    <t>Grupo gerador transportável, com potência de 2500W, sem operador, com as seguintes especificações mínimas: motor a gasolina de 5,5CV, 110V / 240V de corrente alternada ou 12V / 8,3A de corrente contínua.  Custo horário improdutivo.(desonerado)</t>
  </si>
  <si>
    <t>EQ 44.10.0100 (A)</t>
  </si>
  <si>
    <t>Grupo gerador transportável sobre rodas, com potência de 80/84Kva, sem operador, com material de operação e material de manutenção, com as seguintes especificações mínimas: motor diesel de 85CV a 1800RPM e partida automática.  Custo horário produtivo.(desonerado)</t>
  </si>
  <si>
    <t>EQ 44.10.0103 (/)</t>
  </si>
  <si>
    <t>Grupo gerador transportável sobre rodas, com potência de 80/84Kva, sem operador, com material de operação, com as seguintes especificações mínimas: motor diesel de 85CV a 1800RPM e partida automática.  Custo horário improdutivo (motor funcionando).(desonerado)</t>
  </si>
  <si>
    <t>EQ 44.10.0106 (/)</t>
  </si>
  <si>
    <t>Grupo gerador transportável sobre rodas, com potência de 80/84Kva, sem operador, com as seguintes especificações mínimas: motor diesel de 85CV a 1800RPM e partida automática.  Custo horário improdutivo (motor desligado).(desonerado)</t>
  </si>
  <si>
    <t>EQ 44.10.0150 (A)</t>
  </si>
  <si>
    <t>Grupo gerador estacionário, com potência de 139/150Kva, sem operador, com material de operação e material de manutenção, com as seguintes especificações mínimas: motor diesel de 180CV a 1800RPM e partida automática.  Custo horário produtivo.(desonerado)</t>
  </si>
  <si>
    <t>EQ 44.10.0156 (/)</t>
  </si>
  <si>
    <t>Grupo gerador estacionário, com potência de 139/150Kva, sem operador, com as seguintes especificações mínimas: motor diesel de 180CV a 1800RPM e partida automática.  Custo horário improdutivo.(desonerado)</t>
  </si>
  <si>
    <t>EQ 44.15 Máquinas de Soldar</t>
  </si>
  <si>
    <t>EQ 44.15.0100 (/)</t>
  </si>
  <si>
    <t>Retificador de solda, elétrico, de 430A.  Custo horário corrido.(desonerado)</t>
  </si>
  <si>
    <t>EQ 49.05 Equipamentos para Sinalização Gráfica Horizontal</t>
  </si>
  <si>
    <t>EQ 49.05.0050 (/)</t>
  </si>
  <si>
    <t>Máquina demarcadora de faixas, a frio, sem operador.  Custo horário produtivo.(desonerado)</t>
  </si>
  <si>
    <t>EQ 49.05.0100 (/)</t>
  </si>
  <si>
    <t>Máquina demarcadora de faixas, com fusor aplicador e fusor derretedor, sem operador.  Custo horário produtivo.(desonerado)</t>
  </si>
  <si>
    <t>EQ 49.05.0150 (/)</t>
  </si>
  <si>
    <t>Máquina demarcadora de faixas, montada sobre caminhão, com fusor aplicador de massa termoplástica por extrusão, sem operador.  Custo horáriol produtivo.(desonerado)</t>
  </si>
  <si>
    <t>EQ 59.05 Talha Guincho</t>
  </si>
  <si>
    <t>EQ 59.05.0050 (/)</t>
  </si>
  <si>
    <t>Talha Guincho manual de 10Kg, sem operador, com as seguintes especificações mínimas: capacidade de içamento de 1500Kg e de tração de 1800Kg, cabo de aço com curso ilimitado, alavanca, gancho e carretel.  Custo horário corrido.(desonerado)</t>
  </si>
  <si>
    <t>EQ 59.10 Serra Circular</t>
  </si>
  <si>
    <t>EQ 59.10.0100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</si>
  <si>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produtivo.(desonerado)</t>
  </si>
  <si>
    <t>EQ 59.10.0103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</si>
  <si>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funcionando).(desonerado)</t>
  </si>
  <si>
    <t>EQ 59.10.0106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</si>
  <si>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desligado).(desonerado)</t>
  </si>
  <si>
    <t>EQ 59.10.0200 (A)</t>
  </si>
  <si>
    <t>Serra de alta potência (moto serra), sem operador, com as seguintes especificações mínimas: motor a gasolina com potência de 43Kw, sabre de 63cm.  Custo horário produtivo.(desonerado)</t>
  </si>
  <si>
    <t>EQ 59.10.0206 (/)</t>
  </si>
  <si>
    <t>Serra de alta potência (moto serra), sem operador, com as seguintes especificações mínimas: motor a gasolina com potência de 43Kw, sabre de 63cm.  Custo horário improdutivo.(desonerado)</t>
  </si>
  <si>
    <t>EQ 59.99 Diversos</t>
  </si>
  <si>
    <t>EQ 59.99.0100 (/)</t>
  </si>
  <si>
    <t>Corrente galvanizada com diâmetro do arame de 3/16", inclusive acessórios, destinada à sustentação de bombas submersíveis até 60Kg.  Fornecimento.(desonerado)</t>
  </si>
  <si>
    <t>EQ 59.99.0200 (/)</t>
  </si>
  <si>
    <t>Equipamento com circuito fechado de televisão, para inspeção em galerias de águas pluviais e de esgoto sanitário, com caminhoneta para 09 passageiros com motorista, material de operação e material de manutenção, sem operador.  Custo horário produtivo.(desonerado)</t>
  </si>
  <si>
    <t>EQ 59.99.0300 (A)</t>
  </si>
  <si>
    <t>Roçadeira costal motorizada, sem operador, com as seguintes especificações mínimas: motor a gasolina de dois tempos, potência de 1,7Kw.  Custo horário produtivo.(desonerado)</t>
  </si>
  <si>
    <t>EQ 59.99.0306 (/)</t>
  </si>
  <si>
    <t>Roçadeira costal motorizada, sem operador, com as seguintes especificações mínimas: motor a gasolina de dois tempos, potência de 1,7Kw.  Custo horário improdutivo (motor desligado).(desonerado)</t>
  </si>
  <si>
    <t>EQ 59.99.0400 (/)</t>
  </si>
  <si>
    <t>Estação total eletrônica TOPCON, GTS236W ou similar, com bateria, tripé, prisma, acessórios e software de coleta de dados.(desonerado)</t>
  </si>
  <si>
    <t>EQ 59.99.0450 (/)</t>
  </si>
  <si>
    <t>Receptor GPS TOPCON, Hiper L1 + L2 ou similar, coletor de dados, tripé, acessórios e licença software.(desonerado)</t>
  </si>
  <si>
    <t>EQ 59.99.0500 (/)</t>
  </si>
  <si>
    <t>Teodolito eletrônico, com tripé, bateria, recarregador e demais acessórios, sem equipe de topografia.  Custo horário produtivo.(desonerado)</t>
  </si>
  <si>
    <t>ES 04.05 Portas</t>
  </si>
  <si>
    <t>ES 04.05.0050 (/)</t>
  </si>
  <si>
    <t>Porta de enrolar em chapa raiada nº 24, completa, com guias eixos e molas, com fechadura no centro e cadeado de piso, inclusive este.  Fornecimento e instalação.(desonerado)</t>
  </si>
  <si>
    <t>ES 04.05.0100 (A)</t>
  </si>
  <si>
    <t>Porta de ferro em barra chata de 1 1/4" medindo: (0,40x0,90)m.  Fornecimento e instalação.(desonerado)</t>
  </si>
  <si>
    <t>ES 04.05.0103 (/)</t>
  </si>
  <si>
    <t>Porta de ferro em barras horizontais de (1 1/4"x1/4"), a cada 10cm, contorno do mesmo material, revestida com chapa de ferro galvanizado nº 16, guarnição em cantoneira de (1 1/2"x1/8"), com fecho para cadeado de 30mm, exclusive este.  Fornecimento e instalação.(desonerado)</t>
  </si>
  <si>
    <t>ES 04.05.0106 (/)</t>
  </si>
  <si>
    <t>Porta de ferro, com largura 1m, em barra de (1 1/4"x5/16"), cantoneira (1 1/2"x1/8"), 3 dobradiças (4"x3"), referência 1244G e (3"x2 1/2"), Pagé ou similar.  Fornecimento e instalação.(desonerado)</t>
  </si>
  <si>
    <t>ES 04.05.0200 (/)</t>
  </si>
  <si>
    <t>Porta tipo grade de ferro com 2 folhas de abrir, grade de (10x10)cm, confeccionada em barra de (1/2"x1/4"), tubular de (70x30)cm, com pintura eletrostática na cor azul, altura de 2,14m e largura de 2,40m.  Fornecimento e instalação.(desonerado)</t>
  </si>
  <si>
    <t>ES 04.05.0203 (/)</t>
  </si>
  <si>
    <t>Porta tipo grade de ferro com 2 folhas de abrir, grade de (10x10)cm, confeccionada em barra de (1/2"x1/4"), tubular de (70x30)cm, vidro plano  transparente de 5mm e pintura eletrostática na cor azul, altura de 2,14m e largura de 2,40m.  Fornecimento e instalação.(desonerado)</t>
  </si>
  <si>
    <t>ES 04.05.0250 (/)</t>
  </si>
  <si>
    <t>Portinhola para alçapão, cisterna ou caixa d'água elevada em chapa de ferro galvanizada nº 16, medindo: (0,80x0,80)m, com guarnição e alça para fechamento a cadeado, exclusive este.  Fornecimento e instalação.(desonerado)</t>
  </si>
  <si>
    <t>ES 04.10 Portas Corta-Fogo</t>
  </si>
  <si>
    <t>ES 04.10.0050 (/)</t>
  </si>
  <si>
    <t>Porta corta-fogo de (90x210)cm com 4,5cm de espessura, revestida de chapa de aço, tendo marcos do mesmo material e 3 pares de dobradiças com mola, fabricação Brasmet ou similar.  Fornecimento e instalação.(desonerado)</t>
  </si>
  <si>
    <t>ES 04.15 Portões</t>
  </si>
  <si>
    <t>ES 04.15.0050 (/)</t>
  </si>
  <si>
    <t>Portão de chapa de ferro galvanizado, com espessura de 0,5mm, com altura entre 2m e 3m e área total de 6m2 a 9m2, exclusive fechadura.(desonerado)</t>
  </si>
  <si>
    <t>ES 04.15.0053 (/)</t>
  </si>
  <si>
    <t>Portão de chapa de ferro galvanizado de nº 16, com 2,5 a 3m de altura e área total de 6 a 9m2, em 2 folhas, sobre estrutura de marcos perfilados, com 5 pares de dobradiça extra fortes em cada folha, exclusive fechadura.  Fornecimento.(desonerado)</t>
  </si>
  <si>
    <t>ES 04.15.0100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</si>
  <si>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instalação.(desonerado)</t>
  </si>
  <si>
    <t>ES 04.15.0125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</si>
  <si>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Fornecimento.(desonerado)</t>
  </si>
  <si>
    <t>ES 04.15.0150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</si>
  <si>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instalação.(desonerado)</t>
  </si>
  <si>
    <t>ES 04.15.0153 (/)</t>
  </si>
  <si>
    <t>Portão de ferro, em 2 folhas, medindo: (2,10x1,60)m cada uma, em barras verticais em aço redondo de 1/2", espaçados de 15cm, contorno em barra chata de (2"x5/8"), inclusive ferragens e pintura.  Fornecimento e instalação.(desonerado)</t>
  </si>
  <si>
    <t>ES 04.15.0156 (/)</t>
  </si>
  <si>
    <t>Portão de ferro, em 2 folhas, medindo: (2,27x2,20)m, barras verticais, em aço com diâmetro de 3/4", espaçamento entre eixos de 0,12m, contorno em barras de aço com diâmetro de (2"x1/2"), inclusive ferragens.  Fornecimento e instalação, inclusive pintura.(desonerado)</t>
  </si>
  <si>
    <t>ES 04.15.0159 (/)</t>
  </si>
  <si>
    <t>Portão de ferro, medindo: (2x2,90)m, sendo 1m fixo e 1m móvel, em barras verticais de ferro com diâmetro de 3/4", com espaçamento entre eixos de 0,12m, contorno em barras de (2"x1/2"), inclusive ferragens.  Fornecimento e instalação, inclusive pintura.(desonerado)</t>
  </si>
  <si>
    <t>ES 04.15.0162 (/)</t>
  </si>
  <si>
    <t>Portão de ferro, em 2 folhas, medindo: (2,27x3,00)m, barras verticais em aço com diâmetro de 3/4", espaçamento entre eixos de 0,12m, contorno em barra chata de aço de (2"x12"), inclusive ferragens.  Fornecimento e instalação, inclusive pintura.(desonerado)</t>
  </si>
  <si>
    <t>ES 04.15.0165 (A)</t>
  </si>
  <si>
    <t>Portão em 2 folhas, medindo: (3,00x1,20)m, constituindo-se de 2 quadros com 2 travamentos horizontais em tubo de ferro galvanizado de 4", fixados em montantes do mesmo material, conforme projeto RIOZOO.  Fornecimento e instalação.(desonerado)</t>
  </si>
  <si>
    <t>ES 04.15.0171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</si>
  <si>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instalação.(desonerado)</t>
  </si>
  <si>
    <t>ES 04.15.0174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</si>
  <si>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instalação.(desonerado)</t>
  </si>
  <si>
    <t>ES 04.15.0177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</si>
  <si>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instalação.(desonerado)</t>
  </si>
  <si>
    <t>ES 04.15.0200 (/)</t>
  </si>
  <si>
    <t>Portão de ferro, confeccionado em barra redonda ou perfil de 5/8", pintada com 1 demão de zarcão verde, inclusive fechadura e cadeado.  Fornecimento e instalação.(desonerado)</t>
  </si>
  <si>
    <t>ES 04.20 Janelas</t>
  </si>
  <si>
    <t>ES 04.20.0050 (/)</t>
  </si>
  <si>
    <t>Basculante de ferro em caixilho de cantoneira de 3/4", básculas de cantoneira de 5/8",  alavanca com punho cromado.  Fornecimento e instalação.(desonerado)</t>
  </si>
  <si>
    <t>ES 04.20.0103 (/)</t>
  </si>
  <si>
    <t>Janela basculante em ferro, medindo (100x100)cm, fixação de vidros, exclusive estes, mediante massa.  Fornecimento e instalação.(desonerado)</t>
  </si>
  <si>
    <t>ES 04.20.0106 (/)</t>
  </si>
  <si>
    <t>Janela basculante em ferro, medindo (150x150)cm, fixação de vidros, exclusive estes, mediante massa.  Fornecimento e instalação.(desonerado)</t>
  </si>
  <si>
    <t>ES 04.20.0109 (/)</t>
  </si>
  <si>
    <t>Janela basculante em ferro, medindo (150x200)cm, fixação de vidros, exclusive estes, mediante massa.  Fornecimento e instalação.(desonerado)</t>
  </si>
  <si>
    <t>ES 04.20.0500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</si>
  <si>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instalação.(desonerado)</t>
  </si>
  <si>
    <t>ES 04.25 Grades e Cercas</t>
  </si>
  <si>
    <t>ES 04.25.0050 (A)</t>
  </si>
  <si>
    <t>Cerca em tubo de ferro galvanizado de 4" em módulos de (3,00x1,20)m, constituindo-se cada módulo por 2 montantes de 1,20m de altura e 2 travamentos horizontais com 3m.(desonerado)</t>
  </si>
  <si>
    <t>mod</t>
  </si>
  <si>
    <t>ES 04.25.0100 (A)</t>
  </si>
  <si>
    <t>Grade de ferro formada por barras de ferros chatos verticais de (1 1/2"x3/8") e barras horizontais de (2"x3/8"), com montantes de (1 1/2"x1 1/2") a cada 2m.  Fornecimento e instalação.(desonerado)</t>
  </si>
  <si>
    <t>ES 04.25.0150 (/)</t>
  </si>
  <si>
    <t>Grade de ferro para proteção de janela ou aparelhos de ar condicionado, formado por barras quadradas de 3/8", chumbadas na alvenaria.  Fornecimento e instalação.(desonerado)</t>
  </si>
  <si>
    <t>ES 04.25.0200 (A)</t>
  </si>
  <si>
    <t>Grade pantográfica de ferro para janelas ou portas, em perfis de 3/4" com altura até 2,20m correndo sobre canaletas com fecho para instalação de cadeado, inclusive este.  Fornecimento e instalação.(desonerado)</t>
  </si>
  <si>
    <t>ES 04.25.0300 (A)</t>
  </si>
  <si>
    <t>Gradil em aço redondo de 1/2", espaçados de 15cm, montantes em aço redondo de 2" e 2 barras chatas de (2"x5/8") horizontais, tendo 2,50m de largura e 1,60m de altura, conforme projeto FPJ, inclusive pintura.  Fornecimento e instalação.(desonerado)</t>
  </si>
  <si>
    <t>ES 04.25.0303 (A)</t>
  </si>
  <si>
    <t>Gradil em barras de aço com diâmetro de 3/4", formando módulos de 2m, com 1,80m de altura, conforme projeto FPJ.  Fornecimento e instalação.(desonerado)</t>
  </si>
  <si>
    <t>ES 04.25.0306 (A)</t>
  </si>
  <si>
    <t>Gradil em barras de aço de 3/4", espaçadas de 12cm, montantes em barra quadrada de 2" e 2 barras chatas de (2"x1/2") horizontais, tudo em 2m de largura e 1,35m de altura.  Fornecimento e instalação, inclusive pinrtura.(desonerado)</t>
  </si>
  <si>
    <t>ES 04.25.0309 (A)</t>
  </si>
  <si>
    <t>Haste em barra de aço de 3/4", para fixação de gradil em muro.  Soldada em gradil e chumbada no muro, inclusive pintura.(desonerado)</t>
  </si>
  <si>
    <t>ES 04.25.0350 (A)</t>
  </si>
  <si>
    <t>Gradil de ferro, altura de 0,85m, com montantes a cada 1,30m em barras verticais quadradas de (1"x1"), fixadas em blocos de concreto de (0,20x0,20x0,20)m, soldadas em 2 barras horizontais, superior e inferior, de (1 1/2"x3/8").  Fornecimento e instalação, inclusive pintura.(desonerado)</t>
  </si>
  <si>
    <t>ES 04.25.0353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</si>
  <si>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instalação.(desonerado)</t>
  </si>
  <si>
    <t>ES 04.25.0356 (/)</t>
  </si>
  <si>
    <t>Gradil de ferro, altura de 1,20m, em barras verticais quadradas de 5/8" e espaçadas de 12,50cm, soldadas em duas barras, superior e inferior de (1 1/2"x1/4"), montantes a cada 1,50m em barras de (1 1/2"x3/8").  Fornecimento e instalação, inclusive pintura.(desonerado)</t>
  </si>
  <si>
    <t>ES 04.25.0359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</si>
  <si>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instalação.(desonerado)</t>
  </si>
  <si>
    <t>ES 04.25.0362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</si>
  <si>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instalação.(desonerado)</t>
  </si>
  <si>
    <t>ES 04.25.0400 (/)</t>
  </si>
  <si>
    <t>Gradil de ferro em ferro confeccionado em barra redonda de 5/8", pintada com 1 demão de zarcão verde.  Fornecimento e instalação.(desonerado)</t>
  </si>
  <si>
    <t>ES 04.25.0450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</si>
  <si>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instalação.(desonerado)</t>
  </si>
  <si>
    <t>ES 04.25.0453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</si>
  <si>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instalação.(desonerado)</t>
  </si>
  <si>
    <t>ES 04.25.0456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</si>
  <si>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instalação.(desonerado)</t>
  </si>
  <si>
    <t>ES 04.25.0459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</si>
  <si>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instalação.(desonerado)</t>
  </si>
  <si>
    <t>ES 04.25.0462 (A)</t>
  </si>
  <si>
    <t>Gradil de ferro em módulo de 2,10m de comprimento com altura de 2,60m, barra redonda de 5/8", barra chata de (1 1/2"x1/4"), tubo de ferro galvanizado de 3", conforme projeto FPJ.  Fornecimento e instalação, inclusive pintura.(desonerado)</t>
  </si>
  <si>
    <t>ES 04.25.0465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</si>
  <si>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instalação.(desonerado)</t>
  </si>
  <si>
    <t>ES 04.25.0500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</si>
  <si>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transporte.(desonerado)</t>
  </si>
  <si>
    <t>ES 04.25.0550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</si>
  <si>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instalação.(desonerado)</t>
  </si>
  <si>
    <t>ES 04.25.0603 (/)</t>
  </si>
  <si>
    <t>Gradil eletrofundido tipo Orsometal ou similar, na malha (65x132)mm e barra portante (25x2)mm, fio 5, montantes (2120x76x8)mm, parafusos, pintura eletrostática nas cores verde ou cinza; inclusive montagem.(desonerado)</t>
  </si>
  <si>
    <t>ES 04.25.0620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</si>
  <si>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instalação.(desonerado)</t>
  </si>
  <si>
    <t>ES 04.25.0650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</si>
  <si>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instalação.(desonerado)</t>
  </si>
  <si>
    <t>ES 04.25.0660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</si>
  <si>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instalação.(desonerado)</t>
  </si>
  <si>
    <t>ES 04.25.0670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</si>
  <si>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instalação.(desonerado)</t>
  </si>
  <si>
    <t>ES 04.25.0700 (/)</t>
  </si>
  <si>
    <t>Tela para proteção em arame galvanizado nº 12, soldada em cantoneira de ferro em "L" de  (1 1/2"x1 1/2"x3/16"), fixada em alvenaria.  Fornecimento e instalação.(desonerado)</t>
  </si>
  <si>
    <t>ES 04.25.1500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</si>
  <si>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concreto.(desonerado)</t>
  </si>
  <si>
    <t>ES 04.25.1600 (/)</t>
  </si>
  <si>
    <t>Recuperação de gradil, módulo de (2,40 x 2,20) m, considerando-se a substituição de partes das barras redondas de aço de 1 1/4", verticais inferiores, anueto, ponta de lança e pinha, decapagem e pintura do módulo.(desonerado)</t>
  </si>
  <si>
    <t>ES 04.25.1700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</si>
  <si>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concreto.(desonerado)</t>
  </si>
  <si>
    <t>ES 04.27 Chapas de Aço</t>
  </si>
  <si>
    <t>ES 04.27.0050 (/)</t>
  </si>
  <si>
    <t>Chapa de aço SAE 1006/10-LF, perfurada, furos redondos de 1,80mm, longitudinalmente, distância entre furos de 2,55mm (de centro), nas dimensões de (2000x1000x1,00)mm.  Fornecimento.(desonerado)</t>
  </si>
  <si>
    <t>pc</t>
  </si>
  <si>
    <t>ES 04.27.0056 (/)</t>
  </si>
  <si>
    <t>Chapa de aço SAE 1006/10-LF, perfurada, furos redondos, de 6,35mm longitudinalmente, distância entre furos de 9,00mm (de centro), nas dimensões de (2000x1000x1,50)mm.  Fornecimento.(desonerado)</t>
  </si>
  <si>
    <t>ES 04.30 Corrimões e Guarda-Corpos</t>
  </si>
  <si>
    <t>ES 04.30.0050 (/)</t>
  </si>
  <si>
    <t>Corrimão de tubo de ferro galvanizado com diâmetro de 1 1/4", preso por chumbadores a cada metro.  Fornecimento e instalação.(desonerado)</t>
  </si>
  <si>
    <t>ES 04.30.0100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</si>
  <si>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instalação.(desonerado)</t>
  </si>
  <si>
    <t>ES 04.30.0140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</si>
  <si>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instalação.(desonerado)</t>
  </si>
  <si>
    <t>ES 04.30.0150 (A)</t>
  </si>
  <si>
    <t>Guarda-corpo de ferro galvanizado, com módulo de 2,20m de comprimento, com dois tubos de 2" na horizontal, pilaretes de concreto com seção (20x20)cm e 1m de altura, incluindo todos os materiais e pintura a óleo.  Fornecimento e instalação.(desonerado)</t>
  </si>
  <si>
    <t>ES 04.30.0153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</si>
  <si>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instalação.(desonerado)</t>
  </si>
  <si>
    <t>ES 04.30.0200 (/)</t>
  </si>
  <si>
    <t>Guarda-corpo de tubo de ferro galvanizado com dois montantes em tubo de 1", uma travessa superior em tubo de 2" e duas travessas inferiores em tubo de 1", em módulos de 2,20m de comprimento e 1m de altura, inclusive pintura a óleo.  Fornecimento e instalação.(desonerado)</t>
  </si>
  <si>
    <t>ES 04.30.0250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</si>
  <si>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colocação.(desonerado)</t>
  </si>
  <si>
    <t>ES 04.30.0300 (A)</t>
  </si>
  <si>
    <t>Guarda-corpo de tubos de aço galvanizado soldados, formando módulos de 2,20m de comprimento e 1m de altura, com 3 montantes de 2" de diâmetro chumbados no concreto, travessa superior de 2" e travessa inferior e intermediária de 1".  Fornecimento e instalação.(desonerado)</t>
  </si>
  <si>
    <t>ES 04.30.0350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</si>
  <si>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instalação.(desonerado)</t>
  </si>
  <si>
    <t>ES 04.30.0450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</si>
  <si>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instalação.(desonerado)</t>
  </si>
  <si>
    <t>ES 04.35 Escadas</t>
  </si>
  <si>
    <t>ES 04.35.0100 (/)</t>
  </si>
  <si>
    <t>Escada em ferro de 3/4", com 3m de altura, considerando 10 degraus espaçadas de 30cm.  Fornecimento e instalação.(desonerado)</t>
  </si>
  <si>
    <t>ES 04.35.0150 (A)</t>
  </si>
  <si>
    <t>Escada de marinheiro, com largura de 0,40m, executada em barras de (1 1/2"x1/4"), sendo os degraus em ferro redondo de 5/8".  Espaçados de 0,30cm.  Fornecimento e instalação.(desonerado)</t>
  </si>
  <si>
    <t>ES 04.99 Diversos</t>
  </si>
  <si>
    <t>ES 04.99.0050 (/)</t>
  </si>
  <si>
    <t>Barra de ferro vertical de 1 1/4" com 1,50m de altura, fixadas em 2 barras horizontais de (2 1/2"x5/8") (exclusive estas), inclusive 1 ponta de lança e 4 anuetos.  Fornecimento e instalação.(desonerado)</t>
  </si>
  <si>
    <t>ES 04.99.0100 (A)</t>
  </si>
  <si>
    <t>Estrutura de fixação de quadros constituído por barra chata de ferro de (2"x3/8").  Fornecimento e instalação.(desonerado)</t>
  </si>
  <si>
    <t>ES 04.99.0150 (A)</t>
  </si>
  <si>
    <t>Estrutura de sustentação para gaiolas, em módulo de 1,80m com 2 barras quadradas de 1" em paralelo, com 2 montantes em tubo de ferro galvanizado de 3", sendo 0,50m livre e 0,20m enterrado, conforme projeto RIOZOO.  Fornecimento e instalação.(desonerado)</t>
  </si>
  <si>
    <t>ES 04.99.0153 (A)</t>
  </si>
  <si>
    <t>Estrutura de sustentação para gaiolas, em módulo de 1,80m com 2 barras quadradas de 1" em paralelo, com 2 montantes em tubo de ferro galvanizado de 3", sendo 3m livres e 0,50m enterrado, conforme projeto RIOZOO.  Fornecimento e instalação.(desonerado)</t>
  </si>
  <si>
    <t>ES 04.99.0200 (A)</t>
  </si>
  <si>
    <t>Gaiola de (1,50x1,50x2)m montada em estrutura de cantoneira de ferro por (1 1/2"x1 1/2"x3/16"), conforme projeto RIOZOO.  Fornecimento e instalação.(desonerado)</t>
  </si>
  <si>
    <t>ES 04.99.0250 (A)</t>
  </si>
  <si>
    <t>Gaveta em chapa de aço de 1/2" nas dimensões de altura de 10cm, largura de 20cm e comprimento de 30cm, conforme projeto RIOZOO.  Fornecimento e instalação.(desonerado)</t>
  </si>
  <si>
    <t>ES 04.99.0300 (/)</t>
  </si>
  <si>
    <t>Grelha de ferro, fixada pelo interior da edificação, confeccionada em barra de (1/2"x1/4"), malha de (5x5)cm, com pintura eletrostática, na cor azul, com altura de 0,70m e largura de 2,40m.  Fornecimento e instalação.(desonerado)</t>
  </si>
  <si>
    <t>ES 04.99.0350 (/)</t>
  </si>
  <si>
    <t>Pinha de ferro fundido com 35cm de altura, fixada em montante de ferro (exclusive este).  Fornecimento e instalação.(desonerado)</t>
  </si>
  <si>
    <t>ES 04.99.0400 (/)</t>
  </si>
  <si>
    <t>Ponta de lança de ferro fundido com 12cm de altura, fixada em barra redonda de 1 1/4" (exclusive esta).  Fornecimento e instalação.(desonerado)</t>
  </si>
  <si>
    <t>ES 04.99.0450 (A)</t>
  </si>
  <si>
    <t>Quadro de (2,05x2,05)m montado em cantoneira de ferro de (1 1/2"x3/16") e tela losangular galvanizada de 1 1/2", fio 8, fixação em plano horizontal.  Fornecimento e instalação.(desonerado)</t>
  </si>
  <si>
    <t>ES 04.99.0453 (A)</t>
  </si>
  <si>
    <t>Quadro de (2,05x2,05)m montado em cantoneira de ferro de (1 1/2"x3/16"), e tela losangular galvanizada de 1 1/2" (37,5x37,5)mm, fio 12, fixação em plano horizontal.  Fornecimento e instalação.(desonerado)</t>
  </si>
  <si>
    <t>ES 04.99.0456 (A)</t>
  </si>
  <si>
    <t>Quadro de (2,05x2,05)m montado em cantoneira de ferro de (1 1/2"x3/16"), barra chata de (1 1/2"x1/4") e tela losangular galvanizada de 1" (25x25)mm, fio 12, fixação em plano vertical.  Fornecimento e instalação.(desonerado)</t>
  </si>
  <si>
    <t>ES 04.99.0500 (/)</t>
  </si>
  <si>
    <t>Suporte para aparelho de ar condicionado de 1 a 2HP, em cantoneira de ferro de (1/4"x1 1/8").  Fornecimento e instalação.(desonerado)</t>
  </si>
  <si>
    <t>ES 04.99.0550 (/)</t>
  </si>
  <si>
    <t>Tela em chapa de metal expandido, malha losangular de (8"x3"), em chapa de 3/16".  Fornecimento e instalação.(desonerado)</t>
  </si>
  <si>
    <t>ES 04.99.0601 (/)</t>
  </si>
  <si>
    <t>Tela para proteção de janela, varanda e vãos com malha de 5cm x 5cm e fio 2mm, fixada na alvenaria através de gancho galvanizado de 8cm.  Fornecimento e colocação.(desonerado)</t>
  </si>
  <si>
    <t>ES 09.05 Aduelas, Marcos e Alizares</t>
  </si>
  <si>
    <t>ES 09.05.0050 (/)</t>
  </si>
  <si>
    <t>Aduela de madeira aparelhada de (13 x 3)cm, com rebaixo.  Fornecimento e instalação.(desonerado)</t>
  </si>
  <si>
    <t>ES 09.05.0056 (/)</t>
  </si>
  <si>
    <t>Aduela de madeira aparelhada de (14 x 3)cm, com rebaixo.  Fornecimento e instalação.(desonerado)</t>
  </si>
  <si>
    <t>ES 09.05.0100 (/)</t>
  </si>
  <si>
    <t>Alizar de madeira aparelhada, de (5 x 2)cm.  Fornecimento e instalação.(desonerado)</t>
  </si>
  <si>
    <t>ES 09.05.0150 (/)</t>
  </si>
  <si>
    <t>Marco de madeira aparelhada de (7 x 3)cm.  Fornecimento e instalação.(desonerado)</t>
  </si>
  <si>
    <t>ES 09.10 Portas e Portinholas de Compensado</t>
  </si>
  <si>
    <t>ES 09.10.0050 (A)</t>
  </si>
  <si>
    <t>Porta em madeira maciça aparelhada, folheada nas duas faces com 3cm de espessura.  Fornecimento e instalação, exclusive fornecimento de ferragens, aduelas e alizares.(desonerado)</t>
  </si>
  <si>
    <t>ES 09.10.0053 (/)</t>
  </si>
  <si>
    <t>Porta compensada, de (60x210x3)cm, folheada nas duas faces.  Fornecimento e instalação exclusive fornecimento de ferragems, aduela e alizares.(desonerado)</t>
  </si>
  <si>
    <t>ES 09.10.0056 (/)</t>
  </si>
  <si>
    <t>Porta compensada, de (70x210)cm, folheada nas 2 faces.  Fornecimento e instalação exclusive fornecimento de ferragens, aduela e alizares.(desonerado)</t>
  </si>
  <si>
    <t>ES 09.10.0065 (/)</t>
  </si>
  <si>
    <t>Porta compensada, de (100x210)cm, folheada nas 2 faces.  Fornecimento e instalação, exclusive fornecimento de ferragens, aduela e alizares.(desonerado)</t>
  </si>
  <si>
    <t>ES 09.10.0100 (/)</t>
  </si>
  <si>
    <t>Porta compensada, de (60 x 210 x 3)cm, folheada nas 2 faces, inclusive guarnição, sendo a aduela de (13 x 3)cm e alizares de (5 x 2)cm.  Fornecimento e instalação, exclusive fornecimento das ferragens.(desonerado)</t>
  </si>
  <si>
    <t>ES 09.10.0103 (B)</t>
  </si>
  <si>
    <t>Porta compensada, de (70 x 210 x 3)cm, folheada nas 2 faces, inclusive guarnição, sendo a aduela de (13 x 3)cm e alizares de (5 x 2)cm.  Fornecimento e instalação, exclusive fornecimento de ferragens.(desonerado)</t>
  </si>
  <si>
    <t>ES 09.10.0106 (/)</t>
  </si>
  <si>
    <t>Porta compensada, de (80 x 210 x 3)cm, folheada nas 2 faces, inclusive guarnição, sendo a aduela de (13 x 3)cm e alizares de (5 x 2)cm.  Fornecimento e instalação, exclusive fornecimento de ferragens.(desonerado)</t>
  </si>
  <si>
    <t>ES 09.10.0206 (B)</t>
  </si>
  <si>
    <t>Porta compensada, revestida com fórmica de espessura de 1mm, de (80 x 210)cm, marco (7 x 3)cm.  Fornecimento e instalação, exclusive fornecimento de ferragens.(desonerado)</t>
  </si>
  <si>
    <t>ES 09.10.0215 (B)</t>
  </si>
  <si>
    <t>Porta compensada, revestida com fórmica de espessura de 1mm, de (120 x 210)cm, marco (7 x 3)cm.  Fornecimento e instalação, exclusive o fornecimento de ferragens.(desonerado)</t>
  </si>
  <si>
    <t>ES 09.10.0253 (/)</t>
  </si>
  <si>
    <t>Porta lisa de fibra de madeira prensada tipo Duradoor ou similar, de (70x210)cm para acabamento.  Fornecimento e instalação, exclusive fornecimento de ferragens, aduela e alizares.(desonerado)</t>
  </si>
  <si>
    <t>ES 09.10.0256 (/)</t>
  </si>
  <si>
    <t>Porta lisa de fibra de madeira prensada tipo Duradoor ou similar, de (80x210)cm, para acabamento.  Fornecimento e instalação, exclusive fornecimento de ferragens, aduela e alizares.(desonerado)</t>
  </si>
  <si>
    <t>ES 09.10.0312 (/)</t>
  </si>
  <si>
    <t>Porta compensada, de (120 x 210 x 3)cm, em 2 folhas, inclusive guarnição, sendo a aduela de (13 x 3)cm, alizares de (5 x 2)cm.  Fornecimento e instalação, exclusive fornecimento de ferragens.(desonerado)</t>
  </si>
  <si>
    <t>ES 09.10.0315 (/)</t>
  </si>
  <si>
    <t>Porta compensada, de (140 x 210 x 3)cm, em 2 folhas, inclusive guarnição, sendo a  aduela (13 x 3)cm e alizares de  (5 x 2)cm.  Fornecimento e instalação, exclusive fornecimento de ferragens.(desonerado)</t>
  </si>
  <si>
    <t>ES 09.10.0359 (/)</t>
  </si>
  <si>
    <t>Porta de correr compensada, de 2 folhas de (80 x 210 x 3)cm, sem marco, pendurada em roldanas, correndo dentro de trilho de aço, guarda pôr canaleta embutida no piso, com marco de (7 x 3)cm.  Fornecimento e instalação, exclusive fornecimento de ferragens, marcos e alizares.(desonerado)</t>
  </si>
  <si>
    <t>ES 09.10.0362 (/)</t>
  </si>
  <si>
    <t>Porta de correr compensada, de (80 x 210 x 3)cm, pendurada em roldanas, correndo dentro do trilho oco, guiada por canaleta embutida no piso com marco de (7 x 3)cm.  Fornecimento e instalação, exclusive fornecimento de ferragens, do trilho e das roldanas.(desonerado)</t>
  </si>
  <si>
    <t>ES 09.10.0403 (/)</t>
  </si>
  <si>
    <t>Porta de serviço, de (70x210)cm, com almofada na parte inferior e acima, veneziana e caixilho para vidro com postigo.  Fornecimento e instalação, exclusive fornecimento de ferragens, marcos e alizares.(desonerado)</t>
  </si>
  <si>
    <t>ES 09.10.0409 (/)</t>
  </si>
  <si>
    <t>Porta de serviço, de (80x210x3)cm, com almofada na parte inferior e acima, veneziana e caixilho para vidro com postigo.  Fornecimento e instalação, exclusive fornecimento de ferragens, marcos e alizares.(desonerado)</t>
  </si>
  <si>
    <t>ES 09.10.0450 (/)</t>
  </si>
  <si>
    <t>Portinhola em chapa de madeira compensada, de 20mm, para fechamento de quadros de luz ou armários, inclusive guarnição, exclusive ferragens.(desonerado)</t>
  </si>
  <si>
    <t>ES 09.15 Portas em Madeira Maciça</t>
  </si>
  <si>
    <t>ES 09.15.0403 (/)</t>
  </si>
  <si>
    <t>Porta mexicana, de (70 x 210 x 3)cm, inclusive guarnição, sendo a aduela de (13 x 3)cm e alizares de (5 x 2)cm.  Fornecimento e instalação, exclusive fornecimento das ferragens.(desonerado)</t>
  </si>
  <si>
    <t>ES 09.15.0406 (/)</t>
  </si>
  <si>
    <t>Porta mexicana, de (80 x 210 x 3)cm, inclusive guarnição, sendo a aduela de (13 x 3)cm e alizares de (5 x 2)cm.  Fornecimento e instalação, exclusive fornecimento das ferragens.(desonerado)</t>
  </si>
  <si>
    <t>ES 09.15.0456 (/)</t>
  </si>
  <si>
    <t>Porta com painel de veneziana, de (70x210)cm.  Fornecimento e instalação, exclusive fornecimento de ferragens, aduela e alizares.(desonerado)</t>
  </si>
  <si>
    <t>ES 09.15.0503 (/)</t>
  </si>
  <si>
    <t>Porta com painel de veneziana, de (70 x 210 x 3)cm, inclusive guarnição, sendo a aduela de (13 x 3)cm e alizares de (5 x 2)cm.  Fornecimento e instalação, exclusive fornecimento de ferragens.(desonerado)</t>
  </si>
  <si>
    <t>ES 09.15.0553 (/)</t>
  </si>
  <si>
    <t>Porta com painel de veneziana, de (70 x 210 x 3)cm, inclusive guarnição, sendo a aduela de (14 x 3)cm e alizares de (5 x 2)cm.  Fornecimento e instalação, exclusive fornecimento de ferragens.(desonerado)</t>
  </si>
  <si>
    <t>ES 09.15.0656 (A)</t>
  </si>
  <si>
    <t>Porta com painel de veneziana, para PC, de (300 x 200 x 3)cm, em 4 folhas guarnição de marco, de (7 x 3)cm.  Fornecimento e instalação, exclusive fornecimento de ferragens.(desonerado)</t>
  </si>
  <si>
    <t>ES 09.20 Janelas</t>
  </si>
  <si>
    <t>ES 09.20.0050 (A)</t>
  </si>
  <si>
    <t>Janela basculante em madeira, medindo: (0,80 x 1,45)m, com 3 folhas, com acabamento para pintura.  Exclusive pintura, vidro e ferragem.  Fornecimento e instalação.(desonerado)</t>
  </si>
  <si>
    <t>ES 09.20.0100 (/)</t>
  </si>
  <si>
    <t>Janela de correr em madeira medindo: (110 x 140)cm, com 2 folhas, inclusive guarnição.  Fornecimento e instalação, exclusive fornecimento de ferragens.(desonerado)</t>
  </si>
  <si>
    <t>ES 09.20.0150 (/)</t>
  </si>
  <si>
    <t>Janela de correr em madeira, medindo: (150 x 150 x 3,5)cm, com 2 folhas, para vidro, com bandeira em caixilho de vidro, inclusive guarnição.  Fornecimento e instalação, exclusive fornecimento de ferragens.(desonerado)</t>
  </si>
  <si>
    <t>ES 09.20.0153 (/)</t>
  </si>
  <si>
    <t>Janela de correr em madeira, medindo: (150 x 150 x 3,5)cm, com 2 folhas, para vidro, com bandeira em caixilho de vidro, inclusive guarnição, sendo a aduela de (13 x 3)cm, e alizares de (5 x 2)cm.  Fornecimento e coloção, exclusive fornecimento de ferragens.(desonerado)</t>
  </si>
  <si>
    <t>ES 09.20.0156 (/)</t>
  </si>
  <si>
    <t>Janela de madeira medindo: (300 x 200)cm, tipo caixilho para vidro, bandeira em veneziana, com 2 folhas de correr, inclusive guarnição, com acabamento para pintura.  Exclusive pintura, vidro e ferragem.  Fornecimento e instalação.(desonerado)</t>
  </si>
  <si>
    <t>ES 09.20.0203 (/)</t>
  </si>
  <si>
    <t>Janela de correr em madeira, medindo: (210 x 140)cm, com 4 folhas, inclusive guarnição.  Fornecimento e instalação, exclusive fornecimento de ferragens.(desonerado)</t>
  </si>
  <si>
    <t>ES 09.20.0250 (/)</t>
  </si>
  <si>
    <t>Janela guilhotina em madeira, medindo: (150 x 150 x 3)cm, com 2 folhas, inclusive guarnição com marco duplo, em caixilho para vidro, presos em borboletas.  Fornecimento e instalação, exclusive fornecimento de ferragem.(desonerado)</t>
  </si>
  <si>
    <t>ES 09.20.0253 (A)</t>
  </si>
  <si>
    <t>Janela guilhotina de madeira maciça medindo: (150 x 150 x 3,5)cm, com 2 folhas, em caixilho para vidro, marco duplo, com caixas para contra pesos.  Fornecimento e instalação, exclusive fornecimento de ferragens.(desonerado)</t>
  </si>
  <si>
    <t>ES 09.20.0300 (/)</t>
  </si>
  <si>
    <t>Janela veneziana em madeira, medindo: (100 x 100 x 3)cm, tipo VVP, vidro e postigo em 2 folhas, inclusive guarnição com marco de (7 x 3)cm e alizar(5 x 2)cm.  Exclusive fornecimento de ferragem.  Fornecimento e instalação.(desonerado)</t>
  </si>
  <si>
    <t>ES 09.20.0303 (/)</t>
  </si>
  <si>
    <t>Janela veneziana em madeira, medindo: (120 x 150 x 3)cm, tipo VVP, vidro e postigo em 2 folhas, inclusive guarnição com marco de (7 x 3)cm e alizar (5 x 2)cm.  Exclusive fornecimento de ferragem.  Fornecimento e instalação.(desonerado)</t>
  </si>
  <si>
    <t>ES 09.20.0306 (/)</t>
  </si>
  <si>
    <t>Janela em veneziana de madeira medindo: (230 x 80)cm, com 2 folhas de correr, inclusive guarnição, com acabamento para pintura.  Exclusive pintura, vidro e ferragem.  Fornecimento e instalação.(desonerado)</t>
  </si>
  <si>
    <t>ES 09.25 Peças de Madeira</t>
  </si>
  <si>
    <t>ES 09.25.0050 (/)</t>
  </si>
  <si>
    <t>Compensado - chapa de madeira compensada, de 6mm de espessura medindo: (2,20 x 1,60)m.  Fornecimento.(desonerado)</t>
  </si>
  <si>
    <t>ES 09.25.0053 (/)</t>
  </si>
  <si>
    <t>Compensado - chapa de madeira compensada, de 8mm de espessura, medindo: (2,20 x 1,60)m.  Fornecimento.(desonerado)</t>
  </si>
  <si>
    <t>ES 09.25.0062 (/)</t>
  </si>
  <si>
    <t>Compensado - chapa de madeira compensada, de 15mm de espessra, medindo: (2,20 x 1,60)m.  Fornecimento.(desonerado)</t>
  </si>
  <si>
    <t>ES 09.25.0068 (/)</t>
  </si>
  <si>
    <t>Compensado - chapa de madeira compensada, de 20mm de espessura, medindo: (2,20 x 1,60m).  Fornecimento.(desonerado)</t>
  </si>
  <si>
    <t>ES 09.25.0071 (/)</t>
  </si>
  <si>
    <t>Compensado - chapa de madeira compensada, de 25mm de espessura, medindo: (2,20 x 1,60)m.  Fornecimento.(desonerado)</t>
  </si>
  <si>
    <t>ES 09.25.0100 (/)</t>
  </si>
  <si>
    <t>Compensado naval de 10mm (chapa de 2,20x1,10)m.  Fornecimento.(desonerado)</t>
  </si>
  <si>
    <t>ES 09.25.0106 (/)</t>
  </si>
  <si>
    <t>Compensado naval de 14mm (chapa de 2,20x1,10)m.  Fornecimento.(desonerado)</t>
  </si>
  <si>
    <t>ES 09.25.0120 (/)</t>
  </si>
  <si>
    <t>Madeira de reflorestamento, em tora, até 6m de comprimento, diâmetro de 12cm - Fornecimento.(desonerado)</t>
  </si>
  <si>
    <t>ES 09.25.0125 (/)</t>
  </si>
  <si>
    <t>Madeira de reflorestamento, em tora, até 10m de comprimento, com diâmetro de 15cm - Fornecimento.(desonerado)</t>
  </si>
  <si>
    <t>ES 09.25.0130 (/)</t>
  </si>
  <si>
    <t>Madeira de reflorestamento, em tora, auto clavada, até 10m de comprimento, com diâmetro de 15cm - Fornecimento.(desonerado)</t>
  </si>
  <si>
    <t>ES 09.25.0135 (/)</t>
  </si>
  <si>
    <t>Madeira de reflorestamento, em tora, até 10m de comprimento, com diâmetro de 25cm - Fornecimento.(desonerado)</t>
  </si>
  <si>
    <t>ES 09.25.0150 (/)</t>
  </si>
  <si>
    <t>Peça em madeira aparelhada, de (5 x 2,5)cm.  Fornecimento.(desonerado)</t>
  </si>
  <si>
    <t>ES 09.25.0200 (/)</t>
  </si>
  <si>
    <t>Peça (pranchão) em madeira serrada, de (2"x8").  Fornecimento.(desonerado)</t>
  </si>
  <si>
    <t>ES 09.25.0225 (/)</t>
  </si>
  <si>
    <t>Peça em madeira aparelhada, de (1,5 x 5)cm.  Fornecimento.(desonerado)</t>
  </si>
  <si>
    <t>ES 09.25.0256 (/)</t>
  </si>
  <si>
    <t>Peça em madeira serrada, de (7,5cm x 7,5cm / 3" x 3").  Fornecimento.(desonerado)</t>
  </si>
  <si>
    <t>ES 09.25.0259 (/)</t>
  </si>
  <si>
    <t>Peça em madeira serrada, de (7,5cm x 11,25cm / 3" x 4 1/2").  Fornecimento.(desonerado)</t>
  </si>
  <si>
    <t>ES 09.25.0262 (/)</t>
  </si>
  <si>
    <t>Peça em madeira serrada, seção (7,5cm x 15cm / 3" x 6").  Fornecimento.(desonerado)</t>
  </si>
  <si>
    <t>ES 09.25.0315 (/)</t>
  </si>
  <si>
    <t>Peça de madeira serrada, de (7,5 x 15)cm.  Fornecimento.(desonerado)</t>
  </si>
  <si>
    <t>ES 09.30 Prateleiras</t>
  </si>
  <si>
    <t>ES 09.30.0050 (A)</t>
  </si>
  <si>
    <t>Prateleira em chapa compensado de 20mm de espessura, com largura de 40cm, encabeçada com sarrafo aparelhado de (2 x 2)cm, sobre cantoneiras de ferro.  Fornecimento e instalação.(desonerado)</t>
  </si>
  <si>
    <t>ES 09.30.0056 (A)</t>
  </si>
  <si>
    <t>Prateleira em compensado, com espessura 2cm, largura 40cm, revestida em fórmica nas 2 faces e espessura, sobre cantoneira de ferro.(desonerado)</t>
  </si>
  <si>
    <t>ES 09.30.0100 (A)</t>
  </si>
  <si>
    <t>Prateleira em chapa de compensado de 20mm de espessura, com largura de 50cm, encabeçada com sarrafo aparelhado de (2 x 2)cm, sobre cantoneiras de ferro.  Fornecimento e instalação.(desonerado)</t>
  </si>
  <si>
    <t>ES 09.30.0103 (A)</t>
  </si>
  <si>
    <t>Prateleira em compensado, com espessura 2cm, largura 50cm, revestida em fórmica nas 2 faces e espessura, sobre cantoneira de chapa de ferro com abas iguais de 1"x1/8".(desonerado)</t>
  </si>
  <si>
    <t>ES 09.30.0150 (A)</t>
  </si>
  <si>
    <t>Prateleira em chapa de compensado de 20mm de espessura, com largura de 60cm, encabeçada com sarrafo aparelhado de (2 x 2)cm, sobre cantoneiras de ferro.  Fornecimento e instalação.(desonerado)</t>
  </si>
  <si>
    <t>ES 09.30.0153 (A)</t>
  </si>
  <si>
    <t>Prateleira em compensado, com espessura 2cm, largura 60cm, revestida em fórmica nas 2 faces e espessura, sobre cantoneira de ferro.(desonerado)</t>
  </si>
  <si>
    <t>ES 09.30.0156 (A)</t>
  </si>
  <si>
    <t>Prateleira em compensado, com espessura 2cm, largura 60cm, revestida em fórmica nas 2 faces e espessura, sobre cantoneira de chapa de ferro com abas iguais de 1"x1/8".(desonerado)</t>
  </si>
  <si>
    <t>ES 09.35 Quadros</t>
  </si>
  <si>
    <t>ES 09.35.0060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</si>
  <si>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instalação.(desonerado)</t>
  </si>
  <si>
    <t>ES 09.35.0100 (A)</t>
  </si>
  <si>
    <t>Quadro mural em compensado, de 10mm, inclusive moldura de madeira aparelhada.  Fornecimento e instalação.(desonerado)</t>
  </si>
  <si>
    <t>ES 09.35.0150 (/)</t>
  </si>
  <si>
    <t>Quadro mural de Celotex ou similar com flanelógrafo, medindo: (5,85x1,20)m, moldura de madeira aparelhada envernizada.  Fornecimento e instalação.(desonerado)</t>
  </si>
  <si>
    <t>ES 09.99 Diversos</t>
  </si>
  <si>
    <t>ES 09.99.0050 (/)</t>
  </si>
  <si>
    <t>Balcão basculável em compensado naval de 10mm, com acabamento de fórmica, medindo: (1,50x0,30)m.  Fornecimento e instalação.(desonerado)</t>
  </si>
  <si>
    <t>ES 09.99.0100 (/)</t>
  </si>
  <si>
    <t>Barra em madeira maciça, de (20 x 2,5)cm, aparelhada em uma face e nos topos, para proteção de paredes de salas de aula.  Fornecimento e instalação.(desonerado)</t>
  </si>
  <si>
    <t>ES 09.99.0150 (A)</t>
  </si>
  <si>
    <t>Caixilho fixo, em madeira maciça aparelhada, modulado, com 3cm de espessura, para aplicação de vidro, exclusive a guarnição.  Fornecimento e instalação.(desonerado)</t>
  </si>
  <si>
    <t>ES 09.99.0153 (B)</t>
  </si>
  <si>
    <t>Caixilho fixo, em madeira maciça aparelhada, modulado com 3cm de espessura, em venezianas, exclusive a guarnição.  Fornecimento e instalação.(desonerado)</t>
  </si>
  <si>
    <t>ES 09.99.0200 (A)</t>
  </si>
  <si>
    <t>Cerca de sarrafos verticais em madeira maciça aparelhada, (1,5 x 4)cm e 120cm de altura, pregados sobre sarrafos horizontais de (5 x 5)cm, apoiados sobre montantes de (7,5 x 7,5)cm, espaçados de 2m.  Fornecimento e instalação.(desonerado)</t>
  </si>
  <si>
    <t>ES 09.99.0203 (A)</t>
  </si>
  <si>
    <t>Cerca divisória em madeira de reflorestamento, tratada, com Pentox ou similar, módulo de 12,30, com diâmetro de 0,15m, altura variável de 1m a 1,50m livre, 1m enterrado, espaçados de 1,35m com 5 fios corridos de arame galvanizado nº 12 (módulo).(desonerado)</t>
  </si>
  <si>
    <t>ES 09.99.0230 (/)</t>
  </si>
  <si>
    <t>Corrimão de madeira aparelhada e envernizada, nas dimensões (5 X 2,50)cm, fixado em parede por grampos metálicos. Fornecimento e instalação. (desonerado)</t>
  </si>
  <si>
    <t>ES 09.99.0250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</si>
  <si>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profundidade.(desonerado)</t>
  </si>
  <si>
    <t>ES 09.99.0253 (/)</t>
  </si>
  <si>
    <t>Deck em madeira aparelhada, com assoalho de (20 x 2)cm, vigas longitudinais de (7,5 x 15)cm, transversais de (10 x 15)cm, guarda-corpo composto de peças de (15 x 15)cm e (20 x 2,5)cm, conforme projeto.  Fornecimento e instalação.(desonerado)</t>
  </si>
  <si>
    <t>ES 09.99.0300 (A)</t>
  </si>
  <si>
    <t>Esquadrias, armários, bancas e balcões de madeira com revestimento em laminado melamínico texturizado, com espessura 1,3mm.  Fornecimento e instalação.(desonerado)</t>
  </si>
  <si>
    <t>ES 09.99.0350 (A)</t>
  </si>
  <si>
    <t>Estrado em madeira serrada, formado por ripas com intervalo de 2,5cm e apoiados em travessas de (7,5 x 7,5)cm espaçadas em 10cm, fixadas com parafusos de latão de 1 1/2".  Fornecimento e instalação.(desonerado)</t>
  </si>
  <si>
    <t>ES 09.99.0400 (/)</t>
  </si>
  <si>
    <t>Estrutura treliçada para fixação de luminárias, conforme projeto RIO-URBE.  Fornecimento e instalação.(desonerado)</t>
  </si>
  <si>
    <t>ES 09.99.0450 (A)</t>
  </si>
  <si>
    <t>Frisos em madeira aparelhada, de (3 x 1,5)cm, boleado.  Fornecimento e instalação.(desonerado)</t>
  </si>
  <si>
    <t>ES 09.99.0500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</si>
  <si>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instalação.(desonerado)</t>
  </si>
  <si>
    <t>ES 09.99.0550 (B)</t>
  </si>
  <si>
    <t>Ninho para passarinho em madeira serrada, conforme projeto RIOZOO.  Fornecimento e instalação.(desonerado)</t>
  </si>
  <si>
    <t>ES 09.99.0600 (/)</t>
  </si>
  <si>
    <t>Porta acústica Somax ou similar, 46db referência PS2, nas dimensões de (1800x2100)mm, inclusive fechadura com maçaneta, cilindro e marco removível.  Fornecimento e instalação.(desonerado)</t>
  </si>
  <si>
    <t>ES 09.99.0603 (/)</t>
  </si>
  <si>
    <t>Porta acústica Somax ou similar, 56db referência PS1, nas dimensões de (1600x2100)mm, inclusive ferragens anti-pânico e marco removível.  Fornecimento e instalação.(desonerado)</t>
  </si>
  <si>
    <t>ES 09.99.0606 (/)</t>
  </si>
  <si>
    <t>Porta acústica Somax ou similar, 56db referência PS3 e PS4, nas dimensões de (2000x2100)mm, inclusive ferragens anti-pânico e marco removível.  Fornecimento e instalação.(desonerado)</t>
  </si>
  <si>
    <t>ES 14.05 Portas</t>
  </si>
  <si>
    <t>ES 14.05.0050 (A)</t>
  </si>
  <si>
    <t>Porta de alumínio anodizado, medindo: (0,80x2,10)m, tendo 1 contra-pinázio dividindo a esquadria em 2 vazios para vidro, em perfis série 25.  Fornecimento e instalação, exclusive fechaduras.(desonerado)</t>
  </si>
  <si>
    <t>ES 14.05.0100 (A)</t>
  </si>
  <si>
    <t>Porta de alumínio anodizado, medindo: (1,50x2,10)m, em 2 folhas de abrir, tendo 1 contra-pinázio dividindo a esquadria em 2 vazios para vidro, em perfis série 25.  Fornecimento e instalaçãoo, exclusive fechadura.(desonerado)</t>
  </si>
  <si>
    <t>ES 14.05.0150 (/)</t>
  </si>
  <si>
    <t>Porta de alumínio anodizado natural, perfil série 25, em veneziana.  Fornecimento e instalação.(desonerado)</t>
  </si>
  <si>
    <t>ES 14.05.0200 (A)</t>
  </si>
  <si>
    <t>Porta de correr em alumínio, em perfis série 30, com marco.  Fornecimento e instalação, exclusive fechadura.(desonerado)</t>
  </si>
  <si>
    <t>ES 14.10 Janelas</t>
  </si>
  <si>
    <t>ES 14.10.0050 (A)</t>
  </si>
  <si>
    <t>Janela de alumínio anodizado, tipo projetante medindo: (0,60x0,90)m, com 1 painel projetante, provida de haste de comando, em perfis série 25.  Fornecimento e instalação.(desonerado)</t>
  </si>
  <si>
    <t>ES 14.10.0100 (A)</t>
  </si>
  <si>
    <t>Janela de alumínio anodizado, fosco, tipo Maxim-Air ou similar, série 25, com 50cm de altura, em 4 módulos de 1m cada, com parte inferior fixa.  Fornecimento e instalação.(desonerado)</t>
  </si>
  <si>
    <t>ES 14.10.0103 (A)</t>
  </si>
  <si>
    <t>Janela de alumínio anodizado, fosco, tipo Maxim-Air ou similar, série 25, com 90cm de altura, em 4 módulos de 1m cada, com parte inferior fixa.  Fornecimento e instalação.(desonerado)</t>
  </si>
  <si>
    <t>ES 14.10.0200 (A)</t>
  </si>
  <si>
    <t>Janela de alumínio anodizado, natural fosco, em perfis extrutados, liga ASTM 6063, dureza T5, medindo: (9,50x1,75)m, conforme projeto Sambódromo.  Fornecimento e instalação.(desonerado)</t>
  </si>
  <si>
    <t>ES 14.10.0250 (/)</t>
  </si>
  <si>
    <t>Janela projetante de alumínio anodizado, tipo maxim-air, em perfis série 25, com 1painel deslizante-projetante.  Fornecimento e instalação.(desonerado)</t>
  </si>
  <si>
    <t>ES 14.10.0300 (/)</t>
  </si>
  <si>
    <t>Janela de correr de alumínio anodizado, em perfis série 28, com 2 folhas de correr.  Fornecimento e instalação.(desonerado)</t>
  </si>
  <si>
    <t>ES 14.10.0350 (/)</t>
  </si>
  <si>
    <t>Janela de correr de alumínio anodizado, em perfis série 28, com 2 folhas de correr e bandeira de 0,50m com 2 painéis basculantes.  Fornecimento e instalação.(desonerado)</t>
  </si>
  <si>
    <t>ES 14.10.0400 (/)</t>
  </si>
  <si>
    <t>Janela basculante em alumínio anodizado, perfis Série 28, com 1 ordem e báscula inferior fixa.  Fornecimento e instalação.(desonerado)</t>
  </si>
  <si>
    <t>ES 14.10.0403 (/)</t>
  </si>
  <si>
    <t>Janela basculante em alumínio anodizado, perfis Série 28, com 2 ordens e báscula inferior fixa.  Fornecimento e instalação.(desonerado)</t>
  </si>
  <si>
    <t>ES 14.10.0450 (/)</t>
  </si>
  <si>
    <t>Janela de correr de alumínio anodizado, em perfis série 28, com 2 folhas fixas e 2 folhas de correr.  Fornecimento e instalação.(desonerado)</t>
  </si>
  <si>
    <t>ES 14.10.0453 (/)</t>
  </si>
  <si>
    <t>Janela de correr de alumínio anodizado, em perfis série 28, com 2 folhas fixas, 2 folhas de correr e bandeira de 0,50m com 2 painéis basculantes.  Fornecimento e instalação.(desonerado)</t>
  </si>
  <si>
    <t>ES 14.10.0600 (/)</t>
  </si>
  <si>
    <t>Janela fixa em alumínio anodizado, perfil extrudado, série especial, com espessura mínima de camada anódica de 20 micra, na cor preta, com duas folha tipo veneziana, medindo: (1,70x0,40)m, com ferragens e gaxetas de primeira qualidade.  Fornecimento e instalação.(desonerado)</t>
  </si>
  <si>
    <t>ES 14.10.0603 (/)</t>
  </si>
  <si>
    <t>Janela fixa em alumínio anodizado, perfil extrudado, série especial, com espessura mínima de camada anódica de 20 micra, na cor preta, folha tipo veneziana, medindo: (1,95x0,60)m, com ferragens e gaxetas de primeira qualidade.  Fornecimento e instalação.(desonerado)</t>
  </si>
  <si>
    <t>ES 14.10.0800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</si>
  <si>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instalação.(desonerado)</t>
  </si>
  <si>
    <t>ES 14.10.0803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</si>
  <si>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instalação.(desonerado)</t>
  </si>
  <si>
    <t>ES 14.99 Diversos</t>
  </si>
  <si>
    <t>ES 14.99.0050 (/)</t>
  </si>
  <si>
    <t>Bate-macas de alumínio para proteção das portas, constituído em chapas de alumínio, fixada por meio de rebites.(desonerado)</t>
  </si>
  <si>
    <t>ES 14.99.0100 (A)</t>
  </si>
  <si>
    <t>Caixilho fixo, de alumínio anodizado em veneziana para vidro, perfil série 25.  Fornecimento e instalação.(desonerado)</t>
  </si>
  <si>
    <t>ES 14.99.0250 (/)</t>
  </si>
  <si>
    <t>Guichê em alumínio, tipo guilhotina, com (1,00x1,00)m.  Fornecimento e instalação.(desonerado)</t>
  </si>
  <si>
    <t>ES 14.99.0500 (/)</t>
  </si>
  <si>
    <t>Proteção de arestas de parede em cantoneira de alumínio de (1 1/2"x1/8"), fixado com parafuso de ferro cromado e buchas de plástico.  Fornecimento e instalação.(desonerado)</t>
  </si>
  <si>
    <t>ES 19.05 Portas de Aço Laminado</t>
  </si>
  <si>
    <t>ES 19.05.0025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</si>
  <si>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massa.(desonerado)</t>
  </si>
  <si>
    <t>ES 19.05.0050 (/)</t>
  </si>
  <si>
    <t>Porta de abrir de aço laminado a frio com adição de cobre (Aço-Cor),  tipo Veneziana, pintada com tinta primer, com altura e largura aproximada de (0,80x2,10)m,  inclusive fechadura de cilindro e dobradiças.   Fornecimento e instalação.(desonerado)</t>
  </si>
  <si>
    <t>ES 19.05.0053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</si>
  <si>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massa.(desonerado)</t>
  </si>
  <si>
    <t>ES 19.05.0056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</si>
  <si>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massa.(desonerado)</t>
  </si>
  <si>
    <t>ES 19.05.0103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</si>
  <si>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massa.(desonerado)</t>
  </si>
  <si>
    <t>ES 19.05.0150 (A)</t>
  </si>
  <si>
    <t>Porta de abrir em aço laminado a frio com adição de cobre (aço-Cor), em duas folhas, com divisões horizontais, pintada com tinta primer, com altura e largura aproximadamente de (1,40x2,10)m, inclusive fechadura de cilindro e dobradiças.  Fornecimento e instalação.(desonerado)</t>
  </si>
  <si>
    <t>ES 19.05.0200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</si>
  <si>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massa.(desonerado)</t>
  </si>
  <si>
    <t>ES 19.05.0250 (/)</t>
  </si>
  <si>
    <t>Porta de abrir em aço laminado a frio com adição de cobre (Aço-Cor), tipo veneziana, pintada com tinta primer, com altura e largura aproximadas de (0,60x2,10)m,  inclusive fechadura de cilindro e dobradiças.  Fornecimento e instalação.(desonerado)</t>
  </si>
  <si>
    <t>ES 19.05.0300 (/)</t>
  </si>
  <si>
    <t>Porta de abrir em aço laminado a frio com adição de cobre (Aço-Cor), tipo veneziana, pintada com tinta primer, com altura e largura aproximadas de (0,70x2,10)m,  inclusive fechadura de cilindro e dobradiças.  Fornecimento e instalação.(desonerado)</t>
  </si>
  <si>
    <t>ES 19.10 Janelas de Aço Laminado</t>
  </si>
  <si>
    <t>ES 19.10.0050 (/)</t>
  </si>
  <si>
    <t>Janela basculante de aço laminado a frio com adição de cobre, de 1 seção com 1 báscula, medindo: (0,40x0,60)m, pré-pintada, completa, com 2 quadros fixos, sendo 1 superior e 1 inferior.  Fixação de vidros, exclusive estes, mediante massa.   Fornecimento e instalação.(desonerado)</t>
  </si>
  <si>
    <t>ES 19.10.0053 (/)</t>
  </si>
  <si>
    <t>Janela basculante de aço laminado a frio com adição de cobre, de 1 seção com 2 básculas, medindo: (0,60x0,60)m, pré-pintada, completa, com 2 quadros fixos, sendo 1 superior e 1 inferior.  Fixação de vidros, exclusive estes, mediante massa.   Fornecimento e instalação.(desonerado)</t>
  </si>
  <si>
    <t>ES 19.10.0056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</si>
  <si>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instalação.(desonerado)</t>
  </si>
  <si>
    <t>ES 19.10.0059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</si>
  <si>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instalação.(desonerado)</t>
  </si>
  <si>
    <t>ES 19.10.0062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</si>
  <si>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instalação.(desonerado)</t>
  </si>
  <si>
    <t>ES 19.10.0065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</si>
  <si>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instalação.(desonerado)</t>
  </si>
  <si>
    <t>ES 19.10.0100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</si>
  <si>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instalação.(desonerado)</t>
  </si>
  <si>
    <t>ES 19.10.0103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</si>
  <si>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instalação.(desonerado)</t>
  </si>
  <si>
    <t>ES 19.10.0106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</si>
  <si>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instalação.(desonerado)</t>
  </si>
  <si>
    <t>ES 19.10.0109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</si>
  <si>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instalação.(desonerado)</t>
  </si>
  <si>
    <t>ES 19.10.0153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</si>
  <si>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instalação.(desonerado)</t>
  </si>
  <si>
    <t>ES 19.10.0156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</si>
  <si>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instalação.(desonerado)</t>
  </si>
  <si>
    <t>ES 19.10.0159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</si>
  <si>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instalação.(desonerado)</t>
  </si>
  <si>
    <t>ES 19.10.0203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</si>
  <si>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instalação.(desonerado)</t>
  </si>
  <si>
    <t>ES 19.10.0212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</si>
  <si>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instalação.(desonerado)</t>
  </si>
  <si>
    <t>ES 19.10.0215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</si>
  <si>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instalação.(desonerado)</t>
  </si>
  <si>
    <t>ES 19.10.0250 (/)</t>
  </si>
  <si>
    <t>Janela de correr de aço laminado a frio com adição de cobre, Maxim-Ar, medindo: (0,60x0,40x0,05)m, com baguete externo, com grade elo, pré-pintada, referência 6541303-5, modelo JMGE, inclusive ferragens, Sasazaki ou similar.  Fornecimento e instalação.(desonerado)</t>
  </si>
  <si>
    <t>ES 19.10.0253 (/)</t>
  </si>
  <si>
    <t>Janela de correr de aço laminado a frio com adição de cobre, Maxim-Ar, medindo: (0,60x0,60x0,05)cm, com massa externa quadriculada, grade, pré-pintada, referência 6541723-5, modelo JMQGQ, inclusive ferragens, Sasazaki ou similar.   Fornecimento e instalação.(desonerado)</t>
  </si>
  <si>
    <t>ES 19.10.0259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</si>
  <si>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instalação.(desonerado)</t>
  </si>
  <si>
    <t>ES 19.10.0262 (/)</t>
  </si>
  <si>
    <t>Janela de aço laminado a frio com adição de cobre, Maxim-Ar, medindo: (1,00x0,60x0,05)m, com massa externa quadriculada, com grade, pré-pintada, referência 6541743-0, modelo JMQGQ, inclusive ferragens, Sasazaki ou similar.  Fornecimento e instalação.(desonerado)</t>
  </si>
  <si>
    <t>ES 19.10.0265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</si>
  <si>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instalação.(desonerado)</t>
  </si>
  <si>
    <t>ES 19.10.0268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</si>
  <si>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instalação.(desonerado)</t>
  </si>
  <si>
    <t>ES 19.10.0303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</si>
  <si>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instalação.(desonerado)</t>
  </si>
  <si>
    <t>ES 19.10.0309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</si>
  <si>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instalação.(desonerado)</t>
  </si>
  <si>
    <t>ES 19.10.0350 (/)</t>
  </si>
  <si>
    <t>Janela de correr de aço laminado a frio com adição de cobre, Maxim-Ar, medindo: (1,40x6,00)m, com grade, pré-pintada, referência 6541363-9, modelo JMGE, inclusive ferragens, Sasazaki ou similar.   Exclusive os vidros.  Fornecimento e instalação.(desonerado)</t>
  </si>
  <si>
    <t>ES 19.10.0403 (/)</t>
  </si>
  <si>
    <t>Janela de aço laminado a frio com adição de cobre, Maxim-Ar, medindo: (0,40x0,60)m, quadriculada com grade interna, referência 6541703-0, modelo JMQGQ, Sasazaki ou similar. Exclusive os vidros.  Fornecimento e instalação.(desonerado)</t>
  </si>
  <si>
    <t>ES 19.10.0412 (A)</t>
  </si>
  <si>
    <t>Janela de aço laminado a frio com adição de cobre, medindo: (0,60x1,20)m, referência 6541753-7, modelo JMQGQ, Sasazaki ou similar. Exclusive os vidros.  Fornecimento e instalação.(desonerado)</t>
  </si>
  <si>
    <t>ES 19.10.0421 (/)</t>
  </si>
  <si>
    <t>Janela de aço laminado a frio com adição de cobre, com bandeira projetante, medindo:  (1,00x2,00x0,14)m, massa externa com divisão, pré-pintada, referência 6341202-3, modelo JCBMD, inclusive ferragens, Sasazaki ou similar.  Fornecimento e instalação.(desonerado)</t>
  </si>
  <si>
    <t>ES 19.10.0424 (/)</t>
  </si>
  <si>
    <t>Janela de aço laminado a frio com adição de cobre, Maxim-Ar, medindo: (1,20x2,00)m, quadriculada com grade interna, referência 63612529, modelo JCBMQGQ, Sasazaki ou similar. Exclusive os vidros.  Fornecimento e instalação.(desonerado)</t>
  </si>
  <si>
    <t>ES 19.10.0427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</si>
  <si>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instalação.(desonerado)</t>
  </si>
  <si>
    <t>ES 19.10.0450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</si>
  <si>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instalação.(desonerado)</t>
  </si>
  <si>
    <t>ES 19.10.0550 (/)</t>
  </si>
  <si>
    <t>Janela veneziana de aço laminado a frio com adição de cobre, medindo: (1,20x2,00)m, referência 6121108-0, com postigo de vidro interno, Linha Multiflex, modelo JVM, Sasazaki ou similar.  Exclusive os vidros.  Fornecimento e instalação.(desonerado)</t>
  </si>
  <si>
    <t>ES 19.10.0553 (/)</t>
  </si>
  <si>
    <t>Janela veneziana de aço laminado a frio com adição de cobre, com 6 folhas, medindo: (1,50x1,20)m, Linha Silenfort, referência 6241207-0, modelo JVS, Sasazaki ou similar.  Exclusive os vidros.  Fornecimento e instalação.(desonerado)</t>
  </si>
  <si>
    <t>ES 19.10.0600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</si>
  <si>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instalação.(desonerado)</t>
  </si>
  <si>
    <t>ES 19.10.0650 (/)</t>
  </si>
  <si>
    <t>Janela veneziana de aço laminado a frio com adição de cobre, medindo: (2,00x1,00x0,14)m, com grade quadriculada, pré-pintada, Linha Silenfort, referência 6231142-8, modelo JVSGQ, inclusive ferragens, Sasazaki ou similar.  Fornecimento e instalação.(desonerado)</t>
  </si>
  <si>
    <t>ES 29.05 Portas</t>
  </si>
  <si>
    <t>ES 29.05.0041 (/)</t>
  </si>
  <si>
    <t>Porta sanfonada em PVC, cor bege ou similar, medindo: (0,60x2,10)m.  Fornecimento e instalação.(desonerado)</t>
  </si>
  <si>
    <t>ES 29.05.0044 (/)</t>
  </si>
  <si>
    <t>Porta sanfonada em PVC, cor bege ou similar, medindo: (0,70x2,10)m.  Fornecimento e instalação.(desonerado)</t>
  </si>
  <si>
    <t>ES 29.05.0047 (/)</t>
  </si>
  <si>
    <t>Porta sanfonada em PVC, cor bege ou similar, medindo: (0,80x2,10)m.  Fornecimento e instalação.(desonerado)</t>
  </si>
  <si>
    <t>ES 29.05.0050 (A)</t>
  </si>
  <si>
    <t>Porta sanfonada em PVC, cor bege ou similar, medindo: (1,00x2,10)m.  Fornecimento e instalação.(desonerado)</t>
  </si>
  <si>
    <t>ES 29.10 Cortinas Hospitalares</t>
  </si>
  <si>
    <t>ES 29.10.0100 (/)</t>
  </si>
  <si>
    <t>Cortina de PVC para divisória de leitos.  Fornecimento e instalação.(desonerado)</t>
  </si>
  <si>
    <t>ES 31.07 Deck Ecológicos e de PEAD</t>
  </si>
  <si>
    <t>ES 31.07.0500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</si>
  <si>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instalação.(desonerado)</t>
  </si>
  <si>
    <t>ES 34.05 Esquadrias Especiais</t>
  </si>
  <si>
    <t>ES 34.05.0050 (/)</t>
  </si>
  <si>
    <t>Caixa passa-filmes de 4 portas em chapa de aço pintado nas dimensões e profundidade de 50mm blindado com chumbo de 1mm na face interna da sala de Raio X.(desonerado)</t>
  </si>
  <si>
    <t>ES 34.05.0100 (/)</t>
  </si>
  <si>
    <t>Defensório, executado com barras chatas de aço de (2"x1/2") e (1"x1/8"), chumbadas em muro de pedra, módulos de 2m, conforme projeto FPJ.  Fornecimento e instalação, inclusive pintura.(desonerado)</t>
  </si>
  <si>
    <t>ES 34.05.0150 (/)</t>
  </si>
  <si>
    <t>Painel blindado com chumbo de 1mm para uso em divisórias ou biombos radiológicos, inclusive mão-de-obra de instalação, perfis, portas e elementos de fixação.(desonerado)</t>
  </si>
  <si>
    <t>ES 34.05.0153 (/)</t>
  </si>
  <si>
    <t>Painel blindado com chumbo de 1,50mm para uso em divisórias ou biombos radiológicos, inclusive mão-de-obra de instalação, perfis, portas e elementos de fixação.(desonerado)</t>
  </si>
  <si>
    <t>ES 34.05.0250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</si>
  <si>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Fornecimento.(desonerado)</t>
  </si>
  <si>
    <t>ES 34.05.0300 (/)</t>
  </si>
  <si>
    <t>Porta radiológica, madeira maciça, blindada com chumbo de 0,50mm, dobradiças tipo gonzo, sobre rolamentos axiais, transpasses sobre o vão em três direções, fechadura à prova de Raio X, acabamento melamínico, PRX-AUREA ou similar.  Fornecimento e instalação.(desonerado)</t>
  </si>
  <si>
    <t>ES 34.05.0303 (/)</t>
  </si>
  <si>
    <t>Porta radiológica, madeira maciça, blindada com chumbo de 1mm, dobradiças tipo gonzo, sobre rolamentos axiais, transpasses sobre o vão em três direções, fechadura à prova de Raio X, acabamento melamínico, PRX-AUREA ou similar.  Fornecimento e instalação.(desonerado)</t>
  </si>
  <si>
    <t>ES 34.05.0306 (/)</t>
  </si>
  <si>
    <t>Porta radiológica, madeira maciça, blindada com chumbo de 2mm, dobradiças tipo gonzo, sobre rolamentos axiais, transpasses sobre o vão em três direções, fechadura à prova de Raio X, acabamento melamínico, PRX-AUREA ou similar.  Fornecimento e instalação.(desonerado)</t>
  </si>
  <si>
    <t>ES 34.05.0350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</si>
  <si>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instalação.(desonerado)</t>
  </si>
  <si>
    <t>ES 34.05.0400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</si>
  <si>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instalação.(desonerado)</t>
  </si>
  <si>
    <t>ES 34.05.0403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</si>
  <si>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instalação.(desonerado)</t>
  </si>
  <si>
    <t>ES 34.05.0406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</si>
  <si>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instalação.(desonerado)</t>
  </si>
  <si>
    <t>ES 34.05.0409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</si>
  <si>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instalação.(desonerado)</t>
  </si>
  <si>
    <t>ES 34.05.0450 (/)</t>
  </si>
  <si>
    <t>Veneziana para exaustor de fabricação da Fundição Áurea ou similar.  Fornecimento e instalação.(desonerado)</t>
  </si>
  <si>
    <t>ES 39.05 Ferragens para Portas</t>
  </si>
  <si>
    <t>ES 39.05.0050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</si>
  <si>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similar.(desonerado)</t>
  </si>
  <si>
    <t>ES 39.05.0053 (/)</t>
  </si>
  <si>
    <t>Ferragens, para portas de madeira, interna, constando de fornecimento de: fechadura referência 1515 ST-2  CR, maçaneta referência 435, rosca referência 687-R, 2 fechos 400 de 4cm e 6 dobradiças de ferro galvanizado de (3"x2 1/2"), referência 1410, La Fonte ou similar.(desonerado)</t>
  </si>
  <si>
    <t>ES 39.05.0056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</si>
  <si>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similar.(desonerado)</t>
  </si>
  <si>
    <t>ES 39.05.0100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</si>
  <si>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similar.(desonerado)</t>
  </si>
  <si>
    <t>ES 39.05.0103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</si>
  <si>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batentes.(desonerado)</t>
  </si>
  <si>
    <t>ES 39.05.0150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</si>
  <si>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similar.(desonerado)</t>
  </si>
  <si>
    <t>ES 39.05.0153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</si>
  <si>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similar.(desonerado)</t>
  </si>
  <si>
    <t>ES 39.05.0200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</si>
  <si>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similar.(desonerado)</t>
  </si>
  <si>
    <t>ES 39.05.0203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</si>
  <si>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similar.(desonerado)</t>
  </si>
  <si>
    <t>ES 39.05.0250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</si>
  <si>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latão.(desonerado)</t>
  </si>
  <si>
    <t>ES 39.05.0256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</si>
  <si>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similar.(desonerado)</t>
  </si>
  <si>
    <t>ES 39.05.0300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</si>
  <si>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similar.(desonerado)</t>
  </si>
  <si>
    <t>ES 39.05.0303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</si>
  <si>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similar.(desonerado)</t>
  </si>
  <si>
    <t>ES 39.05.0350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</si>
  <si>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similar.(desonerado)</t>
  </si>
  <si>
    <t>ES 39.05.0353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</si>
  <si>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similar.(desonerado)</t>
  </si>
  <si>
    <t>ES 39.05.0400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</si>
  <si>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25mm.(desonerado)</t>
  </si>
  <si>
    <t>ES 39.05.0450 (/)</t>
  </si>
  <si>
    <t>Conjunto de ferragens para portas de correr de armários em banca, constando de 2m em trilho de aluminio (1/4"x1/4"), 4 rodízios de latão e 2 conchas da La Fonte ou similar.(desonerado)</t>
  </si>
  <si>
    <t>ES 39.05.0470 (/)</t>
  </si>
  <si>
    <t>Dobradiça 3"x2 1/2" de ferro galvanizado referência 246-G da Pagé ou similar, com pino e bolas de latão.  Fornecimento da peça.(desonerado)</t>
  </si>
  <si>
    <t>ES 39.05.0473 (/)</t>
  </si>
  <si>
    <t>Dobradiça 3"x3" de latão cromado referência 344 da Pagé ou similar, com pino, bolas e anéis de latão.  Fornecimento da peça.(desonerado)</t>
  </si>
  <si>
    <t>ES 39.05.0480 (/)</t>
  </si>
  <si>
    <t>Dobradiça 3"x3 1/2" de latão cromado referência 344 da Pagé ou similar, com pino, bolas e anéis de latão.  Fornecimento da peça.(desonerado)</t>
  </si>
  <si>
    <t>ES 39.05.0483 (/)</t>
  </si>
  <si>
    <t>Dobradiça com mola, de (70x100)mm, referência 521, La Fonte ou similar.  Fornecimento e instalação.(desonerado)</t>
  </si>
  <si>
    <t>ES 39.05.0486 (/)</t>
  </si>
  <si>
    <t>Colocação de dobradiça, tipo vaivem, em madeira, exclusive o fornecimento da peça.(desonerado)</t>
  </si>
  <si>
    <t>ES 39.05.0500 (/)</t>
  </si>
  <si>
    <t>Fechadura, para portas de madeira de entrada principal referência 330 ST-2, cromada, maçanetas referência 204 e espelho referência 134, La Fonte ou similar.  Fornecimento da peça.(desonerado)</t>
  </si>
  <si>
    <t>ES 39.05.0503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</si>
  <si>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similar.(desonerado)</t>
  </si>
  <si>
    <t>ES 39.05.0550 (/)</t>
  </si>
  <si>
    <t>Fechadura, para portas de madeira de banheiro referência 7070 ST-2, cromada, maçanetas referência 435, tranqueta referência 687-TE, rosetas referência 687-R e entrada referência 687-E, La Fonte ou similar.  Fornecimento da peça.(desonerado)</t>
  </si>
  <si>
    <t>ES 39.05.0570 (/)</t>
  </si>
  <si>
    <t>Fechadura, cromada, para portas de correr de ferro ou alumínio, referência 1222/22mm, La Fonte ou similar.  Fornecimento da peça.(desonerado)</t>
  </si>
  <si>
    <t>ES 39.05.0573 (/)</t>
  </si>
  <si>
    <t>Fechadura, cromada, para portas de abrir de ferro ou alumínio, referência 1330/22mm, La Fonte ou similar.  Fornecimento da peça.(desonerado)</t>
  </si>
  <si>
    <t>ES 39.05.0576 (/)</t>
  </si>
  <si>
    <t>Fechadura de sobrepor de ferro cromado, com cilindro, para portão, referência 032, Haga ou similar.  Fornecimento.(desonerado)</t>
  </si>
  <si>
    <t>ES 39.05.0650 (/)</t>
  </si>
  <si>
    <t>Ferragens para portas, 1 folha de vidro temperado de 10mm; só fornecimento, exclusive mola hidráulica de piso.(desonerado)</t>
  </si>
  <si>
    <t>ES 39.05.0700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</si>
  <si>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similar.(desonerado)</t>
  </si>
  <si>
    <t>ES 39.05.1000 (/)</t>
  </si>
  <si>
    <t>Fornecimento de mola aérea, exclusive instalação.(desonerado)</t>
  </si>
  <si>
    <t>ES 39.05.1050 (/)</t>
  </si>
  <si>
    <t>Mola hidráulica de piso para portas de vidro temperado de 10mm.  Fornecimento da peça.(desonerado)</t>
  </si>
  <si>
    <t>ES 39.05.1100 (/)</t>
  </si>
  <si>
    <t>Colocação de mola fecha porta, em madeira exclusive o fornecimento da peça.(desonerado)</t>
  </si>
  <si>
    <t>ES 39.10 Ferragens para Janelas</t>
  </si>
  <si>
    <t>ES 39.10.0050 (/)</t>
  </si>
  <si>
    <t>Conjunto de ferragens para janela de madeira, tipo guilhotina, constando de fornecimento sem instalação (esta incluída no fornecimento e instalação das esquadrias), 2 borboletas de latão e 4 conchas.(desonerado)</t>
  </si>
  <si>
    <t>ES 39.10.0100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</si>
  <si>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similar.(desonerado)</t>
  </si>
  <si>
    <t>ES 39.10.0150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</si>
  <si>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esquadrias).(desonerado)</t>
  </si>
  <si>
    <t>ES 39.15 Ferragens para Divisórias</t>
  </si>
  <si>
    <t>ES 39.15.0050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</si>
  <si>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similar.(desonerado)</t>
  </si>
  <si>
    <t>ES 39.15.0053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</si>
  <si>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similar.(desonerado)</t>
  </si>
  <si>
    <t>ES 39.15.0100 (/)</t>
  </si>
  <si>
    <t>Fornecimento, exclusive instalação, de conjunto de ferragens para divisórias de sanitários em mármore ou marmorite, composto por cantoneiras, porcas e parafusos de alumínio, Udinese ou similar.(desonerado)</t>
  </si>
  <si>
    <t>ES 44.05 Vidros para Esquadrias</t>
  </si>
  <si>
    <t>ES 44.05.0050 (A)</t>
  </si>
  <si>
    <t>Espelho de cristal, com espessura de 4mm e moldura de madeira aparelhada.  Fornecimento e instalação.(desonerado)</t>
  </si>
  <si>
    <t>ES 44.05.0100 (A)</t>
  </si>
  <si>
    <t>Vidro aramado, com espessura de 7mm.  Fornecimento e instalação.(desonerado)</t>
  </si>
  <si>
    <t>ES 44.05.0212 (/)</t>
  </si>
  <si>
    <t>Vidro liso, incolor, com espessura de 10mm.  Fornecimento e instalação.(desonerado)</t>
  </si>
  <si>
    <t>ES 44.05.0256 (/)</t>
  </si>
  <si>
    <t>Vidro laminado, com espessura de 6mm.  Fornecimento e instalação.(desonerado)</t>
  </si>
  <si>
    <t>ES 44.05.0262 (/)</t>
  </si>
  <si>
    <t>Vidro laminado, com espessura de 10mm.  Fornecimento e instalação.(desonerado)</t>
  </si>
  <si>
    <t>ES 44.05.0300 (A)</t>
  </si>
  <si>
    <t>Vidro liso, incolor, com espessura de 3mm.  Fornecimento e instalação.(desonerado)</t>
  </si>
  <si>
    <t>ES 44.05.0303 (A)</t>
  </si>
  <si>
    <t>Vidro liso, incolor, com espessura de 4mm.  Fornecimento e instalação.(desonerado)</t>
  </si>
  <si>
    <t>ES 44.05.0306 (A)</t>
  </si>
  <si>
    <t>Vidro liso, incolor, com espessura de 5mm.  Fornecimento e instalação.(desonerado)</t>
  </si>
  <si>
    <t>ES 44.05.0309 (A)</t>
  </si>
  <si>
    <t>Vidro liso, incolor, com espessura de 6mm. Fornecimento e instalação.(desonerado)</t>
  </si>
  <si>
    <t>ES 44.05.0350 (/)</t>
  </si>
  <si>
    <t>Vidro fantasia tipo canelado, martelado, ártico ou lixa, incolor, com espessura de 4mm.  Fornecimento e instalação.(desonerado)</t>
  </si>
  <si>
    <t>ES 44.10 Vidros Temperados</t>
  </si>
  <si>
    <t>ES 44.10.0050 (A)</t>
  </si>
  <si>
    <t>Vidro temperado incolor(liso ou martelado) com espessura de 10mm.  Fornecimento e instalação.(desonerado)</t>
  </si>
  <si>
    <t>ES 44.15 Vidros Especiais</t>
  </si>
  <si>
    <t>ES 44.15.0050 (/)</t>
  </si>
  <si>
    <t>Vidro plumbífero com espessura máxima de 8mm, para uso em salas radiológicas à prova de Raio X, nas dimensõesde (0,30x0,30)m, inclusive caixilho e mão-de-obra de instalação.(desonerado)</t>
  </si>
  <si>
    <t>ES 44.20 Placas de Policarbonato</t>
  </si>
  <si>
    <t>ES 44.20.0053 (/)</t>
  </si>
  <si>
    <t>Placa de policarbonato em cristal compacto, em placas de (2,44x1,22x0,004)m.  Fornecimento  sem instalação.(desonerado)</t>
  </si>
  <si>
    <t>ES 44.20.0056 (/)</t>
  </si>
  <si>
    <t>Placa de policarbonato em cristal compacto, em placas de (2,44x1,22x0,006)m.  Fornecimento  sem instalação.(desonerado)</t>
  </si>
  <si>
    <t>ES 44.20.0059 (/)</t>
  </si>
  <si>
    <t>Placa de policarbonato em cristal compacto, em placas de (2,44x1,22x0,008)m.  Fornecimento  sem instalação.(desonerado)</t>
  </si>
  <si>
    <t>ES 44.20.0100 (/)</t>
  </si>
  <si>
    <t>Placa de policarbonato compacto cristal, em placas de (2,44x1,22x0,01)m.  Fornecimento  sem instalação.(desonerado)</t>
  </si>
  <si>
    <t>ES 44.25 Películas</t>
  </si>
  <si>
    <t>ES 44.25.0050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</si>
  <si>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instalação.(desonerado)</t>
  </si>
  <si>
    <t>ES 49.05 Mastros Metálicos</t>
  </si>
  <si>
    <t>ES 49.05.0050 (A)</t>
  </si>
  <si>
    <t>Mastro metálico em tubo de ferro galvanizado de 3" com altura de 5,50m, equipado com roldana fixado em prisma de concreto de (30x30x50)cm, inclusive este, exclusive pintura.  Fornecimento instalação.(desonerado)</t>
  </si>
  <si>
    <t>ES 49.05.0053 (A)</t>
  </si>
  <si>
    <t>Mastro metálico em tubo de ferro galvanizado de 3" com altura de 6m, equipado com roldana fixado em prisma de concreto de (30x30x50)cm, inclusive este, exclusive pintura.  Fornecimento e instalação.(desonerado)</t>
  </si>
  <si>
    <t>ES 98.99 Diversos</t>
  </si>
  <si>
    <t>ES 98.99.0050 (/)</t>
  </si>
  <si>
    <t>Arruela de 5/16".  Fornecimento.(desonerado)</t>
  </si>
  <si>
    <t>ES 98.99.0100 (/)</t>
  </si>
  <si>
    <t>Cadeado de 30mm.  Fornecimento.(desonerado)</t>
  </si>
  <si>
    <t>ES 98.99.0103 (/)</t>
  </si>
  <si>
    <t>Cadeado de 50mm.  Fornecimento.(desonerado)</t>
  </si>
  <si>
    <t>ES 98.99.0150 (/)</t>
  </si>
  <si>
    <t>Caixilho fixo, de alumínio, para chapa de policarbonato de 10mm.  Fornecimento e instalação.(desonerado)</t>
  </si>
  <si>
    <t>ES 98.99.0153 (/)</t>
  </si>
  <si>
    <t>Caixilho metade fixo para vidro e metade fixo em veneziana, de alumínio; exclusive fornecimento e instalação do vidro.  Fornecimento e instalação.(desonerado)</t>
  </si>
  <si>
    <t>ES 98.99.0200 (/)</t>
  </si>
  <si>
    <t>Colocação de carranca, fixada na parte externa de janelas de abrir, exclusive o fornecimento da peça.(desonerado)</t>
  </si>
  <si>
    <t>ES 98.99.0206 (/)</t>
  </si>
  <si>
    <t>Colocação de cremone, em madeira com vara de ferro de 1,50m, exclusive o fornecimento.(desonerado)</t>
  </si>
  <si>
    <t>ES 98.99.0350 (/)</t>
  </si>
  <si>
    <t>Conjunto completo de ferragens para painéis fixos de vidro temperado de 10mm.  Fornecimento.(desonerado)</t>
  </si>
  <si>
    <t>ES 98.99.0550 (/)</t>
  </si>
  <si>
    <t>Fecho CR-719AZ.  Fornecimento.(desonerado)</t>
  </si>
  <si>
    <t>ES 98.99.0700 (/)</t>
  </si>
  <si>
    <t>Parafuso de (8x250)mm, com rosca.  Fornecimento.(desonerado)</t>
  </si>
  <si>
    <t>ES 98.99.0800 (/)</t>
  </si>
  <si>
    <t>Porca de 5/16".  Fornecimento.(desonerado)</t>
  </si>
  <si>
    <t>ES 98.99.0900 (/)</t>
  </si>
  <si>
    <t>Prego com cabeça chata 23x54, em caixa de 100Kg ou quantidades equivalentes, inclusive transporte até a obra, exclusive instalação.  Fornecimento.(desonerado)</t>
  </si>
  <si>
    <t>Kg</t>
  </si>
  <si>
    <t>ES 98.99.0950 (/)</t>
  </si>
  <si>
    <t>Targete em ferro cromado, de fio redondo de 2", referência CR-1 FR, La Fonte ou similar.  Fornecimento da peça.(desonerado)</t>
  </si>
  <si>
    <t>ES 98.99.0959 (/)</t>
  </si>
  <si>
    <t>Targetão em ferro galvanizado de 5/8"x160mm, referência 831 Datti ou similar, inclusive cadeado de 50mm.  Fornecimento e instalação.(desonerado)</t>
  </si>
  <si>
    <t>ET 04.05 Concreto Dosado Racionalmente</t>
  </si>
  <si>
    <t>ET 04.05.0050 (B)</t>
  </si>
  <si>
    <t>Materiais para confecção de concreto estrutural dosado para uma resistência característica à compressão (fck) mínimo de 10MPa, inclusive perdas.  Fornecimento.(desonerado)</t>
  </si>
  <si>
    <t>ET 04.05.0100 (A)</t>
  </si>
  <si>
    <t>Materiais para confecção de concreto estrutural dosado para uma resistência característica à compressão (fck) mínimo de 11MPa, inclusive perdas.  Fornecimento.(desonerado)</t>
  </si>
  <si>
    <t>ET 04.05.0200 (B)</t>
  </si>
  <si>
    <t>Materiais para confecção de concreto estrutural dosado para uma resistência característica à compressão (fck) mínimo de 13,5MPa, inclusive perdas.  Fornecimento.(desonerado)</t>
  </si>
  <si>
    <t>ET 04.05.0250 (B)</t>
  </si>
  <si>
    <t>Materiais para confecção de concreto estrutural dosado para uma resistência característica à compressão (fck) mínimo de 15MPa, inclusive perdas.  Fornecimento.(desonerado)</t>
  </si>
  <si>
    <t>ET 04.05.0350 (B)</t>
  </si>
  <si>
    <t>Materiais para confecção de concreto estrutural dosado para uma resistência característica à compressão (fck) mínimo de 18MPa, inclusive perdas.  Fornecimento.(desonerado)</t>
  </si>
  <si>
    <t>ET 04.05.0400 (B)</t>
  </si>
  <si>
    <t>Materiais para confecção de concreto estrutural dosado para uma resistência característica à compressão (fck) mínimo de 20MPa, inclusive perdas.  Fornecimento.(desonerado)</t>
  </si>
  <si>
    <t>ET 04.05.0500 (B)</t>
  </si>
  <si>
    <t>Materiais para confecção de concreto estrutural dosado para uma resistência característica à compressão (fck) mínimo de 22,5MPa, inclusive perdas.  Fornecimento.(desonerado)</t>
  </si>
  <si>
    <t>ET 04.05.0570 (A)</t>
  </si>
  <si>
    <t>Materiais para confecção de concreto estrutural dosado para uma resistência característica à compressão (fck) mínimo de 25MPa, inclusive perdas.  Fornecimento.(desonerado)</t>
  </si>
  <si>
    <t>ET 04.05.0601 (/)</t>
  </si>
  <si>
    <t>Materiais para confecção de concreto estrutural dosado para uma resistência característica à compressão (fck) mínimo de 30MPa, inclusive perdas.  Fornecimento.(desonerado)</t>
  </si>
  <si>
    <t>ET 04.05.0700 (/)</t>
  </si>
  <si>
    <t>Materiais para confecção de concreto estrutural dosado para uma resistência característica à compressão (fck) mínima de 35MPa.  Inclusive perdas.  Fornecimento.(desonerado)</t>
  </si>
  <si>
    <t>ET 04.05.0750 (/)</t>
  </si>
  <si>
    <t>Materiais para confecção de concreto estrutural dosado para uma resistência característica à compressão (fck) mínima de 40MPa.  Inclusive perdas.  Fornecimento.(desonerado)</t>
  </si>
  <si>
    <t>ET 04.05.1015 (A)</t>
  </si>
  <si>
    <t>Materiais para confecção de concreto colorido, com óxido de ferro vermelho sintético, dosado para uma resistência característica à compressão (fck) mínimo de 13,5MPa, inclusive perdas.  Fornecimento.(desonerado)</t>
  </si>
  <si>
    <t>ET 04.10 Camada Preparatória de Concreto</t>
  </si>
  <si>
    <t>ET 04.10.0050 (A)</t>
  </si>
  <si>
    <t>Concreto para camada preparatória com 180Kg de cimento por m3 de concreto, compreendendo apenas o fornecimento dos materiais, inclusive perdas de 5%.(desonerado)</t>
  </si>
  <si>
    <t>ET 04.15 Concreto para Meios Agressivos</t>
  </si>
  <si>
    <t>ET 04.15.0050 (/)</t>
  </si>
  <si>
    <t>Concreto para meios agressivos com utilização de cimento resistente a sulfatos (baixo teor de C3A), com fator água e cimento, menor ou igual a 0,50, com consumo mínimo de PC maior ou igual a 400Kg.(desonerado)</t>
  </si>
  <si>
    <t>ET 04.20 Preparo de Concreto</t>
  </si>
  <si>
    <t>ET 04.20.0050 (A)</t>
  </si>
  <si>
    <t>Preparo manual de concreto, compreendendo a mistura e o amassamento, exclusive materiais.(desonerado)</t>
  </si>
  <si>
    <t>ET 04.20.0200 (/)</t>
  </si>
  <si>
    <t>Preparo mecânico de concreto, compreendendo a mistura e o amassamento em betoneira, exclusive materiais, considerando produção normal.(desonerado)</t>
  </si>
  <si>
    <t>ET 04.20.0206 (/)</t>
  </si>
  <si>
    <t>Preparo mecânico de concreto, compreendendo a mistura e o amassamento em betoneira, exclusive materiais, considerando a produção baixa.(desonerado)</t>
  </si>
  <si>
    <t>ET 04.25 Lançamento de Concreto</t>
  </si>
  <si>
    <t>ET 04.25.0403 (A)</t>
  </si>
  <si>
    <t>Lançamento de concreto em peças sem armadura, inclusive a colocação, o adensamento e o acabamento, exclusive o transporte (TC 05.10.0050), considerando a produção normal.(desonerado)</t>
  </si>
  <si>
    <t>ET 04.25.0406 (/)</t>
  </si>
  <si>
    <t>Lançamento de concreto em peças sem armadura, inclusive a colocação, o adensamento e o acabamento, exclusive o transporte (TC 05.10.0050), considerando a produção baixa.(desonerado)</t>
  </si>
  <si>
    <t>ET 04.25.0703 (A)</t>
  </si>
  <si>
    <t>Lançamento de concreto em peças armadas, inclusive a colocação, o adensamento e o acabamento, exclusive o transporte (TC 05.10.0050), considerando a produção normal.(desonerado)</t>
  </si>
  <si>
    <t>ET 04.25.0706 (/)</t>
  </si>
  <si>
    <t>Lançamento de concreto em peças armadas, inclusive a colocação, o adensamento e o acabamento, exclusive o transporte (TC 05.10.0050), considerando a produção baixa.(desonerado)</t>
  </si>
  <si>
    <t>ET 04.30 Concreto Simples</t>
  </si>
  <si>
    <t>ET 04.30.0100 (A)</t>
  </si>
  <si>
    <t>Concreto simples dosado racionalmente para uma resistência mínima característica à compressão de 11MPa, inclusive materiais, preparo, lançamento, colocação e adensamento, exclusive transporte.(desonerado)</t>
  </si>
  <si>
    <t>ET 04.35 Concreto para Peças Armadas</t>
  </si>
  <si>
    <t>ET 04.35.0050 (A)</t>
  </si>
  <si>
    <t>Concreto dosado racionalmente para uma resistência mínima característica à compressão de 15MPa, inclusive materiais, preparo, lançamento, colocação e adensamento, exclusive transporte.(desonerado)</t>
  </si>
  <si>
    <t>ET 04.40 Concreto Ciclópico</t>
  </si>
  <si>
    <t>ET 04.40.0050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</si>
  <si>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obra.(desonerado)</t>
  </si>
  <si>
    <t>ET 04.40.0150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</si>
  <si>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obra.(desonerado)</t>
  </si>
  <si>
    <t>ET 04.45 Peças Diversas em Concreto Armado</t>
  </si>
  <si>
    <t>ET 04.45.0100 (/)</t>
  </si>
  <si>
    <t>Chapim de concreto aparente com acabamento desempenhado, usando forma de Madeirit ou similar, medindo: (14x10)cm, fundido no local.  Fornecimento e colocação.(desonerado)</t>
  </si>
  <si>
    <t>ET 04.45.0150 (/)</t>
  </si>
  <si>
    <t>Vergas de concreto armado para alvenaria com aproveitamento da madeira por 10 vezes.(desonerado)</t>
  </si>
  <si>
    <t>ET 04.55 Camadas Impermeabilizantes</t>
  </si>
  <si>
    <t>ET 04.55.0050 (/)</t>
  </si>
  <si>
    <t>Lona de polietileno (lona terreiro) com espessura de 0,20mm para impermeabilização de solo, medida pela área coberta.  Fornecimento e colocação, inclusive com perdas e transpasse.(desonerado)</t>
  </si>
  <si>
    <t>ET 04.60 Concreto Armado</t>
  </si>
  <si>
    <t>ET 04.60.0050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</si>
  <si>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20m3.(desonerado)</t>
  </si>
  <si>
    <t>ET 04.60.0150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</si>
  <si>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t>
  </si>
  <si>
    <t>ET 04.60.0200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</si>
  <si>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t>
  </si>
  <si>
    <t>ET 04.65 Guarda Rodas de Concreto Armado</t>
  </si>
  <si>
    <t>ET 04.65.0050 (A)</t>
  </si>
  <si>
    <t>Guarda-rodas de concreto armado, para viadutos, moldados no local, compreendendo vigas longitudinais apoiadas sobre montantes (conforme especificação da Prefeitura da Cidade do Rio de Janeiro).(desonerado)</t>
  </si>
  <si>
    <t>ET 04.65.0100 (/)</t>
  </si>
  <si>
    <t>Guarda-roda de concreto armado tipo New Jersey, forma trapezoidal, com 15cm de topo, 38cm de base e 90,50cm de altura, engastado em sobre-laje de 12cm de espessura, exclusive esta, inclusive armadura de engaste.(desonerado)</t>
  </si>
  <si>
    <t>ET 04.65.0150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</si>
  <si>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armação.(desonerado)</t>
  </si>
  <si>
    <t>ET 04.70 Guarda Corpos</t>
  </si>
  <si>
    <t>ET 04.70.0050 (B)</t>
  </si>
  <si>
    <t>Guarda-corpo de concreto armado em lances de 3m de comprimento e 60cm de altura, constando de 1 corrimão de (10x15)cm, feito com forma de Madeirit ou similar, apoiado em 4 colunas, com forma perdida de tubo de cimento amianto de 4".(desonerado)</t>
  </si>
  <si>
    <t>ET 04.70.0100 (A)</t>
  </si>
  <si>
    <t>Guarda-corpo em concreto armado (fck=15MPa, aço CA-50), formado por quadros retangulares de (1,90x0,50)m sustentados por 2 montantes de 0,85m de altura, inclusive fornecimento de materiais e elementos de fixação na ponte.(desonerado)</t>
  </si>
  <si>
    <t>ET 09.05 Barras e Fios de Aço</t>
  </si>
  <si>
    <t>ET 09.05.0050 (/)</t>
  </si>
  <si>
    <t>Aço CA-25 para armadura de concreto, redonda, sem saliência ou mossa, coeficiente de conformação mínima (aderência) igual a 1, diâmetro igual a 5mm.  Fornecimento, incluindo 10% de perdas e arame 18.(desonerado)</t>
  </si>
  <si>
    <t>ET 09.05.0053 (/)</t>
  </si>
  <si>
    <t>Aço CA-25 para armadura de concreto, redonda, sem saliência ou mossa, coeficiente de conformação mínima (aderência) igual a 1, diâmetro de 6,3 à 8mm.  Fornecimento, incluindo 10% de perdas e arame 18.(desonerado)</t>
  </si>
  <si>
    <t>ET 09.05.0059 (/)</t>
  </si>
  <si>
    <t>Aço CA-25 para armadura de concreto, redonda, sem saliência ou mossa, coeficiente de conformação mínima (aderência) igual a 1, diâmetro maior ou igual a 10mm.  Fornecimento, incluindo 10% de perdas  e arame 18.(desonerado)</t>
  </si>
  <si>
    <t>ET 09.05.0062 (/)</t>
  </si>
  <si>
    <t>Aço CA-25 para armadura de concreto, redonda, sem saliência ou mossa, coeficiente de conformação mínima (aderência) igual a 1, diâmetro igual a 10mm.  Fornecimento, incluindo 10% de perdas e arame 18.(desonerado)</t>
  </si>
  <si>
    <t>ET 09.05.0065 (/)</t>
  </si>
  <si>
    <t>Aço CA-25 para armadura de concreto, redonda, sem saliência ou mossa, coeficiente conformação mínima (aderência) igual a 1, diâmetro igual a 12,5mm.  Fornecimento, incluindo 10% de perdas e arame 18.(desonerado)</t>
  </si>
  <si>
    <t>ET 09.05.0068 (/)</t>
  </si>
  <si>
    <t>Aço CA-25 para armadura de concreto, redonda, sem saliência ou mossa, coeficiente conformação mínima (aderência) igual a 1, diâmetro igual a 16mm.  Fornecimento, incluindo 10% de perdas e arame 18.(desonerado)</t>
  </si>
  <si>
    <t>ET 09.05.0071 (/)</t>
  </si>
  <si>
    <t>Aço CA-25 para armadura de concreto, redonda, sem saliência ou mossa , coeficiente conformação mínima (aderência) igual a 1, diâmetro igual a 20mm.  Fornecimento, incluindo 10% de perdas  e arame 18.(desonerado)</t>
  </si>
  <si>
    <t>ET 09.05.0074 (/)</t>
  </si>
  <si>
    <t>Aço CA-25 para armadura de concreto, redonda, sem saliência ou mossa , coeficiente conformação mínima (aderência) igual a 1, diâmetro igual a 22,3mm.  Fornecimento, incluindo 10% de perdas e arame 18.(desonerado)</t>
  </si>
  <si>
    <t>ET 09.05.0077 (/)</t>
  </si>
  <si>
    <t>Aço CA-25 para armadura de concreto, redonda, sem saliência ou mossa , coeficiente conformação mínima (aderência) igual a 1, diâmetro igual a 25mm.  Fornecimento, incluindo 10% de perdas e arame 18.(desonerado)</t>
  </si>
  <si>
    <t>ET 09.05.0100 (/)</t>
  </si>
  <si>
    <t>Aço CA-50 para armadura de concreto, com saliência ou mossa, coeficiente de conformação superficial mínimo (aderência) igual a 1,5, diâmetro de 6,3mm.  Fornecimento, incluindo 10% de perdas e arame 18.(desonerado)</t>
  </si>
  <si>
    <t>ET 09.05.0103 (/)</t>
  </si>
  <si>
    <t>Aço CA-50 para armadura de concreto, com saliência ou mossa, coeficiente de conformação superficial mínimo (aderência) igual a 1,5, diâmetro de 8mm.  Fornecimento, incluimdo 10% de perdas e arame 18.(desonerado)</t>
  </si>
  <si>
    <t>ET 09.05.0106 (/)</t>
  </si>
  <si>
    <t>Aço CA-50 para armadura de concreto, com saliência ou mossa, coeficiente de conformação superficial mínimo (aderência) igual a 1,5, diâmetro de 10mm.  Fornecimento, incluindo 10% de perdas e arame 18.(desonerado)</t>
  </si>
  <si>
    <t>ET 09.05.0109 (/)</t>
  </si>
  <si>
    <t>Aço CA-50 para armadura de concreto, com saliência ou mossa, coeficiente de conformação superficial mínimo (aderência) igual a 1,5, diâmetro de 12,5mm.  Fornecimento, incluindo 10% de perdas e arame 18.(desonerado)</t>
  </si>
  <si>
    <t>ET 09.05.0112 (/)</t>
  </si>
  <si>
    <t>Aço CA-50 para armadura de concreto, com saliência ou mossa, coeficiente de conformação superficial mínimo (aderência) igual a 1,5, diâmetro de 16mm.  Fornecimento, incluindo 10% de perdas e arame 18.(desonerado)</t>
  </si>
  <si>
    <t>ET 09.05.0115 (/)</t>
  </si>
  <si>
    <t>Aço CA-50 para armadura de concreto, com saliência ou mossa, coeficiente de conformação superficial mínimo (aderência) igual a 1,5, diâmetro de 20mm.  Fornecimento, incluindo 10% de perdas e arame 18.(desonerado)</t>
  </si>
  <si>
    <t>ET 09.05.0118 (/)</t>
  </si>
  <si>
    <t>Aço CA-50 para armadura de concreto, com saliência ou mossa, coeficiente de conformação superficial mínimo (aderência) igual a 1,5, diâmetro de 25mm.  Fornecimento, incluindo 10% de perdas  e arame 18.(desonerado)</t>
  </si>
  <si>
    <t>ET 09.05.0121 (/)</t>
  </si>
  <si>
    <t>Aço CA-50 para armadura de concreto, com saliência ou mossa, coeficiente de conformação superficial mínimo (aderência) igual a 1,5, diâmetro de 32mm.  Fornecimento, incluindo 10% de perdas e arame 18.(desonerado)</t>
  </si>
  <si>
    <t>ET 09.05.0150 (A)</t>
  </si>
  <si>
    <t>Aço CA-60 para armadura de concreto, redondo, sem saliência ou mossa, coeficiente de conformação superficial mínimo (aderência) igual a 1,5, diâmetro de 3,4mm.  Fornecimento, incluindo  10% de perdas e arame 18.(desonerado)</t>
  </si>
  <si>
    <t>ET 09.05.0153 (/)</t>
  </si>
  <si>
    <t>Aço CA-60 para armadura de concreto, redondo, sem saliência ou mossa, coeficiente de conformação superficial mínimo (aderência) igual a 1,5, diâmetro de 4,20mm.  Fornecimento, incluindo 10% de perdas e arame 18.(desonerado)</t>
  </si>
  <si>
    <t>ET 09.05.0156 (A)</t>
  </si>
  <si>
    <t>Aço CA-60 para armadura de concreto, redondo, sem saliência ou mossa, coeficiente de conformação superficial mínimo (aderência) igual a 1,5, diâmetro de 4,60mm.  Fornecimento, incluindo 10% de perdas e arame 18.(desonerado)</t>
  </si>
  <si>
    <t>ET 09.05.0159 (/)</t>
  </si>
  <si>
    <t>Aço CA-60 para armadura de concreto, redondo, sem saliência ou mossa, coeficiente de conformação superficial mínimo (aderência) igual a 1,5, diâmetro de 5mm.  Fornecimento, incluindo 10% de perdas e arame 18.(desonerado)</t>
  </si>
  <si>
    <t>ET 09.05.0162 (/)</t>
  </si>
  <si>
    <t>Aço CA-60 para armadura de concreto, redondo, sem saliência ou mossa, coeficiente de conformação superficial mínimo (aderência) igual a 1,5, diâmetro de 6mm.  Fornecimento, incluindo 10% de  perdas e arame 18.(desonerado)</t>
  </si>
  <si>
    <t>ET 09.05.0165 (A)</t>
  </si>
  <si>
    <t>Aço CA-60 para armadura de concreto, redondo, sem saliência ou mossa, coeficiente de conformação superficial mínimo (aderência) igual a 1,5, diâmetro de 6,40mm.  Fornecimento, incluindo 10% de perdas e arame 18.(desonerado)</t>
  </si>
  <si>
    <t>ET 09.05.0168 (/)</t>
  </si>
  <si>
    <t>Aço CA-60 para armadura de concreto, redondo, sem saliência ou mossa, coeficiente de conformação superficial mínimo (aderência) igual a 1,5, diâmetro de 7mm.  Fornecimento, incluindo 10% de perdas de pontas e arame 18.(desonerado)</t>
  </si>
  <si>
    <t>ET 09.05.0171 (/)</t>
  </si>
  <si>
    <t>Aço CA-60 para armadura de concreto, redondo, sem saliência ou mossa, coeficiente de conformação superficial mínimo (aderência) igual a 1,5, diâmetro de 8mm.  Fornecimento, incluindo 10% de perdas e arame 18.(desonerado)</t>
  </si>
  <si>
    <t>ET 09.05.0350 (/)</t>
  </si>
  <si>
    <t>Cabo de aço galvanizado, diâmetro de 3/8", com alma de fibra, 6 pernas com 19 fios.  Fornecimento.(desonerado)</t>
  </si>
  <si>
    <t>ET 09.05.0356 (/)</t>
  </si>
  <si>
    <t>Cabo de aço galvanizado, diâmetro de 5/8".  Fornecimento.(desonerado)</t>
  </si>
  <si>
    <t>ET 09.10 Corte, Dobragem, Montagem e Colocação de Ferragens nas Formas</t>
  </si>
  <si>
    <t>ET 09.10.0050 (/)</t>
  </si>
  <si>
    <t>Corte, dobragem, montagem e colocação de ferragens nas formas, aço CA-25, barra redonda com diâmetro igual a 5mm.(desonerado)</t>
  </si>
  <si>
    <t>ET 09.10.0053 (/)</t>
  </si>
  <si>
    <t>Corte, dobragem, montagem e colocação de ferragens nas formas, aço CA-25, barra redonda com diâmetro entre 6,3mm a 8mm.(desonerado)</t>
  </si>
  <si>
    <t>ET 09.10.0054 (/)</t>
  </si>
  <si>
    <t>Corte, dobragem, montagem e colocação de ferragens nas formas, aço CA-25, barra redonda com diâmetro maior ou igual a 10mm.(desonerado)</t>
  </si>
  <si>
    <t>ET 09.10.0056 (/)</t>
  </si>
  <si>
    <t>Corte, dobragem, montagem e colocação de ferragens nas formas, aço CA-50, em barra redonda, com diâmetro igual a 6,3mm.(desonerado)</t>
  </si>
  <si>
    <t>ET 09.10.0061 (/)</t>
  </si>
  <si>
    <t>ET 09.10.0062 (/)</t>
  </si>
  <si>
    <t>ET 09.10.0068 (/)</t>
  </si>
  <si>
    <t>Corte, dobragem, montagem e colocação de ferragens nas formas, aço CA-60, em fio redondo, com diâmetro entre 4,2mm a 6mm.(desonerado)</t>
  </si>
  <si>
    <t>ET 09.10.0071 (/)</t>
  </si>
  <si>
    <t>ET 14.05 Formas Especiais de Madeira</t>
  </si>
  <si>
    <t>ET 14.05.0050 (B)</t>
  </si>
  <si>
    <t>Formas especiais de madeira para peças de concreto pré-moldado, servindo 20 vezes, tábuas de madeira serrada, com 2,5cm de espessura, moldagem e desmoldagem.(desonerado)</t>
  </si>
  <si>
    <t>ET 14.10 Formas para Peças Comuns</t>
  </si>
  <si>
    <t>ET 14.10.0050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</si>
  <si>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escoramento.(desonerado)</t>
  </si>
  <si>
    <t>ET 14.10.0100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</si>
  <si>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escoramento.(desonerado)</t>
  </si>
  <si>
    <t>ET 14.10.0150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</si>
  <si>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escoramento.(desonerado)</t>
  </si>
  <si>
    <t>ET 14.10.0200 (/)</t>
  </si>
  <si>
    <t>Formas de madeira para moldagem de peças de concreto com paramentos curvos servindo a madeira 1,4 vezes inclusive desmoldagem exclusive escoramento.(desonerado)</t>
  </si>
  <si>
    <t>ET 14.10.0250 (/)</t>
  </si>
  <si>
    <t>Formas de madeira para moldagem de peças de concreto com paramentos curvos servindo a madeira 2 vezes inclusive desmoldagem exclusive escoramento.(desonerado)</t>
  </si>
  <si>
    <t>ET 14.10.0300 (/)</t>
  </si>
  <si>
    <t>Formas de madeira, para galerias retangulares de concreto armado, servindo a madeira 3 vezes, inclusive  escoramento, fornecimento dos materiais e desmoldagem.(desonerado)</t>
  </si>
  <si>
    <t>ET 14.10.0350 (/)</t>
  </si>
  <si>
    <t>Forma de madeira com utilização de 1,4 vezes e escoramento de laje superior.(desonerado)</t>
  </si>
  <si>
    <t>ET 14.10.0400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</si>
  <si>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escoramento.(desonerado)</t>
  </si>
  <si>
    <t>ET 14.10.0450 (/)</t>
  </si>
  <si>
    <t>Formas de madeira serrada, com aproveitamento da madeira apenas 1 vez, para viaduto de concreto, com escoramento metálico, exclusive aluguel deste, inclusive fornecimento de materiais, e desmoldagem.(desonerado)</t>
  </si>
  <si>
    <t>ET 14.10.0500 (A)</t>
  </si>
  <si>
    <t>Formas de madeira serrada, com aproveitamento da madeira por 4 vezes, destinada a moldagem de cinta sobre baldrame, inclusive fornecimento dos materiais e desmoldagem.(desonerado)</t>
  </si>
  <si>
    <t>ET 14.15 Formas Metálicas para Concreto</t>
  </si>
  <si>
    <t>ET 14.15.0050 (A)</t>
  </si>
  <si>
    <t>Forma metálica para concreto, inclusive fornecimento, confecção, montagem e desmontagem sem utilização de guindaste, admitindo 50 vezes de utilização, exclusive escoramento.(desonerado)</t>
  </si>
  <si>
    <t>ET 14.15.0100 (/)</t>
  </si>
  <si>
    <t>Forma metálica alto portante, para laje, sem reutilização, para vãos até 4,40m, com espessura de 0,80mm, tipo STEEL DECK MR-75, da Metform ou similar.  Fornecimento e instalação.(desonerado)</t>
  </si>
  <si>
    <t>ET 14.15.0150 (/)</t>
  </si>
  <si>
    <t>Forma metálica alto portante, para laje, sem reutilização, para vãos até 3,75m, com espessura de 0,95mm, tipo STEEL DECK MR-75, da Metform ou similar.  Fornecimento e instalação.(desonerado)</t>
  </si>
  <si>
    <t>ET 14.15.0200 (/)</t>
  </si>
  <si>
    <t>Forma metálica alto portante, para laje, sem reutilização, para vãos até 4,40m, com espessura de 1,25mm, tipo STEEL DECK MR-75, da Metform ou similar.  Fornecimento e instalação.(desonerado)</t>
  </si>
  <si>
    <t>ET 14.20 Formas de Madeirit</t>
  </si>
  <si>
    <t>ET 14.20.0050 (A)</t>
  </si>
  <si>
    <t>Formas de placas de Madeirit ou similar, empregando-se as de 14mm, resinadas e também as de 20mm de espessura, plastificadas, servindo 4 vezes, e a madeira serrada, auxiliar 1 vez, inclusive fornecimento e desmoldagem, exclusive escoramento.(desonerado)</t>
  </si>
  <si>
    <t>ET 14.20.0053 (/)</t>
  </si>
  <si>
    <t>Formas de placas de Madeirit ou similar, empregando-se as de 14mm, resinadas e também as de 20mm de espessura, plastificadas, servindo 4 vezes, e a madeira serrada 3 vezes, inclusive fornecimento e desmontagem, exclusive escoramento.(desonerado)</t>
  </si>
  <si>
    <t>ET 14.20.0100 (/)</t>
  </si>
  <si>
    <t>Forma de chapas de madeira plastificada, de 17mm de espessura, servindo 1 vez, para viadutos, incluindo peças de transferência para escoramento metálico, exclusive este, inclusive fornecimento de materiais e desmoldagem.(desonerado)</t>
  </si>
  <si>
    <t>ET 14.20.0103 (/)</t>
  </si>
  <si>
    <t>Forma de chapas de madeira plastificada, de 17mm de espessura, servindo 2 vezes,  para viadutos, incluindo peças de transferência para escoramento metálico, exclusive este, inclusive fornecimento de materiais e desmoldagem.(desonerado)</t>
  </si>
  <si>
    <t>ET 14.20.0150 (/)</t>
  </si>
  <si>
    <t>Formas de placas de Madeirit ou similar, de 20mm de espessura, plastificadas, servindo 2 vezes e madeira serrada, auxiliar servindo 3 vezes, inclusive fornecimento e desmoldagem, exclusive escoramento.(desonerado)</t>
  </si>
  <si>
    <t>ET 19.05 Escoramento de Madeira em Obras de artes Especiais</t>
  </si>
  <si>
    <t>ET 19.05.0050 (/)</t>
  </si>
  <si>
    <t>Escoramento de pontilhões, pontes e viadutos, de concreto armado, com madeira serrada, com 30% de aproveitamento da madeira, medido pelo volume do escoramento, inclusive montagem e desmontagem.(desonerado)</t>
  </si>
  <si>
    <t>ET 19.10 Escoramento Tubular em Obras de Artes Especiais</t>
  </si>
  <si>
    <t>ET 19.10.0050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</si>
  <si>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desnecessária.(desonerado)</t>
  </si>
  <si>
    <t>m3.mês</t>
  </si>
  <si>
    <t>ET 19.10.0100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</si>
  <si>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desmontagem.(desonerado)</t>
  </si>
  <si>
    <t>ET 19.20 Escoramento de Formas Comuns</t>
  </si>
  <si>
    <t>ET 19.20.0050 (/)</t>
  </si>
  <si>
    <t>Escoramento de formas até 3,00m de pé direito, utilizando madeira serrada, tábuas empregadas 3 vezes, prumos 4 vezes.(desonerado)</t>
  </si>
  <si>
    <t>ET 19.20.0100 (/)</t>
  </si>
  <si>
    <t>Escoramento de formas de 3,01m até 3,99m de pé direito, utilizando madeira serrada, tábuas empregadas 3 vezes, prumos 4 vezes.(desonerado)</t>
  </si>
  <si>
    <t>ET 19.20.0150 (/)</t>
  </si>
  <si>
    <t>Escoramento de formas de 4,00m até 5,00m de pé direito, utilizando madeira serrada, tábuas empregadas 3 vezes, prumos 4 vezes.(desonerado)</t>
  </si>
  <si>
    <t>ET 19.25 Escoramento de Vigas Isoladas</t>
  </si>
  <si>
    <t>ET 19.25.0050 (/)</t>
  </si>
  <si>
    <t>Escoramento de formas de moldagem de peças de concreto em vigas isoladas e semelhantes, até 5m de pé direito, utilizando madeira serrada, empregada 2 vezes, medida pela área de projeção lateral de escoramento.(desonerado)</t>
  </si>
  <si>
    <t>ET 19.30 Escoramento de Parametros Verticais</t>
  </si>
  <si>
    <t>ET 19.30.0050 (/)</t>
  </si>
  <si>
    <t>Escoramento de formas de caixas de concreto em geral, cintas, blocos de fundação e ou paramentos verticais até 1,5m; com aproveitamento da madeira 2 vezes, inclusive retirada.(desonerado)</t>
  </si>
  <si>
    <t>ET 19.30.0100 (/)</t>
  </si>
  <si>
    <t>Escoramento de formas de paramentos verticais de mais de 1,50m e até 5m de altura, utilizando madeira serrada, com 30% do aproveitamento da madeira, inclusive retirada.(desonerado)</t>
  </si>
  <si>
    <t>ET 19.30.0150 (/)</t>
  </si>
  <si>
    <t>Escoramento de formas de paramentos verticais de mais de 5m e até 8m de altura, utilizando madeira serrada, com 30% do aproveitamento da madeira, inclusive retirada.(desonerado)</t>
  </si>
  <si>
    <t>ET 19.30.0200 (/)</t>
  </si>
  <si>
    <t>Escoramento de formas de paramentos verticais, para altura de 1,50m até 5m, utilizando madeira serrada, com aproveitamento da madeira 2 vezes, inclusive retirada.(desonerado)</t>
  </si>
  <si>
    <t>ET 19.30.0250 (A)</t>
  </si>
  <si>
    <t>Escoramento de formas de paramentos verticais, para altura de 5m até 8m, utilizando madeira serrada, com aproveitamento da madeira 2 vezes, inclusive retirada.(desonerado)</t>
  </si>
  <si>
    <t>ET 19.30.0300 (/)</t>
  </si>
  <si>
    <t>Escoramento de formas de paramentos verticais, para altura de 8m até 12m, utilizando madeira serrada, com 30% de aproveitamento da madeira, inclusive retirada.(desonerado)</t>
  </si>
  <si>
    <t>ET 24.05 Estrutura Metálica</t>
  </si>
  <si>
    <t>ET 24.05.0050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</si>
  <si>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mão-de-obra.(desonerado)</t>
  </si>
  <si>
    <t>ET 24.05.0150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</si>
  <si>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montagem.(desonerado)</t>
  </si>
  <si>
    <t>ET 24.05.0160 (/)</t>
  </si>
  <si>
    <t>Perfil "I" de aço carbono, padrão americano, de 8"x4".  Fornecimento e corte.(desonerado)</t>
  </si>
  <si>
    <t>ET 24.05.0170 (B)</t>
  </si>
  <si>
    <t>Estrutura metálica para cobertura em telhas metálicas, exclusive as telhas.  Fornecimento e montagem.(desonerado)</t>
  </si>
  <si>
    <t>ET 24.05.0180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</si>
  <si>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montagem.(desonerado)</t>
  </si>
  <si>
    <t>ET 24.05.0200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</si>
  <si>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concreto.(desonerado)</t>
  </si>
  <si>
    <t>ET 24.05.0203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</si>
  <si>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montagem.(desonerado)</t>
  </si>
  <si>
    <t>ET 24.05.0206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</si>
  <si>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fornecimento.(desonerado)</t>
  </si>
  <si>
    <t>ET 24.05.0290 (/)</t>
  </si>
  <si>
    <t>Estrutura metálica em aço especial resistente a corrosão (aço USI-SAC ou similar) para pontes, viadutos, passarelas.  Fornecimento do aço.(desonerado)</t>
  </si>
  <si>
    <t>ET 24.05.0310 (/)</t>
  </si>
  <si>
    <t>Estrutura metálica (montagem) em aço especial resistente a corrosão (aço USI-SAC ou similar) para pontes, viadutos e passarelas, incluindo fornecimento de materiais e de todos os serviços necessários, inclusive pintura protetora, exclusive o fornecimento do aço.(desonerado)</t>
  </si>
  <si>
    <t>ET 24.05.0350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</si>
  <si>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montagem.(desonerado)</t>
  </si>
  <si>
    <t>ET 24.05.0450 (A)</t>
  </si>
  <si>
    <t>Peças em chapa de aço 3/8", galvanizadas, nas dimensões (3x0,10)m.  Fornecimento dos materiais e mão de obra de colocação.(desonerado)</t>
  </si>
  <si>
    <t>ET 24.05.0453 (A)</t>
  </si>
  <si>
    <t>Peças em chapa de aço 3/8", galvanizadas, dobradas nas dimensões (15x20x14)cm com largura de 20cm.  Fornecimento dos materiais e mão de obra de colocação.(desonerado)</t>
  </si>
  <si>
    <t>ET 24.05.0456 (A)</t>
  </si>
  <si>
    <t>Peças em chapa de aço 3/8", galvanizadas, dobradas nas dimensões (25x20x7)cm com largura de 20 cm.  Fornecimento dos materiais e mão de obra de colocação.(desonerado)</t>
  </si>
  <si>
    <t>ET 24.05.0500 (/)</t>
  </si>
  <si>
    <t>Perfil em alumínio série 25 para separação de revestimentos variados, sobre paredes externas ou internas.  Fornecimento e colcoação.(desonerado)</t>
  </si>
  <si>
    <t>ET 24.05.0550 (/)</t>
  </si>
  <si>
    <t>Reconstituição de estruturas metálicas leves, por Kg de aço necessário (chapa e perfis) com fornecimento de materiais e pintura anti-oxidante.(desonerado)</t>
  </si>
  <si>
    <t>ET 29.05 Aparelho de Neoprene</t>
  </si>
  <si>
    <t>ET 29.05.0050 (/)</t>
  </si>
  <si>
    <t>Aparelho de apoio de Neoprene, fretado (1,40kg/dm3), inclusive preparo do berço.  Fornecimento e colocação.(desonerado)</t>
  </si>
  <si>
    <t>ET 29.10 Junta de Dilatação e Vedação</t>
  </si>
  <si>
    <t>ET 29.10.0100 (/)</t>
  </si>
  <si>
    <t>Junta de dilatação e vedação de isopor na espessura de 1cm, fixada com cola Emulplast ou similar.  Fornecimento e colocação.(desonerado)</t>
  </si>
  <si>
    <t>ET 29.10.0150 (/)</t>
  </si>
  <si>
    <t>Junta de dilatação e vedação confeccionada com aplicação de Sikaflex 1A sobre superfície limpa, na espessura de 20mm e profundidade de 15mm, inclusive alimpeza.  Foenecimento e colocação.(desonerado)</t>
  </si>
  <si>
    <t>ET 29.10.0200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</si>
  <si>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junta.(desonerado)</t>
  </si>
  <si>
    <t>ET 29.10.0250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</si>
  <si>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colocação.(desonerado)</t>
  </si>
  <si>
    <t>ET 29.10.0253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</si>
  <si>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colocação.(desonerado)</t>
  </si>
  <si>
    <t>ET 29.10.0256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</si>
  <si>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colocação.(desonerado)</t>
  </si>
  <si>
    <t>ET 29.10.0259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</si>
  <si>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colocação.(desonerado)</t>
  </si>
  <si>
    <t>ET 29.10.0262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</si>
  <si>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colocação.(desonerado)</t>
  </si>
  <si>
    <t>ET 29.10.0265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</si>
  <si>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colocação.(desonerado)</t>
  </si>
  <si>
    <t>ET 29.10.0300 (/)</t>
  </si>
  <si>
    <t>Junta elástica pré-moldada, perfilado em termoplástico PVC, tipo 0-22 Fugenband ou similar.  Fornecimento e colocação.(desonerado)</t>
  </si>
  <si>
    <t>ET 29.10.0350 (/)</t>
  </si>
  <si>
    <t>Recuperação de juntas de dilatação de obras de contenção até 2m de abertura com proteção de Bikaflex ou similar, até a profundidade de 1m, exclusive andaime e recuperação estrutural das faces laterais da junta.(desonerado)</t>
  </si>
  <si>
    <t>ET 29.15 Aparelho de Apoio</t>
  </si>
  <si>
    <t>ET 29.15.0050 (/)</t>
  </si>
  <si>
    <t>Macaqueamento para troca de aparelho de apoio com utilização de macaco pistão, capacidade de 100Tf.(desonerado)</t>
  </si>
  <si>
    <t>ET 34.05 Tirantes</t>
  </si>
  <si>
    <t>ET 34.05.0050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</si>
  <si>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protensão.(desonerado)</t>
  </si>
  <si>
    <t>ET 34.05.0053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</si>
  <si>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1:3.(desonerado)</t>
  </si>
  <si>
    <t>ET 34.05.0100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</si>
  <si>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protensão.(desonerado)</t>
  </si>
  <si>
    <t>ET 34.05.0103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</si>
  <si>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1:3.(desonerado)</t>
  </si>
  <si>
    <t>ET 34.05.0150 (/)</t>
  </si>
  <si>
    <t>Acessórios para tirante de aço ST85/105, diâmetro de 15mm, incluindo o fornecimento e instalação da placa metálica de (12x12)cm e porca.  Exclusive protensão.(desonerado)</t>
  </si>
  <si>
    <t>cj</t>
  </si>
  <si>
    <t>ET 34.05.0200 (B)</t>
  </si>
  <si>
    <t>Tirante protendido em aço Gewi 50/55 ou similar, diâmetro de 32mm, incluindo o fornecimento da barra e bainha, proteção anticorrosiva, preparo e colocação no furo, exclusive luvas, placas, contra porcas, etc., perfuração e injeção.(desonerado)</t>
  </si>
  <si>
    <t>ET 34.05.0250 (A)</t>
  </si>
  <si>
    <t>Tirante de aço ST85/105, diâmetro de 32mm (1 1/4"), incluindo o fornecimento da barra e bainha, proteção anticorrosiva, preparo e colocação no furo, exclusive luvas, placas, contra porcas, etc., perfuração e injeção.(desonerado)</t>
  </si>
  <si>
    <t>ET 34.05.0300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</si>
  <si>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tirantes.(desonerado)</t>
  </si>
  <si>
    <t>ET 34.10 Forma Interna em Tubo de PVC Rígido e Cambotas Metálicas</t>
  </si>
  <si>
    <t>ET 34.10.0050 (/)</t>
  </si>
  <si>
    <t>Forma interna em tubo de PVC rígido, diâmetro externo de 25cm para alívio de peso próprio de peça estrutural, inclusive fornecimento dos materiais.(desonerado)</t>
  </si>
  <si>
    <t>ET 34.13 Tirante para Protensão - Estruturas de Concreto</t>
  </si>
  <si>
    <t>ET 34.13.0050 (/)</t>
  </si>
  <si>
    <t>Cabo de aço de 6 cordoalhas de 1/2" (12,5mm) inclusive bainha metálica, e 10% de perdas de pontas, compreendendo apenas o fornecimento medido pelo peso do cabo de aço geometricamente necessário.(desonerado)</t>
  </si>
  <si>
    <t>ET 34.13.0100 (/)</t>
  </si>
  <si>
    <t>Cabo de aço de 12 cordoalhas de 1/2" (12,5mm) inclusive bainha metálica, e 10% de perdas de pontas, com fornecimento medido pelo peso do cabo de aço geometricamente necessários.(desonerado)</t>
  </si>
  <si>
    <t>ET 34.13.0150 (/)</t>
  </si>
  <si>
    <t>Cabo de aço de 19 cordoalhas de 1/2" (12,5mm) inclusive bainha metálica, e 10% de perdas de pontas, com fornecimento medido pelo peso do cabo de aço geometricamente necessários.(desonerado)</t>
  </si>
  <si>
    <t>ET 34.13.0500 (A)</t>
  </si>
  <si>
    <t>Preparo e colocação de 6 cordoalhas de 12,5mm nas formas, compreendendo corte, montagem, enfiação na bainha e fornecimento de cimento para injeção.(desonerado)</t>
  </si>
  <si>
    <t>ET 34.13.0550 (A)</t>
  </si>
  <si>
    <t>Preparo e colocação de 12 cordoalhas de 12,5mm nas formas compreendendo corte, montagem, enfiação e fornecimento de cimento para injeção.(desonerado)</t>
  </si>
  <si>
    <t>ET 34.13.0600 (A)</t>
  </si>
  <si>
    <t>Preparo e colocação de 19 cordoalhas de 12,5mm nas formas, compreendendo corte, dobragem, enfiação na bainha, bem como o fornecimento de cimento para injeção.(desonerado)</t>
  </si>
  <si>
    <t>ET 34.15 Tirante para Protensão - Solo</t>
  </si>
  <si>
    <t>ET 34.15.0050 (/)</t>
  </si>
  <si>
    <t>Protensão de tirante de 10 e 12 cordoalhas de 1/2", exclusive o fornecimentos dos materiais.(desonerado)</t>
  </si>
  <si>
    <t>ET 34.15.0100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</si>
  <si>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cabeça.(desonerado)</t>
  </si>
  <si>
    <t>ET 34.15.0103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</si>
  <si>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cabeça.(desonerado)</t>
  </si>
  <si>
    <t>ET 34.15.0150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</si>
  <si>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cabeça.(desonerado)</t>
  </si>
  <si>
    <t>ET 34.15.0153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</si>
  <si>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cabeça.(desonerado)</t>
  </si>
  <si>
    <t>ET 34.20 Acessórios para Protensão</t>
  </si>
  <si>
    <t>ET 34.20.0050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</si>
  <si>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1:3.(desonerado)</t>
  </si>
  <si>
    <t>ET 34.25 Cone de Ancoragem</t>
  </si>
  <si>
    <t>ET 34.25.0050 (/)</t>
  </si>
  <si>
    <t>Cone de ancoragem de cabo de aço de 6 cordoalhas de 12,5mm, compreendendo fornecimento do cone, de luva cone-bainha, de 2m de mola central e bainha, bem como as operações de protensão e injeção de cimento.(desonerado)</t>
  </si>
  <si>
    <t>ET 34.25.0100 (/)</t>
  </si>
  <si>
    <t>Cone ancoragem de cabo de aço de 12 cordoalhas de 12,50mm, compreendendo fornecimento do cone, de luva cone-bainha, de 2m de mola central e bainha, bem como as operações de protensão e injeção de cimento.(desonerado)</t>
  </si>
  <si>
    <t>ET 34.25.0150 (/)</t>
  </si>
  <si>
    <t>Cone de ancoragem de cabo de aço de 19 cordoalhas de 12,5mm, compreendendo fornecimento do cone, de luva cone-bainha, de 2m de mola central e bainha, bem como as operações de protensão e injeção de cimento.(desonerado)</t>
  </si>
  <si>
    <t>ET 39.05 Telas de Aço e Galvanizadas</t>
  </si>
  <si>
    <t>ET 39.05.0050 (/)</t>
  </si>
  <si>
    <t>Tela de aço de alta resistência em malha hexagonal de dupla torção, tipo (8x10)cm, diâmetro 2,40mm, com revestimento em PVC, Inclusive o arame de amarração.  Fornecimento.(desonerado)</t>
  </si>
  <si>
    <t>ET 39.05.0053 (/)</t>
  </si>
  <si>
    <t>Tela de aço de alta resistência em malha hexagonal de dupla torção, tipo (8x10)cm, diâmetro 2,70mm, galvanizada, Inclusive o arame de amarração.  Fornecimento.(desonerado)</t>
  </si>
  <si>
    <t>ET 39.05.0100 (/)</t>
  </si>
  <si>
    <t>Tela de aço soldada Telcon Q-113 ou similar, com malha de (10x10)cm, CA-60, com diâmetro de 3,8mm e 1,8Kg/m2.  Fornecimento e colocação.(desonerado)</t>
  </si>
  <si>
    <t>ET 39.05.0103 (A)</t>
  </si>
  <si>
    <t>Tela de aço soldada Telcon Q-138 ou similar, com malha de (10x10)cm, CA-60, com diâmetro de 4,2mm e 2,2Kg/m2.  Fornecimento.(desonerado)</t>
  </si>
  <si>
    <t>ET 39.05.0109 (/)</t>
  </si>
  <si>
    <t>Tela de aço soldada Telcon Q-196 ou similar, com malha de (10x10)cm, CA-60, com diâmetro de 5mm e 3,11Kg/m2.  Fornecimento e colocação.(desonerado)</t>
  </si>
  <si>
    <t>ET 39.05.0112 (/)</t>
  </si>
  <si>
    <t>Tela de aço soldada Telcon Q-246 ou similar, com malha de (10x10)cm, CA-60, com diâmetro de 5,6mm e 3,91Kg/m2.  Fornecimento e colocação.(desonerado)</t>
  </si>
  <si>
    <t>ET 39.05.0115 (/)</t>
  </si>
  <si>
    <t>Tela de aço soldada Telcon Q-283 ou similar, com malha de (10x10)cm, CA-60, com diâmetro de 6mm e 4,48Kg/m2.  Fornecimento e colocação.(desonerado)</t>
  </si>
  <si>
    <t>ET 39.05.0118 (/)</t>
  </si>
  <si>
    <t>Tela de aço soldada Telcon Q-396 ou similar, com malha de (10x10)cm, CA-60, com diâmetro de 7,1mm e 6,28Kg/m2.  Fornecimento e colocação.(desonerado)</t>
  </si>
  <si>
    <t>ET 39.05.0121 (/)</t>
  </si>
  <si>
    <t>Tela de aço soldada Telcon Q-503 ou similar, com malha de (10x10)cm, CA-60, com diâmetro de 8mm e 7,97Kg/m2.  Fornecimento e colocação.(desonerado)</t>
  </si>
  <si>
    <t>ET 39.05.0127 (/)</t>
  </si>
  <si>
    <t>Tela de aço soldada Telcon Q-636 ou similar, com malha de (10x10)cm, CA-60, com diâmetro de 9mm e 10,09Kg/m2.  Fornecimento e colocação.(desonerado)</t>
  </si>
  <si>
    <t>ET 39.05.0150 (/)</t>
  </si>
  <si>
    <t>Tela de aço soldada Telcon Q-61 ou similar, com malha de (15x15)cm, CA-60, com diâmetro de 3,4mm e 0,97Kg/m2.  Fornecimento e colocação.(desonerado)</t>
  </si>
  <si>
    <t>ET 39.05.0153 (/)</t>
  </si>
  <si>
    <t>Tela de aço soldada Telcon Q-75 ou similar, com malha de (15x15)cm, CA-60, diâmetro de 3,8mm e 1,21Kg/m2.  Fornecimento.(desonerado)</t>
  </si>
  <si>
    <t>ET 39.05.0156 (/)</t>
  </si>
  <si>
    <t>Tela de aço soldada Telcon Q-92 ou similar, com malha de (15x15)cm, CA-60, com diâmetro de 4,2mm e 1,48Kg/m2.  Fornecimento e colocação.(desonerado)</t>
  </si>
  <si>
    <t>ET 39.05.0159 (/)</t>
  </si>
  <si>
    <t>Tela de aço soldada Telcon Q-335 ou similar, com malha de (15x15)cm, CA-60, com diâmetro de 8mm e 5,37Kg/m2.  Fornecimento e colocação.(desonerado)</t>
  </si>
  <si>
    <t>ET 39.05.0200 (/)</t>
  </si>
  <si>
    <t>Tela de aço soldada Telcon L-159 ou similar, com malha de (10x30)cm, CA-60, com diâmetro de 4,5mm e 1,69Kg/m2.  Fornecimento.(desonerado)</t>
  </si>
  <si>
    <t>ET 39.05.0250 (/)</t>
  </si>
  <si>
    <t>Tela de aço Telcon ou similar.  Colocação.(desonerado)</t>
  </si>
  <si>
    <t>ET 44.05 Concreto Projetado</t>
  </si>
  <si>
    <t>ET 44.05.0050 (A)</t>
  </si>
  <si>
    <t>Concreto projetado, consumo de 355kg/m3 de cimento, com aditivo, aplicado em superfícies verticais ou superiores, medido pelo volume aplicado, inclusive 5% de perdas.(desonerado)</t>
  </si>
  <si>
    <t>ET 44.05.0100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</si>
  <si>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especializada.(desonerado)</t>
  </si>
  <si>
    <t>ET 44.10 Concreto Bombeado</t>
  </si>
  <si>
    <t>ET 44.10.0053 (/)</t>
  </si>
  <si>
    <t>Concreto bombeado, fck=15MPa, compreendendo o fornecimento de concreto importado de usina, colocação nas formas, espalhamento, adensamento mecânico e acabamento.(desonerado)</t>
  </si>
  <si>
    <t>ET 44.10.0056 (/)</t>
  </si>
  <si>
    <t>Concreto bombeado, fck=18MPa, compreendendo o fornecimento de concreto importado de usina, colocação nas formas, espalhamento, adensamento mecânico e acabamento.(desonerado)</t>
  </si>
  <si>
    <t>ET 44.10.0059 (/)</t>
  </si>
  <si>
    <t>Concreto bombeado, fck=20MPa, compreendendo o fornecimento de concreto importado de usina, colocação nas formas, espalhamento, adensamento mecânico e acabamento.(desonerado)</t>
  </si>
  <si>
    <t>ET 44.10.0065 (/)</t>
  </si>
  <si>
    <t>Concreto bombeado, fck=22,5MPa, compreendendo o fornecimento de concreto importado de usina, colocação nas formas, espalhamento, adensamento mecânico e acabamento.(desonerado)</t>
  </si>
  <si>
    <t>ET 44.10.0067 (/)</t>
  </si>
  <si>
    <t>Concreto bombeado com fck=25MPa, compreendendo o fornecimento de concreto importado de usina, colocação nas formas, espalhamento, adensamento mecânico e acabamento.(desonerado)</t>
  </si>
  <si>
    <t>ET 44.10.0071 (/)</t>
  </si>
  <si>
    <t>Concreto bombeado, fck=30MPa, compreendendo o fornecimento de concreto importado de usina, colocação nas formas, espalhamento, adensamento mecânico e acabamento.(desonerado)</t>
  </si>
  <si>
    <t>ET 44.10.0076 (/)</t>
  </si>
  <si>
    <t>Concreto bombeado com fck=35MPa, compreendendo o fornecimento de concreto importado de usina, colocação nas formas, espalhamento, adensamento mecânico e acabamento.(desonerado)</t>
  </si>
  <si>
    <t>ET 44.10.0080 (/)</t>
  </si>
  <si>
    <t>Concreto bombeado com fck=40MPa, compreendendo o fornecimento de concreto importado de usina, colocação nas formas, espalhamento, adensamento mecânico e acabamento.(desonerado)</t>
  </si>
  <si>
    <t>ET 49.05 Serviços de Proteção e Contenção</t>
  </si>
  <si>
    <t>ET 49.05.0150 (/)</t>
  </si>
  <si>
    <t>Execução de revestimento de canal, utilizando o colchão em concreto VSL ou similar, com espessura de 0,15m, incluindo fornecimento dos materiais.(desonerado)</t>
  </si>
  <si>
    <t>ET 49.05.0200 (A)</t>
  </si>
  <si>
    <t>Muro de contenção de taludes em alvenaria de bloco de concreto estrutural de (19x19x39)cm, até 1,80m de altura, incluindo base de concreto, aço CA-50 e enchimento de blocos e medido pela área real.(desonerado)</t>
  </si>
  <si>
    <t>ET 54.05 Laje Pré-Moldada</t>
  </si>
  <si>
    <t>ET 54.05.0050 (/)</t>
  </si>
  <si>
    <t>Colagem com adesivo especial estrutural de peças de concreto pré-fabricadas, sobre laje preparada e regularizada, exclusive esta camada, estimando-se a aplicação de uma camada de adesivo nas faces.(desonerado)</t>
  </si>
  <si>
    <t>ET 54.05.0100 (B)</t>
  </si>
  <si>
    <t>Laje pré-moldada, ßeta 11, para sobrecarga de 1KN/m2 e vão até 4,40m, considerando vigotas, tijolos e armadura negativa, inclusive capeamento de 4cm de espessura, com concreto fck=20MPa e escoramento.  Fornecimento e montagem.(desonerado)</t>
  </si>
  <si>
    <t>ET 54.05.0103 (B)</t>
  </si>
  <si>
    <t>Laje pré-moldada, ßeta 12, para sobrecarga de 3,5KN/m2 e vão de 4,10m, considerando vigotas, tijolos e armadura negativa, inclusive capeamento de 4cm de espessura, com concreto fck=20MPa e escoramento.  Fornecimento e montagem.(desonerado)</t>
  </si>
  <si>
    <t>ET 54.05.0150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</si>
  <si>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montagem.(desonerado)</t>
  </si>
  <si>
    <t>ET 54.05.0156 (A)</t>
  </si>
  <si>
    <t>Laje pré-moldada, ßeta 16, para sobrecarga de 3,5KN/m2 e vão até 5,20m, considerando vigotas, tijolos e armadura negativa, inclusive capeamento de 4cm de espesssura, com concreto fck=15MPa e escoramento.  Fornecimento e montagem do conjunto.(desonerado)</t>
  </si>
  <si>
    <t>ET 54.05.0159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</si>
  <si>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montagem.(desonerado)</t>
  </si>
  <si>
    <t>ET 54.05.0165 (B)</t>
  </si>
  <si>
    <t>Laje pré-moldada, ßeta 20, para sobrecarga de 3,5KN/m2 e vão até 6,20m, considerando vigotas, tijolos e armadura negativa, inclusive capeamento de 4cm de espessura, com concreto fck=20MPa e escoramento.  Fornecimento e montagem.(desonerado)</t>
  </si>
  <si>
    <t>ET 54.05.0171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</si>
  <si>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montagem.(desonerado)</t>
  </si>
  <si>
    <t>ET 54.10 Estrutura de Concreto Pré-Moldado</t>
  </si>
  <si>
    <t>ET 54.10.0050 (/)</t>
  </si>
  <si>
    <t>Bloco de concreto, intertravado, dimensão de (40x40x20)cm e peso mínimo de 29Kg, modelo Terrae W, sem jardineira, Terrae ou similar, para paramentos de estruturas de contenção.  Fornecimento.(desonerado)</t>
  </si>
  <si>
    <t>ET 54.10.0053 (/)</t>
  </si>
  <si>
    <t>Bloco de concreto, intertravado, dimensão de (40x40x20)cm e peso mínimo de 25Kg, modelo Terrae F, com jardineira, Terrae ou similar, para paramentos de estruturas de contenção.  Fornecimento.(desonerado)</t>
  </si>
  <si>
    <t>ET 54.10.0100 (A)</t>
  </si>
  <si>
    <t>Canal pré-fabricado, em concreto protendido e/ou armado, com seção em U, medido pela área do perímetro interno da seção vezes o comprimento do canal, inclusive transporte das peças até a obra.  Fornecimento e assentamento.(desonerado)</t>
  </si>
  <si>
    <t>ET 54.10.0150 (A)</t>
  </si>
  <si>
    <t>Cobertura de canal pré-fabricado, em concreto armado, para vãos de até 5m, inclusive transporte das peças até a obra.  Fornecimento e colocação.(desonerado)</t>
  </si>
  <si>
    <t>ET 54.10.0301 (/)</t>
  </si>
  <si>
    <t>Superestrutura de concreto protendido pré-fabricada de passarela para pedestre, com 2,00m de largura.  Incluindo guarda-corpos metálicos com pintura, transporte até a obra e montagem.  Vão livre entre 7,50 a 15,00m.(desonerado)</t>
  </si>
  <si>
    <t>ET 54.10.0303 (/)</t>
  </si>
  <si>
    <t>Superestrutura de concreto protendido pré-fabricada de passarela para pedestre, com 2,00m de largura.  Incluindo guarda-corpos metálicos com pintura, transporte até a obra e montagem.  Vão livre entre 15,01m a 22,50m.(desonerado)</t>
  </si>
  <si>
    <t>ET 54.10.0306 (/)</t>
  </si>
  <si>
    <t>Superestrutura de concreto protendido pré-fabricada de passarela para pedestre, com 2,00m de largura.  Incluindo guarda-corpos metálicos com pintura, transporte até a obra e montagem.  Vão livre entre 22,51m a 25,00m.(desonerado)</t>
  </si>
  <si>
    <t>ET 54.10.0500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</si>
  <si>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4,60m.(desonerado)</t>
  </si>
  <si>
    <t>ET 54.10.0503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</si>
  <si>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4,60m.(desonerado)</t>
  </si>
  <si>
    <t>ET 54.10.0506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</si>
  <si>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4,60m.(desonerado)</t>
  </si>
  <si>
    <t>ET 54.10.0509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</si>
  <si>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4,60m.(desonerado)</t>
  </si>
  <si>
    <t>ET 54.10.0600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</si>
  <si>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8,00m.(desonerado)</t>
  </si>
  <si>
    <t>ET 54.10.0603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</si>
  <si>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8,00m.(desonerado)</t>
  </si>
  <si>
    <t>ET 54.10.0606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</si>
  <si>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8,00m.(desonerado)</t>
  </si>
  <si>
    <t>ET 54.10.0609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</si>
  <si>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8,00m.(desonerado)</t>
  </si>
  <si>
    <t>ET 54.10.0700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</si>
  <si>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10,50m.(desonerado)</t>
  </si>
  <si>
    <t>ET 54.10.0703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</si>
  <si>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10,50m.(desonerado)</t>
  </si>
  <si>
    <t>ET 54.10.0706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</si>
  <si>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10,50m.(desonerado)</t>
  </si>
  <si>
    <t>ET 54.10.0709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</si>
  <si>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10,50m.(desonerado)</t>
  </si>
  <si>
    <t>ET 54.15 Estrutura de Concreto Armado Pré-Fabricado</t>
  </si>
  <si>
    <t>ET 54.15.0050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</si>
  <si>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montagem.(desonerado)</t>
  </si>
  <si>
    <t>ET 54.15.0100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</si>
  <si>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obra.(desonerado)</t>
  </si>
  <si>
    <t>ET 59.05 Concreto Importado de Usinas</t>
  </si>
  <si>
    <t>ET 59.05.0051 (/)</t>
  </si>
  <si>
    <t>Concreto importado de usina dosado racionalmente para uma resistência característica à compressão de fck=10MPa.(desonerado)</t>
  </si>
  <si>
    <t>ET 59.05.0056 (/)</t>
  </si>
  <si>
    <t>Concreto importado de usina dosado racionalmente para uma resistência característica à compressão de 15MPa.(desonerado)</t>
  </si>
  <si>
    <t>ET 59.05.0059 (/)</t>
  </si>
  <si>
    <t>Concreto importado de usina dosado racionalmente para uma resistência característica à compressão de 18MPa.(desonerado)</t>
  </si>
  <si>
    <t>ET 59.05.0062 (/)</t>
  </si>
  <si>
    <t>Concreto importado de usina dosado racionalmente para uma resistência característica à compressão de 20MPa.(desonerado)</t>
  </si>
  <si>
    <t>ET 59.05.0068 (/)</t>
  </si>
  <si>
    <t>Concreto importado de usina dosado racionalmente para uma resistência característica à compressão de 22,5MPa.(desonerado)</t>
  </si>
  <si>
    <t>ET 59.05.0071 (/)</t>
  </si>
  <si>
    <t>Concreto importado de usina dosado racionalmente para uma resistência característica à compressão de fck=25MPa.(desonerado)</t>
  </si>
  <si>
    <t>ET 59.05.0074 (/)</t>
  </si>
  <si>
    <t>Concreto importado de usina dosado racionalmente para uma resistência característica à compressão de fck=30MPa.(desonerado)</t>
  </si>
  <si>
    <t>ET 59.05.0077 (/)</t>
  </si>
  <si>
    <t>Concreto importado de usina dosado racionalmente para uma resistência característica à compressão de fck=35MPa.(desonerado)</t>
  </si>
  <si>
    <t>ET 59.05.0100 (/)</t>
  </si>
  <si>
    <t>Concreto importado de usina dosado racionalmente para uma resistência característica à compressão de 40Mpa.(desonerado)</t>
  </si>
  <si>
    <t>ET 59.05.0159 (/)</t>
  </si>
  <si>
    <t>Concreto colorido, com óxido de ferro vermelho sintético, importado de usina, dosado racionalmente para uma resistência característica à compressão de 15 Mpa.(desonerado)</t>
  </si>
  <si>
    <t>ET 59.10 Concreto de Alto Desempenho Importado de Usina</t>
  </si>
  <si>
    <t>ET 59.10.0300 (/)</t>
  </si>
  <si>
    <t>Concreto de alto desempenho, importado de usina, dosado racionalmente para uma resistência característica a compressão de 30 Mpa, fator água cimento 0,30 a 0,40, incluindo aditivos.(desonerado)</t>
  </si>
  <si>
    <t>ET 59.10.0500 (/)</t>
  </si>
  <si>
    <t>Concreto de alto desempenho, importado de usina, dosado racionalmente para resistência característica a compressão de 50 Mpa, fator água cimento 0,30 a 0,40, incluindo aditivos.(desonerado)</t>
  </si>
  <si>
    <t>ET 59.15 Bombeamento de Concreto Importado de Usina</t>
  </si>
  <si>
    <t>ET 59.15.0050 (A)</t>
  </si>
  <si>
    <t>Bombeamento para concreto de alto desempenho.(desonerado)</t>
  </si>
  <si>
    <t>ET 64.05 Recuperação de Ferragem e Estrutura de Concreto</t>
  </si>
  <si>
    <t>ET 64.05.0050 (/)</t>
  </si>
  <si>
    <t>Aplicação com Air Less de inibidor de corrosão Sika Ferrogard-903 ou similar em estrutura de comcreto armado nos serviços de recuperação estrutural.  Exclusive limpeza da estrutura.(desonerado)</t>
  </si>
  <si>
    <t>ET 64.05.0103 (/)</t>
  </si>
  <si>
    <t>Recuperação de ferragem em estrutura de concreto, sem utilização de solda, incluindo fornecimento, corte, dobragem e colocação.(desonerado)</t>
  </si>
  <si>
    <t>ET 64.05.0106 (A)</t>
  </si>
  <si>
    <t>Recuperação de armadura de concreto, por meio de solda elétrica.(desonerado)</t>
  </si>
  <si>
    <t>ET 64.05.0153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</si>
  <si>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carbono.(desonerado)</t>
  </si>
  <si>
    <t>ET 64.05.0156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</si>
  <si>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carbono.(desonerado)</t>
  </si>
  <si>
    <t>ET 64.05.0200 (/)</t>
  </si>
  <si>
    <t>Tratamento de armadura de ferro em estrutura de concreto armado, com Sika - top 108, ou similar(desonerado)</t>
  </si>
  <si>
    <t>ET 69.05 Saco de Solo Cimento</t>
  </si>
  <si>
    <t>ET 69.05.0100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</si>
  <si>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vertical.(desonerado)</t>
  </si>
  <si>
    <t>ET 74.05 Injeções e Consolidações</t>
  </si>
  <si>
    <t>ET 74.05.0050 (/)</t>
  </si>
  <si>
    <t>Berço de argamassa Epóxi (Grout).(desonerado)</t>
  </si>
  <si>
    <t>ET 74.05.0100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</si>
  <si>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aplicação.(desonerado)</t>
  </si>
  <si>
    <t>ET 74.05.0150 (/)</t>
  </si>
  <si>
    <t>Fornecimento e aplicação de Grout ou similar.(desonerado)</t>
  </si>
  <si>
    <t>ET 74.05.0200 (A)</t>
  </si>
  <si>
    <t>Injeção de calda de cimento, admitindo uma produção média bruta de 0,5saco/h, inclusive fornecimento dos materiais, medido por saco de 50Kg.(desonerado)</t>
  </si>
  <si>
    <t>saco</t>
  </si>
  <si>
    <t>ET 74.05.0203 (A)</t>
  </si>
  <si>
    <t>Injeção de calda de cimento, admitindo uma produção média bruta de 1saco/h, inclusive fornecimento dos materiais, medido por saco de 50Kg.(desonerado)</t>
  </si>
  <si>
    <t>ET 74.05.0206 (A)</t>
  </si>
  <si>
    <t>Injeção de calda de cimento, admitindo uma produção média bruta de 2 sacos/h, inclusive fornecimento dos materiais, medido por saco de 50Kg.(desonerado)</t>
  </si>
  <si>
    <t>ET 74.05.0250 (/)</t>
  </si>
  <si>
    <t>Injeção de calda de cimento para chumbamento de tirantes, com pressão de 0,20MPa, aferida através de manômetro, incluindo todos os materiais, equipamentos e mão de obra.(desonerado)</t>
  </si>
  <si>
    <t>ET 74.05.0300 (/)</t>
  </si>
  <si>
    <t>Injeção de resina Epóxica em fissuras de concreto estrutural, inclusive preparo do local, perfuração, vedação e fornecimento dos materiais a injetar.  Custo por metro linear de fissura.(desonerado)</t>
  </si>
  <si>
    <t>ET 74.05.0350 (/)</t>
  </si>
  <si>
    <t>Resina acrílica como ponte de aderência para argamassa em serviços de recuperação estrutural.  Fornecimento e aplicação.(desonerado)</t>
  </si>
  <si>
    <t>ET 79.05 Concreto com Aditivo</t>
  </si>
  <si>
    <t>ET 79.05.0050 (/)</t>
  </si>
  <si>
    <t>Aditivo a base de sílica ativa, dosado sobre o peso do cimento, na proporção média de 10%, incluindo mão-de-obra e perdas.  Por m3 de concreto.(desonerado)</t>
  </si>
  <si>
    <t>ET 79.05.0100 (/)</t>
  </si>
  <si>
    <t>Concreto (Sikagrout ou similar) incluindo 50% de pedrisco, compreendendo fornecimento, preparo e lançamento.(desonerado)</t>
  </si>
  <si>
    <t>ET 79.05.0150 (/)</t>
  </si>
  <si>
    <t>Plastiment VZ líquido ou similar, adicionado ao concreto na proporção de 500g/saco de cimento.(desonerado)</t>
  </si>
  <si>
    <t>ET 84.05 Construção de Maciço de Terra Armada</t>
  </si>
  <si>
    <t>ET 84.05.0050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</si>
  <si>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</si>
  <si>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ET 84.05.0100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</si>
  <si>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</si>
  <si>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ET 84.05.0150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</si>
  <si>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</si>
  <si>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ET 89.05 Estrutura em Eucalipto</t>
  </si>
  <si>
    <t>ET 89.05.0053 (/)</t>
  </si>
  <si>
    <t>Pilar em madeira de reflorestamento, com 25cm de diâmetro, tratado com pintura imunizante Pentox ou similar, exclusive escavação, fundação e reaterro.  Fornecimento e assentamento.(desonerado)</t>
  </si>
  <si>
    <t>ET 89.10 Estrutura em Madeira de Lei</t>
  </si>
  <si>
    <t>ET 89.10.0500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</si>
  <si>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final.(desonerado)</t>
  </si>
  <si>
    <t>ET 98.99 Diversos</t>
  </si>
  <si>
    <t>ET 98.99.0050 (A)</t>
  </si>
  <si>
    <t>Placa pré-moldada de concreto armado com 6cm de espessura, confeccionada com concreto importado de usina, dosado para fck=24MPa e 8% de microssílica, compreendendo lançamento e adensamento mecânico, inclusive transporte e colocação sobre vigas, com guindaste.(desonerado)</t>
  </si>
  <si>
    <t>FD 04.05 Cravação de Estacas de Aço</t>
  </si>
  <si>
    <t>FD 04.05.0050 (A)</t>
  </si>
  <si>
    <t>Cravação de estaca de aço, perfil H de (6"x6"), 1ª alma, em terreno de média resistência à penetração, inclusive fornecimento e um corte ao maçarico e perda de 5% do perfil, exclusive emendas entaladas.(desonerado)</t>
  </si>
  <si>
    <t>FD 04.05.0100 (/)</t>
  </si>
  <si>
    <t>Cravação de estaca de aço I, de 15" a 20", em terreno de média resistência à penetração, inclusive um corte ao maçarico, exclusive emendas, fornecimento e perdas do perfil.(desonerado)</t>
  </si>
  <si>
    <t>FD 04.05.0150 (A)</t>
  </si>
  <si>
    <t>Cravação de estaca, trilho TR-37, duplo, em terreno de média resistência à penetração, inclusive fornecimento, um corte ao maçarico e perdas, exclusive emendas transversais e dispositivos contra a punção.(desonerado)</t>
  </si>
  <si>
    <t>FD 04.05.0200 (A)</t>
  </si>
  <si>
    <t>Cravação de estaca, trilho TR-37, simples, em terreno de média resistência à penetração, inclusive fornecimento dos materiais, um corte ao maçarico e perdas, exclusive emendas transversais e dispositivos contra a punção.(desonerado)</t>
  </si>
  <si>
    <t>FD 04.10 Cravação de Estacas Pré-Moldada em Concreto e Emenda Metálica</t>
  </si>
  <si>
    <t>FD 04.10.0050 (/)</t>
  </si>
  <si>
    <t>Cravação de estaca pré-moldada, de concreto armado centrifugado, tipo Scac Standard ou similar, com diâmetro de 20cm e capacidade de carga de 25t a 30t, inclusive fornecimento e exclusive emendas e transporte do Bate Estaca.(desonerado)</t>
  </si>
  <si>
    <t>FD 04.10.0100 (A)</t>
  </si>
  <si>
    <t>Cravação de estaca pré-moldada, de concreto armado centrifugado, tipo Scac Standard ou similar, com diâmetro de 26cm e capacidade de carga de 30t a 40t, inclusive fornecimento e exclusive emendas e transporte de Bate Estaca.(desonerado)</t>
  </si>
  <si>
    <t>FD 04.10.0150 (A)</t>
  </si>
  <si>
    <t>Cravação de estaca pré-moldada, de concreto armado centrifugado, tipo Scac Standard ou similar, com diâmetro de 33cm e capacidade de carga de 40t a 60t, inclusive fornecimento e exclusive emendas e transporte de Bate Estaca.(desonerado)</t>
  </si>
  <si>
    <t>FD 04.10.0200 (/)</t>
  </si>
  <si>
    <t>Emenda metálica em estaca pré-moldada tipo Scac Standard ou similar, com diâmetro de 20cm e capacidade de carga de 25t a 30t.(desonerado)</t>
  </si>
  <si>
    <t>FD 04.10.0250 (/)</t>
  </si>
  <si>
    <t>Emenda metálica em estaca pré-moldada tipo Scac Standard ou similar, com diâmetro de 26cm e capacidade de carga de 30t a 40t.(desonerado)</t>
  </si>
  <si>
    <t>FD 04.10.0300 (/)</t>
  </si>
  <si>
    <t>Emenda metálica em estaca pré-moldada tipo Scac Standard ou similar, com diâmetro de 33cm e capacidade de carga de 40t a 60t.(desonerado)</t>
  </si>
  <si>
    <t>FD 04.10.0350 (/)</t>
  </si>
  <si>
    <t>Emenda de estaca pré-moldada de concreto armado, tipo POE-XR ou similar, com diâmetro nominal de 455mm.(desonerado)</t>
  </si>
  <si>
    <t>FD 04.10.0400 (B)</t>
  </si>
  <si>
    <t>Fornecimento e cravação vertical de estaca pré-moldada de concreto armado com fck de 22,5 MPa, POE-XR ou similar, com diâmetro nominal de 455mm, inclusive o transporte da estaca, exclusive emendas, a mobilização e a desmobilização do bate estacas.(desonerado)</t>
  </si>
  <si>
    <t>FD 04.10.0500 (B)</t>
  </si>
  <si>
    <t>Fornecimento e cravação inclinada até 12º de estaca pré-moldada de concreto armado com fck de 22,5 MPa, POE-XR ou similar, com diâmetro nominal de 455mm, inclusive o transporte da estaca, exclusive emendas, a mobilização e a desmobilização do bate estacas.(desonerado)</t>
  </si>
  <si>
    <t>FD 04.15 Cravação de Estacas de Eucalipto</t>
  </si>
  <si>
    <t>FD 04.15.0050 (A)</t>
  </si>
  <si>
    <t>Cravação de estaca em madeira de reflorestamento, com diâmetro de 25cm, em terreno de fraca resistência à penetração, inclusive fornecimento da estaca.(desonerado)</t>
  </si>
  <si>
    <t>FD 04.15.0100 (A)</t>
  </si>
  <si>
    <t>Cravação de estaca em madeira de reflorestamento, com diâmetro de 25cm, em terreno de média resistência à penetração, inclusive fornecimento da estaca.(desonerado)</t>
  </si>
  <si>
    <t>FD 04.20 Estaca de Concreto Armado Moldado no Terreno</t>
  </si>
  <si>
    <t>FD 04.20.0050 (A)</t>
  </si>
  <si>
    <t>Estaca de concreto armado, moldado no terreno, tipo Franki Standard ou similar, com diâmetro de 400mm, profundidade até 16m, capacidade média de carga igual a 70t, inclusive fornecimento dos materiais, considerando o trecho cravado e concretado.(desonerado)</t>
  </si>
  <si>
    <t>FD 04.20.0100 (/)</t>
  </si>
  <si>
    <t>Estaca de concreto armado, moldado no terreno, tipo Franki Standart ou similar, com diâmetro de 600m, profundidade até 16m, capacidade média de carga igual 170t, inclusive fornecimento dos materiais, considerando o trecho cravado e concretado.(desonerado)</t>
  </si>
  <si>
    <t>FD 04.23 Estaca Escavada</t>
  </si>
  <si>
    <t>FD 04.23.0025 (/)</t>
  </si>
  <si>
    <t>Estaca de concreto armado, moldada no terreno, tipo hélice contínua, diâmetro de 400mm, capacidade de carga de 60t a 80t, inclusive fornecimento dos materiais, considerando o trecho cravado e concretado.(desonerado)</t>
  </si>
  <si>
    <t>FD 04.23.0028 (/)</t>
  </si>
  <si>
    <t>Estaca de concreto armado, moldada no terreno, tipo hélice contínua, diâmetro de 500mm, capacidade de carga de 80t a 130t, inclusive fornecimento dos materiais, considerando o trecho cravado e concretado.(desonerado)</t>
  </si>
  <si>
    <t>FD 04.23.0050 (A)</t>
  </si>
  <si>
    <t>Estaca de concreto armado, moldada no terreno tipo hélice contínua, com diâmetro de 600mm, com capacidade de carga de 131 a 150t, incluindo o fornecimento de todos os materiais, considerando o trecho cravado e concretado.(desonerado)</t>
  </si>
  <si>
    <t>FD 04.25 Tubulão com Camisa de Concreto Armado</t>
  </si>
  <si>
    <t>FD 04.25.0050 (B)</t>
  </si>
  <si>
    <t>Tubulão com camisa de concreto armado com diâmetro de 1m.  Fornecimento, preparo e colocação dos materiais para execução (concreto fck=18,5MPa para camisa e fck=15MPa para enchimento, forma curva, aço CA-50).(desonerado)</t>
  </si>
  <si>
    <t>FD 04.25.0100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</si>
  <si>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respectivamente.(desonerado)</t>
  </si>
  <si>
    <t>FD 04.25.0150 (B)</t>
  </si>
  <si>
    <t>Tubulão com camisa de concreto armado com diâmetro de 1,20m.  Fornecimento, preparo e execução (concreto fck=18MPa) para camisa  e fck=15MPa para enchimento, forma curva, aço CA-50B.(desonerado)</t>
  </si>
  <si>
    <t>FD 04.25.0200 (B)</t>
  </si>
  <si>
    <t>Tubulão com camisa de concreto armado com diâmetro de 1,2m.  Fornecimento, preparo e colocação dos materiais (concreto fck=15MPa) para execução de base alargada.(desonerado)</t>
  </si>
  <si>
    <t>FD 04.25.0250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</si>
  <si>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</si>
  <si>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FD 04.25.0300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</si>
  <si>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</si>
  <si>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FD 04.25.0350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</si>
  <si>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</si>
  <si>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FD 04.30 Escavação de Base de Tubulões</t>
  </si>
  <si>
    <t>FD 04.30.0050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</si>
  <si>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respectivamente.(desonerado)</t>
  </si>
  <si>
    <t>FD 04.35 Emendas de Perfil de Aço e Trilhos para Estacas</t>
  </si>
  <si>
    <t>FD 04.35.0050 (/)</t>
  </si>
  <si>
    <t>Emenda de perfil de aço H, de 6", 1ª alma, para estaca, considerando-se um corte ao maçarico e soldagem de topo em todo o perímetro e de 4 talas, em barras chatas de 5/16" de espessura, inclusive fornecimento de todo o material.(desonerado)</t>
  </si>
  <si>
    <t>FD 04.35.0100 (/)</t>
  </si>
  <si>
    <t>Emenda de perfil de aço I, de 10", 1ª alma, para estaca, considerando-se um corte ao maçarico e soldagem de topo em todo o perímetro e de 4 talas, em barras chatas de 5/16" de espessura, inclusive fornecimento de todo o material.(desonerado)</t>
  </si>
  <si>
    <t>FD 04.35.0150 (/)</t>
  </si>
  <si>
    <t>Emenda de perfil de aço I, de 12", 1ª alma, para estaca, considerando-se um corte ao maçarico e soldagem de topo em todo o perímetro e de 4 talas, em barras chatas de 5/16" de espessura, inclusive fornecimento de todo o material.(desonerado)</t>
  </si>
  <si>
    <t>FD 04.35.0200 (/)</t>
  </si>
  <si>
    <t>Emenda de perfil de aço I, de 15", 1ª alma, para estaca, considerando-se um corte ao maçarico e soldagem de topo em todo o perímetro e de 4 talas, em barras chatas de 5/16" de espessura, inclusive fornecimento de todo o material.(desonerado)</t>
  </si>
  <si>
    <t>FD 04.35.0250 (/)</t>
  </si>
  <si>
    <t>Trilho TR-32 ou similar, usado.  Fornecimento.(desonerado)</t>
  </si>
  <si>
    <t>FD 04.35.0253 (/)</t>
  </si>
  <si>
    <t>Trilho TR-37 ou similar, usado.  Fornecimento.(desonerado)</t>
  </si>
  <si>
    <t>FD 04.40 Arrasamento Manual (marreta e ponteiro) de Estaca de Concreto Armado</t>
  </si>
  <si>
    <t>FD 04.40.0050 (A)</t>
  </si>
  <si>
    <t>Arrasamento de estaca de concreto armado, até 30cm de lado ou diâmetro.(desonerado)</t>
  </si>
  <si>
    <t>FD 04.40.0100 (B)</t>
  </si>
  <si>
    <t>Arrasamento de estaca de concreto armado, de 31 a 50cm de lado ou de diâmetro.(desonerado)</t>
  </si>
  <si>
    <t>FD 04.40.0150 (B)</t>
  </si>
  <si>
    <t>Arrasamento de estaca de concreto armado, de 51 a 80cm de lado ou de diâmetro.(desonerado)</t>
  </si>
  <si>
    <t>FD 04.40.0200 (B)</t>
  </si>
  <si>
    <t>Arrasamento de tubulão de concreto, com diâmetro acima de 80cm.(desonerado)</t>
  </si>
  <si>
    <t>FD 04.45 Escora de Perfil de Aço</t>
  </si>
  <si>
    <t>FD 04.45.0050 (/)</t>
  </si>
  <si>
    <t>Placa de aço contra a punção, com espessura de 1/2", soldada sobre cabeça de estaca metálica de perfil de 10", inclusive fornecimento.(desonerado)</t>
  </si>
  <si>
    <t>FD 04.55 Cravação de Perfil - Pranchada Horizontal</t>
  </si>
  <si>
    <t>FD 04.55.0051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</si>
  <si>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utilização.(desonerado)</t>
  </si>
  <si>
    <t>FD 04.60 Cravação de Estaca Prancha</t>
  </si>
  <si>
    <t>FD 04.60.0050 (/)</t>
  </si>
  <si>
    <t>Cravação de estaca prancha de concreto pré-moldado, com largura útil de 30cm e comprimento até 7m, considerando-se toda a superfície da estaca, em terreno de resistência a penetração, exclusive estaca.(desonerado)</t>
  </si>
  <si>
    <t>FD 04.65 Estaca Raiz</t>
  </si>
  <si>
    <t>FD 04.65.0050 (/)</t>
  </si>
  <si>
    <t>Estaca raíz com diâmetro de 6", perfurada em solo, incluindo a perfuração, o fornecimento de todos os materiais e a injeção.(desonerado)</t>
  </si>
  <si>
    <t>FD 04.65.0100 (/)</t>
  </si>
  <si>
    <t>Estaca raíz com diâmetro de 8", perfurada em solo,  incluindo a perfuração, o fornecimento de todos os materiais e a injeção.(desonerado)</t>
  </si>
  <si>
    <t>FD 04.65.0150 (/)</t>
  </si>
  <si>
    <t>Estaca raíz com diâmetro de 10", perfurada em solo,  incluindo a perfuração, o fornecimento de todos os materiais e a injeção.(desonerado)</t>
  </si>
  <si>
    <t>FD 04.65.0200 (/)</t>
  </si>
  <si>
    <t>Estaca raíz com diâmetro de 12", perfurada em solo,  incluindo a perfuração, o fornecimento de todos os materiais e a injeção.(desonerado)</t>
  </si>
  <si>
    <t>FD 09.05 Ensecadeira de Estacas Pranchas de Aço</t>
  </si>
  <si>
    <t>FD 09.05.0050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</si>
  <si>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t>
  </si>
  <si>
    <t>FD 09.05.0100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</si>
  <si>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t>
  </si>
  <si>
    <t>FD 09.10 Ensecadeira de Estacas Pranchas de Madeira</t>
  </si>
  <si>
    <t>FD 09.10.0050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</si>
  <si>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vezes.(desonerado)</t>
  </si>
  <si>
    <t>FD 09.10.0100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</si>
  <si>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vezes.(desonerado)</t>
  </si>
  <si>
    <t>FD 09.15 Ensecadeira Simples de Estacas Pranchas de Pinho</t>
  </si>
  <si>
    <t>FD 09.15.0050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</si>
  <si>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vezes.(desonerado)</t>
  </si>
  <si>
    <t>FD 09.20 Ensecadeira de Sacos de Areia</t>
  </si>
  <si>
    <t>FD 09.20.0050 (A)</t>
  </si>
  <si>
    <t>Barragem provisória ou ensecadeira, para desvios de pequenos cursos d'água, com saco de areia.(desonerado)</t>
  </si>
  <si>
    <t>FD 09.25 Escoramento de Vala Madeira com Escavadeira Hidráulica</t>
  </si>
  <si>
    <t>FD 09.25.0050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</si>
  <si>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colocação.(desonerado)</t>
  </si>
  <si>
    <t>FD 09.30 Consolo e Escora de Perfil de Aço</t>
  </si>
  <si>
    <t>FD 09.30.0050 (/)</t>
  </si>
  <si>
    <t>Consolo de perfil de aço, com peso até 10Kg, para suporte de guia (viga, longarina), em trabalhos do escoramento e congêneres, soldado em estaca do mesmo material, inclusive fornecimento, colocação e retirada, admitindo-se sua utilização 10 vezes.(desonerado)</t>
  </si>
  <si>
    <t>FD 09.30.0100 (/)</t>
  </si>
  <si>
    <t>Estronca (escora) de perfil de aço I, de 6", 1ª alma, em trabalhos de escoramento e congêneres, tendo comprimento de 2,50m a 3m, soldada em guias, inclusive fornecimento, colocação, retirada e transporte interno com caminhão, admitindo-se sua utilização 7 vezes.(desonerado)</t>
  </si>
  <si>
    <t>FD 09.30.0151 (/)</t>
  </si>
  <si>
    <t>Guia (viga, longarina) de perfil de aço I, de 6", 1ª alma, em trabalhos de escoramento e congêneres, soldada sobre consolos e estacas, estas intercaladas de 1,50m a 2m inclusive fornecimento, colocação, retirada e transporte interno, admitindo-se sua utilização 7 vezes.(desonerado)</t>
  </si>
  <si>
    <t>FD 14.05 Parede Diafragma</t>
  </si>
  <si>
    <t>FD 14.05.0050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</si>
  <si>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bentonita.(desonerado)</t>
  </si>
  <si>
    <t>FD 14.05.0100 (/)</t>
  </si>
  <si>
    <t>Gaiola armadura para parede diafragma, em aço CA-50, incluindo fornecimento, perdas, corte, dobragem, montagem e soldas.(desonerado)</t>
  </si>
  <si>
    <t>FD 19.05 Fundações de Alvenaria de Pedra</t>
  </si>
  <si>
    <t>FD 19.05.0050 (/)</t>
  </si>
  <si>
    <t>Fundação de alvenaria de pedra, com argamassa de cimento saibro e areia, no traço 1:2:3, tendo 0,35 a 0,45m de largura.(desonerado)</t>
  </si>
  <si>
    <t>FD 19.05.0100 (/)</t>
  </si>
  <si>
    <t>Fundação de alvenaria de pedra, com argamassa de cimento saibro e areia, no traço 1:2:3, tendo 0,60 a 0,80m de largura.(desonerado)</t>
  </si>
  <si>
    <t>IP 04.05 Postes de Concreto</t>
  </si>
  <si>
    <t>IP 04.05.0200 (/)</t>
  </si>
  <si>
    <t>Poste de concreto, com seção circular, reto, com 9 m de comprimento, tipo leve, inclusive transporte.  Fornecimento.(desonerado)</t>
  </si>
  <si>
    <t>IP 04.05.0250 (/)</t>
  </si>
  <si>
    <t>Poste de concreto, com seção circular, reto, com 11m de comprimento, tipo leve, com cabeça de concreto, inclusive transporte.  Fornecimento.(desonerado)</t>
  </si>
  <si>
    <t>IP 04.05.0256 (/)</t>
  </si>
  <si>
    <t>Poste de concreto, com seção circular, reto, com 11m de comprimento, tipo pesado, com cabeça de concreto, inclusive transporte.  Fornecimento.(desonerado)</t>
  </si>
  <si>
    <t>IP 04.05.0300 (/)</t>
  </si>
  <si>
    <t>Poste de concreto, com seção circular, reto, com 12m de comprimento, tipo leve, com cabeça de concreto, inclusive transporte.  Fornecimento.(desonerado)</t>
  </si>
  <si>
    <t>IP 04.05.0306 (/)</t>
  </si>
  <si>
    <t>Poste de concreto, com seção circular, reto, com 12m de comprimento, tipo pesado, com cabeça de concreto, inclusive transporte.  Fornecimento.(desonerado)</t>
  </si>
  <si>
    <t>IP 04.05.0350 (/)</t>
  </si>
  <si>
    <t>Poste de concreto, com seção circular, reto, com13m de comprimento, conicidade reduzida, carga nominal de 200Kg.  Fornecimento.(desonerado)</t>
  </si>
  <si>
    <t>IP 04.05.0500 (/)</t>
  </si>
  <si>
    <t>Poste de concreto, com seção circular, reto, com 17m de comprimento, conicidade reduzida, com cabeça de concreto, inclusive transporte.  Fornecimento.(desonerado)</t>
  </si>
  <si>
    <t>IP 04.05.0700 (/)</t>
  </si>
  <si>
    <t>Poste de concreto, com seção circular, reto, com 22,50m de comprimento, conicidade reduzida, com cabeça de concreto, inclusive transporte.  Fornecimento.(desonerado)</t>
  </si>
  <si>
    <t>IP 04.10 Postes de Aço</t>
  </si>
  <si>
    <t>sem cotação</t>
  </si>
  <si>
    <t>IP 04.10.0150 (/)</t>
  </si>
  <si>
    <t>Poste de aço, reto, cônico contínuo, altura de 3,50m, sem sapata.  Fornecimento.(desonerado)</t>
  </si>
  <si>
    <t>IP 04.10.0300 (/)</t>
  </si>
  <si>
    <t>Poste de aço, reto, cônico contínuo, altura de 4,5m, sem sapata, especificação EM-CME-04 da RIOLUZ.  Fornecimento.(desonerado)</t>
  </si>
  <si>
    <t>IP 04.10.0303 (/)</t>
  </si>
  <si>
    <t>Poste de aço, reto, cônico contínuo, altura de 4,50m, com sapata.  Fornecimento.(desonerado)</t>
  </si>
  <si>
    <t>IP 04.10.0450 (/)</t>
  </si>
  <si>
    <t>Poste de aço, reto, cônico contínuo ou escalonado, altura de 6m, sem sapata.  Fornecimento.(desonerado)</t>
  </si>
  <si>
    <t>IP 04.10.0500 (/)</t>
  </si>
  <si>
    <t>Poste de aço, reto, cônico contínuo, altura de 7m, sem sapata.  Fornecimento.(desonerado)</t>
  </si>
  <si>
    <t>IP 04.10.0700 (/)</t>
  </si>
  <si>
    <t>Poste de aço, reto, cônico contínuo, altura de 9m, sem sapata.  Fornecimento.(desonerado)</t>
  </si>
  <si>
    <t>IP 04.10.0703 (/)</t>
  </si>
  <si>
    <t>Poste de aço, reto, cônico contínuo, altura de 9m, com sapata.  Fornecimento.(desonerado)</t>
  </si>
  <si>
    <t>IP 04.10.0750 (/)</t>
  </si>
  <si>
    <t>Poste de aço, curvo, cônico contínuo, simples, (9x2,5)m, sem sapata.  Fornecimento.(desonerado)</t>
  </si>
  <si>
    <t>IP 04.10.0753 (/)</t>
  </si>
  <si>
    <t>Poste de aço, curvo, cônico contínuo, simples, (9x2,5)m, com sapata.  Fornecimento.(desonerado)</t>
  </si>
  <si>
    <t>IP 04.10.0800 (/)</t>
  </si>
  <si>
    <t>Poste de aço, curvo, cônico contínuo, duplo, (9x2,5)m, com sapata.  Fornecimento.(desonerado)</t>
  </si>
  <si>
    <t>IP 04.10.0803 (/)</t>
  </si>
  <si>
    <t>Poste de aço, curvo, cônico contínuo, duplo, (9x2,5)m, sem sapata.  Fornecimento.(desonerado)</t>
  </si>
  <si>
    <t>IP 04.10.0850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</si>
  <si>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Fornecimento.(desonerado)</t>
  </si>
  <si>
    <t>IP 04.10.1050 (/)</t>
  </si>
  <si>
    <t>Poste de aço, reto, cônico contínuo, altura de 15m, com sapata.  Fornecimento.(desonerado)</t>
  </si>
  <si>
    <t>IP 04.12 Postes de Poliéster reforçado com Fibra de Vidro</t>
  </si>
  <si>
    <t>IP 04.12.0201 (/)</t>
  </si>
  <si>
    <t>Poste composto de Poliéster reforçado com Fibra de Vidro - PRFV, seção única, altura total de 4,50 m, conicidade reduzida, carga nominal de 50 daN, diâmetro no topo de 60 mm, com flange(sapata), especificação EM- RIOLUZ Nº 101. Fornecimento e assentamento. (desonerado).</t>
  </si>
  <si>
    <t>IP 04.12.0300 (/)</t>
  </si>
  <si>
    <t>Poste composto de Poliéster reforçado com Fibra de Vidro - PRFV, seção única, altura total de 6,00 m, conicidade reduzida, carga nominal de 50 daN, diâmetro no topo de 60 mm, com flange (sapata), especificação EM-RIOLUZ Nº101. Fornecimento e assentamento. (desonerado)</t>
  </si>
  <si>
    <t>IP 04.12.0400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</si>
  <si>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 (desonerado)</t>
  </si>
  <si>
    <t>IP 04.12.0450 (/)</t>
  </si>
  <si>
    <t>Poste composto de Poliéster reforçado com Fibra de Vidro - PRFV, seção única, altura total de 9,00 m, conicidade reduzida, carga nominal de 60 daN, diâmetro no topo de 60 mm, com flange (sapata), especificação EM-RIOLUZ Nº101. Fornecimento e assentamento. (desonerado)</t>
  </si>
  <si>
    <t>IP 04.12.0500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</si>
  <si>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 (desonerado)</t>
  </si>
  <si>
    <t>IP 04.12.0650 (/)</t>
  </si>
  <si>
    <t>Poste composto de Poliéster reforçado com Fibra de Vidro - PRFV, seção única, altura total de 11,00 m, conicidade reduzida, carga nominal de 200 daN, diâmetro no topo de 110 mm, com flange (sapata), especificação EM-RIOLUZ Nº101. Fornecimento e assentamento. (desonerado)</t>
  </si>
  <si>
    <t>IP 04.12.0701 (/)</t>
  </si>
  <si>
    <t>Poste composto de Poliéster reforçado com Fibra de Vidro - PRFV, seção única, altura de 11,00 m, altura útil de 9,00 m, conicidade normal, tipo leve, carga nominal de 400 daN, diâmetro no topo de 180 mm, engastado, especificação EM- RIOLUZ Nº 101. Fornecimento e assentamento.(desonerado)</t>
  </si>
  <si>
    <t>IP 04.12.0750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</si>
  <si>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 (desonerado)</t>
  </si>
  <si>
    <t>IP 04.12.0800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</si>
  <si>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 (desonerado)</t>
  </si>
  <si>
    <t>IP 04.12.0950 (/)</t>
  </si>
  <si>
    <t>Poste composto de Poliéster reforçado com Fibra de Vidro - PRFV, seção única, altura total de 15,00 m, conicidade reduzida, carga nominal de 200 daN, diâmetro no topo de 110 mm, com flange (sapata), especificação EM-RIOLUZ Nº101. Fornecimento e assentamento. (desonerado)</t>
  </si>
  <si>
    <t>IP 04.25 Assentamento de Postes</t>
  </si>
  <si>
    <t>IP 04.25.0050 (/)</t>
  </si>
  <si>
    <t>Poste de aço reto de 3,50m, com flange de aço soldado na sua base, fixado por parafuso chumbadores engastados em fundação de concreto, exclusive fundação e fornecimento do poste.  Assentamento.(desonerado)</t>
  </si>
  <si>
    <t>IP 04.25.0100 (/)</t>
  </si>
  <si>
    <t>Poste de aço reto de 3,50m com engastamento da parte inferior da coluna diretamente no solo, exclusive fornecimento do poste.  Assentamento.(desonerado)</t>
  </si>
  <si>
    <t>IP 04.25.0150 (/)</t>
  </si>
  <si>
    <t>IP 04.25.0200 (/)</t>
  </si>
  <si>
    <t>IP 04.25.0250 (/)</t>
  </si>
  <si>
    <t>Poste de aço, reto, de 13m até 20m, com engastamento da parte inferior da coluna diretamente no solo; exclusive fornecimento do poste.  Assentamento.(desonerado)</t>
  </si>
  <si>
    <t>IP 04.25.0300 (/)</t>
  </si>
  <si>
    <t>Poste de aço, curvo, de 1 braço, de 8m até 12m, com engastamento da parte inferior da coluna diretamente no solo; exclusive fornecimento do poste.  Assentamento.(desonerado)</t>
  </si>
  <si>
    <t>IP 04.25.0350 (/)</t>
  </si>
  <si>
    <t>Poste de aço, curvo, de 2 braços, de 8m até 12m, com engastamento da parte inferior da coluna diretamente no solo; exclusive fornecimento do poste.  Assentamento.(desonerado)</t>
  </si>
  <si>
    <t>IP 04.25.0356 (/)</t>
  </si>
  <si>
    <t>Poste de aço curvo, de 2 braços, de 10m a 12m, com flange de aço soldado na sua base, fixado por parafusos chumbadores engastados em fundação de concreto.  Assentamento.(desonerado)</t>
  </si>
  <si>
    <t>IP 04.25.0400 (/)</t>
  </si>
  <si>
    <t>Poste de aço, curvo, cônico contínuo, simples, sem base, com janela de inspeção, com altura de 9m.  Fornecimento e assentamento.(desonerado)</t>
  </si>
  <si>
    <t>IP 04.25.0550 (A)</t>
  </si>
  <si>
    <t>Poste de concreto, com seção circular, com 7m de comprimento e carga nominal no topo, de 100Kg, inclusive escavação e exclusive transporte.  Fornecimento e assentamento.(desonerado)</t>
  </si>
  <si>
    <t>IP 04.25.0556 (A)</t>
  </si>
  <si>
    <t>Poste de concreto, com seção circular, com 7m de comprimento e carga nominal no topo, de 200Kg, inclusive escavação e exclusive transporte.  Fornecimento e assentamento.(desonerado)</t>
  </si>
  <si>
    <t>IP 04.25.0559 (A)</t>
  </si>
  <si>
    <t>Poste de concreto, com seção circular, com 7m de comprimento e carga nominal horizontal no topo, de 300Kg, inclusive escavação exclusive transporte.  Fornecimento e assentamento.(desonerado)</t>
  </si>
  <si>
    <t>IP 04.25.0600 (/)</t>
  </si>
  <si>
    <t>Poste de concreto, circular reto de 9m, com cabeça de concreto; exclusive fornecimento do poste e da cabeça.  Assentamento.(desonerado)</t>
  </si>
  <si>
    <t>IP 04.25.0650 (/)</t>
  </si>
  <si>
    <t>Poste de concreto, circular reto de 11m, com cabeça de concreto; exclusive fornecimento do poste e da cabeça.  Assentamento.(desonerado)</t>
  </si>
  <si>
    <t>IP 04.25.0700 (/)</t>
  </si>
  <si>
    <t>Poste de concreto, circular reto de 12m, com cabeça de concreto; exclusive fornecimento do poste e da cabeça.  Assentamento.(desonerado)</t>
  </si>
  <si>
    <t>IP 04.25.0750 (/)</t>
  </si>
  <si>
    <t>Poste de concreto, circular reto de 13m, com cabeça de concreto; exclusive fornecimento do poste e da cabeça.  Assentamento.(desonerado)</t>
  </si>
  <si>
    <t>IP 04.25.0800 (/)</t>
  </si>
  <si>
    <t>Poste de concreto, circular reto de 17m, com cabeça de concreto; exclusive fornecimento do poste e da cabeça.  Assentamento.(desonerado)</t>
  </si>
  <si>
    <t>IP 04.30 Assentamento de Postes de Concreto e Aço em Fundação Especial</t>
  </si>
  <si>
    <t>IP 04.30.0200 (/)</t>
  </si>
  <si>
    <t>Poste de aço, reto, de 4,50m a 6m, com flange de aço soldado na base, fixado por parafusos chumbadores engastados em fundação de concreto, exclusive fundação e fornecimento do poste.  Assentamento.(desonerado)</t>
  </si>
  <si>
    <t>IP 04.30.0250 (/)</t>
  </si>
  <si>
    <t>Poste de aço, reto, de 7m a 11m, com flange de aço soldado na sua base, fixado por parafusos chumbadores engastados em fundação de concreto, exclusive fundação e fornecimento do poste.  Assentamento.(desonerado)</t>
  </si>
  <si>
    <t>IP 04.30.0300 (/)</t>
  </si>
  <si>
    <t>Poste de aço, reto, de 12m a 20m, com flange de aço soldado na sua base, fixado por parafusos chumbadores engastados em fundação de concreto, exclusive fundação e fornecimento do poste.  Assentamento.(desonerado)</t>
  </si>
  <si>
    <t>IP 04.30.0500 (/)</t>
  </si>
  <si>
    <t>Poste de aço, curvo, de 1 braço, de 8m a 9m, com flange de aço soldado na sua base, fixado por parafusos chumbadores engastados em fundação de concreto, exclusive fundação e poste.(desonerado)</t>
  </si>
  <si>
    <t>IP 04.30.0506 (/)</t>
  </si>
  <si>
    <t>Poste de aço, curvo, de 2 braços, de 8m a 9m, com flange de aço soldado na sua base, fixado por parafusos chumbadores engastados em fundação de concreto, exclusive fundação e poste.  Assentamento.(desonerado)</t>
  </si>
  <si>
    <t>IP 04.30.0550 (/)</t>
  </si>
  <si>
    <t>Poste de aço, curvo, de 1 braço, de 10m a 12m, com flange de aço soldado na sua base, fixado por parafusos chumbadores engastados em fundação de concreto, exclusive fundação e poste.  Assentamento.(desonerado)</t>
  </si>
  <si>
    <t>IP 04.30.0700 (/)</t>
  </si>
  <si>
    <t>Poste de concreto circular, reto, de 23m em fundação especial, exclusive fundação e fornecimento do poste.  Assentamento.(desonerado)</t>
  </si>
  <si>
    <t>IP 04.35 Fundação Simples para Poste de Aço</t>
  </si>
  <si>
    <t>IP 04.35.0050 (/)</t>
  </si>
  <si>
    <t>Fundação simples de concreto pré-moldado, padrão RIOLUZ, com chumbadores de aço provido de arruelas e porcas, para fixação de poste de aço reto de 3,5m, exclusive o  poste e chumbadores.(desonerado)</t>
  </si>
  <si>
    <t>IP 04.35.0100 (/)</t>
  </si>
  <si>
    <t>IP 04.35.0150 (/)</t>
  </si>
  <si>
    <t>IP 04.35.0200 (/)</t>
  </si>
  <si>
    <t>Fundação simples de concreto pré-moldado, padrão RIOLUZ, com chumbadores de aço provido de arruelas e porcas, para fixação de postes de aço curvo, de 1 braço, de 8m a 9m, exclusive o poste e chumbadores.(desonerado)</t>
  </si>
  <si>
    <t>IP 04.35.0250 (/)</t>
  </si>
  <si>
    <t>Fundação simples de concreto pré-moldado, padrão RIOLUZ, com chumbadores de aço provido de arruelas e porcas, para fixação de postes de aço curvo, de 1 braço, de 10m a 12m, exclusive o poste e chumbadores.(desonerado)</t>
  </si>
  <si>
    <t>IP 04.35.0300 (/)</t>
  </si>
  <si>
    <t>Fundação simples de concreto pré-moldado, padrão RIOLUZ, com chumbadores de aço provido de arruelas e porcas, para fixação de postes de aço reto de 12m a 15m, exclusive o poste e chumbadores.(desonerado)</t>
  </si>
  <si>
    <t>IP 04.35.0350 (/)</t>
  </si>
  <si>
    <t>Fundação simples de concreto pré-moldado, padrão RIOLUZ, com chumbadores de aço provido de arruelas e porcas, para fixação de poste de aço curvo, de 2 braços, de 8m a 9m, exclusive o poste e chumbadores.(desonerado)</t>
  </si>
  <si>
    <t>IP 04.35.0400 (/)</t>
  </si>
  <si>
    <t>Fundação simples de concreto pré-moldado, padrão RIOLUZ, com chumbadores de aço provido de arruelas e porcas, para fixação de postes de aço curvo, de 2 braços, de 10m a 12m, exclusive o poste e chumbadores.(desonerado)</t>
  </si>
  <si>
    <t>IP 04.40 Fundação Especial para Poste</t>
  </si>
  <si>
    <t>IP 04.40.0200 (/)</t>
  </si>
  <si>
    <t>Fundação especial de concreto padrão RIOLUZ, com chumbadores de aço, provido de arruelas e porcas, para fixação de postes de aço reto de 12 a 15m, exclusive o poste e chumbadores.(desonerado)</t>
  </si>
  <si>
    <t>IP 04.40.0206 (/)</t>
  </si>
  <si>
    <t>Fundação especial de concreto de (0,70x0,70x1,50)m, para poste de aço reto de12 a 15m, inclusive fornecimento de todo o material, exclusive chumbadores.  Construção.(desonerado)</t>
  </si>
  <si>
    <t>IP 04.40.0400 (/)</t>
  </si>
  <si>
    <t>Fundação para poste de concreto de 13m, em terreno de areia, argila ou piçarra, inclusive instalação e fornecimento de tampa de proteção.  Construção.(desonerado)</t>
  </si>
  <si>
    <t>IP 04.40.0500 (/)</t>
  </si>
  <si>
    <t>Fundação especial para fixação de poste de concreto circular, reto, de 17m, em terreno pantanoso ou aterrado, exclusive o poste.(desonerado)</t>
  </si>
  <si>
    <t>IP 04.40.0506 (/)</t>
  </si>
  <si>
    <t>Fundação especial para fixação de poste de concreto circular, reto, de 23m, em terreno pantanoso ou aterrado, exclusive o poste.(desonerado)</t>
  </si>
  <si>
    <t>IP 04.40.0550 (/)</t>
  </si>
  <si>
    <t>Fundação especial para fixação de poste de aço, reto ou curvo com flange, de 1 ou 2 braços de 16m a 20m, em terreno pantanoso ou aterrado, exclusive o poste.(desonerado)</t>
  </si>
  <si>
    <t>IP 04.40.0600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</si>
  <si>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  (Desonerado)</t>
  </si>
  <si>
    <t>IP 04.45 Base Para Postes</t>
  </si>
  <si>
    <t>IP 04.50 Braços para Postes</t>
  </si>
  <si>
    <t>IP 04.50.0020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</si>
  <si>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instalação.(desonerado)</t>
  </si>
  <si>
    <t>IP 04.50.0057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</si>
  <si>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instalação.(desonerado)</t>
  </si>
  <si>
    <t>IP 04.50.0506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</si>
  <si>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Fornecimento.(desonerado)</t>
  </si>
  <si>
    <t>IP 04.50.0556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</si>
  <si>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Fornecimento.(desonerado)</t>
  </si>
  <si>
    <t>IP 04.50.0562 (/)</t>
  </si>
  <si>
    <t>Braço de aço galvanizado, curvo, com 2,5m de projeção horizontal e diâmetro externo de 48mm.  Fornecimento.(desonerado)</t>
  </si>
  <si>
    <t>IP 04.50.0600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</si>
  <si>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Fornecimento.(desonerado)</t>
  </si>
  <si>
    <t>IP 04.55 Colocação de Braços</t>
  </si>
  <si>
    <t>IP 04.55.0050 (/)</t>
  </si>
  <si>
    <t>Colocação de braço, padrão RIOLUZ, exclusive fornecimento das ferragens de fixação e do braço.(desonerado)</t>
  </si>
  <si>
    <t>IP 04.55.0100 (/)</t>
  </si>
  <si>
    <t>Colocação de braço, padrão RIOLUZ, com 0,57m ou 1,77m de projeção horizontal, para luminária LRJ-10, em poste de concreto, com fornecimento das ferragens de fixação; exclusive fornecimento do braço.(desonerado)</t>
  </si>
  <si>
    <t>IP 04.55.0150 (/)</t>
  </si>
  <si>
    <t>Colocação de braço, padrão RIOLUZ, de 1,5m até 2,50m de projeção horizontal, em poste reto de aço ou concreto, com fornecimento das ferragens de fixação; exclusive fornecimento do braço.(desonerado)</t>
  </si>
  <si>
    <t>IP 04.55.0200 (/)</t>
  </si>
  <si>
    <t>Colocação de braço, padrão RIOLUZ, de 2,6m até 3,50m de projeção horizontal, em poste reto de aço ou concreto, com fornecimento das ferragens de fixação; exclusive fornecimento do braço.(desonerado)</t>
  </si>
  <si>
    <t>IP 04.55.0300 (/)</t>
  </si>
  <si>
    <t>Colocação de base quádrupla para topo de poste, em poste reto de aço ou concreto, para altura de até 15m, para luminária tipo ponta de braço; exclusive luminárias e base quádrupla.(desonerado)</t>
  </si>
  <si>
    <t>IP 04.60 Pintura de Poste</t>
  </si>
  <si>
    <t>IP 04.60.0050 (/)</t>
  </si>
  <si>
    <t>Pintura de braço com 2 demãos de tinta Aluminac ou similar.(desonerado)</t>
  </si>
  <si>
    <t>IP 04.60.0150 (/)</t>
  </si>
  <si>
    <t>Pintura de poste de aço curvo, de 1 braço, de 8m até 10m, com 2 demãos de tinta Aluminac ou similar.(desonerado)</t>
  </si>
  <si>
    <t>IP 04.60.0153 (/)</t>
  </si>
  <si>
    <t>Pintura de poste de aço curvo, de 1 braço, de 11m até 15m, com 2 demãos de tinta Aluminac ou similar.(desonerado)</t>
  </si>
  <si>
    <t>IP 04.60.0200 (/)</t>
  </si>
  <si>
    <t>Pintura de poste de aço curvo, de 2 braços, de 8m até 10m, com 2 demãos de tinta Aluminac ou similar.(desonerado)</t>
  </si>
  <si>
    <t>IP 04.60.0203 (/)</t>
  </si>
  <si>
    <t>Pintura de poste de aço curvo, de 2 braços, de 11m até 15m, com 2 demãos de tinta Aluminac ou similar.(desonerado)</t>
  </si>
  <si>
    <t>IP 04.60.0259 (/)</t>
  </si>
  <si>
    <t>Pintura de poste de concreto, de 17m, com 1 demão de tinta Sikatop ou similar e 2 demãos de tinta Internacional ou similar.(desonerado)</t>
  </si>
  <si>
    <t>IP 06.05 Torre de Aço</t>
  </si>
  <si>
    <t>IP 06.10 TOTEM</t>
  </si>
  <si>
    <t>IP 06.10.0100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</si>
  <si>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Fornecimento.(desonerado)</t>
  </si>
  <si>
    <t>IP 09.05 Ferragens para Rede de Baixa Tensão</t>
  </si>
  <si>
    <t>IP 09.05.0050 (/)</t>
  </si>
  <si>
    <t>Armação secundária vertical, completa, para uma rede de baixa tensão (BT), sem fornecimento da armação e das cintas de fixação.  Instalação.(desonerado)</t>
  </si>
  <si>
    <t>IP 09.05.0100 (/)</t>
  </si>
  <si>
    <t>Armação secundária vertical de 1 estribo.  Fornecimento.(desonerado)</t>
  </si>
  <si>
    <t>IP 09.05.0103 (/)</t>
  </si>
  <si>
    <t>Armação secundária vertical de 3 estribos.  Fornecimento.(desonerado)</t>
  </si>
  <si>
    <t>IP 09.05.0106 (/)</t>
  </si>
  <si>
    <t>Armação secundária vertical, de 3 estribos, completa, para uma rede de baixa tensão (BT), de 3 condutores, para alinhamento reto, ângulo inferior a 90° e ponto terminal, exclusive fornecimento das cintas de fixação (ver conjunto BTV1).  Fornecimento e instalação.(desonerado)</t>
  </si>
  <si>
    <t>IP 09.05.0203 (A)</t>
  </si>
  <si>
    <t>Armação secundária vertical, de 4 estribos, completa, para uma rede de baixa tensão (BT), de 4 condutores, para alinhamento reto, ângulo inferior a 90° e ponto terminal, exclusive fornecimento das cintas de fixação (ver conjunto BTV1).  Fornecimento e instalação.(desonerado)</t>
  </si>
  <si>
    <t>IP 09.10 Ferragens Singelas para Linha de 13,8Kv</t>
  </si>
  <si>
    <t>IP 09.10.0050 (/)</t>
  </si>
  <si>
    <t>Conjunto para fixação de rede 13,8Kv, trifásica, exclusive fornecimento dos isoladores e ferragens.  Instalação.(desonerado)</t>
  </si>
  <si>
    <t>IP 09.10.0156 (/)</t>
  </si>
  <si>
    <t>Instalação de ferragens singelas, para 1 linha, de 13,8Kv, bifásica triangular, poste ao centro, para alinhamentos retos e ângulos até 30° (conjunto 13A1).  Instalação.(desonerado)</t>
  </si>
  <si>
    <t>IP 09.10.0300 (A)</t>
  </si>
  <si>
    <t>Conjunto para fixação de rede 13,8Kv, trifásica, horizontal, poste ao centro, para pequenos ângulos, padrão madeira, montagem normal, tipo 13N2.  Fornecimento e instalação.(desonerado)</t>
  </si>
  <si>
    <t>IP 09.10.0400 (A)</t>
  </si>
  <si>
    <t>Conjunto para fixação de rede 13,8Kv, trifásica, horizontal, poste ao centro, para fim de linha, padrão madeira, montagem normal, tipo 13N5.  Fornecimento e instalação.(desonerado)</t>
  </si>
  <si>
    <t>IP 09.10.0503 (/)</t>
  </si>
  <si>
    <t>Ferragens singelas e 2 chaves fusíveis, em 1 linha de 13,8Kv, horizontal, poste ao centro; exclusive fornecimento das chaves fusíveis, dos isoladores e ferragens da linha existente. Instalação.(desonerado)</t>
  </si>
  <si>
    <t>IP 09.10.0550 (/)</t>
  </si>
  <si>
    <t>Ferragens singelas e 3 chaves fusíveis, em 1 linha de 13,8Kv, horizontal, poste ao centro, exclusive fornecimento das chaves fusíveis dos isoladores e ferragens da linha existente.  Instalação.(desonerado)</t>
  </si>
  <si>
    <t>IP 09.10.0553 (/)</t>
  </si>
  <si>
    <t>Fornecimento e instalação de 3 chaves fusíveis, em 1 linha de 13,8Kv, horizontal, poste centro, inclusive suporte de fixação, padrão madeira, montagem normal, tipo 13N8, exclusive isoladores e ferragens da linha existente.(desonerado)</t>
  </si>
  <si>
    <t>IP 09.15 Ferragens Singelas para Linha de 25Kv</t>
  </si>
  <si>
    <t>IP 09.15.0100 (/)</t>
  </si>
  <si>
    <t>Instalação de ferragens singelas, para 2 linhas, de 25Kv, horizontais, poste ao centro, para alinhamentos retos e ângulos até 30° (conjunto 25 E1).(desonerado)</t>
  </si>
  <si>
    <t>IP 09.20 Colocação de Núcleo para Fixação em Luminária</t>
  </si>
  <si>
    <t>IP 09.20.0050 (/)</t>
  </si>
  <si>
    <t>Núcleo para fixação de luminária, tipo Pétala, em poste reto (aço ou concreto) de 15m, exclusive luminária e núcleo.  Colocação.(desonerado)</t>
  </si>
  <si>
    <t>IP 09.20.0100 (/)</t>
  </si>
  <si>
    <t>Núcleo para fixação de luminária, tipo Pétala, em poste reto (aço ou concreto) de 20m, exclusive luminária e núcleo.  Colocação.(desonerado)</t>
  </si>
  <si>
    <t>IP 09.25 Alças Pré-Formadas</t>
  </si>
  <si>
    <t>IP 09.25.0050 (/)</t>
  </si>
  <si>
    <t>Alça pré-formada de distribuição, de aço recoberto de alumínio, para cabo de alumínio nu, bitola de 25mm2, segundo desenho A4-154-CP.  Fornecimento e colocação.(desonerado)</t>
  </si>
  <si>
    <t>IP 09.25.0100 (/)</t>
  </si>
  <si>
    <t>Alça pré-formada de serviço, de aço recoberto, para cabo de alumínio nu, bitola de 25mm2, segundo desenho A4-148-CP.  Fornecimento e colocação.(desonerado)</t>
  </si>
  <si>
    <t>IP 09.25.0150 (/)</t>
  </si>
  <si>
    <t>Alça pré-formada de distribuição, de aço recoberto de alumínio, para cabo encapado, bitola de 25mm2, segundo desenho A4-154-CP.  Fornecimento e colocação.(desonerado)</t>
  </si>
  <si>
    <t>IP 09.25.0200 (/)</t>
  </si>
  <si>
    <t>Alça pré-formada de serviço, de aço recoberto com alumínio encapado, bitola de 25mm2, segundo desenho A4-148-CP.  Fornecimento e colocação.(desonerado)</t>
  </si>
  <si>
    <t>IP 09.25.0300 (/)</t>
  </si>
  <si>
    <t>Alça pré-formada para cabo de 35mm2.  Fornecimento.(desonerado)</t>
  </si>
  <si>
    <t>IP 09.30 Conectores e Grampos Paralelos</t>
  </si>
  <si>
    <t>IP 09.30.0050 (/)</t>
  </si>
  <si>
    <t>Conector de aterramento tipo KC 22H, Burndy ou similar.  Fornecimento e instalação.(desonerado)</t>
  </si>
  <si>
    <t>IP 09.30.0100 (/)</t>
  </si>
  <si>
    <t>Conector para haste de aterramento de pára-raio, com uma descida de 5/8".  Fornecimento.(desonerado)</t>
  </si>
  <si>
    <t>IP 09.30.0150 (/)</t>
  </si>
  <si>
    <t>Conector de parafuso fendido (Split-Bolt) em liga de cobre.  Fornecimento e instalação.(desonerado)</t>
  </si>
  <si>
    <t>IP 09.30.0159 (/)</t>
  </si>
  <si>
    <t>Conector tipo Split-Bolt, para cabo de 16mm2.  Fornecimento.(desonerado)</t>
  </si>
  <si>
    <t>IP 09.30.0200 (/)</t>
  </si>
  <si>
    <t>Conector de parafusos fendido para cabo de 35x70mm2, KS-26, Burndy ou similar.  Fornecimento e instalação.(desonerado)</t>
  </si>
  <si>
    <t>IP 09.30.0250 (/)</t>
  </si>
  <si>
    <t>Conector tipo estribo para condutor de alumínio, 1/0AWG.  Fornecimento.(desonerado)</t>
  </si>
  <si>
    <t>IP 09.30.0500 (/)</t>
  </si>
  <si>
    <t>Conector tipo cunha, em liga de cobre estanhado, para a fixação de condutores de alumínio ou cobre, por efeito de mola.  Modelo nº 1, padrão RIOLUZ, tipo G, AMP ou similar.  Fornecimento e instalação.(desonerado)</t>
  </si>
  <si>
    <t>IP 09.30.0503 (/)</t>
  </si>
  <si>
    <t>Conector tipo cunha, em liga de cobre estanhado, para a fixação de condutores de alumínio ou cobre, por efeito de mola.  Modelo tipo nº 2, padrão RIOLUZ, tipo H, AMP ou similar.  Fornecimento e instalação.(desonerado)</t>
  </si>
  <si>
    <t>IP 09.30.0506 (/)</t>
  </si>
  <si>
    <t>Conector tipo cunha, em liga de cobre estanhado, para a fixação de condutores de alumínio ou cobre, por efeito de mola.  Modelo tipo nº 3, padrão RIOLUZ, tipo K, AMP ou similar.  Fornecimento e instalação.(desonerado)</t>
  </si>
  <si>
    <t>IP 09.30.0509 (/)</t>
  </si>
  <si>
    <t>Conector tipo cunha, em liga de cobre estanhado, para a fixação de condutores de alumínio ou cobre, por efeito de mola.  Modelo tipo nº 4, padrão RIOLUZ, tipo V, AMP ou similar.  Fornecimento e instalação.(desonerado)</t>
  </si>
  <si>
    <t>IP 09.30.0512 (/)</t>
  </si>
  <si>
    <t>Conector tipo cunha, em liga de cobre estanhado, para a fixação de condutores de alumínio ou cobre, por efeito de mola.  Modelo tipo nº 5, padrão RIOLUZ, tipo IV, AMP ou similar.  Fornecimento e instalação.(desonerado)</t>
  </si>
  <si>
    <t>IP 09.30.0515 (/)</t>
  </si>
  <si>
    <t>Conector tipo cunha, em liga de cobre estanhado, para a fixação de condutores de alumínio ou cobre, por efeito de mola.  Modelo tipo nº 6, padrão RIOLUZ, tipo B, AMP ou similar.  Fornecimento e instalação.(desonerado)</t>
  </si>
  <si>
    <t>IP 09.30.0518 (/)</t>
  </si>
  <si>
    <t>Conector tipo cunha, em liga de cobre estanhado, para a fixação de condutores de alumínio ou cobre, por efeito de mola.  Modelo tipo nº 7, padrão RIOLUZ, tipo A, AMP ou similar.  Fornecimento e instalação.(desonerado)</t>
  </si>
  <si>
    <t>IP 09.30.0521 (/)</t>
  </si>
  <si>
    <t>Conector tipo cunha, em liga de cobre estanhado, para a fixação de condutores de alumínio ou cobre, por efeito de mola.  Modelo nº 8, padrão RIOLUZ, tipo C, AMP ou similar.  Fornecimento e instalação.(desonerado)</t>
  </si>
  <si>
    <t>IP 09.30.0524 (/)</t>
  </si>
  <si>
    <t>Conector tipo cunha, em liga de cobre estanhado, para a fixação de condutores de alumínio ou cobre, por efeito de mola.  Modelo nº 9, padrão RIOLUZ, tipo J, AMP ou similar.  Fornecimento e instalação.(desonerado)</t>
  </si>
  <si>
    <t>IP 09.30.0527 (/)</t>
  </si>
  <si>
    <t>Conector tipo cunha, em liga de cobre estanhado, para a fixação de condutores de alumínio ou cobre, por efeito de mola.  Modelo nº 10, padrão RIOLUZ, tipo F, AMP ou similar.  Fornecimento e instalação.(desonerado)</t>
  </si>
  <si>
    <t>IP 09.30.0530 (/)</t>
  </si>
  <si>
    <t>Conector tipo cunha, em liga de cobre estanhado, para a fixação de condutores de alumínio ou cobre, por efeito de mola.  Modelo nº 11, padrão RIOLUZ, tipo D, AMP ou similar.  Fornecimento e instalação.(desonerado)</t>
  </si>
  <si>
    <t>IP 09.30.0532 (/)</t>
  </si>
  <si>
    <t>Conector tipo cunha, em liga de cobre estanhado, para a fixação de condutores de alumínio ou cobre, por efeito de mola.  Modelo nº 12, padrão RIOLUZ, tipo I, AMP ou similar.  Fornecimento e instalação.(desonerado)</t>
  </si>
  <si>
    <t>IP 09.30.0535 (/)</t>
  </si>
  <si>
    <t>Conector tipo cunha, em liga de cobre estanhado, para a fixação de condutores de alumínio ou cobre, por efeito de mola.  Modelo nº 13, padrão RIOLUZ, tipo VII, AMP ou similar.  Fornecimento e instalação.(desonerado)</t>
  </si>
  <si>
    <t>IP 09.30.0538 (/)</t>
  </si>
  <si>
    <t>Conector tipo cunha, em liga de cobre estanhado, para a fixação de condutores de alumínio ou cobre, por efeito de mola.  Modelo nº 14, padrão RIOLUZ, tipo VI, AMP ou similar.  Fornecimento e instalação.(desonerado)</t>
  </si>
  <si>
    <t>IP 09.30.0555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</si>
  <si>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Fornecimento.(desonerado)</t>
  </si>
  <si>
    <t>IP 09.30.0560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</si>
  <si>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Fornecimento.(desonerado)</t>
  </si>
  <si>
    <t>IP 09.30.0563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</si>
  <si>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Fornecimento.(desonerado)</t>
  </si>
  <si>
    <t>IP 09.30.0660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</si>
  <si>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Fornecimento.(desonerado)</t>
  </si>
  <si>
    <t>IP 09.30.1050 (/)</t>
  </si>
  <si>
    <t>Grampo paralelo universal de alumínio fundido ou extrudado, de 2 parafusos, com pasta anti óxido, segundo desenho A3-142-CP.  Fornecimento e colocação.(desonerado)</t>
  </si>
  <si>
    <t>IP 09.30.1100 (/)</t>
  </si>
  <si>
    <t>Grampo de linha viva em alumínio.  Fornecimento.(desonerado)</t>
  </si>
  <si>
    <t>IP 09.35 Caixa de Ligação</t>
  </si>
  <si>
    <t>IP 09.35.0050 (/)</t>
  </si>
  <si>
    <t>Condulete de alumínio sílico tipo LL de 19mm (3/4") com tampa.  Fornecimento.(desonerado)</t>
  </si>
  <si>
    <t>IP 09.35.0053 (/)</t>
  </si>
  <si>
    <t>Condulete de alumínio sílico tipo LR de 19mm (3/4") com tampa.  Fornecimento.(desonerado)</t>
  </si>
  <si>
    <t>IP 09.35.0056 (/)</t>
  </si>
  <si>
    <t>Condulete de alumínio sílico tipo T de 19mm (3/4") com tampa.  Fornecimento.(desonerado)</t>
  </si>
  <si>
    <t>IP 09.35.0100 (/)</t>
  </si>
  <si>
    <t>Caixa de ligação tipo Petrolets R=15/C, R=15/TB, R=15/LB ou similar, com entradas rosqueadas de 1" (25mm).  Fornecimento e colocação.(desonerado)</t>
  </si>
  <si>
    <t>IP 09.35.0200 (/)</t>
  </si>
  <si>
    <t>Caixa de ligação tipo Petrolets R=15/C, R=15/TB, R=15/LB ou similar, com entradas rosqueadas de 2" (50mm).  Fornecimento e colocação.(desonerado)</t>
  </si>
  <si>
    <t>IP 09.35.0312 (/)</t>
  </si>
  <si>
    <t>Condulete de alumínio tipo T de 75mm (3").  Fornecimento.(desonerado)</t>
  </si>
  <si>
    <t>IP 09.35.0400 (/)</t>
  </si>
  <si>
    <t>Caixa de ligação tipo Condulets R-15/LB-22 ou similar, com entrada rosqueadas de 1 1/2" (27mm).  Fornecimento e colocação.(desonerado)</t>
  </si>
  <si>
    <t>IP 09.40 Laços de Roldanas Pré-Formadas</t>
  </si>
  <si>
    <t>IP 09.40.0050 (/)</t>
  </si>
  <si>
    <t>Laço de roldana pré-formado, de aço recoberto de alumínio, para cabo de alumínio nu, bitola de 25mm2, segundo desenho A4-139-CP.  Fornecimento e colocação.(desonerado)</t>
  </si>
  <si>
    <t>IP 09.40.0100 (/)</t>
  </si>
  <si>
    <t>Laço de roldana pré-formado, de aço recoberto de alumínio, para cabo de alumínio encapado, bitola de 25mm2, segundo desenho A4-139-CP.  Fornecimento e colocação.(desonerado)</t>
  </si>
  <si>
    <t>IP 14.05 Instalação de Baixa Tensão</t>
  </si>
  <si>
    <t>IP 14.05.0050 (/)</t>
  </si>
  <si>
    <t>Rede de baixa tensão (BT), aérea, com 1 condutor de cobre, exclusive fornecimento do condutor (lance).  Instalação.(desonerado)</t>
  </si>
  <si>
    <t>IP 14.05.0100 (/)</t>
  </si>
  <si>
    <t>Rede de baixa tensão (BT), aérea, com 1 condutor de alumínio, exclusive fornecimento do condutor (lance).  Instalação.(desonerado)</t>
  </si>
  <si>
    <t>IP 14.05.0150 (/)</t>
  </si>
  <si>
    <t>Instalação de rede de baixa tensão (BT), aérea, com cabo Multiplex, ou similar, de alumínio, exclusive fornecimento do cabo.(desonerado)</t>
  </si>
  <si>
    <t>IP 14.05.0200 (/)</t>
  </si>
  <si>
    <t>Rede de baixa tensão (BT), aérea, com 2 condutores de alumínio, exclusive fornecimento dos condutores (lance).  Instalação.(desonerado)</t>
  </si>
  <si>
    <t>IP 14.05.0250 (/)</t>
  </si>
  <si>
    <t>Rede de baixa tensão (BT), aérea, com 3 condutores de cobre, exclusive fornecimento do condutor (lance).  Instalação.(desonerado)</t>
  </si>
  <si>
    <t>IP 14.05.0300 (/)</t>
  </si>
  <si>
    <t>Rede de baixa tensão (BT), aérea, com 3 condutores de alumínio, exclusive fornecimento dos condutores (lance).  Instalação.(desonerado)</t>
  </si>
  <si>
    <t>IP 14.05.0350 (/)</t>
  </si>
  <si>
    <t>Rede de baixa tensão (BT), aérea, com 4 condutores de alumínio, exclusive fornecimento dos condutores (lance).  Instalação.(desonerado)</t>
  </si>
  <si>
    <t>IP 14.10 Instalação de Rede de 13,8Kv</t>
  </si>
  <si>
    <t>IP 14.10.0050 (/)</t>
  </si>
  <si>
    <t>Instalação de rede de alta tensão (AT) aérea, com cabo triplex de cobre, exclusive fornecimento de cabo.(desonerado)</t>
  </si>
  <si>
    <t>IP 14.10.0100 (/)</t>
  </si>
  <si>
    <t>Rede de alta tensão (AT), aérea, com 2 condutores de alumínio; exclusive fornecimento dos condutores (lance).  Instalação.(desonerado)</t>
  </si>
  <si>
    <t>IP 14.10.0150 (/)</t>
  </si>
  <si>
    <t>Rede de alta tensão (AT), aérea, com 2 condutores de cobre, exclusive fornecimento dos condutores (lance).  Instalação.(desonerado)</t>
  </si>
  <si>
    <t>IP 14.10.0200 (/)</t>
  </si>
  <si>
    <t>Rede de alta tensão (AT), aérea, com 3 condutores de alumínio; exclusive fornecimento dos condutores (lance).  Instalação.(desonerado)</t>
  </si>
  <si>
    <t>IP 14.10.0250 (/)</t>
  </si>
  <si>
    <t>Rede de alta tensão (AT), aérea, com 3 condutores de cobre, exclusive fornecimento dos condutores (lance).  Instalação.(desonerado)</t>
  </si>
  <si>
    <t>IP 14.15 Isoladores</t>
  </si>
  <si>
    <t>IP 14.15.0050 (/)</t>
  </si>
  <si>
    <t>Isolador de baixa tensão (BT), tipo carretel, na cor marrom, medindo (72x72)mm.  Fornecimento.(desonerado)</t>
  </si>
  <si>
    <t>IP 14.15.0100 (/)</t>
  </si>
  <si>
    <t>Isolador tipo pino, 13,8Kv.  Fornecimento.(desonerado)</t>
  </si>
  <si>
    <t>IP 14.20 Muflas</t>
  </si>
  <si>
    <t>IP 14.20.0100 (/)</t>
  </si>
  <si>
    <t>Mufla terminal para cabo singelo 50mm2, 15Kv, inclusive braçadeira para fixação.  Fornecimento e assentamento.(desonerado)</t>
  </si>
  <si>
    <t>IP 14.25 Cabos de Cobre Nu</t>
  </si>
  <si>
    <t>IP 14.25.0100 (/)</t>
  </si>
  <si>
    <t>Cabo de cobre nu, seção de 16mm2.  Fornecimento. (1Kg = 7,04 metros)(desonerado)</t>
  </si>
  <si>
    <t>IP 14.25.0109 (/)</t>
  </si>
  <si>
    <t>Cabo de cobre nu, seção de 25mm2.  Fornecimento. (1Kg = 4,51 metros)(desonerado)</t>
  </si>
  <si>
    <t>IP 14.25.0112 (/)</t>
  </si>
  <si>
    <t>Cabo de cobre nu, seção de 35mm2.  Fornecimento. (1Kg = 3,16 metros)(desonerado)</t>
  </si>
  <si>
    <t>IP 14.30 Cabos de Cobre Flexível</t>
  </si>
  <si>
    <t>IP 14.30.0050 (/)</t>
  </si>
  <si>
    <t>Cabo de cobre, 750V, seção de 1,5mm2.  Fornecimento.(desonerado)</t>
  </si>
  <si>
    <t>IP 14.30.0053 (/)</t>
  </si>
  <si>
    <t>Cabo de cobre flexível, 750V, seção de 2x1,5mm2, PVC/ 70°C.  Fornecimento.(desonerado)</t>
  </si>
  <si>
    <t>IP 14.30.0059 (/)</t>
  </si>
  <si>
    <t>Cabo de cobre flexível, 750V, seção de 3x1,5mm2, PVC/ 70°C, classe 4.  Fornecimento.(desonerado)</t>
  </si>
  <si>
    <t>IP 14.30.0062 (/)</t>
  </si>
  <si>
    <t>Cabo de cobre flexível, 750V, seção de 3x1,5mm2, PVC/ 70°C, classe 4.  Fornecimento e colocação.(desonerado)</t>
  </si>
  <si>
    <t>IP 14.30.0106 (/)</t>
  </si>
  <si>
    <t>Cabo de cobre flexível, 750V, seção de 3x2,5mm2, PVC/70°C.  Fornecimento(desonerado)</t>
  </si>
  <si>
    <t>IP 14.30.0153 (/)</t>
  </si>
  <si>
    <t>Cabo de cobre flexível, 750V, seção de 2x4mm2, PVC/ 70°C, classe4.  Fornecimento.(desonerado)</t>
  </si>
  <si>
    <t>IP 14.30.0156 (/)</t>
  </si>
  <si>
    <t>Cabo de cobre flexível, 750V, seção de 3x4mm2, PVC/ 70°C.  Fornecimento.(desonerado)</t>
  </si>
  <si>
    <t>IP 14.30.0159 (/)</t>
  </si>
  <si>
    <t>Cabo de cobre flexível, 750V, seção de 4x4mm2, PVC/ 70°C.  Fornecimento.(desonerado)</t>
  </si>
  <si>
    <t>IP 14.30.0206 (/)</t>
  </si>
  <si>
    <t>Cabo de cobre flexível, 750V, seção de 3x6mm2, PVC/ 70°C.  Fornecimento.(desonerado)</t>
  </si>
  <si>
    <t>IP 14.30.0253 (/)</t>
  </si>
  <si>
    <t>Cabo de cobre flexível, 750V, seção de 2x10mm2, PVC/ 70°C.  Fornecimento.(desonerado)</t>
  </si>
  <si>
    <t>IP 14.30.0256 (/)</t>
  </si>
  <si>
    <t>Cabo de cobre, flexível, 750V, seção de 3x10mm2, PVC/ 70°C.  Fornecimento.(desonerado)</t>
  </si>
  <si>
    <t>IP 14.30.0259 (/)</t>
  </si>
  <si>
    <t>Cabo de cobre flexível, 750V, seção de 4x10mm2, PVC/ 70°C.  Fornecimento.(desonerado)</t>
  </si>
  <si>
    <t>IP 14.30.0300 (/)</t>
  </si>
  <si>
    <t>Cabo de cobre flexível, 750V/70°, seção de 16mm2.  Fornecimento.(desonerado)</t>
  </si>
  <si>
    <t>IP 14.30.0309 (/)</t>
  </si>
  <si>
    <t>Cabo de cobre flexível, 750V, seção de 3x16mm2, PVC/ 70°C.  Fornecimento.(desonerado)</t>
  </si>
  <si>
    <t>IP 14.35 Cabos de Cobre Rígido</t>
  </si>
  <si>
    <t>IP 14.35.0300 (/)</t>
  </si>
  <si>
    <t>Cabo de cobre rígido, 1Kv, 6mm2, PVC/ 70°C.  Fornecimento.(desonerado)</t>
  </si>
  <si>
    <t>IP 14.35.0303 (/)</t>
  </si>
  <si>
    <t>Cabo de cobre, 750V, seção de 2x6mm2, PVC/ 70°C.  Fornecimento.(desonerado)</t>
  </si>
  <si>
    <t>IP 14.35.0350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</si>
  <si>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Fornecimento.(desonerado)</t>
  </si>
  <si>
    <t>IP 14.35.0400 (/)</t>
  </si>
  <si>
    <t>Cabo de cobre, 1Kv, 16mm2, PVC/ 70°C.  Fornecimento.(desonerado)</t>
  </si>
  <si>
    <t>IP 14.35.0450 (/)</t>
  </si>
  <si>
    <t>Cabo de cobre rígido, 1Kv, 25mm2, PVC/ 70°C.  Fornecimento.(desonerado)</t>
  </si>
  <si>
    <t>IP 14.35.0456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</si>
  <si>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Fornecimento.(desonerado)</t>
  </si>
  <si>
    <t>IP 14.35.0459 (/)</t>
  </si>
  <si>
    <t>Cabo de cobre rígido, 25mm2, 8,7 a 15Kv, isolado EPR/XLPE.  Fornecimento.(desonerado)</t>
  </si>
  <si>
    <t>IP 14.35.0500 (/)</t>
  </si>
  <si>
    <t>Cabo de cobre rígido, 1Kv, 35mm2, PVC/ 70°C.  Fornecimento.(desonerado)</t>
  </si>
  <si>
    <t>IP 14.35.0506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</si>
  <si>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Fornecimento.(desonerado)</t>
  </si>
  <si>
    <t>IP 14.35.0550 (/)</t>
  </si>
  <si>
    <t>Cabo de cobre rígido, 1Kv, 50mm2, PVC/ 70°C.  Fornecimento.(desonerado)</t>
  </si>
  <si>
    <t>IP 14.35.0556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</si>
  <si>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Fornecimento.(desonerado)</t>
  </si>
  <si>
    <t>IP 14.35.0562 (/)</t>
  </si>
  <si>
    <t>Cabo de cobre rígido, seção de 3x1x50mm2, triplexado, 20Kv, isolado EPR/XLPE.  Fornecimento.(desonerado)</t>
  </si>
  <si>
    <t>IP 14.35.0600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</si>
  <si>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Fornecimento.(desonerado)</t>
  </si>
  <si>
    <t>IP 14.40 Cabos de Alumínio</t>
  </si>
  <si>
    <t>IP 14.40.0050 (A)</t>
  </si>
  <si>
    <t>Cabo de alumínio nu, 2AWG, sem alma de aço (CA).  Fornecimento. (1m=0,093Kg)(desonerado)</t>
  </si>
  <si>
    <t>IP 14.40.0150 (/)</t>
  </si>
  <si>
    <t>Cabo de alumínio WPP 2AWG.  Fornecimento.(desonerado)</t>
  </si>
  <si>
    <t>IP 14.40.0190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</si>
  <si>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Fornecimento.(desonerado)</t>
  </si>
  <si>
    <t>IP 14.40.0200 (A)</t>
  </si>
  <si>
    <t>Cabo de alumínio nu, 1/0AWG, com alma de aço (CAA).  Fornecimento. (1m=0,216Kg)(desonerado)</t>
  </si>
  <si>
    <t>IP 14.40.0250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</si>
  <si>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Fornecimento.(desonerado)</t>
  </si>
  <si>
    <t>IP 14.40.0300 (/)</t>
  </si>
  <si>
    <t>Cabo de alumínio WPP, 1Kv, 1/0AWG.  Fornecimento.(desonerado)</t>
  </si>
  <si>
    <t>IP 14.40.0503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</si>
  <si>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Fornecimento.(desonerado)</t>
  </si>
  <si>
    <t>IP 14.40.0505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</si>
  <si>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Fornecimento.(desonerado)</t>
  </si>
  <si>
    <t>IP 14.40.0512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</si>
  <si>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Fornecimento.(desonerado)</t>
  </si>
  <si>
    <t>IP 14.43 Cabos Multiplexados</t>
  </si>
  <si>
    <t>IP 14.43.0200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</si>
  <si>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Fornecimento.(desonerado)</t>
  </si>
  <si>
    <t>IP 14.43.0300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</si>
  <si>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Fornecimento.(desonerado)</t>
  </si>
  <si>
    <t>IP 14.45 Colocação de Condutores em Dutos</t>
  </si>
  <si>
    <t>IP 14.45.0050 (/)</t>
  </si>
  <si>
    <t>Colocação e fornecimento de arame de ferro galvanizado, seção de 2mm2 (12AWG), embuchado com papel, em linha de dutos; exclusive dutos.(desonerado)</t>
  </si>
  <si>
    <t>IP 14.45.0100 (/)</t>
  </si>
  <si>
    <t>Colocação de 1 condutor singelo em linha de dutos; exclusive fornecimento de condutor e dos dutos.(desonerado)</t>
  </si>
  <si>
    <t>IP 14.45.0106 (/)</t>
  </si>
  <si>
    <t>Colocação de 3 condutores singelos em linha de dutos; exclusive fornecimento de condutor e dos dutos.(desonerado)</t>
  </si>
  <si>
    <t>IP 14.45.0109 (/)</t>
  </si>
  <si>
    <t>Colocação de 4 condutores singelos em linha de dutos; exclusive fornecimento de condutor e dos dutos.(desonerado)</t>
  </si>
  <si>
    <t>IP 14.45.0112 (/)</t>
  </si>
  <si>
    <t>Colocação de 5 condutores singelos em linha de dutos; exclusive fornecimento do condutor e dos dutos.(desonerado)</t>
  </si>
  <si>
    <t>IP 14.45.0200 (/)</t>
  </si>
  <si>
    <t>Colocação de 1 cabo bifásico, em linha de dutos; exclusive fornecimento dos cabos e dos dutos.(desonerado)</t>
  </si>
  <si>
    <t>IP 14.45.0300 (/)</t>
  </si>
  <si>
    <t>Colocação de 1 cabo trifásico, em linha de dutos; exclusive fornecimento dos cabos e dos dutos.(desonerado)</t>
  </si>
  <si>
    <t>IP 14.50 Anilhas</t>
  </si>
  <si>
    <t>IP 14.50.0100 (/)</t>
  </si>
  <si>
    <t>Anilha de nylon para identificação de condutor XLPE de 25 a 35mm2.  Fornecimento.(desonerado)</t>
  </si>
  <si>
    <t>IP 14.50.0150 (/)</t>
  </si>
  <si>
    <t>Anilha de nylon para identificação de condutor XLPE de 50 a 70mm2.  Fornecimento.(desonerado)</t>
  </si>
  <si>
    <t>IP 14.55 Transformadores</t>
  </si>
  <si>
    <t>IP 14.55.0050 (/)</t>
  </si>
  <si>
    <t>Transformador de distribuição monofásico, para iluminação pública, para poste, 60Hz, 250/125V, de 10Kva.  Fornecimento.(desonerado)</t>
  </si>
  <si>
    <t>IP 14.55.0100 (/)</t>
  </si>
  <si>
    <t>Transformador de distribuição monofásico, de 25Kva, 60HZ, tensão secundária de 250/125V.  Fornecimento.(desonerado)</t>
  </si>
  <si>
    <t>IP 14.55.0125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</si>
  <si>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Fornecimento.(desonerado)</t>
  </si>
  <si>
    <t>IP 14.55.0150 (/)</t>
  </si>
  <si>
    <t>Transformador de distribuição trifásico, de 30Kva, 60HZ, tensão secundária de 220/127V.  Fornecimento.(desonerado)</t>
  </si>
  <si>
    <t>IP 14.55.0300 (/)</t>
  </si>
  <si>
    <t>Transformador de distribuição trifásico, de 45Kva, 60HZ, tensão secundária de 220/127V.  Fornecimento.(desonerado)</t>
  </si>
  <si>
    <t>IP 14.55.0350 (/)</t>
  </si>
  <si>
    <t>Transformador de distribuição trifásico, de 75Kva, 60HZ, tensão secundária de 220/127V.  Fornecimento.(desonerado)</t>
  </si>
  <si>
    <t>IP 14.55.0400 (/)</t>
  </si>
  <si>
    <t>Transformador de distribuição trifásico, de 75Kva, tensão primária de 13,2Kv, tensão secundária de 380/220V.  Fornecimento.(desonerado)</t>
  </si>
  <si>
    <t>IP 14.55.1000 (/)</t>
  </si>
  <si>
    <t>Suporte para montagem de transformador em poste.  Fornecimento.(desonerado)</t>
  </si>
  <si>
    <t>IP 14.60 Instalação de Transformadores</t>
  </si>
  <si>
    <t>IP 14.60.0100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</si>
  <si>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Instalação.(desonerado)</t>
  </si>
  <si>
    <t>IP 19.05 Aterramento</t>
  </si>
  <si>
    <t>IP 19.05.0050 (/)</t>
  </si>
  <si>
    <t>Aterramento de caixa Hand-Hole.(desonerado)</t>
  </si>
  <si>
    <t>IP 19.05.0053 (/)</t>
  </si>
  <si>
    <t>Aterramento de poste de aço, inclusive fornecimento dos materiais.(desonerado)</t>
  </si>
  <si>
    <t>IP 19.05.0056 (A)</t>
  </si>
  <si>
    <t>Aterramento de tampão, inclusive fornecimento dos materiais.(desonerado)</t>
  </si>
  <si>
    <t>IP 19.05.0103 (/)</t>
  </si>
  <si>
    <t>Haste para aterramento, de 5/8" (16mm), com 2,50m de comprimento.  Fornecimento.(desonerado)</t>
  </si>
  <si>
    <t>IP 19.05.0106 (/)</t>
  </si>
  <si>
    <t>Haste para aterramento, de 5/8" (16mm), com 2,50m a 3m de comprimento.  Colocação.(desonerado)</t>
  </si>
  <si>
    <t>IP 19.05.0150 (/)</t>
  </si>
  <si>
    <t>Conjunto de aterramento para transformador (ver desenho  A2-134-CP).  Instalação.(desonerado)</t>
  </si>
  <si>
    <t>IP 19.05.0153 (/)</t>
  </si>
  <si>
    <t>Conjunto de aterramento de transformador.  Fornecimento e instalação.(desonerado)</t>
  </si>
  <si>
    <t>IP 19.05.0156 (/)</t>
  </si>
  <si>
    <t>Conjunto de aterramento de transformador (ver desenho A2-134-CP).  Fornecimento e instalação.(desonerado)</t>
  </si>
  <si>
    <t>IP 19.05.0200 (/)</t>
  </si>
  <si>
    <t>Conjunto de aterramento de rede de baixa tensão (BT).  Fornecimento e instalação.(desonerado)</t>
  </si>
  <si>
    <t>IP 19.05.0203 (/)</t>
  </si>
  <si>
    <t>Conjunto de aterramento de rede de baixa tensão (BT) (ver desenho A2-134-CP).  Fornecimento e instalação.(desonerado)</t>
  </si>
  <si>
    <t>IP 24.05 Caixa de Passagem</t>
  </si>
  <si>
    <t>IP 24.05.0050 (/)</t>
  </si>
  <si>
    <t>Caixa de passagem para embutir em alvenaria, de 5"x5".  Fornecimento.(desonerado)</t>
  </si>
  <si>
    <t>IP 24.05.0100 (/)</t>
  </si>
  <si>
    <t>Caixa de passagem em alumínio fundido (15x15x10)cm, com saídas rosqueadas de 3/4" e tampa removível.  Fornecimento.(desonerado)</t>
  </si>
  <si>
    <t>IP 24.05.0150 (/)</t>
  </si>
  <si>
    <t>Caixa de passagem de alvenaria com dimensões de (1x1x1)m, inclusive escavação e reaterro, exclusive fornecimento do tampão.(desonerado)</t>
  </si>
  <si>
    <t>IP 24.10 Caixa de Hand-Hole</t>
  </si>
  <si>
    <t>IP 24.10.0025 (/)</t>
  </si>
  <si>
    <t>Caixa Hand-Hole, pré-moldada, circular, de concreto, padrão RIOLUZ, com dimensões (0,30x0,30)m; inclusive escavação e reaterro; exclusive fornecimento do tampão.  Fornecimento e colocação.(desonerado)</t>
  </si>
  <si>
    <t>IP 24.10.0050 (A)</t>
  </si>
  <si>
    <t>Caixa Hand-Hole em alvenaria, retangular com dimensões (40x40x60)cm, com tampão de concreto pré-moldado, com alça.  Construção.(desonerado)</t>
  </si>
  <si>
    <t>IP 24.10.0059 (A)</t>
  </si>
  <si>
    <t>Caixa Hand-Hole em alvenaria, retangular com dimensões (40x40x90)cm, com tampão de concreto pré-moldado, com alça.  Construção.(desonerado)</t>
  </si>
  <si>
    <t>IP 24.10.0100 (/)</t>
  </si>
  <si>
    <t>Caixa Hand-Hole, pré-moldada, circular, de concreto, padrão RIOLUZ, com dimensões (0,60x0,30)m; inclusive escavação e reaterro, exclusive tampão.  Fornecimento e assentamento.(desonerado)</t>
  </si>
  <si>
    <t>IP 24.10.0150 (/)</t>
  </si>
  <si>
    <t>Caixa Hand-Hole, pré-moldada, circular de concreto, padrão RIOLUZ, com dimensões (0,60x0,60)m, inclusive escavação e reaterro, exclusive tampão e materiais.  Assentamento.(desonerado)</t>
  </si>
  <si>
    <t>IP 24.10.0153 (/)</t>
  </si>
  <si>
    <t>Caixa Hand-Hole, pré-moldada, circular, de concreto, padrão RIOLUZ, com dimensões (0,60x0,60)m; inclusive escavação e reaterro, exclusive tampão.  Fornecimento e assentamento.(desonerado)</t>
  </si>
  <si>
    <t>IP 24.10.0159 (/)</t>
  </si>
  <si>
    <t>Caixa de passagem, retangular, de alvenaria com tampa de concreto, dimensões de (0,60x0,60x0,80)m; exclusive material utilizado para sua construção.  Construção.(desonerado)</t>
  </si>
  <si>
    <t>IP 24.10.0162 (/)</t>
  </si>
  <si>
    <t>Caixa Hand-Hole, pré-moldada, circular de concreto, padrão RIOLUZ, com dimensões (0,60x0,90)m, inclusive escavação e reaterro, exclusive tampão e materiais.  Assentamento.(desonerado)</t>
  </si>
  <si>
    <t>IP 24.10.0165 (/)</t>
  </si>
  <si>
    <t>Caixa Hand-Hole, pré-moldada, circular, de concreto, padrão RIOLUZ, com dimensões (0,60x0,90)m; inclusive escavação e reaterro; exclusive fornecimento do tampão.  Fornecimento e assentamento.(desonerado)</t>
  </si>
  <si>
    <t>IP 24.10.0200 (A)</t>
  </si>
  <si>
    <t>Construção de caixa de concreto para fixação de projetor, com tampa de tela maletada de (5x5)cm e cadeado, nas dimensões (80x80x80)cm, conforme detalhe do projeto RIOLUZ, inclusive fornecimento de todo o material necessário para sua construção.(desonerado)</t>
  </si>
  <si>
    <t>IP 24.10.0203 (/)</t>
  </si>
  <si>
    <t>Construção de caixa de alvenaria com base de concreto para fixação de projetor, com tampa de tela maletada de (5x5)cm e cadeado nas dimensões (80x80x80)cm, inclusive fornecimento de todo o material necessário para sua construção.(desonerado)</t>
  </si>
  <si>
    <t>IP 24.10.0206 (/)</t>
  </si>
  <si>
    <t>Caixa de passagem, retangular, de alvenaria com tampa de concreto, dimensões de (0,80x0,80x1)m; exclusive material utilizado para sua construção.(desonerado)</t>
  </si>
  <si>
    <t>IP 24.10.0250 (/)</t>
  </si>
  <si>
    <t>Construção de caixa de concreto, com base de concreto, para fixação de projetor, com tampa de tela maletada de (50x50)mm e cadeado, nas dimensões (110x80x60)cm, conforme detalhe do projeto, inclusive fornecimento de todo o material necessário para sua construção.(desonerado)</t>
  </si>
  <si>
    <t>IP 24.10.0259 (/)</t>
  </si>
  <si>
    <t>Construção de caixa de alvenaria com base de concreto para fixação de projetor e equipamento auxiliar, com grade protetora e cadeado, nas dimensões (1,10x1,20x1)m, inclusive fornecimento de todo o material necessário para sua construção.(desonerado)</t>
  </si>
  <si>
    <t>IP 24.10.0500 (/)</t>
  </si>
  <si>
    <t>Tampão espiral de polietileno de alta densidade, de diâmetro 50mm (2"), para terminação de dutos de idêntico material, tipo Kanalex ou similar, em caixa Hand-Hole.  Fornecimento e assentamento.(desonerado)</t>
  </si>
  <si>
    <t>IP 24.15 Caixa Hermética</t>
  </si>
  <si>
    <t>IP 24.15.0050 (/)</t>
  </si>
  <si>
    <t>Caixa hermética para chave faca trifásica.  Colocação.(desonerado)</t>
  </si>
  <si>
    <t>IP 24.20 Tampões</t>
  </si>
  <si>
    <t>IP 24.20.0050 (/)</t>
  </si>
  <si>
    <t>Tampão de ferro tipo leve padrão RIOLUZ.  Fornecimento.(desonerado)</t>
  </si>
  <si>
    <t>IP 24.20.0100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</si>
  <si>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Fornecimento.(desonerado)</t>
  </si>
  <si>
    <t>IP 24.20.0150 (/)</t>
  </si>
  <si>
    <t>Tampão de ferro fundido cinzento, articulado, tipo leve, carga máxima no cenrto de 2000Kgf, diâmetro interno de 300mm, fornecido com colar e com recobrimento, confome desenho A4-1200-PD, especificação em RIOLUZ nº 10.  Fornecimento.(desonerado)</t>
  </si>
  <si>
    <t>IP 24.20.0200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</si>
  <si>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Fornecimento.(desonerado)</t>
  </si>
  <si>
    <t>IP 24.20.0250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</si>
  <si>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Fornecimento.(desonerado)</t>
  </si>
  <si>
    <t>IP 24.20.0500 (/)</t>
  </si>
  <si>
    <t>Tampão para vedação de dutos espiralados flexíveis em poietileno de alta densidade, na cor preta, diâmetro nominal de 125mm, comprimento de 225mm, lote 335248-0.  Fornecimento.(desonerado)</t>
  </si>
  <si>
    <t>IP 29.05 Eletrodutos de Aço</t>
  </si>
  <si>
    <t>IP 29.05.0150 (A)</t>
  </si>
  <si>
    <t>Eletroduto de aço galvanizado, diâmetro de 25mm (1").  Fornecimento.(desonerado)</t>
  </si>
  <si>
    <t>IP 29.05.0200 (A)</t>
  </si>
  <si>
    <t>Eletroduto de aço galvanizado, diâmetro de 38mm (1 1/2").  Fornecimento.(desonerado)</t>
  </si>
  <si>
    <t>IP 29.05.0250 (A)</t>
  </si>
  <si>
    <t>Eletroduto de aço galvanizado, diâmetro de 50mm (2").  Fornecimento.(desonerado)</t>
  </si>
  <si>
    <t>IP 29.05.0350 (/)</t>
  </si>
  <si>
    <t>Eletroduto de aço galvanizado, diâmetro de 75mm (3").  Fornecimento.(desonerado)</t>
  </si>
  <si>
    <t>IP 29.10 Conexões de Aço</t>
  </si>
  <si>
    <t>IP 29.10.0103 (/)</t>
  </si>
  <si>
    <t>Curva longa de 90° para eletroduto, de aço galvanizado, de 25mm (1").  Fornecimento.(desonerado)</t>
  </si>
  <si>
    <t>IP 29.10.0112 (/)</t>
  </si>
  <si>
    <t>Curva longa de 90° para eletroduto, de aço galvanizado, de 50mm (2").  Fornecimento.(desonerado)</t>
  </si>
  <si>
    <t>IP 29.10.0118 (/)</t>
  </si>
  <si>
    <t>Curva longa de 90° para eletroduto, de aço galvanizado, de 75mm (3").  Fornecimento.(desonerado)</t>
  </si>
  <si>
    <t>IP 29.10.0503 (/)</t>
  </si>
  <si>
    <t>Luva para eletroduto, de aço galvanizado, de 25mm (1").  Fornecimento.(desonerado)</t>
  </si>
  <si>
    <t>IP 29.10.0509 (/)</t>
  </si>
  <si>
    <t>Luva para eletroduto, de aço galvanizado, de 38mm (1 1/2").  Fornecimento.(desonerado)</t>
  </si>
  <si>
    <t>IP 29.10.0512 (/)</t>
  </si>
  <si>
    <t>Luva para eletroduto, de aço galvanizado, de 50mm (2").  Fornecimento.(desonerado)</t>
  </si>
  <si>
    <t>IP 29.10.0518 (/)</t>
  </si>
  <si>
    <t>Luva para eletroduto, de aço galvanizado, de 75mm (3").  Fornecimento.(desonerado)</t>
  </si>
  <si>
    <t>IP 29.15 Eletrodutos de PVC Rígido</t>
  </si>
  <si>
    <t>IP 29.15.0100 (/)</t>
  </si>
  <si>
    <t>Eletroduto de PVC rígido, roscável, de 19mm (3/4").  Fornecimento.(desonerado)</t>
  </si>
  <si>
    <t>IP 29.15.0200 (/)</t>
  </si>
  <si>
    <t>Eletroduto de PVC rígido, roscável, de 32mm (1 1/4").  Fornecimento.(desonerado)</t>
  </si>
  <si>
    <t>IP 29.15.0400 (A)</t>
  </si>
  <si>
    <t>Eletroduto de PVC rígido, roscável, de 75mm (3").  Fornecimento.(desonerado)</t>
  </si>
  <si>
    <t>IP 29.20 Conexões de PVC Rígido</t>
  </si>
  <si>
    <t>IP 29.20.0100 (/)</t>
  </si>
  <si>
    <t>Curva longa de 90° para eletroduto, de PVC rígido, roscável, de 25mm (1").  Fornecimento.(desonerado)</t>
  </si>
  <si>
    <t>IP 29.20.0103 (/)</t>
  </si>
  <si>
    <t>Curva de 90° para eletroduto, de PVC rígido, roscável, de 32mm (1 1/4").  Fornecimento.(desonerado)</t>
  </si>
  <si>
    <t>IP 29.20.0109 (/)</t>
  </si>
  <si>
    <t>Curva de 90° para eletroduto, de PVC rígido, roscável, de 50mm (2").  Fornecimento.(desonerado)</t>
  </si>
  <si>
    <t>IP 29.20.0115 (/)</t>
  </si>
  <si>
    <t>Curva longa de 90° para eletroduto, de PVC rígido, roscável, de 80mm (3").  Fornecimento.(desonerado)</t>
  </si>
  <si>
    <t>IP 29.20.0118 (/)</t>
  </si>
  <si>
    <t>Curva longa de 90° para eletroduto, de PVC rígido, roscável, de 100mm (4").  Fornecimento.(desonerado)</t>
  </si>
  <si>
    <t>IP 29.20.0503 (/)</t>
  </si>
  <si>
    <t>Luva para eletroduto, de PVC rígido, roscável, de 25mm (1").  Fornecimento.(desonerado)</t>
  </si>
  <si>
    <t>IP 29.20.0506 (A)</t>
  </si>
  <si>
    <t>Luva, para eletroduto, de PVC rígido, roscável, de 32mm (1 1/4").  Fornecimento.(desonerado)</t>
  </si>
  <si>
    <t>IP 29.20.0509 (/)</t>
  </si>
  <si>
    <t>Luva para eletroduto, de PVC rígido, roscável, de 50mm (2").  Fornecimento.(desonerado)</t>
  </si>
  <si>
    <t>IP 29.20.0515 (/)</t>
  </si>
  <si>
    <t>Luva para eletroduto, de PVC rígido, roscável, de 75mm (3").  Fornecimento.(desonerado)</t>
  </si>
  <si>
    <t>IP 29.25 Eletrodutos Flexíveis</t>
  </si>
  <si>
    <t>IP 29.25.0053 (/)</t>
  </si>
  <si>
    <t>Conduite flexível galvanizado, de 19mm (3/4").  Fornecimento e colocação.(desonerado)</t>
  </si>
  <si>
    <t>IP 29.30 Conexões de Alumínio</t>
  </si>
  <si>
    <t>IP 29.30.0112 (/)</t>
  </si>
  <si>
    <t>Box curvo de alumínio de 38mm (1 1/2").  Fornecimento.(desonerado)</t>
  </si>
  <si>
    <t>IP 29.30.0115 (/)</t>
  </si>
  <si>
    <t>Box curvo de alumínio com bucha e arruela de 50mm (2").  Fornecimento.(desonerado)</t>
  </si>
  <si>
    <t>IP 29.30.0121 (/)</t>
  </si>
  <si>
    <t>Box curvo de alumínio com bucha e arruela de 75mm (3").  Fornecimento.(desonerado)</t>
  </si>
  <si>
    <t>IP 34.10 Gabinetes</t>
  </si>
  <si>
    <t>IP 34.10.0050 (/)</t>
  </si>
  <si>
    <t>Chapa de ferro galvanizado nº 24, de (1x2)m.  Fornecimento.(desonerado)</t>
  </si>
  <si>
    <t>IP 34.15 Comandos</t>
  </si>
  <si>
    <t>IP 34.15.0050 (/)</t>
  </si>
  <si>
    <t>Comando em grupo CRJ-04 ou similar, 85A.  Fornecimento.(desonerado)</t>
  </si>
  <si>
    <t>IP 34.15.0200 (/)</t>
  </si>
  <si>
    <t>Comando em grupo CRJ-05/220V(140A).  Fornecimento.(desonerado)</t>
  </si>
  <si>
    <t>IP 34.15.0400 (/)</t>
  </si>
  <si>
    <t>Comando para IP, com caixa trifásico, capacidade de 45A, tipo CRJ-07, 220/127V.  Fornecimento.(desonerado)</t>
  </si>
  <si>
    <t>IP 34.20 Equipamentos</t>
  </si>
  <si>
    <t>IP 34.20.0200 (/)</t>
  </si>
  <si>
    <t>Colocação de equipamentos de comando de circuito, padrão RIOLUZ; exclusive o fornecimento das ferragens de fixação e do comando.(desonerado)</t>
  </si>
  <si>
    <t>IP 34.20.0203 (/)</t>
  </si>
  <si>
    <t>Colocação de equipamentos de comando de circuito, padrão RIOLUZ, com fornecimento de ferragens de fixação; exclusive o fornecimento do comando.(desonerado)</t>
  </si>
  <si>
    <t>IP 34.20.0250 (/)</t>
  </si>
  <si>
    <t>Conjunto para montagem de indicador visual de direção de vento (biruta) adaptado para balizamento noturno.  Fornecimento.(desonerado)</t>
  </si>
  <si>
    <t>IP 34.20.0500 (/)</t>
  </si>
  <si>
    <t>Fonte de emergência (No BreaK), com potência de 2Kva, 220V/220V, autonomia a plena carga de 30min.  Fornecimento.(desonerado)</t>
  </si>
  <si>
    <t>IP 39.05 Chaves</t>
  </si>
  <si>
    <t>IP 39.05.0100 (/)</t>
  </si>
  <si>
    <t>Chave blindada, bipolar, 60A.  Fornecimento.(desonerado)</t>
  </si>
  <si>
    <t>IP 39.05.0300 (/)</t>
  </si>
  <si>
    <t>Chave corta circuito, de 100A, 15Kv, com fusível de cartucho tipo S-1, exclusive elos fusíveis.  Fornecimento.(desonerado)</t>
  </si>
  <si>
    <t>IP 39.10 Elo-Fusíveis e Fusíveis</t>
  </si>
  <si>
    <t>IP 39.10.0200 (/)</t>
  </si>
  <si>
    <t>Elo-fusível, tipo H, de 100A.  Fornecimento.(desonerado)</t>
  </si>
  <si>
    <t>IP 39.10.0300 (/)</t>
  </si>
  <si>
    <t>Elo-fusível, tipo K, de 100A, 15Kv.  Fornecimento.(desonerado)</t>
  </si>
  <si>
    <t>IP 39.10.0350 (/)</t>
  </si>
  <si>
    <t>Elo-fusível, tipo K, de 200A, 15Kv.  Fornecimento.(desonerado)</t>
  </si>
  <si>
    <t>IP 39.10.0500 (/)</t>
  </si>
  <si>
    <t>Fusível NH, tamanho 01, corrente nominal de 36A, Siemens ou similar.  Fornecimento.(desonerado)</t>
  </si>
  <si>
    <t>IP 39.10.0521 (/)</t>
  </si>
  <si>
    <t>Fusível NH, tamanho 00, corrente nominal de 125A, Siemens ou similar.  Fornecimento.(desonerado)</t>
  </si>
  <si>
    <t>IP 39.10.0532 (/)</t>
  </si>
  <si>
    <t>Fusível NH, tamanho 00, corrente nominal de 160A, Siemens ou similar.  Fornecimento.(desonerado)</t>
  </si>
  <si>
    <t>IP 39.15 Disjuntores</t>
  </si>
  <si>
    <t>IP 39.15.0106 (/)</t>
  </si>
  <si>
    <t>Disjuntor termomagnético, bipolar de 20A.  Fornecimento.(desonerado)</t>
  </si>
  <si>
    <t>IP 39.15.0212 (/)</t>
  </si>
  <si>
    <t>Disjuntor termomagnético, tripolar de 40A.  Fornecimento.(desonerado)</t>
  </si>
  <si>
    <t>IP 39.15.0250 (/)</t>
  </si>
  <si>
    <t>Disjuntor termomagnético, tripolar de 100A.  Fornecimento.(desonerado)</t>
  </si>
  <si>
    <t>IP 44.05 Relé</t>
  </si>
  <si>
    <t>IP 44.05.0050 (/)</t>
  </si>
  <si>
    <t>Base externa para relé fotoelétrico.  Fornecimento.(desonerado)</t>
  </si>
  <si>
    <t>IP 44.05.0275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</si>
  <si>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Fornecimento.(desonerado)</t>
  </si>
  <si>
    <t>IP 44.05.0300 (/)</t>
  </si>
  <si>
    <t>Relé temporizado, coel, tipo RTQD.  Fornecimento.(desonerado)</t>
  </si>
  <si>
    <t>IP 44.05.0350 (/)</t>
  </si>
  <si>
    <t>Relé temporizado, tipo FLT 01/NF.  Fornecimento.(desonerado)</t>
  </si>
  <si>
    <t>IP 44.10 Colocação de Relés</t>
  </si>
  <si>
    <t>IP 44.10.0050 (/)</t>
  </si>
  <si>
    <t>Colocação de relé fotoelétrico individual, com base em poste (aço ou concreto) de acordo com o padrão da RIOLUZ; exclusive fornecimento do relé e base.(desonerado)</t>
  </si>
  <si>
    <t>IP 44.10.0100 (/)</t>
  </si>
  <si>
    <t>Colocação de relé fotoelétrico individual, com base, em ponta de braço ou poste curvo (aço ou concreto) de acordo com o padrão da RIOLUZ, com fornecimento das ferragens de fixação; exclusive fornecimento do relé e base.(desonerado)</t>
  </si>
  <si>
    <t>IP 44.10.0150 (/)</t>
  </si>
  <si>
    <t>Colocação de relé fotoelétrico individual, com base em poste (aço ou concreto) de acordo com o padrão da RIOLUZ, exclusive fornecimento das ferragens de fixação e do relé fotoelétrico e base.(desonerado)</t>
  </si>
  <si>
    <t>IP 49.05 Luminárias</t>
  </si>
  <si>
    <t>IP 49.05.0065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</si>
  <si>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 (Desonerado)</t>
  </si>
  <si>
    <t>IP 49.05.0105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</si>
  <si>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 (Desonerado).</t>
  </si>
  <si>
    <t>IP 49.05.0157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</si>
  <si>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Fornecimento.(desonerado)</t>
  </si>
  <si>
    <t>IP 49.05.0166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</si>
  <si>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 (Desonerado).</t>
  </si>
  <si>
    <t>IP 49.05.0253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</si>
  <si>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Fornecimento.(desonerado)</t>
  </si>
  <si>
    <t>IP 49.05.0285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</si>
  <si>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 (Desonerado).</t>
  </si>
  <si>
    <t>IP 49.05.0303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</si>
  <si>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Fornecimento.(desonerado)</t>
  </si>
  <si>
    <t>IP 49.10 Luminárias Decorativas</t>
  </si>
  <si>
    <t>IP 49.10.0200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</si>
  <si>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Fornecimento.(desonerado)</t>
  </si>
  <si>
    <t>IP 49.10.0203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</si>
  <si>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Fornecimento.(desonerado)</t>
  </si>
  <si>
    <t>IP 49.10.0206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</si>
  <si>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Fornecimento.(desonerado)</t>
  </si>
  <si>
    <t>IP 49.10.0209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</si>
  <si>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Fornecimento.(desonerado)</t>
  </si>
  <si>
    <t>IP 49.10.0250 (/)</t>
  </si>
  <si>
    <t>Luminária decorativa LDRJ-16, para lâmpada multivapor metálico de 70/100/150W, para instalação em piso, receptáculo E-27, conforme desenho A4-1904-PD EM-RIOLUZ  nº 23.  Fornecimento.(desonerado)</t>
  </si>
  <si>
    <t>IP 49.10.0300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</si>
  <si>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Fornecimento.(desonerado)</t>
  </si>
  <si>
    <t>IP 49.10.0350 (/)</t>
  </si>
  <si>
    <t>Luminária decorativa LDRJ-11 para lâmpada MVM 150W, com equipamento auxiliar integrado, projetor para vapor de metálico bilateral 150 W, rebatedor, e suporte (conjunto completo).  Conforme especificação EM-RIOLUZ-23, Desenho A4-1863-PD (ultima revisão).  Fornecimento.(desonerado)</t>
  </si>
  <si>
    <t>IP 49.15 Projetores</t>
  </si>
  <si>
    <t>IP 49.15.0409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</si>
  <si>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Fornecimento.(desonerado)</t>
  </si>
  <si>
    <t>IP 49.20 Bases e Núcleos para Luminárias</t>
  </si>
  <si>
    <t>IP 49.20.0068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</si>
  <si>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</si>
  <si>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IP 49.20.0078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</si>
  <si>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t>
  </si>
  <si>
    <t>IP 49.20.0112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</si>
  <si>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Fornecimento.(desonerado)</t>
  </si>
  <si>
    <t>IP 49.20.0128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</si>
  <si>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</si>
  <si>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IP 49.20.0138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</si>
  <si>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t>
  </si>
  <si>
    <t>IP 49.20.0218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</si>
  <si>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</si>
  <si>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IP 49.20.0228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</si>
  <si>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t>
  </si>
  <si>
    <t>IP 49.20.0270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</si>
  <si>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</si>
  <si>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IP 49.20.0278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</si>
  <si>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t>
  </si>
  <si>
    <t>IP 49.25 Lâmpadas</t>
  </si>
  <si>
    <t>IP 49.25.0056 (A)</t>
  </si>
  <si>
    <t>Lâmpada fluorescente compacta, espiral, 15W, base E-27, 220V, cor amarela. Fornecimento.(desonerado)</t>
  </si>
  <si>
    <t>IP 49.25.0156 (/)</t>
  </si>
  <si>
    <t>Lâmpada fluorescente compacta, dupla, de 18W, 2700ºK, referência PLC 18W.  Fornecimento.(desonerado)</t>
  </si>
  <si>
    <t>IP 49.25.0162 (/)</t>
  </si>
  <si>
    <t>Lâmpada fluorescente (PL) compactada dupla de 26W.  Fornecimento(desonerado)</t>
  </si>
  <si>
    <t>IP 49.25.0400 (/)</t>
  </si>
  <si>
    <t>Lâmpada multivapor metálico (MVM) de 35W, par, 3000°K, 30°.  Fornecimento.(desonerado)</t>
  </si>
  <si>
    <t>IP 49.25.0406 (/)</t>
  </si>
  <si>
    <t>Lâmpada de multivapor metálico (MVM) de 70W/220V/E-27, clara 4000°K, bulbo ovóide.  Fornecimento.(desonerado)</t>
  </si>
  <si>
    <t>IP 49.25.0408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</si>
  <si>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Fornecimento.(desonerado)</t>
  </si>
  <si>
    <t>IP 49.25.0410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</si>
  <si>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Fornecimento.(desonerado)</t>
  </si>
  <si>
    <t>IP 49.25.0412 (/)</t>
  </si>
  <si>
    <t>Lâmpada de multivapor metálico (MVM) de 150W/220V/E-27.  Fornecimento.(desonerado)</t>
  </si>
  <si>
    <t>IP 49.25.0418 (/)</t>
  </si>
  <si>
    <t>Lâmpada de multivapor metálico (MVM) de 250/220V, bulbo ovóide.  Fornecimento.(desonerado)</t>
  </si>
  <si>
    <t>IP 49.25.0421 (/)</t>
  </si>
  <si>
    <t>Lâmpada de multivapor metálica (MVM), base E-40, bulbo tubular, de 250W, 4000/4600ºK, pulso de 0,58/0,75Kv.  Fornecimento.(desonerado)</t>
  </si>
  <si>
    <t>IP 49.25.0424 (/)</t>
  </si>
  <si>
    <t>Lâmpada multivapor metálico (MVM) de 400W, bulbo tubular, tensão de ignição maior ou igual a 3Kv e menor ou igual a 4,5Kv, temperatura de cor entre 4000 e 5000°K, posição de funcionamento horizontal mais ou menos 20° ou qualquer.  Fornecimento.(desonerado)</t>
  </si>
  <si>
    <t>IP 49.25.0427 (/)</t>
  </si>
  <si>
    <t>Lâmpada de multivapor metálico (MVM) de 400W, base E-40, bulbo ovóide, pulso 3,0/4,5Kv.  Fornecimento.(desonerado)</t>
  </si>
  <si>
    <t>IP 49.25.0806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</si>
  <si>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Fornecimento.(desonerado)</t>
  </si>
  <si>
    <t>IP 49.25.0809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</si>
  <si>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Fornecimento.(desonerado)</t>
  </si>
  <si>
    <t>IP 49.25.0812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</si>
  <si>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Fornecimento.(desonerado)</t>
  </si>
  <si>
    <t>IP 49.25.0850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</si>
  <si>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Fornecimento.(desonerado)</t>
  </si>
  <si>
    <t>IP 49.25.0853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</si>
  <si>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Fornecimento.(desonerado)</t>
  </si>
  <si>
    <t>IP 49.25.0900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</si>
  <si>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Fornecimento.(desonerado)</t>
  </si>
  <si>
    <t>IP 49.25.0901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</si>
  <si>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Fornecimento.(desonerado)</t>
  </si>
  <si>
    <t>IP 49.25.0902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</si>
  <si>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Fornecimento.(desonerado)</t>
  </si>
  <si>
    <t>IP 49.25.0903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</si>
  <si>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Fornecimento.(desonerado)</t>
  </si>
  <si>
    <t>IP 49.25.1000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</si>
  <si>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Fornecimento.(desonerado)</t>
  </si>
  <si>
    <t>IP 49.30 Reatores</t>
  </si>
  <si>
    <t>IP 49.30.0062 (/)</t>
  </si>
  <si>
    <t>Reator aéreo para lâmpada VS/MVM 70W, com ignitor pico de tensão 2,8 a 4Kv, fator de potência mínimo 0,92, tensão de alimentação 220V, corrente na lâmpada 0,98A, tensão na lâmpada 90V, EM-RIOLUZ-30. Fornecimento.(desonerado)</t>
  </si>
  <si>
    <t>IP 49.30.0153 (/)</t>
  </si>
  <si>
    <t>Reator aéreo para lâmpada VS/MVM 150W, com ignitor pico de tensão 2,8 a 4Kv, fator de potência mínimo 0,92, tensão de alimentação 220V, corrente na lâmpada 1,8A, tensão na lâmpada 100V, EM-RIOLUZ-30, NBR-13593/13594, IEC-662.  Fornecimento.(desonerado)</t>
  </si>
  <si>
    <t>IP 49.30.0500 (/)</t>
  </si>
  <si>
    <t>Reator integrado para lâmpada VS/MVM 70W, com ignitor pico de tensão 2,8 a 4Kv, fator de potência mínimo 0,92, tensão de alimentação 220V, corrente na lâmpada 0,98A, tensão na lâmpada 90V, EM-RIOLUZ-30.  Fornecimento.(desonerado)</t>
  </si>
  <si>
    <t>IP 49.30.0600 (/)</t>
  </si>
  <si>
    <t>Reator integrado para lâmpada VS/MVM 150W, com ignitor pico de tensão 2,8 a 4Kv, fator de potência mínimo 0,92, tensão de alimentação 220/250V, corrente na lâmpada 1,8A, tensão na lâmpada 100V, EM-RIOLUZ-30, NBR-13593/13594, IEC-662.  Fornecimento.(desonerado)</t>
  </si>
  <si>
    <t>IP 49.35 Colocação de Luminária e Projetor em Cordoalha, Teto e Parede</t>
  </si>
  <si>
    <t>IP 49.35.0050 (/)</t>
  </si>
  <si>
    <t>Colocação de luminária equipada com lâmpada de descarga e acessórios, em cordoalha, exclusive luminária, inclusive fornecimento da cordoalha.(desonerado)</t>
  </si>
  <si>
    <t>IP 49.35.0100 (/)</t>
  </si>
  <si>
    <t>Colocação de luminária equipada com lâmpada de descarga e acessórios, em cordoalha, exclusive luminária e o fornecimento da cordoalha.(desonerado)</t>
  </si>
  <si>
    <t>IP 49.35.0150 (/)</t>
  </si>
  <si>
    <t>Colocação de luminária equipada com lâmpada de descarga e acessórios, em teto ou parede; exclusive luminária.(desonerado)</t>
  </si>
  <si>
    <t>IP 49.35.0200 (/)</t>
  </si>
  <si>
    <t>Colocação de 2 projetores equipados com lâmpada de descarga, fixado em  poste de aço ou concreto, inclusive ferragens de fixação, exclusive projetor.(desonerado)</t>
  </si>
  <si>
    <t>IP 49.35.0203 (/)</t>
  </si>
  <si>
    <t>Colocação de 2 projetores equipados com lâmpada de descarga, fixado em cruzeta nº 1; inclusive ferragens de fixação, exclusive projetor.(desonerado)</t>
  </si>
  <si>
    <t>IP 49.35.0250 (/)</t>
  </si>
  <si>
    <t>Colocação de 3 projetores equipados com lâmpadas de descarga, fixado em poste de concreto, inclusive ferragens de fixação, exclusive projetor.(desonerado)</t>
  </si>
  <si>
    <t>IP 49.35.0300 (/)</t>
  </si>
  <si>
    <t>Colocação de 4 projetores equipados com lâmpada de descarga, fixados em poste de aço reto; inclusive ferragens de fixação, exclusive projetores.(desonerado)</t>
  </si>
  <si>
    <t>IP 49.35.0500 (/)</t>
  </si>
  <si>
    <t>Colocação de projetor fixado em bandeja através de chumbadores de aço inox, exclusive projetor, chumbador e bandejamento.(desonerado)</t>
  </si>
  <si>
    <t>IP 49.40 Colocação de Luminária de Postes</t>
  </si>
  <si>
    <t>IP 49.40.0050 (/)</t>
  </si>
  <si>
    <t>IP 49.40.0100 (/)</t>
  </si>
  <si>
    <t>Colocação de luminária aberta com lâmpada de descarga, sem reator integrado, em ponta de braço, até 10m de altura, exclusive fornecimento da luminária.(desonerado)</t>
  </si>
  <si>
    <t>IP 49.40.0103 (/)</t>
  </si>
  <si>
    <t>Colocação de luminária fechada com lâmpada de descarga, com reator integrado, em ponta de braço ou poste de aço curvo até 10m de altura, exclusive fornecimento da luminária.(desonerado)</t>
  </si>
  <si>
    <t>IP 49.40.0106 (/)</t>
  </si>
  <si>
    <t>Colocação de luminária fechada com lâmpada de descarga, sem reator integrado, em ponta de braço ou poste de aço curvo, até 10m de altura, exclusive fornecimento da luminária.(desonerado)</t>
  </si>
  <si>
    <t>IP 49.40.0150 (/)</t>
  </si>
  <si>
    <t>Colocação de luminária com lâmpada de descarga, com ou sem reator integrado, em ponta de braço ou poste de aço curvo, de 11m até 15m de altura, exclusive fornecimento da luminária.(desonerado)</t>
  </si>
  <si>
    <t>IP 49.40.0200 (/)</t>
  </si>
  <si>
    <t>Colocação de luminária com lâmpada de descarga tipo Pétala, com ou sem reator integrado, em ponta de braço ou poste reto (aço ou concreto) de 15m de altura, exclusive fornecimento da luminária e núcleo de fixação.(desonerado)</t>
  </si>
  <si>
    <t>IP 49.40.0206 (/)</t>
  </si>
  <si>
    <t>Colocação de luminária com lâmpada de descarga tipo Pétala, com ou sem reator integrado, em ponta de braço ou poste reto (aço ou concreto) de 20m de altura, exclusive fornecimento da luminária e núcleo de fixação.(desonerado)</t>
  </si>
  <si>
    <t>IP 49.45 Colocação de Reatores</t>
  </si>
  <si>
    <t>IP 49.45.0050 (/)</t>
  </si>
  <si>
    <t>Colocação de reator, padrão RIOLUZ, para lâmpada de descarga, em poste de aço, concreto ou madeira, exclusive fornecimento do reator e ferragens de fixação.(desonerado)</t>
  </si>
  <si>
    <t>IP 49.45.0100 (/)</t>
  </si>
  <si>
    <t>Colocação de reator, padrão RIOLUZ, para lâmpada de descarga em poste (aço ou concreto), incluindo interligação na rede e na luminária e ferragens de fixação; exclusive fornecimento do reator.(desonerado)</t>
  </si>
  <si>
    <t>IP 49.45.0150 (/)</t>
  </si>
  <si>
    <t>Colocação de reator para lâmpada de descarga em teto, piso ou parede, inclusive interligação na rede e na luminária e ferragens de fixação, exclusive fornecimento de reator.(desonerado)</t>
  </si>
  <si>
    <t>IP 49.45.0500 (/)</t>
  </si>
  <si>
    <t>Colocação de reator com ignitor em bandeja.(desonerado)</t>
  </si>
  <si>
    <t>IP 54.05 Isolantes</t>
  </si>
  <si>
    <t>IP 54.05.0050 (/)</t>
  </si>
  <si>
    <t>Fita isolante auto-fusão, de 19mmx10m.  Fornecimento.(desonerado)</t>
  </si>
  <si>
    <t>IP 54.05.0100 (/)</t>
  </si>
  <si>
    <t>Fita isolante plástica adesiva, de 19mmx20m.  Fornecimento.(desonerado)</t>
  </si>
  <si>
    <t>IP 54.10 Acessórios para Fixação</t>
  </si>
  <si>
    <t>IP 54.10.0050 (/)</t>
  </si>
  <si>
    <t>Arruela em alumínio de (13x2)mm.  Fornecimento.(desonerado)</t>
  </si>
  <si>
    <t>IP 54.10.0075 (/)</t>
  </si>
  <si>
    <t>Arruela de pressão de (13x2,5)mm.  Fornecimento.(desonerado)</t>
  </si>
  <si>
    <t>IP 54.10.0100 (/)</t>
  </si>
  <si>
    <t>Braçadeira, tipo copo, diâmetro 75mm (3").  Fornecimento.(desonerado)</t>
  </si>
  <si>
    <t>IP 54.10.0125 (/)</t>
  </si>
  <si>
    <t>Calço duplo número 4.  Fornecimento.(desonerado)</t>
  </si>
  <si>
    <t>IP 54.10.0200 (/)</t>
  </si>
  <si>
    <t>Chumbador de aço inoxidável 304, Tec Bolt, TBM 12.100, comprimento de 96mm e diâmetro de 1/2", com arruela lisa e de pressão e porca, Tecnart ou similar.  Fornecimento.(desonerado)</t>
  </si>
  <si>
    <t>IP 54.10.0250 (/)</t>
  </si>
  <si>
    <t>Chumbador de expansão de aço, com diâmetro de 1/2" e comprimento do parafuso de 3".    Fornecimento.(desonerado)</t>
  </si>
  <si>
    <t>IP 54.10.0300 (/)</t>
  </si>
  <si>
    <t>Cinta de aço galvanizado de 140mm (5 1/2").  Fornecimento.(desonerado)</t>
  </si>
  <si>
    <t>par</t>
  </si>
  <si>
    <t>IP 54.10.0312 (/)</t>
  </si>
  <si>
    <t>Cinta de aço galvanizado de 220mm.  Fornecimento.(desonerado)</t>
  </si>
  <si>
    <t>IP 54.10.0450 (/)</t>
  </si>
  <si>
    <t>Cruzeta Q-3, de 6 pinos.  Fornecimento.(desonerado)</t>
  </si>
  <si>
    <t>IP 54.10.0512 (/)</t>
  </si>
  <si>
    <t>Grampo "U", número 5.  Fornecimento.(desonerado)</t>
  </si>
  <si>
    <t>IP 54.10.0800 (/)</t>
  </si>
  <si>
    <t>Parafuso com cabeça sextavada (5/8"x1 1/2").  Fornecimento.(desonerado)</t>
  </si>
  <si>
    <t>IP 54.10.0809 (/)</t>
  </si>
  <si>
    <t>Parafuso com cabeça sextavada de (12x1,75x50)mm.  Fornecimento.(desonerado)</t>
  </si>
  <si>
    <t>IP 54.10.0812 (/)</t>
  </si>
  <si>
    <t>Parafuso francês de (5/8"x2 1/2"). Fornecimento.(desonerado)</t>
  </si>
  <si>
    <t>IP 54.10.0850 (/)</t>
  </si>
  <si>
    <t>Parafuso de máquina sextavada de (1/2"x1 1/2").  Fornecimento.(desonerado)</t>
  </si>
  <si>
    <t>IP 54.10.0950 (/)</t>
  </si>
  <si>
    <t>Porca sextavada, em aço galvanizado, de 5/8" (16mm).  Fornecimento.(desonerado)</t>
  </si>
  <si>
    <t>IP 54.10.0959 (/)</t>
  </si>
  <si>
    <t>Porca sextavada de (12x1,75)mm.  Fornecimento.(desonerado)</t>
  </si>
  <si>
    <t>IP 54.15 Acessórios para Fixação de Postes</t>
  </si>
  <si>
    <t>IP 54.15.0050 (/)</t>
  </si>
  <si>
    <t>Base de aço para sustentação de poste fixada por chumbador em fundação de concreto armado.  Assentamento.(desonerado)</t>
  </si>
  <si>
    <t>IP 54.15.0150 (/)</t>
  </si>
  <si>
    <t>Cruzeta nº 2, de 2 pinos.  Fornecimento.(desonerado)</t>
  </si>
  <si>
    <t>IP 59.05 Manutenção</t>
  </si>
  <si>
    <t>IP 59.05.0050 (/)</t>
  </si>
  <si>
    <t>Mão-de-obra para serviços de qualquer natureza. Turma de reparos.(desonerado)</t>
  </si>
  <si>
    <t>IP 59.05.0100 (/)</t>
  </si>
  <si>
    <t>Serviço de apoio às instalações requeridas à empreiteira, sendo: 1 encarregado. Turma de reparos.  Horário diurno.(desonerado)</t>
  </si>
  <si>
    <t>IP 59.05.0150 (/)</t>
  </si>
  <si>
    <t>Serviço de apoio às instalações requeridas à empreiteira, sendo: 2 ajudantes de  montador eletromecânico ou eletricista. Turma Técnica. Horário diurno.(desonerado)</t>
  </si>
  <si>
    <t>IP 59.10 Montagem de Postes de Ferro</t>
  </si>
  <si>
    <t>IP 59.10.0050 (/)</t>
  </si>
  <si>
    <t>Montagem de poste de ferro fundido tipo H-1, de 4,50m de altura útil, equipado com globo.(desonerado)</t>
  </si>
  <si>
    <t>IP 59.10.0100 (/)</t>
  </si>
  <si>
    <t>Montagem de poste de ferro fundido tipo H-3, de 4,50m de altura útil, equipado com globo.(desonerado)</t>
  </si>
  <si>
    <t>IP 59.20 Retiradas</t>
  </si>
  <si>
    <t>IP 59.20.0050 (/)</t>
  </si>
  <si>
    <t>Retirada de braço, padrão RIOLUZ, para fixação de luminárias.(desonerado)</t>
  </si>
  <si>
    <t>IP 59.20.0100 (/)</t>
  </si>
  <si>
    <t>Retirada de conjunto de aterramento.(desonerado)</t>
  </si>
  <si>
    <t>IP 59.20.0106 (/)</t>
  </si>
  <si>
    <t>Retirada de conjunto de ferragens em linha baixa tensão (B.T).(desonerado)</t>
  </si>
  <si>
    <t>IP 59.20.0112 (/)</t>
  </si>
  <si>
    <t>Retirada de conjunto de ferragens em rede de alta tensão (AT).(desonerado)</t>
  </si>
  <si>
    <t>IP 59.20.0150 (/)</t>
  </si>
  <si>
    <t>Retirada de condutores singelos ou múltiplos instalados em linha de dutos.(desonerado)</t>
  </si>
  <si>
    <t>IP 59.20.0200 (/)</t>
  </si>
  <si>
    <t>Retirada de conjunto de chaves fusíveis e ferragens em linha de 13,2Kv.(desonerado)</t>
  </si>
  <si>
    <t>IP 59.20.0250 (/)</t>
  </si>
  <si>
    <t>Retirada de equipamento do comando de circuito.(desonerado)</t>
  </si>
  <si>
    <t>IP 59.20.0300 (/)</t>
  </si>
  <si>
    <t>Retirada de lâmpada e acondicionamento em caixa de papelão, exclusive fornecimento da caixa.(desonerado)</t>
  </si>
  <si>
    <t>IP 59.20.0350 (/)</t>
  </si>
  <si>
    <t>Retirada de luminária em poste com 4,50m a 9m de altura.(desonerado)</t>
  </si>
  <si>
    <t>IP 59.20.0356 (/)</t>
  </si>
  <si>
    <t>Retirada de luminária em poste com 10m a 12m de altura.(desonerado)</t>
  </si>
  <si>
    <t>IP 59.20.0362 (/)</t>
  </si>
  <si>
    <t>Retirada de luminária em poste com 13m a 15m de altura.(desonerado)</t>
  </si>
  <si>
    <t>IP 59.20.0368 (/)</t>
  </si>
  <si>
    <t>Retirada de luminária em poste com 16m a 23m de altura.(desonerado)</t>
  </si>
  <si>
    <t>IP 59.20.0374 (/)</t>
  </si>
  <si>
    <t>Retirada de luminária em poste com 30m de altura.(desonerado)</t>
  </si>
  <si>
    <t>IP 59.20.0400 (/)</t>
  </si>
  <si>
    <t>Retirada de luminária, instalada em cordoalha, teto ou parede.(desonerado)</t>
  </si>
  <si>
    <t>IP 59.20.0450 (/)</t>
  </si>
  <si>
    <t>Retirada de projetor, instalado em teto, piso, parede ou poste.(desonerado)</t>
  </si>
  <si>
    <t>IP 59.20.0456 (/)</t>
  </si>
  <si>
    <t>Retirada de núcleo, para fixação de luminárias, instalado em topo de poste, até 15m de altura.(desonerado)</t>
  </si>
  <si>
    <t>IP 59.20.0462 (/)</t>
  </si>
  <si>
    <t>Retirada de núcleo, para fixação de luminárias, instalado em topo de poste, de 16m até 20m de altura.(desonerado)</t>
  </si>
  <si>
    <t>IP 59.20.0468 (/)</t>
  </si>
  <si>
    <t>Retirada de núcleo, para fixação de luminárias, instalado em topo de poste, de 21m até 45m de altura.(desonerado)</t>
  </si>
  <si>
    <t>IP 59.20.0500 (/)</t>
  </si>
  <si>
    <t>Retirada de poste de concreto ou aço de 4,50m a 9m.(desonerado)</t>
  </si>
  <si>
    <t>IP 59.20.0506 (/)</t>
  </si>
  <si>
    <t>Retirada de poste de concreto ou aço de 10m a 12m.(desonerado)</t>
  </si>
  <si>
    <t>IP 59.20.0512 (/)</t>
  </si>
  <si>
    <t>Retirada de poste de concreto ou aço de 13m a 15m.(desonerado)</t>
  </si>
  <si>
    <t>IP 59.20.0518 (/)</t>
  </si>
  <si>
    <t>Retirada de poste de concreto ou aço de 16m a 23m.(desonerado)</t>
  </si>
  <si>
    <t>IP 59.20.0550 (/)</t>
  </si>
  <si>
    <t>Retirada de poste de madeira.(desonerado)</t>
  </si>
  <si>
    <t>IP 59.20.0600 (/)</t>
  </si>
  <si>
    <t>Retirada de rede aérea de baixa tensão (BT) (lance).(desonerado)</t>
  </si>
  <si>
    <t>IP 59.20.0650 (/)</t>
  </si>
  <si>
    <t>Retirada de rede aérea de 13,2Kv (lance).(desonerado)</t>
  </si>
  <si>
    <t>IP 59.20.0700 (/)</t>
  </si>
  <si>
    <t>Retirada de reator para lâmpada de descarga instalado até 7m de altura.(desonerado)</t>
  </si>
  <si>
    <t>IP 59.20.0706 (/)</t>
  </si>
  <si>
    <t>Retirada de reator para lâmpada de descarga instalado de 8m até 12m de altura.(desonerado)</t>
  </si>
  <si>
    <t>IP 59.20.0712 (/)</t>
  </si>
  <si>
    <t>Retirada de reator para lâmpada de descarga instalado em caixa de passagem.(desonerado)</t>
  </si>
  <si>
    <t>IP 59.20.0750 (/)</t>
  </si>
  <si>
    <t>Retirada ou substituição de relé fotoelétrico individual, instalado até 12m de altura.(desonerado)</t>
  </si>
  <si>
    <t>IP 59.20.0800 (/)</t>
  </si>
  <si>
    <t>Retirada de transformadores de 5Kva até 112,5Kva.(desonerado)</t>
  </si>
  <si>
    <t>IP 59.20.0850 (/)</t>
  </si>
  <si>
    <t>Substituição de lâmpada e lavagem do refletor.(desonerado)</t>
  </si>
  <si>
    <t>IP 59.20.0856 (/)</t>
  </si>
  <si>
    <t>Substitução de lâmpada e lavagem do refrator.(desonerado)</t>
  </si>
  <si>
    <t>IP 98.99 Diversos</t>
  </si>
  <si>
    <t>IP 98.99.0050 (/)</t>
  </si>
  <si>
    <t>Arame de ferro galvanizado de 12BWG, 2,76mm.  Fornecimento.(desonerado)</t>
  </si>
  <si>
    <t>IP 98.99.0100 (/)</t>
  </si>
  <si>
    <t>Calha de madeira com 2700mm de comprimento.  Fornecimento.(desonerado)</t>
  </si>
  <si>
    <t>IP 98.99.0150 (/)</t>
  </si>
  <si>
    <t>Capa isolante com resina de silicone para conector tipo cunha em instalação subterrânea.  Fornecimento e colocação.(desonerado)</t>
  </si>
  <si>
    <t>IP 98.99.0152 (/)</t>
  </si>
  <si>
    <t>Capa isolante para conector tipo cunha, para instalação subterrânea, tensão de 600V, com isolação de silicone estabilizado, para uso nos modelos de conectores de 1 a 14, padrão RIOLUZ.  Fornecimento.(desonerado)</t>
  </si>
  <si>
    <t>IT 01.05 Dutos e Tubulações</t>
  </si>
  <si>
    <t>IT 01.05.0100 (/)</t>
  </si>
  <si>
    <t>Duto em chapa de aço galvanizado para condicionamento de ar, isolado com chapa de isopor, inclusive grelha de aço carbono de (2,40x0,70)m.  Fornecimento, montagem e instalação.(desonerado)</t>
  </si>
  <si>
    <t>IT 01.05.0201 (/)</t>
  </si>
  <si>
    <t>Tubulação em cobre para interligação de Split System ao condensador/evaporador, inclusive isolamento térmico, alimentação elétrica, conexões e fixação, para aparelhos até 48.000 BTU.  Fornecimento e instalação.(desonerado)</t>
  </si>
  <si>
    <t>IT 04.05 Abertura e Fechamento Manual de Rasgos em Alvenaria e Concreto</t>
  </si>
  <si>
    <t>IT 04.05.0050 (/)</t>
  </si>
  <si>
    <t>Abertura e fechamento manual de rasgo em alvenaria, para passagem de tubos e dutos, com diâmetro de 1/2" a 1".(desonerado)</t>
  </si>
  <si>
    <t>IT 04.05.0053 (/)</t>
  </si>
  <si>
    <t>Abertura e fechamento manual de rasgo em alvenaria, para passagem de tubos e dutos, com diâmetro de 1 1/4" a 2".(desonerado)</t>
  </si>
  <si>
    <t>IT 04.05.0056 (/)</t>
  </si>
  <si>
    <t>Abertura e fechamento manual de rasgo em alvenaria, para passagem de tubos e dutos, com diâmetro de 2 1/2" a 4".(desonerado)</t>
  </si>
  <si>
    <t>IT 04.05.0100 (/)</t>
  </si>
  <si>
    <t>Abertura e fechamento manual de rasgo em concreto, para passagem de tubos e dutos, com diâmetro de 1/2" a 1".(desonerado)</t>
  </si>
  <si>
    <t>IT 04.05.0103 (/)</t>
  </si>
  <si>
    <t>Abertura e fechamento manual de rasgo em concreto, para passagem de tubos e dutos, com diâmetro de 1 1/4" a 2".(desonerado)</t>
  </si>
  <si>
    <t>IT 04.05.0106 (/)</t>
  </si>
  <si>
    <t>Abertura e fechamento manual de rasgo em concreto, para passagem de tubos e dutos, com diâmetro de 2 1/2" a 4".(desonerado)</t>
  </si>
  <si>
    <t>IT 04.10 Tubulações em PVC Rígido para Água Fria</t>
  </si>
  <si>
    <t>IT 04.10.0100 (A)</t>
  </si>
  <si>
    <t>Tubo de PVC rígido, roscável, para água fria, com diâmetro de 1/2" (20mm), inclusive conexões e emendas, exclusive abertura e fechamento de rasgo.  Fornecimento e instalação.(desonerado)</t>
  </si>
  <si>
    <t>IT 04.10.0103 (A)</t>
  </si>
  <si>
    <t>Tubo de  PVC rígido, roscável, para água fria, com diâmetro de  3/4" (19mm), inclusive conexões e emendas, exclusive abertura e fechamento de rasgo.  Fornecimento e instalação.(desonerado)</t>
  </si>
  <si>
    <t>IT 04.10.0106 (A)</t>
  </si>
  <si>
    <t>Tubo de PVC rígido, roscável, para água fria, com diâmetro de  1" (32mm), inclusive conexões e emendas, exclusive abertura e fechamento de rasgo.  Fornecimento e instalação.(desonerado)</t>
  </si>
  <si>
    <t>IT 04.10.0109 (A)</t>
  </si>
  <si>
    <t>Tubo de PVC rígido, roscável, para água fria, com diâmetro de  1 1/4" (40mm), inclusive conexões e emendas, exclusive abertura e fechamento de rasgo.  Fornecimento e instalação.(desonerado)</t>
  </si>
  <si>
    <t>IT 04.10.0112 (A)</t>
  </si>
  <si>
    <t>Tubo de PVC rígido, roscável, para água fria, com diâmetro de 1 1/2" (50mm), inclusive conexões e emendas, exclusive abertura e fechamento de rasgo.  Fornecimento e instalação.(desonerado)</t>
  </si>
  <si>
    <t>IT 04.10.0115 (A)</t>
  </si>
  <si>
    <t>Tubo de PVC rígido, roscável, para água fria, com diâmetro de  2" (60mm), inclusive conexões e emendas, exclusive abertura e fechamento de rasgo.  Fornecimento e instalação.(desonerado)</t>
  </si>
  <si>
    <t>IT 04.10.0118 (A)</t>
  </si>
  <si>
    <t>Tubo de PVC rígido, roscável, para água fria, com diâmetro de 2 1/2" (70mm), inclusive conexões e emendas, exclusive abertura e fechamento de rasgo.  Fornecimento e instalação.(desonerado)</t>
  </si>
  <si>
    <t>IT 04.10.0121 (A)</t>
  </si>
  <si>
    <t>Tubo de PVC rígido, roscável, para água fria, com diâmetro de 3" (85mm), inclusive conexões e emendas, exclusive abertura e fechamento de rasgo.  Fornecimento e instalação.(desonerado)</t>
  </si>
  <si>
    <t>IT 04.10.0124 (A)</t>
  </si>
  <si>
    <t>Tubo de PVC rígido, roscável, para água fria, com diâmetro de 4" (110mm), inclusive conexões e emendas, exclusive abertura e fechamento de rasgo.  Fornecimento e instalação.(desonerado)</t>
  </si>
  <si>
    <t>IT 04.10.0150 (A)</t>
  </si>
  <si>
    <t>Tubo de PVC rígido, soldável, para água fria, com diâmetro de 20mm (1/2"), inclusive conexões e emendas, exclusive abertura e fechamento de rasgo.  Fornecimento e instalação.(desonerado)</t>
  </si>
  <si>
    <t>IT 04.10.0153 (A)</t>
  </si>
  <si>
    <t>Tubo de PVC rígido, soldável, para água fria, com diâmetro de 25mm (3/4"), inclusive conexões e emendas, exclusive abertura e fechamento de rasgo.  Fornecimento e instalação.(desonerado)</t>
  </si>
  <si>
    <t>IT 04.10.0156 (A)</t>
  </si>
  <si>
    <t>Tubo de PVC rígido, soldável, para água fria, com diâmetro de 32mm (1"), inclusive conexões e emendas, exclusive abertura e fechamento de rasgo.  Fornecimento e instalação.(desonerado)</t>
  </si>
  <si>
    <t>IT 04.10.0159 (A)</t>
  </si>
  <si>
    <t>Tubo de PVC rígido, soldável, para água fria, com diâmetro de 40mm (1 1/4"), inclusive conexões e emendas, exclusive abertura e fechamento de rasgo.  Fornecimento e instalação.(desonerado)</t>
  </si>
  <si>
    <t>IT 04.10.0162 (A)</t>
  </si>
  <si>
    <t>Tubo de PVC rígido, soldável, para água fria, com diâmetro de 60mm (2"), inclusive conexões e emendas, exclusive abertura e fechamento de rasgo.  Fornecimento e instalação.(desonerado)</t>
  </si>
  <si>
    <t>IT 04.10.0165 (A)</t>
  </si>
  <si>
    <t>Tubo de PVC rígido, soldável, para água fria, com diâmetro de 85mm (3"), inclusive conexões e emendas, exclusive abertura e fechamento de rasgo.  Fornecimento e instalação.(desonerado)</t>
  </si>
  <si>
    <t>IT 04.10.0168 (A)</t>
  </si>
  <si>
    <t>Tubo de PVC rígido, soldável, para água fria, com diâmetro de 110mm (4"), inclusive conexões e emendas, exclusive abertura e fechamento de rasgo.  Fornecimento e instalação.(desonerado)</t>
  </si>
  <si>
    <t>IT 04.15 Conexões em PVC Rígido para Água Fria</t>
  </si>
  <si>
    <t>IT 04.15.0050 (/)</t>
  </si>
  <si>
    <t>Bucha de redução em PVC, soldável, longa, Tigre ou similar DN 50 x DN 32.  Fornecimento.(desonerado)</t>
  </si>
  <si>
    <t>IT 04.15.0200 (/)</t>
  </si>
  <si>
    <t>Colar de tomada em PVC rígido, de 50mmx1/2".  Fornecimento.(desonerado)</t>
  </si>
  <si>
    <t>IT 04.15.0203 (/)</t>
  </si>
  <si>
    <t>Colar de tomada em PVC rígido, de 75mmx1/2".  Fornecimento.(desonerado)</t>
  </si>
  <si>
    <t>IT 04.15.0220 (/)</t>
  </si>
  <si>
    <t>Curva de PVC rígido, 90º, roscável, diâmetro nominal de 3/4".  Fornecimento e instalação.(desonerado)</t>
  </si>
  <si>
    <t>IT 04.15.0223 (/)</t>
  </si>
  <si>
    <t>Curva de PVC rígido, 90º, roscável, diâmetro nominal de 1".  Fornecimento e instalação.(desonerado)</t>
  </si>
  <si>
    <t>IT 04.15.0250 (/)</t>
  </si>
  <si>
    <t>Curva de 45° de PVC rígido, soldável, Tigre ou similar, diâmetro nominal de 32mm.  Fornecimento.(desonerado)</t>
  </si>
  <si>
    <t>IT 04.15.0253 (/)</t>
  </si>
  <si>
    <t>Curva de 90° de PVC rígido, soldável, Tigre ou similar, diâmetro nominal de 32mm.  Fornecimento.(desonerado)</t>
  </si>
  <si>
    <t>IT 04.15.0270 (/)</t>
  </si>
  <si>
    <t>Curva de 45° de PVC rígido - PBA com 1 ponta e 1 bolsa, classe 12, diâmetro de 50mm.  Fornecimento e instalação.(desonerado)</t>
  </si>
  <si>
    <t>IT 04.15.0600 (/)</t>
  </si>
  <si>
    <t>Joelho de PVC rígido, 90º, roscável, diâmetro nominal de 3/4".  Fornecimento e instalação.(desonerado)</t>
  </si>
  <si>
    <t>IT 04.15.0603 (/)</t>
  </si>
  <si>
    <t>Joelho de PVC rígido, 90º, roscável, diâmetro nominal de 1".  Fornecimento e instalação.(desonerado)</t>
  </si>
  <si>
    <t>IT 04.15.0670 (/)</t>
  </si>
  <si>
    <t>Luva de PVC rígido, roscável, diâmetro nominal de 3/4".  Fornecimento e instalação.(desonerado)</t>
  </si>
  <si>
    <t>IT 04.15.0673 (/)</t>
  </si>
  <si>
    <t>Luva de PVC rígido, roscável, diâmetro nominal de 1".  Fornecimento e instalação.(desonerado)</t>
  </si>
  <si>
    <t>IT 04.15.0700 (/)</t>
  </si>
  <si>
    <t>Luva de PVC rígido de 2".  Fornecimento e instalação.(desonerado)</t>
  </si>
  <si>
    <t>IT 04.15.0800 (/)</t>
  </si>
  <si>
    <t>Niple duplo de PVC rígido, diâmetro nominal de 2".  Fornecimento e instalação.(desonerado)</t>
  </si>
  <si>
    <t>IT 04.15.0900 (/)</t>
  </si>
  <si>
    <t>Tê de redução de PVC rígido, soldável, Tigre ou similar, diâmetro nominal de (50x32)mm.  Fornecimento.(desonerado)</t>
  </si>
  <si>
    <t>IT 04.20 Barriletes em PVC Rígido</t>
  </si>
  <si>
    <t>IT 04.20.0050 (/)</t>
  </si>
  <si>
    <t>Alça para barrilete de distribuição, do tipo concentrado, sob reservatório duplo, inclusive ramos para extravasor e limpeza, comprendendo: 5,5m de tubo de PVC rígido de 1 1/2", registros e conexões.  Fornecimento e instalação.(desonerado)</t>
  </si>
  <si>
    <t>IT 04.20.0100 (A)</t>
  </si>
  <si>
    <t>Alça para barrilete de distribuição, do tipo concentrado, sob reservatório duplo, inclusive ramos para extravasor e limpeza, comprendendo: 5,5m de tubo de PVC rígido de  2", registros e conexões.  Fornecimento e instalação.(desonerado)</t>
  </si>
  <si>
    <t>IT 04.20.0500 (/)</t>
  </si>
  <si>
    <t>Interligação de sistema de barrilete de caixa d'água de 30000l com sistema alternativo de abastecimento.(desonerado)</t>
  </si>
  <si>
    <t>IT 04.25 Colunas de Águas em PVC Rígido</t>
  </si>
  <si>
    <t>IT 04.25.0050 (/)</t>
  </si>
  <si>
    <t>Coluna de PVC rígido, de diâmetro 3/4", exclusive peças de derivação.  Fornecimento e instalação.(desonerado)</t>
  </si>
  <si>
    <t>IT 04.25.0053 (A)</t>
  </si>
  <si>
    <t>Coluna de PVC rígido, de diâmetro 1", exclusive peças de derivação.  Fornecimento e instalação.(desonerado)</t>
  </si>
  <si>
    <t>IT 04.25.0056 (/)</t>
  </si>
  <si>
    <t>Coluna de PVC rígido, de diâmetro 1 1/4", exclusive peças de derivação.  Fornecimento e instalação.(desonerado)</t>
  </si>
  <si>
    <t>IT 04.25.0059 (/)</t>
  </si>
  <si>
    <t>Coluna de PVC rígido, de diâmetro 1 1/2", exclusive peças de derivação.  Fornecimento e instalação.(desonerado)</t>
  </si>
  <si>
    <t>IT 04.25.0062 (/)</t>
  </si>
  <si>
    <t>Coluna de PVC rígido, de diâmetro 2", exclusive peças de derivação.  Fornecimento e instalação.(desonerado)</t>
  </si>
  <si>
    <t>IT 04.25.0065 (/)</t>
  </si>
  <si>
    <t>Coluna de PVC rígido, de diâmetro 2 1/2", exclusive peças de derivação.  Fornecimento e instalação.(desonerado)</t>
  </si>
  <si>
    <t>IT 04.30 Tubulações em PVC Rígido para Sistema de Irrigação</t>
  </si>
  <si>
    <t>IT 04.30.0150 (A)</t>
  </si>
  <si>
    <t>Tubo de PVC rígido, com diâmetro de 50mm, PBL, LF 26, PN80, Tigre Irriga LF ou similar.  Fornecimento.(desonerado)</t>
  </si>
  <si>
    <t>IT 04.35 Conexões em PVC Rígido para Sistema de Irrigação</t>
  </si>
  <si>
    <t>IT 04.35.0050 (/)</t>
  </si>
  <si>
    <t>Adaptador de PVC rígido soldável, linha Irriga LF 08, Tigre, ou similar, com bolsa soldável e rosca macho, diâmetro nominal de 50mm.  Fornecimento.(desonerado)</t>
  </si>
  <si>
    <t>IT 04.35.0230 (/)</t>
  </si>
  <si>
    <t>Curva de 90° de PVC rígido, soldável, linha Irriga LF 10, Tigre ou similar, diâmetro nominal de 50mm e pressão nominal de 80.  Fornecimento.(desonerado)</t>
  </si>
  <si>
    <t>IT 04.35.0500 (/)</t>
  </si>
  <si>
    <t>Luva em PVC rígido soldável, linha Irriga LF 12, Tigre, ou similar.  Fornecimento.(desonerado)</t>
  </si>
  <si>
    <t>IT 04.35.0600 (/)</t>
  </si>
  <si>
    <t>Tê de PVC rígido soldável, linha Irriga LF 16, Tigre, ou similar.  Fornecimento.(desonerado)</t>
  </si>
  <si>
    <t>IT 04.50 Isolamento para Tubulações</t>
  </si>
  <si>
    <t>IT 04.50.0050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</si>
  <si>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</si>
  <si>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IT 04.50.0100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</si>
  <si>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</si>
  <si>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IT 04.50.0150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</si>
  <si>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</si>
  <si>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IT 04.55 Tubulações de Ferro Galvanizado, com costura</t>
  </si>
  <si>
    <t>IT 04.55.0050 (A)</t>
  </si>
  <si>
    <t>Tubo em ferro galvanizado, com costura, com diâmetro de 1/2", inclusive conexões e emendas, exclusive abertura e fechamento de rasgo.  Fornecimento e instalação.(desonerado)</t>
  </si>
  <si>
    <t>IT 04.55.0053 (A)</t>
  </si>
  <si>
    <t>Tubo em ferro galvanizado, com costura, com diâmetro de 3/4", inclusive conexões e emendas, exclusive abertura e fechamento de rasgo.  Fornecimento e instalação.(desonerado)</t>
  </si>
  <si>
    <t>IT 04.55.0056 (A)</t>
  </si>
  <si>
    <t>Tubo em ferro galvanizado, com costura, com diâmetro de 1", inclusive conexões e emendas, exclusive abertura e fechamento  de rasgo.  Fornecimento e instalação.(desonerado)</t>
  </si>
  <si>
    <t>IT 04.55.0059 (A)</t>
  </si>
  <si>
    <t>Tubo em ferro galvanizado, com costura, com diâmetro de 1 1/4", inclusive conexões e emendas, exclusive abertura e fechamento  de rasgo.  Fornecimento e instalação.(desonerado)</t>
  </si>
  <si>
    <t>IT 04.55.0062 (A)</t>
  </si>
  <si>
    <t>Tubo em ferro galvanizado, com costura, com diâmetro de 1 1/2", inclusive conexões e emendas, exclusive abertura e fechamento de rasgo.  Fornecimento e instalação.(desonerado)</t>
  </si>
  <si>
    <t>IT 04.55.0065 (A)</t>
  </si>
  <si>
    <t>Tubo em ferro galvanizado, com costura, com diâmetro de 2", inclusive conexões e emendas, exclusive abertura e fechamento de rasgo.  Fornecimento e instalação.(desonerado)</t>
  </si>
  <si>
    <t>IT 04.55.0068 (A)</t>
  </si>
  <si>
    <t>Tubo em ferro galvanizado, com costura, com diâmetro de 2 1/ 2", inclusive conexões e emendas, exclusive abertura e fechamento  de rasgo.  Fornecimento e instalação.(desonerado)</t>
  </si>
  <si>
    <t>IT 04.55.0071 (A)</t>
  </si>
  <si>
    <t>Tubo em ferro galvanizado, com costura, com diâmetro de 3",  inclusive conexões e emendas, exclusive abertura e fechamento  de rasgo.  Fornecimento e instalação.(desonerado)</t>
  </si>
  <si>
    <t>IT 04.55.0074 (A)</t>
  </si>
  <si>
    <t>Tubo em ferro galvanizado, com costura, com diâmetro de 4", inclusive conexões e emendas, exclusive abertura e fechamento  de rasgo.  Fornecimento e instalação.(desonerado)</t>
  </si>
  <si>
    <t>IT 04.55.0115 (/)</t>
  </si>
  <si>
    <t>Tubo de aço galvanizado, com costura, com diâmetro de 2", DIN-2440.  Fornecimento.(desonerado)</t>
  </si>
  <si>
    <t>IT 04.55.0118 (/)</t>
  </si>
  <si>
    <t>Tubo de aço galvanizado, com costura, com diâmetro de 2 1/ 2", DIN-2440. Fornecimento.(desonerado)</t>
  </si>
  <si>
    <t>IT 04.60 Tubulações de Ferro Galvanizado, sem costura</t>
  </si>
  <si>
    <t>IT 04.60.0050 (B)</t>
  </si>
  <si>
    <t>Tubo em ferro galvanizado, com costura eletrônica, com diâmetro de 1/2", inclusive conexões e emendas, exclusive abertura e fechamento de rasgo.  Fornecimento e instalação.(desonerado)</t>
  </si>
  <si>
    <t>IT 04.60.0053 (B)</t>
  </si>
  <si>
    <t>Tubo em ferro galvanizado, com costura eletrônica, com diâmetro de 3/4", inclusive conexões e emendas, exclusive abertura e fechamento manual de rasgo.  Fornecimento e instalação.(desonerado)</t>
  </si>
  <si>
    <t>IT 04.60.0056 (B)</t>
  </si>
  <si>
    <t>Tubo de ferro galvanizado, com costura eletrônica, com diâmetro de 1", inclusive conexões e emendas, exclusive abertura e fechamento manual de rasgo.  Fornecimento e instalação.(desonerado)</t>
  </si>
  <si>
    <t>IT 04.60.0059 (B)</t>
  </si>
  <si>
    <t>Tubo em ferro galvanizado, com costura eletrônica, com diâmetro de 1 1/4", inclusive conexões e emendas, exclusive abertura e fechamento de rasgo.  Fornecimento e instalação.(desonerado)</t>
  </si>
  <si>
    <t>IT 04.60.0062 (B)</t>
  </si>
  <si>
    <t>Tubo em ferro galvanizado, com costura eletrônica, com diâmetro de 1 1/ 2", inclusive conexões e emendas, exclusive abertura e fechamento manual de rasgo.  Fornecimento e instalação.(desonerado)</t>
  </si>
  <si>
    <t>IT 04.60.0065 (B)</t>
  </si>
  <si>
    <t>Tubo em ferro galvanizado, com costura eletrônica, com diâmetro de 2", inclusive conexões e emendas, exclusive abertura e fechamento de rasgo.  Fornecimento e instalação.(desonerado)</t>
  </si>
  <si>
    <t>IT 04.60.0068 (B)</t>
  </si>
  <si>
    <t>Tubo em ferro galvanizado, com costura eletrônica, com diâmetro de 2 1/2", inclusive conexões e emendas, exclusive abertura e fechamento de rasgo.  Fornecimento e instalação.(desonerado)</t>
  </si>
  <si>
    <t>IT 04.60.0071 (B)</t>
  </si>
  <si>
    <t>Tubo em ferro galvanizado, com costura eletrônica, com diâmetro de 3", inclusive conexões e emendas, exclusive abertura e fechamento de rasgo.  Fornecimento e instalação.(desonerado)</t>
  </si>
  <si>
    <t>IT 04.60.0074 (B)</t>
  </si>
  <si>
    <t>Tubo em ferro galvanizado, com costura eletrônica, com diâmetro de 4", inclusive conexões e emendas, exclusive abertura e fechamento de rasgo.  Fornecimento e instalação.(desonerado)</t>
  </si>
  <si>
    <t>IT 04.65 Conexões em Ferro Galvanizado</t>
  </si>
  <si>
    <t>IT 04.65.0515 (/)</t>
  </si>
  <si>
    <t>Flange padrão ANSI 16.5, classe 150, LBS, galvanizado, com rosca, diâmetro de 2", com revestimento interno e externo, inclusive parafusos e arruelas.  Fornecimento e instalação.(desonerado)</t>
  </si>
  <si>
    <t>IT 04.65.0518 (/)</t>
  </si>
  <si>
    <t>Flange padrão ANSI 16.5, classe 150, LBS, galvanizado com rosca, diâmetro de 3", com revestimento interno e externo, inclusive parafusos e arruelas.  Fornecimento e instalação.(desonerado)</t>
  </si>
  <si>
    <t>IT 04.65.0521 (/)</t>
  </si>
  <si>
    <t>Flange padrão ANSI 16.5, classe 150, LBS, galvanizado com rosca, diâmetro de 4", com revestimento interno e externo, inclusive parafusos e arruelas.  Fornecimento e instalação.(desonerado)</t>
  </si>
  <si>
    <t>IT 04.65.0562 (/)</t>
  </si>
  <si>
    <t>Flange de aço galvanizado, PB, classe 15, com rosca, diâmetro de 6".  Fornecimento e instalação.(desonerado)</t>
  </si>
  <si>
    <t>IT 04.65.0580 (/)</t>
  </si>
  <si>
    <t>Joelho de ferro galvanizado, 45°, diâmetro de 1".  Fornecimento.(desonerado)</t>
  </si>
  <si>
    <t>IT 04.65.0600 (/)</t>
  </si>
  <si>
    <t>Joelho de ferro galvanizado, 90°, diâmetro de 1", classe 10.  Fornecimento e instalação.(desonerado)</t>
  </si>
  <si>
    <t>IT 04.65.0625 (/)</t>
  </si>
  <si>
    <t>Luva de aço galvanizado, de 25mm (1").  Fornecimento.(desonerado)</t>
  </si>
  <si>
    <t>IT 04.65.0631 (/)</t>
  </si>
  <si>
    <t>Luva de redução em aço galvanizado, de (1 1/2"x3/4"), Tupy ou similar.  Fornecimento.(desonerado)</t>
  </si>
  <si>
    <t>IT 04.65.0647 (/)</t>
  </si>
  <si>
    <t>Niple de aço galvanizado, duplo, 3/4", classe 10, Tupy ou similar.  Fornecimento.(desonerado)</t>
  </si>
  <si>
    <t>IT 04.65.0650 (/)</t>
  </si>
  <si>
    <t>Niple de aço galvanizado, duplo, 3/4", classe 10.  Fornecimento e instalação.(desonerado)</t>
  </si>
  <si>
    <t>IT 04.65.0660 (/)</t>
  </si>
  <si>
    <t>Niple duplo de ferro galvanizado, diâmetro nominal de 3".  Fornecimento e asssentamento.(desonerado)</t>
  </si>
  <si>
    <t>IT 04.65.0680 (/)</t>
  </si>
  <si>
    <t>Luva em PVC rigido soldável, diâmetro nominal de 32mm, Tigre ou similar.  Fornecimento.(desonerado)</t>
  </si>
  <si>
    <t>IT 04.65.0721 (/)</t>
  </si>
  <si>
    <t>Tê de ferro galvanizado, diâmetro de 3", classe 10.  Fornecimento e instalação.(desonerado)</t>
  </si>
  <si>
    <t>IT 04.65.0750 (/)</t>
  </si>
  <si>
    <t>Tê de redução de aço galvanizado, diâmetro de (3/4"x1/2").  Fornecimento e instalação.(desonerado)</t>
  </si>
  <si>
    <t>IT 04.65.0762 (/)</t>
  </si>
  <si>
    <t>Tê de redução de aço galvanizado, diâmetro de (1 1/4"x3/4").  Fornecimento e instalação.(desonerado)</t>
  </si>
  <si>
    <t>IT 04.65.0800 (/)</t>
  </si>
  <si>
    <t>União de ferro galvanizado, assento plano, 3/4", classe 10.  Fornecimento e instalação.(desonerado)</t>
  </si>
  <si>
    <t>IT 04.70 Colunas em Ferro Galvanizado</t>
  </si>
  <si>
    <t>IT 04.70.0100 (/)</t>
  </si>
  <si>
    <t>Coluna de ferro galvanizado de diâmetro 1 1/4", exclusive peças de derivação.(desonerado)</t>
  </si>
  <si>
    <t>IT 04.70.0103 (/)</t>
  </si>
  <si>
    <t>Coluna de ferro galvanizado de diâmetro 1 1/2", exclusive peças de derivação.(desonerado)</t>
  </si>
  <si>
    <t>IT 04.70.0106 (/)</t>
  </si>
  <si>
    <t>Coluna de ferro galvanizado de diâmetro 2", exclusive peças de derivação.(desonerado)</t>
  </si>
  <si>
    <t>IT 04.75 Tubulações em Cobre para Água Quente</t>
  </si>
  <si>
    <t>IT 04.75.0050 (A)</t>
  </si>
  <si>
    <t>Tubo de cobre, classe I, diâmetro de 15mm.  Fornecimento.(desonerado)</t>
  </si>
  <si>
    <t>IT 04.75.0053 (A)</t>
  </si>
  <si>
    <t>Tubo de cobre, classe I, diâmetro de 22mm.  Fornecimento.(desonerado)</t>
  </si>
  <si>
    <t>IT 04.75.0056 (A)</t>
  </si>
  <si>
    <t>Tubo de cobre, classe I, diâmetro de 28mm.  Fornecimento.(desonerado)</t>
  </si>
  <si>
    <t>IT 04.75.0062 (A)</t>
  </si>
  <si>
    <t>Tubo de cobre, classe I, diâmetro de 42mm.  Fornecimento.(desonerado)</t>
  </si>
  <si>
    <t>IT 04.75.0100 (A)</t>
  </si>
  <si>
    <t>Tubo de cobre, classe A, diâmetro de 22mm, exclusive conexões, emendas abertura e fechamento do rasgo e isolamento.  Fornecimento.(desonerado)</t>
  </si>
  <si>
    <t>IT 04.95 Corte e Abertura de Roscas</t>
  </si>
  <si>
    <t>IT 04.95.0053 (/)</t>
  </si>
  <si>
    <t>Corte e abertura de 2 roscas, por tarracha manual e instalação de conexões de PVC, com diâmetro de 3/4", exclusive a peça.(desonerado)</t>
  </si>
  <si>
    <t>IT 04.95.0100 (/)</t>
  </si>
  <si>
    <t>Corte e abertura de 2 roscas, por tarracha manual e instalação de conexões de ferro galvanizado, com diâmetro de 1/2"; exclusive a peça.(desonerado)</t>
  </si>
  <si>
    <t>IT 04.95.0103 (/)</t>
  </si>
  <si>
    <t>Corte e abertura de 2 roscas, por tarracha manual e instalação de conexões de ferro galvanizado, com diâmetro de 3/4"; exclusive a peça.(desonerado)</t>
  </si>
  <si>
    <t>IT 04.95.0106 (/)</t>
  </si>
  <si>
    <t>Corte e abertura de 2 roscas, por tarracha manual e instalação de conexões de ferro galvanizado, com diâmetro de 1"; exclusive a peça.(desonerado)</t>
  </si>
  <si>
    <t>IT 04.95.0109 (/)</t>
  </si>
  <si>
    <t>Corte e abertura de 2 roscas, por tarracha manual e instalação de conexões de ferro galvanizado, com diâmetro de 1 1/4"; exclusive a peça.(desonerado)</t>
  </si>
  <si>
    <t>IT 04.95.0112 (/)</t>
  </si>
  <si>
    <t>Corte e abertura de 2 roscas, por tarracha manual e instalação de conexões de ferro galvanizado, com diâmetro de 1 1/2"; exclusive a peça.(desonerado)</t>
  </si>
  <si>
    <t>IT 04.95.0115 (/)</t>
  </si>
  <si>
    <t>Corte e abertura de 2 roscas, por tarracha manual e instalação de conexões de ferro galvanizado, com diâmetro de 2"; exclusive a peça.(desonerado)</t>
  </si>
  <si>
    <t>IT 04.95.0118 (/)</t>
  </si>
  <si>
    <t>Corte e abertura de 2 roscas, por tarracha manual e instalação de conexões de ferro galvanizado, com diâmetro de 2 1/2"; exclusive a peça.(desonerado)</t>
  </si>
  <si>
    <t>IT 04.95.0121 (/)</t>
  </si>
  <si>
    <t>Corte e abertura de 2 roscas, por tarracha manual e instalação de conexões de ferro galvanizado, com diâmetro de 3"; exclusive a peça.(desonerado)</t>
  </si>
  <si>
    <t>IT 04.95.0124 (/)</t>
  </si>
  <si>
    <t>Corte e abertura de 2 roscas, por tarracha manual e instalação de conexões de ferro galvanizado, com diâmetro de 4"; exclusive a peça.(desonerado)</t>
  </si>
  <si>
    <t>IT 04.98 Fixação de Tubulações</t>
  </si>
  <si>
    <t>IT 04.98.0050 (/)</t>
  </si>
  <si>
    <t>Braçadeira em aço inoxidável de 1/2", regulável.  Fornecimento e instalação.(desonerado)</t>
  </si>
  <si>
    <t>IT 04.98.0100 (/)</t>
  </si>
  <si>
    <t>Braçadeira em ferro de 1/2", regulável.  Fornecimento e instalação.(desonerado)</t>
  </si>
  <si>
    <t>IT 04.98.0162 (/)</t>
  </si>
  <si>
    <t>Braçadeira de fixação, tipo copo, estampada em chapa de ferro zincada, composta de canopla, parafusos e braçadeira propriamente dita, no diâmetro 2".  Fornecimento e instalação.(desonerado)</t>
  </si>
  <si>
    <t>IT 04.98.0200 (/)</t>
  </si>
  <si>
    <t>Fixação suspensa de tubulações de diâmetros variáveis, através de fita metálica galvanizada, perfurada, tipo  Walsiwa.(desonerado)</t>
  </si>
  <si>
    <t>IT 04.98.0262 (/)</t>
  </si>
  <si>
    <t>Suporte com 2 chumbadores, para fixação tubulações no diâmetro interno de 2".  Fornecimento e instalação.(desonerado)</t>
  </si>
  <si>
    <t>IT 04.98.0265 (/)</t>
  </si>
  <si>
    <t>Suporte com 2 chumbadores, para fixação de tubulações no diâmetro interno de 2 1/2" e 3".  Fornecimento e instalação.(desonerado)</t>
  </si>
  <si>
    <t>IT 04.98.0268 (/)</t>
  </si>
  <si>
    <t>Suporte com 2 chumbadores, para fixação de tubulações no diâmetro interno de 4" e 6".  Fornecimento e instalação.(desonerado)</t>
  </si>
  <si>
    <t>IT 09.05 Caixas de Incêndio</t>
  </si>
  <si>
    <t>IT 09.05.0050 (/)</t>
  </si>
  <si>
    <t>Caixa de incêndio, de embutir padrão CBRJ, de aço, medindo (70x50x25)cm, compreendendo: 1 lance de 15m de mangueira de fibra de poliéster puro revestida internamente com borracha vulcanizada no diâmetro 1 1/2", empatada e com registro.  Fornecimento e instalação.(desonerado)</t>
  </si>
  <si>
    <t>IT 09.05.0100 (/)</t>
  </si>
  <si>
    <t>Caixa de incêndio, de embutir padrão CBRJ, de aço, medindo (70x50x25)cm, compreendendo: 2 lances de 15m de mangueira de fibra de poliéster puro, revestida internamente com borracha vulcanizada no diâmetro 1 1/2", empatada e com registro.  Fornecimento e instalação.(desonerado)</t>
  </si>
  <si>
    <t>IT 09.10 Splinkler</t>
  </si>
  <si>
    <t>IT 09.10.0050 (/)</t>
  </si>
  <si>
    <t>Sprinkler, bico de 1/2".  Fornecimento e instalação.(desonerado)</t>
  </si>
  <si>
    <t>IT 09.10.0100 (/)</t>
  </si>
  <si>
    <t>Sprinkler - cruzeta galvanizada de 2 1/2".  Fornecimento e instalação.(desonerado)</t>
  </si>
  <si>
    <t>IT 09.10.0150 (/)</t>
  </si>
  <si>
    <t>Sprinkler - joelho de 45° de ferro galvanizado 2 1/2".  Fornecimento e instalação.(desonerado)</t>
  </si>
  <si>
    <t>IT 09.10.0200 (/)</t>
  </si>
  <si>
    <t>Sprinkler - redução de ferro galvanizado (2 1/2"x2").  Fornecimento e instalação.(desonerado)</t>
  </si>
  <si>
    <t>IT 09.15 Chafarizes</t>
  </si>
  <si>
    <t>IT 09.15.0050 (/)</t>
  </si>
  <si>
    <t>Distribuidor de água em tubos de ferro galvanizado, rosca BS de 6", vedável nas duas bordas com flanges de 6".  Fornecimento e instalação.(desonerado)</t>
  </si>
  <si>
    <t>IT 09.15.0250 (A)</t>
  </si>
  <si>
    <t>Panela hidráulica para efeitos visuais em chafariz, em chapa galvanizada nº 16, diâmetro de 1,20m, 50 bicos para jato sólido, de ferro galvanizado de 1/2".  Fornecimento e instalação.(desonerado)</t>
  </si>
  <si>
    <t>IT 09.15.0300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</si>
  <si>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instalação.(desonerado)</t>
  </si>
  <si>
    <t>IT 09.15.0500 (A)</t>
  </si>
  <si>
    <t>Sistema de filtragem composto de 2 telas galvanizadas para proteção de sucção de bomba, inclusive cantoneiras e barras chatas de fixação.  Fornecimento e instalação.(desonerado)</t>
  </si>
  <si>
    <t>IT 09.20 Hidrantes</t>
  </si>
  <si>
    <t>IT 09.20.0050 (A)</t>
  </si>
  <si>
    <t>Hidrante de coluna completo, para linha de 100mm; inclusive peças complementares até o início da tubulação horizontal e fornecimento do material para rejuntamento.  Fornecimento e instalação.(desonerado)</t>
  </si>
  <si>
    <t>IT 09.25 Hidrômetros e Abrigos para Hidrômetros e Bombas</t>
  </si>
  <si>
    <t>IT 09.25.0050 (/)</t>
  </si>
  <si>
    <t>Fornecimento de hidrômetro de 1/2".(desonerado)</t>
  </si>
  <si>
    <t>IT 09.25.0053 (/)</t>
  </si>
  <si>
    <t>Fornecimento de hidrômetro de 3/4".(desonerado)</t>
  </si>
  <si>
    <t>IT 09.25.0056 (/)</t>
  </si>
  <si>
    <t>Fornecimento de hidrômetro de 1".(desonerado)</t>
  </si>
  <si>
    <t>IT 09.25.0300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</si>
  <si>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30mm.(desonerado)</t>
  </si>
  <si>
    <t>IT 09.25.0303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</si>
  <si>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30mm.(desonerado)</t>
  </si>
  <si>
    <t>IT 09.25.0306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</si>
  <si>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30mm.(desonerado)</t>
  </si>
  <si>
    <t>IT 09.25.0350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</si>
  <si>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30mm.(desonerado)</t>
  </si>
  <si>
    <t>IT 09.25.0400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</si>
  <si>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30mm.(desonerado)</t>
  </si>
  <si>
    <t>IT 09.25.0450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</si>
  <si>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30mm.(desonerado)</t>
  </si>
  <si>
    <t>IT 09.30 Registro de Gaveta</t>
  </si>
  <si>
    <t>IT 09.30.0050 (/)</t>
  </si>
  <si>
    <t>Registro de gaveta, em bronze, com diâmetro de 1/2".  Fornecimento e instalação.(desonerado)</t>
  </si>
  <si>
    <t>IT 09.30.0053 (/)</t>
  </si>
  <si>
    <t>Registro de gaveta, em bronze, com diâmetro de 3/4".  Fornecimento e instalação.(desonerado)</t>
  </si>
  <si>
    <t>IT 09.30.0056 (/)</t>
  </si>
  <si>
    <t>Registro de gaveta, em bronze, com diâmetro de 1".  Fornecimento e instalação.(desonerado)</t>
  </si>
  <si>
    <t>IT 09.30.0059 (/)</t>
  </si>
  <si>
    <t>Registro de gaveta, em bronze, com diâmetro de 1 1/4".  Fornecimento e instalação.(desonerado)</t>
  </si>
  <si>
    <t>IT 09.30.0062 (/)</t>
  </si>
  <si>
    <t>Registro de gaveta, em bronze, com diâmetro de 1 1/2".  Fornecimento e instalação.(desonerado)</t>
  </si>
  <si>
    <t>IT 09.30.0065 (/)</t>
  </si>
  <si>
    <t>Registro de gaveta, em bronze, com diâmetro de 2".  Fornecimento e instalação.(desonerado)</t>
  </si>
  <si>
    <t>IT 09.30.0068 (/)</t>
  </si>
  <si>
    <t>Registro de gaveta, em bronze, com diâmetro de 2 1/2".  Fornecimento e instalação.(desonerado)</t>
  </si>
  <si>
    <t>IT 09.30.0071 (/)</t>
  </si>
  <si>
    <t>Registro de gaveta, em bronze, com diâmetro de 3".  Fornecimento e instalação.(desonerado)</t>
  </si>
  <si>
    <t>IT 09.30.0074 (/)</t>
  </si>
  <si>
    <t>Registro de gaveta, em bronze, com diâmetro de 4".  Fornecimento e instalação.(desonerado)</t>
  </si>
  <si>
    <t>IT 09.30.0109 (A)</t>
  </si>
  <si>
    <t>Registro de gaveta, em bronze, com diâmetro de 1 1/4", com acabamento.  Fornecimento e instalação.(desonerado)</t>
  </si>
  <si>
    <t>IT 09.30.0112 (A)</t>
  </si>
  <si>
    <t>Registro de gaveta, em bronze, com diâmetro de 1 1/2", com acabamento.  Fornecimento e instalação.(desonerado)</t>
  </si>
  <si>
    <t>IT 09.30.0150 (/)</t>
  </si>
  <si>
    <t>Registro de gaveta, diâmetro de 3/4", F.271, Niagara ou similar.  Fornecimento e instalação.(desonerado)</t>
  </si>
  <si>
    <t>IT 09.30.0153 (/)</t>
  </si>
  <si>
    <t>Registro de gaveta Niagara ou similar, F.271, diâmetro de 1".  Fornecimento e instalação.(desonerado)</t>
  </si>
  <si>
    <t>IT 09.30.0156 (/)</t>
  </si>
  <si>
    <t>Registro de gaveta Niagara ou similar, F.271, diâmetro de 2".  Fornecimento e instalação.(desonerado)</t>
  </si>
  <si>
    <t>IT 09.30.0215 (/)</t>
  </si>
  <si>
    <t>Registro de gaveta chato, em ferro fundido, com flanges internos em bronze, com diâmetro de 6" (150mm).  Fornecimento e instalação.(desonerado)</t>
  </si>
  <si>
    <t>IT 09.35 Válvulas em Bronze e em Ferro Fundido</t>
  </si>
  <si>
    <t>IT 09.35.0050 (/)</t>
  </si>
  <si>
    <t>Válvula de esfera em bronze, com diâmetro de 3/4", referência 1552, Deca ou similar.  Fornecimentoe instalação(desonerado)</t>
  </si>
  <si>
    <t>IT 09.35.0303 (/)</t>
  </si>
  <si>
    <t>Válvula de pé com crivo, em bronze, com diâmetro de 3/4".  Fornecimento e instalação.(desonerado)</t>
  </si>
  <si>
    <t>IT 09.35.0306 (/)</t>
  </si>
  <si>
    <t>Válvula de pé com crivo, em bronze, com diâmetro de 1".  Fornecimento e instalação.(desonerado)</t>
  </si>
  <si>
    <t>IT 09.35.0309 (/)</t>
  </si>
  <si>
    <t>Válvula de pé com crivo, em bronze, com diâmetro de 1 1/4".  Fornecimento e instalação.(desonerado)</t>
  </si>
  <si>
    <t>IT 09.35.0312 (/)</t>
  </si>
  <si>
    <t>Válvula de pé com crivo, em bronze, com diâmetro de 1 1/2".  Fornecimento e instalação.(desonerado)</t>
  </si>
  <si>
    <t>IT 09.35.0315 (/)</t>
  </si>
  <si>
    <t>Válvula de pé com crivo, em bronze, com diâmetro de 2".  Fornecimento e instalação.(desonerado)</t>
  </si>
  <si>
    <t>IT 09.35.0321 (/)</t>
  </si>
  <si>
    <t>Válvula de pé com crivo, em bronze, com diâmetro de 3".  Fornecimento e instalação.(desonerado)</t>
  </si>
  <si>
    <t>IT 09.35.0324 (/)</t>
  </si>
  <si>
    <t>Válvula de pé com crivo, em bronze, com diâmetro de 4".  Fornecimento e instalação.(desonerado)</t>
  </si>
  <si>
    <t>IT 09.35.0503 (/)</t>
  </si>
  <si>
    <t>Válvula de retenção horizontal em bronze, com diâmetro de 3/4".  Fornecimento e instalação.(desonerado)</t>
  </si>
  <si>
    <t>IT 09.35.0506 (/)</t>
  </si>
  <si>
    <t>Válvula de retenção horizontal em bronze, com diâmetro de 1".  Fornecimento e instalação.(desonerado)</t>
  </si>
  <si>
    <t>IT 09.35.0512 (/)</t>
  </si>
  <si>
    <t>Válvula de retenção horizontal em bronze, com diâmetro de 1 1/2".  Fornecimento e instalação.(desonerado)</t>
  </si>
  <si>
    <t>IT 09.35.0515 (/)</t>
  </si>
  <si>
    <t>Válvula de retenção horizontal em bronze, com diâmetro de 2".  Fornecimento e instalação.(desonerado)</t>
  </si>
  <si>
    <t>IT 09.35.0550 (/)</t>
  </si>
  <si>
    <t>Válvula de retenção horizontal, de ferro fundido, com anel de vedação em bronze, flangeada, diâmetro nominal de 150mm.  Fornecimento e instalação.(desonerado)</t>
  </si>
  <si>
    <t>IT 09.35.0603 (/)</t>
  </si>
  <si>
    <t>Válvula de retenção vertical em bronze, com diâmetro de 3/4".  Fornecimento e instalação.(desonerado)</t>
  </si>
  <si>
    <t>IT 09.35.0606 (/)</t>
  </si>
  <si>
    <t>Válvula de retenção vertical em bronze, com diâmetro de 1".  Fornecimento e instalação.(desonerado)</t>
  </si>
  <si>
    <t>IT 09.35.0609 (/)</t>
  </si>
  <si>
    <t>Válvula de retenção vertical em bronze, com diâmetro de 1 1/4".  Fornecimento e instalação.(desonerado)</t>
  </si>
  <si>
    <t>IT 09.35.0612 (/)</t>
  </si>
  <si>
    <t>Válvula de retenção vertical em bronze, com diâmetro de 1 1/2".  Fornecimento e instalação.(desonerado)</t>
  </si>
  <si>
    <t>IT 09.35.0615 (/)</t>
  </si>
  <si>
    <t>Válvula de retenção vertical em bronze, com diâmetro de 2".  Fornecimento e instalação.(desonerado)</t>
  </si>
  <si>
    <t>IT 09.35.0618 (/)</t>
  </si>
  <si>
    <t>Válvula de retenção vertical em bronze, com diâmetro de 2 1/2".  Fornecimento e instalação.(desonerado)</t>
  </si>
  <si>
    <t>IT 09.35.0621 (/)</t>
  </si>
  <si>
    <t>Válvula de retenção vertical em bronze, com diâmetro de 3".  Fornecimento e instalação.(desonerado)</t>
  </si>
  <si>
    <t>IT 09.35.0624 (/)</t>
  </si>
  <si>
    <t>Válvula de retenção vertical em bronze, com diâmetro de 4".  Fornecimento e instalação.(desonerado)</t>
  </si>
  <si>
    <t>IT 09.40 Ligações Prediais de Água Potável</t>
  </si>
  <si>
    <t>IT 09.40.0050 (B)</t>
  </si>
  <si>
    <t>Ligacao domiciliar de agua, compreendendo: colar de tomada, tubo, registro de esfera e caixa para registro. (desonerado)</t>
  </si>
  <si>
    <t>IT 09.40.0053 (A)</t>
  </si>
  <si>
    <t>Conjunto de materiais para cavalete de ramal predial de água, padrão normal, tipo A de 1/2".  Fornecimento.(desonerado)</t>
  </si>
  <si>
    <t>IT 09.40.0056 (A)</t>
  </si>
  <si>
    <t>Conjunto de materiais para cavalete de ramal predial de água, padrão normal, tipo A 3/4".  Fornecimento.(desonerado)</t>
  </si>
  <si>
    <t>IT 09.40.0059 (A)</t>
  </si>
  <si>
    <t>Conjunto de materiais para cavalete de ramal predial de água, padrão normal, tipo A de 1".  Fornecimento.(desonerado)</t>
  </si>
  <si>
    <t>IT 09.40.0062 (A)</t>
  </si>
  <si>
    <t>Conjunto de materiais para cavalete de ramal predial de água, padrão normal, tipo A de 1 1/2".  Fornecimento.(desonerado)</t>
  </si>
  <si>
    <t>IT 09.45 Ligações Prediais e Abrigos de Gás</t>
  </si>
  <si>
    <t>IT 09.45.0050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</si>
  <si>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6cm.(desonerado)</t>
  </si>
  <si>
    <t>IT 09.45.0100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</si>
  <si>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6cm.(desonerado)</t>
  </si>
  <si>
    <t>IT 09.50 Instalação de Gás de Ferro Galvanizado em Aparelhos Individuais</t>
  </si>
  <si>
    <t>IT 09.50.0050 (A)</t>
  </si>
  <si>
    <t>Instalação de aquecedor a gás encanado, exclusive fornecimento do aparelho, compreendendo: 8m de tubo de cobre, classe I de 22mm, conexões e chaminé de alumínio e veneziana.  Instalação e assentamento.(desonerado)</t>
  </si>
  <si>
    <t>IT 09.50.0100 (A)</t>
  </si>
  <si>
    <t>Instalação de fogão a gás encanado, exclusive fornecimento do aparelho, compreendendo: 15m de tubo de cobre classe industrial, conexões e válvula de esfera.  Instalação e assentamento.(desonerado)</t>
  </si>
  <si>
    <t>IT 09.50.0150 (A)</t>
  </si>
  <si>
    <t>Instalação de fogão a gás de botijões de 45 Kg (exclusive este), com 5m de tubo de ferro galvanizado sem costura de 1/2", conexões, reguladores e demais peças necessárias.  Instalação e assentamento.(desonerado)</t>
  </si>
  <si>
    <t>IT 09.99 Diversos</t>
  </si>
  <si>
    <t>IT 09.99.0050 (/)</t>
  </si>
  <si>
    <t>Haste de prolongamento com quadrado e boca de chave em ferro trefilado, pintado com tinta betuminosa com diâmetro de 1 1/8"  e comprimento de 100m para registros, válvulas e afins. Fornecimento e instalação.(desonerado)</t>
  </si>
  <si>
    <t>IT 14.05 Tubulações em PVC rígido para Esgotos e Águas Pluviais</t>
  </si>
  <si>
    <t>IT 14.05.0050 (/)</t>
  </si>
  <si>
    <t>Ligação à coluna de gordura do esgoto de pias em tubo de PVC rígido com diâmetro de 50mm, com conexões.  Fornecimento e instalação.(desonerado)</t>
  </si>
  <si>
    <t>IT 14.05.0100 (A)</t>
  </si>
  <si>
    <t>Tubo de PVC rígido, soldável, para esgoto, com diâmetro de 40mm, inclusive conexões e emendas, exclusive abertura e fechamento de rasgo.  Fornecimento e instalação.(desonerado)</t>
  </si>
  <si>
    <t>IT 14.05.0103 (/)</t>
  </si>
  <si>
    <t>Tubo de PVC rígido para esgoto, com diâmetro de 50mm.  Fornecimento e instalação.(desonerado)</t>
  </si>
  <si>
    <t>IT 14.05.0106 (A)</t>
  </si>
  <si>
    <t>Tubo de PVC rígido, soldável, para esgoto e águas pluviais, com diâmetro de 75mm, inclusive conexões e emendas, exclusive abertura e fechamento de rasgo.  Fornecimento e instalação.(desonerado)</t>
  </si>
  <si>
    <t>IT 14.05.0109 (A)</t>
  </si>
  <si>
    <t>Tubo de PVC rígido de 100mm, soldável, para esgoto e águas pluviais, inclusive conexões e emendas, exclusive abertura e fechamento de rasgo.  Fornecimento e instalação.(desonerado)</t>
  </si>
  <si>
    <t>IT 14.05.0112 (B)</t>
  </si>
  <si>
    <t>Tubo de PVC rígido de 150mm, soldável, série normal, para esgoto e águas pluviais, inclusive conexões e emendas, exclusive abertura e fechamento de rasgo.  Fornecimento e instalação.(desonerado)</t>
  </si>
  <si>
    <t>IT 14.05.0115 (A)</t>
  </si>
  <si>
    <t>Tubo de PVC rígido, soldável, para esgoto e águas pluviais, com diâmetro de 200mm, inclusive conexões e emendas, exclusive abertura e fechamento de rasgo.  Fornecimento e instalação.(desonerado)</t>
  </si>
  <si>
    <t>IT 14.05.0156 (/)</t>
  </si>
  <si>
    <t>Tubo de PVC rígido, soldável, com diâmetro de 250mm.  Fornecimento.(desonerado)</t>
  </si>
  <si>
    <t>IT 14.05.0159 (/)</t>
  </si>
  <si>
    <t>Tubo de PVC rígido, soldável, com diâmetro de 40mm.  Fornecimento.(desonerado)</t>
  </si>
  <si>
    <t>IT 14.05.0162 (/)</t>
  </si>
  <si>
    <t>Tubo de PVC rígido, soldável, com diâmetro de 50mm.  Fornecimento.(desonerado)</t>
  </si>
  <si>
    <t>IT 14.05.0165 (A)</t>
  </si>
  <si>
    <t>Tubo de PVC rígido, soldável, para esgoto e águas pluviais, com diâmetro de 50mm, inclusive conexões e emendas, exclusive abertura e fechamento de rasgo.  Fornecimento e instalação.(desonerado)</t>
  </si>
  <si>
    <t>IT 14.10 Conexões em PVC rígido para Esgotos e Águas Pluviais</t>
  </si>
  <si>
    <t>IT 14.10.0050 (/)</t>
  </si>
  <si>
    <t>Anel de borracha para PVC, com diâmetro de 75mm.  Fornecimento e instalação.(desonerado)</t>
  </si>
  <si>
    <t>IT 14.10.0100 (/)</t>
  </si>
  <si>
    <t>Curva de 90° de PVC rígido, roscável, de 2".  Fornecimento e instalação.(desonerado)</t>
  </si>
  <si>
    <t>IT 14.10.0150 (/)</t>
  </si>
  <si>
    <t>Curva curta de PVC rígido, 87° 30', série R, diâmetro de 75mm.  Fornecimento e instalação.(desonerado)</t>
  </si>
  <si>
    <t>IT 14.10.0203 (/)</t>
  </si>
  <si>
    <t>Joelho de PVC rígido, série R, 45°, ponta e bolsa, diâmetro de 75mm.  Fornecimento e instalação.(desonerado)</t>
  </si>
  <si>
    <t>IT 14.10.0206 (/)</t>
  </si>
  <si>
    <t>Joelho de PVC rígido, série R, 45°, ponta e bolsa, diâmetro de 100mm.  Fornecimento e instalação.(desonerado)</t>
  </si>
  <si>
    <t>IT 14.10.0209 (/)</t>
  </si>
  <si>
    <t>Joelho de PVC rígido, 45°, série R, ponta e bolsa, diâmetro de 150mm.  Fornecimento e instalação.(desonerado)</t>
  </si>
  <si>
    <t>IT 14.10.0250 (/)</t>
  </si>
  <si>
    <t>Joelho de PVC rígido, série R, 90°, ponta e bolsa, diâmetro de 50mm.  Fornecimento e instalação.(desonerado)</t>
  </si>
  <si>
    <t>IT 14.10.0253 (/)</t>
  </si>
  <si>
    <t>Joelho de PVC rígido para esgoto, série R, 90°, diâmetro de 75mm.  Fornecimento e instalação.(desonerado)</t>
  </si>
  <si>
    <t>IT 14.10.0256 (/)</t>
  </si>
  <si>
    <t>Joelho de PVC rígido, 90°, série R, ponta e bolsa, diâmetro de 100mm.  Fornecimento e instalação.(desonerado)</t>
  </si>
  <si>
    <t>IT 14.10.0303 (/)</t>
  </si>
  <si>
    <t>Junção simples de PVC rígido, série R, diâmetro de 75mm.  Fornecimento e instalação.(desonerado)</t>
  </si>
  <si>
    <t>IT 14.10.0306 (/)</t>
  </si>
  <si>
    <t>Junção simples de PVC rígido, série R, diâmetro de 100mm.  Fornecimento e instalação.(desonerado)</t>
  </si>
  <si>
    <t>IT 14.10.0309 (/)</t>
  </si>
  <si>
    <t>Junção simples de PVC rígido, série R, diâmetro de 150mm.  Fornecimento e instalação.(desonerado)</t>
  </si>
  <si>
    <t>IT 14.10.0318 (/)</t>
  </si>
  <si>
    <t>Junção simples de PVC rígido, série R, diâmetro de (150x100)mm.  Fornecimento e instalação.(desonerado)</t>
  </si>
  <si>
    <t>IT 14.10.0350 (/)</t>
  </si>
  <si>
    <t>Junção de 45° de PVC rígido, diâmetro de 40mm.  Fornecimento e instalação.(desonerado)</t>
  </si>
  <si>
    <t>IT 14.10.0400 (/)</t>
  </si>
  <si>
    <t>Luva dupla de PVC rígido para esgoto, de 50mm.  Fornecimento e instalação.(desonerado)</t>
  </si>
  <si>
    <t>IT 14.10.0403 (/)</t>
  </si>
  <si>
    <t>Luva dupla de PVC rígido para esgoto, de 75mm.  Fornecimento e instalação.(desonerado)</t>
  </si>
  <si>
    <t>IT 14.10.0450 (/)</t>
  </si>
  <si>
    <t>Luva dupla de PVC rígido para esgoto e águas pluviais, com parede reforçada, série R, de 100mm.  Fornecimento e instalação.(desonerado)</t>
  </si>
  <si>
    <t>IT 14.10.0500 (/)</t>
  </si>
  <si>
    <t>Tê de inspeção de PVC rígido, série R, diâmetro de 75mm.  Fornecimento e instalação.(desonerado)</t>
  </si>
  <si>
    <t>IT 14.10.0556 (/)</t>
  </si>
  <si>
    <t>Tê sanitário de PVC rígido, série R, diâmetro de 75mm.  Fornecimento e instalação.(desonerado)</t>
  </si>
  <si>
    <t>IT 14.10.0559 (/)</t>
  </si>
  <si>
    <t>Tê sanitário de PVC rígido, série R, diâmetro de 100mm.  Fornecimento e instalação.(desonerado)</t>
  </si>
  <si>
    <t>IT 14.10.0600 (/)</t>
  </si>
  <si>
    <t>Tê sanitário, de PVC rígido, série R, diâmetro de (50x75)mm.  Fornecimento e instalação.(desonerado)</t>
  </si>
  <si>
    <t>IT 14.10.0603 (/)</t>
  </si>
  <si>
    <t>Tê sanitário de PVC rígido, série R, diâmetro de (100x75)mm.  Fornecimento e instalação.(desonerado)</t>
  </si>
  <si>
    <t>IT 14.20 Conexões em Ferro Fundido</t>
  </si>
  <si>
    <t>IT 14.20.0100 (/)</t>
  </si>
  <si>
    <t>Bucha de redução em ferro fundido, BRHL, diâmetro de (75x50)mm.  Fornecimento e instalação.(desonerado)</t>
  </si>
  <si>
    <t>IT 14.20.0150 (/)</t>
  </si>
  <si>
    <t>Curva de ferro fundido, 90°, com flanges, diâmetro de 150mm.  Fornecimento e instalação.(desonerado)</t>
  </si>
  <si>
    <t>IT 14.20.0200 (/)</t>
  </si>
  <si>
    <t>Extremidade de ferro fundido, com flange e junta elástica, diâmetro de 200mm.  Fornecimento e instalação.(desonerado)</t>
  </si>
  <si>
    <t>IT 14.20.0250 (/)</t>
  </si>
  <si>
    <t>Joelho de ferro fundido, 87° 30', J87HL, diâmetro de 100mm.  Fornecimento e instalação.(desonerado)</t>
  </si>
  <si>
    <t>IT 14.20.0500 (/)</t>
  </si>
  <si>
    <t>Luva de ferro fundido, bolsa bolsa, LBBHL, diâmetro de 100mm.  Fornecimento e instalação.(desonerado)</t>
  </si>
  <si>
    <t>IT 14.25 Tubos de Queda e de Ventilação</t>
  </si>
  <si>
    <t>IT 14.25.0050 (A)</t>
  </si>
  <si>
    <t>Tubo de queda de PVC rígido, de 75mm, inclusive tê sanitário.  Fornecimento e instalação.(desonerado)</t>
  </si>
  <si>
    <t>IT 14.25.0053 (A)</t>
  </si>
  <si>
    <t>Tubo de queda de PVC rígido, de 100mm, inclusive tê sanitário.  Fornecimento e instalação.(desonerado)</t>
  </si>
  <si>
    <t>IT 14.25.0056 (B)</t>
  </si>
  <si>
    <t>Tubo de queda de PVC rígido, série normal, de 150mm, inclusive tê sanitário.  Fornecimento e instalação.(desonerado)</t>
  </si>
  <si>
    <t>IT 14.25.0100 (A)</t>
  </si>
  <si>
    <t>Tubo de ventilação de PVC rígido de 75mm, inclusive tê sanitário.  Fornecimento e instalação.(desonerado)</t>
  </si>
  <si>
    <t>IT 14.25.0103 (A)</t>
  </si>
  <si>
    <t>Tubo para ventilação de PVC rígido, de 100mm, inclusive tê sanitário.  Fornecimento e instalação.(desonerado)</t>
  </si>
  <si>
    <t>IT 14.25.0150 (A)</t>
  </si>
  <si>
    <t>Tubo de queda ferro fundido, diâmetro de 100mm, inclusive tê sanitário.  Fornecimento e instalação.(desonerado)</t>
  </si>
  <si>
    <t>IT 14.30 Caixas de Inspeção</t>
  </si>
  <si>
    <t>IT 14.30.0050 (/)</t>
  </si>
  <si>
    <t>Caixa de alvenaria de tijolo maciço (7x10x20)cm, em paredes de meia vez, com dimensões de (0,20x0,20x0,30)m, assentada com argamassa de cimento e areia no traço 1:4, revestida internamente com a mesma argamassa, inclusive tampa de concreto simples.(desonerado)</t>
  </si>
  <si>
    <t>IT 14.30.0100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</si>
  <si>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escavação.(desonerado)</t>
  </si>
  <si>
    <t>IT 14.30.0103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</si>
  <si>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escavação.(desonerado)</t>
  </si>
  <si>
    <t>IT 14.30.0106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</si>
  <si>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escavação.(desonerado)</t>
  </si>
  <si>
    <t>IT 14.35 Caixas de Gordura</t>
  </si>
  <si>
    <t>IT 14.35.0050 (/)</t>
  </si>
  <si>
    <t>Caixa de gordura simples (CGS) de concreto, conforme especificação da CEDAE, inclusive tampa de concreto, escavação e reaterro, exclusive retirada do material excedente.  Fornecimento e instalação.(desonerado)</t>
  </si>
  <si>
    <t>IT 14.35.0100 (/)</t>
  </si>
  <si>
    <t>Caixa de gordura dupla (CGD) de concreto, conforme especificação da CEDAE, inclusive tampa de concreto, escavação e reaterro, exclusive retirada do material excedente.  Fornecimento e instalação.(desonerado)</t>
  </si>
  <si>
    <t>IT 14.35.0150 (A)</t>
  </si>
  <si>
    <t>Caixa de gordura especial em concreto, conforme especificações da CEDAE, de (0,80x1,50x1,00)m, inclusive tampa de concreto, escavação e reaterro, exclusive retirada do material excedente.  Fornecimento e instalação.(desonerado)</t>
  </si>
  <si>
    <t>IT 14.35.0153 (B)</t>
  </si>
  <si>
    <t>Caixa de gordura especial de alvenaria de tijolo maciço, em paredes de 1 vez (0,20)m, para 350 pessoas, medindo (1x1,20x1)m, inclusive escavação, reaterro e tampão de ferro fundido, exclusive retirada de material excedente. Fornecimento e instalação.(desonerado)</t>
  </si>
  <si>
    <t>IT 14.40 Caixas Sifonadas</t>
  </si>
  <si>
    <t>IT 14.40.0050 (A)</t>
  </si>
  <si>
    <t>Ralo sifonado de PVC rígido, cilíndrico, altura regulável, com diâmetro de 75mm e saída de 40mm.  Fornecimento e instalação.(desonerado)</t>
  </si>
  <si>
    <t>IT 14.40.0100 (A)</t>
  </si>
  <si>
    <t>Caixa sifonada de anel de concreto com diâmetro de 42cm e profundidade de 60cm, inclusive escavação, reaterro, exclusive retirada do material excedente.  Fornecimento e instalação(desonerado)</t>
  </si>
  <si>
    <t>IT 14.45 Fossas Sépticas</t>
  </si>
  <si>
    <t>IT 14.45.0050 (/)</t>
  </si>
  <si>
    <t>Fossa séptica, de câmara submersa, tipo Inhoff de concreto pré-moldado, com capacidade para 5 contribuintes, inclusive escavação e reaterro, exclusive retirada do material excedente.  Fornecimento e instalação.(desonerado)</t>
  </si>
  <si>
    <t>IT 14.45.0100 (/)</t>
  </si>
  <si>
    <t>Fossa séptica, de câmara submersa, tipo Inhoff de concreto pré-moldado, com capacidade para 10 contribuintes, inclusive escavação e reaterro, exclusive retirada do material excedente.  Fornecimento e instalação.(desonerado)</t>
  </si>
  <si>
    <t>IT 14.45.0150 (/)</t>
  </si>
  <si>
    <t>Fossa séptica, de câmara submersa, tipo Inhoff de concreto pré-moldado, com capacidade para 50 contribuintes, inclusive escavação e reaterro, exclusive retirada do material excedente.  Fornecimento e instalação.(desonerado)</t>
  </si>
  <si>
    <t>IT 14.45.0200 (A)</t>
  </si>
  <si>
    <t>Fossa séptica, de câmara submersa, tipo Inhoff de concreto pré-moldado, com capacidade para 100 contribuintes, inclusive escavação e reaterro, exclusive retirada do material excedente.  Fornecimento e instalação.(desonerado)</t>
  </si>
  <si>
    <t>IT 14.50 Filtros</t>
  </si>
  <si>
    <t>IT 14.50.0200 (A)</t>
  </si>
  <si>
    <t>Filtro anaeróbico para 200 contribuintes, em concreto armado, inclusive escavação e reaterro.(desonerado)</t>
  </si>
  <si>
    <t>IT 14.55 Sumidouros</t>
  </si>
  <si>
    <t>IT 14.55.0050 (/)</t>
  </si>
  <si>
    <t>Sumidouro para 10 contribuintes ligado a fossa, exclusive fossas e manilhas.  Fornecimento e instalação.(desonerado)</t>
  </si>
  <si>
    <t>IT 14.60 Instalações Prediais de Esgoto Sanitário, de Águas Pluviais e Servidas</t>
  </si>
  <si>
    <t>IT 14.60.0050 (/)</t>
  </si>
  <si>
    <t>Ligação de água e esgoto à rede pública de residência.(desonerado)</t>
  </si>
  <si>
    <t>IT 14.60.0053 (/)</t>
  </si>
  <si>
    <t>Ligação domiciliar em redes novas de esgoto sanitário, com diâmetro de 100mm, compreendendo junção, tubo e caixa de inspeção de (0,30x0,37)m, exclusive escavação e reaterro.  Preço para 3m.(desonerado)</t>
  </si>
  <si>
    <t>IT 14.60.0056 (/)</t>
  </si>
  <si>
    <t>Ligação domiciliar de esgoto sanitário, compreendendo de manilha cerâmica vidrada e junção cerâmica com diâmetro de 100mm, caixa de inspeção de  anel de concreto pré-moldado (0,30x0,37)m, com tampa e caixilho de ferro fundido.(desonerado)</t>
  </si>
  <si>
    <t>IT 14.60.0059 (/)</t>
  </si>
  <si>
    <t>Ligação domiciliar de esgoto sanitário, compreendendo selim, tubo e caixa de inspeção de (0,30x0,37)m.  Exclusive escavação e reaterro.(desonerado)</t>
  </si>
  <si>
    <t>IT 14.60.0062 (/)</t>
  </si>
  <si>
    <t>Ligação domiciliar de esgoto sanitário, compreendendo selim, tubo e caixa de inspeção de (0,40x0,37)m.  Exclusive escavação e reaterro.(desonerado)</t>
  </si>
  <si>
    <t>IT 14.60.0065 (/)</t>
  </si>
  <si>
    <t>Ligação domiciliar de esgoto sanitário, compreendendo de manilha cerâmica vidrada e junção cerâmica com diâmetro de 100mm, caixa de inspeção de anel de concreto pré-moldado (0,40x0,37)m, com tampa e caixilho de ferro fundido.(desonerado)</t>
  </si>
  <si>
    <t>IT 14.60.0100 (/)</t>
  </si>
  <si>
    <t>Ligação de esgoto sanitário, em manilha de 100mm de diâmetro, incluindo escavação, reaterro até 1m; excluindo remoção e reposição de pavimento.  Preço para 10m.(desonerado)</t>
  </si>
  <si>
    <t>IT 14.60.0103 (B)</t>
  </si>
  <si>
    <t>Ligação predial de esgoto em tubo de PVC rígido de 100mm, compreendendo caixa de inspeção, selim, curva de 45°, tubo e tampão de concreto; exclusive escavação, reaterro, demolição de pavimentos e transporte bota-fora.  Fornecimento e instalação.(desonerado)</t>
  </si>
  <si>
    <t>IT 14.60.0106 (/)</t>
  </si>
  <si>
    <t>Ligação em tubulação de PVC rígido, para esgoto, com 100mm de diâmetro, incluindo escavação e reaterro até 1m, excluindo remoção de pavimento.  Preço para 10m.(desonerado)</t>
  </si>
  <si>
    <t>IT 14.60.0109 (/)</t>
  </si>
  <si>
    <t>Ligação domiciliar em redes novas de esgoto sanitário, com diâmetro de 100mm, compreendendo junção, tubo e caixa de inspeção de 0,60m de diâmetro e profundidade de 0,625m, exclusive escavação e reaterro.  Preço para 5m.(desonerado)</t>
  </si>
  <si>
    <t>IT 14.60.0150 (/)</t>
  </si>
  <si>
    <t>Ligação de esgoto, em manilha cerâmica de 150mm de diâmetro, incluindo escavação, reaterro até 1m, excluindo remoção e reposição de pavimento.  Preço para 10m.(desonerado)</t>
  </si>
  <si>
    <t>IT 14.60.0153 (/)</t>
  </si>
  <si>
    <t>Ligação em tubulação de PVC rígido, para esgoto, com 150mm de diâmetro, incluindo escavação e reaterro até 1m, excluindo remoção de pavimento.  Preço para 10m.(desonerado)</t>
  </si>
  <si>
    <t>IT 14.60.0156 (/)</t>
  </si>
  <si>
    <t>Ligação de esgoto, em manilha cerâmica de 200mm de diâmetro, incluindo escavação, reaterro até 1m, excluindo remoção e reposição de pavimento.  Preço para 10m.(desonerado)</t>
  </si>
  <si>
    <t>IT 14.60.0500 (/)</t>
  </si>
  <si>
    <t>Ligação de águas pluviais ou servidas domiciliares à sarjeta.(desonerado)</t>
  </si>
  <si>
    <t>IT 14.60.0550 (/)</t>
  </si>
  <si>
    <t>Ligação de águas pluviais ou servidas domiciliares à vala.(desonerado)</t>
  </si>
  <si>
    <t>IT 14.65 Grelhas</t>
  </si>
  <si>
    <t>IT 14.65.0050 (/)</t>
  </si>
  <si>
    <t>Grade metálica em aço carbono, galvanizada, tipo PS-253-70, nas dimensões de (1120x530)mm, sem recortes.  Fornecimento e instalação sobre cantoneiras de ferro existentes.(desonerado)</t>
  </si>
  <si>
    <t>IT 14.65.0053 (/)</t>
  </si>
  <si>
    <t>Grade metálica em aço carbono, galvanizada, tipo PS-253-70, nas dimensões de (1120x570)mm, sem recortes.  Fornecimento e instalação sobre cantoneiras de ferro existentes.(desonerado)</t>
  </si>
  <si>
    <t>IT 14.65.0100 (/)</t>
  </si>
  <si>
    <t>Grade metálica em aço carbono, galvanizada, tipo PS-253-70, nas dimensões de (1190x580)mm, sem recortes.  Fornecimento e instalação sobre cantoneiras de ferro existentes.(desonerado)</t>
  </si>
  <si>
    <t>IT 14.65.0150 (/)</t>
  </si>
  <si>
    <t>Grade metálica em aço carbono, galvanizada, tipo PS-253-70, nas dimensões de (1195x530)mm, sem recortes.  Fornecimento e instalação sobre cantoneiras de ferro existentes.(desonerado)</t>
  </si>
  <si>
    <t>IT 19.05 Instação Hidro-Sanitária em Aparelhos Individuais</t>
  </si>
  <si>
    <t>IT 19.05.0100 (/)</t>
  </si>
  <si>
    <t>Caixa de descarga elevada (exclusive o fornecimento da caixa), compreendendo: 2m de tubo de PVC rígido de 3/4", 1,20m de tubo de PVC rígido de 40mm, conexões e montagem.  Instalação e assentamento.(desonerado)</t>
  </si>
  <si>
    <t>IT 19.05.0150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</si>
  <si>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assentamento.(desonerado)</t>
  </si>
  <si>
    <t>IT 19.05.0200 (/)</t>
  </si>
  <si>
    <t>Chuveiro, exclusive fornecimento do aparelho e registros, compreendendo: 5m de tubo de PVC rígido de 3/4", ralo simples de PVC rígido com grelha, 2m de tubo de PVC rígido de 50mm e conexões.  Instalação e assentamento.(desonerado)</t>
  </si>
  <si>
    <t>IT 19.05.0209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</si>
  <si>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largura.(desonerado)</t>
  </si>
  <si>
    <t>IT 19.05.0250 (/)</t>
  </si>
  <si>
    <t>Duchinha manual para banheiro, exclusive fornecimento do aparelho.  Instalação e assentamento.(desonerado)</t>
  </si>
  <si>
    <t>IT 19.05.0300 (/)</t>
  </si>
  <si>
    <t>Execução de uma junta elástica, em tubo de ferro fundido com diâmetro de 50mm, inclusive material da junta, exclusive tubo ou peça de conexão.(desonerado)</t>
  </si>
  <si>
    <t>IT 19.05.0350 (/)</t>
  </si>
  <si>
    <t>Filtro residencial (exclusive fornecimento do aparelho), compreendendo: 2m de tubo de PVC rígido de 3/4", conexões e torneira.  Instalação e assentamento.(desonerado)</t>
  </si>
  <si>
    <t>IT 19.05.0353 (/)</t>
  </si>
  <si>
    <t>Filtro, exclusive fornecimento do aparelho, compreendendo: 2m de tubo de ferro galvanizado de 3/4", conexões e torneira.  Instalação e assentamento.(desonerado)</t>
  </si>
  <si>
    <t>IT 19.05.0400 (/)</t>
  </si>
  <si>
    <t>Lavatório de 1 torneira (exclusive o fornecimento do aparelho), compreendendo: 4m de tubo PVC rígido de 3/4", 3m de tubo PVC rígido de 40mm, e conexões.  Instalação e assentamento.(desonerado)</t>
  </si>
  <si>
    <t>IT 19.05.0403 (/)</t>
  </si>
  <si>
    <t>Lavatório de uma torneira, exclusive fornecimento do aparelho e isolamento, compreendendo: 4m de tubo de cobre recozido, sodas e conexões.  Instalação e assentamento.(desonerado)</t>
  </si>
  <si>
    <t>IT 19.05.0453 (/)</t>
  </si>
  <si>
    <t>Lavatório com 2 torneiras, inclusive tubo de PVC rígido e conexões, exclusive o lavatório e os metais.  Instalação e assentamento.(desonerado)</t>
  </si>
  <si>
    <t>IT 19.05.0500 (/)</t>
  </si>
  <si>
    <t>Lavatório ou aparelho de instalação semelhante, em bateria, exclusive o fornecimento do aparelho, compreendendo: 1m de tubo PVC rígido de 1", 0,6m de tubo PVC rígido de 3/4" com conexões e esgotamento, PVC rígido de 50mm, até o ralo.  Instalação e assentamento.(desonerado)</t>
  </si>
  <si>
    <t>IT 19.05.0553 (A)</t>
  </si>
  <si>
    <t>Pia com 1 cuba (exclusive fornecimento do aparelho), compreendendo: 6m de tubo de PVC rígido de 3/4", 3m tubo de PVC rígido de 50mm e conexões.  Instalação e assentamento.(desonerado)</t>
  </si>
  <si>
    <t>IT 19.05.0600 (/)</t>
  </si>
  <si>
    <t>Pia com 2 cubas (exclusive fornecimento do aparelho), compreendendo: 6m de tubo de PVC rígido de 3/4", 3m de tubo de PVC rígido de 80mm e conexões.  Instalação e assentamento.(desonerado)</t>
  </si>
  <si>
    <t>IT 19.05.0650 (A)</t>
  </si>
  <si>
    <t>Ligação a coluna de esgoto de pias em tubo de PVC rígido de 50mm com conexões.(desonerado)</t>
  </si>
  <si>
    <t>IT 19.05.0750 (/)</t>
  </si>
  <si>
    <t>Mictório, exclusive fornecimento do aparelho, compreendendo: 3m de tubo de PVC rígido de 3/4", 2m de tubo de PVC rígido de 40mm e conexões.  Instalação e assentamento.(desonerado)</t>
  </si>
  <si>
    <t>IT 19.05.0759 (/)</t>
  </si>
  <si>
    <t>Mictório tipo calha, exclusive fornecimento do aparelho, compreendendo: 3m de tubo de PVC rígido de 3/4", 3m de tubo de PVC rígido de 50mm, conexões, registro e válvula de saída.  Instalação e assentamento.(desonerado)</t>
  </si>
  <si>
    <t>IT 19.05.0800 (A)</t>
  </si>
  <si>
    <t>Ralo simples de PVC rígido, com grelha, compreendendo: efluente de 40mm em PVC rígido com 2m de extensão e ligação ao ralo sifonado.  Fornecimento e instalação.(desonerado)</t>
  </si>
  <si>
    <t>IT 19.05.0850 (/)</t>
  </si>
  <si>
    <t>Ralo sifonado de PVC rígido, em pavimento térreo, com saída de 75mm, grelha redonda e porta grelha, compreendendo: 3m de tubo de PVC rígido de 75mm e ligação até a junção de ventilação.  Fornecimento e instalação.(desonerado)</t>
  </si>
  <si>
    <t>IT 19.05.0853 (A)</t>
  </si>
  <si>
    <t>Ralo sifonado de PVC rígido em pavimento elevado, com saída de 75mm, grelha redonda e porta-grelha, compreendendo: 3m de tubo de PVC rígido de 75mm e sua ligação ao ramal de queda e ventilação.  Fornecimento e instalação.(desonerado)</t>
  </si>
  <si>
    <t>IT 19.05.0860 (A)</t>
  </si>
  <si>
    <t>Ralo sifonado de PVC rígido, cilíndrico, de altura regulável, com diâmetro de 100mm e saída de 40mm.  Fornecimento e instalação.(desonerado)</t>
  </si>
  <si>
    <t>IT 19.05.0900 (/)</t>
  </si>
  <si>
    <t>Ralo de cobertura semi-esférico de ferro fundido, tipo abacaxi, com 3".  Fornecimento e instalação.(desonerado)</t>
  </si>
  <si>
    <t>IT 19.05.0903 (/)</t>
  </si>
  <si>
    <t>Ralo de cobertura semi-esférico de ferro fundido, tipo abacaxi, com 4".  Fornecimento e instalação.(desonerado)</t>
  </si>
  <si>
    <t>IT 19.05.0950 (/)</t>
  </si>
  <si>
    <t>Reparo de válvula de descarga.  Fornecimento e substituição.(desonerado)</t>
  </si>
  <si>
    <t>IT 19.05.1000 (A)</t>
  </si>
  <si>
    <t>Tanque de serviço (exclusive o fornecimento do aparelho), compreendendo: 6m de tubo de PVC rígido de 3/4", 3m de tubo de PVC rígido de 50mm e conexões.  Instalação e assentamento.(desonerado)</t>
  </si>
  <si>
    <t>IT 19.05.1050 (/)</t>
  </si>
  <si>
    <t>Válvula de descarga, em PVC rígido.  Exclusive fornecimento da válvula.  Instalação e assentamento.(desonerado)</t>
  </si>
  <si>
    <t>IT 19.05.1106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</si>
  <si>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assentamento.(desonerado)</t>
  </si>
  <si>
    <t>IT 19.05.1109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</si>
  <si>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assentamento.(desonerado)</t>
  </si>
  <si>
    <t>IT 19.05.1153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</si>
  <si>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assentamento.(desonerado)</t>
  </si>
  <si>
    <t>IT 19.05.1159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</si>
  <si>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assentamento.(desonerado)</t>
  </si>
  <si>
    <t>IT 19.05.1162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</si>
  <si>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assentamento.(desonerado)</t>
  </si>
  <si>
    <t>IT 19.10 Instação Hidro-Sanitária em Aparelhos em Bateria</t>
  </si>
  <si>
    <t>IT 19.10.0050 (/)</t>
  </si>
  <si>
    <t>Instalação e assentamento de 1 chuveiro em bateria, exclusive fornecimento do aparelho e registro.(desonerado)</t>
  </si>
  <si>
    <t>IT 24.02 Abertura e Fechamento Manual de Rasgo em Alvenaria e Concreto</t>
  </si>
  <si>
    <t>IT 24.02.0050 (/)</t>
  </si>
  <si>
    <t>Corte em alvenaria de tijolo, para instalação de caixa de (0,25x0,25x0,12)m, inclusive arremates de recomposição.(desonerado)</t>
  </si>
  <si>
    <t>IT 24.02.0100 (/)</t>
  </si>
  <si>
    <t>Corte em alvenaria de tijolo, para instalação de caixa de (0,35x0,45x0,15)m, inclusive arremates de recomposição.(desonerado)</t>
  </si>
  <si>
    <t>IT 24.02.0150 (/)</t>
  </si>
  <si>
    <t>Corte em alvenaria de tijolo, para instalação de caixa de (0,50x1x0,15)m, inclusive arremates de recomposição.(desonerado)</t>
  </si>
  <si>
    <t>IT 24.02.0200 (/)</t>
  </si>
  <si>
    <t>Corte em alvenaria de tijolo, para instalação de caixa de (1x1x0,15)m, inclusive arremates de recomposição.(desonerado)</t>
  </si>
  <si>
    <t>IT 24.04 Eletroduto de PVC Rígido Roscável</t>
  </si>
  <si>
    <t>IT 24.04.0050 (A)</t>
  </si>
  <si>
    <t>Eletroduto de PVC rígido, diâmetro de 1/2", inclusive conexões e emendas, exclusive abertura e fechamento de rasgo.  Fornecimento e instalação.(desonerado)</t>
  </si>
  <si>
    <t>IT 24.04.0053 (A)</t>
  </si>
  <si>
    <t>Eletroduto de PVC rígido, diâmetro de 3/4", inclusive conexões e emendas, exclusive abertura e fechamento de rasgo.  Fornecimento e instalação.(desonerado)</t>
  </si>
  <si>
    <t>IT 24.04.0056 (A)</t>
  </si>
  <si>
    <t>Eletroduto de PVC rígido, diâmetro de 1", inclusive conexões e emendas, exclusive abertura e fechamento de rasgo.  Fornecimento e instalação.(desonerado)</t>
  </si>
  <si>
    <t>IT 24.04.0059 (A)</t>
  </si>
  <si>
    <t>Eletroduto de PVC rígido, diâmetro de 1 1/4", inclusive conexões e emendas, exclusive abertura e fechamento de rasgo.  Fornecimento e instalação.(desonerado)</t>
  </si>
  <si>
    <t>IT 24.04.0062 (A)</t>
  </si>
  <si>
    <t>Eletroduto de PVC rígido, diâmetro de 1 1/2", inclusive conexões e emendas, exclusive abertura e fechamento de rasgo.  Fornecimento e instalação.(desonerado)</t>
  </si>
  <si>
    <t>IT 24.04.0065 (A)</t>
  </si>
  <si>
    <t>Eletroduto de PVC rígido, diâmetro de 2", inclusive conexões e emendas, exclusive abertura e fechamento de rasgo.  Fornecimento e instalação.(desonerado)</t>
  </si>
  <si>
    <t>IT 24.04.0068 (A)</t>
  </si>
  <si>
    <t>Eletroduto de PVC rígido, diâmetro de 3", inclusive conexões e emendas, exclusive abertura e fechamento de rasgo.  Fornecimento e instalação.(desonerado)</t>
  </si>
  <si>
    <t>IT 24.04.0071 (A)</t>
  </si>
  <si>
    <t>Eletroduto de PVC rígido, diâmetro de 4", inclusive conexões e emendas, exclusive abertura e fechamento de rasgo.  Fornecimento e instalação.(desonerado)</t>
  </si>
  <si>
    <t>IT 24.06 Conexões para Eletroduto de PVC Rígido Roscável</t>
  </si>
  <si>
    <t>IT 24.06.0053 (/)</t>
  </si>
  <si>
    <t>Curva de 90°, para eletroduto de PVC rígido, roscável, com diâmetro de 3/4".  Fornecimento e instalação.(desonerado)</t>
  </si>
  <si>
    <t>IT 24.06.0056 (/)</t>
  </si>
  <si>
    <t>Curva de 90°, para eletroduto de PVC rígido, roscável, com diâmetro de 1".  Fornecimento e instalação.(desonerado)</t>
  </si>
  <si>
    <t>IT 24.08 Eletroduto de PVC Espiral Corrugado</t>
  </si>
  <si>
    <t>IT 24.08.0050 (A)</t>
  </si>
  <si>
    <t>Eletroduto de PVC aspiral corrugado, diâmetro de 1/2", inclusive conexões e emendas.  Fornecimento e instalação.(desonerado)</t>
  </si>
  <si>
    <t>IT 24.08.0053 (A)</t>
  </si>
  <si>
    <t>Eletroduto de PVC aspiral corrugado, diâmetro de 3/4", inclusive conexões e emendas.  Fornecimento e instalação.(desonerado)</t>
  </si>
  <si>
    <t>IT 24.08.0056 (A)</t>
  </si>
  <si>
    <t>Eletroduto de PVC aspiral corrugado, diâmetro de 1", inclusive conexões e emendas.  Fornecimento e instalação.(desonerado)</t>
  </si>
  <si>
    <t>IT 24.10 Eletroduto de PAD Espiral Flexível</t>
  </si>
  <si>
    <t>IT 24.10.0056 (/)</t>
  </si>
  <si>
    <t>Eletroduto espiral flexível de polietileno de alta densidade, tipo Kanalex ou similar, diâmetro de 32mm (1 1/4"), com arame-guia galvanizado revestido em PVC, inclusive emendas e tamponamento.  Fornecimento.(desonerado)</t>
  </si>
  <si>
    <t>IT 24.10.0062 (/)</t>
  </si>
  <si>
    <t>Eletroduto espiral flexível em polietileno de alta densidade, tipo Kanalex ou similar, diâmetro de 50mm (2" ), com arame-guia galvanizado revestido em PVC, inclusive emendas e tamponamento.  Fornecimento.(desonerado)</t>
  </si>
  <si>
    <t>IT 24.10.0065 (A)</t>
  </si>
  <si>
    <t>Eletroduto espiral flexível em polietileno de alta densidade, tipo Kanalex ou similar, diâmetro de 75mm (3" ), com arame-guia galvanizado revestido em PVC, inclusive emendas e tamponamento.  Fornecimento.(desonerado)</t>
  </si>
  <si>
    <t>IT 24.10.0068 (/)</t>
  </si>
  <si>
    <t>Eletroduto espiral flexível de polietileno de alta densidade, tipo Kanalex ou similar, diâmetro de 100mm (4" ), com arame-guia galvanizado revestido em PVC, inclusive emendas e tamponamento.  Fornecimento.(desonerado)</t>
  </si>
  <si>
    <t>IT 24.10.0071 (/)</t>
  </si>
  <si>
    <t>Eletroduto espiral flexível de polietileno de alta densidade, tipo Kanalex ou similar, diâmetro de 125mm (5" ), com arame-guia galvanizado revestido em PVC, inclusive emendas e tamponamento.  Fornecimento.(desonerado)</t>
  </si>
  <si>
    <t>IT 24.10.0106 (/)</t>
  </si>
  <si>
    <t>Linha de duto espiral flexível de polietileno de alta densidade, tipo Kanalex ou similar, diâmetro de 32mm (1 1/4" ),  com arame-guia galvanizado revestido em PVC, inclusive emendas e tamponamento, exclusive escavação e reaterro.(desonerado)</t>
  </si>
  <si>
    <t>IT 24.10.0112 (/)</t>
  </si>
  <si>
    <t>Linha de duto espiral flexível em polietileno de alta densidade, tipo Kanalex ou similar, diâmetro de 50mm (2" ), lançado diretamente ao solo com com arame-guia galvanizado revestido em PVC, inclusive emendas e tamponamento, exclusive excavação e reaterro.(desonerado)</t>
  </si>
  <si>
    <t>IT 24.10.0115 (/)</t>
  </si>
  <si>
    <t>Linha de duto espiral flexível em polietileno de alta densidade, tipo Kanalex ou similar, diâmetro de 75mm (3" ), lançado diretamente ao solo com com arame-guia galvanizado revestido em PVC, inclusive emendas e tamponamento, exclusive excavação e reaterro.(desonerado)</t>
  </si>
  <si>
    <t>IT 24.10.0118 (/)</t>
  </si>
  <si>
    <t>Linha de duto espiral flexível de polietileno de alta densidade, tipo Kanalex ou similar, diâmetro de 100mm (4" ), com arame-guia galvanizado revestido em PVC, inclusive emendas e tamponamento, exclusive escavação e reaterro.(desonerado)</t>
  </si>
  <si>
    <t>IT 24.10.0121 (/)</t>
  </si>
  <si>
    <t>Linha de duto espiral flexível de polietileno de alta densidade, tipo Kanalex ou similar, diâmetro de 125mm (5" ), com arame-guia galvanizado revestido em PVC, inclusive emendas e tamponamento, exclusive escavação e reaterro.(desonerado)</t>
  </si>
  <si>
    <t>IT 24.10.0156 (/)</t>
  </si>
  <si>
    <t>Linha dupla de duto espiral flexível em polietileno de alta densidade, tipo Kanalex ou similar, diâmetro de 50mm (2" ), lançadi diretamente ao solo com com arame-guia galvanizado revestido em PVC, inclusive emendas e tamponamento, exclusive excavação e reaterro.(desonerado)</t>
  </si>
  <si>
    <t>IT 24.10.0159 (/)</t>
  </si>
  <si>
    <t>Linha dupla de duto espiral flexível em polietileno de alta densidade, tipo Kanalex ou similar, diâmetro de 75mm (3" ), lançadi diretamente ao solo com com arame-guia galvanizado revestido em PVC, inclusive emendas e tamponamento, exclusive excavação e reaterro.(desonerado)</t>
  </si>
  <si>
    <t>IT 24.10.0162 (/)</t>
  </si>
  <si>
    <t>Linha dupla de duto espiral flexível de polietileno de alta densidade, tipo Kanalex ou similar, diâmetro de 100mm (4" ),lançado diretamente no solo com arame-guia galvanizado revestido em PVC, inclusive emendas e tamponamento, exclusive escavação e reaterro.(desonerado)</t>
  </si>
  <si>
    <t>IT 24.10.0165 (/)</t>
  </si>
  <si>
    <t>Linha dupla de duto espiral flexível de polietileno de alta densidade, tipo Kanalex ou similar, diâmetro de 125mm (5" ),lançado diretamente no solo com arame-guia galvanizado revestido em PVC, inclusive emendas e tamponamento, exclusive escavação e reaterro.(desonerado)</t>
  </si>
  <si>
    <t>IT 24.12 Eletroduto de PVC Rígido para Telefone</t>
  </si>
  <si>
    <t>IT 24.12.0050 (/)</t>
  </si>
  <si>
    <t>Construção de linha simples de tubo de PVC rígido, série R de 100mm, para proteção de condutores de sistema de telefonia, assentados e cobertos com camada de concreto simples, exclusive escavação e reaterro.(desonerado)</t>
  </si>
  <si>
    <t>IT 24.12.0100 (/)</t>
  </si>
  <si>
    <t>Construção de linha dupla de tubo de PVC rígido, série R de 100mm, para proteção de condutores de sistema de telefonia, assentados e cobertos com camada de concreto simples, exclusive escavação e reaterro.(desonerado)</t>
  </si>
  <si>
    <t>IT 24.12.0150 (/)</t>
  </si>
  <si>
    <t>Construção de linha tripla de tubo de PVC rígido, série R de 100mm, para proteção de condutores de sistema de telefonia, assentados e cobertos com camada de concreto simples, exclusive escavação e reaterro.(desonerado)</t>
  </si>
  <si>
    <t>IT 24.12.0200 (/)</t>
  </si>
  <si>
    <t>Construção de linha quádrupla de tubo de PVC rígido, série R de 100mm, para proteção de condutores de sistema de telefonia, assentados e cobertos com camada de concreto simples, exclusive escavação e reaterro.(desonerado)</t>
  </si>
  <si>
    <t>IT 24.12.0300 (/)</t>
  </si>
  <si>
    <t>Construção de linha sextupla de tubo de PVC rígido, série R de 100mm, para proteção de condutores de sistema de telefonia, assentados e cobertos com camada de concreto simples, exclusive escavação e reaterro.(desonerado)</t>
  </si>
  <si>
    <t>IT 24.13 Canaletas de PVC e Acessórios</t>
  </si>
  <si>
    <t>IT 24.13.0200 (/)</t>
  </si>
  <si>
    <t>Canaleta em PVC tipo evolutiva DLP 80x35mm, em peça de 2,00m, com tampa flexível e cotovelo 90º, fabricação Pial Legrand ou similar.  Fornecimento e instalação.(desonerado)</t>
  </si>
  <si>
    <t>IT 24.13.0500 (/)</t>
  </si>
  <si>
    <t>Tomada 2P+T - 10A/250V padrão brasileiro, sistema "X" fabricação Pial Legrand ou similar.  Fornecimento e instalação.(desonerado)</t>
  </si>
  <si>
    <t>IT 24.13.0700 (/)</t>
  </si>
  <si>
    <t>Tomada RJ11 2 fios, sistema "X", fabricação Pial Legrand ou similar.  Fornecimento e instalação.(desonerado)</t>
  </si>
  <si>
    <t>IT 24.13.1200 (/)</t>
  </si>
  <si>
    <t>Tomada padrão brasileiro 2P+T 10A/250V, em módulo Pialplus, com placa e suporte para mecanismo de 01 posto, para canaleta em PVC tipo evolutiva DLP 80x35mm, fabricação Pial Legrand ou similar.  Fornecimento e instalação.(desonerado)</t>
  </si>
  <si>
    <t>IT 24.13.1300 (/)</t>
  </si>
  <si>
    <t>Tomada RJ11, em módulo Pialplus, com placa e suporte para mecanismo de 01 posto, para canaleta evolutiva 80x35mm, sistema DLP, fabricação Pial Legrand ou similar.  Fornecimento e instalação.(desonerado)</t>
  </si>
  <si>
    <t>IT 24.14 Eletroduto de Ferro Galvanizado</t>
  </si>
  <si>
    <t>IT 24.14.0053 (A)</t>
  </si>
  <si>
    <t>Eletroduto de ferro galvanizado, diâmetro de 19mm (3/4"), inclusive conexões e emendas, exclusive abertura de rasgo.  Fornecimento e instalação.(desonerado)</t>
  </si>
  <si>
    <t>IT 24.14.0056 (A)</t>
  </si>
  <si>
    <t>Eletroduto de ferro galvanizado, diâmetro de 25mm (1"), inclusive conexões e emendas, exclusive abertura e fechamento rasgo.  Fornecimento e instalação.(desonerado)</t>
  </si>
  <si>
    <t>IT 24.14.0059 (A)</t>
  </si>
  <si>
    <t>Eletroduto de ferro galvanizado, diâmetro de 40mm(1 1/2"), inclusive conexões e emendas, exclusive abertura e fechamento rasgo.  Fornecimento e instalação.(desonerado)</t>
  </si>
  <si>
    <t>IT 24.14.0062 (A)</t>
  </si>
  <si>
    <t>Eletroduto de ferro galvanizado, diâmetro de 50mm (2"), inclusive conexões e emendas, exclusive abertura e fechamento rasgo.  Fornecimento e instalação.(desonerado)</t>
  </si>
  <si>
    <t>IT 24.14.0065 (/)</t>
  </si>
  <si>
    <t>Eletroduto de ferro galvanizado, diâmetro de 50mm (2"), exclusive luvas, curvas, abertura e fechamento de rasgo.  Fornecimento e instalação.(desonerado)</t>
  </si>
  <si>
    <t>IT 24.14.0068 (A)</t>
  </si>
  <si>
    <t>Eletroduto de ferro galvanizado, diâmetro de 65mm(2 1/2"), inclusive conexões e emendas, exclusive abertura e fechamento de rasgo.  Fornecimento e instalação.(desonerado)</t>
  </si>
  <si>
    <t>IT 24.14.0071 (/)</t>
  </si>
  <si>
    <t>Eletroduto de ferro galvanizado, diâmetro de 75mm (3"), exclusive luvas, curvas, abertura e fechamento rasgo.  Fornecimento e instalação.(desonerado)</t>
  </si>
  <si>
    <t>IT 24.14.0074 (A)</t>
  </si>
  <si>
    <t>Eletroduto de ferro galvanizado, diâmetro de 75mm (3"), inclusive conexões e emendas, exclusive abertura e fechamento rasgo.  Fornecimento e instalação.(desonerado)</t>
  </si>
  <si>
    <t>IT 24.14.0077 (A)</t>
  </si>
  <si>
    <t>Eletroduto de ferro galvanizado, diâmetro de 100mm (4"), inclusive conexões e emendas, exclusive abertura e fechamento rasgo.  Fornecimento e instalação.(desonerado)</t>
  </si>
  <si>
    <t>IT 24.14.0109 (A)</t>
  </si>
  <si>
    <t>Eletroduto tipo pesado, com diâmetro de 32mm(1 1/4"), inclusive conexões e emendas, exclusive abertura e fechamento de rasgo.  Fornecimento e instalação.(desonerado)</t>
  </si>
  <si>
    <t>IT 24.16 Conexões de Ferro Galvanizado</t>
  </si>
  <si>
    <t>IT 24.16.0050 (/)</t>
  </si>
  <si>
    <t>Bucha redonda de ferro galvanizado, diâmetro de 50mm (2"), para o de 25mm (1").  Fornecimento e instalação.(desonerado)</t>
  </si>
  <si>
    <t>IT 24.16.0150 (/)</t>
  </si>
  <si>
    <t>Curva longa de ferro galvanizado, diâmetro de 50mm (2").  Fornecimento e instalação.(desonerado)</t>
  </si>
  <si>
    <t>IT 24.18 Eletrocalha</t>
  </si>
  <si>
    <t>IT 24.18.0050 (A)</t>
  </si>
  <si>
    <t>Eletrocalha perfurada, dobra "C", medindo (200x75)mm.  Fornecimento e instalação.(desonerado)</t>
  </si>
  <si>
    <t>IT 24.18.0100 (A)</t>
  </si>
  <si>
    <t>Eletrocalha perfurada, dobra "C", medindo (500x75)mm.  Fornecimento e instalação.(desonerado)</t>
  </si>
  <si>
    <t>IT 24.18.0150 (/)</t>
  </si>
  <si>
    <t>Eletrocalha perfurada U, medindo (100x100)mm, sem tampa.  Fornecimento.(desonerado)</t>
  </si>
  <si>
    <t>IT 24.18.0250 (/)</t>
  </si>
  <si>
    <t>Eletrocalha perfurada U, medindo (300x150)mm, sem tampa.  Fornecimento.(desonerado)</t>
  </si>
  <si>
    <t>IT 24.20 Ponto de Luz</t>
  </si>
  <si>
    <t>IT 24.20.0050 (/)</t>
  </si>
  <si>
    <t>Conjunto de embutir Pial Silentoque, fosforescente, com placa, 1 tecla paralela e 1 tomada universal redonda.  Fornecimento e instalação.(desonerado)</t>
  </si>
  <si>
    <t>IT 24.20.0100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</si>
  <si>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alvenaria.(desonerado)</t>
  </si>
  <si>
    <t>IT 24.20.0103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</si>
  <si>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alvenaria.(desonerado)</t>
  </si>
  <si>
    <t>IT 24.20.0106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</si>
  <si>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alvenaria.(desonerado)</t>
  </si>
  <si>
    <t>IT 24.20.0150 (A)</t>
  </si>
  <si>
    <t>Instalação de ponto de luz aparente, sobre madeira, compreendendo: fita isolante, plafonier, receptáculo, parafusos e buchas de nylon, 12m de fio paralelo de 2,5mm2.(desonerado)</t>
  </si>
  <si>
    <t>IT 24.20.0200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</si>
  <si>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alvenaria.(desonerado)</t>
  </si>
  <si>
    <t>IT 24.20.0250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</si>
  <si>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alvenaria.(desonerado)</t>
  </si>
  <si>
    <t>IT 24.20.0300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</si>
  <si>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alvenaria.(desonerado)</t>
  </si>
  <si>
    <t>IT 24.20.0303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</si>
  <si>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alvenaria.(desonerado)</t>
  </si>
  <si>
    <t>IT 24.20.0350 (/)</t>
  </si>
  <si>
    <t>Instalação de um conjunto de 5 pontos de luz com eletroduto de PVC rígido de 1/2", inclusive abertura e fechamento de rasgo em alvenaria.(desonerado)</t>
  </si>
  <si>
    <t>IT 24.20.0353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</si>
  <si>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alvenaria.(desonerado)</t>
  </si>
  <si>
    <t>IT 24.20.0400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</si>
  <si>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alvenaria.(desonerado)</t>
  </si>
  <si>
    <t>IT 24.20.0403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</si>
  <si>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alvenaria.(desonerado)</t>
  </si>
  <si>
    <t>IT 24.20.0450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</si>
  <si>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alvenaria.(desonerado)</t>
  </si>
  <si>
    <t>IT 24.20.0501 (/)</t>
  </si>
  <si>
    <t>Instalação de ponto de campainha de alta potência, compreendendo: 5 varas de eletroduto de 3/4", 50m de fio # 1,5mm², botão e campainha sincronizada de 8".(desonerado)</t>
  </si>
  <si>
    <t>IT 24.20.0504 (/)</t>
  </si>
  <si>
    <t>Instalação de ponto de campainha tipo cigarra, compreendendo: 3 varas de eletroduto de 3/4", 20m de fio # 1,5mm², botão e cigarra.(desonerado)</t>
  </si>
  <si>
    <t>IT 24.22 Ponto de Força</t>
  </si>
  <si>
    <t>IT 24.22.0050 (/)</t>
  </si>
  <si>
    <t>Instalação de ponto de força até 2 CV, equivalente a 2 varas de eletroduto pesado de 1/2", Apollo ou similar.(desonerado)</t>
  </si>
  <si>
    <t>IT 24.22.0053 (/)</t>
  </si>
  <si>
    <t>Instalação de ponto de força até 2 CV, equivalente a 2 varas de eletroduto de PVC rígido de 1/2", 20m de fio de 2,5mm2, caixas e conexões.(desonerado)</t>
  </si>
  <si>
    <t>IT 24.22.0100 (/)</t>
  </si>
  <si>
    <t>Instalação de ponto de força até 4 CV, equivalente a 2 varas de eletroduto pesado de 3/4" Apollo ou similar.(desonerado)</t>
  </si>
  <si>
    <t>IT 24.22.0150 (A)</t>
  </si>
  <si>
    <t>Instalação de ponto de força até 5 CV, equivalente a 2 varas de eletroduto pesado de 3/4" Apollo, 20m de fio 4mm2, caixas e conexões.(desonerado)</t>
  </si>
  <si>
    <t>IT 24.22.0500 (A)</t>
  </si>
  <si>
    <t>Instalação de ponto de força até 10 CV, equivalente a 2 varas de eletroduto pesado de 1" Apollo, 20m de fio 6mm2, caixas e conexões.(desonerado)</t>
  </si>
  <si>
    <t>IT 24.22.0550 (/)</t>
  </si>
  <si>
    <t>Instalação de ponto de força até 15 CV, equivalente a 2 varas de eletroduto de PVC rígido de 1 1/2".(desonerado)</t>
  </si>
  <si>
    <t>IT 24.24 Ponto Telefônico</t>
  </si>
  <si>
    <t>IT 24.24.0050 (A)</t>
  </si>
  <si>
    <t>Instalação de ponto de telefone, compreendendo: 3 varas de eletroduto de 3/4", conexões, caixas e guia de arame galvanizado nº 16.(desonerado)</t>
  </si>
  <si>
    <t>IT 24.26 Ponto de Tomada</t>
  </si>
  <si>
    <t>IT 24.26.0025 (/)</t>
  </si>
  <si>
    <t>Instalação de ponto de tomada com 1 vara em eletroduto de PVC, rígido 3/4", 10,5m de diâmetro 2,5mm2, inclusive abertura e fechamento de rasgo de alvenaria.(desonerado)</t>
  </si>
  <si>
    <t>IT 24.26.0050 (A)</t>
  </si>
  <si>
    <t>Instalação de ponto de tomada equivalente a 2 varas de eletroduto de PVC rígido de 1/2", 19,5m de fio 2,5mm2, 1 caixa 4"X2", conexões e tomada de embutir com placa fosforescente, linha Silentoque, da Pial ou similar, inclusive abertura e fechamento de rasgo em alvenaria.(desonerado)</t>
  </si>
  <si>
    <t>IT 24.26.0100 (A)</t>
  </si>
  <si>
    <t>Instalação de ponto de tomada equivalente a 2 varas de eletroduto de PVC rígido de 3/4", 19m de fio 2,5mm2, 1caixa 4"X2", conexões e tomada de embutir com placa fosforescente, linha Silentoque, da Pial ou similar, inclusive abertura e fechamento de rasgo em alvenaria.(desonerado)</t>
  </si>
  <si>
    <t>IT 24.26.0103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</si>
  <si>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alvenaria.(desonerado)</t>
  </si>
  <si>
    <t>IT 24.26.0109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</si>
  <si>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alvenaria.(desonerado)</t>
  </si>
  <si>
    <t>IT 24.26.0112 (/)</t>
  </si>
  <si>
    <t>Fornecimento e instalação de tomada fosforescente Universal, linha Silentoque, da Pial ou similar, externa, com placa.(desonerado)</t>
  </si>
  <si>
    <t>IT 24.26.0115 (/)</t>
  </si>
  <si>
    <t>Instalação de tomada de embutir, referência 54322, 3P-20A, linha Silentoque, da Pial ou similar, com placa, inclusive fornecimento.(desonerado)</t>
  </si>
  <si>
    <t>IT 24.26.0118 (A)</t>
  </si>
  <si>
    <t>Instalação para ponto de rede de computador equivalente a 2 varas de eletroduto de PVC rígido de 3/4", 6,5m de cabo para rede (KMP, 4 pares, 8 vias, categoria 5), conector RJ 45, inclusive abertura e fechamento de rasgo de alvenaria.(desonerado)</t>
  </si>
  <si>
    <t>IT 24.26.0150 (A)</t>
  </si>
  <si>
    <t>Instalação de ponto de tomada de sobrepor, compreendendo: 12m de fio paralelo de 2,5mm2, bucha de nylon, parafusos e tomada de sobrepor.(desonerado)</t>
  </si>
  <si>
    <t>IT 24.26.0200 (/)</t>
  </si>
  <si>
    <t>Fornecimento e instalação de tomada de piso simples 4"x2", 2 pinos mais terra (2p+t), universal, com corpo em alumínio fundido e tampa em latão polido (tipo unha), 25A/600V.(desonerado)</t>
  </si>
  <si>
    <t>IT 24.26.0250 (/)</t>
  </si>
  <si>
    <t>Instalação de um conjunto de 3 tomadas equivalentes a 4 varas de eletroduto de PVC de 3/4", 25m de fio 2,5mm2, caixas, conexões e tomadas de embutir com placa fosforescente, linha Silentoque, da Pial ou similar, inclusive abertura e fechamento de rasgo em alvenaria.(desonerado)</t>
  </si>
  <si>
    <t>IT 24.26.0300 (/)</t>
  </si>
  <si>
    <t>Instalação de um conjunto de 4 tomadas equivalentes a 5 varas de eletroduto de PVC de 3/4", 30m de fio 2,5mm2, caixas, conexões e tomadas de embutir com placa fosforescente, linha Silentoque, da Pial ou similar, inclusive abertura e fechamento de rasgo em alvenaria.(desonerado)</t>
  </si>
  <si>
    <t>IT 24.26.0350 (/)</t>
  </si>
  <si>
    <t>Instalação de tomada trifásica para pino tipo faca de 20A/220V com 2 disjuntores de 30A montados em caixa de chapa de ferro estampada de (15x15)cm, inclusive abertura e fechamento do rasgo em alvenaria.(desonerado)</t>
  </si>
  <si>
    <t>IT 24.26.0353 (/)</t>
  </si>
  <si>
    <t>Instalação de tomada tripolar Universal de embutir com placa 4"x2" em material termoplástico, 15A/250V, inclusive fornecimento, abertura e fechamento do rasgo em alvenaria.  Fornecimento.(desonerado)</t>
  </si>
  <si>
    <t>IT 24.26.0500 (/)</t>
  </si>
  <si>
    <t>Plug, 3P20A-125/250V, referência 54341, linha Seis, Pial ou similar, preto.  Fornecimento e instalação.(desonerado)</t>
  </si>
  <si>
    <t>IT 24.28 Interruptores</t>
  </si>
  <si>
    <t>IT 24.28.0050 (/)</t>
  </si>
  <si>
    <t>Instalação de interruptor de embutir com 1 seção, linha Silentoque, da Pial ou similar, com placa em material termoplástico  de 4"x2", inclusive fornecimento.(desonerado)</t>
  </si>
  <si>
    <t>IT 24.28.0053 (/)</t>
  </si>
  <si>
    <t>Instalação de interruptor de embutir fosforescente, linha Silentoque, da Pial ou similar, com placa, 2 teclas paralelas, inclusive fornecimento.(desonerado)</t>
  </si>
  <si>
    <t>IT 24.28.0056 (/)</t>
  </si>
  <si>
    <t>Instalação de interruptor de embutir fosforescente, linha Silentoque, da Pial ou similar, com placa, three way, inclusive fornecimento.(desonerado)</t>
  </si>
  <si>
    <t>IT 24.28.0059 (/)</t>
  </si>
  <si>
    <t>Instalação de interruptor simples, referência 1100, 10A-250V, linha Silentoque, da Pial ou similar, com placa, inclusive fornecimento.(desonerado)</t>
  </si>
  <si>
    <t>IT 24.28.0100 (A)</t>
  </si>
  <si>
    <t>Instalação de interruptor de sobrepor, compreendendo: 12m de fio paralelo de 2,5mm2, fita isolante, bucha de nylon, parafusos e interruptor de sobrepor.(desonerado)</t>
  </si>
  <si>
    <t>IT 24.28.0150 (/)</t>
  </si>
  <si>
    <t>Instalação de 2 interruptores verticais em caixa estampada de 4"x4" com placa contendo 2 módulos verticais, inclusive fornecimento.(desonerado)</t>
  </si>
  <si>
    <t>IT 24.28.0200 (/)</t>
  </si>
  <si>
    <t>Instalação de placa cega instalada em caixa de 4"x2", inclusive fornecimento.(desonerado)</t>
  </si>
  <si>
    <t>IT 24.32 Cabos com Isolamento Termoplástico, para Instalação Interna de Luz e Força - Tensão Nominal 450/750 Volts</t>
  </si>
  <si>
    <t>IT 24.32.0053 (/)</t>
  </si>
  <si>
    <t>Cabo de cobre rígido, com isolamento termoplástico, compreendendo: preparo, corte e enfiação em eletrodutos em bitola de 1,5mm2 com tensão nominal de 450/750V.  Fornecimento e instalação.(desonerado)</t>
  </si>
  <si>
    <t>IT 24.32.0056 (/)</t>
  </si>
  <si>
    <t>Cabo de cobre rígido, com isolamento termoplástico, compreendendo: preparo, corte e enfiação em eletrodutos em bitola de 2,5mm2 com tensão nominal de 450/750V.  Fornecimento e instalação.(desonerado)</t>
  </si>
  <si>
    <t>IT 24.32.0059 (/)</t>
  </si>
  <si>
    <t>Cabo de cobre rígido, 750V, com isolamento termoplástico, compreendendo: preparo, corte e enfiação em eletrodutos em bitola de 4mm2.  Fornecimento e instalação.(desonerado)</t>
  </si>
  <si>
    <t>IT 24.32.0062 (/)</t>
  </si>
  <si>
    <t>Cabo de cobre rígido, com isolamento termoplástico, compreendendo: preparo, corte e  enfiação em eletrodutos em bitola de 6mm2.  Fornecimento e instalação.(desonerado)</t>
  </si>
  <si>
    <t>IT 24.32.0065 (/)</t>
  </si>
  <si>
    <t>Cabo de cobre rígido, com isolamento termoplástico, compreendendo: preparo, corte e enfiação em eletrodutos em bitola de 10mm2 com tensão nominal de 450/750V.  Fornecimento e instalação.(desonerado)</t>
  </si>
  <si>
    <t>IT 24.32.0068 (/)</t>
  </si>
  <si>
    <t>Cabo de cobre rígido, com isolamento termoplástico, compreendendo: preparo, corte e enfiação em eletrodutos em bitola de 16mm2 com tensão nominal de 450/750V.  Fornecimento e instalação.(desonerado)</t>
  </si>
  <si>
    <t>IT 24.32.0074 (/)</t>
  </si>
  <si>
    <t>Cabo de cobre rígido, com isolamento termoplástico, compreendendo: preparo, corte e enfiação em eletrodutos, na bitola de 25mm2.  Fornecimento e instalação.(desonerado)</t>
  </si>
  <si>
    <t>IT 24.32.0080 (/)</t>
  </si>
  <si>
    <t>Cabo de cobre rígido, com isolamento termoplástico, compreendendo: preparo, corte e enfiação em eletrodutos em  bitola de 50mm2 com tensão nominal de 450/750V.  Fornecimento e instalação.(desonerado)</t>
  </si>
  <si>
    <t>IT 24.32.0083 (/)</t>
  </si>
  <si>
    <t>Cabo de cobre rígido, com isolamento termoplástico, compreendendo: preparo, corte e enfiação em eletrodutos, na  bitola de 70mm2.  Fornecimento e instalação.(desonerado)</t>
  </si>
  <si>
    <t>IT 24.32.0503 (A)</t>
  </si>
  <si>
    <t>Cabo de cobre flexível, 750V, seção de 3x1mm2, com condutores de cobre nu, coberto com camada isolante de PVC.  Fornecimento e instalação.(desonerado)</t>
  </si>
  <si>
    <t>IT 24.34 Cabos com Isolamento Termoplástico, para Instalação Interna/ Externa de Luz e Força - Tensão Nominal 600/1000 Volts</t>
  </si>
  <si>
    <t>IT 24.34.0053 (/)</t>
  </si>
  <si>
    <t>Cabo de cobre rígido, com isolamento termoplástico, antichama, compreendendo: preparo, corte e enfiação em eletrodutos, 600/1000V, na bitola de 1,5mm2.  Fornecimento e instalação.(desonerado)</t>
  </si>
  <si>
    <t>IT 24.34.0059 (/)</t>
  </si>
  <si>
    <t>Cabo de cobre rígido, com isolamento termoplástico, antichama, compreendendo: preparo, corte e enfiação em eletrodutos, 600/1000V, na bitola de 2,5mm2.  Fornecimento e instalação.(desonerado)</t>
  </si>
  <si>
    <t>IT 24.34.0068 (/)</t>
  </si>
  <si>
    <t>Cabo de cobre rígido, com isolamento termoplástico, antichama, compreendendo: preparo, corte e enfiação em eletrodutos, 600/1000V,  na bitola de 10mm2.  Fornecimento e instalação.(desonerado)</t>
  </si>
  <si>
    <t>IT 24.34.0071 (/)</t>
  </si>
  <si>
    <t>Cabo de cobre rígido, com isolamento termoplástico, antichama, compreendendo: preparo, corte e enfiação em eletrodutos, 600/1000V, na bitola de 16mm2.  Fornecimento e instalação.(desonerado)</t>
  </si>
  <si>
    <t>IT 24.34.0077 (A)</t>
  </si>
  <si>
    <t>Cabo de cobre rígido, com isolamento termoplástico, antichama, compreendendo: preparo, corte e enfiação em eletrodutos, 1Kv, na bitola de 35mm2.  Fornecimento e instalação.(desonerado)</t>
  </si>
  <si>
    <t>IT 24.34.0080 (/)</t>
  </si>
  <si>
    <t>Cabo de cobre rígido, com isolamento termoplástico, antichama, compreendendo: preparo, corte e enfiação em eletrodutos, 600/1000V, na bitola de 50mm2.  Fornecimento e instalação.(desonerado)</t>
  </si>
  <si>
    <t>IT 24.34.0086 (/)</t>
  </si>
  <si>
    <t>Cabo de cobre rígido, com isolamento termoplástico, compreendendo: preparo, corte e enfiação em eletrodutos em bitola de 95mm2.  Fornecimento e instalação.(desonerado)</t>
  </si>
  <si>
    <t>IT 24.34.0089 (A)</t>
  </si>
  <si>
    <t>Cabo de cobre rígido, com isolamento termoplástico, compreendendo: preparo, corte e enfiação em eletrodutos em bitola de 120mm2.  Fornecimento e instalação.(desonerado)</t>
  </si>
  <si>
    <t>IT 24.34.0092 (A)</t>
  </si>
  <si>
    <t>Cabo de cobre rígido, com isolamento termoplástico, compreendendo: preparo, corte e enfiação em eletrodutos em bitola de 150mm2.  Fornecimento e instalação.(desonerado)</t>
  </si>
  <si>
    <t>IT 24.34.0095 (A)</t>
  </si>
  <si>
    <t>Cabo de cobre rígido, com isolamento termoplástico, compreendendo: preparo, corte e enfiação em eletrodutos em bitola de 185mm2.  Fornecimento e instalação.(desonerado)</t>
  </si>
  <si>
    <t>IT 24.34.0098 (A)</t>
  </si>
  <si>
    <t>Cabo de cobre rígido, com isolamento termoplástico, compreendendo: preparo, corte e enfiação em eletrodutos em bitola de 240mm2.  Fornecimento e instalação.(desonerado)</t>
  </si>
  <si>
    <t>IT 24.34.0101 (A)</t>
  </si>
  <si>
    <t>Cabo de cobre rígido, com isolamento termoplástico, compreendendo: preparo, corte e enfiação em eletrodutos em bitola de 300mm2.  Fornecimento e instalação.(desonerado)</t>
  </si>
  <si>
    <t>IT 24.34.0265 (/)</t>
  </si>
  <si>
    <t>Cabo de cobre rígido, seção de 3x25mm2, 0,6/1Kv, antichama, compreendendo preparo, corte e enfiação em eletrodutos, Sintenax ou similar.  Fornecimento e instalação.(desonerado)</t>
  </si>
  <si>
    <t>IT 24.34.0321 (/)</t>
  </si>
  <si>
    <t>Cabo de cobre rígido, seção de 35mm2, 0,6/1Kv, isolado XLPE.  Fornecimento.(desonerado)</t>
  </si>
  <si>
    <t>IT 24.34.0357 (/)</t>
  </si>
  <si>
    <t>Cabo de cobre rígido, 1Kv, com isolamento termoplástico, compreendendo: preparo, corte e enfiação em eletrodutos em bitola de 4mm2.  Fornecimento e instalação.(desonerado)</t>
  </si>
  <si>
    <t>IT 24.34.0358 (/)</t>
  </si>
  <si>
    <t>Cabo de cobre rígido, 1Kv, PVC/70°C, 4mm2.  Fornecimento e instalação.(desonerado)</t>
  </si>
  <si>
    <t>IT 24.34.0359 (/)</t>
  </si>
  <si>
    <t>Cabo de cobre rígido, 1Kv, PVC/70°C, 6mm2.  Fornecimento e instalação.(desonerado)</t>
  </si>
  <si>
    <t>IT 24.34.0361 (/)</t>
  </si>
  <si>
    <t>Cabo de cobre rígido, isolado, antichama, unipolar, 10mm2, 1000V, referência Sintenax, Pirelli ou similar. Fornecimento e instalação.(desonerado)</t>
  </si>
  <si>
    <t>IT 24.34.0364 (/)</t>
  </si>
  <si>
    <t>Cabo de cobre rígido, isolado, antichama, unipolar, 16mm2, 1000V, referência Sintenax, Pirelli ou similar. Fornecimento e instalação.(desonerado)</t>
  </si>
  <si>
    <t>IT 24.34.0367 (/)</t>
  </si>
  <si>
    <t>Cabo de cobre rígido, 1Kv, PVC/70°C, 25mm2.  Fornecimento e instalação.(desonerado)</t>
  </si>
  <si>
    <t>IT 24.34.0370 (/)</t>
  </si>
  <si>
    <t>Cabo de cobre rígido, isolado, antichama, unipolar, 50mm2, 1000V, referência Sintenax, Pirelli ou similar. Fornecimento e instalação.(desonerado)</t>
  </si>
  <si>
    <t>IT 24.34.0373 (/)</t>
  </si>
  <si>
    <t>Cabo de cobre rígido, isolado, antichama, unipolar, 70mm2, 1000V, referência Sintenax, Pirelli ou similar. Fornecimento e instalação.(desonerado)</t>
  </si>
  <si>
    <t>IT 24.34.0376 (/)</t>
  </si>
  <si>
    <t>Cabo de cobre rígido, isolado, antichama, unipolar, 95mm2, 1000V, referência Sintenax, Pirelli ou similar. Fornecimento e instalação.(desonerado)</t>
  </si>
  <si>
    <t>IT 24.34.0379 (A)</t>
  </si>
  <si>
    <t>Cabo de cobre rígido, isolado, antichama, unipolar, 120mm2, 1000V, referência Sintenax, Pirelli ou similar. Fornecimento e instalação.(desonerado)</t>
  </si>
  <si>
    <t>IT 24.34.0382 (A)</t>
  </si>
  <si>
    <t>Cabo de cobre rígido com isolamento Sintenax, classe 0,6/1Kv, seção de 150mm2.  Fornecimento e instalação.(desonerado)</t>
  </si>
  <si>
    <t>IT 24.34.0388 (A)</t>
  </si>
  <si>
    <t>Cabo de cobre rígido com isolamento Sintenax, classe 0,6/1Kv, seção de 240mm2.  Fornecimento e instalação.(desonerado)</t>
  </si>
  <si>
    <t>IT 24.36 Cabos com Isolamento Termoplástico, para Instalação Interna de Luz e Força - Tensão Nominal 870/1500 Volts</t>
  </si>
  <si>
    <t>IT 24.36.0050 (/)</t>
  </si>
  <si>
    <t>Cabo de cobre isolado EPR, unipolar, 50mm2, 8,7/15Kv, referência Epotrenax FX-3, Pirelli ou similar. Fornecimento e instalação.(desonerado)</t>
  </si>
  <si>
    <t>IT 24.38 Cabos e Fios Telefônicos</t>
  </si>
  <si>
    <t>IT 24.38.0059 (A)</t>
  </si>
  <si>
    <t>Cabo telefônico de cobre recozido estanhado, tipo CI, uso interno, 0,40mm2, 10 pares, para instalações internas primárias.  Fornecimento e instalação.(desonerado)</t>
  </si>
  <si>
    <t>IT 24.38.0071 (A)</t>
  </si>
  <si>
    <t>Cabo telefônico de cobre recozido estanhado, tipo CI, uso interno, 0,40mm2, 20 pares, para instalações internas primárias.  Fornecimento e instalação.(desonerado)</t>
  </si>
  <si>
    <t>IT 24.38.0100 (A)</t>
  </si>
  <si>
    <t>Cabo telefônico de cobre estanhado, tipo CCI, sem blindagem, 0,50mm2, 2 pares, para instalações internas secundárias.  Fornecimento e instalação.(desonerado)</t>
  </si>
  <si>
    <t>IT 24.38.0103 (A)</t>
  </si>
  <si>
    <t>Cabo telefônico de cobre estanhado, tipo CCI, sem blindagem, 0,50mm2, 4 pares, para instalações internas secundárias.  Fornecimento e instalação.(desonerado)</t>
  </si>
  <si>
    <t>IT 24.38.0166 (A)</t>
  </si>
  <si>
    <t>Cabo telefônico de cobre estanhado, tipo CCI, sem blindagem, 0,50mm2, 6 pares, para instalações internas secundárias.  Fornecimento e instalação.(desonerado)</t>
  </si>
  <si>
    <t>IT 24.38.0300 (/)</t>
  </si>
  <si>
    <t>Fio telefônico tipo FE, bitola de 1mm2, para instalações áreas.  Fornecimento e instalação.(desonerado)</t>
  </si>
  <si>
    <t>IT 24.40 Cabos de Cobre Nu</t>
  </si>
  <si>
    <t>IT 24.40.0062 (/)</t>
  </si>
  <si>
    <t>Cabo de cobre nu, seção de 6mm2.  Fornecimento e instalação (1kg = 18,87 metros).(desonerado)</t>
  </si>
  <si>
    <t>IT 24.40.0068 (/)</t>
  </si>
  <si>
    <t>Cabo de cobre nu, seção de 16mm2.  Fornecimento e instalação (1kg = 7,04 metros).(desonerado)</t>
  </si>
  <si>
    <t>IT 24.40.0071 (/)</t>
  </si>
  <si>
    <t>Cabo de cobre nu, seção de 25mm2.  Fornecimento e instalação (1kg = 4,51 metros).(desonerado)</t>
  </si>
  <si>
    <t>IT 24.40.0074 (/)</t>
  </si>
  <si>
    <t>Cabo de cobre nu, seção de 35mm2.  Fornecimento e instalação (1kg = 3,16 metros).(desonerado)</t>
  </si>
  <si>
    <t>IT 24.40.0077 (/)</t>
  </si>
  <si>
    <t>Cabo de cobre nu, seção de 50mm2.  Fornecimento e instalação (1kg = 2,27 metros).(desonerado)</t>
  </si>
  <si>
    <t>IT 24.42 Fios com Isolamento Termoplástico, para Instalação Interna de Luz e Força - Tensão Nominal 450/750 Volts</t>
  </si>
  <si>
    <t>IT 24.42.0053 (/)</t>
  </si>
  <si>
    <t>Fio de cobre rígido, com isolamento termoplástico, antichama, compreendendo: preparo, corte e enfiação em eletrodutos, na bitola de 1mm2.  Fornecimento e instalação.(desonerado)</t>
  </si>
  <si>
    <t>IT 24.42.0056 (/)</t>
  </si>
  <si>
    <t>Fio de cobre rígido, com isolamento termoplástico, antichama, compreendendo: preparo, corte e enfiação em eletrodutos, na bitola de 1,5mm2.  Fornecimento e instalação.(desonerado)</t>
  </si>
  <si>
    <t>IT 24.42.0059 (/)</t>
  </si>
  <si>
    <t>Fio de cobre rígido, com isolamento termoplástico, antichama, compreendendo: preparo, corte e enfiação em eletrodutos, na bitola de 2,5mm2.  Fornecimento e instalação.(desonerado)</t>
  </si>
  <si>
    <t>IT 24.42.0062 (/)</t>
  </si>
  <si>
    <t>Fio de cobre rígido, com isolamento termoplástico, antichama, compreendendo: preparo, corte e enfiação em eletrodutos, na bitola de 4mm2.  Fornecimento e instalação.(desonerado)</t>
  </si>
  <si>
    <t>IT 24.42.0065 (/)</t>
  </si>
  <si>
    <t>Fio de cobre rígido, com isolamento termoplástico, antichama, compreendendo: preparo, corte e enfiação em eletrodutos, na bitola de 6mm2.  Fornecimento e instalação.(desonerado)</t>
  </si>
  <si>
    <t>IT 24.42.0068 (/)</t>
  </si>
  <si>
    <t>Fio de cobre rígido, com isolamento termoplástico, antichama, compreendendo: preparo, corte e enfiação em eletrodutos, na bitola de 10mm2.  Fornecimento e instalação.(desonerado)</t>
  </si>
  <si>
    <t>IT 24.42.0106 (/)</t>
  </si>
  <si>
    <t>Fio de cobre flexível, paralelo, com isolamento termoplástico, 300V, na bitola de (2x1,5)mm2.  Fornecimento e instalação.(desonerado)</t>
  </si>
  <si>
    <t>IT 24.42.0109 (/)</t>
  </si>
  <si>
    <t>Fio paralelo, com isolamento termoplástico, na bitola de (2x2,5)mm2.  Fornecimento e instalação.(desonerado)</t>
  </si>
  <si>
    <t>IT 24.42.0112 (/)</t>
  </si>
  <si>
    <t>Fio de cobre flexível, paralelo, com isolamento termoplástico, 300V, na bitola de (2x4)mm2.  Fornecimento e instalação.(desonerado)</t>
  </si>
  <si>
    <t>IT 24.44 Fios de Cobre Nu</t>
  </si>
  <si>
    <t>IT 24.44.0053 (/)</t>
  </si>
  <si>
    <t>Fio de cobre nu, na bitola de 1mm2.  Fornecimento e instalação.(desonerado)</t>
  </si>
  <si>
    <t>IT 24.44.0056 (/)</t>
  </si>
  <si>
    <t>Fio de cobre nu, na bitola de 1,5mm2.  Fornecimento e instalação.(desonerado)</t>
  </si>
  <si>
    <t>IT 24.44.0059 (/)</t>
  </si>
  <si>
    <t>Fio de cobre nu, na bitola de 2,5mm2.  Fornecimento e instalação.(desonerado)</t>
  </si>
  <si>
    <t>IT 24.44.0062 (/)</t>
  </si>
  <si>
    <t>Fio de cobre nu, na bitola de 4mm2.  Fornecimento e instalação.(desonerado)</t>
  </si>
  <si>
    <t>IT 24.44.0065 (/)</t>
  </si>
  <si>
    <t>Fio de cobre nu, na bitola de 6mm2.  Fornecimento e instalação.(desonerado)</t>
  </si>
  <si>
    <t>IT 24.44.0068 (/)</t>
  </si>
  <si>
    <t>Fio de cobre nu, na bitola de 10mm2.  Fornecimento e instalação.(desonerado)</t>
  </si>
  <si>
    <t>IT 24.44.0071 (/)</t>
  </si>
  <si>
    <t>Fio de cobre nu, na bitola de 16mm2.  Fornecimento e instalação.(desonerado)</t>
  </si>
  <si>
    <t>IT 24.46 Caixas de Passagem</t>
  </si>
  <si>
    <t>IT 24.46.0050 (/)</t>
  </si>
  <si>
    <t>Caixa estampada de 2"x4", inclusive buchas e arruelas.  Fornecimento e instalação.(desonerado)</t>
  </si>
  <si>
    <t>IT 24.46.0053 (/)</t>
  </si>
  <si>
    <t>Caixa estampada de 3"x3", inclusive buchas e arruelas.  Fornecimento e instalação.(desonerado)</t>
  </si>
  <si>
    <t>IT 24.46.0056 (/)</t>
  </si>
  <si>
    <t>Caixa estampada de 4"x4", inclusive buchas e arruelas.  Fornecimento e instalação.(desonerado)</t>
  </si>
  <si>
    <t>IT 24.46.0100 (/)</t>
  </si>
  <si>
    <t>Caixa de passagem em aço estampado, de 4"x2", exclusive abertura e fechamento do rasgo.  Fornecimento e instalação.(desonerado)</t>
  </si>
  <si>
    <t>IT 24.46.0103 (/)</t>
  </si>
  <si>
    <t>Caixa de passagem em aço estampado, de 4"x4", exclusive abertura e fechamento do rasgo.  Fornecimento e instalação.(desonerado)</t>
  </si>
  <si>
    <t>IT 24.46.0106 (/)</t>
  </si>
  <si>
    <t>Caixa de passagem em chapa com tampa aparafusada de (20x20x10)cm.  Fornecimento e instalação.(desonerado)</t>
  </si>
  <si>
    <t>IT 24.46.0109 (/)</t>
  </si>
  <si>
    <t>Caixa de passagem para telefone, conforme especificação da Telebrás, nas dimensões (20x20x12)cm.  Fornecimento e instalação.(desonerado)</t>
  </si>
  <si>
    <t>IT 24.46.0112 (/)</t>
  </si>
  <si>
    <t>Caixa de passagem para telefone, conforme especificação da Telebrás, nas dimensões (40x40x12)cm.  Fornecimento e instalação.(desonerado)</t>
  </si>
  <si>
    <t>IT 24.46.0115 (/)</t>
  </si>
  <si>
    <t>Caixa de passagem para telefone, conforme especificação da Telebrás, nas dimensões (60x60x12)cm.  Fornecimento e instalação.(desonerado)</t>
  </si>
  <si>
    <t>IT 24.46.0118 (/)</t>
  </si>
  <si>
    <t>Caixa de passagem para telefone, conforme especificação da Telebrás, nas dimensões (80x80x12)cm.  Fornecimento e instalação.(desonerado)</t>
  </si>
  <si>
    <t>IT 24.46.0121 (/)</t>
  </si>
  <si>
    <t>Caixa de passagem para telefone, conforme especificação da Telebrás, nas dimensões (120x120x12)cm.  Fornecimento e instalação.(desonerado)</t>
  </si>
  <si>
    <t>IT 24.46.0124 (/)</t>
  </si>
  <si>
    <t>Caixa de passagem para telefone, conforme especificação da Telebrás, nas dimensões (150x150x12)cm.  Fornecimento e instalação.(desonerado)</t>
  </si>
  <si>
    <t>IT 24.46.0150 (/)</t>
  </si>
  <si>
    <t>Caixa de passagem em alvenaria, dimensões de (60x60x60)cm, com tampão de ferro.  Construção.(desonerado)</t>
  </si>
  <si>
    <t>IT 24.46.0153 (/)</t>
  </si>
  <si>
    <t>Caixa de passagem em alvenaria, dimensões de (80x80x80)cm, com tampão de ferro. Construção.(desonerado)</t>
  </si>
  <si>
    <t>IT 24.46.0200 (A)</t>
  </si>
  <si>
    <t>Reparo em caixa de passagem de energia elétrica de alvenaria de (60x60)cm, com troca de tampa de concreto, com espessuras de 6cm.(desonerado)</t>
  </si>
  <si>
    <t>IT 24.46.0400 (A)</t>
  </si>
  <si>
    <t>Caixa de ligação de alumínio silício, tipo Condulete ou similar, no formato B com diâmetro de 1", fornecimento e instalação.(desonerado)</t>
  </si>
  <si>
    <t>IT 24.46.0403 (A)</t>
  </si>
  <si>
    <t>Caixa de ligação de alumínio silício, tipo Condulete ou similar, no formato C com diâmetro de 1", fornecimento e instalação.(desonerado)</t>
  </si>
  <si>
    <t>IT 24.46.0406 (A)</t>
  </si>
  <si>
    <t>Caixa de ligação de alumínio silício, tipo Condulete ou similar, no formato E com diâmetro de 1",fornecimento e instalação.(desonerado)</t>
  </si>
  <si>
    <t>IT 24.46.0409 (A)</t>
  </si>
  <si>
    <t>Caixa de ligação de alumínio silício, tipo Condulete ou similar, no formato LB com diâmetro de 1", fornecimento e instalação.(desonerado)</t>
  </si>
  <si>
    <t>IT 24.46.0412 (A)</t>
  </si>
  <si>
    <t>Caixa de ligação de alumínio silício, tipo Condulete ou similar, no formato LL com diâmetro de 1", fornecimento e instalação.(desonerado)</t>
  </si>
  <si>
    <t>IT 24.46.0415 (A)</t>
  </si>
  <si>
    <t>Caixa de ligação de alumínio silício, tipo Condulete ou similar, no formato T com diâmetro de 1", fornecimento e instalação.(desonerado)</t>
  </si>
  <si>
    <t>IT 24.46.0418 (A)</t>
  </si>
  <si>
    <t>Caixa de ligação de alumínio silício, tipo Condulets ou similar, no formato X com diâmetro de 1",fornecimento e instalação.(desonerado)</t>
  </si>
  <si>
    <t>IT 24.48 Centros e Quadros de Distribuição</t>
  </si>
  <si>
    <t>IT 24.48.0050 (/)</t>
  </si>
  <si>
    <t>Quadro de distribuição de energia para disjuntores termo-magnéticos unipolares, de embutir, com porta e barramento neutro, para instalação de até 3 disjuntores, sem dispositivo para chave geral.  Fornecimento e instalação.(desonerado)</t>
  </si>
  <si>
    <t>IT 24.48.0100 (/)</t>
  </si>
  <si>
    <t>Centro de distribuição da Dutoplast ou similar, modelo externo, com previsão para instalação de 6 disjuntores.  Fornecimento e instalação.(desonerado)</t>
  </si>
  <si>
    <t>IT 24.48.0106 (/)</t>
  </si>
  <si>
    <t>Quadro de distribuição de energia para disjuntores termo-magnéticos unipolares, de embutir, com porta, para instalação de até 6 disjuntores, sem dispositivo para chave geral.  Fornecimento e instalação.(desonerado)</t>
  </si>
  <si>
    <t>IT 24.48.0150 (/)</t>
  </si>
  <si>
    <t>Quadro de distribuição de energia, para disjuntores termo-magnéticos unipolares, de embutir, com porta e barramento neutro, para instalação de até 12 disjuntores, sem dispositivo para chave geral.  Fornecimento e instalação.(desonerado)</t>
  </si>
  <si>
    <t>IT 24.48.0156 (/)</t>
  </si>
  <si>
    <t>Quadro de distribuição de energia, trifásico, para 12 circuitos.  Fornecimento e instalação.(desonerado)</t>
  </si>
  <si>
    <t>IT 24.48.0200 (/)</t>
  </si>
  <si>
    <t>Quadro de distribuição de energia, para disjuntores termo-magnéticos unipolares, de embutir, com porta e barramento neutro e trifásicos, para instalação de até 18 disjuntores, com dispositivo para chave geral.  Fornecimento e instalação.(desonerado)</t>
  </si>
  <si>
    <t>IT 24.48.0250 (/)</t>
  </si>
  <si>
    <t>Quadro de distribuição de energia para disjuntores termo-magnéticos unipolares, de embutir, com porta e barramento neutro e trifásico, para instalação de até 24 disjuntores, com dispositivo para chave geral.  Fornecimento e instalação.(desonerado)</t>
  </si>
  <si>
    <t>IT 24.48.0300 (/)</t>
  </si>
  <si>
    <t>Quadro de distribuição de energia para disjuntores termo-magnéticos unipolares, de embutir, com porta e barramento neutro e trifásico, para instalação de até 32 disjuntores, com dispositivo para chave geral.  Fornecimento e instalação.(desonerado)</t>
  </si>
  <si>
    <t>IT 24.48.0350 (/)</t>
  </si>
  <si>
    <t>Quadro de distribuição de energia para disjuntores termo-magnéticos unipolares, de embutir, com porta e barramento neutro e trifásico, para instalação de até 40 disjuntores, com dispositivo para chave geral.  Fornecimento e instalação.(desonerado)</t>
  </si>
  <si>
    <t>IT 24.48.0400 (/)</t>
  </si>
  <si>
    <t>Quadro de distribuição de energia para disjuntores termo-magnéticos unipolares, de embutir, com porta e barramento neutro e trifásico, para instalação de até 50 disjuntores, com dispositivo para chave geral.  Fornecimento e instalação.(desonerado)</t>
  </si>
  <si>
    <t>IT 24.48.0500 (/)</t>
  </si>
  <si>
    <t>Base de armário Ardsal 10/14.  Fornecimento.(desonerado)</t>
  </si>
  <si>
    <t>IT 24.48.0550 (/)</t>
  </si>
  <si>
    <t>Quadro monobloco em chapa de aço com 1,5mm de espessura, medindo (1200x600x300)mm, referência EE-362 ou similar.  Fornecimento e instalação.(desonerado)</t>
  </si>
  <si>
    <t>IT 24.48.0600 (/)</t>
  </si>
  <si>
    <t>Quadro de partida e comando para grupo gerador fixo existente com potência de 145Kva.  Fornecimento e instalação(desonerado)</t>
  </si>
  <si>
    <t>IT 24.50 Disjuntores</t>
  </si>
  <si>
    <t>IT 24.50.0050 (/)</t>
  </si>
  <si>
    <t>Disjuntor, unipolar, do tipo Quicklag de 10A a 30A.  Fornecimento e instalação.(desonerado)</t>
  </si>
  <si>
    <t>IT 24.50.0053 (/)</t>
  </si>
  <si>
    <t>Disjuntor, unipolar, do tipo Quicklag de 35A.  Fornecimento e instalação.(desonerado)</t>
  </si>
  <si>
    <t>IT 24.50.0150 (/)</t>
  </si>
  <si>
    <t>Disjuntor termomagnético em caixa moldada, unipolar de 70A.  Fornecimento e instalação.(desonerado)</t>
  </si>
  <si>
    <t>IT 24.50.0200 (/)</t>
  </si>
  <si>
    <t>Disjuntor, tripolar, tipo C, de 10A a 50A, Eletromar ou similar.  Fornecimento e instalação.(desonerado)</t>
  </si>
  <si>
    <t>IT 24.50.0203 (/)</t>
  </si>
  <si>
    <t>Disjuntor, tripolar de 40A.  Fornecimento e instalação.(desonerado)</t>
  </si>
  <si>
    <t>IT 24.50.0206 (/)</t>
  </si>
  <si>
    <t>Disjuntor, tripolar de 50A.  Fornecimento e instalação.(desonerado)</t>
  </si>
  <si>
    <t>IT 24.50.0212 (/)</t>
  </si>
  <si>
    <t>Disjuntor, tripolar, tipo C, de 60A a 100A, Eletromar ou similar.  Fornecimento e instalação.(desonerado)</t>
  </si>
  <si>
    <t>IT 24.50.0220 (/)</t>
  </si>
  <si>
    <t>Disjuntor, tripolar de 125A.  Fornecimento e instalação.(desonerado)</t>
  </si>
  <si>
    <t>IT 24.50.0300 (/)</t>
  </si>
  <si>
    <t>Disjuntor, tripolar, tipo DA, 250A a 400A, Eletromar ou similar.  Fornecimento e instalação.(desonerado)</t>
  </si>
  <si>
    <t>IT 24.50.0350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</si>
  <si>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instalação.(desonerado)</t>
  </si>
  <si>
    <t>IT 24.50.0400 (/)</t>
  </si>
  <si>
    <t>Disjuntor termomagnético, tripolar de 200A, 25KA, referência XE225NC, Terasaki ou similar.  Fornecimento e instalação.(desonerado)</t>
  </si>
  <si>
    <t>IT 24.50.0450 (A)</t>
  </si>
  <si>
    <t>Disjuntor termomagnético, tripolar de 100A, 35/50KA, referência XS100NS, Terasaki ou similar.  Fornecimento e instalação.(desonerado)</t>
  </si>
  <si>
    <t>IT 24.50.0453 (/)</t>
  </si>
  <si>
    <t>Disjuntor termomagnético, tripolar de 125A, 35/50KA, referência XS225NS, Terasaki ou similar.  Fornecimento e instalação.(desonerado)</t>
  </si>
  <si>
    <t>IT 24.50.0459 (/)</t>
  </si>
  <si>
    <t>Disjuntor termomagnético, tripolar de 225A, 35/50KA, referência XS225NS, Terasaki ou similar.  Fornecimento e instalação.(desonerado)</t>
  </si>
  <si>
    <t>IT 24.50.0468 (/)</t>
  </si>
  <si>
    <t>Disjuntor termomagnético, tripolar de 400A, 35KA, referência XE600NS, Terasaki ou similar.  Fornecimento e instalação.(desonerado)</t>
  </si>
  <si>
    <t>IT 24.50.0550 (A)</t>
  </si>
  <si>
    <t>Disjuntor de volume reduzido de óleo tripolar, classe 15Kv, corrente nominal de 800A/500MVA, com os acessórios: carregador de mola motorizado, relés de abertura e fechamento, bloqueio mecânico Kirk.  Fornecimento e instalação.(desonerado)</t>
  </si>
  <si>
    <t>IT 24.52 Chaves</t>
  </si>
  <si>
    <t>IT 24.52.0062 (/)</t>
  </si>
  <si>
    <t>Chave blindada, tripolar de 250V de 100A, Continental ou similar.  Fornecimento e instalação.(desonerado)</t>
  </si>
  <si>
    <t>IT 24.52.0074 (/)</t>
  </si>
  <si>
    <t>Chave blindada, tripolar de 250V de 200A, Continental ou similar.  Fornecimento e instalação.(desonerado)</t>
  </si>
  <si>
    <t>IT 24.52.0086 (/)</t>
  </si>
  <si>
    <t>Chave blindada, tripolar de 250V de 400A, Continental ou similar.  Fornecimento e instalação.(desonerado)</t>
  </si>
  <si>
    <t>IT 24.52.0100 (/)</t>
  </si>
  <si>
    <t>Chave comutadora de 250A modelo 3Kw 1- 314, Siemens ou similar.  Fornecimento e instalação.(desonerado)</t>
  </si>
  <si>
    <t>IT 24.52.0109 (/)</t>
  </si>
  <si>
    <t>Chave comutadora de 630A modelo 3Kw 1- 627, Siemens ou similar.  Fornecimento e instalação.(desonerado)</t>
  </si>
  <si>
    <t>IT 24.52.0150 (/)</t>
  </si>
  <si>
    <t>Chave comutadora com botão XB2 BD21 ou similar.  Fornecimento e instalação.(desonerado)</t>
  </si>
  <si>
    <t>IT 24.52.0200 (/)</t>
  </si>
  <si>
    <t>Chave Pacco interruptora referência P63 1/3hs CN 63A.  Fornecimento e instalação.(desonerado)</t>
  </si>
  <si>
    <t>IT 24.52.0209 (/)</t>
  </si>
  <si>
    <t>Chave Pacco interruptora referência P100 1/3hs CN 100A.  Fornecimento e instalação.(desonerado)</t>
  </si>
  <si>
    <t>IT 24.52.0253 (/)</t>
  </si>
  <si>
    <t>Chave faca, base ardósia, 250V, com porta fusíveis, tripolar de 30A .  Fornecimento e instalação.(desonerado)</t>
  </si>
  <si>
    <t>IT 24.52.0259 (/)</t>
  </si>
  <si>
    <t>Chave faca blindada, completa, 80A, modelo 3NP4, da Siemens ou similar.  Fornecimento e instalação.(desonerado)</t>
  </si>
  <si>
    <t>IT 24.52.0262 (/)</t>
  </si>
  <si>
    <t>Chave faca, base ardósia, 250V, com porta fusíveis, tripolar de 100A.  Fornecimento e instalação.(desonerado)</t>
  </si>
  <si>
    <t>IT 24.52.0274 (/)</t>
  </si>
  <si>
    <t>Chave faca, base ardósia, 250V, com porta fusíveis, tripolar de 400A.  Fornecimento e instalação.(desonerado)</t>
  </si>
  <si>
    <t>IT 24.52.0290 (/)</t>
  </si>
  <si>
    <t>Chave blindada tripolar, SCHAK de 400A ou similar.  Fornecimento e instalação.(desonerado)</t>
  </si>
  <si>
    <t>IT 24.52.0306 (/)</t>
  </si>
  <si>
    <t>Chave tipo faca aberta, reforçada de reversão, base de mármore 250V, bipolar, de 30A.  Fornecimento e instalação.(desonerado)</t>
  </si>
  <si>
    <t>IT 24.52.0315 (/)</t>
  </si>
  <si>
    <t>Chave tipo faca aberta, reforçada de reversão, base de mármore 250V, bipolar de 60A.  Fornecimento e instalação.(desonerado)</t>
  </si>
  <si>
    <t>IT 24.52.0350 (/)</t>
  </si>
  <si>
    <t>Chave tipo faca aberta, reforçada de reversão, base de mármore 250V, tripolar de 60A.  Fornecimento e instalação.(desonerado)</t>
  </si>
  <si>
    <t>IT 24.52.0403 (/)</t>
  </si>
  <si>
    <t>Chave guarda motor, trifásica, até 3CV, 220V, compreendendo chave magnética SA-10 com relé térmico e botoeira liga/desliga, Eletromar ou similar.  Fornecimento e instalação.(desonerado)</t>
  </si>
  <si>
    <t>IT 24.52.0409 (/)</t>
  </si>
  <si>
    <t>Chave guarda motor, trifásica, até 5CV, 220V, compreendendo chave magnético SA-16 com relé térmico e botoeira liga/desliga, Eletromar ou similar.  Fornecimento e instalação.(desonerado)</t>
  </si>
  <si>
    <t>IT 24.52.0412 (/)</t>
  </si>
  <si>
    <t>Chave guarda motor, trifásica, até 7,5/10CV, 220V, compreendendo chave magnética SA-32 com  relé térmico e botoeira liga/desliga, Eletromar ou similar.  Fornecimento e instalação.(desonerado)</t>
  </si>
  <si>
    <t>IT 24.52.0600 (/)</t>
  </si>
  <si>
    <t>Chave bóia, automática, de mercúrio, unipolar.  Fornecimento e instalação.(desonerado)</t>
  </si>
  <si>
    <t>IT 24.54 Fusíveis</t>
  </si>
  <si>
    <t>IT 24.54.0050 (/)</t>
  </si>
  <si>
    <t>Fusível cartucho de 15A a 30A, 250V.  Fornecimento e instalação.(desonerado)</t>
  </si>
  <si>
    <t>IT 24.54.0100 (/)</t>
  </si>
  <si>
    <t>Fusível cartucho de 35A a 60A, 250V.  Fornecimento e instalação.(desonerado)</t>
  </si>
  <si>
    <t>IT 24.54.0300 (/)</t>
  </si>
  <si>
    <t>Fuzível Diazed, de 2A, com base, tampa, anel e parafuso de ajuste, Siemens ou similar.  Fornecimento e instalação.(desonerado)</t>
  </si>
  <si>
    <t>IT 24.54.0350 (/)</t>
  </si>
  <si>
    <t>Fuzível Diazed, de 10A, com base, tampa, anel e parafuso de ajuste, Siemens ou similar.  Fornecimento e instalação.(desonerado)</t>
  </si>
  <si>
    <t>IT 24.54.0400 (/)</t>
  </si>
  <si>
    <t>Fuzível Diazed, de 16A, com base, tampa, anel e parafuso de ajuste, Siemens ou similar.  Fornecimento e instalação.(desonerado)</t>
  </si>
  <si>
    <t>IT 24.54.0450 (/)</t>
  </si>
  <si>
    <t>Fuzível Diazed, de 30A, com base, tampa, anel e parafuso de ajuste,  Siemens ou similar.  Fornecimento e instalação.(desonerado)</t>
  </si>
  <si>
    <t>IT 24.54.0500 (/)</t>
  </si>
  <si>
    <t>Fuzível Diazed, de 63A, com base, tampa, anel e parafuso de ajuste, Siemens ou similar.  Fornecimento e instalação.(desonerado)</t>
  </si>
  <si>
    <t>IT 24.54.0550 (/)</t>
  </si>
  <si>
    <t>Fuzível Diazed, de 100A, com base, tampa, anel e parafuso de ajuste, Siemens ou similar.  Fornecimento e instalação.(desonerado)</t>
  </si>
  <si>
    <t>IT 24.54.0600 (/)</t>
  </si>
  <si>
    <t>Fusível NH, tamanho 00, corrente nominal de 80A.  Fornecimento e instalação.(desonerado)</t>
  </si>
  <si>
    <t>IT 24.54.0650 (/)</t>
  </si>
  <si>
    <t>Fusíveis NH, tamanho 1, corrente nominal de 36 à 200A , 500V.  Fornecimento e instalação.(desonerado)</t>
  </si>
  <si>
    <t>IT 24.54.0700 (/)</t>
  </si>
  <si>
    <t>Fusíveis NH, tamanho 1, corrente nominal de 224 à 250A , 500V.  Fornecimento e instalação.(desonerado)</t>
  </si>
  <si>
    <t>IT 24.56 Capacitores</t>
  </si>
  <si>
    <t>IT 24.56.0050 (/)</t>
  </si>
  <si>
    <t>Capacitor trifásico de 10Kv, 220V, 60Hz.  Fornecimento e instalação.(desonerado)</t>
  </si>
  <si>
    <t>IT 24.56.0200 (/)</t>
  </si>
  <si>
    <t>Capacitor trifásico de 15Kv, 220V, 60Hz.  Fornecimento e instalação.(desonerado)</t>
  </si>
  <si>
    <t>IT 24.58 Contactores</t>
  </si>
  <si>
    <t>IT 24.58.0050 (/)</t>
  </si>
  <si>
    <t>Contactor magnético, com bobina de 220V/60Hz, modelo 3TB-40, Siemens ou similar.  Fornecimento e instalação.(desonerado)</t>
  </si>
  <si>
    <t>IT 24.58.0100 (/)</t>
  </si>
  <si>
    <t>Contactor magnético, com bobina de 220V/60Hz, modelo 3TB-43, Siemens ou similar.  Fornecimento e instalação.(desonerado)</t>
  </si>
  <si>
    <t>IT 24.58.0150 (/)</t>
  </si>
  <si>
    <t>Contactor magnético, com bobina de 32A, 220V/60Hz, modelo 3TB-44, Siemens ou similar.  Fornecimento e instalação.(desonerado)</t>
  </si>
  <si>
    <t>IT 24.58.0200 (/)</t>
  </si>
  <si>
    <t>Contactor magnético, com bobina de 220V/60Hz, modelo 3TB-46, Siemens ou similar.  Fornecimento e instalação.(desonerado)</t>
  </si>
  <si>
    <t>IT 24.58.0250 (/)</t>
  </si>
  <si>
    <t>Contactor magnético, com bobina de 63A, 220V/60Hz, modelo 3TB-47, Siemens ou similar.  Fornecimento e instalação.(desonerado)</t>
  </si>
  <si>
    <t>IT 24.58.0300 (/)</t>
  </si>
  <si>
    <t>Contactor magnético, com bobina de 220V/60Hz, modelo 3TB-48, Siemens ou similar.  Fornecimento e instalação.(desonerado)</t>
  </si>
  <si>
    <t>IT 24.58.0320 (/)</t>
  </si>
  <si>
    <t>Contactor magnético, com bobina de 220V/60Hz, modelo 3RT10 17-1AN11, Siemens ou similar.  Fornecimento e instalação.(desonerado)</t>
  </si>
  <si>
    <t>IT 24.58.0326 (/)</t>
  </si>
  <si>
    <t>Contactor magnético, com bobina de 220V/60Hz, modelo 3RT10 25-1AN10, Siemens ou similar.  Fornecimento e instalação.(desonerado)</t>
  </si>
  <si>
    <t>IT 24.58.0350 (/)</t>
  </si>
  <si>
    <t>Contactor magnético, com bobina de 110A, 220V/60Hz, modelo 3TB-50, Siemens ou similar.  Fornecimento e instalação.(desonerado)</t>
  </si>
  <si>
    <t>IT 24.58.0400 (/)</t>
  </si>
  <si>
    <t>Contactor magnético, com bobina de 220V/60Hz, modelo LC1 D-0910 ou similar.  Fornecimento e instalação.(desonerado)</t>
  </si>
  <si>
    <t>IT 24.58.0450 (/)</t>
  </si>
  <si>
    <t>Contactor magnético, com bobina de 220V/60Hz, modelo LC1 D-2510 ou similar.  Fornecimento e instalação.(desonerado)</t>
  </si>
  <si>
    <t>IT 24.58.0500 (/)</t>
  </si>
  <si>
    <t>Contactor magnético, com bobina de 220V/60Hz, modelo LC1 D-5011 ou similar.  Fornecimento e instalação.(desonerado)</t>
  </si>
  <si>
    <t>IT 24.58.0550 (/)</t>
  </si>
  <si>
    <t>Contactor magnético, com bobina de 220V/60Hz, modelo LC1 D-4011 ou similar.  Fornecimento e instalação.(desonerado)</t>
  </si>
  <si>
    <t>IT 24.58.0600 (/)</t>
  </si>
  <si>
    <t>Contactor magnético, com bobina de 220V/60Hz, modelo CA2 DN40 ou similar.  Fornecimento e instalação.(desonerado)</t>
  </si>
  <si>
    <t>IT 24.58.0650 (/)</t>
  </si>
  <si>
    <t>Contactor magnético, modelo E-111 Rafix, Siemens ou similar.  Fornecimento e instalação.(desonerado)</t>
  </si>
  <si>
    <t>IT 24.60 Conectores e Terminais</t>
  </si>
  <si>
    <t>IT 24.60.0250 (/)</t>
  </si>
  <si>
    <t>Conector de parafusos fendido KS-17, Burndy ou similar.  Fornecimento e instalação.(desonerado)</t>
  </si>
  <si>
    <t>IT 24.60.0356 (/)</t>
  </si>
  <si>
    <t>Terminal mecânico de cabo de 16mm2.  Fornecimento e instalação.(desonerado)</t>
  </si>
  <si>
    <t>IT 24.60.0359 (/)</t>
  </si>
  <si>
    <t>Terminal mecânico de cabo de 25mm2.  Fornecimento e instalação.(desonerado)</t>
  </si>
  <si>
    <t>IT 24.60.0371 (/)</t>
  </si>
  <si>
    <t>Terminal mecânico de cabo de 150mm2.  Fornecimento e instalação.(desonerado)</t>
  </si>
  <si>
    <t>IT 24.60.0387 (/)</t>
  </si>
  <si>
    <t>Terminal mecânico de cabo de 240mm2.  Fornecimento e instalação.(desonerado)</t>
  </si>
  <si>
    <t>IT 24.60.0450 (/)</t>
  </si>
  <si>
    <t>Terminal mecânico de cabo de 500mm2.  Fornecimento e instalação.(desonerado)</t>
  </si>
  <si>
    <t>IT 24.62 Reatores</t>
  </si>
  <si>
    <t>IT 24.62.0050 (/)</t>
  </si>
  <si>
    <t>Reator de partida convencional 220V/60Hz,  para lâmpada PLC 18W.  Fornecimento.(desonerado)</t>
  </si>
  <si>
    <t>IT 24.62.0053 (/)</t>
  </si>
  <si>
    <t>Reator simples, partida convencional 220V/60Hz, baixo fator de potência,  para lâmpada fluorescente (PL) compacta de 26W.  Fornecimento.(desonerado)</t>
  </si>
  <si>
    <t>IT 24.62.0062 (/)</t>
  </si>
  <si>
    <t>Reator de partida convencional, fator de potência natural, para lâmpada fluorescente de 1x40W.  Fornecimento e instalação.(desonerado)</t>
  </si>
  <si>
    <t>IT 24.62.0100 (/)</t>
  </si>
  <si>
    <t>Reator para lâmpadas fluorescentes de 2x20W, partida rápida.  Fornecimento e instalação.(desonerado)</t>
  </si>
  <si>
    <t>IT 24.62.0150 (/)</t>
  </si>
  <si>
    <t>Reator para lâmpada fluorescente de 1x40W, partida rápida.  Fornecimento e instalação.(desonerado)</t>
  </si>
  <si>
    <t>IT 24.62.0153 (/)</t>
  </si>
  <si>
    <t>Reator para lâmpadas fluorescentes de 2x40W, partida rápida.  Fornecimento e instalação.(desonerado)</t>
  </si>
  <si>
    <t>IT 24.62.0200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</si>
  <si>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t>
  </si>
  <si>
    <t>IT 24.62.0250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</si>
  <si>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t>
  </si>
  <si>
    <t>IT 24.62.0300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</si>
  <si>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instalação.(desonerado)</t>
  </si>
  <si>
    <t>IT 24.62.0350 (/)</t>
  </si>
  <si>
    <t>Reator para lâmpada a vapor metálico de 150W, tensão 220V, fator de potência mínimo 0,88, com ignitor e capacitor incorporados, perda máxima igual a 10% do conjunto, vida útil mínima de 20.000h,  Osram RQI 150 Ig 400 ou similar.  Fornecimento e instalação.(desonerado)</t>
  </si>
  <si>
    <t>IT 24.62.0400 (/)</t>
  </si>
  <si>
    <t>Reator fabricado com chapa de aço protegida por uma camada anticorrosiva e acabamento em esmalte, tendo ignitor incorporado para funcionar em 60Hz e 220V em rede, para acendimento de lâmpada multi vapor metálico de 70W.  Fornecimento e instalação.(desonerado)</t>
  </si>
  <si>
    <t>IT 24.64 Relés</t>
  </si>
  <si>
    <t>IT 24.64.0050 (/)</t>
  </si>
  <si>
    <t>Relé térmico de 2,5 A a 4 A, modelo 30U 5000, Siemens ou similar.  Fornecimento e instalação.(desonerado)</t>
  </si>
  <si>
    <t>IT 24.64.0059 (/)</t>
  </si>
  <si>
    <t>Relé bimetálico de 25 A a 36 A, modelo 3UA 54, Siemens ou similar.  Fornecimento e instalação.(desonerado)</t>
  </si>
  <si>
    <t>IT 24.64.0068 (/)</t>
  </si>
  <si>
    <t>Relé bimetálico de 90 A a 120 A, modelo 3UA 62, Siemens ou similar.  Fornecimento e instalação.(desonerado)</t>
  </si>
  <si>
    <t>IT 24.64.0100 (/)</t>
  </si>
  <si>
    <t>Relé térmico de 4 A a 6 A, modelo LR1 D12316 ou similar.  Fornecimento e instalação.(desonerado)</t>
  </si>
  <si>
    <t>IT 24.64.0103 (/)</t>
  </si>
  <si>
    <t>Relé térmico de 4 A a 6 A, modelo 3UA 50 ou similar.  Fornecimento e instalação.(desonerado)</t>
  </si>
  <si>
    <t>IT 24.64.0106 (/)</t>
  </si>
  <si>
    <t>Relé térmico de 10 A a 15 A.  Fornecimento e instalação.(desonerado)</t>
  </si>
  <si>
    <t>IT 24.64.0109 (/)</t>
  </si>
  <si>
    <t>Relé térmico de 16 A a 25 A.  Fornecimento e instalação.(desonerado)</t>
  </si>
  <si>
    <t>IT 24.64.0118 (/)</t>
  </si>
  <si>
    <t>Relé térmico de 38 A a 50 A, modelo LR1 06 3357 ou similar.  Fornecimento e instalação.(desonerado)</t>
  </si>
  <si>
    <t>IT 24.64.0150 (/)</t>
  </si>
  <si>
    <t>Relé de falta de fase, 220V/60Hz.  Fornecimento e instalação.(desonerado)</t>
  </si>
  <si>
    <t>IT 24.64.0200 (/)</t>
  </si>
  <si>
    <t>Relé de tempo, modelo 7PU 60, Siemens ou similar.  Fornecimento e instalação.(desonerado)</t>
  </si>
  <si>
    <t>IT 24.66 Subestações, Entradas de Energia e Cubículos de Medição</t>
  </si>
  <si>
    <t>IT 24.66.0050 (/)</t>
  </si>
  <si>
    <t>Fornecimento e instalação de armação secundária ou Rex, para 3 linhas, completa.(desonerado)</t>
  </si>
  <si>
    <t>IT 24.66.0150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</si>
  <si>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630A.(desonerado)</t>
  </si>
  <si>
    <t>IT 24.66.0153 (/)</t>
  </si>
  <si>
    <t>Cubículo de medição, padrão LIGHT, para alta tensão.  Fornecimento e instalação.(desonerado)</t>
  </si>
  <si>
    <t>IT 24.66.0162 (/)</t>
  </si>
  <si>
    <t>Cubículo tipo Metal-Clad, 17,5Kva, 2500A, referência versão 1 ABB-SACE.  Fornecimento e instalação.(desonerado)</t>
  </si>
  <si>
    <t>IT 24.66.0300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</si>
  <si>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montagem.(desonerado)</t>
  </si>
  <si>
    <t>IT 24.66.0500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</si>
  <si>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montagem.(desonerado)</t>
  </si>
  <si>
    <t>IT 24.68 Seccionadores</t>
  </si>
  <si>
    <t>IT 24.68.0050 (/)</t>
  </si>
  <si>
    <t>Seccionador tripolar, acionamento simultâneo, comando por punho, 15Kv-400A.  Fornecimento e instalação.(desonerado)</t>
  </si>
  <si>
    <t>IT 24.68.0100 (/)</t>
  </si>
  <si>
    <t>Seccionador tripolar, com fusíveis, acionamento simultâneo, comando por punho, 15Kv-400A.  Fornecimento e instalação.(desonerado)</t>
  </si>
  <si>
    <t>IT 24.68.0150 (/)</t>
  </si>
  <si>
    <t>Seccionador tripolar, com fusíveis, acionamento simultâneo, comando por vara de manobra, 15Kv-400A.  Fornecimento e instalação.(desonerado)</t>
  </si>
  <si>
    <t>IT 24.68.0200 (/)</t>
  </si>
  <si>
    <t>Seccionador tripolar, acionamento simultâneo, comando por vara de manobra, 15Kv-400A.  Fornecimento e instalação.(desonerado)</t>
  </si>
  <si>
    <t>IT 24.68.0250 (/)</t>
  </si>
  <si>
    <t>Chave seccionada, tripolar, abertura sem carga, comando manual em grupo, instalação abrigada, com chave de bloqueio mecânico tipo kirk, 400A/17,5Kv, referência NTL2-17,5, ABB-SACE ou similar.  Fornecimento e instalação.(desonerado)</t>
  </si>
  <si>
    <t>IT 24.68.0300 (A)</t>
  </si>
  <si>
    <t>Chave seccionada, tripolar, abertura com carga, comando manual em grupo, instalação abrigada, com chave de bloqueio mecânico tipo kirk, 630A/17,5Kv e porta fusíveis HH, referência NAL-17,5, ABB-SACE ou similar.  Fornecimento e instalação.(desonerado)</t>
  </si>
  <si>
    <t>IT 24.70 Sistema de Proteção de Descargas  Atmosférica, Aterramento e Proteção</t>
  </si>
  <si>
    <t>IT 24.70.0050 (/)</t>
  </si>
  <si>
    <t>Fonte de Emergência, No Break, trifásico, potência de 50Kva, on-line, tensão de entrada e saída de 220V, banco de baterias seladas em gabinete para autonomia à plena carga de 10 a 25 minutos, modelo série 300, Liebert ou similar.  Fornecimento.(desonerado)</t>
  </si>
  <si>
    <t>IT 24.70.0100 (A)</t>
  </si>
  <si>
    <t>Haste para aterramento, de cobre, de 5/8", com 3m de comprimento.  Fornecimento e instalação.(desonerado)</t>
  </si>
  <si>
    <t>IT 24.70.0103 (A)</t>
  </si>
  <si>
    <t>Haste para aterramento, tipo Copperweld, de 5/8" (16mm), com 2,40m de comprimento, referência PK-065, Paraklin ou similar.  Fornecimento e instalação.(desonerado)</t>
  </si>
  <si>
    <t>IT 24.70.0150 (A)</t>
  </si>
  <si>
    <t>Pára-raio de distribuição em corpo polimérico de ZNO, para 15Kv/10Ka.  Fornecimento e instalação.(desonerado)</t>
  </si>
  <si>
    <t>IT 24.70.0350 (A)</t>
  </si>
  <si>
    <t>Sistema de aterramento específico para sala radiológica, com 3 hastes em cobre com diâmetro de 3/4", equidistantes de 1500mm umas das outras, inclusive caixa de inspeção, gel, conectores e cabos de transmissão de 70mm2, em distância de 10 a 20m.(desonerado)</t>
  </si>
  <si>
    <t>IT 24.72 Transformadores</t>
  </si>
  <si>
    <t>IT 24.72.0050 (/)</t>
  </si>
  <si>
    <t>Transformador de corrente, classe 15Kv, para sistema de proteção, relação 100/5A.   Fornecimento e instalação.(desonerado)</t>
  </si>
  <si>
    <t>IT 24.72.0097 (/)</t>
  </si>
  <si>
    <t>Transformador de potência a óleo mineral, uso interno, classe 15Kv, tensão primária de 13,8Kv, tensão secundária de 220/127V, potência de 300Kva, com acessórios.  Fornecimento e instalação.(desonerado)</t>
  </si>
  <si>
    <t>IT 24.72.0100 (A)</t>
  </si>
  <si>
    <t>Transformador de potência a óleo mineral, uso interno, classe 15Kv, tensão primária de 13,8Kv, tensão secundária de 220/127V, potência de 500Kva, com acessórios.  Fornecimento e instalação.(desonerado)</t>
  </si>
  <si>
    <t>IT 24.72.0103 (/)</t>
  </si>
  <si>
    <t>Transformador de potência a óleo mineral, uso interno, classe 15Kv, tensão primária de 13,8Kv, tensão secundária de 220/127V, potência de 750Kva, com acessórios.  Fornecimento e instalação.(desonerado)</t>
  </si>
  <si>
    <t>IT 24.72.0106 (/)</t>
  </si>
  <si>
    <t>Transformador de potência a óleo mineral, uso interno, classe 15Kv, tensão primária de 13,8Kv, tensão secundária de 220/127V, potência de 1000Kva, com acessórios.  Fornecimento e instalação.(desonerado)</t>
  </si>
  <si>
    <t>IT 24.72.0109 (/)</t>
  </si>
  <si>
    <t>Transformador de potência a óleo mineral, uso interno, classe 15Kv, tensão primária de 13,8Kv, tensão secundária de 220/127V, potência de 1500Kva, com acessórios.  Fornecimento e instalação.(desonerado)</t>
  </si>
  <si>
    <t>IT 24.72.0112 (/)</t>
  </si>
  <si>
    <t>Transformador de potência a óleo mineral, uso interno, classe 15Kv, tensão primária de 13,8Kv, tensão secundária de 220/127V, potência de 2000Kva, com acessórios.  Fornecimento e instalação.(desonerado)</t>
  </si>
  <si>
    <t>IT 24.72.0115 (/)</t>
  </si>
  <si>
    <t>Transformador de potência a óleo mineral, uso interno, classe 15Kv, tensão primária de 13,8Kv, tensão secundária de 220/127V, potência de 2750Kva, com acessórios.  Fornecimento e instalação.(desonerado)</t>
  </si>
  <si>
    <t>IT 24.72.0150 (/)</t>
  </si>
  <si>
    <t>Transformador de distribuição trifásico, de 30Kva, tensão primária de 13,2Kv, tensão secundaria de 127/220V.  Fornecimento e instalação.(desonerado)</t>
  </si>
  <si>
    <t>IT 24.72.0500 (/)</t>
  </si>
  <si>
    <t>Transformador de distribuição trifásico, de 112,5Kva, 60Hz.  Fornecimento e instalação.(desonerado)</t>
  </si>
  <si>
    <t>IT 24.72.0503 (/)</t>
  </si>
  <si>
    <t>Transformador de potência a seco, uso interno, classe 15Kv, tensão primária de 13,8Kv, tensão secundária de 220/127V, potência de 300Kva, com acessórios.  Fornecimento e instalação.(desonerado)</t>
  </si>
  <si>
    <t>IT 24.72.0506 (/)</t>
  </si>
  <si>
    <t>Transformador de potência a seco, uso interno, classe 15Kv, tensão primária de 13,8Kv, tensão secundária de 220/127V, potência de 500Kva, com acessórios.  Fornecimento e instalação.(desonerado)</t>
  </si>
  <si>
    <t>IT 24.72.0509 (/)</t>
  </si>
  <si>
    <t>Transformador de potência a seco, uso interno, classe 15Kv, tensão primária de 13,8Kv, tensão secundária de 220/127V, potência de 750Kva, com acessórios.  Fornecimento e instalação.(desonerado)</t>
  </si>
  <si>
    <t>IT 24.72.0512 (/)</t>
  </si>
  <si>
    <t>Transformador de potência a seco, uso interno, classe 15Kv, tensão primária de 13,8Kv, tensão secundária de 220/127V, potência de 1000Kva, com acessórios.  Fornecimento e instalação.(desonerado)</t>
  </si>
  <si>
    <t>IT 24.72.0515 (/)</t>
  </si>
  <si>
    <t>Transformador de potência a seco, uso interno, classe 15Kv, tensão primária de 13,8Kv, tensão secundária de 220/127V, potência de 1500Kva, com acessórios.  Fornecimento e instalação.(desonerado)</t>
  </si>
  <si>
    <t>IT 24.74 Fixação de Tubulações</t>
  </si>
  <si>
    <t>IT 24.74.0050 (/)</t>
  </si>
  <si>
    <t>Braçadeira para fixação de eletroduto de ferro galvanizado, diâmetro de 19mm (3/4").  Fornecimento e instalação.(desonerado)</t>
  </si>
  <si>
    <t>IT 24.74.0059 (A)</t>
  </si>
  <si>
    <t>Braçadeira para fixação de eletroduto de ferro galvanizado, diâmetro de 25mm (1").  Fornecimento e instalação.(desonerado)</t>
  </si>
  <si>
    <t>IT 24.74.0062 (A)</t>
  </si>
  <si>
    <t>Braçadeira para fixação de eletroduto de ferro galvanizado, diâmetro de 40mm (1 1/2").  Fornecimento e instalação.(desonerado)</t>
  </si>
  <si>
    <t>IT 24.74.0065 (A)</t>
  </si>
  <si>
    <t>Braçadeira para fixação de eletroduto de ferro galvanizado, diâmetro de 50mm (2").  Fornecimento e instalação.(desonerado)</t>
  </si>
  <si>
    <t>IT 24.74.0071 (A)</t>
  </si>
  <si>
    <t>Braçadeira para fixação de eletroduto de ferro galvanizado, diâmetro de 75mm (3").  Fornecimento e instalação.(desonerado)</t>
  </si>
  <si>
    <t>IT 24.99 Diversos</t>
  </si>
  <si>
    <t>IT 24.99.0050 (/)</t>
  </si>
  <si>
    <t>Amperímetro (96x96)mm com escala de 0A a 500A.  Fornecimento e instalação.(desonerado)</t>
  </si>
  <si>
    <t>IT 24.99.0100 (/)</t>
  </si>
  <si>
    <t>Base de ferro retangular, para caixa subterrânea, modelo QC-43, padrão Telerj.  Fornecimento.(desonerado)</t>
  </si>
  <si>
    <t>IT 24.99.0103 (/)</t>
  </si>
  <si>
    <t>Tampa de ferro retangular, medindo (1,07x0,52)m, para caixa subterrânea, modelo QC-43, padrão Telerj.  Fornecimento.(desonerado)</t>
  </si>
  <si>
    <t>IT 24.99.0150 (/)</t>
  </si>
  <si>
    <t>Botão de comando Rafix, modelo K3 - 01, Siemens ou similar.  Fornecimento e instalação.(desonerado)</t>
  </si>
  <si>
    <t>IT 24.99.0250 (A)</t>
  </si>
  <si>
    <t>Instalação de cabo em eletroduto com diâmetro de 1" até 3", exclusive fornecimento do eletroduto e cabos.(desonerado)</t>
  </si>
  <si>
    <t>IT 24.99.0300 (/)</t>
  </si>
  <si>
    <t>Kit emenda para cabos classe 0,6/1,0Kv.  Fornecimento e instalação.(desonerado)</t>
  </si>
  <si>
    <t>IT 24.99.0301 (/)</t>
  </si>
  <si>
    <t>Sinaleira para entrada/saída de veículos, completa (com lâmpadas e cigarra), lentes na cor âmbar ou vermelha. Fornecimento e instalação.(desonerado)</t>
  </si>
  <si>
    <t>IT 24.99.0400 (/)</t>
  </si>
  <si>
    <t>Temporizador  LA2-D22 para bomba de 30CV.  Fornecimento e instalação.(desonerado)</t>
  </si>
  <si>
    <t>IT 24.99.0450 (/)</t>
  </si>
  <si>
    <t>Timer Switch com acionamento liga/desliga até 7 opções de horário por 24 horas, operando em 120V ou 220V.  Fornecimento e instalação.(desonerado)</t>
  </si>
  <si>
    <t>IT 24.99.0500 (/)</t>
  </si>
  <si>
    <t>Voltímetro (96x96)mm com escala de 0A a 250V.  Fornecimento e instalação.(desonerado)</t>
  </si>
  <si>
    <t>IT 29.05 Arandelas, Globos, Spots e Receptáculos</t>
  </si>
  <si>
    <t>IT 29.05.0050 (/)</t>
  </si>
  <si>
    <t>Arandela completa com receptáculo para lâmpada incandescente de referência 1670 da Lorenzetti ou similar.  Fornecimento e instalação.(desonerado)</t>
  </si>
  <si>
    <t>IT 29.05.0100 (/)</t>
  </si>
  <si>
    <t>Arandela em alumínio fundido com grade de proteção e vidro temperado para lâmpada incandescente de 100W, tipo RPI 3017 G da Raphael Paci ou similar.  Fornecimento e instalação.(desonerado)</t>
  </si>
  <si>
    <t>IT 29.05.0150 (/)</t>
  </si>
  <si>
    <t>Arandela de parede para lâmpada incandescente até 100W tipo A-005 da Lumini ou similar.  Fornecimento e instalação.(desonerado)</t>
  </si>
  <si>
    <t>IT 29.05.0200 (A)</t>
  </si>
  <si>
    <t>Arandela oval em alumínio fundido com grade de proteção e vidro temperado modelo RPI-3016/P marca Raphael Paci ou similar, para lâmpada fluorescente compacta, espiral, 15W, base E-27, 127V, cor amarela. Fornecimento e instalação.(desonerado)</t>
  </si>
  <si>
    <t>IT 29.05.0203 (A)</t>
  </si>
  <si>
    <t>Arandela oval em alumínio fundido com grade de proteção e vidro temperado modelo RPI-3017/P marca Raphael Paci ou similar, para lâmpada fluorescente compacta, espiral, 15W, base E-27, 127V, cor amarela. Fornecimento e instalação.(desonerado)</t>
  </si>
  <si>
    <t>IT 29.05.0250 (/)</t>
  </si>
  <si>
    <t>Arandela oval em alumínio fundido com grade de proteção e vidro temperado para lâmpada incandescente de 100W tipo RPI-3017/P da Raphael Paci ou similar.  Fornecimento e instalação.(desonerado)</t>
  </si>
  <si>
    <t>IT 29.05.0253 (/)</t>
  </si>
  <si>
    <t>Arandela oval em alumínio fundido com grade de proteção e vidro temperado para lâmpada incandescente de 100W tipo RPI-3016/G da Raphael Paci ou similar.  Fornecimento e instalação.(desonerado)</t>
  </si>
  <si>
    <t>IT 29.05.0300 (A)</t>
  </si>
  <si>
    <t>Globo esférico, plafonier repuxado de alumínio com difusor em base de vidro de 4"x6".  Fornecimento e instalação.(desonerado)</t>
  </si>
  <si>
    <t>IT 29.05.0312 (/)</t>
  </si>
  <si>
    <t>Globo de vidro fosco, plafonier tipo drops para lâmpada incandescente de 100W tipo   C-2019M da Projeto ou similar.  Fornecimento e instalação.(desonerado)</t>
  </si>
  <si>
    <t>IT 29.05.0400 (/)</t>
  </si>
  <si>
    <t>Luminária fabricação, completa, inclusive lâmpada incandescente de 100W, modelo UD 540/1, Unilux ou similar.  Fornecimento e instalação.(desonerado)</t>
  </si>
  <si>
    <t>IT 29.05.0501 (/)</t>
  </si>
  <si>
    <t>Plafonier em alumínio pintado para 1 lâmpada vapor metálico de 70W, tipo C-2208 da Projeto ou similar.  Fornecimento e instalação.(desonerado)</t>
  </si>
  <si>
    <t>IT 29.05.0550 (A)</t>
  </si>
  <si>
    <t>Plafonier repuxado de alumínio, com receptáculo de louça.  Fornecimento e instalação.(desonerado)</t>
  </si>
  <si>
    <t>IT 29.05.0600 (/)</t>
  </si>
  <si>
    <t>Receptáculo de louça para lâmpada.  Fornecimento e instalação.(desonerado)</t>
  </si>
  <si>
    <t>IT 29.05.0650 (/)</t>
  </si>
  <si>
    <t>Spot embutido para lâmpada de 60W.  Fornecimento.(desonerado)</t>
  </si>
  <si>
    <t>IT 29.10 Luminárias de Embutir</t>
  </si>
  <si>
    <t>IT 29.10.0050 (/)</t>
  </si>
  <si>
    <t>Luminária de embutir para iluminação comercial ou residencial de interiores, para 1 lâmpada com porta-lâmpada E-27, equipada com 1 lâmpada fluorescente compacta PLE 23W em 220V com reator incorporado.  Fornecimento e instalação.(desonerado)</t>
  </si>
  <si>
    <t>IT 29.10.0100 (/)</t>
  </si>
  <si>
    <t>Luminária de embutir para iluminação comercial de interiores, para 2 lâmpadas fluorescentes possuindo aletas anti-ofuscantes, equipada com lâmpadas de 32W e reator eletrônico em 220V.  Fornecimento e instalação.(desonerado)</t>
  </si>
  <si>
    <t>IT 29.10.0150 (/)</t>
  </si>
  <si>
    <t>Luminária de embutir, modelo C-2169, fabricação Lustres Projeto ou similar, equipada com 1 lâmpada dicróica de 50W e transformador para 12V.  Fornecimento.(desonerado)</t>
  </si>
  <si>
    <t>IT 29.10.0200 (/)</t>
  </si>
  <si>
    <t>Luminária de embutir, equipada com 1 lâmpada incandescente de 150W/220V, modelo C-2107/G, Lustres Projeto ou similar.  Fornecimento.(desonerado)</t>
  </si>
  <si>
    <t>IT 29.10.0500 (/)</t>
  </si>
  <si>
    <t>Luminária de embutir para lâmpada de vapor metálico de 400W tipo E-2020/400 da Lumini ou similar.  Fornecimento e instalação.(desonerado)</t>
  </si>
  <si>
    <t>IT 29.15 Luminárias de Sobrepor</t>
  </si>
  <si>
    <t>IT 29.15.0050 (/)</t>
  </si>
  <si>
    <t>Luminária de sobrepor, fixada em laje ou forro, tipo calha, chanfrada ou prismática, com lâmpadas aparentes, esmaltada, completa, equipada com starters, reatores simples de partida convencional e lâmpada fluorescente (1x20W).  Fornecimento e instalação.(desonerado)</t>
  </si>
  <si>
    <t>IT 29.15.0053 (/)</t>
  </si>
  <si>
    <t>Luminária de sobrepor, fixada em laje ou forro, tipo calha, chanfrada ou prismática, com lâmpadas aparentes, esmaltadas, completa, equipada com reatores de partida rápida e lâmpadas fluorescentes (2x20W).  Fornecimento e instalação.(desonerado)</t>
  </si>
  <si>
    <t>IT 29.15.0056 (/)</t>
  </si>
  <si>
    <t>Luminária de sobrepor, fixada em laje ou forro, tipo calha, chanfrada ou prismática, com lâmpadas aparentes, esmaltada, completa, equipada com starters, reatores simples de partida convencional e lâmpadas fluorescentes (2x20W).  Fornecimento e instalação.(desonerado)</t>
  </si>
  <si>
    <t>IT 29.15.0062 (/)</t>
  </si>
  <si>
    <t>Luminária de sobrepor, fixada em laje ou forro, tipo calha, chanfrada ou prismática, com lâmpadas aparentes, esmaltada, completa, equipada com starters, reatores simples de partida convencional e lâmpadas fluorescentes (4x20W).  Fornecimento e instalação.(desonerado)</t>
  </si>
  <si>
    <t>IT 29.15.0100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</si>
  <si>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instalação.(desonerado)</t>
  </si>
  <si>
    <t>IT 29.15.0103 (/)</t>
  </si>
  <si>
    <t>Luminária de sobrepor para iluminação comercial de interiores, para 2 lâmpadas fluorescentes possuindo aletas anti-ofuscantes, equipada com lâmpadas de 32W e reator eletrônico em 220V.  Fornecimento e instalação.(desonerado)</t>
  </si>
  <si>
    <t>IT 29.15.0109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</si>
  <si>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instalação.(desonerado)</t>
  </si>
  <si>
    <t>IT 29.15.0200 (/)</t>
  </si>
  <si>
    <t>Calha chanfrada de sobrepor, fixada em laje ou forro, em chapa de aço fosfatizada, esmaltada em estufa a 150°C, para lâmpadas fluorescente de (2x40W), exclusive reatores, starters e lâmpadas.  Fornecimento e instalação.(desonerado)</t>
  </si>
  <si>
    <t>IT 29.15.0203 (/)</t>
  </si>
  <si>
    <t>Luminária de sobrepor, fixada em laje ou forro, tipo calha, chanfrada ou prismática, com lâmpadas aparentes, esmaltada, completa, equipada com reatores de partida rápida e lâmpadas fluorescentes (2x40W).  Fornecimento e instalação.(desonerado)</t>
  </si>
  <si>
    <t>IT 29.15.0206 (/)</t>
  </si>
  <si>
    <t>Luminária de sobrepor, fixada em laje ou forro, tipo calha, chanfrada ou prismática, com lâmpadas aparentes, esmaltada, completa, equipada com starters, reatores simples de partida convencional e lâmpadas fluorescentes (2x40W).  Fornecimento e instalação.(desonerado)</t>
  </si>
  <si>
    <t>IT 29.15.0209 (/)</t>
  </si>
  <si>
    <t>Luminária elevada MM-100, A1/M, para circuito paralelo ou similar, com refrator prismático em borosilicato, na cor amarela, com lâmpada incandescente em 40W/220V, com filamento reforçado.  Fornecimento.(desonerado)</t>
  </si>
  <si>
    <t>IT 29.15.0212 (/)</t>
  </si>
  <si>
    <t>Luminária de sobrepor/embutir, equipada com 2 lâmpadas fluorescentes de 40W, modelo C-2155, Lustres Projeto ou similar.  Fornecimento.(desonerado)</t>
  </si>
  <si>
    <t>IT 29.15.0250 (/)</t>
  </si>
  <si>
    <t>Luminária de sobrepor, fixada em laje ou forro, tipo calha, chanfrada ou prismática, com lâmpadas aparentes, esmaltada, completa, equipada com reatores de partida rápida e lâmpadas fluorescentes (3x40W).  Fornecimento e instalação.(desonerado)</t>
  </si>
  <si>
    <t>IT 29.15.0253 (/)</t>
  </si>
  <si>
    <t>Luminária de sobrepor, fixada em laje ou forro, tipo calha, chanfrada ou prismática, com lâmpadas aparentes, esmaltada, completa, equipada com reatores de partida rápida e lâmpadas fluorescentes (4x40W).  Fornecimento e instalação.(desonerado)</t>
  </si>
  <si>
    <t>IT 29.15.0256 (/)</t>
  </si>
  <si>
    <t>Luminária de sobrepor, fixada em laje ou forro, tipo calha chanfrada ou prismática em lâmpadas aparentes, esmaltadas, completa, equipada com starters, reatores simples de partida convencional e lâmpadas fluorescentes (3x40W).  Fornecimento e instalação.(desonerado)</t>
  </si>
  <si>
    <t>IT 29.15.0259 (/)</t>
  </si>
  <si>
    <t>Luminária de sobrepor, fixada em laje ou forro, tipo calha chanfrada ou prismática em lâmpadas aparentes, esmaltadas, completa, equipada com starters, reatores simples de partida convencional e lâmpadas fluorescentes (4x40W).  Fornecimento e instalação.(desonerado)</t>
  </si>
  <si>
    <t>IT 29.15.0300 (/)</t>
  </si>
  <si>
    <t>Luminária hermética de embutir, com difusor em vidro cristal plano temperado e pintura eletrostática na cor branca, (2x40W), fixadas com tirantes já existentes na luminária.  Fornecimento e instalação.(desonerado)</t>
  </si>
  <si>
    <t>IT 29.15.0303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</si>
  <si>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instalação.(desonerado)</t>
  </si>
  <si>
    <t>IT 29.15.0306 (/)</t>
  </si>
  <si>
    <t>Luminária hermética de embutir, com difusor em vidro cristal plano temperado e pintura eletrostática na cor branca, (4x40W), fixadas com tirantes já existentes na luminária.  Fornecimento e instalação.(desonerado)</t>
  </si>
  <si>
    <t>IT 29.15.0353 (/)</t>
  </si>
  <si>
    <t>Luminária fabricação Unilux ou similar, modelo ULD 50/12V, completa, inclusive lâmpada dicróica e canopla.  Fornecimento e instalação.(desonerado)</t>
  </si>
  <si>
    <t>IT 29.15.0403 (/)</t>
  </si>
  <si>
    <t>Luminária de sobrepor/arandela, modelo F-5011, fabricação Lustres Projeto ou similar, equipada com 1 lâmpada incandescente de 100W.  Fornecimento.(desonerado)</t>
  </si>
  <si>
    <t>IT 29.15.0409 (/)</t>
  </si>
  <si>
    <t>Luminária de sobrepor, modelo C-2044/M, fabricação Lustres Projeto ou similar, equipada com 1 lâmpada incandescente de 100W.  Fornecimento.(desonerado)</t>
  </si>
  <si>
    <t>IT 29.15.0450 (A)</t>
  </si>
  <si>
    <t>Luminária fabricação Relumi ou similar, modelo D1290, fechada, corpo e grade de proteção em liga de alumínio fundido com lâmpada incandescente de 100W.  Fornecimento e instalação.(desonerado)</t>
  </si>
  <si>
    <t>IT 29.15.0500 (/)</t>
  </si>
  <si>
    <t>Luminária à prova de explosão, fabricação Lumen ou similar, modelo NLPE-751/3.  Fornecimento e instalação.(desonerado)</t>
  </si>
  <si>
    <t>IT 29.15.0550 (/)</t>
  </si>
  <si>
    <t>Luminária para quadra de esportes, com lâmpada mista de vapor de mercúrio 250W, reator de partida rápida e alto fator de potência, com grade protetora, modelo T-39/3 completa, Peterco ou similar.  Fornecimento e instalação.(desonerado)</t>
  </si>
  <si>
    <t>IT 29.15.0600 (/)</t>
  </si>
  <si>
    <t>Luminária para lâmpada a vapor metálico, com alojamento para reator, ignitor e capacitor, montagem aparente sobreposta, corpo em chapa de aço carbono com pintura eletrostática, rendimento mínimo de 70%, Lumicenter RSMV 150 ou similar.  Fornecimento e instalação.(desonerado)</t>
  </si>
  <si>
    <t>IT 29.20 Projetores e Refletores</t>
  </si>
  <si>
    <t>IT 29.20.0050 (/)</t>
  </si>
  <si>
    <t>Projetor para iluminação interna, de embutir, fechado para lâmpada de vapor metálico de 70W ou 150W, com corpo em chapa de aço pintada com tinta Epóxi, contendo vidro temperado resistente às temperaturas de operação.  Fornecimento e instalação.(desonerado)</t>
  </si>
  <si>
    <t>IT 29.20.0100 (/)</t>
  </si>
  <si>
    <t>Projetor para iluminação de quadras, pátios ou fachadas, para lâmpada Standard até 500W, ou mista até 250W, modelo LE-512, Lumen Eletrometalúrgica ou similar.  Fornecimento e instalação.(desonerado)</t>
  </si>
  <si>
    <t>IT 29.20.0300 (/)</t>
  </si>
  <si>
    <t>Projetor subaquático, de 120mm de diâmetro; 110mm de altura, base GU5,3, com lâmpada halôgena dicróica de 50W e 127/220V, modelo PD-50.  Fornecimento.(desonerado)</t>
  </si>
  <si>
    <t>IT 29.20.0350 (/)</t>
  </si>
  <si>
    <t>Projetor subaquático, de 190mm de diâmetro; 190mm de altura, base E-27, com lâmpada incandescente de 150/200W e 127/220V, modelo PI-200.  Fornecimento.(desonerado)</t>
  </si>
  <si>
    <t>IT 29.20.0400 (/)</t>
  </si>
  <si>
    <t>Projetor subaquático, de 220mm de diâmetro; 270mm de altura, base E-27, com lâmpada mista de 160W/220V, modelo PM-160.  Fornecimento.(desonerado)</t>
  </si>
  <si>
    <t>IT 29.20.0450 (/)</t>
  </si>
  <si>
    <t>Projetor subaquático, de 220mm de diâmetro; 270mm de altura, base E-27, com lâmpada mista de 250W/220V, modelo PM-250.  Fornecimento.(desonerado)</t>
  </si>
  <si>
    <t>IT 29.20.0500 (/)</t>
  </si>
  <si>
    <t>Projetor subaquático, de 260mm de diâmetro; 120mm de altura, base R7S, com lâmpada halôgena 300W e 127/220V, modelo PH-300.  Fornecimento.(desonerado)</t>
  </si>
  <si>
    <t>IT 29.20.0550 (/)</t>
  </si>
  <si>
    <t>Projetor subaquático, de 260mm de diâmetro; 120mm de altura, base R7S, com lâmpada halôgena 500W e 127/220V, modelo PH-500.  Fornecimento.(desonerado)</t>
  </si>
  <si>
    <t>IT 29.20.0553 (/)</t>
  </si>
  <si>
    <t>Projetor subaquático, de 290mm de diâmetro; 360mm de altura, base E-40, com lâmpada mista de 500W/220V, modelo PM-500.  Fornecimento.(desonerado)</t>
  </si>
  <si>
    <t>IT 29.20.0600 (/)</t>
  </si>
  <si>
    <t>Refletor, incluindo lâmpada halógena de 300W, referência PT-87, Wetzel ou similar.  Fornecimento e instalação.(desonerado)</t>
  </si>
  <si>
    <t>IT 29.20.0609 (/)</t>
  </si>
  <si>
    <t>Refletor, incluindo lâmpada halógena de 300W, referência F-5050, Projetos ou similar.  Fornecimento e instalação.(desonerado)</t>
  </si>
  <si>
    <t>IT 29.25 Lâmpadas Incandescentes</t>
  </si>
  <si>
    <t>IT 29.25.0062 (/)</t>
  </si>
  <si>
    <t>Lâmpada incandescente de 100W.  Fornecimento e instalação.(desonerado)</t>
  </si>
  <si>
    <t>IT 29.25.0162 (/)</t>
  </si>
  <si>
    <t>Lâmpada dicróica de 75W, 110/130V, com 38° de abertura.  Fornecimento e colcação.(desonerado)</t>
  </si>
  <si>
    <t>IT 29.30 Lâmpadas Fluorescentes</t>
  </si>
  <si>
    <t>IT 29.30.0050 (/)</t>
  </si>
  <si>
    <t>Lâmpada fluorescente compacta, espiral, 15W, base E-27, 127V, cor amarela. Fornecimento e instalação. (desonerado)</t>
  </si>
  <si>
    <t>IT 29.30.0053 (/)</t>
  </si>
  <si>
    <t>Lâmpada fluorescente tubular de 16W, fluxo luminoso mínimo 1200 lumens, cor 840, índice de reprodução de cores 85, base G13, vida útil mínima 7500h, OSRAM Energy Saver L16/21-840 ou similar.  Fornecimento e instalação.(desonerado)</t>
  </si>
  <si>
    <t>IT 29.30.0056 (/)</t>
  </si>
  <si>
    <t>Lâmpada fluorescente de 20W.  Fornecimento e instalação.(desonerado)</t>
  </si>
  <si>
    <t>IT 29.30.0059 (/)</t>
  </si>
  <si>
    <t>Lâmpada fluorescente compacta eletrônica de 23W, com reator incorporado, fluxo luminoso mínimo 1500 lumens, cor 41, base E27, vida útil mínima 10.000h, OSRAM Dulux EL 23W/41 ou similar.  Fornecimento e instalação.(desonerado)</t>
  </si>
  <si>
    <t>IT 29.30.0062 (/)</t>
  </si>
  <si>
    <t>Lâmpada fluorescente tubular de 32W, fluxo luminoso mínimo 1200 lumens, cor 840, índice de reprodução de cores 85, base G13, vida útil mínima 7500h, OSRAM Energy Saver L16/21-840 ou similar.  Fornecimento e instalação.(desonerado)</t>
  </si>
  <si>
    <t>IT 29.30.0065 (/)</t>
  </si>
  <si>
    <t>Lâmpada fluorescente de 40W.  Fornecimento e instalação.(desonerado)</t>
  </si>
  <si>
    <t>IT 29.30.0068 (/)</t>
  </si>
  <si>
    <t>Lâmpada fluorescente tubular, fluxo luminoso mínimo 3350lm, cor 840, índice de reprodução de cores 85, base G13, vida útil mínima de 7500h, potência de 36W.  Fornecimento e instalação.(desonerado)</t>
  </si>
  <si>
    <t>IT 29.30.0080 (/)</t>
  </si>
  <si>
    <t>Lâmpada fluorescente compacta, espiral, 58W, base E-27, 220V, cor branca. Fornecimento e instalação. (desonerado)</t>
  </si>
  <si>
    <t>IT 29.30.0090 (/)</t>
  </si>
  <si>
    <t>Lâmpada fluorescente compacta, espiral, 85W, base E-27, 220V, cor branca. Fornecimento e instalação. (desonerado)</t>
  </si>
  <si>
    <t>IT 29.35 Lâmpadas Multivapor de Mercúrio</t>
  </si>
  <si>
    <t>IT 29.35.0056 (/)</t>
  </si>
  <si>
    <t>Lâmpada multivapor metálico (MVM) de 70W, com duplo contato, bulbo externo de quartzo e um tubo de descarga de quartzo, temperatura de cor na ordem de 3000°K.  Fornecimento e instalação.(desonerado)</t>
  </si>
  <si>
    <t>IT 29.35.0068 (/)</t>
  </si>
  <si>
    <t>Lâmpada a vapor metálico, tubular, de 150W, fluxo luminoso mínimo 1200 lumens, temperatura de cor 3000K, índice de reprodução de cores 80, base G12, vida útil mínima 10.000h, OSRAM Powerstar HQI-T 150 WDL ou similar.  Fornecimento e instalação.(desonerado)</t>
  </si>
  <si>
    <t>IT 29.40 Lâmpadas Vapor de Sódio</t>
  </si>
  <si>
    <t>IT 29.40.0050 (/)</t>
  </si>
  <si>
    <t>Lâmpada de vapor de sódio de 220Vx250W, bulbo ovóide.  Fornecimento e instalação.(desonerado)</t>
  </si>
  <si>
    <t>IT 29.45 Lâmpadas Halógenas</t>
  </si>
  <si>
    <t>IT 29.45.0300 (/)</t>
  </si>
  <si>
    <t>Lâmpada halógena de 300W, tipo lapiseira ou palito.  Fornecimento e instalação.(desonerado)</t>
  </si>
  <si>
    <t>IT 34.05 Luminárias para Cabeceira de Leito Hospitalar</t>
  </si>
  <si>
    <t>IT 34.05.0050 (B)</t>
  </si>
  <si>
    <t>Luminaria articulada para cabeceira de leito hospitalar, com 1 lâmpada fluorescente compacta, espiral, 15W, base E-27, 127V, cor amarela. Fornecimento e instalação.(desonerado)</t>
  </si>
  <si>
    <t>IT 34.10 Painel de Cabeceira de Leito Hospitalar</t>
  </si>
  <si>
    <t>IT 34.10.0050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</si>
  <si>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instalação.(desonerado)</t>
  </si>
  <si>
    <t>IT 34.10.0100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</si>
  <si>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instalação.(desonerado)</t>
  </si>
  <si>
    <t>IT 39.05 Filtros e Acessórios</t>
  </si>
  <si>
    <t>IT 39.05.0050 (/)</t>
  </si>
  <si>
    <t>Conjunto flutuante de sucção / recalque de 1" para AAC, para instalação no interior dos reservatórios de AAC, composto de mangueira plástica flexível não dobrável e ponteira em metal. Fornecimento.(desonerado)</t>
  </si>
  <si>
    <t>IT 39.05.0100 (/)</t>
  </si>
  <si>
    <t>Conjunto flutuante de sucção / recalque de 2" para AAC, para instalação no interior dos reservatórios de AAC, composto de mangueira plástica flexível não dobrável e ponteira em metal. Fornecimento.(desonerado)</t>
  </si>
  <si>
    <t>IT 39.05.0150 (/)</t>
  </si>
  <si>
    <t>Extravasor, sifão/ladrão, de 100mm, para excesso de água, retirada de impurezas da superfície e manutenção do nível máximo determinado para os reservatórios de AAC. Bloqueia cheiros da galeria pluvial e dificulta entrada de pragas. Fornecimento.(desonerado)</t>
  </si>
  <si>
    <t>IT 39.05.0200 (/)</t>
  </si>
  <si>
    <t>Extravasor, sifão/ladrão, de 200mm, para excesso de água, retirada de impurezas da superfície e manutenção do nível máximo determinado para os reservatórios de AAC. Bloqueia cheiros da galeria pluvial e dificulta entrada de pragas. Fornecimento.(desonerado)</t>
  </si>
  <si>
    <t>IT 39.05.0250 (/)</t>
  </si>
  <si>
    <t>Extravasor, sifão/ladrão, de 400mm, para excesso de água, retirada de impurezas da superfície e manutenção do nível máximo determinado para os reservatórios de AAC. Bloqueia cheiros da galeria pluvial e dificulta entrada de pragas. Fornecimento.(desonerado)</t>
  </si>
  <si>
    <t>IT 39.05.0500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</si>
  <si>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Fornecimento.(desonerado)</t>
  </si>
  <si>
    <t>IT 39.05.0550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</si>
  <si>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Fornecimento.(desonerado)</t>
  </si>
  <si>
    <t>IT 39.05.1000 (/)</t>
  </si>
  <si>
    <t>Freio hidráulico de 100mm para enchimento dos reservatórios de AAC, através de fluxo ascendente. Fornecimento.(desonerado)</t>
  </si>
  <si>
    <t>IT 39.05.1050 (/)</t>
  </si>
  <si>
    <t>Freio hidráulico de 200mm para enchimento dos reservatórios de AAC, através de fluxo ascendente. Fornecimento.(desonerado)</t>
  </si>
  <si>
    <t>IT 39.05.1100 (/)</t>
  </si>
  <si>
    <t>Freio hidráulico de 400mm para enchimento dos reservatórios de AAC, através de fluxo ascendente. Fornecimento.(desonerado)</t>
  </si>
  <si>
    <t>IT 49.05 Aerador Mecânico Superficial, de Fluxo Descendente, Alta Rotação</t>
  </si>
  <si>
    <t>IT 49.05.0050 (/)</t>
  </si>
  <si>
    <t>Aerador mecânico superficial de 3,0 CV, de fluxo descendente, alta rotação, fornecimento e instalação.(desonerado)</t>
  </si>
  <si>
    <t>IT 49.05.0100 (/)</t>
  </si>
  <si>
    <t>Aerador mecânico superficial de 15,0 CV, de fluxo descendente, alta rotação, fornecimento e instalação.(desonerado)</t>
  </si>
  <si>
    <t>IT 49.05.0150 (/)</t>
  </si>
  <si>
    <t>Aerador mecânico superficial de 25,0 CV, de fluxo descendente, alta rotação, fornecimento e instalação.(desonerado)</t>
  </si>
  <si>
    <t>IT 49.05.0200 (/)</t>
  </si>
  <si>
    <t>Aerador mecânico superficial de 30,0 CV, de fluxo descendente, alta rotação, fornecimento e instalação.(desonerado)</t>
  </si>
  <si>
    <t>MP 14.05 Mão de Obra</t>
  </si>
  <si>
    <t>MP 14.05.0050 (/)</t>
  </si>
  <si>
    <t>Ajudante de instalação e manutenção de equipamentos (Ar Condicionado central Self / Exp. direta, Caldeira, Gerador, Subestação e Elevador), inclusive encargos sociais e insalubridade.(desonerado)</t>
  </si>
  <si>
    <t>MP 14.05.0150 (/)</t>
  </si>
  <si>
    <t>Eletricista de instalação e manutenção de equipamentos (Ar Condicionado central Self / Exp. direta, Caldeira, Gerador, Subestação e Elevador), inclusive encargos sociais e periculosidade.(desonerado)</t>
  </si>
  <si>
    <t>MP 14.05.0200 (/)</t>
  </si>
  <si>
    <t>Encarregado de instalação e manutenção de equipamentos (Ar Condicionado central Self / Exp. direta, Caldeira, Gerador, Subestação e Elevador), inclusive encargos sociais e insalubridade.(desonerado)</t>
  </si>
  <si>
    <t>MP 14.05.0250 (/)</t>
  </si>
  <si>
    <t>Engenheiro mecânico ou eletricista de instalação e manutenção de equipamentos (Ar Condicionado central Self / Exp. direta, Caldeira, Gerador, Subestação e Elevador), inclusive encargos sociais e insalubridade.(desonerado)</t>
  </si>
  <si>
    <t>MP 14.05.0300 (/)</t>
  </si>
  <si>
    <t>Mecânico de instalação e manutenção de equipamentos (Ar Condicionado central Self / Exp. direta, Caldeira, Gerador, Subestação e Elevador), inclusive encargos sociais e periculosidade.(desonerado)</t>
  </si>
  <si>
    <t>MP 14.05.0400 (/)</t>
  </si>
  <si>
    <t>Meio oficial de instalação e manutenção de equipamentos (Ar Condicionado central Self / Exp. direta, Caldeira, Gerador, Subestação e Elevador), inclusive encargos sociais e insalubridade.(desonerado)</t>
  </si>
  <si>
    <t>MP 14.05.0600 (/)</t>
  </si>
  <si>
    <t>Operador de equipamentos (Ar Condicionado central Self / Exp. direta, Caldeira, Gerador, Subestação e Elevador), inclusive encargos sociais e insalubridade.(desonerado)</t>
  </si>
  <si>
    <t>MP 14.10 Serviço</t>
  </si>
  <si>
    <t>MP 14.10.0050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</si>
  <si>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7,5TR.(desonerado)</t>
  </si>
  <si>
    <t>MP 14.10.0100 (/)</t>
  </si>
  <si>
    <t>Tratamento químico da água dos sistemas de ar condicionado central, inclusive coleta e relatório de amostra para controle (incluindo bacias das torres e tanques de expansão).(desonerado)</t>
  </si>
  <si>
    <t>cj.mês</t>
  </si>
  <si>
    <t>MP 14.10.0200 (A)</t>
  </si>
  <si>
    <t>Execução de limpeza, higienização e descontaminação de rede de dutos dos sistemas de ar condicionado, conforme Portaria 3523 do Ministério da Saúde e Norma Técnica RE-09, bem como posteriores, incluindo relatório técnico.(desonerado)</t>
  </si>
  <si>
    <t>MP 14.10.0300 (/)</t>
  </si>
  <si>
    <t>Análise microbiológica do ar interior de ambiente climatizado em unidade hospitalar, inclusive coleta de amostra e laudo físico-químico e microbiológico, conforme Resolução RE nº 09 de 16/01/2003 da ANVISA.(desonerado)</t>
  </si>
  <si>
    <t>MP 19.05 Equipe de Serviços</t>
  </si>
  <si>
    <t>MP 19.05.0050 (/)</t>
  </si>
  <si>
    <t>Equipe de serviços atuando corretivamente em chafarizes para retirada, desobstrução e recolocação de bicos, exclusive transporte.(desonerado)</t>
  </si>
  <si>
    <t>MP 19.05.0100 (A)</t>
  </si>
  <si>
    <t>Equipe de serviços atuando corretivamente em chafarizes para retirada de peças hidráulicas e/ou elétricas, exclusive transporte.(desonerado)</t>
  </si>
  <si>
    <t>MP 19.05.0150 (A)</t>
  </si>
  <si>
    <t>Equipe de serviços atuando na manutenção preventiva de sistema de chafarizes, realizando testes e verificações periódicas com reparos dos defeitos encontrados, exclusive fornecimento de peças e transporte.(desonerado)</t>
  </si>
  <si>
    <t>MP 49.20 Serviço de Manutenção</t>
  </si>
  <si>
    <t>MP 49.20.0300 (/)</t>
  </si>
  <si>
    <t>Serviço de calibragem de dispositivos de controle (balanças, termômetros, tacômetros, pressostatos, etc.) de Usinas de Asfalto, exclusive peças.(desonerado)</t>
  </si>
  <si>
    <t>MP 49.20.0350 (/)</t>
  </si>
  <si>
    <t>Serviço de manutenção e regulagem de queimadores a gás de secadores e geradores de calor de Usinas de Asfálto, exclusive peças.(desonerado)</t>
  </si>
  <si>
    <t>MP 49.20.0400 (/)</t>
  </si>
  <si>
    <t>Serviço  de usinagem de peças para Usinas de Asfalto, exclusive materiais.(desonerado)</t>
  </si>
  <si>
    <t>MT 04.05 Escavação Manual de Vala - Material de 1ª Categoria</t>
  </si>
  <si>
    <t>MT 04.05.0050 (/)</t>
  </si>
  <si>
    <t>Escavação manual de vala em material de 1ª categoria (areia, argila ou piçarra), até 1,50m,  exclusive escoramento e esgotamento.(desonerado)</t>
  </si>
  <si>
    <t>MT 04.05.0100 (/)</t>
  </si>
  <si>
    <t>Escavação manual de vala em material de 1ª categoria (areia, argila ou piçarra), acima de 1,50m até 3m de profundidade, exclusive escoramento e esgotamento.(desonerado)</t>
  </si>
  <si>
    <t>MT 04.05.0150 (/)</t>
  </si>
  <si>
    <t>Escavação manual de vala em material de 1ª categoria (areia, argila ou piçarra), acima de 3m até 4,50m de profundidade, exclusive escoramento e esgotamento.(desonerado)</t>
  </si>
  <si>
    <t>MT 04.05.0200 (/)</t>
  </si>
  <si>
    <t>Escavação manual de vala em material de 1ª categoria (areia, argila ou piçarra), acima de  4,50m até 6m de profundidade, exclusive escoramento e esgotamento.(desonerado)</t>
  </si>
  <si>
    <t>MT 04.10 Escavação Manual de Vala - Material de 2ª Categoria</t>
  </si>
  <si>
    <t>MT 04.10.0050 (/)</t>
  </si>
  <si>
    <t>Desmonte manual em material de 2ª categoria (moledo ou rocha decomposta).(desonerado)</t>
  </si>
  <si>
    <t>MT 04.10.0100 (/)</t>
  </si>
  <si>
    <t>Escavação manual de vala a frio em material de 2ª categoria (moledo ou rocha decomposta) até 1,50m de profundidade, exclusive escoramento e esgotamento.(desonerado)</t>
  </si>
  <si>
    <t>MT 04.10.0150 (/)</t>
  </si>
  <si>
    <t>Escavação manual de vala a frio em material de 2ª categoria (moledo ou rocha decomposta) de 1,50m e 3m de profundidade, exclusive escoramento e esgotamento.(desonerado)</t>
  </si>
  <si>
    <t>MT 04.10.0200 (/)</t>
  </si>
  <si>
    <t>Marroamento de material de 2ª categoria (rocha decomposta), com volume máximo de 0,064m3, para redução a pedra-de-mão, referindo-se o preço ao material solto, depois de marroado.(desonerado)</t>
  </si>
  <si>
    <t>MT 04.15 Escavação Manual de Vala em Lodo</t>
  </si>
  <si>
    <t>MT 04.15.0015 (/)</t>
  </si>
  <si>
    <t>Escavação manual de cova em área de manguezal, com 1,00m de profundidade e 0,15 de diâmetro.(desonerado)</t>
  </si>
  <si>
    <t>MT 04.15.0050 (/)</t>
  </si>
  <si>
    <t>Escavação manual de vala em lodo, até 1,50m de profundidade, exclusive escoramento e esgotamento.(desonerado)</t>
  </si>
  <si>
    <t>MT 04.20 Escavação Manual de Valas e Reaterro para Ligações Prediais</t>
  </si>
  <si>
    <t>MT 04.20.0050 (/)</t>
  </si>
  <si>
    <t>Escavação e reaterro de vala, em material de 1ª categoria, para ligação de água potavél.(desonerado)</t>
  </si>
  <si>
    <t>MT 04.20.0100 (/)</t>
  </si>
  <si>
    <t>Escavação e reaterro de vala, em material de 1ª categoria, para ligação predial de esgoto sanitário.(desonerado)</t>
  </si>
  <si>
    <t>MT 04.25 Desmonte Manual - Material 3ª Categoria</t>
  </si>
  <si>
    <t>MT 04.25.0050 (/)</t>
  </si>
  <si>
    <t>Desmonte manual de bloco de material de 3ª categoria (rocha viva), inclusive redução a pedra-de-mão.(desonerado)</t>
  </si>
  <si>
    <t>MT 04.30 Escavação a Céu Aberto - Material de 1ª Categoria</t>
  </si>
  <si>
    <t>MT 04.30.0050 (/)</t>
  </si>
  <si>
    <t>Escavação manual em material de 1ª categoria, a céu aberto, até 0,50m de profundidade com remoção até 1 dam.(desonerado)</t>
  </si>
  <si>
    <t>MT 04.30.0100 (/)</t>
  </si>
  <si>
    <t>Escavação manual em material de 1ª categoria, a céu aberto, para profundidades maiores que 0,50m, com remoção até 10m (1dam).(desonerado)</t>
  </si>
  <si>
    <t>MT 04.35 Escoramento de Vala Pouca Profundidade</t>
  </si>
  <si>
    <t>MT 04.35.0050 (B)</t>
  </si>
  <si>
    <t>Escoramento simples, aberto, de vala de pouca profundidade, inclusive fornecimento dos materiais (peças de madeira serrada - 1" x 12" e 3" x 6").(desonerado)</t>
  </si>
  <si>
    <t>MT 04.35.0100 (B)</t>
  </si>
  <si>
    <t>Escoramento simples, fechado, de vala de pouca profundidade, inclusive fornecimento dos materiais (peças de madeira serrada - 1 x 12" e 3" x 6").(desonerado)</t>
  </si>
  <si>
    <t>MT 04.40 Proteção de Valas</t>
  </si>
  <si>
    <t>MT 04.40.0050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</si>
  <si>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vezes.(desonerado)</t>
  </si>
  <si>
    <t>MT 04.40.0100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</si>
  <si>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vezes.(desonerado)</t>
  </si>
  <si>
    <t>MT 04.40.0150 (/)</t>
  </si>
  <si>
    <t>Cerca protetora de borda de vala, construída com montantes de madeira serrada de (7,5 x 7,5)cm, com 1,50m de comprimento, ficando 0,50m enterrado, com intervalo de 6m e 1 linha de fita plástica zebrada, horizontal, com aproveitamento de 3 vezes da madeira.(desonerado)</t>
  </si>
  <si>
    <t>MT 04.40.0200 (/)</t>
  </si>
  <si>
    <t>Retirada e recolocação de cerca protetora de borda de vala, construída com montantes de (3"x3") de Pinho de 3ª, com 1,50m de comprimento, com intervalo de 2m e 2 tábuas de (1"x12") e (1"x9"), horizontais, com 0,40m de separação, exceto materiais.(desonerado)</t>
  </si>
  <si>
    <t>MT 04.40.0250 (/)</t>
  </si>
  <si>
    <t>Retirada e recolocação de cerca protetora de vala, construída com montantes de (3"x3") de Pinho de 3ª, com 1,50m de comprimento, com intervalo de 6m e 1 linha de fita plástica zebrada, horizontal, exceto materiais.(desonerado)</t>
  </si>
  <si>
    <t>MT 04.45 Escavação e Desmonte a Fogo</t>
  </si>
  <si>
    <t>MT 04.45.0050 (/)</t>
  </si>
  <si>
    <t>Desmonte a fogo de bloco de material de 3ª categoria (rocha viva), com volume de 1m3 a 50m3, sendo a ar comprimido tanto a perfuração como a redução a pedra-de-mão, e a explosão pelo sistema de iniciação não elétrico.(desonerado)</t>
  </si>
  <si>
    <t>MT 04.45.0100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</si>
  <si>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rompedor.(desonerado)</t>
  </si>
  <si>
    <t>MT 04.45.0150 (A)</t>
  </si>
  <si>
    <t>Escavação de rocha ou material de 3ª categoria, com utilização de fogo cuidadoso (Smootuing blasting), a céu aberto, em área urbana.(desonerado)</t>
  </si>
  <si>
    <t>MT 09.05 Escavação Mecânica com Retro - Escavadeira</t>
  </si>
  <si>
    <t>MT 09.05.0050 (/)</t>
  </si>
  <si>
    <t>Escavação mecânica, em material de 1ª categoria (areia, argila ou piçarra),  utilizando Retro-Escavadeira.(desonerado)</t>
  </si>
  <si>
    <t>MT 09.10 Escavação Mecânica com Escavadeira Hidráulica</t>
  </si>
  <si>
    <t>MT 09.10.0050 (/)</t>
  </si>
  <si>
    <t>Escavação mecânica, em material de 1ª categoria (areia, argila ou piçarra), utilizando Escavadeira Hidráulica de 0,78m3.(desonerado)</t>
  </si>
  <si>
    <t>MT 09.10.0100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</si>
  <si>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escavadeira.(desonerado)</t>
  </si>
  <si>
    <t>MT 09.15 Escavação e Remoção Mecânica a Céu Aberto com Trator</t>
  </si>
  <si>
    <t>MT 09.15.0050 (/)</t>
  </si>
  <si>
    <t>Escavação mecânica com trator tipo D-6R, em material de 1ª categoria, com transporte a 20m.(desonerado)</t>
  </si>
  <si>
    <t>MT 09.20 Dragagem</t>
  </si>
  <si>
    <t>MT 09.20.0100 (/)</t>
  </si>
  <si>
    <t>Dragagem de leito de rio ou canal, em material mole, utilizando escavadeira sobre esteiras, versão Drag-Line, com capacidade de 0,78m3.(desonerado)</t>
  </si>
  <si>
    <t>MT 09.20.0150 (/)</t>
  </si>
  <si>
    <t>Dragagem de leito de rio ou canal, em material mole, utilizando escavadeira sobre esteiras, versão Clam-Shell, com capacidade de 0,78m3.(desonerado)</t>
  </si>
  <si>
    <t>MT 09.25 Escavação com Equipamento de Ar Comprimido</t>
  </si>
  <si>
    <t>MT 09.25.0050 (/)</t>
  </si>
  <si>
    <t>Desmonte de bloco de material de 2ª categoria, sem utilização de explosivos, com rompedor a ar comprimido.(desonerado)</t>
  </si>
  <si>
    <t>MT 09.25.0100 (/)</t>
  </si>
  <si>
    <t>Desmonte de bloco de material de 3ª categoria (rocha viva), com equipamento de ar comprimido, sem a utilização de explosivos, com volume até 1m3, inclusive redução a pedra-de-mão com o mesmo equipamento.(desonerado)</t>
  </si>
  <si>
    <t>MT 09.25.0150 (/)</t>
  </si>
  <si>
    <t>Escavação em material de 2ª categoria (moledo ou rocha muito decomposta), com equipamento de ar comprimido, sem utilização de explosivos, em taludes ou valas com largura mínima de 3m até 1,50m profundidade, exclusive escoramento e limpeza.(desonerado)</t>
  </si>
  <si>
    <t>MT 09.25.0200 (/)</t>
  </si>
  <si>
    <t>Escavação em material de 2ª categoria (rocha decomposta), sem uso de explosivos, utilizando equipamento de ar comprimido.  O preço se refere a taludes ou valas com largura mínima de 3m até 1,50m de profundidade, exclusive escoramento e limpeza.(desonerado)</t>
  </si>
  <si>
    <t>MT 09.25.0250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</si>
  <si>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operador.(desonerado)</t>
  </si>
  <si>
    <t>MT 09.25.0300 (/)</t>
  </si>
  <si>
    <t>Escavação em material de 3ª categoria (rocha viva), sem uso de explosivos, utilizando equipamento de ar comprimido e serração com brocas, seguida de encunhamento.  O preço se refere a taludes com largura mínima de 3m, inclusive limpeza manual.(desonerado)</t>
  </si>
  <si>
    <t>MT 09.25.0350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</si>
  <si>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limpeza.(desonerado)</t>
  </si>
  <si>
    <t>MT 14.05 Aterro e Compactação Manual</t>
  </si>
  <si>
    <t>MT 14.05.0050 (/)</t>
  </si>
  <si>
    <t>Aterro com material de 1ª categoria, compactado manualmente em camadas de 20cm, incluindo 2 tiros de pá, inclusive espalhamento e rega, exclusive material e transporte.(desonerado)</t>
  </si>
  <si>
    <t>MT 14.05.0100 (/)</t>
  </si>
  <si>
    <t>Compactação de aterro em camadas de 15cm, com maço.(desonerado)</t>
  </si>
  <si>
    <t>MT 14.05.0150 (/)</t>
  </si>
  <si>
    <t>Compactação de aterro em camadas de 20cm, com maço.(desonerado)</t>
  </si>
  <si>
    <t>MT 14.05.0200 (/)</t>
  </si>
  <si>
    <t>Compactação de material de 1ª categoria, inclusive descarga de Caminhão Basculante, movimentação a 1 tiro de pá, espalhamento e compactação manual em camadas de 30cm de material apiloado, exclusive material.(desonerado)</t>
  </si>
  <si>
    <t>MT 14.05.0250 (/)</t>
  </si>
  <si>
    <t>Reaterro de vala, compactado a maço, em camadas de 30cm de espessura máxima, com material de boa qualidade.(desonerado)</t>
  </si>
  <si>
    <t>MT 14.05.0300 (/)</t>
  </si>
  <si>
    <t>Reaterro de vala, com pó-de-pedra, compactado manualmente, inclusive fornecimento do material.(desonerado)</t>
  </si>
  <si>
    <t>MT 14.10 Aterro e Compactação Mecânica</t>
  </si>
  <si>
    <t>MT 14.10.0050 (/)</t>
  </si>
  <si>
    <t>Aterro com material de 1ª categoria, espalhado com motoniveladora,  em camadas de 20cm de material adensado, regado por Caminhão Tanque e compactado a 95% com Rolo Pé de Carneiro, auto propelido,  intervindo 2 serventes, exclusive o fornecimento do material.(desonerado)</t>
  </si>
  <si>
    <t>MT 14.10.0075 (/)</t>
  </si>
  <si>
    <t>Aterro com material de 1ª categoria, espalhado com retro-escavadeira, em camadas de 20cm, utilizando rolo compactador, com intervenção de 2 serventes, inclusive rega, exclusive fornecimento do material.(desonerado)</t>
  </si>
  <si>
    <t>MT 14.10.0100 (/)</t>
  </si>
  <si>
    <t>Aterro de vala com trator carregadeira e retro-escavadeira, com material de boa qualidade, em camadas de 20cm, utilizando  Vibro Compactador Portátil e operador, com intervenção de 2 serventes,  exclusive o fornecimento do material.(desonerado)</t>
  </si>
  <si>
    <t>MT 14.15 Preparo do Solo</t>
  </si>
  <si>
    <t>MT 14.15.0050 (A)</t>
  </si>
  <si>
    <t>Preparo de solo até 30cm de profundidade, compreedendo escavação e acerto manuais e compactação mecânica com remoção até 20m.(desonerado)</t>
  </si>
  <si>
    <t>MT 19.05 Espalhamento de Solo Mecânico</t>
  </si>
  <si>
    <t>MT 19.05.0050 (/)</t>
  </si>
  <si>
    <t>Espalhamento de material de 1ª categoria com motoniveladora, exclusive o fornecimento do material.(desonerado)</t>
  </si>
  <si>
    <t>PJ 04.05 Fornecimento de Plantas de Cobertura</t>
  </si>
  <si>
    <t>PJ 04.05.0410 (/)</t>
  </si>
  <si>
    <t>Espécies vegetais com altura de (0,40 a 1,50)m, tipo Gardenia Jasminóides (Jasmim do Cabo), Alpínia Purpurata (Gengibre Vermelho), Cordyline Terminalis (Dracena Vermelha), Dieffenbachia Amoema (Comigo Ninguém Pode) ou similar e considerando 4 mudas por m2.  Fornecimento.(desonerado)</t>
  </si>
  <si>
    <t>PJ 04.05.0420 (/)</t>
  </si>
  <si>
    <t>Espécies vegetais com altura de (0,60 a 1,50)m, tipo Calliandra Tweedii (Esponjinha Vermelha), Hibiscus Rosa-Sinensis (Hibisco Argentino), Malvaviscus Arboreus (Hibisco Colibri) ou similar e considerando 4 mudas por m2.  Fornecimento.(desonerado)</t>
  </si>
  <si>
    <t>PJ 04.05.0520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</si>
  <si>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Fornecimento.(desonerado)</t>
  </si>
  <si>
    <t>PJ 04.05.0530 (/)</t>
  </si>
  <si>
    <t>Espécies vegetais com altura de (0,40 a 1,50)m, tipo Arundina Bambusifolia (Orquidea Bambu), Jatropha Podagrica (Batata do Inferno), Strelitzia Reginae (Flor Ave do Paraiso), Heliconia Angusta (Falsa Ave do Paraiso) ou similar e considerando 8 mudas por m2.  Fornecimento.(desonerado)</t>
  </si>
  <si>
    <t>PJ 04.05.0610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</si>
  <si>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Fornecimento.(desonerado)</t>
  </si>
  <si>
    <t>PJ 04.05.0630 (/)</t>
  </si>
  <si>
    <t>Espécies vegetais com altura de (0,20 a 0,80)m, tipo Helicônia Psittacorum (Helicônia Papagaio), Xanthosoma Lindeni (Xantia), Calathea Zebrina (Calatea Zebra), Jasminum Sambac (Bogari) ou similar e considerando 12 mudas por m2.  Fornecimento.(desonerado)</t>
  </si>
  <si>
    <t>PJ 04.05.0710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</si>
  <si>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Fornecimento.(desonerado)</t>
  </si>
  <si>
    <t>PJ 04.05.0720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</si>
  <si>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Fornecimento.(desonerado)</t>
  </si>
  <si>
    <t>PJ 04.05.0800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</si>
  <si>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Fornecimento.(desonerado)</t>
  </si>
  <si>
    <t>PJ 04.05.0820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</si>
  <si>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Fornecimento.(desonerado)</t>
  </si>
  <si>
    <t>PJ 04.05.0830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</si>
  <si>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Fornecimento.(desonerado)</t>
  </si>
  <si>
    <t>PJ 04.05.0860 (/)</t>
  </si>
  <si>
    <t>Espécies vegetais com altura de (0,15 a 0,30)m, tipo Ophiopogon jaburan (Barba - de - Serpente), Kalanchoe Blossfeldiana (Calancoê), Maranta Bicolor (Caetê) ou similar e considerando 25 mudas por m2.  Fornecimento.(desonerado)</t>
  </si>
  <si>
    <t>PJ 04.10 Plantio de Gramas e Leguminosas</t>
  </si>
  <si>
    <t>PJ 04.10.0050 (A)</t>
  </si>
  <si>
    <t>Plantio de plantas de cobertura, conforme Projeto FPJ.(desonerado)</t>
  </si>
  <si>
    <t>PJ 04.10.0052 (/)</t>
  </si>
  <si>
    <t>Plantio de cobertura vegetal, considerando 4 mudas por m2.(desonerado)</t>
  </si>
  <si>
    <t>PJ 04.10.0053 (/)</t>
  </si>
  <si>
    <t>Plantio de cobertura vegetal, considerando 8 mudas por m2.(desonerado)</t>
  </si>
  <si>
    <t>PJ 04.10.0056 (/)</t>
  </si>
  <si>
    <t>Plantio de cobertura vegetal, considerando 12 mudas por m2.(desonerado)</t>
  </si>
  <si>
    <t>PJ 04.10.0059 (/)</t>
  </si>
  <si>
    <t>Plantio de cobertura vegetal, considerando 16 mudas por m2.(desonerado)</t>
  </si>
  <si>
    <t>PJ 04.10.0065 (/)</t>
  </si>
  <si>
    <t>Plantio de cobertura vegetal, considerando 25 mudas por m2.(desonerado)</t>
  </si>
  <si>
    <t>PJ 04.10.0100 (A)</t>
  </si>
  <si>
    <t>Plantio de grama em placas, tipo São Carlos, Batatais ou Larga, inclusive o fornecimento da grama, terra preta, preparo de terreno e calagem.(desonerado)</t>
  </si>
  <si>
    <t>PJ 04.10.0106 (/)</t>
  </si>
  <si>
    <t>Plantio de grama, incluindo preparo do terreno com 10cm de saibro e 5cm de terra estrumada, exclusive fornecimento da grama.(desonerado)</t>
  </si>
  <si>
    <t>PJ 04.10.0109 (/)</t>
  </si>
  <si>
    <t>Plantio de grama, tipo Stenotaphrum Secundatum Variação Variegatum, inclusive transporte e fornecimento.(desonerado)</t>
  </si>
  <si>
    <t>PJ 04.10.0112 (/)</t>
  </si>
  <si>
    <t>Plantio de grama, tipo Zoizia Japonica, inclusive fornecimento.(desonerado)</t>
  </si>
  <si>
    <t>PJ 04.10.0150 (/)</t>
  </si>
  <si>
    <t>Plantio de grama em placas, tipo São Carlos, Batatais ou Larga, inclusive compra e arrancamento no local de origem, carga, transporte, descarga e preparo do terreno, para recomposição de áreas gramadas eventualmente danificadas.(desonerado)</t>
  </si>
  <si>
    <t>PJ 04.10.0500 (/)</t>
  </si>
  <si>
    <t>Biomanta vegetal para quantidades de até 500,00m2, incluindo coveamento, plantio de sementes de espécies nativas da região, insumos para adubação e irrigação.  Fornecimento e colocação.(desonerado)</t>
  </si>
  <si>
    <t>PJ 04.10.0550 (/)</t>
  </si>
  <si>
    <t>Biomanta vegetal para quantidades de 501,00m2 a 1.000,00m2, incluindo coveamento, plantio de sementes de espécies nativas da região, insumos para adubação e irrigação.  Fornecimento e colocação.(desonerado)</t>
  </si>
  <si>
    <t>PJ 04.10.0600 (/)</t>
  </si>
  <si>
    <t>Biomanta vegetal para quantidades superiores a 1.000,00m2, incluindo coveamento, plantio de sementes de espécies nativas da região, insumos para adubação e irrigação.  Fornecimento e colocação.(desonerado)</t>
  </si>
  <si>
    <t>PJ 04.20 Gramas Sintéticas</t>
  </si>
  <si>
    <t>PJ 04.20.0050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</si>
  <si>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colocação.(desonerado)</t>
  </si>
  <si>
    <t>PJ 04.20.0055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</si>
  <si>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colocação.(desonerado)</t>
  </si>
  <si>
    <t>PJ 04.20.0100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</si>
  <si>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Colocação.(desonerado)</t>
  </si>
  <si>
    <t>PJ 04.20.0105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</si>
  <si>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colocação.(desonerado)</t>
  </si>
  <si>
    <t>PJ 04.20.0500 (/)</t>
  </si>
  <si>
    <t>Remoção de grama sintética, inclusive carga, descarga e transporte a 30 Km.(desonerado)</t>
  </si>
  <si>
    <t>PJ 09.05 Plantio de Árvores e Arbustos</t>
  </si>
  <si>
    <t>PJ 09.05.0050 (/)</t>
  </si>
  <si>
    <t>Amarrio de mudas de árvore ao tutor, com fitilho plástico, exclusive este.(desonerado)</t>
  </si>
  <si>
    <t>PJ 09.05.0100 (A)</t>
  </si>
  <si>
    <t>Plantio de arbusto para jardim, conforme Projeto FPJ.(desonerado)</t>
  </si>
  <si>
    <t>PJ 09.05.0150 (/)</t>
  </si>
  <si>
    <t>Mudas com 50cm a 70cm de altura, plantio em encosta, exclusive tutor, inclusive abertura da cova.(desonerado)</t>
  </si>
  <si>
    <t>PJ 09.05.0201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</si>
  <si>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passeio.(desonerado)</t>
  </si>
  <si>
    <t>PJ 09.05.0205 (/)</t>
  </si>
  <si>
    <t>Plantio de arvore de 2,50m de altura, de qualquer especie, em logradouro publico, inclusive transporte, abertura de cova de (0,60 x 1,50 x 1,00)m, terra estrumada, estaca de madeira (tutor), amarrio com fitilho e retirada do material excedente, exclusive o fornecimento da arvore, plantio de cobertura, tento, demolicao e recomposicao de passeio. (desonerado)</t>
  </si>
  <si>
    <t>PJ 09.05.0210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</si>
  <si>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 (desonerado)</t>
  </si>
  <si>
    <t>PJ 09.05.0215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</si>
  <si>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 (desonerado)</t>
  </si>
  <si>
    <t>PJ 09.05.0220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</si>
  <si>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 (desonerado)</t>
  </si>
  <si>
    <t>PJ 09.05.0225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</si>
  <si>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 (desonerado)</t>
  </si>
  <si>
    <t>PJ 09.05.0230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</si>
  <si>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 (desonerado)</t>
  </si>
  <si>
    <t>PJ 09.05.0235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</si>
  <si>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 (desonerado)</t>
  </si>
  <si>
    <t>PJ 09.05.0240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</si>
  <si>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 (desonerado)</t>
  </si>
  <si>
    <t>PJ 09.05.0245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</si>
  <si>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 (desonerado)</t>
  </si>
  <si>
    <t>PJ 09.05.0255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</si>
  <si>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 (desonerado)</t>
  </si>
  <si>
    <t>PJ 09.30 Espécies Vegetais - Fornecimento</t>
  </si>
  <si>
    <t>PJ 09.30.0100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</si>
  <si>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Fornecimento.(desonerado)</t>
  </si>
  <si>
    <t>PJ 09.30.0300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</si>
  <si>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Fornecimento.(desonerado)</t>
  </si>
  <si>
    <t>PJ 09.50 Árvores</t>
  </si>
  <si>
    <t>PJ 09.50.0500 (/)</t>
  </si>
  <si>
    <t>Espécies vegetais nativas com CAP (Circunferência na Altura do Peito) variando entre 0,10m e 0,15m e altura entre 2,50m e 3,00m.  Fornecimento.(desonerado)</t>
  </si>
  <si>
    <t>PJ 09.50.0550 (/)</t>
  </si>
  <si>
    <t>Espécies vegetais nativas com CAP (Circunferência na Altura do Peito) variando entre 0,15m e 0,20m e altura entre 3,00m e 3,50m.  Fornecimento.(desonerado)</t>
  </si>
  <si>
    <t>PJ 09.50.0600 (/)</t>
  </si>
  <si>
    <t>Espécies vegetais nativas com CAP (Circunferência na Altura do Peito) variando entre 0,20m e 0,25m e altura entre 3,50m e 4,00m.  Fornecimento.(desonerado)</t>
  </si>
  <si>
    <t>PJ 09.60 Palmeiras</t>
  </si>
  <si>
    <t>PJ 09.60.0100 (/)</t>
  </si>
  <si>
    <t>Espécies vegetais com altura de (0,60 a 1,00)m, tipo Palmeira Phoenix Roebelenii (Tamareira Anã), Coccothrinax SP (Leque-Prateada), Elaeis Guineensis (Dendezeiro), Gaussia Maya (Palmeira Maia) ou similar.  Fornecimento.(desonerado)</t>
  </si>
  <si>
    <t>PJ 09.60.0151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</si>
  <si>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Fornecimento.(desonerado)</t>
  </si>
  <si>
    <t>PJ 09.60.0152 (/)</t>
  </si>
  <si>
    <t>Espécies vegetais com altura de (6,00 a 7,00)m Tipo Palmeira Syagrus Romanzoffiana (Baba-de-Boi / Gerivá); Aiphanes Caryotifolia (Palmeira "Spine"); Livistonia Chinensis (Leque da China / Falsa Latânia); Roystonea Oleracea (Palmeira Real) ou similar.  Fornecimento.(desonerado)</t>
  </si>
  <si>
    <t>PJ 14.05 Cercas e Protetores</t>
  </si>
  <si>
    <t>PJ 14.05.0040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</si>
  <si>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colocação.(desonerado)</t>
  </si>
  <si>
    <t>PJ 14.05.0044 (A)</t>
  </si>
  <si>
    <t>Cerca protetora de jardim com 18cm de altura, em barra chata de aço ASTM 588 de (3" x 1/4"), com montantes do mesmo material, distanciados de 1,00m, chumbados em bloco de concreto, inclusive escavação, reaterro, carga, descarga e transporte.(desonerado)</t>
  </si>
  <si>
    <t>PJ 14.05.0050 (B)</t>
  </si>
  <si>
    <t>Cerca protetora de jardim, tipo capelinha, em módulos de 1,20m.  Fornecimento e colocação.(desonerado)</t>
  </si>
  <si>
    <t>PJ 14.05.0053 (A)</t>
  </si>
  <si>
    <t>Cerca protetora para jardim, em tela em chapa de metal expandido, malha de (8"x3"), chapa de 3/16", inclusive pintura.  Fornecimento e colocação.(desonerado)</t>
  </si>
  <si>
    <t>PJ 14.05.0059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</si>
  <si>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colocação.(desonerado)</t>
  </si>
  <si>
    <t>PJ 14.05.0100 (/)</t>
  </si>
  <si>
    <t>Guarda-corpo em toras de madeira de reflorestamento e entrelaçado com corda sizal.  Fornecimento e colocação.(desonerado)</t>
  </si>
  <si>
    <t>PJ 14.05.0125 (/)</t>
  </si>
  <si>
    <t>Moirão em madeira de reflorestamento, para sustentação de retentores em área de manguezal, com seção de diâmetro de 15cm, altura livre média de 2,00m, enterrado a 1,00m de profundidade, incluindo escavação manual de cova.  Fornecimento e colocação.(desonerado)</t>
  </si>
  <si>
    <t>PJ 14.05.0150 (A)</t>
  </si>
  <si>
    <t>Protetor de arvore em ferro de 3/8", circular com diâmetro de 30cm, altura de 2m, base em concreto, engastado no solo de 50cm, inclusive pintura a óleo.  Fornecimento e colocação.(desonerado)</t>
  </si>
  <si>
    <t>PJ 14.05.0153 (A)</t>
  </si>
  <si>
    <t>Protetor de arvore em ferro de 3/8", circular com diâmetro de 40cm, altura de 2m, base em concreto, engastado no solo de 50cm, inclusive pintura a óleo.  Fornecimento e colocação.(desonerado)</t>
  </si>
  <si>
    <t>PJ 14.05.0160 (/)</t>
  </si>
  <si>
    <t>Protetor (gola) de árvore em ferro fundido nodular, nas dimensões de (1,00x1,00x0,60)m.  Fornecimento.(desonerado)</t>
  </si>
  <si>
    <t>PJ 14.05.0166 (/)</t>
  </si>
  <si>
    <t>Protetor (gola) de árvore em ferro fundido nodular, nas dimensões de (1,28x1,28x0,90)m.  Fornecimento.(desonerado)</t>
  </si>
  <si>
    <t>PJ 14.05.0200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</si>
  <si>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colocação.(desonerado)</t>
  </si>
  <si>
    <t>PJ 14.05.0700 (/)</t>
  </si>
  <si>
    <t>Retentor flutuante para proteção de manguezal. Confecção e instalação.(desonerado)</t>
  </si>
  <si>
    <t>PJ 14.10 Telas</t>
  </si>
  <si>
    <t>PJ 14.10.0030 (/)</t>
  </si>
  <si>
    <t>Tela de arame galvanizado nº 14, com malha losangular de 1/2".  Fornecimento.(desonerado)</t>
  </si>
  <si>
    <t>PJ 14.10.0050 (/)</t>
  </si>
  <si>
    <t>Tela de arame galvanizado nº 12, com malha losangular de 1".  Fornecimento.(desonerado)</t>
  </si>
  <si>
    <t>PJ 14.10.0100 (/)</t>
  </si>
  <si>
    <t>Tela de arame galvanizado nº 08, com malha losangular de 1 1/2".  Fornecimento.(desonerado)</t>
  </si>
  <si>
    <t>PJ 14.10.0103 (/)</t>
  </si>
  <si>
    <t>Tela de arame galvanizado nº 08, com malha losangular de 1 1/2", soldada em quadro de ferro.  Colocação.(desonerado)</t>
  </si>
  <si>
    <t>PJ 14.10.0150 (/)</t>
  </si>
  <si>
    <t>Tela de arame galvanizado nº 08, com malha quadrada (fios ondulados) de (2 x 2)cm.  Fornecimento.(desonerado)</t>
  </si>
  <si>
    <t>PJ 14.10.0200 (/)</t>
  </si>
  <si>
    <t>Tela de arame galvanizado nº 12, com malha losangular de 5cm.  Fornecimento.(desonerado)</t>
  </si>
  <si>
    <t>PJ 14.10.0203 (A)</t>
  </si>
  <si>
    <t>Tela de arame galvanizado nº 12, com malha losangular de 5cm, fixada com arame galvanizado nº 12, à armação tubular de ferro galvanizado (exclusive esta).  Fornecimento e colocação.(desonerado)</t>
  </si>
  <si>
    <t>PJ 14.10.0500 (/)</t>
  </si>
  <si>
    <t>Tela de arame galvanizado n° 12, revestido de PVC, com malha losangular de 5cm, fixada com arame galvanizado nº 12, à armação tubular de ferro galvanizado (exclusive esta). Fornecimento e colocação.(desonerado)</t>
  </si>
  <si>
    <t>PJ 14.10.0900 (/)</t>
  </si>
  <si>
    <t>Tela em polietileno de alta densidade, 100% virgem, com malha de (5x5)cm, com resistência a tração de 500Kgf.  Fornecimento e colocação.(desonerado)</t>
  </si>
  <si>
    <t>PJ 14.15 Alambrados</t>
  </si>
  <si>
    <t>PJ 14.15.0050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</si>
  <si>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colocação.(desonerado)</t>
  </si>
  <si>
    <t>PJ 14.15.0100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</si>
  <si>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colocação.(desonerado)</t>
  </si>
  <si>
    <t>PJ 14.15.0101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</si>
  <si>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colocação.(desonerado)</t>
  </si>
  <si>
    <t>PJ 14.15.0102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</si>
  <si>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t>
  </si>
  <si>
    <t>PJ 14.15.0103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</si>
  <si>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colocação.(desonerado)</t>
  </si>
  <si>
    <t>PJ 14.15.0104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</si>
  <si>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colocação.(desonerado)</t>
  </si>
  <si>
    <t>PJ 14.15.0105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</si>
  <si>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t>
  </si>
  <si>
    <t>PJ 14.15.0106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</si>
  <si>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colocação.(desonerado)</t>
  </si>
  <si>
    <t>PJ 14.15.0109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</si>
  <si>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colocação.(desonerado)</t>
  </si>
  <si>
    <t>PJ 14.15.0110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</si>
  <si>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colocação.(desonerado)</t>
  </si>
  <si>
    <t>PJ 14.15.0112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</si>
  <si>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colocação.(desonerado)</t>
  </si>
  <si>
    <t>PJ 14.15.0113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</si>
  <si>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colocação.(desonerado)</t>
  </si>
  <si>
    <t>PJ 14.15.0115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</si>
  <si>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colocação.(desonerado)</t>
  </si>
  <si>
    <t>PJ 14.15.0116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</si>
  <si>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colocação.(desonerado)</t>
  </si>
  <si>
    <t>PJ 14.15.0117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</si>
  <si>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colocação.(desonerado)</t>
  </si>
  <si>
    <t>PJ 14.15.0118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</si>
  <si>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colocação.(desonerado)</t>
  </si>
  <si>
    <t>PJ 14.15.0150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</si>
  <si>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colocação.(desonerado)</t>
  </si>
  <si>
    <t>PJ 14.15.0200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</si>
  <si>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colocação.(desonerado)</t>
  </si>
  <si>
    <t>PJ 14.15.0203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</si>
  <si>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colocação.(desonerado)</t>
  </si>
  <si>
    <t>PJ 14.15.0206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</si>
  <si>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colocação.(desonerado)</t>
  </si>
  <si>
    <t>PJ 14.15.0250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</si>
  <si>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colocação.(desonerado)</t>
  </si>
  <si>
    <t>PJ 14.15.0300 (A)</t>
  </si>
  <si>
    <t>Contraventamento de alambrado com tubos de ferro galvanizado (externa e internamente), com diâmetro interno de 2" e espessura de parede de 1/8".  Fornecimento e colocação.(desonerado)</t>
  </si>
  <si>
    <t>PJ 14.15.0303 (/)</t>
  </si>
  <si>
    <t>Contraventamento de alambrado com tubos de ferro galvanizado (externa e internamente), com diâmetro interno de 2" e espessura de parede de 1/8", com costura.  Fornecimento e colocação.(desonerado)</t>
  </si>
  <si>
    <t>PJ 14.15.0400 (/)</t>
  </si>
  <si>
    <t>Contraventamento de alambrado com tubos de ferro galvanizado (externa e internamente), com diâmetro interno de 2 1/2" e espessura de parede de 1/8", sem costura.  Fornecimento e colocação.(desonerado)</t>
  </si>
  <si>
    <t>PJ 14.15.0500 (/)</t>
  </si>
  <si>
    <t>Contraventamento de alambrado com tubos de ferro galvanizado (externa e internamente), com diâmetro interno de 3" e espessura de parede de 1/8", sem costura.  Fornecimento e colocação.(desonerado)</t>
  </si>
  <si>
    <t>PJ 14.15.1500 (/)</t>
  </si>
  <si>
    <t>Reuperação do apoio de alambrado em quadra polivalente com pavimento rígido, considerando-se a substituição de 30 cm de tubo de ferro galvanizado de 2" na base, pintura, demolição e recomposição de pavimento rígido.(desonerado)</t>
  </si>
  <si>
    <t>PJ 14.15.1600 (/)</t>
  </si>
  <si>
    <t>Reuperação do apoio de alambrado em campo de saibro, considerando-se a substituição de 50 cm de tubo de ferro galvanizado de 2" na base, pintura, escavação, demolição e confecção de bloco de concreto.(desonerado)</t>
  </si>
  <si>
    <t>PJ 19.05 Tratamento, Conservação e Limpeza</t>
  </si>
  <si>
    <t>PJ 19.05.0050 (/)</t>
  </si>
  <si>
    <t>Adubo orgânico (esterco de gado).  Fornecimento.(desonerado)</t>
  </si>
  <si>
    <t>PJ 19.05.0053 (/)</t>
  </si>
  <si>
    <t>Adubação química com fórmula completa (NPK-04-14-08), em gramados (1 vez por ano).(desonerado)</t>
  </si>
  <si>
    <t>ha</t>
  </si>
  <si>
    <t>PJ 19.05.0060 (/)</t>
  </si>
  <si>
    <t>Terra estrumada, inclusive carga, transporte e descarga.  Fornecimento.(desonerado)</t>
  </si>
  <si>
    <t>PJ 19.05.0070 (/)</t>
  </si>
  <si>
    <t>Terra tipo capa de morro, inclusive carga, descarga e transporte.  Fornecimento.(desonerado)</t>
  </si>
  <si>
    <t>PJ 19.05.0100 (A)</t>
  </si>
  <si>
    <t>Aparo manual, com enxadão ou tesoura, de beiral de gramado.(desonerado)</t>
  </si>
  <si>
    <t>PJ 19.05.0103 (A)</t>
  </si>
  <si>
    <t>Aparo manual de capim, com tesoura, ao redor de mudas vegetais.(desonerado)</t>
  </si>
  <si>
    <t>PJ 19.05.0150 (A)</t>
  </si>
  <si>
    <t>Arrancamento de ervas daninhas pela raiz, em área gramada.(desonerado)</t>
  </si>
  <si>
    <t>PJ 19.05.0200 (/)</t>
  </si>
  <si>
    <t>Aterro com terra preta simples, para execução de gramados.(desonerado)</t>
  </si>
  <si>
    <t>PJ 19.05.0250 (A)</t>
  </si>
  <si>
    <t>Calagem de gramados (1 vez por ano).(desonerado)</t>
  </si>
  <si>
    <t>PJ 19.05.0300 (A)</t>
  </si>
  <si>
    <t>Capina de ervas, gramíneas, etc, em área de brita.(desonerado)</t>
  </si>
  <si>
    <t>PJ 19.05.0303 (A)</t>
  </si>
  <si>
    <t>Capina de ervas, gramíneas e etc., em superfície ensaibrada.(desonerado)</t>
  </si>
  <si>
    <t>PJ 19.05.0306 (A)</t>
  </si>
  <si>
    <t>Capina de conservação em superfície ensaibrada, gramada, etc.(desonerado)</t>
  </si>
  <si>
    <t>PJ 19.05.0309 (A)</t>
  </si>
  <si>
    <t>Capina para construção de trilhas e aceiros, sobre material de 1ª categoria, a céu aberto, até a profundidade de 0,10m.(desonerado)</t>
  </si>
  <si>
    <t>PJ 19.05.0350 (A)</t>
  </si>
  <si>
    <t>Capina manual, remoção e seleção de mudas de essências florestais, custo válido para cada 100 unidades, com altura de 14cm, largura de 10cm.(desonerado)</t>
  </si>
  <si>
    <t>PJ 19.05.0353 (A)</t>
  </si>
  <si>
    <t>Capina manual, remoção e seleção de mudas de essências florestais, custo válido para cada 100 unidades, com altura de 20cm e largura de 13cm.(desonerado)</t>
  </si>
  <si>
    <t>PJ 19.05.0356 (A)</t>
  </si>
  <si>
    <t>Capina manual, remoção e seleção de mudas de essências florestais, custo válido para cada 100 unidades, com altura de 30cm e largura de 15cm.(desonerado)</t>
  </si>
  <si>
    <t>PJ 19.05.0359 (A)</t>
  </si>
  <si>
    <t>Capina manual, remoção e seleção de mudas de essências florestais, custo válido para cada 100 unidades, com altura de 35cm e largura de 25cm.(desonerado)</t>
  </si>
  <si>
    <t>PJ 19.05.0375 (/)</t>
  </si>
  <si>
    <t>Cesto de tela para retirada de lixo, confeccionado em aço e sombrit, modelo COMLURB.  Fornecimento.(desonerado)</t>
  </si>
  <si>
    <t>PJ 19.05.0380 (A)</t>
  </si>
  <si>
    <t>Corte de grama com máquinas motorizadas, inclusive varredura e recolhimento de resíduos.(desonerado)</t>
  </si>
  <si>
    <t>PJ 19.05.0390 (/)</t>
  </si>
  <si>
    <t>Combate de formigas, com aplicação de formicida, em encosta.(desonerado)</t>
  </si>
  <si>
    <t>PJ 19.05.0400 (A)</t>
  </si>
  <si>
    <t>Catação manual de papéis em superfície gramada.(desonerado)</t>
  </si>
  <si>
    <t>PJ 19.05.0450 (A)</t>
  </si>
  <si>
    <t>Irrigação de gramado e/ou canteiro com Caminhão Pipa, exclusive o fornecimento da água.(desonerado)</t>
  </si>
  <si>
    <t>PJ 19.05.0451 (A)</t>
  </si>
  <si>
    <t>Irrigação de gramado e/ou canteiros com Caminhão Pipa, inclusive fornecimento da água.(desonerado)</t>
  </si>
  <si>
    <t>PJ 19.05.0453 (A)</t>
  </si>
  <si>
    <t>Irrigação de árvore e/ou palmeira com Caminhão Pipa, exclusive o fornecimento da água.(desonerado)</t>
  </si>
  <si>
    <t>PJ 19.05.0454 (A)</t>
  </si>
  <si>
    <t>Irrigação de árvore e/ou palmeira com Caminhão Pipa, inclusive fornecimento da água.(desonerado)</t>
  </si>
  <si>
    <t>PJ 19.05.0497 (A)</t>
  </si>
  <si>
    <t>Limpeza de superfície e fundo de lagos e bacias de chafarizes e entornos, sem esvaziamento, exclusive transporte.(desonerado)</t>
  </si>
  <si>
    <t>PJ 19.05.0500 (A)</t>
  </si>
  <si>
    <t>Limpeza, após esvaziamento, de fundo de lago e/ou canal.(desonerado)</t>
  </si>
  <si>
    <t>PJ 19.05.0503 (A)</t>
  </si>
  <si>
    <t>Limpeza de caixa de ralo em praça e/ou parque.(desonerado)</t>
  </si>
  <si>
    <t>PJ 19.05.0506 (A)</t>
  </si>
  <si>
    <t>Limpeza de folhas e papéis flutuando em lago e/ou canal.(desonerado)</t>
  </si>
  <si>
    <t>PJ 19.05.0550 (A)</t>
  </si>
  <si>
    <t>Manutenção e recomposição de áreas ajardinadas, corte de folhas e ramos secos, retirada de parasitas, limpeza e replantio de arbustos.(desonerado)</t>
  </si>
  <si>
    <t>PJ 19.05.0600 (/)</t>
  </si>
  <si>
    <t>Nivelamento e compactação de áreas ensaibradas.(desonerado)</t>
  </si>
  <si>
    <t>PJ 19.05.0650 (/)</t>
  </si>
  <si>
    <t>Rega de jardim ou gramado, com esguicho, usando água local canalizada.(desonerado)</t>
  </si>
  <si>
    <t>dam2</t>
  </si>
  <si>
    <t>PJ 19.05.0700 (A)</t>
  </si>
  <si>
    <t>Retirada de gramineas em piso de pedra portuguesa, utilizando roçadeira costal.(desonerado)</t>
  </si>
  <si>
    <t>PJ 19.05.0703 (A)</t>
  </si>
  <si>
    <t>Retirada de cobertura vegetal de piso de junta seca.(desonerado)</t>
  </si>
  <si>
    <t>PJ 19.05.0750 (/)</t>
  </si>
  <si>
    <t>Retirada de material proveniente de poda de varredura ou de limpeza diversas, a ser feita em caminhão com no mínimo 4m3 de capacidade, compreendendo carga, descarga e transporte até 30Km de distância.(desonerado)</t>
  </si>
  <si>
    <t>PJ 19.05.0780 (A)</t>
  </si>
  <si>
    <t>Retirada de peixes de lagos e bacias de chafarizes, exclusive transporte.(desonerado)</t>
  </si>
  <si>
    <t>PJ 19.05.0800 (/)</t>
  </si>
  <si>
    <t>Retirada de protetor de árvore, inclusive carga, descarga e transporte.(desonerado)</t>
  </si>
  <si>
    <t>PJ 19.05.0850 (A)</t>
  </si>
  <si>
    <t>Retirada de galhos secos e de parasitas em árvores.(desonerado)</t>
  </si>
  <si>
    <t>PJ 19.05.0870 (/)</t>
  </si>
  <si>
    <t>Revolvimento de solo até 20cm de profundidade.(desonerado)</t>
  </si>
  <si>
    <t>PJ 19.05.0900 (A)</t>
  </si>
  <si>
    <t>Varredura de folhas, papéis, etc, em área de brita.(desonerado)</t>
  </si>
  <si>
    <t>PJ 19.05.0903 (A)</t>
  </si>
  <si>
    <t>Varredura de folhas, papéis e etc., em área ensaibrada.(desonerado)</t>
  </si>
  <si>
    <t>PJ 19.05.0906 (A)</t>
  </si>
  <si>
    <t>Varredura de folhas, papéis e etc., em área gramada.(desonerado)</t>
  </si>
  <si>
    <t>PJ 19.05.0909 (A)</t>
  </si>
  <si>
    <t>Varredura de folhas, papéis e etc., em área pavimentada.(desonerado)</t>
  </si>
  <si>
    <t>PJ 19.10 Poda e Destocamento de Árvores</t>
  </si>
  <si>
    <t>PJ 19.10.0050 (/)</t>
  </si>
  <si>
    <t>Arrancamento e replantio de árvore adulta, entre 3m e 5m de altura e até 20cm de diâmetro, inclusive escavação e rega durante 15 dias, exclusive transporte.(desonerado)</t>
  </si>
  <si>
    <t>PJ 19.10.0100 (/)</t>
  </si>
  <si>
    <t>Destocamento de árvores de médio porte até 60cm DAP e raízes profundas, com auxílio mecânico, inclusive carga, descarga e transporte do material resultante até 30Km.(desonerado)</t>
  </si>
  <si>
    <t>PJ 19.10.0103 (/)</t>
  </si>
  <si>
    <t>Destocamento de árvores de grande porte acima de 61cm DAP e raízes profundas, com auxílio mecânico, inclusive carga, descarga e transporte do material resultante até 30Km.(desonerado)</t>
  </si>
  <si>
    <t>PJ 19.10.0150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</si>
  <si>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encarregado.(desonerado)</t>
  </si>
  <si>
    <t>PJ 19.10.0153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</si>
  <si>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encarregado.(desonerado)</t>
  </si>
  <si>
    <t>PJ 19.10.0156 (A)</t>
  </si>
  <si>
    <t>Poda de condução de muda de árvore até 3m de altura, inclusive carga, descarga e transporte do material resultante.(desonerado)</t>
  </si>
  <si>
    <t>PJ 19.10.0200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</si>
  <si>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encarregado.(desonerado)</t>
  </si>
  <si>
    <t>PJ 19.10.0203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</si>
  <si>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encarregado.(desonerado)</t>
  </si>
  <si>
    <t>PJ 19.10.0250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</si>
  <si>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4m3.(desonerado)</t>
  </si>
  <si>
    <t>PJ 19.10.0253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</si>
  <si>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8m3.(desonerado)</t>
  </si>
  <si>
    <t>PJ 19.10.0300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</si>
  <si>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30Km.(desonerado)</t>
  </si>
  <si>
    <t>PJ 19.10.0306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</si>
  <si>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30Km.(desonerado)</t>
  </si>
  <si>
    <t>PJ 19.10.0500 (/)</t>
  </si>
  <si>
    <t>Remoção manual de raízes de árvores, incluindo abertura de cava com 30 cm de profundidade média, reaterro, sinalização de desvio de tráfego de veículos, pedestres, equipamento de segurança, carga, descarga e transporte do material resultante até 30 Km.(desonerado)</t>
  </si>
  <si>
    <t>PJ 24.05 Bancos e Mesas de Jardim</t>
  </si>
  <si>
    <t>PJ 24.05.0050 (/)</t>
  </si>
  <si>
    <t>Banco em concreto armado, sem encosto, medindo (225x50x50)cm, modelo B7 da Neorex ou similar.  Fornecimento.(desonerado)</t>
  </si>
  <si>
    <t>PJ 24.05.0053 (A)</t>
  </si>
  <si>
    <t>Banco de concreto aparente, com 45cm de largura e 10cm de espessura, sobre 2 apoios do mesmo material, com secção de (10x30)cm.(desonerado)</t>
  </si>
  <si>
    <t>PJ 24.05.0054 (/)</t>
  </si>
  <si>
    <t>Banco contínuo em concreto armado, aparente, assento com 50cm de largura e 15cm de espessura, sobre apoios do mesmo material, com seção de (15 x 30)cm, inclusive lixamento, pintura com verniz acrílico, escavação e reaterro.(desonerado)</t>
  </si>
  <si>
    <t>PJ 24.05.0056 (A)</t>
  </si>
  <si>
    <t>Banco de concreto aparente, medindo 2x0,40x0,20m, fixados sobre apoio do mesmo material, seção de 10x30cm, inclusive carga, descarga e transporte, conforme projeto FPJ.  Fornecimento e colocação.(desonerado)</t>
  </si>
  <si>
    <t>PJ 24.05.0103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</si>
  <si>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indicada.(desonerado)</t>
  </si>
  <si>
    <t>PJ 24.05.0106 (/)</t>
  </si>
  <si>
    <t>Banco rústico, referência M-25, conforme o modelo Pactaplayground ou similar.  Fornecimento e colocação.(desonerado)</t>
  </si>
  <si>
    <t>PJ 24.05.0110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</si>
  <si>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instalação.(desonerado)</t>
  </si>
  <si>
    <t>PJ 24.05.0120 (/)</t>
  </si>
  <si>
    <t>Banco padrão "Rio Cidade Leblon" com assento em ripas de maçaranduba envernizadas, presas por cabo de aço. Suporte em barras de aço galvanizada dobradas, na cor prata. Fornecimento e instalação.(desonerado)</t>
  </si>
  <si>
    <t>PJ 24.05.0153 (B)</t>
  </si>
  <si>
    <t>Mesa de jogos com 4 bancos, tampo de mesa em marmorite armado, na cor natural, tendo no centro tabuleiro de xadrez em marmorite nas cores branca e preta, pés (mesa e bancos) de concreto armado, conforme projeto FPJ.  Fornecimento e colocação.(desonerado)</t>
  </si>
  <si>
    <t>PJ 24.05.0200 (/)</t>
  </si>
  <si>
    <t>Prancha em madeira aparelhada para bancos de jardins, com seção de (15x4,5)cm e comprimento de 2,20m, presa com parafusos e porcas nos pés de ferro e pintura na cor a ser indicada.  Fornecimento e colocação.(desonerado)</t>
  </si>
  <si>
    <t>PJ 24.05.0250 (/)</t>
  </si>
  <si>
    <t>Régua madeira aparelhada para bancos de jardins, com secção de (5,5 x 3,75)cm e comprimento de 2m, presas com parafusos de porcas nos pés de ferro fundido e pintura na cor a ser indicada.  Fornecimento e colocação.(desonerado)</t>
  </si>
  <si>
    <t>PJ 24.05.0253 (/)</t>
  </si>
  <si>
    <t>Régua de madeira aparelhada para bancos de jardins, com secção de (3x1,5)cm e comprimento de 1m, presas com parafusos de porcas nos pés de ferro e envernizada na cor a ser indicada.  Fornecimento e colocação.(desonerado)</t>
  </si>
  <si>
    <t>PJ 24.10 Equipamentos para Praças e Jardins</t>
  </si>
  <si>
    <t>PJ 24.10.0050 (A)</t>
  </si>
  <si>
    <t>Amarelinha em blocos de concreto pré-moldadas com aplicação de letras e números coloridos em baixo relevo.  Fornecimento e aplicação.(desonerado)</t>
  </si>
  <si>
    <t>PJ 24.10.0060 (C)</t>
  </si>
  <si>
    <t>Arco simples em tubos de ferro galvanizado (externa e internamente) de 1" e 2" e espessura de parede de 1/8", chumbados em blocos de concreto, com pintura de base Galvite ou similar e 2 demãos de acabamento, conforme projeto FPJ.  Fornecimento e colocação.(desonerado)</t>
  </si>
  <si>
    <t>PJ 24.10.0100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</si>
  <si>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colocação.(desonerado)</t>
  </si>
  <si>
    <t>PJ 24.10.0103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</si>
  <si>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colocação.(desonerado)</t>
  </si>
  <si>
    <t>PJ 24.10.0109 (C)</t>
  </si>
  <si>
    <t>Barra paralelas para ginástica, em tubos de ferro galvanizado (externa e internamente) de 2" e espessura de parede de 1/8", chumbados em blocos de concreto com pintura de base Galvite ou similar e 2 demãos de acabamento, conforme projeto FPJ.  Fornecimento e colocação.(desonerado)</t>
  </si>
  <si>
    <t>PJ 24.10.0125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</si>
  <si>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colocação.(desonerado)</t>
  </si>
  <si>
    <t>PJ 24.10.0147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</si>
  <si>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t>
  </si>
  <si>
    <t>PJ 24.10.0152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</si>
  <si>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t>
  </si>
  <si>
    <t>PJ 24.10.0156 (A)</t>
  </si>
  <si>
    <t>Cadeira de balanço completa, com correntes, braçadeiras, rolamentos, parafusos, barras, etc., inclusive desmontagem da danificada, pintura e transporte, conforme projeto FPJ.  Fornecimento e colocação.(desonerado)</t>
  </si>
  <si>
    <t>PJ 24.10.0225 (/)</t>
  </si>
  <si>
    <t>Bola ao aro em tubo de ferro galvanizado (externa e internamente) de 3", 2" e 3/4" e espessura de parede de 1/8", pintura com uma demão de galvite e duas demãos de esmalte sintético, conforme projeto FPJ.  Fornecimento e colocação.(desonerado)</t>
  </si>
  <si>
    <t>PJ 24.10.0506 (/)</t>
  </si>
  <si>
    <t>Escada em árvore, referência M-07, conforme o modelo Pactaplayground ou similar.  Fornecimento e colocação.(desonerado)</t>
  </si>
  <si>
    <t>PJ 24.10.0540 (A)</t>
  </si>
  <si>
    <t>Escorrega de 0/4 anos com altura de 1,17m em madeira aparelhada e tubos de ferro galvanizado (externa e internamente) de 3/4" e 2" e espessura de parede de 1/8", conforme projeto FPJ, com pintura de base Galvite ou similar, 2 demãos de acabamento.  Fornecimento e colocação.(desonerado)</t>
  </si>
  <si>
    <t>PJ 24.10.0547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</si>
  <si>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colocação.(desonerado)</t>
  </si>
  <si>
    <t>PJ 24.10.0553 (B)</t>
  </si>
  <si>
    <t>Escada de escorrega completa, inclusive patamar, conforme projeto FPJ, com pintura, transporte e desmontagem da danificada.  Fornecimento e colocação.(desonerado)</t>
  </si>
  <si>
    <t>PJ 24.10.0654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</si>
  <si>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colocação.(desonerado)</t>
  </si>
  <si>
    <t>PJ 24.10.0655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</si>
  <si>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colocação.(desonerado)</t>
  </si>
  <si>
    <t>PJ 24.10.0700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</si>
  <si>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colocação.(desonerado)</t>
  </si>
  <si>
    <t>PJ 24.10.0750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</si>
  <si>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colocação.(desonerado)</t>
  </si>
  <si>
    <t>PJ 24.10.0753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</si>
  <si>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colocação.(desonerado)</t>
  </si>
  <si>
    <t>PJ 24.10.0850 (A)</t>
  </si>
  <si>
    <t>Prancha de gangorra completa, inclusive patamar, conforme projeto FPJ, com pintura, transporte e desmontagem da danificada.  Fornecimento e colocação.(desonerado)</t>
  </si>
  <si>
    <t>PJ 24.10.0900 (A)</t>
  </si>
  <si>
    <t>Prancha rema-rema de madeira aparelhada, conforme projeto FPJ, completa com ferragens, braçadeiras, rolamentos, etc., pintura e transporte com desmontagem da danificada.  Fornecimento e colocação.(desonerado)</t>
  </si>
  <si>
    <t>PJ 24.10.1000 (B)</t>
  </si>
  <si>
    <t>Prancha para abdominal, em madeira aparelhada e estrutura tubular (externa e internamente) de 2" e espessura de parede de 1/8", fixada em blocos de concreto, com pintura de base Galvite ou similar, 2 demãos de acabamento, conforme projeto FPJ.  Fornecimento e colocação.(desonerado)</t>
  </si>
  <si>
    <t>PJ 24.13 Equipamentos para Ginastica da 3ª Idade</t>
  </si>
  <si>
    <t>PJ 24.13.0300 (/)</t>
  </si>
  <si>
    <t>Alongador com três alturas conjugado, em tubo de aço carbono, pintura no processo eletrostático - Academia da Terceira Idade. Fornecimento e instalação.(desonerado)</t>
  </si>
  <si>
    <t>PJ 24.13.0400 (/)</t>
  </si>
  <si>
    <t>Esqui triplo conjugado, em tubo de aço arbono, pintura no processo eletrostático - Academia da Terceira Idade. Fornecimento e instalação.(desonerado)</t>
  </si>
  <si>
    <t>PJ 24.13.0500 (/)</t>
  </si>
  <si>
    <t>Multi-exercitador conjugado com seis funções distintas, em tubo de aço arbono, pintura no processo eletrostático - Academia da Terceira Idade. Fornecimento e instalação.(desonerado)</t>
  </si>
  <si>
    <t>PJ 24.13.0600 (/)</t>
  </si>
  <si>
    <t>Remada sentada, em tubo de aço arbono, pintura no processo eletrostático - Academia da Terceira Idade. Fornecimento e instalação.(desonerado)</t>
  </si>
  <si>
    <t>PJ 24.13.0700 (/)</t>
  </si>
  <si>
    <t>Rotação diagonal dupla, aparelho triplo conjugado, em tubo de aço arbono, pintura no processo eletrostático - Academia da Terceira Idade. Fornecimento e instalação.(desonerado)</t>
  </si>
  <si>
    <t>PJ 24.13.0800 (/)</t>
  </si>
  <si>
    <t>Rotação vertical, aparelho triplo conjugado, em tubo de aço arbono, pintura no processo eletrostático - Academia da Terceira Idade. Fornecimento e instalação.(desonerado)</t>
  </si>
  <si>
    <t>PJ 24.13.0900 (/)</t>
  </si>
  <si>
    <t>Placa orientativa, em tubo de aço arbono, pintura no processo eletrostático - Academia da Terceira Idade. Fornecimento e instalação.(desonerado)</t>
  </si>
  <si>
    <t>PJ 24.13.1000 (/)</t>
  </si>
  <si>
    <t>Pressão de pernas triplo conjugado,  em tubo de aço arbono, pintura no processo eletrostático - Academia da Terceira Idade. Fornecimento e instalação.(desonerado)</t>
  </si>
  <si>
    <t>PJ 24.13.1100 (/)</t>
  </si>
  <si>
    <t>Simulador de caminhada, triplo conjugado,  em tubo de aço arbono, pintura no processo eletrostático - Academia da Terceira Idade. Fornecimento e instalação.(desonerado)</t>
  </si>
  <si>
    <t>PJ 24.13.1200 (/)</t>
  </si>
  <si>
    <t>Surf duplo conjugado,  em tubo de aço arbono, pintura no processo eletrostático - Academia da Terceira Idade. Fornecimento e instalação.(desonerado)</t>
  </si>
  <si>
    <t>PJ 24.15 Material Esportivo</t>
  </si>
  <si>
    <t>PJ 24.15.0050 (C)</t>
  </si>
  <si>
    <t>Baliza de futebol, tamanho oficial, em tubos de ferro galvanizado (externa e internamente) de 4" e espessura de parede de 1/8", com pintura de base Galvite ou similar e 2 demãos de acabamento.  Fornecimento e colocação.(desonerado)</t>
  </si>
  <si>
    <t>PJ 24.15.0053 (B)</t>
  </si>
  <si>
    <t>Baliza de futebol de salão em tubo de ferro galvanizado (externa e internamente) de 4" e espessura de parede de 1/8", pintura de base Galvite ou similar e 2 demãos de acabamento, conforme projeto FPJ.  Fornecimento e colocação.(desonerado)</t>
  </si>
  <si>
    <t>PJ 24.15.0150 (A)</t>
  </si>
  <si>
    <t>Estrutura para basquete, metálica, fixa, com avanço livre de 1,30m, com tabelas de compensado naval, aros e redes.  Fornecimento e colocação, exclusive furação do piso.(desonerado)</t>
  </si>
  <si>
    <t>PJ 24.15.0200 (/)</t>
  </si>
  <si>
    <t>Rede de nylon para futebol de salão.  Fornecimento.(desonerado)</t>
  </si>
  <si>
    <t>PJ 24.15.0204 (A)</t>
  </si>
  <si>
    <t>Baliza de vôlei em tubos de ferro galvanizado (externa e internamente) de 3" e espessura de parede de 1/8", com pintura de base Galvite ou similar e 2 demãos de acabamento.  Fornecimento e colocação.(desonerado)</t>
  </si>
  <si>
    <t>PJ 24.15.0206 (/)</t>
  </si>
  <si>
    <t>Rede de vôlei oficial com cabo de aço.  Fornecimento.(desonerado)</t>
  </si>
  <si>
    <t>PJ 24.15.0250 (/)</t>
  </si>
  <si>
    <t>Tabela de basquete em compensado naval, tamanho oficial com aro e rede.  Fornecimento e colocação.(desonerado)</t>
  </si>
  <si>
    <t>PJ 24.15.0300 (/)</t>
  </si>
  <si>
    <t>Trave desmontável para futebol de salão em tubo de ferro galvanizado (externa e internamente) e espessura de parede de 1/8" e buchas.  Fornecimento.(desonerado)</t>
  </si>
  <si>
    <t>PJ 24.20 Bicicletários</t>
  </si>
  <si>
    <t>PJ 24.20.0040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</si>
  <si>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colocação.(desonerado)</t>
  </si>
  <si>
    <t>PJ 24.20.0059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</si>
  <si>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colocação.(desonerado)</t>
  </si>
  <si>
    <t>PJ 24.20.0061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</si>
  <si>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colocação.(desonerado)</t>
  </si>
  <si>
    <t>PJ 24.20.0070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</si>
  <si>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colocação.(desonerado)</t>
  </si>
  <si>
    <t>PJ 24.25 Frades</t>
  </si>
  <si>
    <t>PJ 24.25.0050 (B)</t>
  </si>
  <si>
    <t>Balizador modelo Copacabana, cilíndrico, liso, pré-fabricado em concreto FCK=18MPa, com reforço interno de malha de vergalhão curvado de 1/2", embutido no piso, com 40cm de diâmetro e altura de 46,50cm.  Fornecimento e colocação.(desonerado)</t>
  </si>
  <si>
    <t>PJ 24.25.0060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</si>
  <si>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instalação.(desonerado)</t>
  </si>
  <si>
    <t>PJ 24.25.0100 (A)</t>
  </si>
  <si>
    <t>Frade de concreto com fck=11 MPa, para proteção de calçada, apicoado e pintado a verniz, inclusive escavação e reaterro, exclusive transporte.  Fornecimento e colocação.(desonerado)</t>
  </si>
  <si>
    <t>PJ 24.25.0103 (A)</t>
  </si>
  <si>
    <t>Frade de concreto com Fck=11 MPa, para proteção de calçada, liso. inclusive escavação e reaterro, exclusive transporte.  Fornecimento e colocação.(desonerado)</t>
  </si>
  <si>
    <t>PJ 24.25.0104 (/)</t>
  </si>
  <si>
    <t>Frade esfera em concreto, 30cm de diâmetro, com Fck=25 MPa, para proteção de calçadas, inclusive furação, exclusive transporte.  Fornecimento e colocação.(desonerado)</t>
  </si>
  <si>
    <t>PJ 24.25.0106 (A)</t>
  </si>
  <si>
    <t>Frade metálico, em ferro fundido, modelo ciclovia, inclusive escavação, chumbamento com concreto FCK = 15 Mpa, pintura em esmalte sintético e retirada do material excedente, exclusive demolição e recomposição de passeio.  Fornecimento e colocação.(desonerado)</t>
  </si>
  <si>
    <t>PJ 24.30 Recuperação de Equipamentos</t>
  </si>
  <si>
    <t>PJ 24.30.0050 (A)</t>
  </si>
  <si>
    <t>Apoio e corrimão tubulares em brinquedos de eucalipto, substituição das peças considerando retirada e colocação de peças novas pintadas.(desonerado)</t>
  </si>
  <si>
    <t>PJ 24.30.0100 (/)</t>
  </si>
  <si>
    <t>Balanço (com um lugar): troca do travessão de sustentação, com retirada da viga danificada e remontagem do brinquedo de madeira de reflorestamento.(desonerado)</t>
  </si>
  <si>
    <t>PJ 24.30.0103 (/)</t>
  </si>
  <si>
    <t>Balanço com assento de pneu suspenso por cordas de nylon n.º 12: com troca de pneu e vazamento do mesmo para escoamento, troca das cordas e retirada do acessório danificado, incluindo remontagem do brinquedo de eucalipto.(desonerado)</t>
  </si>
  <si>
    <t>PJ 24.30.0106 (/)</t>
  </si>
  <si>
    <t>Balanço com assento em madeira suspenso por correntes: troca de assento, das correntes e retirada do acessório danificado, com remontagem do brinquedo de madeira de reflorestamento.(desonerado)</t>
  </si>
  <si>
    <t>PJ 24.30.0150 (/)</t>
  </si>
  <si>
    <t>Casinhas: substituição de telhado, compreendendo retirada do telhado danificado em meio tronco e colocação de novo telhado completo, com a remontagem do brinquedo de madeira de reflorestamento.(desonerado)</t>
  </si>
  <si>
    <t>PJ 24.30.0153 (/)</t>
  </si>
  <si>
    <t>Casinhas: substituição total do assoalho em troncos de madeira de reflorestamento, meia cana ou roliços, por outro completo em meia cana, considerando-se retirada e remontagem do brinquedo de madeira de reflorestamento.(desonerado)</t>
  </si>
  <si>
    <t>PJ 24.30.0156 (/)</t>
  </si>
  <si>
    <t>Casinhas: substituição de 1(uma) peça de assoalho danificado, compreendendo retirado do meio tronco e colocação de um novo, com a remontagem do brinquedo de madeira de reflorestamento.(desonerado)</t>
  </si>
  <si>
    <t>PJ 24.30.0159 (A)</t>
  </si>
  <si>
    <t>Casinhas: substituição das vigas de sustentação de assoalhos em toras de madeira de reflorestamenteo, considerando-se retirada das vigas e colocação de novas, com a remontagem do brinquedo.(desonerado)</t>
  </si>
  <si>
    <t>PJ 24.30.0162 (A)</t>
  </si>
  <si>
    <t>Casinhas: substituição de 1 (uma) viga de sustentação de assoalho em toras de madeira de reflorestamento, considerando-se a retirada da viga e colocação de nova, com a remontagem do brinquedo.(desonerado)</t>
  </si>
  <si>
    <t>PJ 24.30.0200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</si>
  <si>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comprimento).(desonerado)</t>
  </si>
  <si>
    <t>PJ 24.30.0250 (/)</t>
  </si>
  <si>
    <t>Cordas dos brinquedos de eucalipto: substituição de corda dos brinquedos onde estas estiverem danificadas, compreendendo a retirada do danificado e colocação de cordas novas.(desonerado)</t>
  </si>
  <si>
    <t>PJ 24.30.0300 (A)</t>
  </si>
  <si>
    <t>Escada horizontal: substituição da parte superior do brinquedo de madeira de reflorestamento por outra completa.(desonerado)</t>
  </si>
  <si>
    <t>PJ 24.30.0303 (A)</t>
  </si>
  <si>
    <t>Escada horizontal: substituição de uma coluna de sustentação do brinquedo de madeira de reflorestamento por nova, considerando-se retirada e remontagem.(desonerado)</t>
  </si>
  <si>
    <t>PJ 24.30.0306 (A)</t>
  </si>
  <si>
    <t>Escada de acesso ao escarregador: troca de corrimão, retirada do danificado e remontagem com pintura do brinquedo de eucalipto.(desonerado)</t>
  </si>
  <si>
    <t>PJ 24.30.0309 (A)</t>
  </si>
  <si>
    <t>Escada de acesso ao escorregador: troca da escada, corrimão e retirada da peça danificada e remontagem do brinquedo de madeira de reflorestamento.(desonerado)</t>
  </si>
  <si>
    <t>PJ 24.30.0312 (A)</t>
  </si>
  <si>
    <t>Escadas de acesso aos patamares ou casinhas de eucalipto: substituição de cordas e peças danificadas nos brinquedos de eucalipto por novas.(desonerado)</t>
  </si>
  <si>
    <t>PJ 24.30.0315 (A)</t>
  </si>
  <si>
    <t>Escadas de acesso aos patamares ou casinhas de eucalipto: substituição de tubos e peças danificadas nos brinquedos de eucalipto por novos.(desonerado)</t>
  </si>
  <si>
    <t>PJ 24.30.0350 (/)</t>
  </si>
  <si>
    <t>Estrutura em troncos de madeira de reflorestamento: substituição de tronco, retirada e remontagem.(desonerado)</t>
  </si>
  <si>
    <t>PJ 24.30.0400 (A)</t>
  </si>
  <si>
    <t>Gangorra simples: retirada e remontagem do eixo principal de sustentação do brinquedo de eucalipto.(desonerado)</t>
  </si>
  <si>
    <t>PJ 24.30.0403 (A)</t>
  </si>
  <si>
    <t>Gangorra simples: retirada e reinstalação dos apoios de mão do brinquedo de eucalipto.(desonerado)</t>
  </si>
  <si>
    <t>PJ 24.30.0406 (A)</t>
  </si>
  <si>
    <t>Gangorra simples: retirada e remontagem do tronco principal de madeira de reflorestamento, do eixo principal e dos apoios de mão.(desonerado)</t>
  </si>
  <si>
    <t>PJ 24.30.0450 (/)</t>
  </si>
  <si>
    <t>Jangadas: Substituição de pneus em equipamentos onde estes estejam fixados ao mesmo por parafusos, considerando retirada do pneu e remontagem do brinquedo de eucalipto.(desonerado)</t>
  </si>
  <si>
    <t>PJ 24.30.0500 (A)</t>
  </si>
  <si>
    <t>Peça em tubo de ferro galvanizado de 3/4": retirada da peça danificada e instalação de peça nova com ou sem curvatura, inclusive pintura.(desonerado)</t>
  </si>
  <si>
    <t>PJ 24.30.0550 (/)</t>
  </si>
  <si>
    <t>Ponte pensil: troca de cabo de aço das pontes dos brinquedos de eucalipto, considerando-se retirada e reposição de cabo de aço.(desonerado)</t>
  </si>
  <si>
    <t>PJ 24.30.0553 (/)</t>
  </si>
  <si>
    <t>Ponte pensil: troca das correntes de troncos das pontes dos brinquedos de eucalipto, considerando-se a retirada das correntes danificadas e colocação de novas correntes.(desonerado)</t>
  </si>
  <si>
    <t>PJ 24.30.0556 (/)</t>
  </si>
  <si>
    <t>Ponte pensil: substituição do guarda corpo de tronco da ponte de madeira de reflorestamento, compreendendo a retirada do danificado e colocação de guarda corpo novo.(desonerado)</t>
  </si>
  <si>
    <t>PJ 24.30.0559 (/)</t>
  </si>
  <si>
    <t>Ponte pensil: substituição do guarda corpo de corda do brinquedo de eucalipto, compreendo a retirada do danificado e colocação de cordas novas.(desonerado)</t>
  </si>
  <si>
    <t>PJ 24.30.0562 (/)</t>
  </si>
  <si>
    <t>Ponte pensil: substituição do guarda corpo de correntes do brinquedo de eucalipto, compreendendo a retirada do danificado e colocação de correntes novas.(desonerado)</t>
  </si>
  <si>
    <t>PJ 24.30.0565 (/)</t>
  </si>
  <si>
    <t>Ponte pensil: substituição de tronco de madeira de reflorestamento que compõe o piso da ponte do brinquedo de madeira de reflorestamento, compreendendo a retirada do danificado e colocação de novo tronco.(desonerado)</t>
  </si>
  <si>
    <t>PJ 24.30.0606 (/)</t>
  </si>
  <si>
    <t>Prancha do escorregador: troca do esqueleto de sustentação do leito do escorregador com retirada do danificado e remontagem do brinquedo de eucalipto.(desonerado)</t>
  </si>
  <si>
    <t>PJ 24.30.0650 (/)</t>
  </si>
  <si>
    <t>Travessão de sustentação em madeira de reflorestamento dos balanços (com três lugares): troca da peça, retirada e remontagem do brinquedo de madeira de reflorestamento.(desonerado)</t>
  </si>
  <si>
    <t>PJ 24.30.0653 (/)</t>
  </si>
  <si>
    <t>Travessão de sustentação em madeira de reflorestamento dos balanços (com dois lugares): troca da peça, retirada e remontagem do brinquedo de madeira de reflorestamento.(desonerado)</t>
  </si>
  <si>
    <t>PJ 24.30.0700 (A)</t>
  </si>
  <si>
    <t>Tubo de ferro galvanizado de 1", tipo cano bombeiro, para servir de escorregador nos brinquedos de eucalipto, compreendendo retirada do danificado, substituição por novo considerando a pintura.(desonerado)</t>
  </si>
  <si>
    <t>PJ 29.05 Manutenção</t>
  </si>
  <si>
    <t>PJ 29.05.0050 (/)</t>
  </si>
  <si>
    <t>Encanteiramento de sacos plásticos para produção de mudas de essências florestais.  Cada 100 unidades.(desonerado)</t>
  </si>
  <si>
    <t>PJ 29.05.0053 (/)</t>
  </si>
  <si>
    <t>Encanteiramento dos sacos plásticos para produção de mudas de essências florestais, com altura de 14cm, largura de 10cm.  Custo válido para cada 100 unidades.(desonerado)</t>
  </si>
  <si>
    <t>PJ 29.05.0075 (/)</t>
  </si>
  <si>
    <t>Encanteiramento de vaso plástico flexível de 85 litros com muda arbórea.(desonerado)</t>
  </si>
  <si>
    <t>PJ 29.05.0100 (/)</t>
  </si>
  <si>
    <t>Enchimento de sacos plásticos para mudas de essências florestais.  Para 100 unidades.(desonerado)</t>
  </si>
  <si>
    <t>PJ 29.05.0103 (/)</t>
  </si>
  <si>
    <t>Enchimento de sacos plásticos para produção de mudas de essências florestais, com costura e perfurados, inclusive fornecimento, custo válido para cada 100 unidades, com dimensões de (10x15)cmx0,10mm.(desonerado)</t>
  </si>
  <si>
    <t>PJ 29.05.0106 (/)</t>
  </si>
  <si>
    <t>Enchimento de sacos plásticos para produção de mudas de essências florestais, com costura e perfurados, na cor preta, inclusive fornecimento, custo válido para cada 100 unidades, com dimensões de (13x14)cmx0,15mm.(desonerado)</t>
  </si>
  <si>
    <t>PJ 29.05.0109 (/)</t>
  </si>
  <si>
    <t>Enchimento de sacos plásticos para produção de mudas de essências florestais, com costura e perfurados, na cor preta, inclusive fornecimento, custo válido para cada 100 unidades, com dimensões de (14x18)cmx0,15mm.(desonerado)</t>
  </si>
  <si>
    <t>PJ 29.05.0112 (/)</t>
  </si>
  <si>
    <t>Enchimento de sacos plásticos para produção de mudas de essências florestais, com costura e perfurados, inclusive fornecimento, custo válido para cada 100 unidades, com dimensões de (14x20)cmx0,15mm.(desonerado)</t>
  </si>
  <si>
    <t>PJ 29.05.0115 (/)</t>
  </si>
  <si>
    <t>Enchimento de sacos plásticos para produção de mudas de essências florestais, com costura e perfurados, inclusive fornecimento, custo válido para cada 100 unidades, com dimensões de (17x30)cmx0,15mm.(desonerado)</t>
  </si>
  <si>
    <t>PJ 29.05.0118 (/)</t>
  </si>
  <si>
    <t>Enchimento de sacos plásticos para produção de mudas de essências florestais, com costura e perfurados, na cor preta, inclusive fornecimento, custo válido para cada 100 unidades, com dimensões de (22x27)cmx0,15mm.(desonerado)</t>
  </si>
  <si>
    <t>PJ 29.05.0121 (/)</t>
  </si>
  <si>
    <t>Enchimento de sacos plásticos para produção de mudas de essências florestais, com costura e perfurados, inclusive fornecimento, custo válido para cada 100 unidades, com dimensões de (25x35)cmx0,22mm.(desonerado)</t>
  </si>
  <si>
    <t>PJ 29.05.0150 (/)</t>
  </si>
  <si>
    <t>Encanteiramento dos sacos plásticos para produção de mudas de essências florestais, custo válido para cada 100 unidades, com altura de 20 cm, largura de 13cm.(desonerado)</t>
  </si>
  <si>
    <t>PJ 29.05.0153 (/)</t>
  </si>
  <si>
    <t>Encanteiramento dos sacos plásticos para produção de mudas de essências florestais, custo válido para cada 100 unidades, com altura de 30 cm, largura de 15cm.(desonerado)</t>
  </si>
  <si>
    <t>PJ 29.05.0156 (/)</t>
  </si>
  <si>
    <t>Encanteiramento dos sacos plásticos para produção de mudas de essências florestais, custo válido para cada 100 unidades, medindo 35cm de altura e 25cm de largura.(desonerado)</t>
  </si>
  <si>
    <t>PJ 29.05.0200 (/)</t>
  </si>
  <si>
    <t>Preparo de substrato para serviços executados em horto.(desonerado)</t>
  </si>
  <si>
    <t>PJ 29.05.0250 (/)</t>
  </si>
  <si>
    <t>Preparo de estacas para produção de mudas de essências florestais, custo válido para cada 100 unidades.(desonerado)</t>
  </si>
  <si>
    <t>PJ 29.05.0275 (/)</t>
  </si>
  <si>
    <t>Reenvasamento de muda arbórea em vaso plástico flexível de 85 litros.(desonerado)</t>
  </si>
  <si>
    <t>PJ 29.05.0300 (/)</t>
  </si>
  <si>
    <t>Repicagem e desbaste de mudas de essências florestais.  Cada 100 unidades.(desonerado)</t>
  </si>
  <si>
    <t>PJ 29.05.0350 (/)</t>
  </si>
  <si>
    <t>Saco plástico para produção de mudas na medida de (15x25)cmx0,15mm.  Fornecimento.(desonerado)</t>
  </si>
  <si>
    <t>PJ 29.05.0353 (/)</t>
  </si>
  <si>
    <t>Saco plástico para produção de mudas na medida de (20x30)cmx0,20mm.  Fornecimento.(desonerado)</t>
  </si>
  <si>
    <t>PJ 29.05.0356 (/)</t>
  </si>
  <si>
    <t>Saco plástico para produção de mudas na medida de (28x35)cmx0,22mm.  Fornecimento.(desonerado)</t>
  </si>
  <si>
    <t>PJ 29.05.1000 (/)</t>
  </si>
  <si>
    <t>Vaso plástico tronco cônico flexível de 85 litros para produção de mudas arbóreas com altura de 48,00 cm, diâmetro superior de 54,00 cm e diâmetro inferior de 43,50 cm.  Fornecimento.(desonerado)</t>
  </si>
  <si>
    <t>PJ 34.05 Reflorestamento</t>
  </si>
  <si>
    <t>PJ 34.05.0050 (/)</t>
  </si>
  <si>
    <t>Abertura de cova (30x30x30)cm, em banqueta, em encosta, inclusive marcação.(desonerado)</t>
  </si>
  <si>
    <t>PJ 34.05.0056 (/)</t>
  </si>
  <si>
    <t>Abertura de cova (15x15x15)cm, incluindo incorporação de esterco curtido, para plantio de vegetação reptante em área de restinga plana.(desonerado)</t>
  </si>
  <si>
    <t>PJ 34.05.0059 (/)</t>
  </si>
  <si>
    <t>Abertura de cova (20x20x20)cm, incluindo incorporação de esterco curtido, para plantio de vegetação cactáceas em área de restinga plana.(desonerado)</t>
  </si>
  <si>
    <t>PJ 34.05.0062 (/)</t>
  </si>
  <si>
    <t>Abertura de cova (30x30x30)cm, incluindo incorporação de esterco curtido, para plantio de vegetação arbustiva em área de restinga plana.(desonerado)</t>
  </si>
  <si>
    <t>PJ 34.05.0100 (/)</t>
  </si>
  <si>
    <t>Adubação e calagem, usando adubo orgânico/mineral, em mudas plantadas em encostas.(desonerado)</t>
  </si>
  <si>
    <t>PJ 34.05.0120 (/)</t>
  </si>
  <si>
    <t>Gel para plantio (polímero hidrorretentor) de mudas de espécies florestais arbóreas para reflorestamento, inclusive aplicação na cova, exclusive transporte do material, e medido por cova.</t>
  </si>
  <si>
    <t>PJ 34.05.0150 (/)</t>
  </si>
  <si>
    <t>Capina de aceiro em encosta em área previamente roçada, em fase de implantação.(desonerado)</t>
  </si>
  <si>
    <t>PJ 34.05.0153 (/)</t>
  </si>
  <si>
    <t>Capina de aceiro em encosta em área previamente roçada, em fase de manutenção.(desonerado)</t>
  </si>
  <si>
    <t>PJ 34.05.0200 (/)</t>
  </si>
  <si>
    <t>Capina de vegetação gramínea em área de encosta em curva de nível, inclusive marcação de faixas em curva de nível, em fase de implantação.(desonerado)</t>
  </si>
  <si>
    <t>PJ 34.05.0203 (/)</t>
  </si>
  <si>
    <t>Capina de vegetação gramínea em área de encosta em curva de nível, em fase de manutenção.(desonerado)</t>
  </si>
  <si>
    <t>PJ 34.05.0245 (/)</t>
  </si>
  <si>
    <t>Limpeza manual de materiais diversos em área de manguezal (lixo).(desonerado)</t>
  </si>
  <si>
    <t>PJ 34.05.0300 (/)</t>
  </si>
  <si>
    <t>Plantio de grama em placas, em encosta, tipo São Carlos, Batatais ou Larga, inclusive compra e arrancamento no local de origem, carga, transporte manual encosta acima, descarga e preparo do terreno.(desonerado)</t>
  </si>
  <si>
    <t>PJ 34.05.0400 (/)</t>
  </si>
  <si>
    <t>Plantio de mudas de vegetação arbustiva, exclusive o fornecimento de muda, em área de restinga plana.(desonerado)</t>
  </si>
  <si>
    <t>PJ 34.05.0403 (/)</t>
  </si>
  <si>
    <t>Plantio de mudas de vegetação cactáceas, exclusive o fornecimento de muda, em área de restinga plana.(desonerado)</t>
  </si>
  <si>
    <t>PJ 34.05.0406 (/)</t>
  </si>
  <si>
    <t>Plantio de mudas de vegetação reptante, exclusive o fornecimento de muda, em área de restinga plana.(desonerado)</t>
  </si>
  <si>
    <t>PJ 34.05.0500 (/)</t>
  </si>
  <si>
    <t>Plantio de muda de espécie de manguezal, de 50 a 70 cm de altura, e abertura de cova de (10x10x20)cm.  Exclusive o fornecimento da muda.(desonerado)</t>
  </si>
  <si>
    <t>PJ 34.05.0503 (/)</t>
  </si>
  <si>
    <t>Plantio de muda de espécies de manguezal, de 50 a 70 cm de altura, e abertura de cova de (10x10x20)cm.  Inclusive o fornecimento da muda.(desonerado)</t>
  </si>
  <si>
    <t>PJ 34.05.0600 (/)</t>
  </si>
  <si>
    <t>Plantio de mudas de 50 cm a 70 cm de altura em encosta, exclusive tutor, exclusive abertura de cova.(desonerado)</t>
  </si>
  <si>
    <t>PJ 34.05.0700 (/)</t>
  </si>
  <si>
    <t>Mudas de espécies florestais nativas com altura entre 0,50m e 0,70m. Fornecimento.</t>
  </si>
  <si>
    <t>PJ 34.05.0750 (/)</t>
  </si>
  <si>
    <t>Mudas de espécies florestais nativas com altura entre 0,70m e 1,00m. Fornecimento.</t>
  </si>
  <si>
    <t>PJ 34.05.0800 (/)</t>
  </si>
  <si>
    <t>Mudas de espécies florestais nativas com altura entre 1,00m e 1,30m. Fornecimento.</t>
  </si>
  <si>
    <t>PJ 34.05.0850 (/)</t>
  </si>
  <si>
    <t>Mudas de espécies florestais nativas com altura entre 1,30m e 1,60m. Fornecimento.</t>
  </si>
  <si>
    <t>PJ 39.05 Remoção, Transplante e Poda de Vegetais</t>
  </si>
  <si>
    <t>PJ 39.05.0050 (/)</t>
  </si>
  <si>
    <t>Arrancamento e replantio de arbusto com até 2m de altura.(desonerado)</t>
  </si>
  <si>
    <t>PJ 39.05.0100 (/)</t>
  </si>
  <si>
    <t>Poda de espécies vegetais de baixo nível de dificuldade, exclusive transporte do material resultante.(desonerado)</t>
  </si>
  <si>
    <t>PJ 39.05.0103 (/)</t>
  </si>
  <si>
    <t>Poda de espécies vegetais de médio nível de dificuldade, exclusive transporte do material resultante.(desonerado)</t>
  </si>
  <si>
    <t>PJ 39.05.0106 (/)</t>
  </si>
  <si>
    <t>Poda de espécies vegetais de alto nível de dificuldade, exclusive transporte do material resultante.(desonerado)</t>
  </si>
  <si>
    <t>PJ 39.05.0150 (/)</t>
  </si>
  <si>
    <t>Remoção de espécies vegetais, porte muda (até 2m de altura), inclusive carga, descarga e transporte do material até 30Km.(desonerado)</t>
  </si>
  <si>
    <t>PJ 39.05.0153 (/)</t>
  </si>
  <si>
    <t>Remoção de espécies vegetais, porte pequeno (entre 2m e 4m de altura), inclusive carga, descarga e transporte do material até 30Km.(desonerado)</t>
  </si>
  <si>
    <t>PJ 39.05.0156 (/)</t>
  </si>
  <si>
    <t>Remoção de espécies vegetais, porte médio (entre 4m e 6m de altura), inclusive carga, descarga e transporte do material até 30Km.(desonerado)</t>
  </si>
  <si>
    <t>PJ 39.05.0159 (/)</t>
  </si>
  <si>
    <t>Remoção de espécies vegetais, porte grande (acima de 6m de altura), inclusive carga, descarga e transporte do material até 30Km.(desonerado)</t>
  </si>
  <si>
    <t>PJ 39.05.0200 (/)</t>
  </si>
  <si>
    <t>Transplante de vegetais de  porte pequeno (entre 2m e 4m de altura), inclusive carga, descarga e transporte do material até 30Km.(desonerado)</t>
  </si>
  <si>
    <t>PJ 39.05.0205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</si>
  <si>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 (desonerado).</t>
  </si>
  <si>
    <t>PJ 39.05.0210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</si>
  <si>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 (desonerado).</t>
  </si>
  <si>
    <t>PJ 39.05.0215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</si>
  <si>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 (desonerado).</t>
  </si>
  <si>
    <t>PJ 39.05.0220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</si>
  <si>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 (desonerado).</t>
  </si>
  <si>
    <t>PJ 39.05.0225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</si>
  <si>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 (desonerado).</t>
  </si>
  <si>
    <t>PJ 39.10 Tratamento Fitossanitário</t>
  </si>
  <si>
    <t>PJ 39.10.0050 (/)</t>
  </si>
  <si>
    <t>Adubação diferenciada em espécies vegetais de qualquer natureza.(desonerado)</t>
  </si>
  <si>
    <t>PJ 39.10.0053 (/)</t>
  </si>
  <si>
    <t>Adubação química com fórmula completa (NPK-10-10-10) em golas de árvore, inclusive limpeza e revolvimento de solo.(desonerado)</t>
  </si>
  <si>
    <t>PJ 39.10.0150 (/)</t>
  </si>
  <si>
    <t>Controle químico de espécies vegetais de qualquer natureza.(desonerado)</t>
  </si>
  <si>
    <t>PJ 39.10.0200 (/)</t>
  </si>
  <si>
    <t>Dendrocirurgia em espécies vegetais de qualquer natureza.(desonerado)</t>
  </si>
  <si>
    <t>PJ 39.10.0250 (/)</t>
  </si>
  <si>
    <t>Pincelamento em lesão de espécies vegetais de qualquer natureza.(desonerado)</t>
  </si>
  <si>
    <t>PJ 39.10.0300 (/)</t>
  </si>
  <si>
    <t>Retutoramento de espécies vegetais de qualquer natureza.(desonerado)</t>
  </si>
  <si>
    <t>PJ 39.10.0350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</si>
  <si>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t>
  </si>
  <si>
    <t>PJ 39.10.0353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</si>
  <si>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t>
  </si>
  <si>
    <t>PJ 39.10.0356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</si>
  <si>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golas.(desonerado)</t>
  </si>
  <si>
    <t>PJ 39.10.0359 (/)</t>
  </si>
  <si>
    <t>Tratamento fitossanitário para o combate a seca de árvores, compreendendo: aplicação de fungicida e repelente e incorporação de materias para enriquecimento do solo, exclusive mão-de-obra.(desonerado)</t>
  </si>
  <si>
    <t>PJ 98.99 Diversos</t>
  </si>
  <si>
    <t>PJ 98.99.0050 (/)</t>
  </si>
  <si>
    <t>Contentor plástico para coleta de lixo domiciliar em polietileno (DIN) de 360l.  Fornecimento.(desonerado)</t>
  </si>
  <si>
    <t>PJ 98.99.0053 (/)</t>
  </si>
  <si>
    <t>Contentor plástico em polietileno, com duas rodas maciças de borracha, capacidade para 240 litros.  Fornecimento.(desonerado)</t>
  </si>
  <si>
    <t>PJ 98.99.0070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</si>
  <si>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confecção.(desonerado)</t>
  </si>
  <si>
    <t>PJ 98.99.0100 (/)</t>
  </si>
  <si>
    <t>Fitilho de nylon brancoredondo.  Fornecimento.(desonerado)</t>
  </si>
  <si>
    <t>PJ 98.99.0150 (B)</t>
  </si>
  <si>
    <t>Grampo de apoio em tubos de aço galvanizado (externa e internamente), com (1,20x1,36)m, formado por 2 tubos de 4" na vertical e 1 tubo de 2" e espessura de parede de 1/8" na horizontal, fixados por encaixe, com tratamento anticorrosivo e pintura.  Fornecimento e colocação.(desonerado)</t>
  </si>
  <si>
    <t>PJ 98.99.0160 (/)</t>
  </si>
  <si>
    <t>Jardineira tipo vaso "big pot", em concreto armado, com 2m de diâmetro e 1m de altura, inclusive pintura, presilhas com cabo de aço para tutoramento, carga, descarga e transporte.  Fornecimento.(desonerado)</t>
  </si>
  <si>
    <t>PJ 98.99.0200 (/)</t>
  </si>
  <si>
    <t>Papeleira plástica para vias e praças públicas em polietileno (DIN), capacidade para 50l, medindo (75,50x34,50x43,50)cm.  Fornecimento e colocação.(desonerado)</t>
  </si>
  <si>
    <t>PJ 98.99.0300 (/)</t>
  </si>
  <si>
    <t>Vaso plástico redondo, na cor terracota, cerâmica ou cinza, com diâmetro entre 30cm e 40cm e altura entre 30cm e 35cm, inclusive prato.  Fornecimento.(desonerado)</t>
  </si>
  <si>
    <t>PJ 98.99.0303 (/)</t>
  </si>
  <si>
    <t>Vaso plástico quadrado, na cor terracota, cerâmica ou cinza, com lados entre 34cm e 40cm e altura entre 28cm e 34cm, inclusive prato.  Fornecimento.(desonerado)</t>
  </si>
  <si>
    <t>PJ 98.99.0306 (/)</t>
  </si>
  <si>
    <t>Vaso plástico redondo, na cor terracota, cerâmica ou cinza, com diâmetro entre 41cm e 50cm e altura entre 36cm e 40cm, inclusive prato.  Fornecimento.(desonerado)</t>
  </si>
  <si>
    <t>PT 04.05 Remoção de Pinturas</t>
  </si>
  <si>
    <t>PT 04.05.0050 (/)</t>
  </si>
  <si>
    <t>Remoção de caiação existente ou pintura a gesso e cola.(desonerado)</t>
  </si>
  <si>
    <t>PT 04.05.0100 (/)</t>
  </si>
  <si>
    <t>Remoção de pintura plástica, PVA e semelhantes.(desonerado)</t>
  </si>
  <si>
    <t>PT 04.05.0150 (/)</t>
  </si>
  <si>
    <t>Remoção de pintura a óleo, pintura alquídica e vernizes.(desonerado)</t>
  </si>
  <si>
    <t>PT 04.10 Pinturas Minerais sobre Paredes e Tetos</t>
  </si>
  <si>
    <t>PT 04.10.0050 (A)</t>
  </si>
  <si>
    <t>Caiação interna ou externa sobre revestimento liso, com adição de fixador, com 1 demão.(desonerado)</t>
  </si>
  <si>
    <t>PT 04.10.0100 (/)</t>
  </si>
  <si>
    <t>Caiação interna ou externa sobre revestimento liso, com adoção de fixador, com 2 demãos.(desonerado)</t>
  </si>
  <si>
    <t>PT 04.10.0103 (/)</t>
  </si>
  <si>
    <t>Caiação interna ou externa sobre revestimento liso, com adoção de fixador, com 3 demãos.(desonerado)</t>
  </si>
  <si>
    <t>PT 04.10.0150 (/)</t>
  </si>
  <si>
    <t>Pintura com nata de cimento, 1 demão, após limpeza da área.(desonerado)</t>
  </si>
  <si>
    <t>PT 04.15 Pinturas a Base de PVA, PVC e Acrílico sobre Paredes e Tetos</t>
  </si>
  <si>
    <t>PT 04.15.0050 (B)</t>
  </si>
  <si>
    <t>Preparo de superfícies novas, com revestimento liso, inclusive raspagem, limpeza, demão de impermeabilizante, de massa corrida plástica e lixamento.(desonerado)</t>
  </si>
  <si>
    <t>PT 04.15.0056 (/)</t>
  </si>
  <si>
    <t>Preparo de superfície interna ou externa de revestimento liso, inclusive demão de impermeabilizante selador, com 2 demãos de massa acrílica e lixamentos necessários.(desonerado)</t>
  </si>
  <si>
    <t>PT 04.15.0100 (/)</t>
  </si>
  <si>
    <t>Pintura com tinta plástica fosco aveludada à base de PVA, para interior, equivalente à Suvinil Latex ou similar, acabamento padrão, inclusive 2 demãos sobre a superfície preparada conforme o item PT 05.15.0050, exclusive este preparo.(desonerado)</t>
  </si>
  <si>
    <t>PT 04.15.0103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</si>
  <si>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acabamento.(desonerado)</t>
  </si>
  <si>
    <t>PT 04.15.0106 (A)</t>
  </si>
  <si>
    <t>Pintura com tinta plástica fosco aveludada à base de PVA, para interior, equivalente à Suvinil Latex ou similar, inclusive demão de massa, lixamento e 2 demãos de acabamento.(desonerado)</t>
  </si>
  <si>
    <t>PT 04.15.0109 (A)</t>
  </si>
  <si>
    <t>Pintura com tinta plástica acetinada à base de PVA, para exterior, equivalente à Super Concretina ou similar, inclusive raspagem, demão de impermeabilização e 2 demãos de acabamento.(desonerado)</t>
  </si>
  <si>
    <t>PT 04.15.0112 (A)</t>
  </si>
  <si>
    <t>Pintura com tinta plástica acetinada à base de PVA, para exterior, equivalente à Coralmur ou similar, inclusive raspagem, demão de impermeabilizante e 2 demãos de acabamento.(desonerado)</t>
  </si>
  <si>
    <t>PT 04.15.0150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</si>
  <si>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acabamento.(desonerado)</t>
  </si>
  <si>
    <t>PT 04.15.0153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</si>
  <si>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acabamento.(desonerado)</t>
  </si>
  <si>
    <t>PT 04.15.0159 (/)</t>
  </si>
  <si>
    <t>Pintura com tinta Supercril ou similar, para interior e exterior, incolor ou colorida, em 2 demãos.  Fornecimento e colocação.(desonerado)</t>
  </si>
  <si>
    <t>PT 04.15.0162 (/)</t>
  </si>
  <si>
    <t>Pintura com tinta acrílica base solvente na cor concreto para exterior sobre concreto com 1 demão de selador acrílico base água e 2 demãos de acabamento, inclusive lixamento.(desonerado)</t>
  </si>
  <si>
    <t>PT 04.15.0200 (/)</t>
  </si>
  <si>
    <t>Uma demão adicional de acabamento nos serviços dos itens PT 05.15.0100, PT 05.15.0103 e PT 05.15.0106.(desonerado)</t>
  </si>
  <si>
    <t>PT 04.15.0203 (/)</t>
  </si>
  <si>
    <t>Uma demão adicional de acabamento nos serviços do item PT 05.15.0109.(desonerado)</t>
  </si>
  <si>
    <t>PT 04.15.0206 (/)</t>
  </si>
  <si>
    <t>Uma demão adicional de acabamento no serviço do item PT 05.15.0112.(desonerado)</t>
  </si>
  <si>
    <t>PT 04.15.0209 (/)</t>
  </si>
  <si>
    <t>Uma demão adicional de acabamento no serviço do item PT 05.15.0150.(desonerado)</t>
  </si>
  <si>
    <t>PT 04.15.0250 (/)</t>
  </si>
  <si>
    <t>Pintura com Liquibrilho ou similar, em 3 demãos, adicionado ou sobre PVA.(desonerado)</t>
  </si>
  <si>
    <t>PT 04.15.0500 (/)</t>
  </si>
  <si>
    <t>Repintura com tinta plástica à base de PVA, equivalente a Suvinil Latex, para interior sobre superfície em bom estado e na cor existente, inclusive limpeza, leve lixamento com lixa fina e 1 demão de acabamento.(desonerado)</t>
  </si>
  <si>
    <t>PT 04.15.0550 (/)</t>
  </si>
  <si>
    <t>Repintura com tinta plástica acetinada à base de PVA, equivalente a Super Concretina, para exterior sobre superfície em bom estado e na cor existente, inclusive limpeza, leve lixamento com lixa fina e 1 demão de acabamento.(desonerado)</t>
  </si>
  <si>
    <t>PT 04.20 Pinturas a Óleo e Alquídicos sobre Paredes, Tetos e Telhas</t>
  </si>
  <si>
    <t>PT 04.20.0050 (A)</t>
  </si>
  <si>
    <t>Preparo de superfícies novas, com revestimento liso, inclusive lixamento, limpeza, demão de impermeabilizante, demão de massa corrida a óleo e novo lixamento.(desonerado)</t>
  </si>
  <si>
    <t>PT 04.20.0100 (/)</t>
  </si>
  <si>
    <t>Pintura interna com esmalte sintético equivalente a Duralack ou similar, acabamento de alta classe, sobre a superfície preparada conforme o item PT 05.20.0050, exclusive 2 lixamentos, 2 demãos de massa corrida, e 3 demãos de acabamento.(desonerado)</t>
  </si>
  <si>
    <t>PT 04.20.0103 (/)</t>
  </si>
  <si>
    <t>Pintura com tinta alquídica esmaltada,  para interior, equivalente a Condo ou similar, acabamento alta classe, sobre a superfície preparada conforme o item PT 05.20.0050, exclusive este preparo, inclusive 3 lixamentos, 2 demãos de massa corrida e 3 de acabamento.(desonerado)</t>
  </si>
  <si>
    <t>PT 04.20.0106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</si>
  <si>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preparo.(desonerado)</t>
  </si>
  <si>
    <t>PT 04.20.0200 (A)</t>
  </si>
  <si>
    <t>Pintura interna em superfície com revestimento liso, a óleo brilhante, equivalente a Marveline ou Coral Óleo ou similar, inclusive lixamento, demão de impermeabilizante, demão de meia massa, lixa e 2 demãos de acabamento.(desonerado)</t>
  </si>
  <si>
    <t>PT 04.20.0500 (/)</t>
  </si>
  <si>
    <t>Repintura interna ou externa, na cor existente, sobre revestimento liso em bom estado, com tinta a óleo brilhante Marveline ou Coral Óleo ou similar, inclusive lixamento e 2 demãos de acabamento.(desonerado)</t>
  </si>
  <si>
    <t>PT 04.25 Pinturas a Óleo e Alquídicos sobre Madeira</t>
  </si>
  <si>
    <t>PT 04.25.0050 (A)</t>
  </si>
  <si>
    <t>Preparo de madeira nova, inclusive lixamento, limpeza, demão de impermeabilizante tipo verniz Knotting ou similar, 2 demãos de massa corrida, novo lixamento, demão de tinta primária tipo Nivelite ou Surfacer.(desonerado)</t>
  </si>
  <si>
    <t>PT 04.25.0100 (/)</t>
  </si>
  <si>
    <t>Pintura interna sobre madeira, com esmalte sintético equivalente à Duralack ou similar, sobre superfície preparada conforme item PT 05.25.0050, exclusive este preparo, inclusive demão de tinta de base.(desonerado)</t>
  </si>
  <si>
    <t>PT 04.25.0103 (/)</t>
  </si>
  <si>
    <t>Pintura interna ou externa sobre madeira com tinta esmaltada tipo Lagoline ou similar, sobre superfície preparada conforme item PT 05.25.0050, exclusive este, inclusive lixamento, demão de tinta primária tipo Surfacer e 2 demãos de acabamento de alta classe.(desonerado)</t>
  </si>
  <si>
    <t>PT 04.25.0106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</si>
  <si>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acabamento.(desonerado)</t>
  </si>
  <si>
    <t>PT 04.25.0109 (/)</t>
  </si>
  <si>
    <t>Pintura interna ou externa sobre madeira, com esmalte sintético equivalente à Duralack ou similar, inclusive lixamento, demão de verniz isolante, de tinta de fundo e 2 demãos de acabamento.(desonerado)</t>
  </si>
  <si>
    <t>PT 04.25.0112 (/)</t>
  </si>
  <si>
    <t>Pintura em madeira, com tinta Colorgin luminoso ou similar, em faixas.(desonerado)</t>
  </si>
  <si>
    <t>PT 04.25.0115 (/)</t>
  </si>
  <si>
    <t>Pintura de rodapé com tinta a óleo brilhante equivalente a Marveline ou Coral óleo ou similar, inclusive 2 lixamentos, tinta isolante, massa e 2 demãos de acabamento.(desonerado)</t>
  </si>
  <si>
    <t>PT 04.25.0150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</si>
  <si>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acabamento.(desonerado)</t>
  </si>
  <si>
    <t>PT 04.25.0200 (/)</t>
  </si>
  <si>
    <t>Pintura interna ou externa sobre madeira, com tinta a óleo brilhante equivalente a Marveline ou Coral Óleo ou similar, inclusive lixa, demão de tinta isolante, de meia massa e 2 demãos de acabamento.(desonerado)</t>
  </si>
  <si>
    <t>PT 04.25.0203 (/)</t>
  </si>
  <si>
    <t>Pintura interna ou externa sobre madeira, com tinta a óleo brilhante equivalente a Marveline ou Coral Óleo ou similar, inclusive 2 demãos de acabamento sobre superfície preparada conforme o item PT 05.25.0050, exclusive este preparo.(desonerado)</t>
  </si>
  <si>
    <t>PT 04.25.0206 (/)</t>
  </si>
  <si>
    <t>Pintura interna ou externa sobre madeira, com tinta a óleo brilhante auto seladora, fundo sintético fosco, inclusive lixamento e 2 demãos de acabamento.(desonerado)</t>
  </si>
  <si>
    <t>PT 04.25.0500 (/)</t>
  </si>
  <si>
    <t>Repintura interna ou externa sobre madeira em bom estado na cor existente com tinta de base alquídica, semi-brilho, equivalente a Coralsint ou Super Lagomix ou fosco acetinado equivalente a Coralite ou similar, inclusive lixamento, limpeza e 2 demãos de acabamento.(desonerado)</t>
  </si>
  <si>
    <t>PT 04.25.0503 (/)</t>
  </si>
  <si>
    <t>Repintura interna ou externa na cor existente sobre madeira em bom estado, com tinta esmaltada tipo Condor ou Lagoline ou similar, inclusive lixamento, limpeza e 2 demãos de acabamento.(desonerado)</t>
  </si>
  <si>
    <t>PT 04.25.0506 (/)</t>
  </si>
  <si>
    <t>Repintura interna ou externa na cor existente sobre madeira em bom estado, com esmalte sintético Duralack ou similar, inclusive lixamento, limpeza e 2 demãos de acabamento.(desonerado)</t>
  </si>
  <si>
    <t>PT 04.25.0509 (/)</t>
  </si>
  <si>
    <t>Repintura a base de Primer e esmalte sintético.(desonerado)</t>
  </si>
  <si>
    <t>PT 04.30 Envernizamento e Enceramento</t>
  </si>
  <si>
    <t>PT 04.30.0050 (A)</t>
  </si>
  <si>
    <t>Enceramento de madeira, inclusive lixamento, demão de verniz isolante e 3 demãos de cera, cada qual seguida de abertura de brilho, a escova e flanela.(desonerado)</t>
  </si>
  <si>
    <t>PT 04.30.0100 (/)</t>
  </si>
  <si>
    <t>Envernizamento de madeira com verniz Copal ou similar, para interior, inclusive lixamento, demão de verniz isolante, de anilina, e 1 demão de acabamento.(desonerado)</t>
  </si>
  <si>
    <t>PT 04.30.0103 (/)</t>
  </si>
  <si>
    <t>Envernizamento de madeira com verniz Sparlack Cetol (cores) ou similar, para interior e exterior, inclusive lixamento, demão de verniz seladora, e 2 demãos de acabamento.(desonerado)</t>
  </si>
  <si>
    <t>PT 04.30.0106 (A)</t>
  </si>
  <si>
    <t>Envernizamento de madeira com verniz a boneca, de Goma Laca ou similar, importada, dissolvida em álcool, inclusive lixamento e aplicação de sucessivas demãos de acabamento até a obtenção do brilho.(desonerado)</t>
  </si>
  <si>
    <t>PT 04.30.0150 (/)</t>
  </si>
  <si>
    <t>Envernizamento de rodapés com verniz Copal ou similar, inclusive lixamento, 1 demão de verniz isolante de anilina, e 2 demãos de acabamento.(desonerado)</t>
  </si>
  <si>
    <t>PT 04.30.0200 (/)</t>
  </si>
  <si>
    <t>Envernizamento de tijolos ou concreto, para interior, com verniz Carriage ou similar, inclusive lixamento e 2 demãos de acabamento.(desonerado)</t>
  </si>
  <si>
    <t>PT 04.30.0250 (/)</t>
  </si>
  <si>
    <t>Pintura sobre concreto com uma demão de Primer e acabamento com 2 demãos de verniz acrílico pigmentado na cor concreto.(desonerado)</t>
  </si>
  <si>
    <t>PT 04.30.0300 (/)</t>
  </si>
  <si>
    <t>Verniz acrílico incolor, em 3 demãos, aplicado sobre superfície lisa de concreto ou tijolo aparente, para interior.(desonerado)</t>
  </si>
  <si>
    <t>PT 04.35 Imunizantes</t>
  </si>
  <si>
    <t>PT 04.35.0050 (/)</t>
  </si>
  <si>
    <t>Pintura com emulsão oleosa Separol ou similar, para desmoldagem de formas.(desonerado)</t>
  </si>
  <si>
    <t>PT 04.35.0100 (/)</t>
  </si>
  <si>
    <t>Pintura imunizante sobre madeira com 1 demão Pentox ou similar.(desonerado)</t>
  </si>
  <si>
    <t>PT 04.40 Pintura a Óleo e Alquídico sobre Ferro</t>
  </si>
  <si>
    <t>PT 04.40.0050 (/)</t>
  </si>
  <si>
    <t>Primer convertedor de ferrugem em fundo de proteção, (P.C.F) ou similar.  Fornecimento e aplicação com 2 demãos.(desonerado)</t>
  </si>
  <si>
    <t>PT 04.40.0100 (/)</t>
  </si>
  <si>
    <t>Pintura interna ou externa sobre ferro, com tinta a óleo brilhante Marveline ou Coral Óleo ou similar, inclusive lixamento, limpeza e demão de tinta anti óxido Ferrolóide ou similar e 2 demãos de acabamento.(desonerado)</t>
  </si>
  <si>
    <t>PT 04.40.0103 (/)</t>
  </si>
  <si>
    <t>Pintura interna ou externa sobre ferro, com tinta de base alquídica esmaltada brilhante, equivalente a Lagoline ou similar, inclusive lixamento, limpeza, desengorduramento, aplicação de zarcão de secagem rápida, cor laranja e 2 demãos de acabamento.(desonerado)</t>
  </si>
  <si>
    <t>PT 04.40.0106 (/)</t>
  </si>
  <si>
    <t>Pintura interna ou externa sobre ferro, com esmalte sintético Duralack ou Lagomix ou similar, inclusive lixamento, limpeza, demão de zarcão de secagem rápida, cor laranja e 2 demãos de acabamento.(desonerado)</t>
  </si>
  <si>
    <t>PT 04.40.0150 (/)</t>
  </si>
  <si>
    <t>Pintura interna ou externa sobre ferro, com tinta alquídica esmaltada Condor ou similar, inclusive lixamento, limpeza, demão de tinta anti óxido Ferrolack ou similar e 2 demãos de acabamento.(desonerado)</t>
  </si>
  <si>
    <t>PT 04.40.0200 (/)</t>
  </si>
  <si>
    <t>Pintura interna ou externa sobre galvanizado com esmalte sintético, inclusive limpeza, desengorduramento, secagem, aplicação de 1 demão de Wash Primer ou similar e 2 demãos de acabamento.(desonerado)</t>
  </si>
  <si>
    <t>PT 04.40.0250 (/)</t>
  </si>
  <si>
    <t>Repintura interna ou externa sobre ferro, com tinta a óleo brilhante Marveline ou Coral Óleo ou similar, inclusive lixamento, limpeza, demão de tinta anti óxido e 1 de acabamento.(desonerado)</t>
  </si>
  <si>
    <t>PT 04.40.0300 (/)</t>
  </si>
  <si>
    <t>Repintura interna ou externa na cor existente, sobre ferro com superfície em bom estado, nas condições do item PT 05.40.0103.(desonerado)</t>
  </si>
  <si>
    <t>PT 04.40.0350 (/)</t>
  </si>
  <si>
    <t>Repintura interna ou externa sobre ferro, inclusive lixamento, limpeza, demão de zarcão secagem rápida, cor laranja e outra de esmalte sintético Duralack ou similar.(desonerado)</t>
  </si>
  <si>
    <t>PT 04.40.0400 (/)</t>
  </si>
  <si>
    <t>Repintura interna ou externa sobre ferro, inclusive lixamento, limpeza, demão de tinta anti óxido Ferrolóide ou similar e outra de tinta alquídica esmaltada Condor ou similar.(desonerado)</t>
  </si>
  <si>
    <t>PT 04.45 Marcação e Pintura de Quadra de Esporte</t>
  </si>
  <si>
    <t>PT 04.45.0040 (/)</t>
  </si>
  <si>
    <t>Marcação de quadra de esporte com tinta látex à base de resina acrílica e pigmentos minerais, Viwacril Acrílico Piso ou similar, considerando a limpeza da superfície e 2 demãos de acabamento, medida pela área efetiva de pintura.(desonerado)</t>
  </si>
  <si>
    <t>PT 04.45.0050 (/)</t>
  </si>
  <si>
    <t>Marcação de quadra de esporte, com tintura Supercril ou similar, em 2 demãos.  Medida pela área efetiva de pintura.(desonerado)</t>
  </si>
  <si>
    <t>PT 04.45.0100 (/)</t>
  </si>
  <si>
    <t>Pintura de quadra de esporte em piso cimentado, com tinta 100% acrílica equivalente a Suvinil piso, Nova Cor ou Coral Piso ou similar, considerando-se a limpeza da superfície e 2 demãos de acabamento.(desonerado)</t>
  </si>
  <si>
    <t>PT 04.50 Pinturas a Base de PVC e Acrílico sobre Concreto ou Asfalto</t>
  </si>
  <si>
    <t>PT 04.50.0050 (/)</t>
  </si>
  <si>
    <t>Pintura com tinta acrílica tipo rugoso com adição de quartzo equivalente a Viwacril-Sambódromo ou similar, sobre concreto ou asfalto, constando de 2 demãos.(desonerado)</t>
  </si>
  <si>
    <t>PT 04.55 Pinturas em Epóxi</t>
  </si>
  <si>
    <t>PT 04.55.0050 (/)</t>
  </si>
  <si>
    <t>Pintura Epóxi, com preparo em massa Epóxi.(desonerado)</t>
  </si>
  <si>
    <t>PT 04.55.0101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</si>
  <si>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 (desonerado).</t>
  </si>
  <si>
    <t>PT 04.60 Pintura de Poste</t>
  </si>
  <si>
    <t>PT 04.60.0100 (/)</t>
  </si>
  <si>
    <t>Pintura de poste de aço reto, de 3,50m, com 1 demão de tinta Primer ou similar e 2 demãos de tinta Alumilack ou similar.(desonerado)</t>
  </si>
  <si>
    <t>PT 04.60.0150 (/)</t>
  </si>
  <si>
    <t>Pintura de poste de aço reto, de 4,5m até 6,0m, com 1 demão de tinta Primer ou similar e 2 demãos de tinta Alumilack ou similar.(desonerado)</t>
  </si>
  <si>
    <t>PT 04.60.0200 (/)</t>
  </si>
  <si>
    <t>Pintura de poste de aço reto, de 7m até 9m, com 1 demão de tinta Primer ou similar e 2 demãos de tinta Alumilack ou similar.(desonerado)</t>
  </si>
  <si>
    <t>PT 04.60.0250 (/)</t>
  </si>
  <si>
    <t>Pintura de poste de aço reto, de 10m até 15m, com 1 demão de tinta Primer ou similar e 2 demãos de tinta Alumilack ou similar.(desonerado)</t>
  </si>
  <si>
    <t>PT 04.60.0300 (/)</t>
  </si>
  <si>
    <t>Pintura de poste de aço reto, de 16m até 20m, com 1 demão de tinta Primer ou similar e 2 demãos de tinta Alumilack ou similar.(desonerado)</t>
  </si>
  <si>
    <t>PT 04.65 Pinturas Antipichação</t>
  </si>
  <si>
    <t>PT 04.65.0100 (/)</t>
  </si>
  <si>
    <t>Pintura externa antipichação sobre concreto ou aço em superfície preparada.  Exclusive o preparo.(desonerado)</t>
  </si>
  <si>
    <t>PT 09.05 Texturas Acrílicas</t>
  </si>
  <si>
    <t>PT 09.05.0100 (/)</t>
  </si>
  <si>
    <t>Textura acrílica cor branca, acabamento riscado, inclusive preparo da superfície.  Fornecimento e aplicação.(desonerado)</t>
  </si>
  <si>
    <t>RV 04.05 Pastas</t>
  </si>
  <si>
    <t>RV 04.05.0050 (/)</t>
  </si>
  <si>
    <t>Pasta de cimento branco.(desonerado)</t>
  </si>
  <si>
    <t>RV 04.05.0100 (A)</t>
  </si>
  <si>
    <t>Pasta de cimento branco e cal, no traço 1:1.(desonerado)</t>
  </si>
  <si>
    <t>RV 04.05.0150 (A)</t>
  </si>
  <si>
    <t>Pasta de cal.(desonerado)</t>
  </si>
  <si>
    <t>RV 04.05.0200 (/)</t>
  </si>
  <si>
    <t>Pasta de cimento comum.(desonerado)</t>
  </si>
  <si>
    <t>RV 04.05.0250 (A)</t>
  </si>
  <si>
    <t>Pasta de Gesso.(desonerado)</t>
  </si>
  <si>
    <t>RV 04.10 Argamassas</t>
  </si>
  <si>
    <t>RV 04.10.0050 (A)</t>
  </si>
  <si>
    <t>Argamassa de cimento e areia, no traço 1:1.(desonerado)</t>
  </si>
  <si>
    <t>RV 04.10.0053 (A)</t>
  </si>
  <si>
    <t>Argamassa de cimento e areia, no traço 1:1,5.(desonerado)</t>
  </si>
  <si>
    <t>RV 04.10.0056 (A)</t>
  </si>
  <si>
    <t>Argamassa de cimento e areia, no traço 1:2.(desonerado)</t>
  </si>
  <si>
    <t>RV 04.10.0059 (A)</t>
  </si>
  <si>
    <t>Argamassa de cimento e areia, no traço 1:3.(desonerado)</t>
  </si>
  <si>
    <t>RV 04.10.0062 (A)</t>
  </si>
  <si>
    <t>Argamassa de cimento e areia, no traço 1:4.(desonerado)</t>
  </si>
  <si>
    <t>RV 04.10.0065 (A)</t>
  </si>
  <si>
    <t>Argamassa de cimento e areia, no traço 1:5.(desonerado)</t>
  </si>
  <si>
    <t>RV 04.10.0068 (A)</t>
  </si>
  <si>
    <t>Argamassa de cimento e areia, no traço 1:6.(desonerado)</t>
  </si>
  <si>
    <t>RV 04.10.0071 (A)</t>
  </si>
  <si>
    <t>Argamassa de cimento e areia, no traço 1:8.(desonerado)</t>
  </si>
  <si>
    <t>RV 04.10.0074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</si>
  <si>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cimento.(desonerado)</t>
  </si>
  <si>
    <t>RV 04.10.0100 (A)</t>
  </si>
  <si>
    <t>Argamassa de cimento e areia no traço 1:3 e Sika Fix ou similar.(desonerado)</t>
  </si>
  <si>
    <t>RV 04.10.0150 (A)</t>
  </si>
  <si>
    <t>Argamassa de cimento branco, cal e pó-de-mármore, no traço 1:1:3.(desonerado)</t>
  </si>
  <si>
    <t>RV 04.10.0200 (A)</t>
  </si>
  <si>
    <t>Argamassa de cimento, cal e areia fina, no traço 1:3:5.(desonerado)</t>
  </si>
  <si>
    <t>RV 04.10.0203 (A)</t>
  </si>
  <si>
    <t>Argamassa de cimento, cal e areia fina, no traço 1:3:8.(desonerado)</t>
  </si>
  <si>
    <t>RV 04.10.0250 (A)</t>
  </si>
  <si>
    <t>Argamassa de cimento, cal, saibro e areia, no traço 1:2:4:4.(desonerado)</t>
  </si>
  <si>
    <t>RV 04.10.0306 (A)</t>
  </si>
  <si>
    <t>Argamassa de cimento e terra preta de emboço, no traço 1:6.(desonerado)</t>
  </si>
  <si>
    <t>RV 04.10.0350 (A)</t>
  </si>
  <si>
    <t>Argamassa de cimento e pó-de-pedra, no traço 1:3.(desonerado)</t>
  </si>
  <si>
    <t>RV 04.10.0353 (A)</t>
  </si>
  <si>
    <t>Argamassa de cimento e pó-de-pedra, no traço 1:4.(desonerado)</t>
  </si>
  <si>
    <t>RV 04.10.0400 (A)</t>
  </si>
  <si>
    <t>Argamassa de cimento e saibro, no traço 1:2.(desonerado)</t>
  </si>
  <si>
    <t>RV 04.10.0403 (A)</t>
  </si>
  <si>
    <t>Argamassa de cimento e saibro, no traço 1:4.(desonerado)</t>
  </si>
  <si>
    <t>RV 04.10.0406 (A)</t>
  </si>
  <si>
    <t>Argamassa de cimento e saibro, no traço 1:6.(desonerado)</t>
  </si>
  <si>
    <t>RV 04.10.0409 (A)</t>
  </si>
  <si>
    <t>Argamassa de cimento e saibro, no traço 1:8.(desonerado)</t>
  </si>
  <si>
    <t>RV 04.10.0450 (A)</t>
  </si>
  <si>
    <t>Argamassa de cimento, saibro e areia, no traço 1:2:2.(desonerado)</t>
  </si>
  <si>
    <t>RV 04.10.0453 (A)</t>
  </si>
  <si>
    <t>Argamassa de cimento, saibro e areia, no traço 1:2:3.(desonerado)</t>
  </si>
  <si>
    <t>RV 04.10.0456 (A)</t>
  </si>
  <si>
    <t>Argamassa de cimento, saibro e areia, no traço 1:3:3.(desonerado)</t>
  </si>
  <si>
    <t>RV 04.10.0459 (A)</t>
  </si>
  <si>
    <t>Argamassa de cimento, saibro e areia, no traço 1:3:5.(desonerado)</t>
  </si>
  <si>
    <t>RV 04.15 Consolidações</t>
  </si>
  <si>
    <t>RV 04.15.0050 (/)</t>
  </si>
  <si>
    <t>Consolidação de cimalhas em argamassa das fachadas das edificações.(desonerado)</t>
  </si>
  <si>
    <t>RV 04.15.0500 (/)</t>
  </si>
  <si>
    <t>Recomposição e consolidação de elementos decorativos das fachadas - sobre-vergas.(desonerado)</t>
  </si>
  <si>
    <t>RV 09.05 Revestimento com Argamassa em Paredes e Tetos</t>
  </si>
  <si>
    <t>RV 09.05.0050 (/)</t>
  </si>
  <si>
    <t>Chapisco de superfície de concreto ou alvenaria, com argamassa de cimento e areia no traço 1:3.(desonerado)</t>
  </si>
  <si>
    <t>RV 09.05.0053 (/)</t>
  </si>
  <si>
    <t>Chapiscado (Revestimento) de cimento e areia no traço 1:3 peneirado, espessura de 9mm, aplicado sobre emboço existente.(desonerado)</t>
  </si>
  <si>
    <t>RV 09.05.0056 (/)</t>
  </si>
  <si>
    <t>Chapisco em argamassa de cimento e areia no traço 1:3 em volume, aditivado com resina acrílica da Reax ou similar.(desonerado)</t>
  </si>
  <si>
    <t>RV 09.05.0059 (A)</t>
  </si>
  <si>
    <t>Chapisco de superfície de concreto ou alvenaria, usando máquina manual, com argamassa de cimento e areia no traço 1:6.(desonerado)</t>
  </si>
  <si>
    <t>RV 09.05.0100 (A)</t>
  </si>
  <si>
    <t>Emboço com argamassa de cimento e areia, no traço 1:1,5, com 1,50cm  de espessura, inclusive chapisco.(desonerado)</t>
  </si>
  <si>
    <t>RV 09.05.0106 (A)</t>
  </si>
  <si>
    <t>Emboço com argamassa de cimento e areia, no traço 1:3, com 1,50cm de espessura, inclusive chapisco.(desonerado)</t>
  </si>
  <si>
    <t>RV 09.05.0112 (A)</t>
  </si>
  <si>
    <t>Emboço com argamassa de cimento e areia, no traço 1:3 com Sikafix ou similar, na espessura de 2,50cm, inclusive chapisco.(desonerado)</t>
  </si>
  <si>
    <t>RV 09.05.0115 (A)</t>
  </si>
  <si>
    <t>Emboço com argamassa de cimento e areia, no traço 1:4, com 1,50cm de espessura, inclusive chapisco.(desonerado)</t>
  </si>
  <si>
    <t>RV 09.05.0150 (/)</t>
  </si>
  <si>
    <t>Revestimento interno, de 1 vez, emboço paulista, com argamassa de cimento, cal, saibro e areia fina no traço 1:4:4:4, com acabamento a camurça ou saco, com 2,50cm de espessura.(desonerado)</t>
  </si>
  <si>
    <t>RV 09.05.0153 (A)</t>
  </si>
  <si>
    <t>Revestimento interno, de 1 vez, com argamassa de cimento e saibro no traço 1:6, com 2,50cm de espessura.(desonerado)</t>
  </si>
  <si>
    <t>RV 09.05.0156 (A)</t>
  </si>
  <si>
    <t>Revestimento interno, de 1 vez, com argamassa de cimento e saibro no traço 1:8, com 2,50cm de espessura.(desonerado)</t>
  </si>
  <si>
    <t>RV 09.05.0159 (/)</t>
  </si>
  <si>
    <t>Revestimento interno em massa única com argamassa de cimento e areia termotratada (Qualimassa ou similar) na espessura de 2cm sobre chapisco, exclusive este.(desonerado)</t>
  </si>
  <si>
    <t>RV 09.05.0162 (A)</t>
  </si>
  <si>
    <t>Revestimento interno, em 2 massas, sendo o emboço com argamassa de cimento e saibro no traço 1:4 com espessura de 2,5cm e o reboco com massa especial branca ou similar, na espessura de 2mm.(desonerado)</t>
  </si>
  <si>
    <t>RV 09.05.0203 (/)</t>
  </si>
  <si>
    <t>Revestimento externo, de 1 vez, com argamassa de cimento e terra preta de emboço no traço 1:4, com 3cm de espessura, inclusive chapisco.(desonerado)</t>
  </si>
  <si>
    <t>RV 09.05.0206 (/)</t>
  </si>
  <si>
    <t>Revestimento externo, de 1 vez, com argamassa de cimento e terra preta de emboço no traço 1:6, com 3cm de espessura, inclusive chapisco.(desonerado)</t>
  </si>
  <si>
    <t>RV 09.05.0209 (A)</t>
  </si>
  <si>
    <t>Revestimento externo, de 1 vez, com argamassa de cimento, saibro macio e areia fina no traço 1:2:2, com 3cm de espessura, inclusive chapisco.(desonerado)</t>
  </si>
  <si>
    <t>RV 09.05.0212 (A)</t>
  </si>
  <si>
    <t>Revestimento externo (emboço), de 1 vez, com argamassa de cimento, saibro macio e areia peneirada no traço 1:3:3 com 3cm de espessura, inclusive chapisco.(desonerado)</t>
  </si>
  <si>
    <t>RV 09.05.0215 (/)</t>
  </si>
  <si>
    <t>Revestimento externo, de 1 vez, com argamassa de cimento, saibro macio e areia fina no traço 1:5:2, com 3cm de espessura, inclusive chapisco.(desonerado)</t>
  </si>
  <si>
    <t>RV 09.05.0250 (/)</t>
  </si>
  <si>
    <t>Revestimento externo em massa única com argamassa de cimento e areia termotratada (Qualimassa ou similar) na espessura de 3cm sobre chapisco, exclusive este.(desonerado)</t>
  </si>
  <si>
    <t>RV 09.05.0256 (/)</t>
  </si>
  <si>
    <t>Revestimento externo com reboco tipo Rebotex com silicone ou similar, cor clara, na espessura de 3mm, sobre emboço existente.(desonerado)</t>
  </si>
  <si>
    <t>RV 09.05.0262 (/)</t>
  </si>
  <si>
    <t>Revestimento externo com reboco tipo Massa Especial Externa Branca ou similar, cor clara, na espessura de 3mm, sobre emboço existente.(desonerado)</t>
  </si>
  <si>
    <t>RV 09.05.0300 (B)</t>
  </si>
  <si>
    <t>Revestimento externo, em 2 massas, sobre superfície chapiscada, sendo o emboço com argamassa de cimento, saibro e areia no traço 1:3:3, e o reboco com cimento, cal hidratada em pó e areia fina no traço 1:3:5, com 3cm de espessura.(desonerado)</t>
  </si>
  <si>
    <t>RV 09.05.0350 (A)</t>
  </si>
  <si>
    <t>Revestimento interno ou externo, de 1 vez, com argamassa de cimento, saibro macio e areia fina no traço 1:2:2, com 3cm de espessura.(desonerado)</t>
  </si>
  <si>
    <t>RV 09.05.0353 (A)</t>
  </si>
  <si>
    <t>Revestimento interno ou externo, de 1 vez, com argamassa de cimento, saibro macio e areia fina no traço 1:3:3, com 3cm de espessura.(desonerado)</t>
  </si>
  <si>
    <t>RV 09.05.0400 (A)</t>
  </si>
  <si>
    <t>Revestimento externo, em 2 massas, sobre superfície chapiscada, sendo o emboço com argamassa de cimento, saibro e areia no traço 1:2:2, e o reboco com argamassa Rebotex com silicone ou similar, com 3cm de espessura.(desonerado)</t>
  </si>
  <si>
    <t>RV 09.05.0500 (/)</t>
  </si>
  <si>
    <t>Revestimento com nata de cimento e adesivo aplicado uniformemente sobre superfície de azulejo, pastilha ou cerâmica, alisada a colher e lixada.(desonerado)</t>
  </si>
  <si>
    <t>RV 09.05.0550 (A)</t>
  </si>
  <si>
    <t>Reboco interno com massa especial interna branca ou similar na espessura de 2mm.(desonerado)</t>
  </si>
  <si>
    <t>RV 09.05.0600 (A)</t>
  </si>
  <si>
    <t>Regularização com argamassa de cimento e areia, com 2cm de espessura no traço 1:3.(desonerado)</t>
  </si>
  <si>
    <t>RV 09.05.0650 (B)</t>
  </si>
  <si>
    <t>Moldura externa executada no perímetro das esquadrias com argamassa de ciemnto, saibro macio e areia fina no traço 1:3:3, com largura de 10cm e espessura de 1,5cm.(desonerado)</t>
  </si>
  <si>
    <t>RV 09.10 Revestimento com Azulejos</t>
  </si>
  <si>
    <t>RV 09.10.0050 (/)</t>
  </si>
  <si>
    <t>Revestimentos de azulejos brancos, (15x15)cm, qualidade extra, inclusive a superfície chapiscada, emboçada com argamassa de cimento e saibro no traço 1:8, juntas corridas, com 2mm, assentes com nata de cimento comum e rejuntadas com pasta de cimento branco.(desonerado)</t>
  </si>
  <si>
    <t>RV 09.10.0053 (/)</t>
  </si>
  <si>
    <t>Revestimentos de azulejos brancos, (15x15)cm, 1ª qualidade, inclusive a superfície chapiscada, emboçada com argamassa de cimento e saibro no traço 1:8, juntas corridas ou alternadas, assentes com nata de cimento comum e rejuntadas com pasta de cimento branco.(desonerado)</t>
  </si>
  <si>
    <t>RV 09.10.0103 (/)</t>
  </si>
  <si>
    <t>Revestimentos de azulejos de cor, (15x15)cm, qualidade extra, inclusive a superfície chapiscada, emboçada com argamassa de cimento e saibro no traço 1:8, juntas corridas, com 2mm, assentes com nata de cimento comum e rejuntadas com pasta de cimento branco.(desonerado)</t>
  </si>
  <si>
    <t>RV 09.10.0106 (/)</t>
  </si>
  <si>
    <t>Revestimentos de azulejos de cor, (15x15)cm, 1ª qualidade, inclusive a superfície chapiscada, emboçada com argamassa de cimento e saibro no traço 1:8, juntas corridas ou alternadas, assentes com nata de cimento comum e rejuntadas com pasta de cimento branco.(desonerado)</t>
  </si>
  <si>
    <t>RV 09.15 Revestimentos Cerâmicos</t>
  </si>
  <si>
    <t>RV 09.15.0050 (/)</t>
  </si>
  <si>
    <t>Painel decorativo em mosaico de cerâmica, assente com argamassa Ciment-Cola sobre base devidamente nivelada e rejuntado com rejunte da Quartzolit ou similar, inclusive elaboração do projeto artístico.(desonerado)</t>
  </si>
  <si>
    <t>RV 09.15.0100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</si>
  <si>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acidulada.(desonerado)</t>
  </si>
  <si>
    <t>RV 09.15.0150 (/)</t>
  </si>
  <si>
    <t>Revestimento de paredes com cerâmica Cecrisa ou similar, linha mosaico na cor branca, de (10x10)cm, inclusive superfície chapiscada e assentes com argamassa de cimento, saibro e areia no traço1:3:3, rejuntadas com cimento branco e corante.(desonerado)</t>
  </si>
  <si>
    <t>RV 09.15.0153 (/)</t>
  </si>
  <si>
    <t>Revestimento de paredes com cerâmica Cecrisa ou similar, de (10x10)cm, inclusive superfície chapiscada e assentes com argamassa de cimento, saibro e areia no traço 1:3:3, rejuntadas com cimento branco e corante.(desonerado)</t>
  </si>
  <si>
    <t>RV 09.15.0200 (A)</t>
  </si>
  <si>
    <t>Revestimento de paredes com cerâmica Gail, coleção natural ou similar, de (11,60x11,60x0,09)cm, assentes com argamassa de cimento, cal e areia no traço 1:3:5, juntas reentrantes de 1cm de largura.(desonerado)</t>
  </si>
  <si>
    <t>RV 09.15.0203 (A)</t>
  </si>
  <si>
    <t>Revestimento de paredes com cerâmica Gail, coleção natural ou similar, de (24x11,60x0,09)cm, assentes com argamassa de cimento, cal e areia no traço 1:3:5, juntas reentrantes de 1cm de largura.(desonerado)</t>
  </si>
  <si>
    <t>RV 09.15.0250 (A)</t>
  </si>
  <si>
    <t>Revestimento de paredes com cerâmica Portobello ou similar, linha Vitreaux, de (7,5x7,5)cm, inclusive assentamento e rejunte com cimento branco e corante.(desonerado)</t>
  </si>
  <si>
    <t>RV 09.15.0253 (A)</t>
  </si>
  <si>
    <t>Revestimento de parede com cerâmica Portobello ou similar, linha Prisma, de (7,5x7,5)cm, inclusive a superfície chapiscada e emboçada com argamassa de cimento, saibro e areia no traço 1:3:3, assentadas e reajuntadas com pasta de cimento branco e corante.(desonerado)</t>
  </si>
  <si>
    <t>RV 09.15.0257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</si>
  <si>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colocação.(desonerado)</t>
  </si>
  <si>
    <t>RV 09.15.0260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</si>
  <si>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colocação.(desonerado)</t>
  </si>
  <si>
    <t>RV 09.15.0300 (A)</t>
  </si>
  <si>
    <t>Revestimento com pastilha de porcelana de (4x4)cm, Jatobá de 1ª qualidade referência JR-3204 ou similar, inclusive chapisco, emboço com argamassa de cimento, areia e saibro no traço 1:2:2, assentes e rejuntadas com nata de cimento branco.  Fornecimento e assentamento.(desonerado)</t>
  </si>
  <si>
    <t>RV 09.15.0320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</si>
  <si>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colocação.(desonerado)</t>
  </si>
  <si>
    <t>RV 09.15.0330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</si>
  <si>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colocação.(desonerado)</t>
  </si>
  <si>
    <t>RV 09.15.0350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</si>
  <si>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branco.(desonerado)</t>
  </si>
  <si>
    <t>RV 09.15.0400 (A)</t>
  </si>
  <si>
    <t>Revestimento com pastilha de vidro Murvi, referência E-42, (2x2)cm, inclusive a superfície chapiscada, emboçada com argamassa de cimento e saibro no traço 1:4, assentadas e rejuntadas com pasta de cimento branco.  Fornecimento e assentamento.(desonerado)</t>
  </si>
  <si>
    <t>RV 09.15.0420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</si>
  <si>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assentamento.(desonerado)</t>
  </si>
  <si>
    <t>RV 09.15.0423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</si>
  <si>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assentamento.(desonerado)</t>
  </si>
  <si>
    <t>RV 09.15.0430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</si>
  <si>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assentamento.(desonerado)</t>
  </si>
  <si>
    <t>RV 09.15.0433 (/)</t>
  </si>
  <si>
    <t>Revestimento com pastilha de vidro VitroColori ou similar, nas cores azul e branco, (5x5)cm, inclusive a superfície chapiscada, emboçada com argamassa de cimento e saibro no traço 1:4, assentadas e rejuntadas com pasta de cimento branco.  Fornecimento e assentamento.(desonerado)</t>
  </si>
  <si>
    <t>RV 09.15.0450 (A)</t>
  </si>
  <si>
    <t>Revestimento com pastilhas cerâmicas foscas, (2,5x2,5)cm, inclusive a superfície chapiscada, emboçada com argamassa de cimento e saibro no traço 1:4, assentadas e rejuntadas com pasta de cimento branco.(desonerado)</t>
  </si>
  <si>
    <t>RV 09.15.0500 (A)</t>
  </si>
  <si>
    <t>Revestimento com pastilha de porcelana de (4x4)cm, Jatobá de 1 qualidade referência JC 1810 ou similar, inclusive chapisco, emboço com argamassa de cimento , areia e saibro no traço 1:2:2, assentes e rejuntadas com nata de cimento branco.  Fornecimento e assentamento.(desonerado)</t>
  </si>
  <si>
    <t>RV 09.20 Revestimentos de Madeira</t>
  </si>
  <si>
    <t>RV 09.20.0050 (/)</t>
  </si>
  <si>
    <t>Chapa de Celotex ou similar, nas dimensões de (1,22 x 2,44)m - 2,98m², espessura de 12mm.  Fornecimento.(desonerado)</t>
  </si>
  <si>
    <t>RV 09.20.0100 (/)</t>
  </si>
  <si>
    <t>Chapa de Duratex ou similar, nas dimensões de (1,22 x 2,75)m - 3,36m², lisa, espessura de 3,2mm.  Fornecimento.(desonerado)</t>
  </si>
  <si>
    <t>RV 09.20.0103 (/)</t>
  </si>
  <si>
    <t>Chapa de Duratex ou similar, nas dimensões de (1,22 x 2,75)m - 3,36m², espessura de 3mm, perfurado. Fornecimento.(desonerado)</t>
  </si>
  <si>
    <t>RV 09.20.0200 (A)</t>
  </si>
  <si>
    <t>Lambri em madeira maciça com folheado de madeira, nas dimensões de 3m de comprimento, 0,10m de largura e espessura de 0,01m, encaixe macho e fêmea, com acabamento em verniz fosco semelhante ao encerado, exclusive transporte.  Fornecimento e montagem.(desonerado)</t>
  </si>
  <si>
    <t>RV 09.25 Revestimentos com Mármores e Granitos</t>
  </si>
  <si>
    <t>RV 09.25.0051 (/)</t>
  </si>
  <si>
    <t>Chapim ou espelho de mármore branco com (3x12 a 18)cm, com 2 polimentos, assentes com argamassa de cimento, saibro e areia no traço 1:2:2 e nata de cimento.(desonerado)</t>
  </si>
  <si>
    <t>RV 09.25.0100 (/)</t>
  </si>
  <si>
    <t>Peitoril de Mármore Branco Nacional, de (2x18)cm, com 2 polimentos, assentes com argamassa de cimento, saibro e areia no traço 1:2:2 e nata de cimento.(desonerado)</t>
  </si>
  <si>
    <t>RV 09.30 Forros</t>
  </si>
  <si>
    <t>RV 09.30.0060 (/)</t>
  </si>
  <si>
    <t>Chapa em MDF, na cor branca, uma face, madindo 2750 x 1840 x 6mm. Fornecimento e colocação(desonerado)</t>
  </si>
  <si>
    <t>RV 09.30.0100 (A)</t>
  </si>
  <si>
    <t>Forro de gesso estafe, em placas fundidas na obra, presas com 6 esbirros de sisal embebidos em nata de gesso, inclusive rejunte das placas e exclusive o emprego de andaimes. Fornecimento e colocação.(desonerado)</t>
  </si>
  <si>
    <t>RV 09.30.0103 (/)</t>
  </si>
  <si>
    <t>Forro falso de gesso, com placas pré-moldadas, de (60x60)cm, de encaixe, presas com 4 tirantes de arame e rejuntadas, exclusive o emprego de andaimes.  Fornecimento e colocação.(desonerado)</t>
  </si>
  <si>
    <t>RV 09.30.0200 (/)</t>
  </si>
  <si>
    <t>Forro de placas Fibraroc ou similar, de fabricação Eucatex ou similar, sobre perfis de ferro branco, suspensos por tirante.  Fornecimento e colocação.(desonerado)</t>
  </si>
  <si>
    <t>RV 09.30.0250 (A)</t>
  </si>
  <si>
    <t>Forro em réguas de madeira aparelhada, macho / fêmea, com (1x10)cm, pregados em sarrafos de madeira aparelhada, de (2x10)cm, espaçados de 50cm.  Fornecimento e colocação.(desonerado)</t>
  </si>
  <si>
    <t>RV 09.30.0256 (A)</t>
  </si>
  <si>
    <t>Forro em madeira tipo colméia, pregado em sarrafos de madeira aparelhada, de (2x10)cm, espaçadas de 50cm.  Fornecimento e colocação, inclusive envernizamento.(desonerado)</t>
  </si>
  <si>
    <t>RV 09.30.0300 (A)</t>
  </si>
  <si>
    <t>Forro em placa de PVC, na cor branca ou gelo, apoiado em perfis metálicos, presos ao teto por tirantes de arame.  Fornecimento e colocação.(desonerado)</t>
  </si>
  <si>
    <t>RV 09.35 Venezianas Verticais de Fachada em Fibro-Cimento (Brise Soleil)</t>
  </si>
  <si>
    <t>RV 09.35.0100 (/)</t>
  </si>
  <si>
    <t>Veneziana vertical (brise soleil) de chapa de fibro-cimento de 20mm de espessura, com 400mm de largura, fixado em cantoneiras de aço, aparafusadas e medida pela área colocada. Fornecimento e colocação.(desonerado)</t>
  </si>
  <si>
    <t>RV 09.40 Venezianas Verticais de Fachada em Alumínio (Brise Soleil)</t>
  </si>
  <si>
    <t>RV 09.40.0050 (/)</t>
  </si>
  <si>
    <t>Veneziana vertical (brise soleil) de chapa de alumínio, com 1,2mm de espessura, aparafusadas e medida pela área colocada. Fornecimento e colocação.(desonerado)</t>
  </si>
  <si>
    <t>RV 09.45 Revestimento de Fórmica e Melamínico</t>
  </si>
  <si>
    <t>RV 09.45.0050 (A)</t>
  </si>
  <si>
    <t>Revestimento de fórmica brilhante, de 1mm de espessura, sobre peças de madeira amplas, como portas, mesas, armários e prateleiras fundas.(desonerado)</t>
  </si>
  <si>
    <t>RV 09.45.0100 (/)</t>
  </si>
  <si>
    <t>Revestimento de fórmica texturizada, de 1,3mm de espessura, em paredes, sobre revestimento lixado e escovado.(desonerado)</t>
  </si>
  <si>
    <t>RV 09.45.0150 (A)</t>
  </si>
  <si>
    <t>Revestimento em painéis MRX-SMEL, melamínicos autoportantes, para uso sobre lâminas de chumbo, em salas radiológicas com sistema de estanqueidade dos Raios X e Gama.(desonerado)</t>
  </si>
  <si>
    <t>RV 09.50 Revestimentos Especiais</t>
  </si>
  <si>
    <t>RV 09.50.0015 (/)</t>
  </si>
  <si>
    <t>Recomposição de revestimento externo de pó-de-pedra, cimento portland e cal hidratada com adição de Rhopopás para consolidação.(desonerado)</t>
  </si>
  <si>
    <t>RV 09.50.0050 (/)</t>
  </si>
  <si>
    <t>Revestimento com barita fina e grossa, inclusive emboço na parede e exclusive chapisco.(desonerado)</t>
  </si>
  <si>
    <t>RV 09.50.0100 (/)</t>
  </si>
  <si>
    <t>Revestimento em paredes, em chapas de Duraplac ou Eucatex ou similar, de 3 mm de espessura, sobre base existente.  Fornecimento e colocação.(desonerado)</t>
  </si>
  <si>
    <t>RV 09.50.0150 (A)</t>
  </si>
  <si>
    <t>Revestimento de filme vinílico com 0,5mm de espessura, conforme projeto.  Fornecimento.(desonerado)</t>
  </si>
  <si>
    <t>RV 09.50.0203 (A)</t>
  </si>
  <si>
    <t>Revestimento de paredes com lençol de chumbo, 1mm de espessura, inclusive adesivos, solventes, parafusos, bucha e obturações de perfurações.  Fornecimento e instalação.(desonerado)</t>
  </si>
  <si>
    <t>RV 09.50.0209 (A)</t>
  </si>
  <si>
    <t>Revestimento de paredes com lençol de chumbo, 2mm de espessura, inclusive adesivos, solventes, parafusos, bucha e obturações de perfurações.  Fornecimento e instalação.(desonerado)</t>
  </si>
  <si>
    <t>RV 09.50.0212 (A)</t>
  </si>
  <si>
    <t>Revestimento de paredes com lençol de chumbo, 3mm de espessura, inclusive adesivos, solventes, parafusos, bucha e obturações de perfurações.  Fornecimento e instalação.(desonerado)</t>
  </si>
  <si>
    <t>RV 09.50.0250 (/)</t>
  </si>
  <si>
    <t>Revestimento texturizado fosco para uso externo sobre superfície camurçada ou concreto liso, com 2mm de espessura, executado com pó crepe ATB da Plasticôte ou similar, na cor indicada, sobre aditivo com 2 demãos de acabamento.(desonerado)</t>
  </si>
  <si>
    <t>RV 14.05 Pavimentações - Pisos e Contrapisos Cimentados</t>
  </si>
  <si>
    <t>RV 14.05.0050 (/)</t>
  </si>
  <si>
    <t>Base suporte, contrapiso ou camada regularizadora executada com argamassa de cimento e areia no traço 1:5, espessura de 1,5cm.(desonerado)</t>
  </si>
  <si>
    <t>RV 14.05.0053 (/)</t>
  </si>
  <si>
    <t>Base suporte, contrapiso ou camada regularizadora executada com argamassa de cimento e areia no traço 1:5, espessura de 2cm.(desonerado)</t>
  </si>
  <si>
    <t>RV 14.05.0056 (/)</t>
  </si>
  <si>
    <t>Base suporte, contrapiso ou camada regularizadora executada com argamassa de cimento e areia no traço 1:5, espessura de 2,5cm.(desonerado)</t>
  </si>
  <si>
    <t>RV 14.05.0059 (/)</t>
  </si>
  <si>
    <t>Base suporte, contrapiso ou camada regularizadora executada com argamassa de cimento e areia no traço 1:5, espessura de 3cm.(desonerado)</t>
  </si>
  <si>
    <t>RV 14.05.0062 (/)</t>
  </si>
  <si>
    <t>Base suporte, contrapiso ou camada regularizadora executada com argamassa de cimento e areia no traço 1:5, espessura de 3,5cm.(desonerado)</t>
  </si>
  <si>
    <t>RV 14.05.0100 (/)</t>
  </si>
  <si>
    <t>Base suporte ou contrapiso, executado com concreto magro, na espessura de 5cm, no traço 1:3:3, em volume, com juntas formando quadros de (1x1)m, com sarrafos de madeira serrada, incorporados, inclusive preparo do terreno, compactação do solo à maço.(desonerado)</t>
  </si>
  <si>
    <t>RV 14.05.0150 (/)</t>
  </si>
  <si>
    <t>Camada de brita 1, com espessura estimada em 3cm, espalhada manualmente.(desonerado)</t>
  </si>
  <si>
    <t>RV 14.05.0201 (A)</t>
  </si>
  <si>
    <t>Piso cimentado, acabamento áspero ou liso, com 1,5cm de espessura, com argamassa de cimento e areia no traço 1:3, sobre base existente.(desonerado)</t>
  </si>
  <si>
    <t>RV 14.05.0250 (A)</t>
  </si>
  <si>
    <t>Piso cimentado com corante, acabamento áspero ou liso, com 1,5cm de espessura, com argamassa de cimento e areia no traço 1:3, sobre base existente.(desonerado)</t>
  </si>
  <si>
    <t>RV 14.05.0300 (/)</t>
  </si>
  <si>
    <t>Piso cimentado, acabamento áspero ou liso, com juntas batidas formando quadros, com 1,5cm de espessura, com argamassa de cimento e areia no traço 1:3, alisado à colher, sobre base existente.(desonerado)</t>
  </si>
  <si>
    <t>RV 14.05.0351 (/)</t>
  </si>
  <si>
    <t>Piso cimentado impermeável, com 1,5cm de espessura, com argamassa de cimento e areia no traço 1:3 e impermeabilizante tipo Sika 1 ou similar, alisado à colher, sobre base existente.(desonerado)</t>
  </si>
  <si>
    <t>RV 14.05.0400 (/)</t>
  </si>
  <si>
    <t>Rodapé de cimento sobre alvenaria em osso, com (7x2)cm.(desonerado)</t>
  </si>
  <si>
    <t>RV 14.10 Recomposição de Piso Cimentado</t>
  </si>
  <si>
    <t>RV 14.10.0050 (A)</t>
  </si>
  <si>
    <t>Recomposição de piso cimentado, com argamassa de cimento e areia no traço 1:3, com 2cm de espessura, inclusive apicoamento do piso existente.(desonerado)</t>
  </si>
  <si>
    <t>RV 14.10.0100 (B)</t>
  </si>
  <si>
    <t>Recomposição de piso de concreto simples com resistência de 11MPa, com 8cm de espessura, inclusive demolição com equipamento de ar comprimido do piso existente.(desonerado)</t>
  </si>
  <si>
    <t>RV 14.15 Pisos Cerâmicos</t>
  </si>
  <si>
    <t>RV 14.15.0040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</si>
  <si>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corante.(desonerado)</t>
  </si>
  <si>
    <t>RV 14.15.0050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</si>
  <si>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corante.(desonerado)</t>
  </si>
  <si>
    <t>RV 14.15.0075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</si>
  <si>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colocação.(desonerado)</t>
  </si>
  <si>
    <t>RV 14.15.0081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</si>
  <si>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superaditivado da Eliane ou similar. Exclusive contrapiso. Fornecimento e colocação. (desonerado)</t>
  </si>
  <si>
    <t>RV 14.15.0100 (/)</t>
  </si>
  <si>
    <t>Piso em mosaico de azulejos de várias origens, com argamassa de cimento e areia, no traço 1:3, sobre base já existente.(desonerado)</t>
  </si>
  <si>
    <t>RV 14.15.0150 (A)</t>
  </si>
  <si>
    <t>Revestimento de piso, com cerâmica (20x20)cm, Cecrisa linha Stadium Jenel WH ou similar, assentes sobre superfícies osso com argamassa de cimento, saibro e areia no traço 1:2:3, rejuntados com cimento branco e corante.(desonerado)</t>
  </si>
  <si>
    <t>RV 14.15.0200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</si>
  <si>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superaditivado da Eliane ou similar. Exclusive contrapiso. Fornecimento e colocação. (desonerado)</t>
  </si>
  <si>
    <t>RV 14.15.0210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</si>
  <si>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 (desonerado)</t>
  </si>
  <si>
    <t>RV 14.17 Revestimentos de Porcelanatos</t>
  </si>
  <si>
    <t>RV 14.17.0500 (/)</t>
  </si>
  <si>
    <t>Revestimento de piso, porcelanato linha Progetto Dolman Nat, Portobello ou similar, de (45 x 45)cm assente sobre superfície em osso com argamassa de cimento, saibro e areia no traço 1:2:3, e rejuntado com rejunte E-flex de Portobello ou similar. Fornecimento e colocação.(desonerado)</t>
  </si>
  <si>
    <t>RV 14.17.0800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</si>
  <si>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colocação.(desonerado)</t>
  </si>
  <si>
    <t>RV 14.20 Pisos de Granito e Mármore</t>
  </si>
  <si>
    <t>RV 14.20.0100 (A)</t>
  </si>
  <si>
    <t>Assentamento de lajões ou placas de granito em calçadas de logradouros ou superfícies niveladas, com rejuntamento de argamassa de cimento e areia, no traço 1:3, exclusive o fornecimento das pedras.(desonerado)</t>
  </si>
  <si>
    <t>RV 14.20.0150 (A)</t>
  </si>
  <si>
    <t>Capa degrau de Mármore Branco Nacional de (3x28)cm, com 1 polimento, assentes com recobrimento de nata de cimento sobre argamassa de cimento, saibro e areia no traço 1:2:2.(desonerado)</t>
  </si>
  <si>
    <t>RV 14.20.0200 (/)</t>
  </si>
  <si>
    <t>Granito rústico em placas de (50x50)cm, espessura de 3 a 4cm, com corte manual. Fornecimento.(desonerado)</t>
  </si>
  <si>
    <t>RV 14.20.0250 (/)</t>
  </si>
  <si>
    <t>Placa de granito Cinza Andorinha, sem acabamento, com espessura de 2cm, para forração de piso.  Fornecimento.(desonerado)</t>
  </si>
  <si>
    <t>RV 14.20.0300 (A)</t>
  </si>
  <si>
    <t>Piso de  placas de Mármore Branco Nacional, com 2 polimentos, assentes com recobrimento de nata de cimento, saibro e areia no traço 1:2:2.(desonerado)</t>
  </si>
  <si>
    <t>RV 14.20.0350 (A)</t>
  </si>
  <si>
    <t>Revestimento com granito Capão Bonito, em placa de 2cm de espessura, acabamento polido, assentado sobre terreno nivelado, argamassa de cimento e areia no traço 1:3.  Fornecimento e colocação.(desonerado)</t>
  </si>
  <si>
    <t>RV 14.20.0353 (A)</t>
  </si>
  <si>
    <t>Revestimento com granito Capão Bonito, em placa de 2cm de espessura, acabamento apicoado, assentado sobre terreno nivelado, argamassa de cimento e areia no traço 1:3.  Fornecimento e colocação.(desonerado)</t>
  </si>
  <si>
    <t>RV 14.20.0400 (/)</t>
  </si>
  <si>
    <t>Revestimento de granito Cinza Andorinha, com acabamento serrado, para piso, em placas de (150x60x3)cm.  Fornecimento.(desonerado)</t>
  </si>
  <si>
    <t>RV 14.20.0403 (/)</t>
  </si>
  <si>
    <t>Revestimento de granito Cinza Andorinha, com acabamento serrado, para rodapé, com 7cm de altura e 2cm de espessura.  Fornecimento.(desonerado)</t>
  </si>
  <si>
    <t>RV 14.20.0406 (A)</t>
  </si>
  <si>
    <t>Revestimento com granito Cinza levigado, em placa de (40x40)cm, com 3cm de espessura, assentado sobre base existente, com argamassa de cimento e areia no traço de 1:3.  Fornecimento e colocação.(desonerado)</t>
  </si>
  <si>
    <t>RV 14.20.0409 (A)</t>
  </si>
  <si>
    <t>Revestimento com granito Cinza flameado, em placa de (40x40)cm, com 3cm de espessura, assentado sobre base existente, com argamassa de cimento e areia no traço de 1:3.  Fornecimento e colocação.(desonerado)</t>
  </si>
  <si>
    <t>RV 14.20.0412 (A)</t>
  </si>
  <si>
    <t>Revestimento com granito Cinza serrado e face natural, em placa de (40x40)cm classificado, com 3cm de espessura, assentado sobre base existente, com argamassa de cimento e areia no traço de 1:3.  Fornecimento e colocação.(desonerado)</t>
  </si>
  <si>
    <t>RV 14.20.0450 (A)</t>
  </si>
  <si>
    <t>Revestimento com granito Juparaná, em placa de (40x40)cm com 2cm de espessura, acabamento polido, para piso, assentes sobre argamassa de cimento, saibro e areia no traço 1:2:2.  Fornecimento e colocação.(desonerado)</t>
  </si>
  <si>
    <t>RV 14.20.0500 (A)</t>
  </si>
  <si>
    <t>Revestimento com granito Rosa flameado, em placa de (40x40)cm, com 3cm de espessura, assentado sobre base existente, com argamassa de cimento e areia no traço de 1:3.  Fornecimento e colocação.(desonerado)</t>
  </si>
  <si>
    <t>RV 14.20.0503 (A)</t>
  </si>
  <si>
    <t>Revestimento com granito Rosa levigado, em placa de (40x40)cm, com 3cm de espessura, assentado sobre base existente, com argamassa de cimento e areia no traço de 1:3.  Fornecimento e colocação.(desonerado)</t>
  </si>
  <si>
    <t>RV 14.20.0506 (A)</t>
  </si>
  <si>
    <t>Revestimento com granito Rosa serrado e face natural, em placa de (40x40)cm classificado, com 3cm de espessura, assentado sobre base existente, com argamassa de cimento e areia no traço de 1:3.  Fornecimento e colocação.(desonerado)</t>
  </si>
  <si>
    <t>RV 14.20.0550 (/)</t>
  </si>
  <si>
    <t>Rodapé de granito, boleado, com (10x2)cm.  Fornecimento e colocação.(desonerado)</t>
  </si>
  <si>
    <t>RV 14.20.0600 (/)</t>
  </si>
  <si>
    <t>Soleira de granito com (15x3)cm, assente com recobrimento de nata de cimento sobre argamassa de cimento e areia, no traço 1:2.(desonerado)</t>
  </si>
  <si>
    <t>RV 14.20.0650 (A)</t>
  </si>
  <si>
    <t>Soleira de Mármore Branco Nacional de (3x25)cm, com 2 polimentos, assentes com recobrimento de nata de cimento sobre argamassa de cimento, saibro e areia no traço 1:2:2.(desonerado)</t>
  </si>
  <si>
    <t>RV 14.20.0653 (A)</t>
  </si>
  <si>
    <t>Soleira de  Mármore Branco Nacional de (3x13)cm, com 2 polimentos, assentes com recobrimento de nata de cimento sobre argamassa de cimento, saibro e areia no traço 1:2:2.(desonerado)</t>
  </si>
  <si>
    <t>RV 14.20.0700 (A)</t>
  </si>
  <si>
    <t>Piso de granito apicoado Cinza Andorinha, sobre terreno nivelado, com argamassa de cimento e areia, no traço 1:3, sendo a peça de (40x40x3)cm.(desonerado)</t>
  </si>
  <si>
    <t>RV 14.25 Pisos de Concreto e Plaqueamento</t>
  </si>
  <si>
    <t>RV 14.25.0050 (/)</t>
  </si>
  <si>
    <t>Camada impermeabilizadora de piso, de concreto simples, com 8cm de espessura no traço de 1:3:4, em volume, com impermeabilizante Sika 1 ou similar.(desonerado)</t>
  </si>
  <si>
    <t>RV 14.25.0100 (C)</t>
  </si>
  <si>
    <t>Piso de concreto simples com resistencia de 15 MPa (traço em volume: 1:2 1/2:4), preparado em betoneira com 8cm de espessura, inclusive preparo manual do terreno.(desonerado)</t>
  </si>
  <si>
    <t>RV 14.25.0103 (A)</t>
  </si>
  <si>
    <t>Piso de concreto simples, 8cm de espessura, com resistência característica à compressão de 18Mpa, formando quadrados de (1,50x1,50)m de junta serrada, exclusive preparo de terreno.(desonerado)</t>
  </si>
  <si>
    <t>RV 14.25.0150 (/)</t>
  </si>
  <si>
    <t>Pátio de concreto, 8cm de espessura,no traço 1:3:3, em volume, formando quadros de (1,00x1,00)m, com sarrafos de madeira serrada, incorporados, exclusive preparo terreno.(desonerado)</t>
  </si>
  <si>
    <t>RV 14.25.0153 (/)</t>
  </si>
  <si>
    <t>Pátio de concreto, 10cm de espessura no traço 1:2:3, em volume, formando quadros de (1,50x1,50)m, com sarrafos de madeira serrada, incorporados, exclusive preparo terreno.(desonerado)</t>
  </si>
  <si>
    <t>RV 14.25.0156 (/)</t>
  </si>
  <si>
    <t>Pátio de concreto, 12cm de espessura no traço 1:2:2,5, em volume, formando quadros de (1,50x1,50)m, com sarrafos de madeira serrada, incorporados, exclusive preparo terreno.(desonerado)</t>
  </si>
  <si>
    <t>RV 14.25.0200 (B)</t>
  </si>
  <si>
    <t>Pavimentação em placas de (40x80x10)cm, de concreto (fck=11MPa) com armação de tela Telcon Q-61 ou similar, junta 2cm, inclusive preparo do terreno.(desonerado)</t>
  </si>
  <si>
    <t>RV 14.25.0203 (B)</t>
  </si>
  <si>
    <t>Pavimentação em placas de concreto Fck=15Mpa, medindo (40x80x10)cm, com armação de tela Telcon Q-61 ou similar, junta de 2cm, inclusive acabamento da placa no próprio concreto com desempenadora de aço e preparo do terreno.(desonerado)</t>
  </si>
  <si>
    <t>RV 14.25.0206 (B)</t>
  </si>
  <si>
    <t>Pavimentação em placas de concreto Fck=18Mpa, medindo (40x80x10)cm, com armação de tela Telcon Q-61 ou similar, junta de 2cm, inclusive acabamento da placa no próprio concreto com desempenadora de aço e preparo do terreno.(desonerado)</t>
  </si>
  <si>
    <t>RV 14.25.0250 (A)</t>
  </si>
  <si>
    <t>Revestimento com argamassa de cimento e areia no traço 1:4, Sikafix ou similar, com 2cm de espessura, inclusive chapisco.(desonerado)</t>
  </si>
  <si>
    <t>RV 14.30 Pisos de Marmorite e Outros</t>
  </si>
  <si>
    <t>RV 14.30.0050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</si>
  <si>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espelho.(desonerado)</t>
  </si>
  <si>
    <t>RV 14.30.0053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</si>
  <si>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espelho.(desonerado)</t>
  </si>
  <si>
    <t>RV 14.30.0100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</si>
  <si>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mecânicos.(desonerado)</t>
  </si>
  <si>
    <t>RV 14.30.0103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</si>
  <si>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mecânicos.(desonerado)</t>
  </si>
  <si>
    <t>RV 14.30.0150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</si>
  <si>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polimento.(desonerado)</t>
  </si>
  <si>
    <t>RV 14.30.0153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</si>
  <si>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polimento.(desonerado)</t>
  </si>
  <si>
    <t>RV 14.30.0200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</si>
  <si>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nesta.(desonerado)</t>
  </si>
  <si>
    <t>RV 14.30.0203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</si>
  <si>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nesta.(desonerado)</t>
  </si>
  <si>
    <t>RV 14.35 Juntas para Piso</t>
  </si>
  <si>
    <t>RV 14.35.0100 (/)</t>
  </si>
  <si>
    <t>Junta plástica (17x3)mm, para pisos contínuos.  Fornecimento e colocação.(desonerado)</t>
  </si>
  <si>
    <t>RV 14.38 Pisos de Alta Resistência</t>
  </si>
  <si>
    <t>RV 14.38.0050 (/)</t>
  </si>
  <si>
    <t>Degrau de escada de argamassa granítica Korodur, na cor granítica, inclusive 3 polimentos.(desonerado)</t>
  </si>
  <si>
    <t>RV 14.38.0053 (A)</t>
  </si>
  <si>
    <t>Degrau de escada de argamassa granítica Korodur, na cor preta, inclusive 3 polimentos.(desonerado)</t>
  </si>
  <si>
    <t>RV 14.38.0100 (/)</t>
  </si>
  <si>
    <t>Piso de argamassa granítica Korodur-PL ou similar, com espessura de 0,8cm, na cor natural do cimento, inclusive base suporte em argamassa de cimento e areia no traço 1:3, espessura de 2,2cm, e 3 polimentos mecânicos.(desonerado)</t>
  </si>
  <si>
    <t>RV 14.38.0103 (/)</t>
  </si>
  <si>
    <t>Piso de argamassa granítica Korodur-PL ou similar, com espessura de 0,8cm, na cor preta, inclusive base suporte em argamassa de cimento e areia no traço 1:3, espessura de 2,2cm, e polimentos mecânicos.(desonerado)</t>
  </si>
  <si>
    <t>RV 14.38.0150 (/)</t>
  </si>
  <si>
    <t>Piso de argamassa granítica com agregados metálicos de alta dureza, Korodur-WH ou similar, com espessura de 0,8cm, na cor natural do cimento, inclusive contrapiso de cimento e areia no traço 1:3, espessura de 3,2cm, e acabamento anti-derrapante.(desonerado)</t>
  </si>
  <si>
    <t>RV 14.38.0153 (/)</t>
  </si>
  <si>
    <t>Piso de argamassa granítica Korodur-PL ou similar, com espessura de 0,8cm, na cor vermelha, inclusive base suporte em argamassa de cimento e areia no traço 1:3, espessura de 2,2cm, junta plástica e polimentos mecânicos.(desonerado)</t>
  </si>
  <si>
    <t>RV 14.38.0200 (A)</t>
  </si>
  <si>
    <t>Revestimento de placas Pré-moldadas, vibro prensadas, constituídas de agregados minerais moídos de alta resistência e cimento estrutural, nas dimensões de (40x40x03)cm, assentado sobre base existente.  Fornecimento e colocação.(desonerado)</t>
  </si>
  <si>
    <t>RV 14.38.0250 (/)</t>
  </si>
  <si>
    <t>Rodapé de argamassa Korodur ou similar, com 10cm de altura, na cor natural do cimento, inclusive 3 polimentos.(desonerado)</t>
  </si>
  <si>
    <t>RV 14.38.0253 (A)</t>
  </si>
  <si>
    <t>Rodapé de argamassa Korodur ou similar, com 10cm de altura, na cor preta, inclusive 3 polimentos.(desonerado)</t>
  </si>
  <si>
    <t>RV 14.38.0256 (/)</t>
  </si>
  <si>
    <t>Rodapé de argamassa Korodur-WH ou similar, com 10cm de altura, na cor natural do cimento, acabamento desempenado.(desonerado)</t>
  </si>
  <si>
    <t>RV 14.40 Pisos Vinílicos</t>
  </si>
  <si>
    <t>RV 14.40.0051 (/)</t>
  </si>
  <si>
    <t>Piso vinílico nacional homogêneo, padrão com "flash" ou com "discretos veios", nas dimensões de (30x30)cm, espessura de 2,0mm, inclusive adesivo e tratamento com cera de Uretano fortificado, tipo Paviflex - linha Classic ou Intensity ou similar. Fornecimento e instalação.(desonerado)</t>
  </si>
  <si>
    <t>RV 14.40.0054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</si>
  <si>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colocação.(desonerado)</t>
  </si>
  <si>
    <t>RV 14.40.0103 (A)</t>
  </si>
  <si>
    <t>Piso vinílico nacional homogêneo, padrão "liso", nas dimensões de (30x30)cm, espessura de 2,0mm, inclusive adesivo e tratamento com cera de Uretano fortificado, tipo Paviflex - linha Chroma ou similar.  Fornecimento e colocação.(desonerado)</t>
  </si>
  <si>
    <t>RV 14.40.0110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</si>
  <si>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similar.(desonerado)</t>
  </si>
  <si>
    <t>RV 14.40.0151 (/)</t>
  </si>
  <si>
    <t>Piso vinílico nacional homogêneo, padrão com "flash" ou "discretos veios", nas dimensões (30x30)cm, espessura: 3,2mm, inclusive adesivo e tratamento com cera de uretano fortificado, tipo Paviflex - linha intensity ou similar. Fornecimento e colocação.(desonerado)</t>
  </si>
  <si>
    <t>RV 14.40.0200 (A)</t>
  </si>
  <si>
    <t>Suporte curvo e perfil de arremate para piso vinílico.  Fornecimento e colocação.(desonerado)</t>
  </si>
  <si>
    <t>RV 14.40.0201 (/)</t>
  </si>
  <si>
    <t>Piso vinílico nacional homogêneo, padrão "liso", nas dimensões de (30x30)cm, espessura de 3,2mm, inclusive adesivo e tratamento com cera de uretano fortificado, tipo Paviflex - Linha Chroma ou similar. Fornecimento e colocação.(desonerado)</t>
  </si>
  <si>
    <t>RV 14.40.0300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</si>
  <si>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colocação.(desonerado)</t>
  </si>
  <si>
    <t>RV 14.40.0350 (/)</t>
  </si>
  <si>
    <t>Piso vinílico nacional heterogêneo, padrão "pigmentado", nas dimensões (2,00x20,00)m, espessura de 2,0mm, inclusive adesivo, tratamento com cera de uretano fortificado e juntas soldadas a quente, tipo Absolute - Linha Totalsafe ou similar. Fornecimento e colocação.(desonerado)</t>
  </si>
  <si>
    <t>RV 14.40.0400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</si>
  <si>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colocação.(desonerado)</t>
  </si>
  <si>
    <t>RV 14.40.0425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</si>
  <si>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colocação.(desonerado)</t>
  </si>
  <si>
    <t>RV 14.40.0500 (/)</t>
  </si>
  <si>
    <t>Piso vinílico nacional homogêneo anti-estático, dissipador de energia, padrão "mesclado", nas dimensões de (61x61)cm, espessura de 2,0mm, resistência de 5x(10) 8 - 1x(10) 9 ohms, composto de fibras condutivas de carbono tipo Pavifloor - linha Elite ou similar.       (desonerado)</t>
  </si>
  <si>
    <t>RV 14.40.0550 (/)</t>
  </si>
  <si>
    <t>Piso vinílico nacional homogêneo condutivo, padrão "liso", nas dimensões de (61x61)cm, espessura de 2,0mm, resistência de 2,5x(10)4 - 1x(10)6 ohms, composto de fibras condutivas de carbono, tipo Traffic ELS ou similar. Fornecimento e colocação.(desonerado)</t>
  </si>
  <si>
    <t>RV 14.40.0600 (/)</t>
  </si>
  <si>
    <t>Cordão de solda para fusão a quente em juntas de pisos vinílicos flexíveis, tipo Absolute ou similar. Fornecimento e colocação.(desonerado)</t>
  </si>
  <si>
    <t>RV 14.40.0700 (/)</t>
  </si>
  <si>
    <t>Testeira de resina de PVC nas dimensões de (50x43)mm, espessura: 3,2mm, tipo Paviflex ou similar. Fornecimento e colocação.(desonerado)</t>
  </si>
  <si>
    <t>RV 14.45 Carpetes</t>
  </si>
  <si>
    <t>RV 14.45.0025 (/)</t>
  </si>
  <si>
    <t>Carpete de polipropileno, com filamento contínuo, construção Tufting, espessura total de 5mm, textura Bouclê Mescla, modelo Austin, na cor Sand 250, Tabacow ou similar.  Fornecimento.(desonerado)</t>
  </si>
  <si>
    <t>RV 14.45.0030 (/)</t>
  </si>
  <si>
    <t>Carpete de polipropileno, com superfície em nylon Rhodianyl, construção Tufting, espessura total de 8mm, textura aveludada, modelo Grand Nylon Plus, na cor bege rosado 243, Tabacow ou similar.  Fornecimento.(desonerado)</t>
  </si>
  <si>
    <t>RV 14.45.0050 (/)</t>
  </si>
  <si>
    <t>Forração de piso com carpete Carpete de fibra artificial sintética, com espessura de 4,5mm, Durafelti, São Carlos ou similar.(desonerado)</t>
  </si>
  <si>
    <t>RV 14.45.0100 (/)</t>
  </si>
  <si>
    <t>Forração de piso com carpete de nylon, com 6mm de espessura, sobre base existente.(desonerado)</t>
  </si>
  <si>
    <t>RV 14.45.0150 (/)</t>
  </si>
  <si>
    <t>Forração de piso com carpete de fibras de polipropileno e resinas sintéticas, agulhado vertical com relevo tipo Loop, 06 cores lisas, espessura de 5mm, peso 700g, em rolos de 2m de largura x 30m de comprimento.(desonerado)</t>
  </si>
  <si>
    <t>RV 14.50 Tapetes</t>
  </si>
  <si>
    <t>RV 14.50.0050 (A)</t>
  </si>
  <si>
    <t>RV 14.50.0100 (A)</t>
  </si>
  <si>
    <t>RV 14.50.0150 (A)</t>
  </si>
  <si>
    <t>Tapete em rolo, anti-alérgico e anti-estático, com espessura de 6mm, Avanti ou similar, modelo Carpett PP3000, na cor castor 8502.  Fornecimento e colocação.(desonerado)</t>
  </si>
  <si>
    <t>RV 14.55 Pisos de Madeira</t>
  </si>
  <si>
    <t>RV 14.55.0020 (/)</t>
  </si>
  <si>
    <t>Chapim em madeira aparelhada com largura de 0,40m.  Fornecimento.(desonerado)</t>
  </si>
  <si>
    <t>RV 14.55.0040 (A)</t>
  </si>
  <si>
    <t>Peças em madeira aparelhada de (120 x 35 x 3)cm, para forração de degraus.  Fornecimento.(desonerado)</t>
  </si>
  <si>
    <t>RV 14.55.0050 (C)</t>
  </si>
  <si>
    <t>Piso em réguas de madeira aparelhada (tábua corrida), com 10cm de largura, 2cm de espessura, pregado sobre réguas do mesmo material, embutidas em contrapiso, inclusive este.(desonerado)</t>
  </si>
  <si>
    <t>RV 14.55.0053 (A)</t>
  </si>
  <si>
    <t>Piso de tacos de madeira aparelhada, de (7 x 21)cm, pixados e incrustados com pedriscos, assentados em argamassa de cimento e saibro, traço 1:6, exclusive serviços de calafate.(desonerado)</t>
  </si>
  <si>
    <t>RV 14.57 Piso em Ladrilho Hidráulico</t>
  </si>
  <si>
    <t>RV 14.57.0100 (/)</t>
  </si>
  <si>
    <t>Piso em ladrilho hidráulico tratado 25 dados (20x20)cm, na cor cinza.  Fornecimento, assentamento e tratamento.(desonerado)</t>
  </si>
  <si>
    <t>RV 14.60 Pisos de Pedra Portuguesa</t>
  </si>
  <si>
    <t>RV 14.60.0050 (/)</t>
  </si>
  <si>
    <t>Pedra Portuguesa.  Fornecimento.(desonerado)</t>
  </si>
  <si>
    <t>RV 14.60.0100 (A)</t>
  </si>
  <si>
    <t>Piso de pedra portuguesa, conforme item RV 15.60.0150, incluindo base de concreto magro de 3cm de espessura.(desonerado)</t>
  </si>
  <si>
    <t>RV 14.60.0150 (/)</t>
  </si>
  <si>
    <t>Piso de pedra portuguesa, assentado sobre mistura de cimento e saibro no traço 1:5, inclusive acerto do terreno.  Fornecimento e colocação.(desonerado)</t>
  </si>
  <si>
    <t>RV 14.60.0200 (A)</t>
  </si>
  <si>
    <t>Piso de pedra portuguesa, em desenho simples, com aproximadamente 25% de pedra preta, 25% de pedra vermelha e 50% de pedra branca, assentado sobre mistura de cimento e saibro no traço 1:5, inclusive acerto do terreno.  Fornecimento e colocação.(desonerado)</t>
  </si>
  <si>
    <t>RV 14.60.0203 (/)</t>
  </si>
  <si>
    <t>Piso de pedra portuguesa, em desenho simples, com aproximadamente 40% de pedra preta e 60% de pedra branca, assentado sobre mistura de cimento e saibro no traço 1:5, inclusive acerto do terreno.  Fornecimento e colocação.(desonerado)</t>
  </si>
  <si>
    <t>RV 14.60.0250 (/)</t>
  </si>
  <si>
    <t>Piso de pedra portuguesa branca e preta, em faixa assentada sobre mistura de cimento e saibro no traço 1:5, inclusive acerto do terreno.  Fornecimento e colocação.(desonerado)</t>
  </si>
  <si>
    <t>RV 14.60.0253 (/)</t>
  </si>
  <si>
    <t>Piso de pedra portuguesa vermelha, em faixa assentada sobre mistura de cimento e saibro no traço 1:5, inclusive acerto de terreno.  Fornecimento e colocação.(desonerado)</t>
  </si>
  <si>
    <t>RV 14.65 Recomposição de Pedra Portuguesa</t>
  </si>
  <si>
    <t>RV 14.65.0050 (/)</t>
  </si>
  <si>
    <t>Recomposição de pavimentação de pedra portuguesa, assentada com farofa de cimento e saibro no traço 1:5, inclusive fornecimento do material para rejuntamento e exclusive a pedra.(desonerado)</t>
  </si>
  <si>
    <t>RV 14.70 Pisos de Borracha</t>
  </si>
  <si>
    <t>RV 14.70.0050 (A)</t>
  </si>
  <si>
    <t>Piso de borracha, em rolo de 1,40m de largura, superfície Grão de Arroz, espessura de 3,0mm, na cor preta, Mercur ou similar.  Fornecimento e colocação.(desonerado)</t>
  </si>
  <si>
    <t>RV 14.70.0150 (A)</t>
  </si>
  <si>
    <t>Piso de Plurigoma ou similar, pastilhado, de 3mm de espessura, placas de (50x50)cm, sobre base existente, com colocação.(desonerado)</t>
  </si>
  <si>
    <t>RV 14.75 Pisos de Ardósia</t>
  </si>
  <si>
    <t>RV 14.75.0050 (A)</t>
  </si>
  <si>
    <t>Piso de ardósia ferrugem, em placas de (25x25)cm, inclusive argamassa de assentamento com espessura de 3cm.  Fornecimento e colocação.(desonerado)</t>
  </si>
  <si>
    <t>RV 14.75.0100 (A)</t>
  </si>
  <si>
    <t>Piso de ardósia polida cinza, em placas de (40x40)cm, inclusive argamassa de assentamento com espessura de 3cm. Fornecimento e colocação.(desonerado)</t>
  </si>
  <si>
    <t>RV 14.80 Piso Elevado</t>
  </si>
  <si>
    <t>RV 14.80.0050 (/)</t>
  </si>
  <si>
    <t>Piso elevado Dimopiso ou similar, em placas de (60x60)cm com espessura de 40mm, estruturado por suportes telescópicos com altura de 20cm, revestido com Paviflex ou similar.  Fornecimento e colocação.(desonerado)</t>
  </si>
  <si>
    <t>RV 14.85 Piso de  pedra São Thomé</t>
  </si>
  <si>
    <t>RV 14.85.0050 (A)</t>
  </si>
  <si>
    <t>Piso de pedra São Thomé, em placas de (30x30)cm, (38x38)cm, (48x48)cm e (58x58)cm com espessura de 2cm, inclusive argamassa de assentamento com espessura de 3,0cm.  Fornecimento e colocação.(desonerado)</t>
  </si>
  <si>
    <t>RV 14.90 Pisos Sintéticos</t>
  </si>
  <si>
    <t>RV 14.90.0040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</si>
  <si>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colocação.(desonerado)</t>
  </si>
  <si>
    <t>RV 14.90.0100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</si>
  <si>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Fornecimento.(desonerado)</t>
  </si>
  <si>
    <t>RV 14.90.0103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</si>
  <si>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colocação.(desonerado)</t>
  </si>
  <si>
    <t>RV 14.90.0106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</si>
  <si>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colocação.(desonerado)</t>
  </si>
  <si>
    <t>RV 14.90.0109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</si>
  <si>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colocação.(desonerado)</t>
  </si>
  <si>
    <t>RV 14.90.0112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</si>
  <si>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colocação.(desonerado)</t>
  </si>
  <si>
    <t>RV 14.95 Pisos de Alerta</t>
  </si>
  <si>
    <t>RV 14.95.0050 (A)</t>
  </si>
  <si>
    <t>Piso de alerta em placas marmorizadas vibro-prensadas, Tecnogran ou similar, com acabamento rústico, na cor cinza, inclusive contrapiso com espessura de 3cm.  Fornecimento e colocação.(desonerado)</t>
  </si>
  <si>
    <t>RV 14.95.0053 (A)</t>
  </si>
  <si>
    <t>Piso de alerta em placas marmorizadas vibro-prensadas, Tecnogran ou similar, com acabamento rústico, na cor vermelha, inclusive contrapiso com espessura de 3cm.  Fornecimento e colocação.(desonerado)</t>
  </si>
  <si>
    <t>RV 14.95.0100 (/)</t>
  </si>
  <si>
    <t>Piso de sinalização porcelanato linha ARQTEC Go ou Stop, Eliane ou similar, na cor Amarela, com peças de 25 x 25cm.  Fornecimento e assentamento.(desonerado)</t>
  </si>
  <si>
    <t>RV 14.95.0150 (/)</t>
  </si>
  <si>
    <t>Piso de sinalização porcelanato linha ARQTEC Go ou Stop, Eliane ou similar, na cor Azul, com peças de 25 x 25cm.  Fornecimento e assentamento.(desonerado)</t>
  </si>
  <si>
    <t>RV 19.05 Acabamento em Superfície de Concreto</t>
  </si>
  <si>
    <t>RV 19.05.0050 (/)</t>
  </si>
  <si>
    <t>Acabamento de pedreiro em superfície de concreto projetado.(desonerado)</t>
  </si>
  <si>
    <t>RV 19.05.0150 (A)</t>
  </si>
  <si>
    <t>Estucamento de concreto aparente sendo a argamassa de cimento, cal e areia fina no traço 1:3:5, com espessura de 2mm, sobre superfície limpa.(desonerado)</t>
  </si>
  <si>
    <t>RV 19.05.0250 (/)</t>
  </si>
  <si>
    <t>Recomposição de camada de capeamento de concreto de pequenas espessuras em serviços de recuperação estrutural, exclusive o material.(desonerado)</t>
  </si>
  <si>
    <t>RV 24.05 Isolamento Térmico</t>
  </si>
  <si>
    <t>RV 24.05.0050 (A)</t>
  </si>
  <si>
    <t>Placa de isopor com 30mm de espessura.  Fornecimento.(desonerado)</t>
  </si>
  <si>
    <t>RV 24.10 Isolamento Acústico</t>
  </si>
  <si>
    <t>RV 24.10.0050 (A)</t>
  </si>
  <si>
    <t>Forro acústico Armstrong ou similar, tipo Cirrus RH 70, de (625x625)mm, perfil Javelin, para áreas superiores a 100m2, exclusive despesas com andaimes, fretes e estruturas auxiliares.  Fornecimento e colocação.(desonerado)</t>
  </si>
  <si>
    <t>RV 24.10.0053 (A)</t>
  </si>
  <si>
    <t>Forro acústico Armstrong ou similar, tipo Fine Fissured RH 90 Tegular, de (625x625)mm, perfil Javelin, para áreas superiores a 100m2, exclusives despesas com andaimes, fretes e estruturas auxiliares.  Fornecimento e colocação.(desonerado)</t>
  </si>
  <si>
    <t>RV 24.10.0100 (A)</t>
  </si>
  <si>
    <t>Forro acústico, em gesso cartonado, exclusive materiais de acabamento, despesas com andaimes e transporte.  Fornecimento e colocação.(desonerado)</t>
  </si>
  <si>
    <t>RV 24.10.0150 (A)</t>
  </si>
  <si>
    <t>Lã de vidro com  espessura de 1".  Fornecimento.(desonerado)</t>
  </si>
  <si>
    <t>RV 24.10.0200 (/)</t>
  </si>
  <si>
    <t>Painel Wall (Fibrowall) ou similar, para uso em alvenaria, em lã de vidro, na espessura de 40mm, com chapa nas dimensões de (1,20x2,10)m, na cor natural e elevação FW1 (painel cego).  Fornecimento.(desonerado)</t>
  </si>
  <si>
    <t>RV 24.10.0203 (/)</t>
  </si>
  <si>
    <t>Painel Wall (Fibrowall) ou similar, para uso em piso, em lã de vidro, maciço, na espessura de 40mm, com chapa nas dimensões de (1,20x2,50)m, na cor natural e elevação FW1 (painel cego).  Fornecimento.(desonerado)</t>
  </si>
  <si>
    <t>RV 24.10.0250 (A)</t>
  </si>
  <si>
    <t>Revestimento de paredes, 25mm de espessura, da Climatex ou similar.  Fornecimento e colocação.(desonerado)</t>
  </si>
  <si>
    <t>RV 24.10.0500 (/)</t>
  </si>
  <si>
    <t>Revestimento acustíco em espuma de polioretano 35mm de espessura, Sonex ou similar, na cor grafite. Fornecimento e colocação.(desonerado)</t>
  </si>
  <si>
    <t>RV 29.05 Rodapés</t>
  </si>
  <si>
    <t>RV 29.05.0025 (A)</t>
  </si>
  <si>
    <t>Rodapé de ardósia cinza polida, com 7 cm de altura, assente em pasta de cimento.  Fornecimento e colocação.(desonerado)</t>
  </si>
  <si>
    <t>RV 29.05.0050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</si>
  <si>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colocacao.(desonerado)</t>
  </si>
  <si>
    <t>RV 29.05.0100 (A)</t>
  </si>
  <si>
    <t>Rodapé cerâmico com 10 cm de altura, assente em pasta de cimento.  Fornecimento e colocação.(desonerado)</t>
  </si>
  <si>
    <t>RV 29.05.0200 (/)</t>
  </si>
  <si>
    <t>Rodapé de madeira aparelhada, com seção de (5 x 2)cm, pregado em tacos embutidos na alvenaria.(desonerado)</t>
  </si>
  <si>
    <t>RV 29.05.0250 (/)</t>
  </si>
  <si>
    <t>Rodapé de madeira aparelhada, com seção de (7 x 2)cm, pregado em tacos embutidos na alvenaria.(desonerado)</t>
  </si>
  <si>
    <t>RV 29.05.0500 (/)</t>
  </si>
  <si>
    <t>Rodapé de PVC tipo "plano" ou "curvo", h = 7,5cm, para pisos vinílicos, tipo Paviflex ou similar. Fornecimento e colocação.(desonerado)</t>
  </si>
  <si>
    <t>RV 29.05.0550 (/)</t>
  </si>
  <si>
    <t>Rodapé de PVC tipo hospitalar, "plano" e "curvo", h = 7,5cm, para pisos vinílicos, tipo Paviflex ou similar. Fornecimento e colocação.(desonerado)</t>
  </si>
  <si>
    <t>RV 29.05.1011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</si>
  <si>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colocação.(desonerado)</t>
  </si>
  <si>
    <t>SC 04.05 Demolição, Remoção e Arrancamento - Serviços Manuais</t>
  </si>
  <si>
    <t>SC 04.05.0050 (/)</t>
  </si>
  <si>
    <t>Arrancamento de aparelhos de iluminação, inclusive lâmpadas.(desonerado)</t>
  </si>
  <si>
    <t>SC 04.05.0100 (/)</t>
  </si>
  <si>
    <t>Arrancamento de aparelhos sanitários.(desonerado)</t>
  </si>
  <si>
    <t>SC 04.05.0150 (/)</t>
  </si>
  <si>
    <t>Arrancamento de bancada de pia ou banca seca de até 1m de altura por até 0,80m de largura.(desonerado)</t>
  </si>
  <si>
    <t>SC 04.05.0200 (/)</t>
  </si>
  <si>
    <t>Arrancamento de grades, gradis, alambrados, cercas e portões.(desonerado)</t>
  </si>
  <si>
    <t>SC 04.05.0250 (/)</t>
  </si>
  <si>
    <t>Arrancamento de meios-fios, de granito ou concreto retos ou curvos, inclusive afastamento lateral dentro do canteiro de serviço.(desonerado)</t>
  </si>
  <si>
    <t>SC 04.05.0300 (/)</t>
  </si>
  <si>
    <t>Arrancamento de paralelepípedos, inclusive afastamento lateral dentro do canteiro de serviço.(desonerado)</t>
  </si>
  <si>
    <t>SC 04.05.0350 (/)</t>
  </si>
  <si>
    <t>Arrancamento de portas, janelas e caixilhos de ar condicionado ou outros.(desonerado)</t>
  </si>
  <si>
    <t>SC 04.05.0400 (/)</t>
  </si>
  <si>
    <t>Arrancamento de tentos ou travessões, de granito ou concreto, inclusive afastamento lateral dentro do canteiro de serviço.(desonerado)</t>
  </si>
  <si>
    <t>SC 04.05.0450 (/)</t>
  </si>
  <si>
    <t>Arrancamento de tubos de concreto e manilhas cerâmicas com diâmetro de 0,10m a 0,30m, inclusive empilhamento lateral dentro do canteiro de serviço.(desonerado)</t>
  </si>
  <si>
    <t>SC 04.05.0500 (/)</t>
  </si>
  <si>
    <t>Arrancamento de tubos de concreto e manilhas cerâmicas com diâmetro de 0,40m a 0,60m, inclusive empilhamento lateral dentro do canteiro de serviço.(desonerado)</t>
  </si>
  <si>
    <t>SC 04.05.0550 (/)</t>
  </si>
  <si>
    <t>Arrancamento de tubulação de ferro galvanizado, sem escavação ou rasgo em alvenaria.(desonerado)</t>
  </si>
  <si>
    <t>SC 04.05.0601 (/)</t>
  </si>
  <si>
    <t>Demolição manual de alvenaria de pedra argamassada, inclusive empilhamento lateral dentro do canteiro de serviço.(desonerado)</t>
  </si>
  <si>
    <t>SC 04.05.0650 (/)</t>
  </si>
  <si>
    <t>Demolição manual de alvenaria de pedra seca, inclusive empilhamento dentro do canteiro de serviço.(desonerado)</t>
  </si>
  <si>
    <t>SC 04.05.0700 (A)</t>
  </si>
  <si>
    <t>Demolição manual de alvenaria de tijolos furados, inclusive empilhamento dentro do canteiro de serviço.(desonerado)</t>
  </si>
  <si>
    <t>SC 04.05.0750 (A)</t>
  </si>
  <si>
    <t>Demolição manual de alvenaria de tijolos maciços inclusive empilhamento dentro do canteiro de serviço.(desonerado)</t>
  </si>
  <si>
    <t>SC 04.05.0800 (A)</t>
  </si>
  <si>
    <t>Demolição manual de base suporte, contrapiso, camada regularizadora ou de assentamento de tacos, cerâmicas e azulejos, exclusive estes revestimentos.(desonerado)</t>
  </si>
  <si>
    <t>SC 04.05.0850 (/)</t>
  </si>
  <si>
    <t>Demolição manual de concreto simples com empilhamento lateral dentro do canteiro do serviço.(desonerado)</t>
  </si>
  <si>
    <t>SC 04.05.0900 (/)</t>
  </si>
  <si>
    <t>Demolição manual de concreto armado estando as peças em posição espacial sobre o terreno ou plano horizontal de trabalho, inclusive o empilhamento lateral dentro do canteiro.(desonerado)</t>
  </si>
  <si>
    <t>SC 04.05.0950 (/)</t>
  </si>
  <si>
    <t>Demolição manual de concreto armado compreendendo pilares, vigas e lajes, em estrutura apresentando posição espacial, inclusive empilhamento lateral dentro do canteiro.(desonerado)</t>
  </si>
  <si>
    <t>SC 04.05.1000 (/)</t>
  </si>
  <si>
    <t>Demolição de divisórias de placas de marmorite.(desonerado)</t>
  </si>
  <si>
    <t>SC 04.05.1050 (/)</t>
  </si>
  <si>
    <t>Demolição de filme (película) de impermeabilização e respectiva tela de poliéster tipo Denver ou similar, Hey'di Cryl ou similar.(desonerado)</t>
  </si>
  <si>
    <t>SC 04.05.1100 (/)</t>
  </si>
  <si>
    <t>Demolição manual de pavimentação de concreto asfaltico de 5cm de espessura.(desonerado)</t>
  </si>
  <si>
    <t>SC 04.05.1150 (/)</t>
  </si>
  <si>
    <t>Demolição manual de pavimentação de macadame betuminoso, inclusive afastamento lateral dentro do canteiro de serviço.(desonerado)</t>
  </si>
  <si>
    <t>SC 04.05.1200 (/)</t>
  </si>
  <si>
    <t>Demolição manual de piso de alta resistência tipo Marmorite, Oxicret, Korodur ou similar.(desonerado)</t>
  </si>
  <si>
    <t>SC 04.05.1250 (/)</t>
  </si>
  <si>
    <t>Demolição manual de piso cimentado, exclusive a base de concreto, inclusive empilhamento lateral dentro do canteiro de serviço.(desonerado)</t>
  </si>
  <si>
    <t>SC 04.05.1300 (/)</t>
  </si>
  <si>
    <t>Demolição manual de piso cimentado e da respectiva base de concreto, ou passeio de concreto, inclusive afastamento lateral dentro do canteiro de serviço.(desonerado)</t>
  </si>
  <si>
    <t>SC 04.05.1350 (/)</t>
  </si>
  <si>
    <t>Demolição de piso de ladrilho cerâmico, inclusive argamassa do contrapiso com até 5cm de espessura.(desonerado)</t>
  </si>
  <si>
    <t>SC 04.05.1400 (/)</t>
  </si>
  <si>
    <t>Demolição de revestimento em argamassa de cal e areia ou cimento e saibro.(desonerado)</t>
  </si>
  <si>
    <t>SC 04.05.1450 (/)</t>
  </si>
  <si>
    <t>Demolição de revestimento em azulejos, cerâmicas, mármores ou lambris.(desonerado)</t>
  </si>
  <si>
    <t>SC 04.05.1500 (/)</t>
  </si>
  <si>
    <t>Demolição de revestimento em argamassa de cimento e areia em parede.(desonerado)</t>
  </si>
  <si>
    <t>SC 04.05.1550 (/)</t>
  </si>
  <si>
    <t>Demolição de revestimento de argamassa de cimento e areia em reservatórios ou em superfícies de concreto, inclusive limpeza com escovão de aço, exclusive jato de água ou ar.(desonerado)</t>
  </si>
  <si>
    <t>SC 04.05.1600 (/)</t>
  </si>
  <si>
    <t>Demolição de revestimento de soleiras, peitoris ou escadas.(desonerado)</t>
  </si>
  <si>
    <t>SC 04.05.1650 (/)</t>
  </si>
  <si>
    <t>Demolição de rodapé de alta resistência, tipo Marmorite, Oxicret ou Korodur ou similar.(desonerado)</t>
  </si>
  <si>
    <t>SC 04.05.1700 (/)</t>
  </si>
  <si>
    <t>Recolocação de tacos soltos usando pixe, pedrisco e argamassa de cimento e saibro no traço 1:6 com remoção de base existente.(desonerado)</t>
  </si>
  <si>
    <t>SC 04.05.1750 (/)</t>
  </si>
  <si>
    <t>Remoção de armários, balcões construídos com compensado de madeira.(desonerado)</t>
  </si>
  <si>
    <t>SC 04.05.1800 (/)</t>
  </si>
  <si>
    <t>Remoção de calhas e condutores.(desonerado)</t>
  </si>
  <si>
    <t>SC 04.05.1850 (/)</t>
  </si>
  <si>
    <t>Remoção cuidadosa da camada de capeamento de concreto armado visando a exposição da armadura, usando cinzel e ponteiro.(desonerado)</t>
  </si>
  <si>
    <t>SC 04.05.1900 (/)</t>
  </si>
  <si>
    <t>Remoção de cobertura de chapas onduladas de alumínio, medida em projeção horizontal, exclusive madeiramento.(desonerado)</t>
  </si>
  <si>
    <t>SC 04.05.1950 (/)</t>
  </si>
  <si>
    <t>Remoção de cobertura de telhas de alumínio, exclusive suporte, estrutura ou madeiramento, medida pela projeção horizontal.(desonerado)</t>
  </si>
  <si>
    <t>SC 04.05.2000 (/)</t>
  </si>
  <si>
    <t>Remoção de cobertura de telha colonial, medida em projeção horizontal, exclusive madeiramento.(desonerado)</t>
  </si>
  <si>
    <t>SC 04.05.2050 (/)</t>
  </si>
  <si>
    <t>Remoção de cobertura de telha colonial, inclusive madeiramento, medido o conjunto em projeção horizontal.(desonerado)</t>
  </si>
  <si>
    <t>SC 04.05.2100 (/)</t>
  </si>
  <si>
    <t>Remoção de cobertura de telha francesa, medida em projeção horizontal, exclusive madeiramento.(desonerado)</t>
  </si>
  <si>
    <t>SC 04.05.2150 (/)</t>
  </si>
  <si>
    <t>Remoção de cobertura de telha francesa, inclusive madeiramento, medido o conjunto em projeção horizontal.(desonerado)</t>
  </si>
  <si>
    <t>SC 04.05.2200 (/)</t>
  </si>
  <si>
    <t>Remoção de cobertura de telha de fibro-cimento convencional ondulada, medida em projeção horizontal, exclusive madeiramento.(desonerado)</t>
  </si>
  <si>
    <t>SC 04.05.2250 (/)</t>
  </si>
  <si>
    <t>Remoção de cobertura de telha fibro-cimento, tipo calha 43 ou 49 ou similar, medida em projeção horizontal, exclusive o madeiramento.(desonerado)</t>
  </si>
  <si>
    <t>SC 04.05.2300 (/)</t>
  </si>
  <si>
    <t>Remoção de cobertura de telha de fibro-cimento, tipo calha 43 ou 49 ou similar, medido o conjunto em projeção horizontal, inclusive madeiramento.(desonerado)</t>
  </si>
  <si>
    <t>SC 04.05.2350 (/)</t>
  </si>
  <si>
    <t>Remoção de cobertura de telha fibro-cimento, tipo calha 90 ou metálica tipo Tekno ou similar, medida em projeção horizontal, exclusive madeiramento.(desonerado)</t>
  </si>
  <si>
    <t>SC 04.05.2400 (/)</t>
  </si>
  <si>
    <t>Remoção de cobertura de telha de fibro-cimento, tipo calha 90, ou metálica tipo Tekno ou similar, medido o conjunto em projeção horizontal, inclusive madeiramento.(desonerado)</t>
  </si>
  <si>
    <t>SC 04.05.2450 (/)</t>
  </si>
  <si>
    <t>Remoção de cobertura de telha de fibro-cimento convencional, ondulada, inclusive madeiramento medindo o conjunto em projeção horizontal.(desonerado)</t>
  </si>
  <si>
    <t>SC 04.05.2500 (/)</t>
  </si>
  <si>
    <t>Remoção de divisórias de madeira, Eucatex, Duratex ou similar.(desonerado)</t>
  </si>
  <si>
    <t>SC 04.05.2550 (/)</t>
  </si>
  <si>
    <t>Remoção cuidadosa de camada de proteção de impermeabilização.(desonerado)</t>
  </si>
  <si>
    <t>SC 04.05.2600 (/)</t>
  </si>
  <si>
    <t>Retirada de impermeabilização flexível (asfalto, Igol, etc.), inclusive afastamento lateral, dentro do canteiro de serviço; exclusive camada de proteção.(desonerado)</t>
  </si>
  <si>
    <t>SC 04.05.2650 (/)</t>
  </si>
  <si>
    <t>Remoção de forro de estuque.(desonerado)</t>
  </si>
  <si>
    <t>SC 04.05.2700 (/)</t>
  </si>
  <si>
    <t>Remoção de forro de frisos de madeira, Eucatex ou similar ou tábuas, exclusive o engradamento.(desonerado)</t>
  </si>
  <si>
    <t>SC 04.05.2750 (/)</t>
  </si>
  <si>
    <t>Remoção de frisos de assoalho.(desonerado)</t>
  </si>
  <si>
    <t>SC 04.05.2800 (/)</t>
  </si>
  <si>
    <t>Remoção de leito filtrante.(desonerado)</t>
  </si>
  <si>
    <t>SC 04.05.2850 (/)</t>
  </si>
  <si>
    <t>Remoção de madeiramento de cobertura de telhas francesas.(desonerado)</t>
  </si>
  <si>
    <t>SC 04.05.2900 (/)</t>
  </si>
  <si>
    <t>Remoção manual de passeio de pedra portuguesa, inclusive farofa ou colchão de assentamento com até 5cm de espessura.(desonerado)</t>
  </si>
  <si>
    <t>SC 04.05.2950 (/)</t>
  </si>
  <si>
    <t>Remoção manual de pavimentação de lajões de granito em passeio, inclusive farofa ou colchão de assentamento com até 5cm de espessura.(desonerado)</t>
  </si>
  <si>
    <t>SC 04.05.3000 (/)</t>
  </si>
  <si>
    <t>Remoção manual de pavimentação tipo Blokret ou similar, inclusive farofa ou colchão de assentamento com até 5cm de espessura.(desonerado)</t>
  </si>
  <si>
    <t>SC 04.05.3050 (/)</t>
  </si>
  <si>
    <t>Remoção de peitoris.(desonerado)</t>
  </si>
  <si>
    <t>SC 04.05.3100 (A)</t>
  </si>
  <si>
    <t>Remoção de piso de tacos, inclusive argamassa do contrapiso até 5cm de espessura.(desonerado)</t>
  </si>
  <si>
    <t>SC 04.05.3150 (/)</t>
  </si>
  <si>
    <t>Remoção de placas de revestimento Paviflex ou similar, inclusive a remoção do resíduo de cola com escovão de aço, espátula e/ou palha de aço.(desonerado)</t>
  </si>
  <si>
    <t>SC 04.05.3200 (/)</t>
  </si>
  <si>
    <t>Remoção de tapete de nylon ou carpete colado no piso e retirada do resíduo de cola com espátula ou palha de aço.(desonerado)</t>
  </si>
  <si>
    <t>SC 04.05.3250 (/)</t>
  </si>
  <si>
    <t>Remoção de tubulação de ferro fundido com diâmetro nominal de 50mm a 300mm, exclusive escavação e reaterro.(desonerado)</t>
  </si>
  <si>
    <t>SC 04.05.3300 (/)</t>
  </si>
  <si>
    <t>Remoção de tubulação de ferro fundido com diâmetro nominal de 400mm a 600mm, exclusive escavação e reaterro.(desonerado)</t>
  </si>
  <si>
    <t>SC 04.05.3350 (/)</t>
  </si>
  <si>
    <t>Remoção de tubulação de ferro fundido com diâmetro nominal de 700mm a 1200mm, exclusive escavação e reaterro.(desonerado)</t>
  </si>
  <si>
    <t>SC 04.05.3400 (/)</t>
  </si>
  <si>
    <t>Remoção de tubo de concreto com diâmetro nominal acima de 1500mm.(desonerado)</t>
  </si>
  <si>
    <t>SC 04.10 Demolição e Arrancamento - Serviço com Equipamento</t>
  </si>
  <si>
    <t>SC 04.10.0050 (/)</t>
  </si>
  <si>
    <t>Arrancamento de tampão de ferro fundido (tampa e colar).(desonerado)</t>
  </si>
  <si>
    <t>SC 04.10.0100 (/)</t>
  </si>
  <si>
    <t>Demolição, com equipamento de ar comprimido, de passeio cimentado com espessura até 10cm, inclusive afastamento lateral dentro do canteiro de serviços.(desonerado)</t>
  </si>
  <si>
    <t>SC 04.10.0150 (/)</t>
  </si>
  <si>
    <t>Demolição, com equipamento de ar comprimido, de pisos ou pavimento de concreto simples, inclusive afastamento lateral dentro de canteiro de serviços.(desonerado)</t>
  </si>
  <si>
    <t>SC 04.10.0200 (/)</t>
  </si>
  <si>
    <t>Demolição, com equipamento de ar comprimido, de pavimentação de concreto simples, com 15cm de espessura, inclusive afastamento lateral dentro do canteiro de serviços.(desonerado)</t>
  </si>
  <si>
    <t>SC 04.10.0250 (/)</t>
  </si>
  <si>
    <t>Demolição, com equipamento de ar comprimido, de pavimentação de concreto simples, com 20cm de espessura, inclusive afastamento lateral dentro do canteiro de serviços.(desonerado)</t>
  </si>
  <si>
    <t>SC 04.10.0300 (/)</t>
  </si>
  <si>
    <t>Demolição, com equipamento de ar comprimido, de pisos ou pavimento de concreto armado, inclusive afastamento lateral dentro de canteiro de serviços.(desonerado)</t>
  </si>
  <si>
    <t>SC 04.10.0350 (/)</t>
  </si>
  <si>
    <t>Demolição, com equipamento de ar comprimido, de pavimentação de concreto asfáltico, com 5cm de espessura, inclusive afastamento lateral dentro do canteiro de serviços.(desonerado)</t>
  </si>
  <si>
    <t>SC 04.10.0400 (/)</t>
  </si>
  <si>
    <t>Demolição, com equipamento de ar comprimido, de pavimentação de concreto asfáltico, com 10cm de espessura, inclusive afastamento lateral dentro do canteiro de serviços.(desonerado)</t>
  </si>
  <si>
    <t>SC 04.10.0450 (/)</t>
  </si>
  <si>
    <t>Demolição, com equipamento de ar comprimido, de pavimentação de concreto asfáltico, com 5cm de espessura, em faixas de até 1,20m de largura, inclusive afastamento lateral dentro do canteiro de serviços.(desonerado)</t>
  </si>
  <si>
    <t>SC 04.10.0500 (/)</t>
  </si>
  <si>
    <t>Demolição, com equipamento de ar comprimido, de pavimentação de concreto asfáltico, com 10cm de espessura, em faixas de até 1,20m de largura, inclusive afastamento lateral dentro do canteiro de serviços.(desonerado)</t>
  </si>
  <si>
    <t>SC 04.10.0550 (/)</t>
  </si>
  <si>
    <t>Demolição, com equipamento de ar comprimido, de massas de concreto simples, exceto pisos ou pavimentos, inclusive afastamento lateral dentro do canteiro de serviços.(desonerado)</t>
  </si>
  <si>
    <t>SC 04.10.0600 (/)</t>
  </si>
  <si>
    <t>Demolição, com equipamento de ar comprimido, de massas de concreto armado, exceto pisos ou pavimentos, inclusive afastamento lateral dentro do canteiro de serviços.(desonerado)</t>
  </si>
  <si>
    <t>SC 04.10.0650 (/)</t>
  </si>
  <si>
    <t>Demolição cuidadosa, com equipamento de ar comprimido, de concreto armado, visando à exposição ou retirada de armadura.(desonerado)</t>
  </si>
  <si>
    <t>SC 04.15 Retirada de Escombros</t>
  </si>
  <si>
    <t>SC 04.15.0050 (A)</t>
  </si>
  <si>
    <t>Calha fechada, de tábuas de madeira serrada, com seção de (0,45 x 0,45)m, para descida de escombros, com aproveitamento da madeira 2 vezes, com colocação.(desonerado)</t>
  </si>
  <si>
    <t>SC 04.15.0100 (A)</t>
  </si>
  <si>
    <t>Descida de escombros por calhas fechadas, de tábuas de Pinho de 3ª ou similar.(desonerado)</t>
  </si>
  <si>
    <t>SC 04.15.0150 (A)</t>
  </si>
  <si>
    <t>Ensacamento e transporte de escombros em sacos plásticos, desde um pavimento elevado até o térreo, utilizando elevador.(desonerado)</t>
  </si>
  <si>
    <t>SC 04.15.0200 (A)</t>
  </si>
  <si>
    <t>Ensacamento e transporte de escombros em sacos plásticos, desde um pavimento elevado até o térreo, utilizando a escada do prédio.(desonerado)</t>
  </si>
  <si>
    <t>SC 04.20 Apicoamento e Furação de Concreto</t>
  </si>
  <si>
    <t>SC 04.20.0051 (/)</t>
  </si>
  <si>
    <t>Apicoamento manual de concreto, em superfícies horizontais (pisos), inclusive correção de falhas.(desonerado)</t>
  </si>
  <si>
    <t>SC 04.20.0101 (/)</t>
  </si>
  <si>
    <t>Apicoamento manual de concreto, em superfícies horizontais (tetos), inclusive correção de falhas.(desonerado)</t>
  </si>
  <si>
    <t>SC 04.20.0151 (/)</t>
  </si>
  <si>
    <t>Apicoamento manual de concreto, em superfícies verticais, inclusive correção de falhas.(desonerado)</t>
  </si>
  <si>
    <t>SC 04.20.0200 (/)</t>
  </si>
  <si>
    <t>Furação de concreto, a ponteiro, tendo o furo de (5x5x7)cm.(desonerado)</t>
  </si>
  <si>
    <t>SC 04.20.0250 (/)</t>
  </si>
  <si>
    <t>Furação de concreto, a ponteiro, tendo o furo (10x10x15)cm.(desonerado)</t>
  </si>
  <si>
    <t>SC 04.20.0300 (/)</t>
  </si>
  <si>
    <t>Perfuração de concreto com perfuratriz pneumática.(desonerado)</t>
  </si>
  <si>
    <t>SC 09.05 Mão-de-Obra</t>
  </si>
  <si>
    <t>SC 09.05.0050 (/)</t>
  </si>
  <si>
    <t>Ajudante de montador eletromecânico (inclusive encargos sociais).(desonerado)</t>
  </si>
  <si>
    <t>SC 09.05.0150 (/)</t>
  </si>
  <si>
    <t>Arboricultor (inclusive encargos sociais).(desonerado)</t>
  </si>
  <si>
    <t>SC 09.05.0200 (/)</t>
  </si>
  <si>
    <t>Armador de construção civil (inclusive encargos sociais).(desonerado)</t>
  </si>
  <si>
    <t>SC 09.05.0250 (/)</t>
  </si>
  <si>
    <t>Bombeiro hidráulico (inclusive encargos sociais).(desonerado)</t>
  </si>
  <si>
    <t>SC 09.05.0300 (/)</t>
  </si>
  <si>
    <t>Calceteiro (inclusive encargos sociais).(desonerado)</t>
  </si>
  <si>
    <t>SC 09.05.0350 (/)</t>
  </si>
  <si>
    <t>Carpinteiro de forma (inclusive encargos sociais).(desonerado)</t>
  </si>
  <si>
    <t>SC 09.05.0400 (/)</t>
  </si>
  <si>
    <t>Carpinteiro de esquadrias (inclusive encargos sociais).(desonerado)</t>
  </si>
  <si>
    <t>SC 09.05.0450 (/)</t>
  </si>
  <si>
    <t>Eletricista (inclusive encargos sociais).(desonerado)</t>
  </si>
  <si>
    <t>SC 09.05.0550 (/)</t>
  </si>
  <si>
    <t>Estucador (inclusive encargos sociais).(desonerado)</t>
  </si>
  <si>
    <t>SC 09.05.0600 (/)</t>
  </si>
  <si>
    <t>Gesseiro (inclusive encargos sociais).(desonerado)</t>
  </si>
  <si>
    <t>SC 09.05.0650 (/)</t>
  </si>
  <si>
    <t>Hortelão (inclusive encargos sociais).(desonerado)</t>
  </si>
  <si>
    <t>SC 09.05.0700 (/)</t>
  </si>
  <si>
    <t>Jardineiro (inclusive encargos sociais).(desonerado)</t>
  </si>
  <si>
    <t>SC 09.05.0750 (/)</t>
  </si>
  <si>
    <t>Ladrilheiro (inclusive encargos sociais).(desonerado)</t>
  </si>
  <si>
    <t>SC 09.05.0800 (/)</t>
  </si>
  <si>
    <t>Marceneiro (inclusive encargos sociais).(desonerado)</t>
  </si>
  <si>
    <t>SC 09.05.0850 (/)</t>
  </si>
  <si>
    <t>Marroeiro (inclusive encargos sociais).(desonerado)</t>
  </si>
  <si>
    <t>SC 09.05.0900 (/)</t>
  </si>
  <si>
    <t>Marteleteiro (inclusive encargos sociais).(desonerado)</t>
  </si>
  <si>
    <t>SC 09.05.0950 (/)</t>
  </si>
  <si>
    <t>Mecânico de hidráulica (inclusive encargos sociais).(desonerado)</t>
  </si>
  <si>
    <t>SC 09.05.1000 (/)</t>
  </si>
  <si>
    <t>Mecânico de refrigeração (inclusive encargos sociais).(desonerado)</t>
  </si>
  <si>
    <t>SC 09.05.1050 (/)</t>
  </si>
  <si>
    <t>Museólogo restaurador (inclusive encargos sociais).(desonerado)</t>
  </si>
  <si>
    <t>SC 09.05.1100 (/)</t>
  </si>
  <si>
    <t>Operador de máquinas em construção civil (inclusive encargos sociais).(desonerado)</t>
  </si>
  <si>
    <t>SC 09.05.1200 (/)</t>
  </si>
  <si>
    <t>Pedreiro (inclusive encargos sociais).(desonerado)</t>
  </si>
  <si>
    <t>SC 09.05.1250 (/)</t>
  </si>
  <si>
    <t>Pintor (inclusive encargos sociais).(desonerado)</t>
  </si>
  <si>
    <t>SC 09.05.1300 (/)</t>
  </si>
  <si>
    <t>Pintor de letras (inclusive encargos sociais).(desonerado)</t>
  </si>
  <si>
    <t>SC 09.05.1350 (/)</t>
  </si>
  <si>
    <t>Rastilheiro (inclusive encargos sociais).(desonerado)</t>
  </si>
  <si>
    <t>SC 09.05.1400 (/)</t>
  </si>
  <si>
    <t>Serralheiro (inclusive encargos sociais).(desonerado)</t>
  </si>
  <si>
    <t>SC 09.05.1450 (/)</t>
  </si>
  <si>
    <t>Servente (inclusive encargos sociais).(desonerado)</t>
  </si>
  <si>
    <t>SC 09.05.1500 (/)</t>
  </si>
  <si>
    <t>Soldador em construção civil (inclusive encargos sociais).(desonerado)</t>
  </si>
  <si>
    <t>SC 09.10 Serviços de Operação de Tráfego</t>
  </si>
  <si>
    <t>SC 09.10.0050 (/)</t>
  </si>
  <si>
    <t>Operador de tráfego, nível ajudante, com todo o seu EPI, colete, capa, boné, apito, (inclusive encargos sociais).(desonerado)</t>
  </si>
  <si>
    <t>SC 09.10.0100 (/)</t>
  </si>
  <si>
    <t>Operador de tráfego, nível júnior, com todo o seu EPI, colete, capa, boné, apito, (inclusive encargos sociais).(desonerado)</t>
  </si>
  <si>
    <t>SC 09.10.0150 (/)</t>
  </si>
  <si>
    <t>Operador de tráfego, nível sênior, com todo o seu EPI, colete, capa, boné, apito, (inclusive encargos sociais).(desonerado)</t>
  </si>
  <si>
    <t>SC 09.10.0200 (/)</t>
  </si>
  <si>
    <t>Auxiliar de Inspetor de Tráfego com experiência em serviço de operação de tráfego em rodovias, vias de trânsito rápido e arterial, por no mínimo, 01 (um) ano comprovável. EPIs e encargos sociais inclusos.(desonerado)</t>
  </si>
  <si>
    <t>SC 09.10.0250 (/)</t>
  </si>
  <si>
    <t>Inspetor de Tráfego com experiência em serviço de operação de tráfego em rodovias, vias de trânsito rápido e arterial, por no mínimo, 02 (dois) anos comprováveis. EPIs e encargos sociais inclusos.(desonerado)</t>
  </si>
  <si>
    <t>SC 09.10.0300 (/)</t>
  </si>
  <si>
    <t>Inspetor Geral de Tráfego com experiência em serviço de operação de tráfego em rodovias, vias de trânsito rápido e arterial por, no mínimo, 03 (três) anos comprováveis. EPIs e encargos sociais inclusos.(desonerado)</t>
  </si>
  <si>
    <t>SC 09.10.0350 (/)</t>
  </si>
  <si>
    <t>Controlador de Tráfego. EPIs e encargos sociais inclusos.(desonerado)</t>
  </si>
  <si>
    <t>SC 09.10.0400 (/)</t>
  </si>
  <si>
    <t>Controlador de Tráfego Motociclista. EPIs e encargos sociais inclusos.(desonerado)</t>
  </si>
  <si>
    <t>SC 14.05 Fornecimentos</t>
  </si>
  <si>
    <t>SC 14.05.0050 (/)</t>
  </si>
  <si>
    <t>Água comercial.  Fornecimento, exclusive transporte.(desonerado)</t>
  </si>
  <si>
    <t>SC 14.05.0100 (/)</t>
  </si>
  <si>
    <t>Aditivo de reciclagem para mistura asfáltica à quente AR-5.(desonerado)</t>
  </si>
  <si>
    <t>SC 14.05.0150 (/)</t>
  </si>
  <si>
    <t>Areia grossa lavada, inclusive transporte ate 20Km. Fornecimento. (desonerado)</t>
  </si>
  <si>
    <t>SC 14.05.0200 (/)</t>
  </si>
  <si>
    <t>Asfalto diluído tipo cura rápida CR-250.(desonerado)</t>
  </si>
  <si>
    <t>SC 14.05.0225 (/)</t>
  </si>
  <si>
    <t>Barra chata de aço, de 1"x1/4".  Fornecimento.(desonerado)</t>
  </si>
  <si>
    <t>SC 14.05.0250 (/)</t>
  </si>
  <si>
    <t>Cimento Portland, tipo 320, saco de 50Kg.  Fornecimento.(desonerado)</t>
  </si>
  <si>
    <t>SC 14.05.0300 (/)</t>
  </si>
  <si>
    <t>Emulsão asfáltica catiônica, tipo ruptura média - RM-1C.(desonerado)</t>
  </si>
  <si>
    <t>SC 14.05.0325 (/)</t>
  </si>
  <si>
    <t>Gel para plantio de espécies vegetais (polímero hidrorretentor). Fornecimento. (desonerado)</t>
  </si>
  <si>
    <t>SC 14.05.0350 (/)</t>
  </si>
  <si>
    <t>Óleo combustível B1.  Fornecimento.(desonerado)</t>
  </si>
  <si>
    <t>SC 14.05.0400 (/)</t>
  </si>
  <si>
    <t>Pó-de-pedra, inclusive transporte até 20km.  Fornecimento.(desonerado)</t>
  </si>
  <si>
    <t>SC 14.05.0425 (/)</t>
  </si>
  <si>
    <t>Brita nº 0, inclusive transporte ate 20Km. Fornecimento. (desonerado)</t>
  </si>
  <si>
    <t>SC 14.05.0450 (/)</t>
  </si>
  <si>
    <t>Brita nº 1 ou 2, inclusive transporte ate 20Km. Fornecimento. (desonerado)</t>
  </si>
  <si>
    <t>SC 14.05.0500 (/)</t>
  </si>
  <si>
    <t>Brita nº 3, inclusive transporte até 20Km.  Fornecimento. (desonerado)</t>
  </si>
  <si>
    <t>SC 14.05.0525 (/)</t>
  </si>
  <si>
    <t>Perfil "I" de aço carbono, padrão americano, de 8"x4".  Fornecimento.(desonerado)</t>
  </si>
  <si>
    <t>SC 14.05.0550 (/)</t>
  </si>
  <si>
    <t>Saibro, inclusive transporte até 20Km.  Fornecimento.(desonerado)</t>
  </si>
  <si>
    <t>SC 14.10 Chapa de Aço para Passagem de Veículos</t>
  </si>
  <si>
    <t>SC 14.10.0050 (A)</t>
  </si>
  <si>
    <t>Chapa de aço de 3/4", para passagem de veículos sobre valas, compreendendo colocação, uso e retirada, medida pela área da chapa em cada aplicação, inclusive mobilização, transporte, carga e descarga e o travamento com grampos.(desonerado)</t>
  </si>
  <si>
    <t>SC 14.15 Materiais para Solda Elétrica</t>
  </si>
  <si>
    <t>SC 14.15.0050 (/)</t>
  </si>
  <si>
    <t>Eletrodo OK 46, diâmetro de 2,5mm.  Fornecimento.(desonerado)</t>
  </si>
  <si>
    <t>SC 19.05 Solda de Topo em Chapas de Aço</t>
  </si>
  <si>
    <t>SC 19.05.0050 (/)</t>
  </si>
  <si>
    <t>Solda de topo, descendente, em chapa de aço chanfrada de 1/4" de espessura, para serviço de assentamento de tubulação ou peça de aço utilizando conversor elétrico.(desonerado)</t>
  </si>
  <si>
    <t>SC 19.05.0100 (/)</t>
  </si>
  <si>
    <t>Solda de topo, descendente, em chapa de aço chanfrada de 5/16" de espessura, para serviço de assentamento de tubulação ou peça de aço utilizando conversor elétrico.(desonerado)</t>
  </si>
  <si>
    <t>SC 19.05.0150 (/)</t>
  </si>
  <si>
    <t>Solda de topo, descendente, em chapa de aço chanfrada de 3/8" de espessura, para serviço de assentamento de tubulação ou peça de aço utilizando conversor elétrico.(desonerado)</t>
  </si>
  <si>
    <t>SC 19.05.0200 (/)</t>
  </si>
  <si>
    <t>Solda de topo, descendente, em chapa de aço chanfrada a 30°, de 1/4" de espessura, utilizando conversor eletromotorizado, e admitindo um tempo produtivo de 75%.  Utilizando-se Máquina de Solda a óleo diesel, multiplicar o custo do item por 1,15.(desonerado)</t>
  </si>
  <si>
    <t>SC 19.05.0250 (/)</t>
  </si>
  <si>
    <t>Solda de topo, descendente, em chapa de aço chanfrada a 30°, de 3/8" de espessura, utilizando conversor eletromotorizado, e admitindo um tempo produtivo de 75%.  Utilizando-se Máquina de Solda a óleo diesel, multiplicar o custo do item por 1,15.(desonerado)</t>
  </si>
  <si>
    <t>SC 19.05.0300 (/)</t>
  </si>
  <si>
    <t>Solda de topo, descendente, em chapa de  aço chanfrada a 30°, de 1/2" de espessura, utilizando conversor eletromotorizado, e admitindo um tempo produtivo de 75%.  Utilizando-se Máquina de Solda a óleo diesel, multiplicar o custo do item por 1,15.(desonerado)</t>
  </si>
  <si>
    <t>SC 19.05.0350 (/)</t>
  </si>
  <si>
    <t>Solda de topo, em tubos de aço galvanizado no diâmetro de 1/2", utilizando conversor elétrico, inclusive corte e/ou chanfro das extremidades.(desonerado)</t>
  </si>
  <si>
    <t>SC 19.05.0400 (/)</t>
  </si>
  <si>
    <t>Solda de topo, em tubos de aço galvanizado no diâmetro de 3/4", utilizando conversor elétrico, inclusive corte e/ou chanfro das extremidades.(desonerado)</t>
  </si>
  <si>
    <t>SC 19.05.0450 (/)</t>
  </si>
  <si>
    <t>Solda de topo, em tubos de aço galvanizado no diâmetro de 1", utilizando conversor elétrico, inclusive corte e/ou chanfro das extremidades.(desonerado)</t>
  </si>
  <si>
    <t>SC 19.05.0500 (/)</t>
  </si>
  <si>
    <t>Solda de topo, em tubos de aço galvanizado no diâmetro de 1 1/4", utilizando conversor elétrico, inclusive corte e/ou chanfro das extremidades.(desonerado)</t>
  </si>
  <si>
    <t>SC 19.05.0550 (/)</t>
  </si>
  <si>
    <t>Solda de topo, em tubos de aço galvanizado no diâmetro de 1 1/2", utilizando conversor elétrico, inclusive corte e/ou chanfro das extremidades.(desonerado)</t>
  </si>
  <si>
    <t>SC 19.05.0600 (/)</t>
  </si>
  <si>
    <t>Solda de topo, em tubos de aço galvanizado no diâmetro de 2", utilizando conversor elétrico, inclusive corte e/ou chanfro das extremidades.(desonerado)</t>
  </si>
  <si>
    <t>SC 19.10 Solda e Corte de Topo em Tubos e Vergalhões de Aço</t>
  </si>
  <si>
    <t>SC 19.10.0050 (/)</t>
  </si>
  <si>
    <t>Solda de topo em vergalhões de aço, com diâmetro de 1/2".(desonerado)</t>
  </si>
  <si>
    <t>SC 19.15 Corte com Maçarico manual de Oxiacetileno</t>
  </si>
  <si>
    <t>SC 19.15.0050 (/)</t>
  </si>
  <si>
    <t>Corte com maçarico manual de oxiacetileno em chapa de aço de 3/16" de espessura.(desonerado)</t>
  </si>
  <si>
    <t>SC 19.15.0100 (/)</t>
  </si>
  <si>
    <t>Corte com maçarico manual de oxiacetileno em chapa de aço de 1/4" de espessura.(desonerado)</t>
  </si>
  <si>
    <t>SC 19.15.0150 (/)</t>
  </si>
  <si>
    <t>Corte com maçarico manual de oxiacetileno em chapa de aço de 5/16" de espessura.(desonerado)</t>
  </si>
  <si>
    <t>SC 19.15.0200 (/)</t>
  </si>
  <si>
    <t>Corte com maçarico manual de oxiacetileno em chapa de aço de 3/8" de espessura.(desonerado)</t>
  </si>
  <si>
    <t>SC 19.15.0250 (/)</t>
  </si>
  <si>
    <t>Corte com maçarico manual de oxiacetileno em chapa de aço de 1/2" de espessura.(desonerado)</t>
  </si>
  <si>
    <t>SC 29.05 Raspagem, Calafetação, Sinteco e Enceramento de Pisos</t>
  </si>
  <si>
    <t>SC 29.05.0050 (/)</t>
  </si>
  <si>
    <t>Enceramento de piso de qualquer natureza, 1 demão.(desonerado)</t>
  </si>
  <si>
    <t>SC 29.05.0100 (/)</t>
  </si>
  <si>
    <t>Raspagem, calafetação e aplicação de 3 demãos de Synteko ou similar em tacos ou assoalho de madeira.(desonerado)</t>
  </si>
  <si>
    <t>SC 29.10 Polimento</t>
  </si>
  <si>
    <t>SC 29.10.0050 (/)</t>
  </si>
  <si>
    <t>Lixamento de concreto aparente com lixadeira elétrica.(desonerado)</t>
  </si>
  <si>
    <t>SC 29.10.0100 (A)</t>
  </si>
  <si>
    <t>Polimento de piso de alta resistência, feito mecanicamente.(desonerado)</t>
  </si>
  <si>
    <t>SC 29.10.0150 (A)</t>
  </si>
  <si>
    <t>Polimento de piso de marmorite feito mecanicamente.(desonerado)</t>
  </si>
  <si>
    <t>SC 29.10.0200 (A)</t>
  </si>
  <si>
    <t>Polimento manual de rodapé de marmorite.(desonerado)</t>
  </si>
  <si>
    <t>SC 29.10.0250 (A)</t>
  </si>
  <si>
    <t>Polimento manual de rodapé em material de alta resistência.(desonerado)</t>
  </si>
  <si>
    <t>SC 29.15 Limpeza de Superfícies e Aparelhos Novos</t>
  </si>
  <si>
    <t>SC 29.15.0050 (/)</t>
  </si>
  <si>
    <t>Limpeza de aparelhos sanitários, inclusive metais correspondentes.(desonerado)</t>
  </si>
  <si>
    <t>SC 29.15.0100 (/)</t>
  </si>
  <si>
    <t>Limpeza de parede revestida com chapas laminadas, inclusive o uso de escada, exclusive andaimes.(desonerado)</t>
  </si>
  <si>
    <t>SC 29.15.0150 (/)</t>
  </si>
  <si>
    <t>Limpeza em parede revestida com mármore, granito ou pedras decorativas (madeira, lajinha ou similar), com a lavagem da mesma utilizando ácido diluida em água, inclusive uso de escada até 2 pavimento.(desonerado)</t>
  </si>
  <si>
    <t>SC 29.15.0200 (/)</t>
  </si>
  <si>
    <t>Limpeza de parede revestida com pastilhas, cerâmica ou azulejo, com a lavagem da mesma utilizando solução ácida diluída em água, inclusive uso de escada até 2 pavimentos.(desonerado)</t>
  </si>
  <si>
    <t>SC 29.15.0250 (/)</t>
  </si>
  <si>
    <t>Limpeza de peitoris.(desonerado)</t>
  </si>
  <si>
    <t>SC 29.15.0300 (/)</t>
  </si>
  <si>
    <t>Limpeza de pisos cerâmicos, pisos de pedras ou similares.(desonerado)</t>
  </si>
  <si>
    <t>SC 29.15.0350 (/)</t>
  </si>
  <si>
    <t>Limpeza de pisos cimentados.(desonerado)</t>
  </si>
  <si>
    <t>SC 29.15.0400 (/)</t>
  </si>
  <si>
    <t>Limpeza de pisos vinílicos.(desonerado)</t>
  </si>
  <si>
    <t>SC 29.15.0450 (/)</t>
  </si>
  <si>
    <t>Limpeza mecânica de tapete ou carpete executada no local da instalação, considerando área mínima de 30m2, (áreas maiores que 250m2 considerar a área real reduzida em 25%).(desonerado)</t>
  </si>
  <si>
    <t>SC 29.15.0500 (/)</t>
  </si>
  <si>
    <t>Limpeza de vidros, por área de superfície (1 lado).(desonerado)</t>
  </si>
  <si>
    <t>SC 34.05 Nivelamento de Tampão de Ferro Fundido</t>
  </si>
  <si>
    <t>SC 34.05.0040 (A)</t>
  </si>
  <si>
    <t>Levantamento ou rebaixamento de grelha de caixa de ralo sobre faixa de rolamento, considerando demolição de camada de asfalto e concreto, movimentação e concretagem, inclusive transporte de material e bota fora do material excedente.(desonerado)</t>
  </si>
  <si>
    <t>SC 34.05.0050 (B)</t>
  </si>
  <si>
    <t>Levantamento ou rebaixamento de tampão sobre faixa de rolamento, considerando demolição de camada de asfalto e concreto, movimentação e concretagem, inclusive transporte de material e bota fora do material excedente.(desonerado)</t>
  </si>
  <si>
    <t>SC 34.05.0060 (/)</t>
  </si>
  <si>
    <t>Levantamento ou rebaixamento de tampão sobre faixa de rolamento de tráfego pesado, considerando demolição de camada de asfalto e concreto, movimentação e concretagem com concreto de 30 MPa, inclusive transporte de material e bota fora do material excedente.(desonerado)</t>
  </si>
  <si>
    <t>SC 34.05.0100 (A)</t>
  </si>
  <si>
    <t>Levantamento ou rebaixamento de tampão sobre calçada, considerando demolição de camada de concreto, movimentação e concretagem, inclusive cerca protetora, transporte de material e bota fora do material excedente.(desonerado)</t>
  </si>
  <si>
    <t>SC 34.10 Limpeza de Poços de Visita, Caixas de Areia, Galerias e Reservatórios</t>
  </si>
  <si>
    <t>SC 34.10.0050 (/)</t>
  </si>
  <si>
    <t>Limpeza de caixa de areia, em encosta, até 1,50m de profundidade.(desonerado)</t>
  </si>
  <si>
    <t>SC 34.10.0100 (/)</t>
  </si>
  <si>
    <t>Limpeza mecânica de caixa de contenção, exclusive o transporte do transporte do material retirado.(desonerado)</t>
  </si>
  <si>
    <t>SC 34.10.0150 (/)</t>
  </si>
  <si>
    <t>Limpeza de caixa de ralo, exclusive transporte do material retirado.(desonerado)</t>
  </si>
  <si>
    <t>SC 34.10.0200 (/)</t>
  </si>
  <si>
    <t>Limpeza manual de galeria retangular, exclusive transporte do material retirado.(desonerado)</t>
  </si>
  <si>
    <t>SC 34.10.0250 (/)</t>
  </si>
  <si>
    <t>Limpeza manual de poço de visita de até 3m de profundidade, exclusive transporte do material retirado.(desonerado)</t>
  </si>
  <si>
    <t>SC 34.10.0300 (/)</t>
  </si>
  <si>
    <t>Limpeza manual de ramal de ralo, exclusive o transporte do material retirado.(desonerado)</t>
  </si>
  <si>
    <t>SC 34.10.0350 (/)</t>
  </si>
  <si>
    <t>Limpeza manual de reservatórios d'água (cisterna e caixas d'água elevadas).(desonerado)</t>
  </si>
  <si>
    <t>SC 34.10.0500 (/)</t>
  </si>
  <si>
    <t>Limpeza e desobstrução mecânica de galerias de águas pluviais com diâmetro de 0,30 a 0,50m, utilizando equipamento Buket-Machine, exclusive retirada do material.(desonerado)</t>
  </si>
  <si>
    <t>SC 34.10.0509 (/)</t>
  </si>
  <si>
    <t>Limpeza e desobstrução mecânica de galerias de águas pluviais com diâmetro de 0,60 a 1,00m, utilizando equipamento Buket-Machine, exclusive retirada do material.(desonerado)</t>
  </si>
  <si>
    <t>SC 34.10.0600 (/)</t>
  </si>
  <si>
    <t>Limpeza e desobstrução mecânica de galerias de águas pluviais com seção retangular, utilizando equipamento Buket-Machine, exclusive retirada do material.(desonerado)</t>
  </si>
  <si>
    <t>SC 34.15 Limpeza de Superfícies Metálicas, Concreto e Túneis</t>
  </si>
  <si>
    <t>SC 34.15.0020 (/)</t>
  </si>
  <si>
    <t>Decapagem cuidadosa de esculturas, peças em argamassa e/ou ferro, com remoção de sucessivas camadas de tintas, exclusive retirada e transporte.(desonerado)</t>
  </si>
  <si>
    <t>SC 34.15.0100 (/)</t>
  </si>
  <si>
    <t>Limpeza ou preparo de superfície de concreto com jato d'água quente com pressão mínima de 2400lb, solvente e escova de piaçava.(desonerado)</t>
  </si>
  <si>
    <t>SC 34.15.0150 (/)</t>
  </si>
  <si>
    <t>Limpeza ou preparo de superfície de concreto com jato de água pressurizada ou ar, em condições que permitam um rendimento médio de 5m2/h.(desonerado)</t>
  </si>
  <si>
    <t>SC 34.15.0200 (/)</t>
  </si>
  <si>
    <t>Limpeza ou preparo de superfície de concreto com jato de água pressurizada ou ar, em condições que permitam um rendimento médio de 15m2/h.(desonerado)</t>
  </si>
  <si>
    <t>SC 34.15.0325 (/)</t>
  </si>
  <si>
    <t>Limpeza de superfície de monumentos históricos de argamassa, ferro, bronze, mármore, granito, resina, etc, exclusive retirada e transporte.(desonerado)</t>
  </si>
  <si>
    <t>SC 34.15.0350 (/)</t>
  </si>
  <si>
    <t>Paraloid TB 148S para proteção de superfície de monumentos históricos.  Fornecimento e aplicação.(desonerado)</t>
  </si>
  <si>
    <t>SC 34.15.0400 (/)</t>
  </si>
  <si>
    <t>Limpeza de túneis com jato d'água, solvente e escova de piaçava.(desonerado)</t>
  </si>
  <si>
    <t>SC 34.15.0450 (A)</t>
  </si>
  <si>
    <t>Lixamento manual para limpeza ou preparação de estruturas metálicas, utilizando escova de aço de 30cm de cabo, considerando a área efetivamente lixada.(desonerado)</t>
  </si>
  <si>
    <t>SC 34.15.0500 (A)</t>
  </si>
  <si>
    <t>Lixamento mecânico para limpeza ou preparação de estruturas metálicas, utilizando lixadeira elétrica, considerando a área efetivamente lixada.(desonerado)</t>
  </si>
  <si>
    <t>SC 34.15.0850 (/)</t>
  </si>
  <si>
    <t>Retirada ou colocação de esculturas, exclusive transporte.(desonerado)</t>
  </si>
  <si>
    <t>SC 34.15.1000 (/)</t>
  </si>
  <si>
    <t>Remoção de pichação de monumentos históricos de argamassa, ferro, bronze, mármore, granito, aço cortém, pintura automotiva, resina, etc, exclusive retirada e transporte.(desonerado)</t>
  </si>
  <si>
    <t>SC 34.20 Serviços de Conservação e Manutenção de Vias Urbanas</t>
  </si>
  <si>
    <t>SC 34.20.0300 (/)</t>
  </si>
  <si>
    <t>Limpeza, pequenos reparos e apoio logístico às frentes de trabalho em serviços de conservação e manutenção de vias urbanas, medidos por frente de trabalho.(desonerado)</t>
  </si>
  <si>
    <t>SC 39.05 Cerca de Vedação</t>
  </si>
  <si>
    <t>SC 39.05.0050 (/)</t>
  </si>
  <si>
    <t>Arame galvanizado nº 12, fornecimento e colocação em cercas com moirão de madeira, inclusive retirada do arame existente.(desonerado)</t>
  </si>
  <si>
    <t>SC 39.05.0100 (/)</t>
  </si>
  <si>
    <t>Cabo de aço galvanizado, diâmetro de 3/16", fornecimento e colocação em cercas, com moirão de madeira, inclusive retirada do existente.(desonerado)</t>
  </si>
  <si>
    <t>SC 39.05.0200 (/)</t>
  </si>
  <si>
    <t>Cerca de moirão reto de concreto armado (0,10x2,50)m, espaçados de 3m, cravada a 50cm do solo, com 6 fios corridos de arame galvanizado nº 12.   Fornecimento e colocação.(desonerado)</t>
  </si>
  <si>
    <t>SC 39.05.0250 (A)</t>
  </si>
  <si>
    <t>Moirão em madeira de reflorestamento, para cercas, com seção de diâmetro de 15cm, altura livre média de 1,30m, enterrado a 1m de profundidade, incluindo escavação e espalhamento do material excedente, conforme projeto FPJ.  Fornecimento e colocação.(desonerado)</t>
  </si>
  <si>
    <t>SC 39.05.0300 (A)</t>
  </si>
  <si>
    <t>Moirão em madeira de reflorestamento, para cercas, com seção de diâmetro de 15cm, altura livre média de 1,60m, enterrado a 1m de profundidade, incluindo escavação e espalhamento do material excedente, conforme projeto FPJ.  Fornecimento e colocação.(desonerado)</t>
  </si>
  <si>
    <t>SC 44.05 Placas e Painéis de Identificação</t>
  </si>
  <si>
    <t>SC 44.05.0050 (/)</t>
  </si>
  <si>
    <t>Placa de acrílico desenhada, indicando sanitário masculino ou feminino, de (39x19)cm.  Fornecimento e colocação.(desonerado)</t>
  </si>
  <si>
    <t>SC 44.05.0053 (/)</t>
  </si>
  <si>
    <t>Placa de inauguração em aço inox escovado, medindo (30 x 20)cm, AISI 304, bitola nº 22, gravação em fotocorrosão, texto preto, com logomarca modelo PCRJ.  Fornecimento e colocação.(desonerado)</t>
  </si>
  <si>
    <t>SC 44.05.0056 (/)</t>
  </si>
  <si>
    <t>Placa de inauguração em aço inox escovado, medindo (40 x 30)cm, AISI 304, bitola nº 22, gravação em fotocorrosão, texto preto, com logomarca modelo PCRJ.  Fornecimento e colocação.(desonerado)</t>
  </si>
  <si>
    <t>SC 44.05.0075 (/)</t>
  </si>
  <si>
    <t>Placa de sinalização escolar, em PS (poliestireno) com 1mm de espessura, cor cinza claro, textos impressos positivos e negativos em silk-screen na cor laranja, nas dimensões de (25x25)cm.  Fornecimento e colocação.(desonerado)</t>
  </si>
  <si>
    <t>SC 44.05.0081 (/)</t>
  </si>
  <si>
    <t>Placa de sinalização escolar, em PS (poliestireno) com 1mm de espessura, cor cinza claro, textos impressos positivos e negativos em silk-screen na cor laranja, nas dimensões de (100x30)cm.  Fornecimento e colocação.(desonerado)</t>
  </si>
  <si>
    <t>SC 44.05.0150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</si>
  <si>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colocação.(desonerado)</t>
  </si>
  <si>
    <t>SC 44.05.0200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</si>
  <si>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 (desonerado)</t>
  </si>
  <si>
    <t>SC 44.10 Placas de Inauguração e Identificação de Sala</t>
  </si>
  <si>
    <t>SC 44.10.0050 (/)</t>
  </si>
  <si>
    <t>Placa de acrílico para identificação de salas, medindo (8x25)cm, polida nas bordas.  Fornecimento e colocação.(desonerado)</t>
  </si>
  <si>
    <t>SC 44.10.0100 (/)</t>
  </si>
  <si>
    <t>Placa de ferro esmaltado de (12x18)cm com numeração para identificação de imóvel em logradouro, padrão CEHAB.  Fornecimento e colocação.(desonerado)</t>
  </si>
  <si>
    <t>SC 44.10.0150 (/)</t>
  </si>
  <si>
    <t>Placa de inauguração em alumínio com as dimensões de (40x60)cm.  Fornecimento e colocação.(desonerado)</t>
  </si>
  <si>
    <t>SC 44.10.0200 (/)</t>
  </si>
  <si>
    <t>Placa de inauguração em bronze, com as dimensões de (35x50)cm.  Fornecimento e colocação.(desonerado)</t>
  </si>
  <si>
    <t>SC 44.10.0250 (/)</t>
  </si>
  <si>
    <t>Placa de inauguração em latão, com gravação através de fotocorrosão, espessura de 3mm, com as dimensões de (60 x 40)cm. Fornecimento e colocação. (Desonerado)</t>
  </si>
  <si>
    <t>SC 44.15 Placas de Identificação de Monumentos</t>
  </si>
  <si>
    <t>SC 44.15.0050 (/)</t>
  </si>
  <si>
    <t>Placas de identificação de monumentos históricos em bronze com as dimensões de (35x50)cm.  Fornecimento e colocação, exclusive pedestal de concreto.(desonerado)</t>
  </si>
  <si>
    <t>SC 44.15.0100 (A)</t>
  </si>
  <si>
    <t>Placas de identificação de monumentos históricos em bronze com as dimensões de (35x50)cm.  Fornecimento e colocação, inclusive pedestal de concreto.(desonerado)</t>
  </si>
  <si>
    <t>SC 44.15.0150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</si>
  <si>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colocação.(desonerado)</t>
  </si>
  <si>
    <t>SC 44.20 Letras Metálicas</t>
  </si>
  <si>
    <t>SC 44.20.0050 (/)</t>
  </si>
  <si>
    <t>Letra de aço inoxidável n° 22 com 20cm de altura.  Fornecimento e colocação.(desonerado)</t>
  </si>
  <si>
    <t>SC 44.20.0100 (/)</t>
  </si>
  <si>
    <t>Letra fundida em alumínio, polida e oxidada nas laterais, tipo helvética, com altura de 10cm e espessura de 5mm, com pinos para fixação.  Fornecimento e colocação.(desonerado)</t>
  </si>
  <si>
    <t>SC 44.20.0150 (/)</t>
  </si>
  <si>
    <t>Letra fundida em bronze, polida e oxidada nas laterais, tipo helvética, com altura de 10cm e espessura de 5mm, com pinos para fixação.  Fornecimento e colocação.(desonerado)</t>
  </si>
  <si>
    <t>SC 44.25 Sinalizadores Autoluminescentes</t>
  </si>
  <si>
    <t>SC 44.25.0100 (/)</t>
  </si>
  <si>
    <t>Placa indicativa de rota de fuga autoluminosa, com duração de emissão de luz por período não inferior a 20 (vinte) anos, em fundo verde com a seta indicadora e palavra saída na cor branca, modelo SLX-60, com as dimensões (359x213x29)mm.  Fornecimento.(desonerado)</t>
  </si>
  <si>
    <t>SC 49.05 Defensas Metálicas</t>
  </si>
  <si>
    <t>SC 49.05.0050 (/)</t>
  </si>
  <si>
    <t>Defensa semi-maleável simples, compreendendo lâmina, poste, espaçador, calço, plaqueta e material de fixação.  Fornecimento e instalação.(desonerado)</t>
  </si>
  <si>
    <t>SC 49.05.0053 (/)</t>
  </si>
  <si>
    <t>Defensa semi-maleável dupla, compreendendo lâmina, poste, espaçador, calço, plaqueta e material de fixação.  Fornecimento e instalação.(desonerado)</t>
  </si>
  <si>
    <t>SC 98.99 Diversos</t>
  </si>
  <si>
    <t>SC 98.99.0025 (/)</t>
  </si>
  <si>
    <t>Guarita em Fiber-Glass ou similar, medidas (1,00x1,00x2,20)m, modelo Kini, fabricação Glaspac ou similar.  Fornecimento e colocação.(desonerado)</t>
  </si>
  <si>
    <t>SC 98.99.0030 (/)</t>
  </si>
  <si>
    <t>Guarita em Fiber-Glass ou similar, medidas (1,20x1,20x2,30)m, modelo Kini, fabricação Glaspac ou similar.  Fornecimento e colocação.(desonerado)</t>
  </si>
  <si>
    <t>SC 98.99.0040 (/)</t>
  </si>
  <si>
    <t>Quiosque em Fiber-Glass ou similar, medindo (2,80x2,16x2,32)m, fabricação Difibra ou similar.  Fornecimento e colocação.(desonerado)</t>
  </si>
  <si>
    <t>SE 04.05 Perfurações Manuais a Trado</t>
  </si>
  <si>
    <t>SE 04.05.0050 (/)</t>
  </si>
  <si>
    <t>Perfuração manual de solo, a trado, com diâmetro de 10cm.(desonerado)</t>
  </si>
  <si>
    <t>SE 04.05.0100 (/)</t>
  </si>
  <si>
    <t>Perfuração manual de solo, a trado, com diâmetro de 20cm.(desonerado)</t>
  </si>
  <si>
    <t>SE 09.05 Perfurações Mecânicas Rotativas com Coroa de Wídia</t>
  </si>
  <si>
    <t>SE 09.05.0050 (A)</t>
  </si>
  <si>
    <t>Perfuração rotativa vertical, em solo, com coroa de Wídia ou similar, diâmetro N (75mm), inclusive deslocamento e posicionamento em cada furo.(desonerado)</t>
  </si>
  <si>
    <t>SE 09.05.0100 (A)</t>
  </si>
  <si>
    <t>Perfuração rotativa inclinada, em solo, com coroa de Wídia ou similar, diâmetro N (75mm), inclusive deslocamento e posicionamento em cada furo.(desonerado)</t>
  </si>
  <si>
    <t>SE 09.05.0150 (/)</t>
  </si>
  <si>
    <t>Perfuração rotativa vertical, em solo,  com Coroa de Wídia ou similar, diâmetro H (99mm),  inclusive deslocamento e posicionamneto em cada furo.(desonerado)</t>
  </si>
  <si>
    <t>SE 09.10 Perfurações Mecânicas em Terreno Comum e em Granito</t>
  </si>
  <si>
    <t>SE 09.10.0050 (A)</t>
  </si>
  <si>
    <t>Perfuração com martelete ou perfuratriz manual, diâmetro até 1 1/4", em granito ou gnaisse, inclusive ar comprimido utilizando apenas uma perfuratriz e um compressor, exclusive mangueira, considerando uma produção média bruta de 1,00m/h.(desonerado)</t>
  </si>
  <si>
    <t>SE 09.10.0100 (/)</t>
  </si>
  <si>
    <t>Perfuração com martelete ou perfuratriz manual, diâmetro até 1 1/4", em granito ou gnaisse, inclusive ar comprimido utilizando apenas uma perfuratriz e um compressor, exclusive mangueira, considerando uma produção média bruta de 2,00m/h.(desonerado)</t>
  </si>
  <si>
    <t>SE 09.10.0150 (/)</t>
  </si>
  <si>
    <t>Perfuração com Wagon Drill pesado, diâmetro até 4 1/2", em granito ou gnaisse, inclusive ar comprimido.(desonerado)</t>
  </si>
  <si>
    <t>SE 09.15 Perfurações Mecânicas Rotativas com Coroa de Diamante</t>
  </si>
  <si>
    <t>SE 09.15.0050 (/)</t>
  </si>
  <si>
    <t>Perfuração rotativa com Coroa de diamante, em rocha, diâmetro PW, horizontal, inclusive deslocamentos e instalações.(desonerado)</t>
  </si>
  <si>
    <t>SE 09.15.0100 (A)</t>
  </si>
  <si>
    <t>Perfuração rotativa inclinada, em rocha sã, com coroa de diamante, diâmetro B (60mm), inclusive deslocamento e posicionamento em cada furo.(desonerado)</t>
  </si>
  <si>
    <t>SE 09.15.0150 (/)</t>
  </si>
  <si>
    <t>Perfuração rotativa inclinada, em rocha alterada, com coroa de diamante, diâmetro B (60mm), inclusive deslocamento e posicionamento em cada furo.(desonerado)</t>
  </si>
  <si>
    <t>SE 09.15.0200 (/)</t>
  </si>
  <si>
    <t>Perfuração rotativa inclinada, em rocha alterada, com coroa de diamante, diâmetro N (75mm), inclusive deslocamento e posicionamento em cada furo.(desonerado)</t>
  </si>
  <si>
    <t>SE 09.15.0250 (/)</t>
  </si>
  <si>
    <t>Perfuração rotativa inclinada, em rocha sã, com coroa de diamante, diâmetro N (75mm), inclusive deslocamento e posicionamento em cada furo.(desonerado)</t>
  </si>
  <si>
    <t>SE 09.15.0300 (A)</t>
  </si>
  <si>
    <t>Perfuração rotativa vertical, em rocha sã, com coroa de diamante, diâmetro B (60mm), inclusive deslocamento e posicionamento em cada furo.(desonerado)</t>
  </si>
  <si>
    <t>SE 09.15.0350 (/)</t>
  </si>
  <si>
    <t>Perfuração rotativa vertical, em rocha alterada, com coroa de diamante, diâmetro H(99mm), inclusive deslocamento e posicionamento em cada furo.(desonerado)</t>
  </si>
  <si>
    <t>SE 09.15.0400 (/)</t>
  </si>
  <si>
    <t>Perfuração rotativa vertical, em rocha sã, com coroa de diamante, diâmetro H (99mm), inclusive deslocamento e posicionamento em cada furo.(desonerado)</t>
  </si>
  <si>
    <t>SE 14.05 Método Elétrico</t>
  </si>
  <si>
    <t>SE 14.05.0050 (/)</t>
  </si>
  <si>
    <t>Execução de sondagem elétrica vertical (SEV), inclusive o processamento e interpretação dos perfis, bem como a apresentação dos resultados em papel e em meio digital.(desonerado)</t>
  </si>
  <si>
    <t>SE 14.05.0100 (/)</t>
  </si>
  <si>
    <t>Execução de linha de prospecção geofísica pelo método de caminhamento elétrico, inclusive o processamento e interpretação das seções, bem como a apresentação do resultados (seções originais e interpretadas), em papel e em meio digital.(desonerado)</t>
  </si>
  <si>
    <t>SE 14.10 Método Eletromagnético</t>
  </si>
  <si>
    <t>SE 14.10.0050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</si>
  <si>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dados.(desonerado)</t>
  </si>
  <si>
    <t>SE 14.10.0100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</si>
  <si>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dados.(desonerado)</t>
  </si>
  <si>
    <t>SE 14.10.0150 (/)</t>
  </si>
  <si>
    <t>Execução de linha de prospecção por radar de penetração no solo (GPR), incluindo a apresentação do relatório com as seções processadas, em papel e em meio digital, excluindo o processamento e interpretação dos dados.(desonerado)</t>
  </si>
  <si>
    <t>SE 14.10.0200 (/)</t>
  </si>
  <si>
    <t>Interpretação de dados de radar de penetração no solo (GPR), incluindo a análise de seções migradas e não migradas e apresentação do relatório com as seções interpretadas, em papel e em meio digital.(desonerado)</t>
  </si>
  <si>
    <t>SE 14.10.0250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</si>
  <si>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digital.(desonerado)</t>
  </si>
  <si>
    <t>SE 14.15 Método Sísmico</t>
  </si>
  <si>
    <t>SE 14.15.0050 (/)</t>
  </si>
  <si>
    <t>Interpretação de linha sísmica de reflexão, incluindo a análise de seções migradas e não migradas e a apresentação do relatório com as seções interpretadas, em papel e em meio digital.(desonerado)</t>
  </si>
  <si>
    <t>SE 14.15.0100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</si>
  <si>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digital.(desonerado)</t>
  </si>
  <si>
    <t>SE 14.15.0150 (/)</t>
  </si>
  <si>
    <t>Processamento e interpretação de linha sísmica de refração, incluindo a apresentação de relatório com as seções processadas e interpretadas, em papel e em meio digital.(desonerado)</t>
  </si>
  <si>
    <t>SE 19.05 Destocamento e Roçado</t>
  </si>
  <si>
    <t>SE 19.05.0050 (/)</t>
  </si>
  <si>
    <t>Abertura de picada, em encosta, em terreno de vegetação média.(desonerado)</t>
  </si>
  <si>
    <t>SE 19.05.0100 (/)</t>
  </si>
  <si>
    <t>Destocamento de árvores de porte médio e raízes profundas, sem remoção e auxílio mecânico.(desonerado)</t>
  </si>
  <si>
    <t>SE 19.05.0150 (/)</t>
  </si>
  <si>
    <t>Destocamento de árvores de porte médio e raízes profundas, sem auxílio mecânico, inclusive carga e transporte.(desonerado)</t>
  </si>
  <si>
    <t>SE 19.05.0200 (/)</t>
  </si>
  <si>
    <t>Preparo manual de terreno, compreendendo acerto, raspagem eventualmente até 0,25m de profundidade e afastamento lateral do material excedente.(desonerado)</t>
  </si>
  <si>
    <t>SE 19.05.0250 (/)</t>
  </si>
  <si>
    <t>Roçado manual em vegetação rala, empilhamento e queima de resíduos.(desonerado)</t>
  </si>
  <si>
    <t>SE 19.05.0300 (/)</t>
  </si>
  <si>
    <t>Roçado em vegetação espessa com empilhamento lateral e queima dos resíduos.(desonerado)</t>
  </si>
  <si>
    <t>SE 19.05.0350 (/)</t>
  </si>
  <si>
    <t>Roçado a foice e machado em mata de pequeno porte e queima dos resíduos sem destocamento ou remoção.(desonerado)</t>
  </si>
  <si>
    <t>SE 19.05.0400 (/)</t>
  </si>
  <si>
    <t>Roçado de vegetação gramínea, em área de encosta, a altura de 10cm, em fase de implantação.(desonerado)</t>
  </si>
  <si>
    <t>SE 19.05.0450 (/)</t>
  </si>
  <si>
    <t>Roçado de vegetação gramínea, em área de encosta, a altura de 10cm, em fase de manutenção.(desonerado)</t>
  </si>
  <si>
    <t>SE 19.05.0500 (A)</t>
  </si>
  <si>
    <t>Roçado mecânico, empregando roçadeira costal e ajuntamento do material resultante.(desonerado)</t>
  </si>
  <si>
    <t>SE 19.05.0550 (A)</t>
  </si>
  <si>
    <t>Roçado mecânico, em áreas de reflorestamento empregando roçadeira costal e ajuntamento do material resultante.(desonerado)</t>
  </si>
  <si>
    <t>SE 19.05.0600 (/)</t>
  </si>
  <si>
    <t>Suavização e reconformação manual de taludes, com pequeno desmatamento e altura média de 0,50m.(desonerado)</t>
  </si>
  <si>
    <t>SE 19.05.0650 (/)</t>
  </si>
  <si>
    <t>Suavização e reconformação manual de taludes, com pequeno desmatamento e altura média de 1m.(desonerado)</t>
  </si>
  <si>
    <t>SE 19.05.0700 (/)</t>
  </si>
  <si>
    <t>Suavização e reconformação manual de taludes, com pequeno desmatamento e altura média de 1,50m.(desonerado)</t>
  </si>
  <si>
    <t>SE 19.10 Topografia</t>
  </si>
  <si>
    <t>SE 19.10.0050 (A)</t>
  </si>
  <si>
    <t>Lançamento de linha poligonal básica com precisão de fechamento relativa a 1ª ordem, usando distanciômetro eletrônico, em terreno de orografia não acidentada, vegetação rala.(desonerado)</t>
  </si>
  <si>
    <t>SE 19.10.0100 (A)</t>
  </si>
  <si>
    <t>Lançamento de linha poligonal  com precisão de fechamento relativa a 3ª ordem,  em terreno de orografia não acidentada, vegetação rala.(desonerado)</t>
  </si>
  <si>
    <t>SE 19.10.0150 (/)</t>
  </si>
  <si>
    <t>Levantamento topográfico, planialtimétrico e cadastral, executado de acordo com as especificações da Prefeitura da Cidade do Rio de Janeiro, em terreno de orografia acidentada, vegetação rala e edificação leve, com área de até 4 ha (escala 1:500).(desonerado)</t>
  </si>
  <si>
    <t>SE 19.10.0153 (/)</t>
  </si>
  <si>
    <t>Levantamento topográfico, planialtimétrico e cadastral, executado de acordo com as especificações da Prefeitura da Cidade do Rio de Janeiro, em terreno de orografia acidentada, vegetação rala e edificação leve, com área de 4 a 10 ha (escala 1:500).(desonerado)</t>
  </si>
  <si>
    <t>SE 19.10.0156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</si>
  <si>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14).(desonerado)</t>
  </si>
  <si>
    <t>SE 19.10.0200 (/)</t>
  </si>
  <si>
    <t>Levantamento topográfico, planialtimétrico e cadastral, executado de acordo com as especificações da Prefeitura da Cidade do Rio de Janeiro, em terreno de orografia  acidentada, vegetação rala e edificação média, com área de até 4 ha (escala 1:500).(desonerado)</t>
  </si>
  <si>
    <t>SE 19.10.0250 (/)</t>
  </si>
  <si>
    <t>Levantamento topográfico, planialtimétrico e cadastral, executado de acordo com as especificações da Prefeitura da Cidade do Rio de Janeiro, em terreno de orografia acidentada, vegetação rala e edificação densa, com área de até 4 ha (escala 1:500).(desonerado)</t>
  </si>
  <si>
    <t>SE 19.10.0253 (/)</t>
  </si>
  <si>
    <t>Levantamento topográfico, planialtimétrico e cadastral, executado de acordo com as especificações da Prefeitura da Cidade do Rio de Janeiro, em terreno de orografia acidentada, vegetação rala e edificação densa, com área de 4 a 10 ha (escala 1:500).(desonerado)</t>
  </si>
  <si>
    <t>SE 19.10.0256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</si>
  <si>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14).(desonerado)</t>
  </si>
  <si>
    <t>SE 19.10.0300 (/)</t>
  </si>
  <si>
    <t>Levantamento topográfico, planialtimétrico e cadastral, executado de acordo com as especificações da Prefeitura da Cidade do Rio de Janeiro, em terreno de orografia  acidentada, vegetação densa e edificação leve, com área de até 4 ha (escala 1:500).(desonerado)</t>
  </si>
  <si>
    <t>SE 19.10.0303 (/)</t>
  </si>
  <si>
    <t>Levantamento topográfico, planialtimétrico e cadastral, executado de acordo com as especificações da Prefeitura da Cidade do Rio de Janeiro, em terreno de orografia acidentada, vegetação densa e edificação leve, com área de 4 a 10 ha (escala 1:500).(desonerado)</t>
  </si>
  <si>
    <t>SE 19.10.0306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</si>
  <si>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14).(desonerado)</t>
  </si>
  <si>
    <t>SE 19.10.0350 (/)</t>
  </si>
  <si>
    <t>Levantamento topográfico, planialtimétrico e cadastral, executado de acordo com as especificações da Prefeitura da Cidade do Rio de Janeiro, em terreno de orografia acidentada, vegetação densa e edificação média, com área de até 4 ha (escala 1:500).(desonerado)</t>
  </si>
  <si>
    <t>SE 19.10.0406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</si>
  <si>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14).(desonerado)</t>
  </si>
  <si>
    <t>SE 19.10.0450 (/)</t>
  </si>
  <si>
    <t>Levantamento topográfico, planialtimétrico e cadastral, executado de acordo com as especificações da Prefeitura da Cidade do Rio de Janeiro, em terreno de orografia não acidentada, vegetação rala e edificação média, com área de até 4 ha (escala 1:500).(desonerado)</t>
  </si>
  <si>
    <t>SE 19.10.0453 (/)</t>
  </si>
  <si>
    <t>Levantamento topográfico, planialtimétrico e cadastral, executado de acordo com as especificações da Prefeitura da Cidade do Rio de Janeiro, em terreno de orografia não acidentada, vegetação rala e edificação média, com área de 4 a 10 ha (escala 1:500).(desonerado)</t>
  </si>
  <si>
    <t>SE 19.10.0456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</si>
  <si>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14).(desonerado)</t>
  </si>
  <si>
    <t>SE 19.10.0500 (/)</t>
  </si>
  <si>
    <t>Levantamento topográfico, planialtimétrico e cadastral, executado de acordo com as especificações da Prefeitura da Cidade do Rio de Janeiro, em terreno de orografia não acidentada, vegetação rala e edificação densa, com área até 4 ha (escala 1:500).(desonerado)</t>
  </si>
  <si>
    <t>SE 19.10.0503 (/)</t>
  </si>
  <si>
    <t>Levantamento topográfico, planialtimétrico e cadastral, executado de acordo com as especificações da Prefeitura da Cidade do Rio de Janeiro, em terreno de orografia não acidentada, vegetação rala e edificação densa, com área de 4 a 10 ha (escala 1:500).(desonerado)</t>
  </si>
  <si>
    <t>SE 19.10.0506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</si>
  <si>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14).(desonerado)</t>
  </si>
  <si>
    <t>SE 19.10.0550 (/)</t>
  </si>
  <si>
    <t>Levantamento topográfico, planialtimétrico e cadastral, executado de acordo com as especificações da Prefeitura da Cidade do Rio de Janeiro, em terreno de orografia não acidentada, vegetação densa e edificação leve, com área até 4 ha (escala 1:500).(desonerado)</t>
  </si>
  <si>
    <t>SE 19.10.0553 (/)</t>
  </si>
  <si>
    <t>Levantamento topográfico, planialtimétrico e cadastral, executado de acordo com as especificações da Prefeitura da Cidade do Rio de Janeiro, em terreno de orografia não acidentada, vegetação densa e edificação leve, com área de 4 a 10 ha (escala 1:500).(desonerado)</t>
  </si>
  <si>
    <t>SE 19.10.0556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</si>
  <si>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14).(desonerado)</t>
  </si>
  <si>
    <t>SE 19.10.0600 (/)</t>
  </si>
  <si>
    <t>Levantamento topográfico, planialtimétrico e cadastral, executado de acordo com as especificações da Prefeitura da Cidade do Rio de Janeiro, em terreno de orografia não acidentada, vegetação densa e edificação média, com área de até 4 ha (escala 1:500).(desonerado)</t>
  </si>
  <si>
    <t>SE 19.10.0603 (/)</t>
  </si>
  <si>
    <t>Levantamento topográfico, planialtimétrico e cadastral, executado de acordo com as especificações da Prefeitura da Cidade do Rio de Janeiro, em terreno de orografia não acidentada, vegetação densa e edificação média, com área de 4 a 10 ha (escala 1:500).(desonerado)</t>
  </si>
  <si>
    <t>SE 19.10.0606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</si>
  <si>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14).(desonerado)</t>
  </si>
  <si>
    <t>SE 19.10.0650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</si>
  <si>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disquete.(desonerado)</t>
  </si>
  <si>
    <t>SE 19.10.0700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</si>
  <si>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(Autocad).(desonerado)</t>
  </si>
  <si>
    <t>SE 19.10.0750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</si>
  <si>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(Autocad).(desonerado)</t>
  </si>
  <si>
    <t>SE 19.10.0850 (/)</t>
  </si>
  <si>
    <t>Levantamento topográfico, planialtimétrico e cadastral, executado de acordo com as especificações da Prefeitura da Cidade do Rio de Janeiro, em terreno de orografia acidentada, vegetação rala e edificação média, com área de 4 a 10 ha (escala 1:500).(desonerado)</t>
  </si>
  <si>
    <t>SE 19.10.1000 (/)</t>
  </si>
  <si>
    <t>Levantamento topográfico, planialtimétrico e cadastral, executado de acordo com as especificações da Prefeitura da Cidade do Rio de Janeiro,em terreno de orografia acidentada, vegetação densa e edificação média, com área de 4 a 10 ha (escala 1:500).(desonerado)</t>
  </si>
  <si>
    <t>SE 19.10.1050 (A)</t>
  </si>
  <si>
    <t>Levantamento de seção transversal em terreno de orografia acidentada e vegetação rala, considerando-se o nível como equipamento.  Medido por metro linear de seção, incluindo-se o desenho em papel milimetrado vegetal na escala 1:200.(desonerado)</t>
  </si>
  <si>
    <t>SE 19.10.1101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</si>
  <si>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total.(desonerado)</t>
  </si>
  <si>
    <t>SE 19.10.1151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</si>
  <si>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Total.(desonerado)</t>
  </si>
  <si>
    <t>SE 19.10.1350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</si>
  <si>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(Autocad).(desonerado)</t>
  </si>
  <si>
    <t>SE 19.10.1375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</si>
  <si>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(Autocad).(desonerado)</t>
  </si>
  <si>
    <t>SE 19.10.1400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</si>
  <si>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1:500.(desonerado)</t>
  </si>
  <si>
    <t>SE 19.10.1450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</si>
  <si>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1:500.(desonerado)</t>
  </si>
  <si>
    <t>SE 19.10.1500 (A)</t>
  </si>
  <si>
    <t>Levantamento topográfico, planialtimétrico e cadastral, executado de acordo com as especificações da Prefeitura da Cidade do Rio de Janeiro, em áreas de alagadiço, com até 10 ha, elaborado na escala 1:500.(desonerado)</t>
  </si>
  <si>
    <t>SE 19.10.1550 (/)</t>
  </si>
  <si>
    <t>Levantamento cadastral das profundidades dos tubos e galerias que concorrem em um poço de visita, profundidades estas, medidas de régua e referenciadas a cota da tampa do poço-poço encontrado em condições de limpeza que permitam a leitura imediata.(desonerado)</t>
  </si>
  <si>
    <t>SE 19.10.1600 (/)</t>
  </si>
  <si>
    <t>Levantamento cadastral das profundidades dos tubos e galerias que concorrem em um poço de visita, profundidades estas, medidas a régua e referenciadas a cota da tampa do poço-poço encontrado inundado tendo que ser esgotado antes que se possa fazer a leitura.(desonerado)</t>
  </si>
  <si>
    <t>SE 19.10.1650 (/)</t>
  </si>
  <si>
    <t>Levantamento cadastral das profundidades dos tubos e galerias que concorrem em um poço de visita, profundidades estas, medidas a reguá e referenciadas a cota da tampa do poço-poço encontrado assoreado tendo que ser limpo antes que se possa fazer a leitura.(desonerado)</t>
  </si>
  <si>
    <t>SE 19.10.1700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</si>
  <si>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imediata.(desonerado)</t>
  </si>
  <si>
    <t>SE 19.10.1750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</si>
  <si>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leitura.(desonerado)</t>
  </si>
  <si>
    <t>SE 19.10.1800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</si>
  <si>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leitura.(desonerado)</t>
  </si>
  <si>
    <t>SE 19.10.1850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</si>
  <si>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imediata.(desonerado)</t>
  </si>
  <si>
    <t>SE 19.10.1900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</si>
  <si>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leitura.(desonerado)</t>
  </si>
  <si>
    <t>SE 19.10.1950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</si>
  <si>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leitura.(desonerado)</t>
  </si>
  <si>
    <t>SE 19.10.2000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</si>
  <si>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1:500).(desonerado)</t>
  </si>
  <si>
    <t>SE 19.10.2050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</si>
  <si>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1:500.(desonerado)</t>
  </si>
  <si>
    <t>SE 19.10.2100 (A)</t>
  </si>
  <si>
    <t>Levantamento topográfico por GPS em áreas de difícil acesso, relevo acidentado e muito pouco habitadas.  O levantamento visa posterior reflorestamento das áreas, possuindo baixa precisão.(desonerado)</t>
  </si>
  <si>
    <t>SE 19.10.2150 (A)</t>
  </si>
  <si>
    <t>Levantamento de seção transversal em terreno de orografia acidentada e vegetação rala, considerando-se teodolito ou estação total e distanciômetro eletrônico, na escala 1:100, incluindo-se a apresentação em papel e em meio digital (preferência por Autocad).(desonerado)</t>
  </si>
  <si>
    <t>SE 19.10.2200 (A)</t>
  </si>
  <si>
    <t>Levantamento de seção transversal em terreno de orografia acidentada e vegetação rala, considerando-se o teodolito e usando a estadimetria.  Medido por metro linear de seção, incluindo-se o desenho em papel milimetrado vegetal na escala 1:200.(desonerado)</t>
  </si>
  <si>
    <t>SE 19.10.2250 (A)</t>
  </si>
  <si>
    <t>Levantamento de seção transversal em terreno de orografia acidentada e vegetação densa, considerando-se o teodolito e usando a estadimetria.  Medido por metro linear de seção, incluindo-se o desenho em papel milimetrado vegetal na escala 1:200.(desonerado)</t>
  </si>
  <si>
    <t>SE 19.10.2300 (A)</t>
  </si>
  <si>
    <t>Levantamento de seção transversal em terreno de orografia acidentada e vegetação densa, considerando-se o nível como equipamento.  Medido por metro linear de seção, incluindo-se o desenho em papel milimetrado vegetal na escala 1:200.(desonerado)</t>
  </si>
  <si>
    <t>SE 19.10.2350 (/)</t>
  </si>
  <si>
    <t>Elaboração de planta topográfica planialtimétrica e cadastral, na escala 1:500, a partir de seções transversais já levantadas no local, incluindo-se a apresentação em papel e em meio digital (preferência por Autocad).(desonerado)</t>
  </si>
  <si>
    <t>SE 19.10.2400 (A)</t>
  </si>
  <si>
    <t>Tubo para inclinômetro, de alumínio, exclusive perfuração, caixa de proteção e leitura.  Fornecimento e colocação.(desonerado)</t>
  </si>
  <si>
    <t>SE 19.10.2450 (A)</t>
  </si>
  <si>
    <t>Nivelamento e contranivelamento de linha topográfica, em terreno de orografia não acidentada, incluindo desenho em escala 1:1000 (H) e 1:1000 (V) em papel milimetrado vegetal.(desonerado)</t>
  </si>
  <si>
    <t>SE 19.10.2500 (A)</t>
  </si>
  <si>
    <t>Nivelamento de eixo de logradouro, de acordo com as especificações da Prefeitura da Cidade do Rio de Janeiro, incluindo desenho em papel milimetrado vegetal.(desonerado)</t>
  </si>
  <si>
    <t>SE 19.13 Topografia e Serviços Cadastrais para fins de Desapropriação</t>
  </si>
  <si>
    <t>SE 19.13.0100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</si>
  <si>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edificações.(desonerado)</t>
  </si>
  <si>
    <t>SE 19.13.0500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</si>
  <si>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PGM.(desonerado)</t>
  </si>
  <si>
    <t>SE 19.15 Levantamento Fotográfico e Mapeamento</t>
  </si>
  <si>
    <t>SE 19.15.0050 (A)</t>
  </si>
  <si>
    <t>Levantamento fotográfico de aspecto de área urbana com fornecimento do arquivo em DVD e de ampliação colorida no tamanho (10x15)cm.(desonerado)</t>
  </si>
  <si>
    <t>SE 19.15.0055 (/)</t>
  </si>
  <si>
    <t>Levantamento fotográfico de aspecto de área urbana, de imóveis ou de documentos com fornecimento de arquivo digital e de impressão colorida no tamanho (10x15)cm, de acordo com as orientações da SMH. (desonerado)</t>
  </si>
  <si>
    <t>SE 19.15.0101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</si>
  <si>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 (desonerado).</t>
  </si>
  <si>
    <t>SE 19.15.0121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</si>
  <si>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 (desonerado)</t>
  </si>
  <si>
    <t>SE 19.15.0131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</si>
  <si>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 (desonerado)</t>
  </si>
  <si>
    <t>SE 19.15.0141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</si>
  <si>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 (desonerado)</t>
  </si>
  <si>
    <t>SE 19.15.0151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</si>
  <si>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 (desonerado).</t>
  </si>
  <si>
    <t>SE 19.15.0201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</si>
  <si>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 (desonerado).</t>
  </si>
  <si>
    <t>SE 19.15.0251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</si>
  <si>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 (desonerado).</t>
  </si>
  <si>
    <t>SE 19.15.0300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</si>
  <si>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 (desonerado)</t>
  </si>
  <si>
    <t>SE 19.15.0350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</si>
  <si>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etc)(desonerado).</t>
  </si>
  <si>
    <t>SE 19.15.0400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</si>
  <si>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 (desonerado)</t>
  </si>
  <si>
    <t>SE 19.20 Serviços Complementares</t>
  </si>
  <si>
    <t>SE 19.20.0050 (A)</t>
  </si>
  <si>
    <t>Composição básica de laboratório.(desonerado)</t>
  </si>
  <si>
    <t>SE 19.20.0100 (A)</t>
  </si>
  <si>
    <t>Custo horário produtivo Wagon Drill (não utilizar como item de orçamento).(desonerado)</t>
  </si>
  <si>
    <t>SE 19.20.0150 (A)</t>
  </si>
  <si>
    <t>Custo horário improdutivo Wagon Drill (não utilizar como item de orçamento).(desonerado)</t>
  </si>
  <si>
    <t>SE 19.20.0200 (A)</t>
  </si>
  <si>
    <t>Custo horário produtivo Wídia ou similar-Solo (não utilizar como item de orçamento).(desonerado)</t>
  </si>
  <si>
    <t>SE 19.20.0250 (B)</t>
  </si>
  <si>
    <t>Custo horário improdutivo (motor funcionando) Wídia ou similar-Solo (não utilizar como item de orçamento).(desonerado)</t>
  </si>
  <si>
    <t>SE 19.20.0300 (A)</t>
  </si>
  <si>
    <t>Custo horário produtivo Wídia ou similar-Alteração e rocha (não utilizar como item de orçamento).(desonerado)</t>
  </si>
  <si>
    <t>SE 19.20.0350 (A)</t>
  </si>
  <si>
    <t>Custo horário produtivo diamante rocha sã (não utilizar como item de orçamento).(desonerado)</t>
  </si>
  <si>
    <t>SE 19.20.0400 (A)</t>
  </si>
  <si>
    <t>Custo horário improdutivo diamante rocha sã (não utilizar como item de orçamento).(desonerado)</t>
  </si>
  <si>
    <t>SE 19.20.0450 (/)</t>
  </si>
  <si>
    <t>Distanciômetro eletrônico completo.(desonerado)</t>
  </si>
  <si>
    <t>SE 24.05 Projetos de Drenagem</t>
  </si>
  <si>
    <t>SE 24.05.0050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</si>
  <si>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t>
  </si>
  <si>
    <t>SE 24.05.0100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</si>
  <si>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t>
  </si>
  <si>
    <t>SE 24.05.0150 (/)</t>
  </si>
  <si>
    <t>Projeto executivo de sistema de drenagem, em Autocad, em área de até 20.000m2.(desonerado)</t>
  </si>
  <si>
    <t>SE 24.05.0200 (/)</t>
  </si>
  <si>
    <t>Projeto executivo de sistema de drenagem, em Autocad, em área acima de 20.000m2.(desonerado)</t>
  </si>
  <si>
    <t>SE 24.10 Projetos de Urbanização</t>
  </si>
  <si>
    <t>SE 24.10.0050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</si>
  <si>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contratante.(desonerado)</t>
  </si>
  <si>
    <t>SE 24.10.0100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</si>
  <si>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complementares.(desonerado)</t>
  </si>
  <si>
    <t>SE 24.10.0150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</si>
  <si>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complementares.(desonerado)</t>
  </si>
  <si>
    <t>SE 24.10.0250 (A)</t>
  </si>
  <si>
    <t>Projeto de via simples de veículos em favela, com 1 faixa de rolamento, com largura máxima de 3m.(desonerado)</t>
  </si>
  <si>
    <t>SE 24.10.0350 (A)</t>
  </si>
  <si>
    <t>Projeto para passarela sobre logradouro público, com rampas e/ou escadas.(desonerado)</t>
  </si>
  <si>
    <t>SE 24.10.0400 (A)</t>
  </si>
  <si>
    <t>Projeto executivo para tratamento paisagístico com especificação vegetal legendada e quantificada, em áreas públicas, considerando a área efetiva de plantio, apresentado em Autocad nos padrões da contratante.(desonerado)</t>
  </si>
  <si>
    <t>SE 24.10.0450 (A)</t>
  </si>
  <si>
    <t>Projeto executivo de via especial para veículos e pedestres, em avenidas canal, com calçadas em ambos os lados, com largura máxima de 40m, apresentado em Autocad nos padrões da contratante.(desonerado)</t>
  </si>
  <si>
    <t>SE 24.10.0500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</si>
  <si>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contratante.(desonerado)</t>
  </si>
  <si>
    <t>SE 24.10.0550 (A)</t>
  </si>
  <si>
    <t>Projeto executivo de via para veículos e pedestres em ruas e avenidas urbanas, com calçadas em ambos os lados e 2 faixas de rolamento com largura máxima de 13m, apresentado em Autocad nos padrões da contratante.(desonerado)</t>
  </si>
  <si>
    <t>SE 24.10.0600 (A)</t>
  </si>
  <si>
    <t>Projeto executivo de via para veículos e pedestres em ruas e avenidas urbanas, com calçadas em ambos os lados e 3 faixas de rolamento com largura máxima de 16m, apresentado em Autocad nos padrões da contratante.(desonerado)</t>
  </si>
  <si>
    <t>SE 24.10.0650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</si>
  <si>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contratante.(desonerado)</t>
  </si>
  <si>
    <t>SE 24.10.0700 (A)</t>
  </si>
  <si>
    <t>Projeto executivo de via para veículos e pedestres em ruas e avenidas urbanas, com calçadas em ambos os lados e 4 faixas de rolamento com largura máxima de 25m, apresentado em Autocad nos padrões da contratante.(desonerado)</t>
  </si>
  <si>
    <t>SE 24.10.0750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</si>
  <si>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contratante.(desonerado)</t>
  </si>
  <si>
    <t>SE 24.10.0800 (A)</t>
  </si>
  <si>
    <t>Projeto executivo de via simples de ciclovia, com 1 faixa de rolamento, com largura máxima de 1,30m, apresentado em Autocad nos padrões da contratante.(desonerado)</t>
  </si>
  <si>
    <t>SE 24.10.0850 (A)</t>
  </si>
  <si>
    <t>Projeto executivo de via dupla de ciclovia, com 2 faixas de rolamento, com largura máxima de 3m, apresentado em Autocad nos padrões da contratante.(desonerado)</t>
  </si>
  <si>
    <t>SE 24.15 Projeto de Arquitetura e Estrutural para Prédios Hospitalares</t>
  </si>
  <si>
    <t>SE 24.15.0050 (A)</t>
  </si>
  <si>
    <t>Projeto básico de arquitetura para prédios hospitalares de até 1000m2, apresentado em Autocad for Windows nos padrões da contratante, inclusive as legalizações pertinentes e a coordenação dos projetos complementares.(desonerado)</t>
  </si>
  <si>
    <t>SE 24.15.0100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</si>
  <si>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25.15.0050.(desonerado)</t>
  </si>
  <si>
    <t>SE 24.15.0150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</si>
  <si>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25.15.0100.(desonerado)</t>
  </si>
  <si>
    <t>SE 24.15.0200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</si>
  <si>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ABNT.(desonerado)</t>
  </si>
  <si>
    <t>SE 24.15.0250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</si>
  <si>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ABNT.(desonerado)</t>
  </si>
  <si>
    <t>SE 24.15.0300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</si>
  <si>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ABNT.(desonerado)</t>
  </si>
  <si>
    <t>SE 24.15.0350 (A)</t>
  </si>
  <si>
    <t>Projeto executivo de arquitetura para prédios hospitalares de até 500m2, apresentado em Autocad For Windows nos padrões da contratante, inclusive as legalizações pertinentes e a coordenação dos projetos complementares.(desonerado)</t>
  </si>
  <si>
    <t>SE 24.15.0400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</si>
  <si>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25.15.0350.(desonerado)</t>
  </si>
  <si>
    <t>SE 24.15.0450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</si>
  <si>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25.15.0400.(desonerado)</t>
  </si>
  <si>
    <t>SE 24.20 Projeto de Arquitetura e Estrutural para Prédios Culturais</t>
  </si>
  <si>
    <t>SE 24.20.0050 (A)</t>
  </si>
  <si>
    <t>Projeto básico de para prédios culturais de até 500m2, apresentado em Autocad for Windows nos padrões da contratante, inclusive as legalizações pertinentes e a coordenação dos projetos complementares.(desonerado)</t>
  </si>
  <si>
    <t>SE 24.20.0100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</si>
  <si>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.(desonerado)</t>
  </si>
  <si>
    <t>SE 24.20.0150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</si>
  <si>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25.20.0100.(desonerado)</t>
  </si>
  <si>
    <t>SE 24.20.0200 (A)</t>
  </si>
  <si>
    <t>Projeto executivo de arquitetura para prédios culturais de até 500m2 apresentado em Autocad For Windows nos padrões da contratante, inclusive as legalizações pertinentes e a coordenação dos projetos complementares.(desonerado)</t>
  </si>
  <si>
    <t>SE 24.20.0250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</si>
  <si>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25.20.0200.(desonerado)</t>
  </si>
  <si>
    <t>SE 24.20.0300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</si>
  <si>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25.20.0250.(desonerado)</t>
  </si>
  <si>
    <t>SE 24.20.0350 (A)</t>
  </si>
  <si>
    <t>Projeto estrutural para prédios culturais até 500m2, apresentado em disquete, sendo o arquivo compatível com o Autocad da Autodesk, e uma cópia em papel vegetal nos padrões da contratante constando de plantas de forma, armação e detalhes, de acordo com a ABNT.(desonerado)</t>
  </si>
  <si>
    <t>SE 24.20.0400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</si>
  <si>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ABNT.(desonerado)</t>
  </si>
  <si>
    <t>SE 24.20.0450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</si>
  <si>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ABNT.(desonerado)</t>
  </si>
  <si>
    <t>SE 24.25 Projeto de Arquitetura e Estrutural para Prédios Escolares e Administrativos</t>
  </si>
  <si>
    <t>SE 24.25.0050 (A)</t>
  </si>
  <si>
    <t>Projeto básico de arquitetura para prédios escolares e/ou administrativos de até 500m2 apresentado em Autocad for Windows nos padrões da contratante, inclusive as legalizações pertinentes e a coordenação dos projetos complementares.(desonerado)</t>
  </si>
  <si>
    <t>SE 24.25.0100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</si>
  <si>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25.25.0050(desonerado)</t>
  </si>
  <si>
    <t>SE 24.25.0150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</si>
  <si>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25.25.0100.(desonerado)</t>
  </si>
  <si>
    <t>SE 24.25.0200 (A)</t>
  </si>
  <si>
    <t>Projeto executivo de arquitetura para prédios escolares e/ou administrativos de até 500m2 apresentado em Autocad For Windows nos padrões da contratante, inclusive as legalizações pertinentes e a coordenação dos projetos complementares.(desonerado)</t>
  </si>
  <si>
    <t>SE 24.25.0250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</si>
  <si>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25.25.0200.(desonerado)</t>
  </si>
  <si>
    <t>SE 24.25.0300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</si>
  <si>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25.25.0250.(desonerado)</t>
  </si>
  <si>
    <t>SE 24.25.0350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</si>
  <si>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ABNT.(desonerado)</t>
  </si>
  <si>
    <t>SE 24.25.0400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</si>
  <si>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ABNT.(desonerado)</t>
  </si>
  <si>
    <t>SE 24.25.0450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</si>
  <si>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ABNT.(desonerado)</t>
  </si>
  <si>
    <t>SE 24.30 Projeto Básico e Executivo de Arquitetura para Loteamento</t>
  </si>
  <si>
    <t>SE 24.30.0050 (A)</t>
  </si>
  <si>
    <t>Projeto básico de arquitetura para loteamentos com 3 unidades uni ou bifamiliares para áreas de até 12000m2, apresentado em Autocad for Windows nos padrões da contratante, inclusive as legalizações pertinentes e a coordenação dos projetos complementares.(desonerado)</t>
  </si>
  <si>
    <t>SE 24.30.0100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</si>
  <si>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25.30.0050.(desonerado)</t>
  </si>
  <si>
    <t>SE 24.30.0150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</si>
  <si>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25.30.0100.(desonerado)</t>
  </si>
  <si>
    <t>SE 24.30.0200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</si>
  <si>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complementares.(desonerado)</t>
  </si>
  <si>
    <t>SE 24.30.0250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</si>
  <si>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25.30.0200.(desonerado)</t>
  </si>
  <si>
    <t>SE 24.30.0300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</si>
  <si>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25.30.0200.(desonerado)</t>
  </si>
  <si>
    <t>SE 24.35 Projeto Básico e Executivo de Arquitetura para Habitação</t>
  </si>
  <si>
    <t>SE 24.35.0050 (A)</t>
  </si>
  <si>
    <t>Projeto básico de arquitetura para habitação/ edifícios de até 6000m2,  apresentado em Autocad for Windows nos padrões da contratante, inclusive as legalizações pertinentes e a coordenação dos projetos complementares.(desonerado)</t>
  </si>
  <si>
    <t>SE 24.35.0100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</si>
  <si>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25.35.0050.(desonerado)</t>
  </si>
  <si>
    <t>SE 24.35.0150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</si>
  <si>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25.35.0100.(desonerado)</t>
  </si>
  <si>
    <t>SE 24.35.0200 (A)</t>
  </si>
  <si>
    <t>Projeto executivo de arquitetura para habitação/edifícios de até 6000m2, apresentado em Autocad For Windows nos padrões da contratante, inclusive as legalizações pertinentes e a coordenação dos projetos complementares.(desonerado)</t>
  </si>
  <si>
    <t>SE 24.35.0250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</si>
  <si>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25.35.0200.(desonerado)</t>
  </si>
  <si>
    <t>SE 24.35.0300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</si>
  <si>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25.35.0250.(desonerado)</t>
  </si>
  <si>
    <t>SE 24.40 Projeto Executivo de Instalação de Incêndios</t>
  </si>
  <si>
    <t>SE 24.40.0050 (A)</t>
  </si>
  <si>
    <t>Fornecimento de projeto executivo de instalação de incêndio em Autocad aprovado na concessionária em prédios escolares e administrativos com até 500m2 de área.(desonerado)</t>
  </si>
  <si>
    <t>SE 24.40.0100 (A)</t>
  </si>
  <si>
    <t>Fornecimento de projeto executivo de instalação de incêndio em Autocad aprovado na concessionária em prédios escolares e administrativos, com 500 a 3000m2 de área, sendo os primeiros 500m2 medidos como o item SE 25.40.0050.(desonerado)</t>
  </si>
  <si>
    <t>SE 24.40.0150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</si>
  <si>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25.40.0100.(desonerado)</t>
  </si>
  <si>
    <t>SE 24.40.0200 (A)</t>
  </si>
  <si>
    <t>Fornecimento de projeto executivo de instalação de incêndio em Autocad aprovado na concessionária em prédios culturais com até 500m2.(desonerado)</t>
  </si>
  <si>
    <t>SE 24.40.0250 (A)</t>
  </si>
  <si>
    <t>Fornecimento de projeto executivo de instalação de incêndio em Autocad aprovado na concessionária em prédios culturais com área acima de 500m2.(desonerado)</t>
  </si>
  <si>
    <t>SE 24.40.0300 (A)</t>
  </si>
  <si>
    <t>Fornecimento de projeto executivo de instalação de incêndio em Autocad aprovado na concessionária em prédios hospitalares.(desonerado)</t>
  </si>
  <si>
    <t>SE 24.40.0350 (A)</t>
  </si>
  <si>
    <t>Fornecimento de projeto executivo de instalação de incêndio em Autocad aprovado na concessionária em habitações/edifícios com até 500m2 de área.(desonerado)</t>
  </si>
  <si>
    <t>SE 24.40.0400 (A)</t>
  </si>
  <si>
    <t>Fornecimento de projeto executivo de instalação de incêndio em Autocad aprovado na concessionária em habitações/edifícios, com 500 a 3000m2 de área sendo os primeiros 500m2 medidos como o item SE 25.40.0350.(desonerado)</t>
  </si>
  <si>
    <t>SE 24.40.0450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</si>
  <si>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25.40.0400.(desonerado)</t>
  </si>
  <si>
    <t>SE 24.40.0500 (A)</t>
  </si>
  <si>
    <t>Fornecimento de projeto executivo de instalação de incêndio em Autocad aprovado na concessionária em habitação/loteamento com até 36000m2 de área.(desonerado)</t>
  </si>
  <si>
    <t>SE 24.40.0550 (A)</t>
  </si>
  <si>
    <t>Fornecimento de projeto executivo de instalação de incêndio em Autocad aprovado na concessionária em habitação/loteamento, considerando a área acima de 36000m2.(desonerado)</t>
  </si>
  <si>
    <t>SE 24.45 Projeto Executivo de Instalação de Gás</t>
  </si>
  <si>
    <t>SE 24.45.0050 (A)</t>
  </si>
  <si>
    <t>Fornecimento de projeto executivo de instalação de gás em Autocad aprovado na concessionária em prédios escolares e administrativos com até 500m2 de área.(desonerado)</t>
  </si>
  <si>
    <t>SE 24.45.0100 (A)</t>
  </si>
  <si>
    <t>Fornecimento de projeto executivo de instalação de gás em Autocad aprovado na concessionária em prédios escolares e administrativos com área acima de 500m2.(desonerado)</t>
  </si>
  <si>
    <t>SE 24.45.0150 (A)</t>
  </si>
  <si>
    <t>Fornecimento de projeto executivo de instalação de gás em Autocad aprovado na concessionária em prédios culturais.(desonerado)</t>
  </si>
  <si>
    <t>SE 24.45.0200 (A)</t>
  </si>
  <si>
    <t>Fornecimento de projeto executivo de instalação de gás em Autocad aprovado na concessionária em prédios hospitalares, com até 4000m2 de área.(desonerado)</t>
  </si>
  <si>
    <t>SE 24.45.0250 (A)</t>
  </si>
  <si>
    <t>Fornecimento de projeto executivo de instalação de gás em Autocad aprovado na concessionária em prédios hospitalares, considerando a área acima de 4000m2.(desonerado)</t>
  </si>
  <si>
    <t>SE 24.45.0300 (A)</t>
  </si>
  <si>
    <t>Fornecimento de projeto executivo de instalação de gás em Autocad aprovado na concessionária em habitações/edifícios com até 500m2 de área.(desonerado)</t>
  </si>
  <si>
    <t>SE 24.45.0350 (A)</t>
  </si>
  <si>
    <t>Fornecimento de projeto executivo de instalação de gás em Autocad aprovado na concessionária em habitações/edifícios com área acima de 500m2.(desonerado)</t>
  </si>
  <si>
    <t>SE 24.45.0400 (A)</t>
  </si>
  <si>
    <t>Fornecimento de projeto executivo de instalação de gás em Autocad aprovado na concessionária em habitação/loteamento com até 12000m2 de área.(desonerado)</t>
  </si>
  <si>
    <t>SE 24.45.0450 (A)</t>
  </si>
  <si>
    <t>Fornecimento de projeto executivo de instalação de gás em Autocad aprovado na concessionária em habitação/loteamento, considerando a área acima de 12000m2.(desonerado)</t>
  </si>
  <si>
    <t>SE 24.50 Projeto Executivo de Instalação Mecânica</t>
  </si>
  <si>
    <t>SE 24.50.0050 (A)</t>
  </si>
  <si>
    <t>Fornecimento de projeto executivo de instalação de mecânica em Autocad aprovado pela concessionária, em prédios escolares e administrativos com até 500m2 de área.(desonerado)</t>
  </si>
  <si>
    <t>SE 24.50.0100 (A)</t>
  </si>
  <si>
    <t>Fornecimento de projeto executivo de instalação mecânica em Autocad aprovado pela concessionária em prédios escolares e administrativos, com 500 a 3000m2 de área, sendo os primeiros 500m2 medidos como o item SE 25.50.0050.(desonerado)</t>
  </si>
  <si>
    <t>SE 24.50.0150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</si>
  <si>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25.50.0100.(desonerado)</t>
  </si>
  <si>
    <t>SE 24.50.0200 (A)</t>
  </si>
  <si>
    <t>Fornecimento de projeto executivo de instalação de mecânica em Autocad aprovado pela concessionária, em prédios culturais com até 3000m2 de área.(desonerado)</t>
  </si>
  <si>
    <t>SE 24.50.0250 (A)</t>
  </si>
  <si>
    <t>Fornecimento de projeto executivo de instalação de mecânica em Autocad aprovado pela concessionária, em prédios culturais, considerando a área acima de 3000m2.(desonerado)</t>
  </si>
  <si>
    <t>SE 24.50.0300 (A)</t>
  </si>
  <si>
    <t>Fornecimento de projeto executivo de instalação de mecânica em Autocad aprovado na concessionária em prédios hospitalares.(desonerado)</t>
  </si>
  <si>
    <t>SE 24.50.0350 (A)</t>
  </si>
  <si>
    <t>Fornecimento de projeto executivo de instalação de mecânica em Autocad aprovado na concessionária em habitações/edifícios com até 500m2 de área.(desonerado)</t>
  </si>
  <si>
    <t>SE 24.50.0400 (A)</t>
  </si>
  <si>
    <t>Fornecimento de projeto executivo de instalação de mecânica em Autocad aprovado na concessionária em habitações/edifícios, com 500 a 3000m2 de área sendo os primeiros 500m2 medidos como o item SE 25.50.0350.(desonerado)</t>
  </si>
  <si>
    <t>SE 24.50.0450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</si>
  <si>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25.50.0400.(desonerado)</t>
  </si>
  <si>
    <t>SE 24.55 Projeto Executivo de Instalação de Telefone</t>
  </si>
  <si>
    <t>SE 24.55.0050 (A)</t>
  </si>
  <si>
    <t>Fornecimento de projeto executivo de instalação de telefone em Autocad aprovado na concessionária em prédios escolares e administrativos com até 500m2 de área.(desonerado)</t>
  </si>
  <si>
    <t>SE 24.55.0100 (A)</t>
  </si>
  <si>
    <t>Fornecimento de projeto executivo de instalação de telefone em Autocad aprovado na concessionária em prédios escolares e administrativos com área acima de 500m2.(desonerado)</t>
  </si>
  <si>
    <t>SE 24.55.0150 (A)</t>
  </si>
  <si>
    <t>Fornecimento de projeto executivo de instalação de telefone em Autocad aprovado pela concessionária, em prédios culturais, com até 500m2 de área.(desonerado)</t>
  </si>
  <si>
    <t>SE 24.55.0200 (A)</t>
  </si>
  <si>
    <t>Fornecimento de projeto executivo de instalação de telefone em Autocad aprovado na concessionária em prédios culturais, com área acima de 500m2, sendo os primeiros 500m2 medidos como o item SE 25.55.0150.(desonerado)</t>
  </si>
  <si>
    <t>SE 24.55.0250 (A)</t>
  </si>
  <si>
    <t>Fornecimento de projeto executivo de instalação de telefone em Autocad aprovado na concessionária em prédios hospitalares.(desonerado)</t>
  </si>
  <si>
    <t>SE 24.55.0300 (A)</t>
  </si>
  <si>
    <t>Fornecimento de projeto executivo de instalação de telefone em Autocad aprovado na concessionária em habitações/edifícios com até 500m2 de área.(desonerado)</t>
  </si>
  <si>
    <t>SE 24.55.0350 (A)</t>
  </si>
  <si>
    <t>Fornecimento de projeto executivo de instalação de telefone em Autocad aprovado na concessionária em habitações/edifícios, com 500 a 3000m2 de área sendo os primeiros 500m2 medidos como o item SE 25.55.0300.(desonerado)</t>
  </si>
  <si>
    <t>SE 24.55.0400 (A)</t>
  </si>
  <si>
    <t>Fornecimento de projeto executivo de instalação de telefone em Autocad aprovado na concessionária em habitação/loteamento com até 12000m2 de área.(desonerado)</t>
  </si>
  <si>
    <t>SE 24.55.0450 (A)</t>
  </si>
  <si>
    <t>Fornecimento de projeto executivo de instalação de telefone em Autocad aprovado na concessionária em habitação/loteamento, considerando a área acima de 12000m2.(desonerado)</t>
  </si>
  <si>
    <t>SE 24.60 Projeto Executivo de Instalação de Esgoto Sanitário e de Águas Pluviais</t>
  </si>
  <si>
    <t>SE 24.60.0050 (A)</t>
  </si>
  <si>
    <t>Fornecimento de projeto executivo de instalação de esgoto sanitário e águas pluviais em Autocad aprovado pela concessionária, em prédios escolares e administrativos com até 500m2 de área.(desonerado)</t>
  </si>
  <si>
    <t>SE 24.60.0100 (A)</t>
  </si>
  <si>
    <t>Fornecimento de projeto executivo de instalação de esgoto sanitário e águas pluviais em Autocad aprovado pela concessionária, em prédios escolares e administrativos com 500 a 3000m2 de área sendo os primeiros 500m2 medidos como o item SE 25.60.0050.(desonerado)</t>
  </si>
  <si>
    <t>SE 24.60.0150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</si>
  <si>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25.60.0100.(desonerado)</t>
  </si>
  <si>
    <t>SE 24.60.0200 (A)</t>
  </si>
  <si>
    <t>Fornecimento de projeto executivo de instalação de esgoto sanitário e águas pluviais em Autocad aprovado pela concessionária, em prédios culturais.(desonerado)</t>
  </si>
  <si>
    <t>SE 24.60.0250 (A)</t>
  </si>
  <si>
    <t>Fornecimento de projeto executivo de instalação de esgoto sanitário e águas pluviais em Autocad aprovado pela concessionária, em prédios hospitalares com até 4000m2 de área.(desonerado)</t>
  </si>
  <si>
    <t>SE 24.60.0300 (A)</t>
  </si>
  <si>
    <t>Fornecimento de projeto executivo de instalação de esgoto sanitário e águas pluviais em Autocad aprovado pela concessionária em prédios hospitalares, considerando área acima de 4000m2.(desonerado)</t>
  </si>
  <si>
    <t>SE 24.60.0350 (A)</t>
  </si>
  <si>
    <t>Projeto executivo de instalação de esgoto sanitário e águas pluviais em Autocad aprovado na concessionária em urbanização com até 15000m2 de área.(desonerado)</t>
  </si>
  <si>
    <t>SE 24.60.0400 (A)</t>
  </si>
  <si>
    <t>Projeto executivo de instalação de esgoto sanitário e águas pluviais em Autocad aprovado na concessionária em urbanização, considerando a área acima de 15000m2.(desonerado)</t>
  </si>
  <si>
    <t>SE 24.60.0450 (A)</t>
  </si>
  <si>
    <t>Fornecimento de projeto executivo de instalação de esgoto sanitário e águas pluviais em Autocad aprovado na concessionária em habitação/loteamento com até 12000m2 de área.(desonerado)</t>
  </si>
  <si>
    <t>SE 24.60.0500 (A)</t>
  </si>
  <si>
    <t>Fornecimento de projeto executivo de instalação de esgoto sanitário e águas pluviais em Autocad aprovado na concessionária em habitação/loteamento com 12000 a 36000m2 de área, sendo os primeiros 12000m2 medidos como o item SE 25.60.0450.(desonerado)</t>
  </si>
  <si>
    <t>SE 24.60.0550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</si>
  <si>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25.60.0500.(desonerado)</t>
  </si>
  <si>
    <t>SE 24.65 Projeto Executivo de Instalação de Água</t>
  </si>
  <si>
    <t>SE 24.65.0050 (A)</t>
  </si>
  <si>
    <t>Fornecimento de projeto executivo de instalação de água em Autocad aprovado na concessionária em prédios escolares e administrativos, com até 500m2 de área.(desonerado)</t>
  </si>
  <si>
    <t>SE 24.65.0100 (A)</t>
  </si>
  <si>
    <t>Fornecimento de projeto executivo de instalação de água em Autocad aprovado na concessionária em prédios escolares e administrativos, com 500 a 3000m2 de área sendo os primeiros 500m2  medidos como o item SE 25.65.0050.(desonerado)</t>
  </si>
  <si>
    <t>SE 24.65.0150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</si>
  <si>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25.65.0100.(desonerado)</t>
  </si>
  <si>
    <t>SE 24.65.0200 (A)</t>
  </si>
  <si>
    <t>Fornecimento de projeto executivo de instalação de água em Autocad aprovado na concessionária, em prédios culturais.(desonerado)</t>
  </si>
  <si>
    <t>SE 24.65.0250 (A)</t>
  </si>
  <si>
    <t>Fornecimento de projeto executivo de instalação de água em Autocad aprovado na concessionária, em prédios hospitalares com até 4000m2 de área.(desonerado)</t>
  </si>
  <si>
    <t>SE 24.65.0300 (A)</t>
  </si>
  <si>
    <t>Fornecimento de projeto executivo de instalação de água em Autocad aprovado na concessionária, em prédios hospitalares, considerando a área acima de 4000m2.(desonerado)</t>
  </si>
  <si>
    <t>SE 24.65.0350 (A)</t>
  </si>
  <si>
    <t>Fornecimento de projeto executivo de instalação de água em Autocad aprovado na concessionária em habitações/edifícios com até 500m2 de área.(desonerado)</t>
  </si>
  <si>
    <t>SE 24.65.0400 (A)</t>
  </si>
  <si>
    <t>Fornecimento de projeto executivo de instalação de água em Autocad aprovado na concessionária em habitações/edifícios, com 500 a 3000m2 de área sendo os primeiros 500m2 medidos como o item SE 25.65.0350.(desonerado)</t>
  </si>
  <si>
    <t>SE 24.65.0450 (A)</t>
  </si>
  <si>
    <t>Fornecimento de projeto executivo de instalação de água em Autocad aprovado na concessionária em habitações/edifícios, considerando a área acima de 3000m2, sendo os primeiros 500m2 medidos como o item SE 25.65.0350 e de 501 a 3000m2 como o item SE 25.65.0400.(desonerado)</t>
  </si>
  <si>
    <t>SE 24.65.0500 (A)</t>
  </si>
  <si>
    <t>Fornecimento de projeto executivo de instalação de água em Autocad aprovado na concessionária em urbanização com até 15000m2 de área.(desonerado)</t>
  </si>
  <si>
    <t>SE 24.65.0550 (A)</t>
  </si>
  <si>
    <t>Fornecimento de projeto executivo de instalação de água em Autocad aprovado na concessionária em urbanização considerando a área acima de 15000m2.(desonerado)</t>
  </si>
  <si>
    <t>SE 24.65.0600 (A)</t>
  </si>
  <si>
    <t>Fornecimento de projeto executivo de instalação de água em Autocad aprovado na concessionária em habitação/loteamento com até 12000m2 de área.(desonerado)</t>
  </si>
  <si>
    <t>SE 24.65.0650 (A)</t>
  </si>
  <si>
    <t>Fornecimento de projeto executivo de instalação de água em Autocad aprovado na concessionária em habitação/loteamento com 12000 a 36000m2 de área, sendo os primeiros 12000m2 medidos como o item SE 25.65.0600.(desonerado)</t>
  </si>
  <si>
    <t>SE 24.65.0700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</si>
  <si>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25.65.0650.(desonerado)</t>
  </si>
  <si>
    <t>SE 24.65.0750 (/)</t>
  </si>
  <si>
    <t>Projeto executivo de instalação hidráulica de montagem interna de chafarizes, apresentado em papel vegetal nos padrões da contratada, de acordo com a ABNT.(desonerado)</t>
  </si>
  <si>
    <t>SE 24.70 Projeto Executivo de Instalação de Elétrica</t>
  </si>
  <si>
    <t>SE 24.70.0050 (A)</t>
  </si>
  <si>
    <t>Fornecimento de projeto executivo de instalação elétrica em Autocad aprovado pela concessionária, em prédios escolares e administrativos com até 500m2 de área.(desonerado)</t>
  </si>
  <si>
    <t>SE 24.70.0100 (A)</t>
  </si>
  <si>
    <t>Fornecimento de projeto executivo de instalação elétrica em Autocad aprovado pela concessionária, em prédios escolares e administrativos de 500 a 3000m2 de área, sendo os primeiros 500m2 medidos como o item SE 25.70.0050.(desonerado)</t>
  </si>
  <si>
    <t>SE 24.70.0150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</si>
  <si>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25.70.0100.(desonerado)</t>
  </si>
  <si>
    <t>SE 24.70.0200 (A)</t>
  </si>
  <si>
    <t>Fornecimento de projeto executivo de instalação elétrica em Autocad aprovado na concessionária, em prédios culturais com até 3000m2 de área.(desonerado)</t>
  </si>
  <si>
    <t>SE 24.70.0250 (A)</t>
  </si>
  <si>
    <t>Fornecimento de projeto executivo de instalação elétrica em Autocad aprovado pela concessionária, em prédios culturais, considerando a área acima de 3000m2.(desonerado)</t>
  </si>
  <si>
    <t>SE 24.70.0300 (A)</t>
  </si>
  <si>
    <t>Fornecimento de projeto executivo de instalação elétrica em Autocad aprovado na concessionária em prédios hospitalares.(desonerado)</t>
  </si>
  <si>
    <t>SE 24.70.0350 (A)</t>
  </si>
  <si>
    <t>Fornecimento de projeto executivo de instalação elétrica em Autocad aprovado na concessionária em habitações/edifícios com até 500m2 de área.(desonerado)</t>
  </si>
  <si>
    <t>SE 24.70.0400 (A)</t>
  </si>
  <si>
    <t>Fornecimento de projeto executivo de instalação elétrica em Autocad aprovado na concessionária em habitações/edifícios, com 500 a 3000m2 de área sendo os primeiros 500m2 medidos como o item SE 25.70.0350.(desonerado)</t>
  </si>
  <si>
    <t>SE 24.70.0450 (A)</t>
  </si>
  <si>
    <t>Fornecimento de projeto executivo de instalação elétrica em Autocad aprovado na concessionária em habitações/edifícios, considerando a área acima de 3000m2, sendo os primeiros 500m2 medidos como o item SE 25.70.0400 e de 501 a 3000m2 como o item SE 25.70.0350.(desonerado)</t>
  </si>
  <si>
    <t>SE 24.70.0500 (A)</t>
  </si>
  <si>
    <t>Fornecimento de projeto executivo de instalação elétrica em Autocad aprovado na concessionária em urbanização com até 15000m2 de área.(desonerado)</t>
  </si>
  <si>
    <t>SE 24.70.0550 (A)</t>
  </si>
  <si>
    <t>Fornecimento de projeto executivo de instalação elétrica em Autocad aprovado na concessionária em urbanização, considerando a área acima de 15000m2.(desonerado)</t>
  </si>
  <si>
    <t>SE 24.70.0600 (A)</t>
  </si>
  <si>
    <t>Fornecimento de projeto executivo de instalação elétrica em Autocad aprovado na concessionária em habitação/loteamento, com até 12000m2 de área.(desonerado)</t>
  </si>
  <si>
    <t>SE 24.70.0650 (A)</t>
  </si>
  <si>
    <t>Fornecimento de projeto executivo de instalação elétrica em Autocad aprovado na concessionária em habitação/loteamento com 12000 a 36000m2 de área, sendo os primeiros 12000m2 medidos como o item SE 25.70.0600.(desonerado)</t>
  </si>
  <si>
    <t>SE 24.70.0700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</si>
  <si>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25.70.0650.(desonerado)</t>
  </si>
  <si>
    <t>SE 24.70.0750 (/)</t>
  </si>
  <si>
    <t>Projeto executivo de instalação elétrica do quadro dos comandos de motores para chafarizes, apresentado em papel vegetal nos padrões da contratada, de acordo com a ABNT.(desonerado)</t>
  </si>
  <si>
    <t>SE 24.70.0800 (/)</t>
  </si>
  <si>
    <t>Projeto executivo de sistema de ar condicionado, em Autocad, em Prédios com área de até 500m2.(desonerado)</t>
  </si>
  <si>
    <t>SE 24.70.0850 (/)</t>
  </si>
  <si>
    <t>Projeto executivo de sistema de ar condicionado, em Autocad, em prédios com área de 500 a 3000m2.(desonerado)</t>
  </si>
  <si>
    <t>SE 24.70.0900 (/)</t>
  </si>
  <si>
    <t>Projeto executivo de sistema de ar condicionado, em Autocad, em prédios com área acima de 3000m2.(desonerado)</t>
  </si>
  <si>
    <t>SE 24.70.0950 (/)</t>
  </si>
  <si>
    <t>Projeto executivo de rede lógica (computadores) em Autocad, em prédios com área de até 500m2.(desonerado)</t>
  </si>
  <si>
    <t>SE 24.70.1000 (/)</t>
  </si>
  <si>
    <t>Projeto executivo de rede lógica (computadores) em Autocad, em prédios com área de 500m2 a 3000m2.(desonerado)</t>
  </si>
  <si>
    <t>SE 24.70.1050 (/)</t>
  </si>
  <si>
    <t>Projeto executivo de rede lógica (computadores) em Autocad, em prédios com área acima de 3000m2.(desonerado)</t>
  </si>
  <si>
    <t>SE 24.70.1100 (A)</t>
  </si>
  <si>
    <t>Projeto executivo de instalação elétrica, inclusive iluminação, tomadas e iluminação de emergência para subestação até 2750 Kva, apresentado em Autocad for Windows, nos padrões da contratante, aprovado na concessionária.(desonerado)</t>
  </si>
  <si>
    <t>SE 24.75 Projeto Executivo de Instalação de Segurança</t>
  </si>
  <si>
    <t>SE 24.75.0050 (A)</t>
  </si>
  <si>
    <t>Fornecimento de projeto executivo de instalação de segurança em Autocad aprovado na concessionária, em prédios culturais.(desonerado)</t>
  </si>
  <si>
    <t>SE 24.80 Projeto Executivo de Instalações Especiais</t>
  </si>
  <si>
    <t>SE 24.80.0050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</si>
  <si>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simultânea.(desonerado)</t>
  </si>
  <si>
    <t>SE 24.85 Elaboração de Estudos e Projetos Especiais</t>
  </si>
  <si>
    <t>SE 24.85.0050 (/)</t>
  </si>
  <si>
    <t>Projeto executivo de arquitetura para construção de galpão (geométrico, cortes, detalhamento e perspectiva) apresentado em papel vegetal nos padrões da contratante, de acordo com a ABNT, considerando a área de 500m2.(desonerado)</t>
  </si>
  <si>
    <t>SE 24.85.0100 (A)</t>
  </si>
  <si>
    <t>Projeto executivo de arquitetura para área destinada a abrigar subestação, até 2750Kva, inclusive detalhamento da serralheria e dos cubículos, apresentado em Autocad for Windows, nos padrões da contratante.(desonerado)</t>
  </si>
  <si>
    <t>SE 24.85.0150 (A)</t>
  </si>
  <si>
    <t>Desenho em perspectiva no tamanho de (70x50)cm, colorido, para projeto de tratamento paisagístico em áreas públicas.(desonerado)</t>
  </si>
  <si>
    <t>SE 24.85.0200 (/)</t>
  </si>
  <si>
    <t>Projeto executivo de arquitetura para implantação de viveiros de mudas de árvores e hortas (geométrico, cortes, detalhamento e perspectivas) apresentado em papel vegetal nos padrões da contratante, de acordo com a ABNT, considerando a área de até 20.000m2.(desonerado)</t>
  </si>
  <si>
    <t>SE 24.85.0250 (/)</t>
  </si>
  <si>
    <t>Projeto executivo de instalação elétrica, apresentado em papel vegetal nos padrões da contratante, de acordo com a ABNT, para chafarizes, inclusive legalização junto à concessionária.(desonerado)</t>
  </si>
  <si>
    <t>SE 24.85.0300 (/)</t>
  </si>
  <si>
    <t>Projeto executivo de instalação hidro-sanitária, apresentado em papel vegetal nos padrões da contratada, de acordo com a ABNT, para chafarizes, inclusive legalização junto à concessionária.(desonerado)</t>
  </si>
  <si>
    <t>SE 24.85.0350 (/)</t>
  </si>
  <si>
    <t>Projeto executivo de sistema de drenagem e irrigação para implantação de viveiros de mudas de árvores e hortas, apresentado em papel vegetal nos padrões da contratante, de acordo com a ABNT, considerando a área de até 20.000m2.(desonerado)</t>
  </si>
  <si>
    <t>SE 24.90 Projeto de Obra-de-Arte</t>
  </si>
  <si>
    <t>SE 24.90.0200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</si>
  <si>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500m2.(desonerado)</t>
  </si>
  <si>
    <t>SE 24.90.0300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</si>
  <si>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5000m2.(desonerado)</t>
  </si>
  <si>
    <t>SE 24.90.0350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</si>
  <si>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7000m2.(desonerado)</t>
  </si>
  <si>
    <t>SE 24.90.0400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</si>
  <si>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7000m2.(desonerado)</t>
  </si>
  <si>
    <t>SE 24.95 Projeto de Programação Visual</t>
  </si>
  <si>
    <t>SE 24.95.0050 (A)</t>
  </si>
  <si>
    <t>Projeto executivo de programação visual para prédios escolares e/ou administrativos de 501 até 3000m2 apresentado em Autocad for Windows nos padrões da contratante.(desonerado)</t>
  </si>
  <si>
    <t>SE 29.05 Ensaios de Pavimentação</t>
  </si>
  <si>
    <t>SE 29.05.0050 (/)</t>
  </si>
  <si>
    <t>Extração com auxílio de sonda rotativa de corpos de prova com 15cm de diâmetro em pavimentos com placas de concreto, revestimentos betuminosos, com mais de 10cm de espessura.(desonerado)</t>
  </si>
  <si>
    <t>SE 29.05.0100 (/)</t>
  </si>
  <si>
    <t>Determinação da deformação do pavimento com auxílio da Viga Benkelmann, ponto.(desonerado)</t>
  </si>
  <si>
    <t>SE 34.05 Serviços de Elaboração de Vistorias e Laudos Técnicos</t>
  </si>
  <si>
    <t>SE 34.05.0250 (A)</t>
  </si>
  <si>
    <t>Serviços de inventário, metodologia de cadastro e avaliação da arborização pública da Cidade do Rio de Janeiro.(desonerado)</t>
  </si>
  <si>
    <t>SE 34.05.0300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</si>
  <si>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pertinente.(desonerado)</t>
  </si>
  <si>
    <t>SE 34.05.0350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</si>
  <si>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pertinentes.(desonerado)</t>
  </si>
  <si>
    <t>SE 34.05.0400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</si>
  <si>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pertinentes.(desonerado)</t>
  </si>
  <si>
    <t>SE 34.05.0450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</si>
  <si>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superiores.(desonerado)</t>
  </si>
  <si>
    <t>SE 34.05.0700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</si>
  <si>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superiores.(desonerado)</t>
  </si>
  <si>
    <t>SE 34.05.0800 (B)</t>
  </si>
  <si>
    <t>Serviços de elaboração de vistorias, laudos técnicos, quantitativos e relatório fotográfico, relativo a pichações e atos de vandalismo de monumentos históricos.(desonerado)</t>
  </si>
  <si>
    <t>SE 39.05 Análise Laboratorial</t>
  </si>
  <si>
    <t>SE 39.05.0025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</si>
  <si>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dados.(desonerado)</t>
  </si>
  <si>
    <t>SE 39.05.0050 (/)</t>
  </si>
  <si>
    <t>Análise laboratorial de solo de árvores.(desonerado)</t>
  </si>
  <si>
    <t>SE 39.05.0100 (/)</t>
  </si>
  <si>
    <t>Análise laboratorial fitopatológica de árvores.(desonerado)</t>
  </si>
  <si>
    <t>SE 98.99 Diversos</t>
  </si>
  <si>
    <t>SE 98.99.0050 (A)</t>
  </si>
  <si>
    <t>Elaboração de manual de operação e manutenção para subestação abaixadora de tensão.(desonerado)</t>
  </si>
  <si>
    <t>SE 98.99.0100 (A)</t>
  </si>
  <si>
    <t>Serviços de comissionamento, testes e treinamento pessoal para utilização de subestação abaixadora de tensão.(desonerado)</t>
  </si>
  <si>
    <t>ST 49.05 Projetos de Sinalização</t>
  </si>
  <si>
    <t>ST 49.05.0050 (A)</t>
  </si>
  <si>
    <t>Projeto de interseção semaforizada de acordo com as especifições da CET-RIO.(desonerado)</t>
  </si>
  <si>
    <t>ST 49.05.0100 (A)</t>
  </si>
  <si>
    <t>Projeto de sinalização gráfica horizontal, inclusive transporte em caminhoneta para 09 passageiros para o local, conforme especificações da CET-RIO.(desonerado)</t>
  </si>
  <si>
    <t>ST 54.05 Pesquisas e Levantamentos de Tráfego</t>
  </si>
  <si>
    <t>ST 54.05.0050 (A)</t>
  </si>
  <si>
    <t>Contagem manual classificada de fluxo de veículos ou pedestres, de acordo com as especificações da CET-RIO.(desonerado)</t>
  </si>
  <si>
    <t>ST 54.05.0100 (A)</t>
  </si>
  <si>
    <t>Levantamento de perfil de tráfego de seções de vias urbanas, com até 4 faixas, através de contagens volumétricas, não classificadas durante 24 horas, em intervalos de 15min, realizadas por equipamento, com apresentação dos dados em meio magnético.(desonerado)</t>
  </si>
  <si>
    <t>ST 54.05.0150 (/)</t>
  </si>
  <si>
    <t>Levantamento de perfil de tráfego de seções de vias urbanas, com até 4 faixas, através de contagens volumétricas, não classificadas durante 7 dias, em intervalos de 15min, realizadas por dispositivos pneumáticos, com apresentação dos dados em meio magnético.(desonerado)</t>
  </si>
  <si>
    <t>ST 54.05.0200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</si>
  <si>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dados.(desonerado)</t>
  </si>
  <si>
    <t>ST 54.05.0250 (/)</t>
  </si>
  <si>
    <t>Pesquisa de origem-destino de acordo com as especificações da CET-RIO.(desonerado)</t>
  </si>
  <si>
    <t>ST 54.05.0300 (/)</t>
  </si>
  <si>
    <t>Pesquisa de polos geradores de tráfego de acordo com as especificações da CET-RIO.(desonerado)</t>
  </si>
  <si>
    <t>ST 59.05 Fornecimento de Blocos Semafóricos</t>
  </si>
  <si>
    <t>ST 59.05.0050 (/)</t>
  </si>
  <si>
    <t>Bloco semafórico principal, em alumínio, com 03 (três) módulos focais para lentes de 300mm de diâmetro, completo com lentes, refletores, instalação elétrica, lâmpadas, cobre-focos, anteparo e suportes de fixação, conforme especificação da CET-RIO.  Fornecimento.(desonerado)</t>
  </si>
  <si>
    <t>ST 59.05.0100 (/)</t>
  </si>
  <si>
    <t>Bloco semafórico repetidor, em alumínio, com 03 (três) módulos focais para lentes de 200mm de diâmetro, completo com lentes, refletores, instalação elétrica, lâmpadas, cobre-focos, anteparo e suportes de fixação, conforme especificação da CET-RIO.  Fornecimento.(desonerado)</t>
  </si>
  <si>
    <t>ST 59.05.0150 (/)</t>
  </si>
  <si>
    <t>Bloco semafórico para pedestre ou ciclovia, em alumínio, com 02 (dois) módulos focais para lentes de 200mm de lado, completo com lentes, refletores, instalação elétrica, lâmpadas, cobre-focos e suportes de fixação, conforme especificação da CET-RIO.  Fornecimento.(desonerado)</t>
  </si>
  <si>
    <t>ST 59.05.0500 (/)</t>
  </si>
  <si>
    <t>Bloco semafórico principal com 3 (três) módulos focais de 300mm de diâmetro à led, cobre-focos, anteparo, borrachas de vedação e suportes de fixação, conforme especificação da CET-RIO.  Fornecimento.(desonerado)</t>
  </si>
  <si>
    <t>ST 59.05.0550 (/)</t>
  </si>
  <si>
    <t>Bloco semafórico repetidor com 3 (três) módulos focais de 200mm de diâmetro à led, cobre-focos, anteparo, borrachas de vedação e suportes de fixação, conforme especificação da CET-RIO.  Fornecimento.(desonerado)</t>
  </si>
  <si>
    <t>ST 59.05.1000 (/)</t>
  </si>
  <si>
    <t>Bloco semafórico para pedestre com 2 (dois) módulos focais de 200mm à led, compreendendo foco verde "Siga" (boneco) e foco vermelho "Pare" (mão espalmada) com borrachas de vedação e suportes de fixação, conforme especificação da CET-RIO.  Fornecimento.(desonerado)</t>
  </si>
  <si>
    <t>ST 59.10 Fornecimento de Controladores de Tráfego</t>
  </si>
  <si>
    <t>ST 59.10.0050 (/)</t>
  </si>
  <si>
    <t>Botoeira para travessia de pedestres conforme especificação da CET-RIO.  Fornecimento.(desonerado)</t>
  </si>
  <si>
    <t>ST 59.10.0450 (/)</t>
  </si>
  <si>
    <t>Controlador eletrônico de tráfego local, compatível com sistema CET-RIO/CTA, módulos II, V, VI, VII, com 4 fases, modelo DP40-8, da Dataprom ou similar.  Fornecimento.(desonerado)</t>
  </si>
  <si>
    <t>ST 59.10.0500 (/)</t>
  </si>
  <si>
    <t>Controlador eletrônico de tráfego local, compatível com sistema CET-RIO/CTA, módulos II, V, VI, VII, com 6 fases, modelo DP40-8, da Dataprom ou similar.  Fornecimento.(desonerado)</t>
  </si>
  <si>
    <t>ST 59.10.0550 (/)</t>
  </si>
  <si>
    <t>Controlador eletrônico de tráfego local, compatível com sistema CET-RIO/CTA, módulos II, V, VI, VII, com 8 fases, modelo DP40-8, da Dataprom ou similar.  Fornecimento.(desonerado)</t>
  </si>
  <si>
    <t>ST 59.10.0600 (/)</t>
  </si>
  <si>
    <t>Controlador eletrônico de tráfego local, compatível com sistema CET-RIO/CTA, módulos II, V, VI, VII, com 10 fases, modelo DP40-16, da Dataprom ou similar.  Fornecimento.(desonerado)</t>
  </si>
  <si>
    <t>ST 59.10.0650 (/)</t>
  </si>
  <si>
    <t>Controlador eletrônico de tráfego local, compatível com sistema CET-RIO/CTA, módulos II, V, VI, VII, com 12 fases, modelo DP40-16, da Dataprom ou similar.  Fornecimento.(desonerado)</t>
  </si>
  <si>
    <t>ST 59.10.0700 (/)</t>
  </si>
  <si>
    <t>Controlador eletrônico de tráfego local, compatível com sistema CET-RIO/CTA, módulos II, V, VI, VII, com 14 fases, modelo DP40-16, da Dataprom ou similar.  Fornecimento.(desonerado)</t>
  </si>
  <si>
    <t>ST 59.10.0750 (/)</t>
  </si>
  <si>
    <t>Controlador eletrônico de tráfego local, compatível com sistema CET-RIO/CTA, módulos II, V, VI, VII, com 16 fases, modelo DP40-16, da Dataprom ou similar.  Fornecimento.(desonerado)</t>
  </si>
  <si>
    <t>ST 59.10.0800 (/)</t>
  </si>
  <si>
    <t>Controlador de área, compatível com sistema CET-RIO/CTA, módulos II, V, VI, VII, com todas as placas de comunicação, Dataprom ou similar.  Fornecimento.(desonerado)</t>
  </si>
  <si>
    <t>ST 59.10.0900 (/)</t>
  </si>
  <si>
    <t>Controlador eletrônico de tráfego local, com 4 fases, compatível com sistema CET-RIO/CTA, módulos I, III, IV, modelo RMX-Y, da Telvent ou similar.  Fornecimento.(desonerado)</t>
  </si>
  <si>
    <t>ST 59.10.1000 (/)</t>
  </si>
  <si>
    <t>Controlador eletrônico de tráfego local, com 8 fases, compatível com sistema CET-RIO/CTA, módulos I, III, IV, modelo RMX-Y, da Telvent ou similar.  Fornecimento.(desonerado)</t>
  </si>
  <si>
    <t>ST 59.10.1100 (/)</t>
  </si>
  <si>
    <t>Controlador eletrônico de tráfego local, com 12 fases, compatível com sistema CET-RIO/CTA, módulos I, III, IV, modelo RMX-Y, da Telvent ou similar.  Fornecimento.(desonerado)</t>
  </si>
  <si>
    <t>ST 59.10.1200 (/)</t>
  </si>
  <si>
    <t>Controlador eletrônico de tráfego local, com 16 fases, compatível com sistema CET-RIO/CTA, módulos I, III, IV, modelo RMX-Y, da Telvent ou similar.  Fornecimento.(desonerado)</t>
  </si>
  <si>
    <t>ST 59.10.2000 (/)</t>
  </si>
  <si>
    <t>Controlador eletrônico de tráfego local, sem fio (wireless), incluindo placa de comunicação wireless GSM/GPRS, com GPS, compatível com o Sistema CET-RIO/CTA sem fio (wireless) - módulos VII, IX e XII, com 4 fases, modelo DP-40-8 da Dataprom ou similar.  Fornecimento.(desonerado)</t>
  </si>
  <si>
    <t>ST 59.10.2050 (/)</t>
  </si>
  <si>
    <t>Controlador eletrônico de tráfego local, sem fio (wireless), incluindo placa de comunicação wireless GSM/GPRS, com GPS, compatível com o Sistema CET-RIO/CTA sem fio (wireless) - módulos VIII, X e XI, com 4 fases, modelo RBY da Telvent ou similar.  Fornecimento.(desonerado)</t>
  </si>
  <si>
    <t>ST 59.10.2100 (/)</t>
  </si>
  <si>
    <t>Controlador eletrônico de tráfego local, sem fio (wireless), incluindo placa de comunicação wireless GSM/GPRS, com GPS, compatível com o Sistema CET-RIO/CTA sem fio (wireless) - módulos VII, IX e XII, com 6 fases, modelo DP-40-8 da Dataprom ou similar.  Fornecimento.(desonerado)</t>
  </si>
  <si>
    <t>ST 59.10.2150 (/)</t>
  </si>
  <si>
    <t>Controlador eletrônico de tráfego local, sem fio (wireless), incluindo placa de comunicação wireless GSM/GPRS, com GPS, compatível com o Sistema CET-RIO/CTA sem fio (wireless) - módulos VIII, X e XI, com 6 fases, modelo RBY da Telvent ou similar.  Fornecimento.(desonerado)</t>
  </si>
  <si>
    <t>ST 59.10.2200 (/)</t>
  </si>
  <si>
    <t>Controlador eletrônico de tráfego local, sem fio (wireless), incluindo placa de comunicação wireless GSM/GPRS, com GPS, compatível com o Sistema CET-RIO/CTA sem fio (wireless) - módulos VII, IX e XII, com 8 fases, modelo DP-40-8 da Dataprom ou similar.  Fornecimento.(desonerado)</t>
  </si>
  <si>
    <t>ST 59.10.2250 (/)</t>
  </si>
  <si>
    <t>Controlador eletrônico de tráfego local, sem fio (wireless), incluindo placa de comunicação wireless GSM/GPRS, com GPS, compatível com o Sistema CET-RIO/CTA sem fio (wireless) - módulos VIII, X e XI, com 8 fases, modelo RBY da Telvent ou similar.  Fornecimento.(desonerado)</t>
  </si>
  <si>
    <t>ST 59.10.2300 (/)</t>
  </si>
  <si>
    <t>Controlador eletrônico de tráfego local, sem fio (wireless), incluindo placa de comunicação wireless GSM/GPRS, com GPS, compatível com o Sistema CET-RIO/CTA sem fio (wireless) - módulos VII, IX e XII, com 10 fases, modelo DP-40-16 da Dataprom ou similar.  Fornecimento.(desonerado)</t>
  </si>
  <si>
    <t>ST 59.10.2350 (/)</t>
  </si>
  <si>
    <t>Controlador eletrônico de tráfego local, sem fio (wireless), incluindo placa de comunicação wireless GSM/GPRS, com GPS, compatível com o Sistema CET-RIO/CTA sem fio (wireless) - módulos VIII, X e XI, com 10 fases, modelo RBY da Telvent ou similar.  Fornecimento.(desonerado)</t>
  </si>
  <si>
    <t>ST 59.10.2400 (/)</t>
  </si>
  <si>
    <t>Controlador eletrônico de tráfego local, sem fio (wireless), incluindo placa de comunicação wireless GSM/GPRS, com GPS, compatível com o Sistema CET-RIO/CTA sem fio (wireless) - módulos VII, IX e XII, com 12 fases, modelo DP-40-16 da Dataprom ou similar.  Fornecimento.(desonerado)</t>
  </si>
  <si>
    <t>ST 59.10.2450 (/)</t>
  </si>
  <si>
    <t>Controlador eletrônico de tráfego local, sem fio (wireless), incluindo placa de comunicação wireless GSM/GPRS, com GPS, compatível com o Sistema CET-RIO/CTA sem fio (wireless) - módulos VIII, X e XI, com 12 fases, modelo RBY da Telvent ou similar.  Fornecimento.(desonerado)</t>
  </si>
  <si>
    <t>ST 59.10.2500 (/)</t>
  </si>
  <si>
    <t>Controlador eletrônico de tráfego local, sem fio (wireless), incluindo placa de comunicação wireless GSM/GPRS, com GPS, compatível com o Sistema CET-RIO/CTA sem fio (wireless) - módulos VII, IX e XII, com 14 fases, modelo DP-40-16 da Dataprom ou similar.  Fornecimento.(desonerado)</t>
  </si>
  <si>
    <t>ST 59.10.2550 (/)</t>
  </si>
  <si>
    <t>Controlador eletrônico de tráfego local, sem fio (wireless), incluindo placa de comunicação wireless GSM/GPRS, com GPS, compatível com o Sistema CET-RIO/CTA sem fio (wireless) - módulos VIII, X e XI, com 14 fases, modelo RBY da Telvent ou similar.  Fornecimento.(desonerado)</t>
  </si>
  <si>
    <t>ST 59.10.2600 (/)</t>
  </si>
  <si>
    <t>Controlador eletrônico de tráfego local, sem fio (wireless), incluindo placa de comunicação wireless GSM/GPRS, com GPS, compatível com o Sistema CET-RIO/CTA sem fio (wireless) - módulos VII, IX e XII, com 16 fases, modelo DP-40-16 da Dataprom ou similar.  Fornecimento.(desonerado)</t>
  </si>
  <si>
    <t>ST 59.10.2650 (/)</t>
  </si>
  <si>
    <t>Controlador eletrônico de tráfego local, sem fio (wireless), incluindo placa de comunicação wireless GSM/GPRS, com GPS, compatível com o Sistema CET-RIO/CTA sem fio (wireless) - módulos VIII, X e XI, com 16 fases, modelo RBY da Telvent ou similar.  Fornecimento.(desonerado)</t>
  </si>
  <si>
    <t>ST 59.15 Componentes para Controladores de Tráfego</t>
  </si>
  <si>
    <t>ST 59.15.0050 (/)</t>
  </si>
  <si>
    <t>Módulo de detetores para controlador de tráfego local, compatível com sistema CET-RIO/CTA, módulos II, V, VI, VII, da Dataprom ou similar.  Fornecimento.(desonerado)</t>
  </si>
  <si>
    <t>ST 59.15.0100 (/)</t>
  </si>
  <si>
    <t>Módulo de potência para controlador de tráfego local, compatível com sistema CET-RIO/CTA, módulos II, V, VI, VII, da Dataprom ou similar.  Fornecimento.(desonerado)</t>
  </si>
  <si>
    <t>ST 59.15.0150 (/)</t>
  </si>
  <si>
    <t>Modem para controlador local DP-40 Dataprom, conforme especificação CET-RIO. Fornecimento.(desonerado)</t>
  </si>
  <si>
    <t>ST 59.15.0200 (/)</t>
  </si>
  <si>
    <t>Módulo de detetores para controlador de tráfego local, com capacidade para 2 laços indutivos, BST ou similar.  Fornecimento.(desonerado)</t>
  </si>
  <si>
    <t>ST 59.15.0250 (/)</t>
  </si>
  <si>
    <t>Placa de grupo para controlador de tráfego local RMX-Y, com capacidade para 2 fases, modelo GTX-201-V7, Sainco Trafico ou similar.  Fornecimento.(desonerado)</t>
  </si>
  <si>
    <t>ST 59.15.0500 (/)</t>
  </si>
  <si>
    <t>Placa de comunicação sem fio (wireless) GSM/GPRS, com GPS, para controlador eletrônico de tráfego local, compatível com o Sistema CET-RIO/CTA sem fio (wireless) - módulos VII, IX e XII, modelo EEC1C2-C da Dataprom ou similar.  Fornecimento.(desonerado)</t>
  </si>
  <si>
    <t>ST 59.15.0550 (/)</t>
  </si>
  <si>
    <t>Placa de comunicação sem fio (wireless) GSM/GPRS, com GPS, para controlador eletrônico de tráfego local, compatível com o Sistema CET-RIO/CTA sem fio (wireless) - módulos VIII, X e XI, modelo TCE-486 da Telvent ou similar.  Fornecimento.(desonerado)</t>
  </si>
  <si>
    <t>ST 59.15.0600 (/)</t>
  </si>
  <si>
    <t>Placa de potência para controlador eletrônico de tráfego local, compatível com o Sistema CET-RIO/CTA sem fio (wireless) - módulos VII, IX e XII, modelo POTNCS1 da Dataprom ou similar.  Fornecimento.(desonerado)</t>
  </si>
  <si>
    <t>ST 59.15.0650 (/)</t>
  </si>
  <si>
    <t>Placa de potência para controlador eletrônico de tráfego local sem fio (wireless), compatível com o Sistema CET-RIO/CTA sem fio (wireless) - módulos VIII, X e XI, com até 12 fases (controlador RBY), modelo TGRY da Telvent ou similar.  Fornecimento.(desonerado)</t>
  </si>
  <si>
    <t>ST 59.15.0700 (/)</t>
  </si>
  <si>
    <t>Placa de potência para controlador eletrônico de tráfego local sem fio (wireless), compatível com o Sistema CET-RIO/CTA sem fio (wireless) - módulos VIII, X e XI, com mais de 12 fases (controlador RMY), modelo GTX-201 da Telvent ou similar.  Fornecimento.(desonerado)</t>
  </si>
  <si>
    <t>ST 59.20 Serviços de Instalação de Blocos Semafóricos</t>
  </si>
  <si>
    <t>ST 59.20.0050 (/)</t>
  </si>
  <si>
    <t>Instalação e teste de funcionamento de blocos semafóricos.(desonerado)</t>
  </si>
  <si>
    <t>ST 59.20.0100 (/)</t>
  </si>
  <si>
    <t>Instalação e teste de funcionamento de botoeira.(desonerado)</t>
  </si>
  <si>
    <t>ST 59.20.0150 (/)</t>
  </si>
  <si>
    <t>Retirada de cordoalha e de cabos elétricos de interseção.(desonerado)</t>
  </si>
  <si>
    <t>ST 59.20.0200 (/)</t>
  </si>
  <si>
    <t>Retirada de bloco semafórico.(desonerado)</t>
  </si>
  <si>
    <t>ST 59.20.0250 (/)</t>
  </si>
  <si>
    <t>Cabo para alimentação de semáforo, seção de 4x1,5mm2, conforme especificação da CET-RIO.  Fornecimento e instalação.(desonerado)</t>
  </si>
  <si>
    <t>ST 59.20.0300 (/)</t>
  </si>
  <si>
    <t>Cabo para alimentação de semáforo, seção de 7x1,5mm2, conforme especificação da CET-RIO.  Fornecimento e instalação.(desonerado)</t>
  </si>
  <si>
    <t>ST 59.20.0350 (/)</t>
  </si>
  <si>
    <t>Cabo de cobre estanhado, múltiplo para comando, 1Kv, XLPE/90°C, seção de 9x1,5mm2, conforme especificação da CET-RIO.  Fornecimento e instalação.(desonerado)</t>
  </si>
  <si>
    <t>ST 59.20.0400 (/)</t>
  </si>
  <si>
    <t>Cabo de cobre estanhado, múltiplo para comando, 1Kv, XLPE/90°C, seção de 7x2,5mm2, conforme especificação da CET-RIO.  Fornecimento e instalação.(desonerado)</t>
  </si>
  <si>
    <t>ST 59.20.0450 (/)</t>
  </si>
  <si>
    <t>Cabo de cobre estanhado, múltiplo para comando, 1Kv, XLPE/90°C, seção de 4x6mm2, conforme especificação da CET-RIO.  Fornecimento e instalação.(desonerado)</t>
  </si>
  <si>
    <t>ST 59.20.0500 (/)</t>
  </si>
  <si>
    <t>Cabo de cobre estanhado, múltiplo para comando, 1Kv, XLPE/90°C, seção de 4x10mm2, conforme especificação da CET-RIO.  Fornecimento e instalação.(desonerado)</t>
  </si>
  <si>
    <t>ST 59.20.0550 (/)</t>
  </si>
  <si>
    <t>Cabo elétrico singelo de 10mm2, conforme especificação da CET-RIO.  Fornecimento e instalação.(desonerado)</t>
  </si>
  <si>
    <t>ST 59.25 Serviços de Instalação de Controladores Semafóricos</t>
  </si>
  <si>
    <t>ST 59.25.0050 (/)</t>
  </si>
  <si>
    <t>Instalação, programação e teste de funcionamento de controlador de tráfego.(desonerado)</t>
  </si>
  <si>
    <t>ST 59.25.0100 (/)</t>
  </si>
  <si>
    <t>Retirada de controlador de tráfego.(desonerado)</t>
  </si>
  <si>
    <t>ST 59.30 Detetores</t>
  </si>
  <si>
    <t>ST 59.30.0050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</si>
  <si>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pavimento.(desonerado)</t>
  </si>
  <si>
    <t>ST 59.30.0100 (/)</t>
  </si>
  <si>
    <t>Instalação, ajustes e testes de detetor veicular para laço indutivo.(desonerado)</t>
  </si>
  <si>
    <t>ST 59.35 Bases e Suportes para Controladores</t>
  </si>
  <si>
    <t>ST 59.35.0050 (C)</t>
  </si>
  <si>
    <t>Base de concreto armado para controlador de tráfego.(desonerado)</t>
  </si>
  <si>
    <t>ST 59.35.0100 (/)</t>
  </si>
  <si>
    <t>Pedestal tubular, com bandeja, para controladores de tráfego tipo Tesc, Datapron ou similares, conforme especificação CET-RIO.(desonerado)</t>
  </si>
  <si>
    <t>ST 59.40 Serviços para Redes de Comunicação</t>
  </si>
  <si>
    <t>ST 59.40.0050 (/)</t>
  </si>
  <si>
    <t>Emenda direta de cabo telefônico com até 100 pares.(desonerado)</t>
  </si>
  <si>
    <t>ST 59.40.0100 (/)</t>
  </si>
  <si>
    <t>Instalação de bloco terminal de 10 pares em bastidores de aço, inclusive realização de emendas.(desonerado)</t>
  </si>
  <si>
    <t>ST 59.40.0150 (/)</t>
  </si>
  <si>
    <t>Instalação de kit de proteção para 10 pares, exclusive fornecimento.(desonerado)</t>
  </si>
  <si>
    <t>ST 59.40.0200 (A)</t>
  </si>
  <si>
    <t>Instalação subterrânea de cabos de comunicação, exclusive fornecimento.(desonerado)</t>
  </si>
  <si>
    <t>ST 59.40.0250 (/)</t>
  </si>
  <si>
    <t>Instalação de caixa de emenda aérea.(desonerado)</t>
  </si>
  <si>
    <t>ST 59.40.0300 (/)</t>
  </si>
  <si>
    <t>Instalação aérea de cabos de comunicação.(desonerado)</t>
  </si>
  <si>
    <t>ST 59.40.0350 (/)</t>
  </si>
  <si>
    <t>Fornecimento de cordoalha de aço de 5/16".(desonerado)</t>
  </si>
  <si>
    <t>ST 59.40.0400 (/)</t>
  </si>
  <si>
    <t>Fornecimento de arame de espinar encapado.(desonerado)</t>
  </si>
  <si>
    <t>ST 59.40.0450 (/)</t>
  </si>
  <si>
    <t>Fornecimento de alça pré-formada para cordoalha 5/16".(desonerado)</t>
  </si>
  <si>
    <t>ST 59.40.0500 (/)</t>
  </si>
  <si>
    <t>Fornecimento de fio telefônico FE-100, bitola de 1mm2.(desonerado)</t>
  </si>
  <si>
    <t>ST 59.40.0543 (/)</t>
  </si>
  <si>
    <t>Fornecimento de cabo de comunicação de cobre, 0,50mm2, CCE-APL-50, 3 pares.(desonerado)</t>
  </si>
  <si>
    <t>ST 59.40.0550 (/)</t>
  </si>
  <si>
    <t>Fornecimento de cabo de comunicação de cobre, CTP-APL-50, 0,50mm2, 10 pares.(desonerado)</t>
  </si>
  <si>
    <t>ST 59.40.0600 (/)</t>
  </si>
  <si>
    <t>Fornecimento de cabo de comunicação de cobre, CTP-APL-50, 0,50mm2, 20 pares.(desonerado)</t>
  </si>
  <si>
    <t>ST 59.40.0650 (/)</t>
  </si>
  <si>
    <t>Fornecimento de cabo de comunicação de cobre, CTP-APL-50, 0,50mm2, 50 pares.(desonerado)</t>
  </si>
  <si>
    <t>ST 59.40.0700 (/)</t>
  </si>
  <si>
    <t>Fornecimento de cabo de comunicação de cobre, CTP-APL-50, 0,50mm2, 100 pares.(desonerado)</t>
  </si>
  <si>
    <t>ST 59.40.0800 (/)</t>
  </si>
  <si>
    <t>Cabo de fibra ótico, monomodo, geleado, para instalação subterrânea em dutos.  Fornecimento.(desonerado)</t>
  </si>
  <si>
    <t>ST 59.45 Caixas de Passagem</t>
  </si>
  <si>
    <t>ST 59.45.0050 (A)</t>
  </si>
  <si>
    <t>Caixa de passagem com tampa de ferro tipo leve 300L-400mm de altura, conforme especificação CET-RIO.  Fornecimento e assentamento.(desonerado)</t>
  </si>
  <si>
    <t>ST 59.45.0100 (/)</t>
  </si>
  <si>
    <t>Caixa de passagem com tampa articulada de ferro, com trava, tipo leve 600L-600mm de altura, conforme especificação CET-RIO.  Fornecimento e assentamento.(desonerado)</t>
  </si>
  <si>
    <t>ST 59.45.0150 (/)</t>
  </si>
  <si>
    <t>Caixa de passagem com tampa articulada de ferro, com trava, tipo leve 600L-900mm de altura, conforme especificação CET-RIO.  Fornecimento e assentamento.(desonerado)</t>
  </si>
  <si>
    <t>ST 59.45.0200 (/)</t>
  </si>
  <si>
    <t>Caixa de passagem com tampa de ferro tipo pesado 600P-600mm de altura, conforme especificação CET-RIO.  Fornecimento e assentamento.(desonerado)</t>
  </si>
  <si>
    <t>ST 59.50 Materiais de Reposição</t>
  </si>
  <si>
    <t>ST 59.50.0050 (/)</t>
  </si>
  <si>
    <t>Lâmpada de 60W, 127V, com filamento reforçado, disco refletor, preenchida com gás kripton, 8000h de vida útil média.  Fornecimento.(desonerado)</t>
  </si>
  <si>
    <t>ST 59.50.0100 (/)</t>
  </si>
  <si>
    <t>Lâmpada 100W, 127V, com filamento reforçado, disco refletor, preenchida com gás Krypton, 8000h de vida útil média.  Fornecimento.(desonerado)</t>
  </si>
  <si>
    <t>ST 59.50.0110 (/)</t>
  </si>
  <si>
    <t>Módulo focal a LED para bloco repetidor de 200mm na cor amarela.  Fornecimento.(desonerado)</t>
  </si>
  <si>
    <t>ST 59.50.0116 (/)</t>
  </si>
  <si>
    <t>Módulo focal a LED para bloco repetidor de 200mm na cor verde.  Fornecimento.(desonerado)</t>
  </si>
  <si>
    <t>ST 59.50.0122 (/)</t>
  </si>
  <si>
    <t>Módulo focal a LED para bloco repetidor de 200mm na cor vermelha.  Fornecimento.(desonerado)</t>
  </si>
  <si>
    <t>ST 59.50.0128 (/)</t>
  </si>
  <si>
    <t>Módulo focal a LED para bloco principal de 300mm na cor amarela.  Fornecimento.(desonerado)</t>
  </si>
  <si>
    <t>ST 59.50.0134 (/)</t>
  </si>
  <si>
    <t>Módulo focal a LED para bloco principal de 300mm na cor verde.  Fornecimento.(desonerado)</t>
  </si>
  <si>
    <t>ST 59.50.0140 (/)</t>
  </si>
  <si>
    <t>Módulo focal a LED para bloco principal de 300mm na cor vermelha.  Fornecimento.(desonerado)</t>
  </si>
  <si>
    <t>ST 59.50.0143 (/)</t>
  </si>
  <si>
    <t>Módulo focal a LED para bloco para bloco de pedestre com formato boneco na cor verde.  Fornecimento.(desonerado)</t>
  </si>
  <si>
    <t>ST 59.50.0146 (/)</t>
  </si>
  <si>
    <t>Módulo focal a LED para bloco para bloco de pedestre com formato mão espalmada na cor vermelha.  Fornecimento.(desonerado)</t>
  </si>
  <si>
    <t>ST 59.50.0150 (/)</t>
  </si>
  <si>
    <t>Suporte de fixação de bloco semafórico principal ao braço projetado de diâmetro de 88,9mm, com ligação aparafusada pela extremidade externa da caixa de módulo focal.  Fornecimento.(desonerado)</t>
  </si>
  <si>
    <t>ST 59.50.0200 (/)</t>
  </si>
  <si>
    <t>Suporte basculante para bloco semafórico.  Fornecimento.(desonerado)</t>
  </si>
  <si>
    <t>ST 59.60 Painéis de Mensagens Variáveis</t>
  </si>
  <si>
    <t>ST 59.60.0100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</si>
  <si>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t>
  </si>
  <si>
    <t>ST 59.60.0200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</si>
  <si>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t>
  </si>
  <si>
    <t>ST 59.60.0300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</si>
  <si>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</si>
  <si>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</si>
  <si>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</si>
  <si>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</si>
  <si>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</si>
  <si>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</si>
  <si>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mensal.(desonerado)</t>
  </si>
  <si>
    <t>ST 64.05 Postes Metálicos</t>
  </si>
  <si>
    <t>ST 64.05.0200 (/)</t>
  </si>
  <si>
    <t>Poste tipo S4, coluna de 4 1/2", de diâmetro, braço projetado de 4", e  projeção de 6200mm, conforme especificação da CET-RIO.  Fornecimento.(desonerado)</t>
  </si>
  <si>
    <t>ST 64.05.0250 (/)</t>
  </si>
  <si>
    <t>Poste tipo S5, simples, de 4" de diâmetro.  Conforme especificação da CET-RIO.  Fornecimento.(desonerado)</t>
  </si>
  <si>
    <t>ST 64.05.0300 (/)</t>
  </si>
  <si>
    <t>Poste tipo G4, coluna de 5" de diâmetro, braço projetado de 4 1/2" e projeção de 4700mm, conforme especificação da CET-RIO.  Fornecimento.(desonerado)</t>
  </si>
  <si>
    <t>ST 64.05.0350 (/)</t>
  </si>
  <si>
    <t>Poste tipo G5, coluna de 6" de diâmetro, braço projetado de 4700mm, conforme especificação da CET-RIO.  Fornecimento.(desonerado)</t>
  </si>
  <si>
    <t>ST 64.05.0400 (/)</t>
  </si>
  <si>
    <t>Poste tipo G7, de 2" de diâmetro, altura de 3500mm, conforme especificação da CET-RIO.  Fornecimento.(desonerado)</t>
  </si>
  <si>
    <t>ST 64.05.0450 (/)</t>
  </si>
  <si>
    <t>Poste tipo G8, simples, de 2" de diâmetro,altura de 2200mm, conforme especificação da CET-RIO.  Fornecimento.(desonerado)</t>
  </si>
  <si>
    <t>ST 64.05.0500 (/)</t>
  </si>
  <si>
    <t>Poste tipo G9, simples, de 2" de diâmetro, altura de 4500mm, conforme especificação da CET-RIO.  Fornecimento.(desonerado)</t>
  </si>
  <si>
    <t>ST 64.05.0550 (/)</t>
  </si>
  <si>
    <t>Braço projetado para poste multi-uso, em tubo de aço, diâmetro de 88,9mm e projeção horizontal de 4370mm.  Fornecimento.(desonerado)</t>
  </si>
  <si>
    <t>ST 64.05.0600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</si>
  <si>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Fornecimento.(desonerado)</t>
  </si>
  <si>
    <t>ST 64.05.0610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</si>
  <si>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 (desonerado)</t>
  </si>
  <si>
    <t>ST 64.05.0630 (/)</t>
  </si>
  <si>
    <t>Coluna de aço cônica contínua tipo II para um braço projetado capaz de sustentar semáforo e placa de até 4,50m2; coluna galvanizada a fogo; altura útil total de 5m; 300mm de diâmetro na base; conforme especificação da CET-RIO.  Fornecimento.(desonerado)</t>
  </si>
  <si>
    <t>ST 64.05.0636 (/)</t>
  </si>
  <si>
    <t>Coluna de aço cônica contínua tipo II para dois braços projetados capazes de sustentar, cada um, semáforo e placa de até 4,50m2; coluna galvanizada a fogo; altura útil total de 5m; 300mm de diâmetro na base; conforme especificação da CET-RIO.  Fornecimento.(desonerado)</t>
  </si>
  <si>
    <t>ST 64.05.0637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</si>
  <si>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 (quatro virgula setenta e cinco milimetros); com janela de inspeção para passagem de cabos; conforme especificação CET-RIO. Fornecimento. (desonerado)</t>
  </si>
  <si>
    <t>ST 64.05.0638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</si>
  <si>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 (desonerado).</t>
  </si>
  <si>
    <t>ST 64.05.0640 (/)</t>
  </si>
  <si>
    <t>ST 64.05.0650 (/)</t>
  </si>
  <si>
    <t>ST 64.05.0690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</si>
  <si>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 (desonerado).</t>
  </si>
  <si>
    <t>ST 64.05.0700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</si>
  <si>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Fornecimento.(desonerado)</t>
  </si>
  <si>
    <t>ST 64.05.0730 (/)</t>
  </si>
  <si>
    <t>ST 64.05.0750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</si>
  <si>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Fornecimento.(desonerado)</t>
  </si>
  <si>
    <t>ST 64.05.0755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</si>
  <si>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 (desonerado)</t>
  </si>
  <si>
    <t>ST 64.05.0760 (/)</t>
  </si>
  <si>
    <t>Braço projetado de aço para sustentação de semáforo e placa de até 4,50m2; galvanizado a fogo; para fixação em coluna cônica tipo II; projeção de 6m; 173mm de diâmetro junto à flange; conforme especificação da CET-RIO.  Fornecimento.(desonerado)</t>
  </si>
  <si>
    <t>ST 64.05.0800 (/)</t>
  </si>
  <si>
    <t>Poste de aço galvanizado, cônico, contínuo, reto, poligonal, 12m de altura, para suporte à câmera de TV.  Fornecimento e assentamento.(desonerado)</t>
  </si>
  <si>
    <t>ST 64.10 Pórticos, Semi-pórticos e Treliças</t>
  </si>
  <si>
    <t>ST 64.10.0050 (/)</t>
  </si>
  <si>
    <t>Pórtico, coluna tubular, em aço galvanizado à quente, treliça para sustentação das placas, chumbadores para fixação, vão de 13,20m.  Fornecimento.(desonerado)</t>
  </si>
  <si>
    <t>ST 64.10.0100 (/)</t>
  </si>
  <si>
    <t>Pórtico, coluna tubular, em aço galvanizado à quente, treliça para sustentação das placas, chumbadores para fixação, vão de 15,20m.  Fornecimento.(desonerado)</t>
  </si>
  <si>
    <t>ST 64.10.0150 (/)</t>
  </si>
  <si>
    <t>Pórtico, coluna tubular, em aço galvanizado à quente, treliça para sustentação das placas, chumbadores para fixação, vão de 17,20m.  Fornecimento.(desonerado)</t>
  </si>
  <si>
    <t>ST 64.10.0200 (/)</t>
  </si>
  <si>
    <t>Pórtico, coluna tubular, em aço galvanizado à quente, treliça para sustentação das placas, chumbadores para fixação, vão de 18,80m.  Fornecimento.(desonerado)</t>
  </si>
  <si>
    <t>ST 64.10.0250 (/)</t>
  </si>
  <si>
    <t>Pórtico, coluna tubular, em aço galvanizado à quente, treliça para sustentação das placas, chumbadores para fixação, vão de 22,40m.  Fornecimento.(desonerado)</t>
  </si>
  <si>
    <t>ST 64.10.0300 (/)</t>
  </si>
  <si>
    <t>Semi-pórtico simples, em aço galvanizado à quente, bandeira simples, viga treliçada em balanço e chumbadores para fixação, coluna tubular, vão de 5,10m.  Fornecimento.(desonerado)</t>
  </si>
  <si>
    <t>ST 64.10.0350 (/)</t>
  </si>
  <si>
    <t>Semi-pórtico simples, em aço galvanizado à quente, bandeira simples, viga treliçada em balanço e chumbadores para fixação, coluna tubular, vão de 8,60m.  Fornecimento.(desonerado)</t>
  </si>
  <si>
    <t>ST 64.10.0400 (/)</t>
  </si>
  <si>
    <t>Semi-pórtico duplo, coluna tubular em aço galvanizado à quente, treliças em balanço para sustentação das placas e chumbadores para fixação, vão de 5,10m.  Fornecimento.(desonerado)</t>
  </si>
  <si>
    <t>ST 64.10.0450 (/)</t>
  </si>
  <si>
    <t>Semi-pórtico duplo, coluna tubular em aço galvanizado à quente, treliças em balanço para sustentação das placas e chumbadores para fixação, vão de 8,60m.  Fornecimento.(desonerado)</t>
  </si>
  <si>
    <t>ST 64.15 Serviços de Assentamento e Montagem  de Postes e Pórticos</t>
  </si>
  <si>
    <t>ST 64.15.0050 (A)</t>
  </si>
  <si>
    <t>Assentamento de poste simples de aço, diâmetro de 2", inclusive abertura de furo, fundação e recomposição do piso.(desonerado)</t>
  </si>
  <si>
    <t>ST 64.15.0100 (A)</t>
  </si>
  <si>
    <t>Assentamento de poste simples de aço, diâmetro maior que 4", inclusive abertura de furo, fundação e recomposição do piso.(desonerado)</t>
  </si>
  <si>
    <t>ST 64.15.0150 (A)</t>
  </si>
  <si>
    <t>Assentamento e montagem de poste de aço com braço projetado, inclusive abertura de furo, fundação e recomposição do piso.(desonerado)</t>
  </si>
  <si>
    <t>ST 64.15.0170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</si>
  <si>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coluna.(desonerado)</t>
  </si>
  <si>
    <t>ST 64.15.0173 (/)</t>
  </si>
  <si>
    <t>Assentamento de coluna cônica contínua tipo II para 1 (um) ou 2 (dois) braços projetados capazes de sustentar, cada um, semáforo e placa de até 4,5m2 fixada por chumbadores engastados em fundação de concreto, exclusive fundação, exclusive fornecimento da coluna.(desonerado)</t>
  </si>
  <si>
    <t>ST 64.15.0176 (/)</t>
  </si>
  <si>
    <t>Assentamento e montagem de uma coluna de pórtico ou de semi-pórtico, fixada por parafusos chumbadores engastados em fundação.(desonerado)</t>
  </si>
  <si>
    <t>ST 64.15.0180 (/)</t>
  </si>
  <si>
    <t>Montagem de braço projetado de aço em coluna de aço cônica contínua tipo I assentada, exclusive o fornecimento do braço.(desonerado)</t>
  </si>
  <si>
    <t>ST 64.15.0186 (/)</t>
  </si>
  <si>
    <t>Montagem de braço projetado em coluna de aço cônica contínua tipo II assentada, exclusive o fornecimento do braço.(desonerado)</t>
  </si>
  <si>
    <t>ST 64.15.0190 (/)</t>
  </si>
  <si>
    <t>Montagem de treliça de pórtico, com fornecimento das ferragens de fixação, exclusive a treliça.  Para vão entre 13,00 e 23,00m.(desonerado)</t>
  </si>
  <si>
    <t>ST 64.15.0196 (/)</t>
  </si>
  <si>
    <t>Montagem de treliça de semipórtico, com fornecimento das ferragens de fixação, exclusive a treliça.  Para vão entre 5,00 e 10,00m.(desonerado)</t>
  </si>
  <si>
    <t>ST 64.15.0200 (A)</t>
  </si>
  <si>
    <t>Retirada de poste simples de aço, diâmetro de 2".(desonerado)</t>
  </si>
  <si>
    <t>ST 64.15.0250 (A)</t>
  </si>
  <si>
    <t>Retirada de poste simples de aço, diâmetro maior que 4".(desonerado)</t>
  </si>
  <si>
    <t>ST 64.15.0300 (/)</t>
  </si>
  <si>
    <t>Retirada de poste com braço projetado, diâmetro maior que 4".(desonerado)</t>
  </si>
  <si>
    <t>ST 64.15.0340 (/)</t>
  </si>
  <si>
    <t>Bloco de concreto armado medindo (0,60 x 0,60 x 1,00)m para uma coluna de aço cônica contínua para instalação de até 4 braços projetados para sinalização.(desonerado)</t>
  </si>
  <si>
    <t>ST 64.15.0350 (A)</t>
  </si>
  <si>
    <t>Base de concreto para uma coluna de pórtico.(desonerado)</t>
  </si>
  <si>
    <t>ST 64.15.1000 (/)</t>
  </si>
  <si>
    <t>Retirada de braço projetado de aço para sustentação de semáforo e placa de até 4,5m2, projeção de 6m, 173mm de diâmetro junto à flange, fixado em coluna cônica contínua tipo II(desonerado)</t>
  </si>
  <si>
    <t>ST 64.15.1200 (/)</t>
  </si>
  <si>
    <t>Retirada de coluna de aço contínua tipo II com altura útil total de 5m e diâmetro na base igual a 300mm.(desonerado)</t>
  </si>
  <si>
    <t>ST 64.20 Acessórios</t>
  </si>
  <si>
    <t>ST 64.20.0050 (/)</t>
  </si>
  <si>
    <t>Cinta simples para fixação do conjunto de sustentação de sinalização vertical (semáforos e placas), conforme desenho nº 1859-PD.  Fornecimento.(desonerado)</t>
  </si>
  <si>
    <t>ST 64.20.0100 (/)</t>
  </si>
  <si>
    <t>Cinta dupla para fixação do conjunto de sustentação de sinalização vertical (semáforos e placas), conforme desenho nº 1859-PD.  Fornecimento.(desonerado)</t>
  </si>
  <si>
    <t>ST 69.05 Placas de Alumínio</t>
  </si>
  <si>
    <t>ST 69.05.0050 (/)</t>
  </si>
  <si>
    <t>Placa de sinalização de alumínio com fundo, símbolos e tarjas pintados, inclusive elementos de fixação, conforme especificação da CET-RIO.  Fornecimento.(desonerado)</t>
  </si>
  <si>
    <t>ST 69.05.0100 (/)</t>
  </si>
  <si>
    <t>Placa de sinalização de alumínio com fundo pintado, símbolos e tarjas em película refletiva com esferas inclusas tipo I-A da NBR14644, inclusive elementos de fixação, conforme especificação da CET-RIO.  Fornecimento.(desonerado)</t>
  </si>
  <si>
    <t>ST 69.05.0150 (/)</t>
  </si>
  <si>
    <t>Placa de sinalização de alumínio com fundo, símbolos e tarjas em película refletiva com esferas inclusas tipo I-A da NBR14644, inclusive elementos de fixação, conforme especificação da CET-RIO.  Fornecimento.(desonerado)</t>
  </si>
  <si>
    <t>ST 69.05.0200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</si>
  <si>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Fornecimento.(desonerado)</t>
  </si>
  <si>
    <t>ST 69.05.0250 (/)</t>
  </si>
  <si>
    <t>Placa de sinalização de alumínio com fundo, símbolos e tarjas em película refletiva com esferas encapsuladas tipo II da NBR14644, inclusive elementos de fixação, conforme especificação CET-RIO.  Fornecimento.(desonerado)</t>
  </si>
  <si>
    <t>ST 69.05.0300 (/)</t>
  </si>
  <si>
    <t>Placa de sinalização modulada de alumínio com fundo, símbolos e tarjas em película refletiva com esferas inclusas tipo I-A da NBR14644, inclusive elementos de fixação, conforme especificação da CET-RIO.  Fornecimento.(desonerado)</t>
  </si>
  <si>
    <t>ST 69.05.0350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</si>
  <si>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Fornecimento.(desonerado)</t>
  </si>
  <si>
    <t>ST 69.05.0400 (/)</t>
  </si>
  <si>
    <t>Placa de sinalização modulada de alumínio com fundo, símbolos e tarjas em película refletiva com esferas encapsuladas tipo II da NBR14644, inclusive elementos de fixação, conforme especificação CET-RIO.  Fornecimento.(desonerado)</t>
  </si>
  <si>
    <t>ST 69.10 Placas de Fibra de Vidro</t>
  </si>
  <si>
    <t>ST 69.10.0050 (/)</t>
  </si>
  <si>
    <t>Placa de regulamentação, diâmetro de 500mm, fabricada em fibra de vidro pelo sistema S.M.C.  Fornecimento.(desonerado)</t>
  </si>
  <si>
    <t>ST 69.12 Placas não Metálicas</t>
  </si>
  <si>
    <t>ST 69.12.0100 (/)</t>
  </si>
  <si>
    <t>Placa de sinalização, confeccionada em chapa de Pet 2,4mm com fundo, textos e tarjas em película refletiva, esferas inclusas tipo 1-A da NBR 14.644, inclusive elementos de fixação, conforme especificação da CETRIO. Fornecimento.(desonerado)</t>
  </si>
  <si>
    <t>ST 69.15 Serviços de Instalação e Retirada de Placas</t>
  </si>
  <si>
    <t>ST 69.15.0050 (A)</t>
  </si>
  <si>
    <t>Instalação e retirada de placas em postes simples, CET-RIO ou postes RIOLUZ.(desonerado)</t>
  </si>
  <si>
    <t>ST 69.15.0100 (A)</t>
  </si>
  <si>
    <t>Instalação e retirada de placas em postes duplos.(desonerado)</t>
  </si>
  <si>
    <t>ST 69.15.0150 (/)</t>
  </si>
  <si>
    <t>Instalação ou retirada de placas em braço projetado.(desonerado)</t>
  </si>
  <si>
    <t>ST 69.15.0200 (/)</t>
  </si>
  <si>
    <t>Instalação e retirada de painéis modulados em pórticos ou semi-pórticos.(desonerado)</t>
  </si>
  <si>
    <t>ST 69.20 Serviços e Materiais para Fabricação de Placas</t>
  </si>
  <si>
    <t>ST 69.20.0050 (/)</t>
  </si>
  <si>
    <t>Película refletiva de esferas inclusas (grau técnico), em rolo de 610mmx20m.  Fornecimento.(desonerado)</t>
  </si>
  <si>
    <t>rolo</t>
  </si>
  <si>
    <t>ST 69.20.0100 (/)</t>
  </si>
  <si>
    <t>Aplicação de película refletiva com esferas inclusas tipo I-A da NBR 14644, em placas de sinalização, medida pela área envolvente da película empregada, tanto no fundo, como na mensagem.(desonerado)</t>
  </si>
  <si>
    <t>ST 69.20.0150 (/)</t>
  </si>
  <si>
    <t>Aplicação de película refletiva com esferas encapsuladas, tipo II da NBR14644, em placas de sinalização, medida pela área envolvente da película empregada, tanto no fundo, como na mensagem.(desonerado)</t>
  </si>
  <si>
    <t>ST 69.20.0200 (/)</t>
  </si>
  <si>
    <t>Película anti-pichação para placas de sinalização.(desonerado)</t>
  </si>
  <si>
    <t>ST 69.20.0250 (/)</t>
  </si>
  <si>
    <t>Tinta esmalte sintético para silk-screen, na cor branca, lata de 900ml.  Fornecimento.(desonerado)</t>
  </si>
  <si>
    <t>ST 69.20.0300 (/)</t>
  </si>
  <si>
    <t>Tinta esmalte sintético para silk-screen, na cor preta, lata de 900ml.  Fornecimento.(desonerado)</t>
  </si>
  <si>
    <t>ST 69.20.0350 (/)</t>
  </si>
  <si>
    <t>Tinta esmalte sintético para silk-screen, na cor amarela, lata de 900ml.  Fornecimento.(desonerado)</t>
  </si>
  <si>
    <t>ST 69.20.0400 (/)</t>
  </si>
  <si>
    <t>Tinta esmalte sintético para silk-screen, na cor azul, lata de 900ml.  Fornecimento.(desonerado)</t>
  </si>
  <si>
    <t>ST 69.20.0450 (/)</t>
  </si>
  <si>
    <t>Tinta esmalte sintético para silk-screen, na cor vermelha, lata de 900ml.  Fornecimento.(desonerado)</t>
  </si>
  <si>
    <t>ST 69.25 Elementos de Fixação</t>
  </si>
  <si>
    <t>ST 69.25.0050 (/)</t>
  </si>
  <si>
    <t>Fita de aço galvanizado, com 19mm de largura e 0,50mm de espessura, conforme especificação da CET-RIO.  Fornecimento.(desonerado)</t>
  </si>
  <si>
    <t>ST 69.25.0100 (/)</t>
  </si>
  <si>
    <t>Selo de aço galvanizado, para fixação de fitas de (19x0,50)mm, conforme especificação da CET-RIO.  Fornecimento.(desonerado)</t>
  </si>
  <si>
    <t>ST 69.25.0200 (/)</t>
  </si>
  <si>
    <t>Suporte para fixação de placas, fabricado em perfil "U" de 1 3/4"x5/8", em chapas de aço galvanizado de 2mm de espessura, comprimento de 400mm, com abraçadeira para fixação em hastes de 2" de diâmetro externo, conforme especificação da CET-RIO.  Fornecimento.(desonerado)</t>
  </si>
  <si>
    <t>ST 69.25.0250 (/)</t>
  </si>
  <si>
    <t>Suporte para fixação de placas, fabricado em perfil "U" de 1 3/4"x5/8", em chapas de aço galvanizado de 2mm de espessura, comprimento de 700mm, com abraçadeira para fixação em hastes de 2" de diâmetro externo, conforme especificação da CET-RIO.  Fornecimento.(desonerado)</t>
  </si>
  <si>
    <t>ST 69.25.0300 (/)</t>
  </si>
  <si>
    <t>Suporte para fixação de placas, fabricado em perfil "U" de 1 3/4"x5/8", em chapas de aço galvanizado de 2mm de espessura, comprimento de 700mm, com abraçadeira para fixação em hastes de 4" de diâmetro externo, conforme especificação da CET-RIO.  Fornecimento.(desonerado)</t>
  </si>
  <si>
    <t>ST 74.05 Serviços de Sinalização Horizontal</t>
  </si>
  <si>
    <t>ST 74.05.0050 (A)</t>
  </si>
  <si>
    <t>Sinalização horizontal com resina acrílica, em projetos até 60m2, conforme especificações da CET-RIO.(desonerado)</t>
  </si>
  <si>
    <t>ST 74.05.0100 (A)</t>
  </si>
  <si>
    <t>Sinalização horizontal com resina acrílica, em projetos de 60m2 até 160m2, conforme especificações da CET-RIO.(desonerado)</t>
  </si>
  <si>
    <t>ST 74.05.0150 (A)</t>
  </si>
  <si>
    <t>Sinalização horizontal com resina acrílica, em projetos acima de 160m2, conforme especificações da CET-RIO.(desonerado)</t>
  </si>
  <si>
    <t>ST 74.05.0200 (A)</t>
  </si>
  <si>
    <t>Sinalização horizontal com massa termoplástica, aplicada por aspersão, conforme especificação CET-RIO, em projetos até 100m2.(desonerado)</t>
  </si>
  <si>
    <t>ST 74.05.0250 (A)</t>
  </si>
  <si>
    <t>Sinalização horizontal com massa termoplástica, aplicada por aspersão, conforme especificação CET-RIO, em projetos entre 100m2 e 400m2.(desonerado)</t>
  </si>
  <si>
    <t>ST 74.05.0300 (A)</t>
  </si>
  <si>
    <t>Sinalização horizontal com massa termoplástica, aplicada por aspersão, conforme especificação CET-RIO, em projetos acima de 400m2.(desonerado)</t>
  </si>
  <si>
    <t>ST 74.05.0350 (A)</t>
  </si>
  <si>
    <t>Sinalização horizontal com massa termoplástica, aplicada por extrusão, em projetos até 60m2, conforme especificações da CET-RIO.(desonerado)</t>
  </si>
  <si>
    <t>ST 74.05.0400 (A)</t>
  </si>
  <si>
    <t>Sinalização horizontal com massa termoplástica, aplicada por extrusão, em projetos entre 60m2 e 150m2, conforme especificações da CET-RIO.(desonerado)</t>
  </si>
  <si>
    <t>ST 74.05.0450 (A)</t>
  </si>
  <si>
    <t>Sinalização horizontal com massa termoplástica, aplicada por extrusão, em projetos acima de 150m2, conforme especificações da CET-RIO.(desonerado)</t>
  </si>
  <si>
    <t>ST 74.05.0500 (/)</t>
  </si>
  <si>
    <t>Retirada de massa termoplástica.(desonerado)</t>
  </si>
  <si>
    <t>ST 74.05.0550 (/)</t>
  </si>
  <si>
    <t>Retirada de pintura a base de resina acrílica.(desonerado)</t>
  </si>
  <si>
    <t>ST 74.05.0600 (/)</t>
  </si>
  <si>
    <t>Aplicação de selante asfáltico à base de acrílicas para pavimentos de concreto, usado como imprimador para material termoplástico, inclusive fornecimento dos materiais necessários conforme especificação CET-RIO.(desonerado)</t>
  </si>
  <si>
    <t>ST 74.05.0650 (/)</t>
  </si>
  <si>
    <t>Tacha, instalação, conforme especificação CET-RIO.(desonerado)</t>
  </si>
  <si>
    <t>ST 74.05.0700 (/)</t>
  </si>
  <si>
    <t>Tachão, instalação, conforme especificação CET-RIO.(desonerado)</t>
  </si>
  <si>
    <t>ST 74.05.0750 (/)</t>
  </si>
  <si>
    <t>Instalação de segregador, conforme especificação CET-RIO.(desonerado)</t>
  </si>
  <si>
    <t>ST 74.10 Fornecimento de Materiais para Sinalização Horizontal</t>
  </si>
  <si>
    <t>ST 74.10.0151 (/)</t>
  </si>
  <si>
    <t>Tacha monodirecional, conforme especificação CET-RIO.  Fornecimento.(desonerado)</t>
  </si>
  <si>
    <t>ST 74.10.0201 (/)</t>
  </si>
  <si>
    <t>Tacha bidirecional, conforme especificação CET-RIO.  Fornecimento.(desonerado)</t>
  </si>
  <si>
    <t>ST 74.10.0351 (/)</t>
  </si>
  <si>
    <t>Tachão monodirecional, conforme especificação CET-RIO.  Fornecimento.(desonerado)</t>
  </si>
  <si>
    <t>ST 74.10.0401 (/)</t>
  </si>
  <si>
    <t>Tachão bidirecional, conforme especificação CET-RIO.  Fornecimento.(desonerado)</t>
  </si>
  <si>
    <t>ST 74.10.0450 (/)</t>
  </si>
  <si>
    <t>Segregador, conforme especificação CET-RIO.  Fornecimento.(desonerado)</t>
  </si>
  <si>
    <t>ST 74.15 Laminado Elastoplástico</t>
  </si>
  <si>
    <t>ST 74.15.0050 (/)</t>
  </si>
  <si>
    <t>Símbolos em laminado elastoplástico, com 1,5mm de espessura e com medidas diversas, em cores, com micro-esferas de vidro.  Em projetos que utilizem entre 150 e 500m2 do material.  Fornecimento e aplicação.(desonerado)</t>
  </si>
  <si>
    <t>ST 74.15.0100 (/)</t>
  </si>
  <si>
    <t>Símbolos em laminado elastoplástico, com 1,5mm de espessura e com medidas diversas, em cores, com micro-esferas de vidro.  Em projetos que utilizem entre 500 e 1000m2 do material.  Fornecimento e aplicação.(desonerado)</t>
  </si>
  <si>
    <t>ST 74.15.0150 (/)</t>
  </si>
  <si>
    <t>Símbolos em laminado elastoplástico, com 1,5mm de espessura e com medidas diversas, em cores, com micro-esferas de vidro.  Em projetos que utilizem acima de 1000m2 do material.  Fornecimento e aplicação.(desonerado)</t>
  </si>
  <si>
    <t>ST 74.15.0200 (/)</t>
  </si>
  <si>
    <t>Laminado elastoplástico em faixas, com espessura de 1,5mm e até 50cm de largura, na cor branca, com micro-esferas de vidro.  Em projetos que utilizem entre 150 e 500m2 do material.  Fornecimento e aplicação.(desonerado)</t>
  </si>
  <si>
    <t>ST 74.15.0250 (/)</t>
  </si>
  <si>
    <t>Laminado elastoplástico em faixas, com espessura de 1,5mm e até 50cm de largura, na cor amarela, com micro-esferas de vidro.  Em projetos que utilizem entre 150 e 500m2 do material.  Fornecimento e aplicação.(desonerado)</t>
  </si>
  <si>
    <t>ST 74.15.0300 (/)</t>
  </si>
  <si>
    <t>Laminado elastoplástico em faixas, com espessura de 1,5mm e até 50cm de largura, colorido (exceto branco e amarelo), com micro-esferas de vidro.  Em projetos que utilizem entre 150 e 500m2 do material.  Fornecimento e aplicação.(desonerado)</t>
  </si>
  <si>
    <t>ST 74.15.0350 (/)</t>
  </si>
  <si>
    <t>Laminado elastoplástico em faixas, com espessura de 1,5mm e até 50cm de largura, na cor branca, com micro-esferas de vidro.  Em projetos que utilizem entre 500 e 1000m2 do material.  Fornecimento e aplicação.(desonerado)</t>
  </si>
  <si>
    <t>ST 74.15.0400 (/)</t>
  </si>
  <si>
    <t>Laminado elastoplástico em faixas, com espessura de 1,5mm e até 50cm de largura, na cor amarela, com micro-esferas de vidro.  Em projetos que utilizem entre 500 e 1000m2 do material.  Fornecimento e aplicação.(desonerado)</t>
  </si>
  <si>
    <t>ST 74.15.0450 (/)</t>
  </si>
  <si>
    <t>Laminado elastoplástico em faixas, com espessura de 1,5mm e até 50cm de largura, colorido (exceto branco e amarelo), com micro-esferas de vidro.  Em projetos que utilizem entre 500 e 1000m2 do material.  Fornecimento e aplicação.(desonerado)</t>
  </si>
  <si>
    <t>ST 74.15.0500 (/)</t>
  </si>
  <si>
    <t>Laminado elastoplástico em faixas, com espessura de 1,5mm e até 50cm de largura, na cor branca, com micro-esferas de vidro.  Em projetos que utilizem acima de 1000m2 do material.  Fornecimento e aplicação.(desonerado)</t>
  </si>
  <si>
    <t>ST 74.15.0550 (/)</t>
  </si>
  <si>
    <t>Laminado elastoplástico em faixas, com espessura de 1,5mm e até 50cm de largura, na cor amarela, com micro-esferas de vidro.  Em projetos que utilizem acima de 1000m2 do material.  Fornecimento e aplicação.(desonerado)</t>
  </si>
  <si>
    <t>ST 74.15.0600 (/)</t>
  </si>
  <si>
    <t>Laminado elastoplástico em faixas, com espessura de 1,5mm e até 50cm de largura, colorido (exceto branco e amarelo), com micro-esferas de vidro.  Em projetos que utilizem acima de 1000m2 do material.  Fornecimento e aplicação.(desonerado)</t>
  </si>
  <si>
    <t>ST 79.05 Gradis e Defensas</t>
  </si>
  <si>
    <t>ST 79.05.0050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</si>
  <si>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assentamento.(desonerado)</t>
  </si>
  <si>
    <t>ST 79.05.0100 (A)</t>
  </si>
  <si>
    <t>Gradil para canalização e proteção de pedestres com painel de propaganda, com largura de 1,50m e altura de 1m, formado por moldura tubular com diâmetro de 60mm, envolvendo quadro de chapa de aço, conforme especificações da CET-RIO.  Fornecimento e assentamento.(desonerado)</t>
  </si>
  <si>
    <t>ST 79.05.0150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</si>
  <si>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instalação.(desonerado)</t>
  </si>
  <si>
    <t>ST 84.05 Equipamentos e Materiais para Operações de Tráfego</t>
  </si>
  <si>
    <t>ST 84.05.0050 (/)</t>
  </si>
  <si>
    <t>Cone de sinalização, altura de 750mm, conforme especificação da CET-RIO.  Fornecimento.(desonerado)</t>
  </si>
  <si>
    <t>ST 84.05.0100 (/)</t>
  </si>
  <si>
    <t>Cone de sinalização, refletivo, flexível, altura de 900mm, conforme especificação da CET-RIO.  Fornecimento.(desonerado)</t>
  </si>
  <si>
    <t>ST 84.05.0150 (/)</t>
  </si>
  <si>
    <t>Locação mensal de rádio transmissor-receptor.(desonerado)</t>
  </si>
  <si>
    <t>TC 04.05 Transportes</t>
  </si>
  <si>
    <t>TC 04.05.0050 (/)</t>
  </si>
  <si>
    <t>Transporte de carga de qualquer natureza; exclusive as despesas de carga e descarga tanto de espera do caminhão como de servente ou equipamento auxiliar, em baixa velocidade (Vm=30Km/h), em Caminhão de Carroceria Fixa, a óleo diesel com capacidade útil de 7,5t.(desonerado)</t>
  </si>
  <si>
    <t>TC 04.05.0100 (/)</t>
  </si>
  <si>
    <t>Transporte de carga de qualquer natureza; exclusive as despesas de carga e descarga tanto d espera do caminhão como de servente ou equipamento auxiliar, em média velocidade (Vm=40Km/h), em Caminhão de Carroceria Fixa a óleo diesel, com capacidade útil de 7,5t.(desonerado)</t>
  </si>
  <si>
    <t>TC 04.05.0150 (/)</t>
  </si>
  <si>
    <t>Transporte de carga de qualquer natureza; exclusive as despesas de carga e descarga tanto da espera do caminhão como de servente ou equipamento auxiliar, em alta velocidade (Vm=50Km/h), em Caminhão de Carroceria Fixa a óleo diesel, com capacidade útil de 7,5t.(desonerado)</t>
  </si>
  <si>
    <t>TC 04.05.0200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</si>
  <si>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3,5t.(desonerado)</t>
  </si>
  <si>
    <t>TC 04.05.0250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</si>
  <si>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3,5t.(desonerado)</t>
  </si>
  <si>
    <t>TC 04.05.0300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</si>
  <si>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3,5t.(desonerado)</t>
  </si>
  <si>
    <t>TC 04.05.0320 (/)</t>
  </si>
  <si>
    <t>Transporte de carga de qualquer natureza; exclusive as despesas de carga e descarga tanto da espera do caminhao como de servente ou equipamento auxiliar, em velocidade reduzida (Vm=20km/h), em Caminhão Basculante a oleo diesel, com capacidade util de 8t.(desonerado)</t>
  </si>
  <si>
    <t>TC 04.05.0350 (/)</t>
  </si>
  <si>
    <t>Transporte de carga de qualquer natureza; exclusive as despesas de carga e descarga tanto da espera do caminhão como de servente ou equipamento auxiliar, em baixa velocidade (Vm=30Km/h), em Caminhão Basculante a óleo diesel, com capacidade útil de 8t.(desonerado)</t>
  </si>
  <si>
    <t>TC 04.05.0400 (/)</t>
  </si>
  <si>
    <t>Transporte de carga de qualquer natureza; exclusive as despesas de carga e descarga tanto da espera do caminhão como de servente ou equipamento auxiliar, em média velocidade (Vm=40Km/h), em Caminhão Basculante a óleo diesel, com capacidade útil de 8t.(desonerado)</t>
  </si>
  <si>
    <t>TC 04.05.0450 (/)</t>
  </si>
  <si>
    <t>Transporte de carga de qualquer natureza; exclusive as despesas de carga e descarga tanto da espera do caminhão como de servente ou equipamento auxiliar, em alta velocidade (Vm=50Km/h), em Caminhão Basculante a óleo diesel, com capacidade útil de 8t.(desonerado)</t>
  </si>
  <si>
    <t>TC 04.05.0470 (/)</t>
  </si>
  <si>
    <t>Transporte de carga de qualquer natureza; exclusive as despesas de carga e descarga tanto de espera do caminhao como do servente ou equipamento auxiliar, em velocidade reduzida (Vm=20Km/h), em Caminhao Basculante a oleo diesel, com capacidade util de 12t.(desonerado)</t>
  </si>
  <si>
    <t>TC 04.05.0500 (/)</t>
  </si>
  <si>
    <t>Transporte de carga de qualquer natureza; exclusive as despesas de carga e descarga tanto de espera do caminhão como do servente ou equipamento auxiliar, em baixa velocidade (Vm=30Km/h), em Caminhão Basculante a óleo diesel, com capacidade útil de 12t.(desonerado)</t>
  </si>
  <si>
    <t>TC 04.05.0550 (/)</t>
  </si>
  <si>
    <t>Transporte de carga de qualquer natureza; exclusive as despesas de carga e descarga tanto da espera do caminhão como de servente ou equipamento auxiliar, em média velocidade (Vm=40Km/h), em Caminhão Basculante a óleo diesel, com capacidade útil de 12t.(desonerado)</t>
  </si>
  <si>
    <t>TC 04.05.0600 (/)</t>
  </si>
  <si>
    <t>Transporte de carga de qualquer natureza; exclusive as despesas de carga e descarga tanto da espera do caminhão como de servente ou equipamento auxiliar, em alta velocidade (Vm=50Km/h), em Caminhão Basculante a óleo diesel, com capacidade útil de 12t.(desonerado)</t>
  </si>
  <si>
    <t>TC 04.05.0620 (/)</t>
  </si>
  <si>
    <t>Transporte de carga de qualquer natureza; exclusive as despesas de carga e descarga tanto de espera do caminhao como do servente ou equipamento auxiliar, em velocidade reduzida (Vm=20Km/h), em Caminhao Basculante a oleo diesel, com capacidade util de 17t.(desonerado)</t>
  </si>
  <si>
    <t>TC 04.05.0650 (/)</t>
  </si>
  <si>
    <t>Transporte de carga de qualquer natureza; exclusive as despesas de carga e descarga tanto de espera do caminhão como do servente ou equipamento auxiliar, em baixa velocidade (Vm=30Km/h), em Caminhão Basculante a óleo diesel, com capacidade útil de 17t.(desonerado)</t>
  </si>
  <si>
    <t>TC 04.05.0700 (/)</t>
  </si>
  <si>
    <t>Transporte de carga de qualquer natureza; exclusive as despesas de carga e descarga tanto de espera do caminhão como do servente ou equipamento auxiliar, em média velocidade (Vm=40Km/h), em Caminhão Basculante a óleo diesel, com capacidade útil de 17t.(desonerado)</t>
  </si>
  <si>
    <t>TC 04.05.0750 (/)</t>
  </si>
  <si>
    <t>Transporte de carga de qualquer natureza; exclusive as despesas de carga e descarga tanto de espera do caminhão como do servente ou equipamento auxiliar, em alta velocidade (Vm=50Km/h), em Caminhão Basculante a óleo diesel, com capacidade útil de 17t.(desonerado)</t>
  </si>
  <si>
    <t>TC 04.05.0800 (/)</t>
  </si>
  <si>
    <t>Transporte até 30Km, montagem e desmontagem de bate estacas com martelo de 1,5t/2,2t, inclusive horas improdutivas da equipe e do equipamento na ida/volta, na montagem e desmontagem.(desonerado)</t>
  </si>
  <si>
    <t>TC 04.05.0850 (/)</t>
  </si>
  <si>
    <t>Transporte até 30Km, montagem e desmontagem de bate estacas com martelo de 2,5t/3t, inclusive horas improdutivas da equipe e do equipamento na ida/volta, na montagem e desmontagem.(desonerado)</t>
  </si>
  <si>
    <t>TC 04.05.0900 (/)</t>
  </si>
  <si>
    <t>Transporte de carga de qualquer natureza; exclusive as despesas de carga e descarga tanto da espera do servente e manobra do equipamento auxiliar, à velocidade média de 5Km/h, em Dumper de 18HP a óleo diesel com capacidade útil de 2,3t ou 850l.(desonerado)</t>
  </si>
  <si>
    <t>TC 04.10 Transporte Horizontal Manual</t>
  </si>
  <si>
    <t>TC 04.10.0050 (/)</t>
  </si>
  <si>
    <t>Transporte horizontal de material à granel em carrinho de mão, inclusive carga a pá.(desonerado)</t>
  </si>
  <si>
    <t>t.dam</t>
  </si>
  <si>
    <t>TC 04.10.0100 (/)</t>
  </si>
  <si>
    <t>Transporte manual de materiais diversos encosta abaixo, inclusive carga e descarga.(desonerado)</t>
  </si>
  <si>
    <t>TC 04.10.0150 (A)</t>
  </si>
  <si>
    <t>Transporte manual de materiais diversos encosta acima, inclusive carga e descarga.(desonerado)</t>
  </si>
  <si>
    <t>TC 04.10.0500 (/)</t>
  </si>
  <si>
    <t>Transporte manual de materiais diversos em manguezal, inclusive carga e descarga em cesto tipo COMLURB (muda e lixo).(desonerado)</t>
  </si>
  <si>
    <t>TC 04.15 Transportes com Carga e Descarga</t>
  </si>
  <si>
    <t>TC 04.15.0050 (/)</t>
  </si>
  <si>
    <t>Coleta e transporte de resíduos em caçamba estacionária "Roll-On/Roll-Off", aberta, com capacidade aproximada de 35m3, com mínimo de 40 coletas por mês.(desonerado)</t>
  </si>
  <si>
    <t>TC 04.15.0100 (/)</t>
  </si>
  <si>
    <t>Retirada de entulho de obra em caçamba de aço com 5m³ de capacidade, inclusive carregamento do container, transporte e descarga, exclusive tarifa de disposição final.(desonerado)</t>
  </si>
  <si>
    <t>TC 09.05 Carga e Descarga</t>
  </si>
  <si>
    <t>TC 09.05.0050 (/)</t>
  </si>
  <si>
    <t>Carga e descarga manual de material que exija o concurso de mais de 1 servente para cada peça, vergalhões, cançoeiras, caixas, meio-fios, em Caminhão de Carroceria Fixa, a óleo diesel, com capacidade útil de 7,5t, inclusive o tempo de carga, descarga e manobra.(desonerado)</t>
  </si>
  <si>
    <t>TC 09.05.0100 (/)</t>
  </si>
  <si>
    <t>Carga e descarga manual de peças de peso reduzido: tijolos, telhas, cimento e agregados em sacos, em Caminhão de Carroceria Fixa a óleo diesel, com capacidade útil de 7,5t, inclusive tempo de carga, descarga e manobra.(desonerado)</t>
  </si>
  <si>
    <t>TC 09.05.0150 (/)</t>
  </si>
  <si>
    <t>Carga manual e descarga mecânica de material à granel (agregados, pedra-de-mão, paralelos, terra e escombro), compreendendo os tempos para carga, descarga e manobras do Caminhão Basculante a óleo diesel, com capacidade útil de 8t, empregando 2 serventes na carga.(desonerado)</t>
  </si>
  <si>
    <t>TC 09.05.0200 (/)</t>
  </si>
  <si>
    <t>Carga manual e descarga mecânica de material a granel (agregados,  pedra-de-mão, paralelos, terra e escombro), compreendendo os tempos para carga, descarga e manobras do Caminhão Basculante a óleo diesel, com capacidade útil de 8t, empregando 4 serventes na carga.(desonerado)</t>
  </si>
  <si>
    <t>TC 09.05.0250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</si>
  <si>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carga.(desonerado)</t>
  </si>
  <si>
    <t>TC 09.05.0300 (/)</t>
  </si>
  <si>
    <t>Carga manual e descarga mecânica de material à granel (agregados, pedra-de-mão, paralelos, terra e escombro), compreendendo os tempos para carga, descarga e manobras do Caminhão Basculante a óleo diesel, com capacidade útil de 12t, empregando 4 serventes na carga.(desonerado)</t>
  </si>
  <si>
    <t>TC 09.05.0350 (/)</t>
  </si>
  <si>
    <t>Carga e descarga mecânica, com Pá-Carregadeira e Caminhão Basculante a óleo diesel, consideradas para o caminhão a espera, manobra, carga e descarga e quanto à carregadeira, espera e operação.(desonerado)</t>
  </si>
  <si>
    <t>TC 09.05.0400 (/)</t>
  </si>
  <si>
    <t>Carga e descarga mecânica de tubos de ferro fundido, com o diâmetro de 40cm, inclusive o tempo de carga , descarga e manobra do Caminhão de Carroceria Fixa, a óleo diesel, com capacidade útil de 7,5t, inclusive os mesmos tempos de Guindauto Munck de 4t.(desonerado)</t>
  </si>
  <si>
    <t>TC 09.05.0450 (/)</t>
  </si>
  <si>
    <t>Carga e descarga mecânica de tubos de concreto, com diâmetro de 20cm, inclusive o tempo de carga, descarga e manobra do caminhão de carroceria fixa, a óleo diesel, com capacidade útil de 7,5t ; inclusive os mesmos tempos de guindauto munck de 4t.(desonerado)</t>
  </si>
  <si>
    <t>TC 09.05.0500 (/)</t>
  </si>
  <si>
    <t>Carga e descarga mecânica de tubos de concreto, com diâmetro de 40cm, inclusive o tempo de carga, descarga e manobra do caminhão de carroceria fixa, a óleo diesel, com capacidade útil de 7,5t ; inclusive os mesmos tempos de guindauto munck de 4t.(desonerado)</t>
  </si>
  <si>
    <t>TC 09.05.0550 (/)</t>
  </si>
  <si>
    <t>Carga e descarga mecânica de tubos de concreto, com diâmetro de 60cm, inclusive o tempo de carga, descarga e manobra do caminhão de carroceria fixa, a óleo diesel, com capacidade útil de 7,5t ; inclusive os mesmos tempos de guindauto munck de 4t.(desonerado)</t>
  </si>
  <si>
    <t>TC 09.05.0600 (/)</t>
  </si>
  <si>
    <t>Carga e descarga mecânica de tubos de concreto, com diâmetro de 80cm, inclusive o tempo de carga, descarga e manobra do caminhão de carroceria fixa, a óleo diesel, com capacidade útil de 7,5t ; inclusive os mesmos tempos de guindauto munck de 4t.(desonerado)</t>
  </si>
  <si>
    <t>TC 09.05.0650 (/)</t>
  </si>
  <si>
    <t>Carga e descarga mecânica de tubos de concreto, com diâmetro de 100cm, inclusive o tempo de carga, descarga e manobra do caminhão de carroceria fixa, a óleo diesel, com capacidade útil de 7,5t ; inclusive os mesmos tempos de guindauto munck de 4t.(desonerado)</t>
  </si>
  <si>
    <t>TC 09.05.0700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</si>
  <si>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(desonerado)</t>
  </si>
  <si>
    <t>GRUPO - S01.010 - CANTEIRO DE OBRAS</t>
  </si>
  <si>
    <t>BARRACAO PARA ESCRITORIO/FISCALIZACAO</t>
  </si>
  <si>
    <t>436,05</t>
  </si>
  <si>
    <t>BARRACAO ABERTO PARA GUARDA DE TUBOS</t>
  </si>
  <si>
    <t>138,05</t>
  </si>
  <si>
    <t>BARRACAO ABERTO PARA SERVICOS GERAIS</t>
  </si>
  <si>
    <t>104,70</t>
  </si>
  <si>
    <t>BARRACAO FECHADO DEPOSITO/ALMOXARIFADO</t>
  </si>
  <si>
    <t>280,76</t>
  </si>
  <si>
    <t>BARRACAO PARA REFEITORIO</t>
  </si>
  <si>
    <t>357,07</t>
  </si>
  <si>
    <t>BARRACAO PARA VESTIARIO E SANITARIO</t>
  </si>
  <si>
    <t>739,31</t>
  </si>
  <si>
    <t>PADRAO DE ENTRADA PROVISORIO DE ENERGIA</t>
  </si>
  <si>
    <t>1.621,47</t>
  </si>
  <si>
    <t>PADRAO DE ENTRADA PROVISORIO DE AGUA</t>
  </si>
  <si>
    <t>TAPUME CHAPA COMPENSADA RESINADA E=6MM</t>
  </si>
  <si>
    <t>TAPUME TELHA METAL E=0,50MM H=2,00M</t>
  </si>
  <si>
    <t>101,52</t>
  </si>
  <si>
    <t>PLACA OBRA PAD CESAN E AGENTE FINANCEIRO</t>
  </si>
  <si>
    <t>128,56</t>
  </si>
  <si>
    <t>FOSSA SEPTICA PRE-MOLDADA CAP 10 PESSOAS</t>
  </si>
  <si>
    <t>1.192,99</t>
  </si>
  <si>
    <t>FILTRO ANAEROBICO PRE-MOLDADO CAP 10 PES</t>
  </si>
  <si>
    <t>990,29</t>
  </si>
  <si>
    <t>SUMIDOURO PRE-MOLDADO CAP 10 PESSOAS</t>
  </si>
  <si>
    <t>1.686,44</t>
  </si>
  <si>
    <t>CONTAINER ESCRITORIO DE 6,0X2,4M C/ BANH</t>
  </si>
  <si>
    <t>UNM</t>
  </si>
  <si>
    <t>CONTAINER DEPOSITO MAT 6,0X2,4M C/ BANH</t>
  </si>
  <si>
    <t>CONTAINER DEPOSITO MAT 6,0X2,4M S/ BANH</t>
  </si>
  <si>
    <t>CONTAINER SANIT/VESTIARIO DE 6,0X2,4M</t>
  </si>
  <si>
    <t>MOBILIZACAO DE CONTAINER 6,0X2,4M</t>
  </si>
  <si>
    <t>560,23</t>
  </si>
  <si>
    <t>DESMOBILIZACAO DE CONTAINER 6,0X2,4M</t>
  </si>
  <si>
    <t>BANHEIRO QUIMICO</t>
  </si>
  <si>
    <t>1.480,31</t>
  </si>
  <si>
    <t>SANITARIO HIDRAULICO PORTATIL</t>
  </si>
  <si>
    <t>1.716,25</t>
  </si>
  <si>
    <t>TRANSP MAT FORNEC CESAN DIST 51 A 100KM</t>
  </si>
  <si>
    <t>TK</t>
  </si>
  <si>
    <t>TRANSP MAT FORNEC CESAN DIST 101 A 200KM</t>
  </si>
  <si>
    <t>TRANSP MAT FORNEC CESAN DIST ACI 200KM</t>
  </si>
  <si>
    <t>GRUPO GERADOR ATE 20 KVA</t>
  </si>
  <si>
    <t>HRS</t>
  </si>
  <si>
    <t>18,77</t>
  </si>
  <si>
    <t>2.915,47</t>
  </si>
  <si>
    <t>GRUPO GERADOR DE 21 A 80 KVA</t>
  </si>
  <si>
    <t>44,08</t>
  </si>
  <si>
    <t>6.650,74</t>
  </si>
  <si>
    <t>GRUPO GERADOR DE 81 A 125 KVA</t>
  </si>
  <si>
    <t>84,71</t>
  </si>
  <si>
    <t>12.222,29</t>
  </si>
  <si>
    <t>GRUPO GERADOR DE 126 A 180 KVA</t>
  </si>
  <si>
    <t>136,45</t>
  </si>
  <si>
    <t>19.268,77</t>
  </si>
  <si>
    <t>MOB E DESMOB DE EQUIPAMENTOS &lt;=50KM</t>
  </si>
  <si>
    <t>718,69</t>
  </si>
  <si>
    <t>MOB E DESMOB DE EQUIPAMENTOS &gt;50KM</t>
  </si>
  <si>
    <t>KM</t>
  </si>
  <si>
    <t>GRUPO - S02.010 - SERVIÇOS TÉCNICOS</t>
  </si>
  <si>
    <t>CADASTRO DE REDE AGUA OU ESGOTO</t>
  </si>
  <si>
    <t>CADASTRO DA OBRA CIVIL LOCALIZADA</t>
  </si>
  <si>
    <t>296,63</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</si>
  <si>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</si>
  <si>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</si>
  <si>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</si>
  <si>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</si>
  <si>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</si>
  <si>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</si>
  <si>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</si>
  <si>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4,20</t>
  </si>
  <si>
    <t>LOCACAO OBRA SEM EQUIPAMENTO TOPOGRAFICO</t>
  </si>
  <si>
    <t>13,36</t>
  </si>
  <si>
    <t>LOCACAO AREA COM EQUIPAMENTO TOPOGRAFICO</t>
  </si>
  <si>
    <t>EQUIPE TOPOGRAFICA OBRA POR MES</t>
  </si>
  <si>
    <t>11.074,96</t>
  </si>
  <si>
    <t>EQUIPE TOPOGRAFICA OBRA POR DIA</t>
  </si>
  <si>
    <t>523,64</t>
  </si>
  <si>
    <t>ENSAIO COMPRESSAO SIMPLES - CONTRAPROVA</t>
  </si>
  <si>
    <t>118,14</t>
  </si>
  <si>
    <t>MARCO LOCALIZADOR DE DUTOS</t>
  </si>
  <si>
    <t>216,73</t>
  </si>
  <si>
    <t>SINALIZACAO COM FITA SUBTERRANEA</t>
  </si>
  <si>
    <t>GRUPO - S03.010 - SERVIÇOS PRELIMINARES</t>
  </si>
  <si>
    <t>TAPUME VEDACAO DESCONTINUO COM TABUAS</t>
  </si>
  <si>
    <t>TAPUME PROT CHAPA COMPENS RESINADA 12MM</t>
  </si>
  <si>
    <t>TAPUME PROT TELHA MET E=0,50MM H=2,0M</t>
  </si>
  <si>
    <t>PASSADICOS COM PRANCHAS DE MADEIRA</t>
  </si>
  <si>
    <t>97,32</t>
  </si>
  <si>
    <t>PASSADICOS COM CHAPAS DE ACO</t>
  </si>
  <si>
    <t>TELA DE PROTECAO FACHADA</t>
  </si>
  <si>
    <t>ESCORAMENTO DE MURO</t>
  </si>
  <si>
    <t>ESCORAMENTO DE ARVORES</t>
  </si>
  <si>
    <t>91,62</t>
  </si>
  <si>
    <t>ESCORAMENTO DE POSTES</t>
  </si>
  <si>
    <t>629,03</t>
  </si>
  <si>
    <t>ANDAIME TIPO BALANCIM LEVE</t>
  </si>
  <si>
    <t>ANDAIME FACHADEIRO (M2XMES)</t>
  </si>
  <si>
    <t>MONTAGEM/DESMONTAGEM ANDAIME FACHADEIRO</t>
  </si>
  <si>
    <t>TRANSP MANUAL MAT DIFIC ACESS ATE 500M</t>
  </si>
  <si>
    <t>TRANSP MANUAL MAT DIFIC ACESS ACIMA 500M</t>
  </si>
  <si>
    <t>TRANSPORTE MANUAL DE MATERIAIS</t>
  </si>
  <si>
    <t>TO</t>
  </si>
  <si>
    <t>114,40</t>
  </si>
  <si>
    <t>CORTE DESTOC ARVORE DIAM DE 10,01 A 30CM</t>
  </si>
  <si>
    <t>62,15</t>
  </si>
  <si>
    <t>CORTE DESTOC ARVORE DIAM MAIOR 30,0CM</t>
  </si>
  <si>
    <t>275,47</t>
  </si>
  <si>
    <t>LIMPEZA DE AREA (VARREDURA)</t>
  </si>
  <si>
    <t>LIMPEZA DE RUA COM LAVAGEM</t>
  </si>
  <si>
    <t>LIMPEZA GERAL DA EDIFICACAO</t>
  </si>
  <si>
    <t>LIMPEZA MANUAL DE TERRENO</t>
  </si>
  <si>
    <t>0,76</t>
  </si>
  <si>
    <t>LIMPEZA MANUAL TERRENO VEGETACAO DENSA</t>
  </si>
  <si>
    <t>LIMPEZA MECANICA DE TERRENO</t>
  </si>
  <si>
    <t>LIMPEZA DAS ARMADURAS COM ESCOVA DE ACO</t>
  </si>
  <si>
    <t>LIMPEZA DE CONCRETO C/ HIDROJATEAMENTO</t>
  </si>
  <si>
    <t>LIMPEZA DE CALHAS</t>
  </si>
  <si>
    <t>LIMP MANUAL CANALETA DE AGUAS PLUVIAIS</t>
  </si>
  <si>
    <t>LIMPEZA PAREDES E FUNDO COM ESCOVACAO</t>
  </si>
  <si>
    <t>LIMPEZA E LAVAGEM COM BOMBA ALTA PRESSAO</t>
  </si>
  <si>
    <t>LIMPEZA MANUAL DE CAIXA</t>
  </si>
  <si>
    <t>50,84</t>
  </si>
  <si>
    <t>LIMPEZA MANUAL DE POCOS VISITA DN 600MM</t>
  </si>
  <si>
    <t>LIMPEZA MANUAL DE POCOS VISITA DN 1000MM</t>
  </si>
  <si>
    <t>LIMP E DESOB DE REDES ENTRE DN 100 E 200</t>
  </si>
  <si>
    <t>LIMP E DESOB DE REDES ENTRE DN 200 E 400</t>
  </si>
  <si>
    <t>LIMPEZA E DESOB DE REDES COM RID-GID</t>
  </si>
  <si>
    <t>65,00</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</si>
  <si>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</si>
  <si>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</si>
  <si>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</si>
  <si>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</si>
  <si>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</si>
  <si>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</si>
  <si>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</si>
  <si>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</si>
  <si>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</si>
  <si>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</si>
  <si>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</si>
  <si>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</si>
  <si>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101,78</t>
  </si>
  <si>
    <t>SINAL PARE E SIGA C/ PLACAS BLOQ E RADIO</t>
  </si>
  <si>
    <t>229,19</t>
  </si>
  <si>
    <t>SINALIZACAO NOTURNA COM ENERGIA ELETRICA</t>
  </si>
  <si>
    <t>7,44</t>
  </si>
  <si>
    <t>SINALIZACAO COM FAIXA DUPLA ZEBRADA</t>
  </si>
  <si>
    <t>APICOAMENTO MANUAL DE CONCRETO</t>
  </si>
  <si>
    <t>10,83</t>
  </si>
  <si>
    <t>DEMOLICAO DE ALVEN LAJOTA/TIJOLO/BLOCO</t>
  </si>
  <si>
    <t>43,32</t>
  </si>
  <si>
    <t>DEMOLICAO DE ALVENARIA DE COBOGO</t>
  </si>
  <si>
    <t>DEMOLICAO MANUAL CONCRETO ARMADO</t>
  </si>
  <si>
    <t>332,55</t>
  </si>
  <si>
    <t>DEMOLICAO MECANICA CONCRETO ARMADO</t>
  </si>
  <si>
    <t>224,65</t>
  </si>
  <si>
    <t>DEMOLICAO MANUAL CONCRETO SIMPLES/CICLOP</t>
  </si>
  <si>
    <t>231,04</t>
  </si>
  <si>
    <t>DEMOLICAO MANUAL DE PISO EM CERAMICA</t>
  </si>
  <si>
    <t>DEMOLICAO MANUAL DE PISO EM GRANITO</t>
  </si>
  <si>
    <t>DEMOLICAO DE REVESTIMENTO EM CERAMICA</t>
  </si>
  <si>
    <t>20,22</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</si>
  <si>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</si>
  <si>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</si>
  <si>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</si>
  <si>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</si>
  <si>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</si>
  <si>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</si>
  <si>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</si>
  <si>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</si>
  <si>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</si>
  <si>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</si>
  <si>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</si>
  <si>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21,36</t>
  </si>
  <si>
    <t>RETIRADA DE FORRO EM PVC C/ REAPROVEITAM</t>
  </si>
  <si>
    <t>RETIRADA DE GUARDA CORPO</t>
  </si>
  <si>
    <t>REMOCAO DE PINTURA ESTRUTURA METALICA</t>
  </si>
  <si>
    <t>RETIRADA PONTO ELETRICOS, INC DISJUNTOR</t>
  </si>
  <si>
    <t>12,05</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</si>
  <si>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</si>
  <si>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</si>
  <si>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</si>
  <si>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</si>
  <si>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</si>
  <si>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</si>
  <si>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</si>
  <si>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29,69</t>
  </si>
  <si>
    <t>FURO EM ROCHA DN 32MM/50CM C/ ENCH GROUT</t>
  </si>
  <si>
    <t>FURO EM PAREDE CONCRETO 3/8" 15 A 20CM</t>
  </si>
  <si>
    <t>ABERTUR/FECHAM ALVENAR TUBO DN15A25MM</t>
  </si>
  <si>
    <t>7,91</t>
  </si>
  <si>
    <t>ABERTUR/FECHAM ALVENAR TUBO DN32A50MM</t>
  </si>
  <si>
    <t>ABERTUR/FECHAM ALVENAR TUBO DN75 A 100MM</t>
  </si>
  <si>
    <t>CACAMBA ESTAC. P/ CARREG.MANUAL</t>
  </si>
  <si>
    <t>RETIRADA DE TAMPAS CHAPA ACO</t>
  </si>
  <si>
    <t>DEMOLICAO DE PISO CIMENTADO SOBRE LASTR</t>
  </si>
  <si>
    <t>CACAMBA ESTACIONARIA P/ RECEB. DE LODO</t>
  </si>
  <si>
    <t>3.630,00</t>
  </si>
  <si>
    <t>RETIRADA MAT LEITO FILTRANTE S/ REAPROV</t>
  </si>
  <si>
    <t>ANDAIME TUBULAR P/ESTRUTURAS CONCRETO</t>
  </si>
  <si>
    <t>52,21</t>
  </si>
  <si>
    <t>MONTAGEM/DESMONTAGEM ANDAIME TUBULAR</t>
  </si>
  <si>
    <t>2,20</t>
  </si>
  <si>
    <t>LOCACAO ANDAIME METALICO TUBULAR (MXMES)</t>
  </si>
  <si>
    <t>PLACAS INDICATIVAS EM ACRILICO</t>
  </si>
  <si>
    <t>263,03</t>
  </si>
  <si>
    <t>RETIRADA DE GUARDA CORPO C REAPROVEITAM</t>
  </si>
  <si>
    <t>GRUPO - S04.010 - MOVIMENTO DE TERRA</t>
  </si>
  <si>
    <t>ESCAVACAO MANUAL SOLO 1ªCAT PROF ATE 3M</t>
  </si>
  <si>
    <t>38,13</t>
  </si>
  <si>
    <t>ESCAVACAO MANUAL SOLO 1ªCAT PROF ACI 3M</t>
  </si>
  <si>
    <t>43,85</t>
  </si>
  <si>
    <t>ESCAVACAO MANUAL VALA ATE 1M SOLO MOLE</t>
  </si>
  <si>
    <t>89,99</t>
  </si>
  <si>
    <t>ESCAVACAO MANUAL DE SOLO TURFOSO</t>
  </si>
  <si>
    <t>44,49</t>
  </si>
  <si>
    <t>ESCAVACAO MANUAL SOLO 2ªCAT PROF ATE 3M</t>
  </si>
  <si>
    <t>55,93</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</si>
  <si>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</si>
  <si>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</si>
  <si>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</si>
  <si>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</si>
  <si>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</si>
  <si>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</si>
  <si>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1.228,75</t>
  </si>
  <si>
    <t>ESC ROCHA MACICO OU AFLORADA C/ ARG EXPA</t>
  </si>
  <si>
    <t>759,85</t>
  </si>
  <si>
    <t>ESCAVACAO MEC EM ROCHA S/ USO EXPLOSIVOS</t>
  </si>
  <si>
    <t>839,89</t>
  </si>
  <si>
    <t>ESCAVACAO EM CAVA C/ USO EXPLOSIVOS</t>
  </si>
  <si>
    <t>457,71</t>
  </si>
  <si>
    <t>ESCAVACAO MEC E REMOCAO DE SOLOS MOLES</t>
  </si>
  <si>
    <t>REGULARIZACAO DO FUNDO DE VALA COM AREIA</t>
  </si>
  <si>
    <t>59,28</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</si>
  <si>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</si>
  <si>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</si>
  <si>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</si>
  <si>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</si>
  <si>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</si>
  <si>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</si>
  <si>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</si>
  <si>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</si>
  <si>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</si>
  <si>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60,60</t>
  </si>
  <si>
    <t>ATERRO COM AREIA COM ADENSAMENTO HIDR</t>
  </si>
  <si>
    <t>ATERRO COM ARGILA S/ COMPAC CONTROLADA</t>
  </si>
  <si>
    <t>34,35</t>
  </si>
  <si>
    <t>ATERRO COM ARGILA C/ APILOAMENTO MANUAL</t>
  </si>
  <si>
    <t>80,36</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</si>
  <si>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</si>
  <si>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</si>
  <si>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</si>
  <si>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</si>
  <si>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</si>
  <si>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</si>
  <si>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6,65</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</si>
  <si>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</si>
  <si>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</si>
  <si>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</si>
  <si>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</si>
  <si>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</si>
  <si>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</si>
  <si>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</si>
  <si>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</si>
  <si>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</si>
  <si>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</si>
  <si>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</si>
  <si>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</si>
  <si>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</si>
  <si>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</si>
  <si>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55,12</t>
  </si>
  <si>
    <t>ENROCAMENTO COM PEDRA DE MAO</t>
  </si>
  <si>
    <t>137,23</t>
  </si>
  <si>
    <t>ENSECADEIRA COM SACOS DE AREIA</t>
  </si>
  <si>
    <t>138,33</t>
  </si>
  <si>
    <t>ENSECADEIRA SACOS E SOLO LOCAL</t>
  </si>
  <si>
    <t>ENSECADEIRA COM PRANCHAS DE MADEIRA</t>
  </si>
  <si>
    <t>DAMAS EM SOLO CIMENTO 6:1 (ESTRUTURANTE)</t>
  </si>
  <si>
    <t>219,34</t>
  </si>
  <si>
    <t>DAMAS EM SOLO CIMENTO 12:1</t>
  </si>
  <si>
    <t>174,04</t>
  </si>
  <si>
    <t>DAMAS CONTENCAO MADEIRA</t>
  </si>
  <si>
    <t>GABIAO TIPO COLCHAO H=0,30 ZN/AL+PVC</t>
  </si>
  <si>
    <t>234,48</t>
  </si>
  <si>
    <t>MURO GABIAO TIPO CAIXA 2X1X1M ZN/AL</t>
  </si>
  <si>
    <t>496,04</t>
  </si>
  <si>
    <t>RIP-RAP EM PLACAS CONCRETO ARMADO E=5CM</t>
  </si>
  <si>
    <t>124,79</t>
  </si>
  <si>
    <t>INJECAO DE SOLO-CIMENTO 10:1</t>
  </si>
  <si>
    <t>616,67</t>
  </si>
  <si>
    <t>SOLO CIMENTO 1:6 ENSACADO</t>
  </si>
  <si>
    <t>381,18</t>
  </si>
  <si>
    <t>GRUPO - S06.010 - ESGOTAMENTO</t>
  </si>
  <si>
    <t>ESGOT C/ AUX DE CJ MOTO-BOMBA ATE 10M3/H</t>
  </si>
  <si>
    <t>ESGOT C/ AUX DE CJ MOTO-BOMBA ACI 10M3/H</t>
  </si>
  <si>
    <t>REBAI LENCOL FREATICO C/ PONT FILTRANTES</t>
  </si>
  <si>
    <t>2.910,60</t>
  </si>
  <si>
    <t>GRUPO - S07.010 - FUNDACOES E ESTRUTURAS</t>
  </si>
  <si>
    <t>LASTRO DE AREIA MEDIA LAVADA</t>
  </si>
  <si>
    <t>84,14</t>
  </si>
  <si>
    <t>LASTRO DE PO DE PEDRA</t>
  </si>
  <si>
    <t>82,28</t>
  </si>
  <si>
    <t>LASTRO DE BRITA "0"</t>
  </si>
  <si>
    <t>109,56</t>
  </si>
  <si>
    <t>LASTRO DE BRITA "1"</t>
  </si>
  <si>
    <t>89,94</t>
  </si>
  <si>
    <t>LASTRO DE BRITA "2"</t>
  </si>
  <si>
    <t>LASTRO DE BRITA 3 A 4</t>
  </si>
  <si>
    <t>93,17</t>
  </si>
  <si>
    <t>LASTRO DE PEDRA DE MAO</t>
  </si>
  <si>
    <t>107,88</t>
  </si>
  <si>
    <t>TIJOLO CERAMICO PARA LEITO DE SECAGEM</t>
  </si>
  <si>
    <t>61,88</t>
  </si>
  <si>
    <t>LASTRO DE CONCRETO MAGRO</t>
  </si>
  <si>
    <t>377,10</t>
  </si>
  <si>
    <t>FORMA PLANA METALICA ESCO/DESF/CIMB</t>
  </si>
  <si>
    <t>91,82</t>
  </si>
  <si>
    <t>FORMA CURVA METALICA ESCO/DESF/CIMB</t>
  </si>
  <si>
    <t>FORMA PLANA DE MADEIRA - PILAR/VIGA/PARE</t>
  </si>
  <si>
    <t>66,64</t>
  </si>
  <si>
    <t>FORMA CURVA MADEIRA - PILAR/VIGA/PAREDE</t>
  </si>
  <si>
    <t>83,66</t>
  </si>
  <si>
    <t>FORMA PLANA CHAPA 12MM-VIGA/PILAR/PAREDE</t>
  </si>
  <si>
    <t>99,32</t>
  </si>
  <si>
    <t>FORMA PLANA CHAPA 12MM-LAJE</t>
  </si>
  <si>
    <t>49,43</t>
  </si>
  <si>
    <t>FORMA CURVA CHAPA COMPENSADA PLAST 12MM</t>
  </si>
  <si>
    <t>126,01</t>
  </si>
  <si>
    <t>CIMBRAMENTO DE MADEIRA PARA EDIFICACOES</t>
  </si>
  <si>
    <t>TAMPONAMENTO DE FURO DE FORMA METALICA</t>
  </si>
  <si>
    <t>ARMADURA CA-25</t>
  </si>
  <si>
    <t>ARMADURA CA-50</t>
  </si>
  <si>
    <t>ARMADURA CA-60</t>
  </si>
  <si>
    <t>CONCRETO FCK 100 KG/CM2, VIRADO NA OBRA</t>
  </si>
  <si>
    <t>CONCRETO FCK 150 KG/CM2, VIRADO NA OBRA</t>
  </si>
  <si>
    <t>430,05</t>
  </si>
  <si>
    <t>CONCRETO FCK 200 KG/CM2, VIRADO NA OBRA</t>
  </si>
  <si>
    <t>433,96</t>
  </si>
  <si>
    <t>CONCRETO FCK 250 KG/CM2, VIRADO NA OBRA</t>
  </si>
  <si>
    <t>444,70</t>
  </si>
  <si>
    <t>CONCRETO USINADO FCK 150 KG/CM2</t>
  </si>
  <si>
    <t>351,97</t>
  </si>
  <si>
    <t>CONCRETO USINADO FCK 200 KG/CM2</t>
  </si>
  <si>
    <t>380,86</t>
  </si>
  <si>
    <t>CONCRETO USINADO FCK 250 KG/CM2</t>
  </si>
  <si>
    <t>391,25</t>
  </si>
  <si>
    <t>CONCRETO USINADO FCK 300 KG/CM2</t>
  </si>
  <si>
    <t>403,62</t>
  </si>
  <si>
    <t>CONCRETO USINADO FCK 350 KG/CM2</t>
  </si>
  <si>
    <t>416,03</t>
  </si>
  <si>
    <t>CONCRETO USINADO FCK 400 KG/CM2</t>
  </si>
  <si>
    <t>429,54</t>
  </si>
  <si>
    <t>CONCRETO USINADO FCK 200 KG/CM2 BOMBEADO</t>
  </si>
  <si>
    <t>321,88</t>
  </si>
  <si>
    <t>CONCRETO USINADO FCK 250 KG/CM2 BOMBEADO</t>
  </si>
  <si>
    <t>335,01</t>
  </si>
  <si>
    <t>CONCRETO USINADO FCK 300 KG/CM2 BOMBEADO</t>
  </si>
  <si>
    <t>345,95</t>
  </si>
  <si>
    <t>CONCRETO USINADO FCK 350 KG/CM2 BOMBEADO</t>
  </si>
  <si>
    <t>357,98</t>
  </si>
  <si>
    <t>CONCRETO USINADO FCK 400 KG/CM2 BOMBEADO</t>
  </si>
  <si>
    <t>371,11</t>
  </si>
  <si>
    <t>CONCRETO CICLOPICO</t>
  </si>
  <si>
    <t>348,57</t>
  </si>
  <si>
    <t>LAJE PRE-MOLDADA PARA FORRO SIMPLES</t>
  </si>
  <si>
    <t>73,40</t>
  </si>
  <si>
    <t>LAJE PRE-MOLDADA SOBRECARGA 300KG/M2</t>
  </si>
  <si>
    <t>CRAVACAO DE ESTACAS COM TRILHO TR-57</t>
  </si>
  <si>
    <t>384,46</t>
  </si>
  <si>
    <t>CRAVACAO DE ESTACAS COM TRILHO TR-68</t>
  </si>
  <si>
    <t>CRAVACAO DE ESTACA CONC DN 180MM 35 TON</t>
  </si>
  <si>
    <t>116,28</t>
  </si>
  <si>
    <t>CRAVACAO DE ESTACA CONC DN 230MM 55 TON</t>
  </si>
  <si>
    <t>140,23</t>
  </si>
  <si>
    <t>CRAVACAO ESTACA EUCALIPTO TRATADO 0,15M</t>
  </si>
  <si>
    <t>CRAV ESTACA PERFIL "I" BITOLA W 150X13</t>
  </si>
  <si>
    <t>112,07</t>
  </si>
  <si>
    <t>CRAV ESTACA PERFIL "I" BITOLA W 200X35,9</t>
  </si>
  <si>
    <t>210,56</t>
  </si>
  <si>
    <t>CRAV ESTACA PERFIL "I" BITOLA W 200X46,1</t>
  </si>
  <si>
    <t>252,91</t>
  </si>
  <si>
    <t>PILAR 40X20CM REDE DN150 A 250-RIO</t>
  </si>
  <si>
    <t>252,66</t>
  </si>
  <si>
    <t>PILAR 60X20CM REDE DN300 A 400-RIO</t>
  </si>
  <si>
    <t>344,12</t>
  </si>
  <si>
    <t>PILAR 40X15CM REDE DN150 A 250-CORREGO</t>
  </si>
  <si>
    <t>306,86</t>
  </si>
  <si>
    <t>PILAR 60X15CM REDE DN300 A 400-CORREGO</t>
  </si>
  <si>
    <t>385,40</t>
  </si>
  <si>
    <t>BASE 80X60X40CM REDE DN150 A 400-RIO</t>
  </si>
  <si>
    <t>404,57</t>
  </si>
  <si>
    <t>BASE 60X60X30CM REDE DN150 A 250-CORREGO</t>
  </si>
  <si>
    <t>366,97</t>
  </si>
  <si>
    <t>BASE 80X60X30CM REDE DN300 A 400-CORREGO</t>
  </si>
  <si>
    <t>437,36</t>
  </si>
  <si>
    <t>PLACAS DE CONCRETO</t>
  </si>
  <si>
    <t>2.755,91</t>
  </si>
  <si>
    <t>GRUPO - S08.010 - DISPOSITIVOS ESPECIAIS - CAIXAS E POÇOS DE VISITA</t>
  </si>
  <si>
    <t>PV-ANEL CONCR DN 600 PROF ATE 1,25M</t>
  </si>
  <si>
    <t>1.351,55</t>
  </si>
  <si>
    <t>PV-ANEL CONCR DN 1000 PROF DE1,26A1,75M</t>
  </si>
  <si>
    <t>2.151,38</t>
  </si>
  <si>
    <t>PV-ANEL CONCR DN 1000 PROF DE1,76A2,25M</t>
  </si>
  <si>
    <t>2.368,37</t>
  </si>
  <si>
    <t>PV-ANEL CONCR DN 1000 PROF DE2,26A2,75M</t>
  </si>
  <si>
    <t>2.585,36</t>
  </si>
  <si>
    <t>PV-ANEL CONCR DN 1200 PROF DE2,76A3,25M</t>
  </si>
  <si>
    <t>3.161,16</t>
  </si>
  <si>
    <t>PV-ANEL CONCR DN 1200 PROF DE3,26A3,75M</t>
  </si>
  <si>
    <t>3.387,66</t>
  </si>
  <si>
    <t>PV-ANEL CONCR DN 1200 PROF DE3,76A4,25M</t>
  </si>
  <si>
    <t>3.617,09</t>
  </si>
  <si>
    <t>PV-ANEL CONCR DN 1200 PROF DE4,26A4,75M</t>
  </si>
  <si>
    <t>3.862,00</t>
  </si>
  <si>
    <t>PV-ANEL CONCR DN 1200 PROF DE4,76A5,25M</t>
  </si>
  <si>
    <t>4.115,15</t>
  </si>
  <si>
    <t>PV-ANEL CONCR DN 1200 PROF DE5,26A5,75M</t>
  </si>
  <si>
    <t>4.368,00</t>
  </si>
  <si>
    <t>PV-ANEL CONCR DN 1200 PROF DE5,76A6,25M</t>
  </si>
  <si>
    <t>4.627,07</t>
  </si>
  <si>
    <t>PV DN600 BEIRA RIO PROF ATE 1,25M-ENTER</t>
  </si>
  <si>
    <t>1.744,85</t>
  </si>
  <si>
    <t>PV DN600 BEIRA RIO PROF 1,26A1,75M-ENTER</t>
  </si>
  <si>
    <t>1.870,44</t>
  </si>
  <si>
    <t>PV DN600 BEIRA RIO PROF 1,76A2,25M-ENTER</t>
  </si>
  <si>
    <t>2.019,68</t>
  </si>
  <si>
    <t>PV DN600 BEIRA RIO PROF 2,26A2,75M-ENTER</t>
  </si>
  <si>
    <t>2.163,30</t>
  </si>
  <si>
    <t>PV DN800 BEIRA RIO PROF ATE 1,25M-ENTER</t>
  </si>
  <si>
    <t>2.025,95</t>
  </si>
  <si>
    <t>PV DN800 BEIRA RIO PROF 1,26A1,75M-ENTER</t>
  </si>
  <si>
    <t>2.192,77</t>
  </si>
  <si>
    <t>PV DN800 BEIRA RIO PROF 1,76A2,25M-ENTER</t>
  </si>
  <si>
    <t>2.369,89</t>
  </si>
  <si>
    <t>PV DN800 BEIRA RIO PROF 2,26A2,75M-ENTER</t>
  </si>
  <si>
    <t>2.987,37</t>
  </si>
  <si>
    <t>PV DN800 BEIRA RIO PROF 2,76A3,25M-ENTER</t>
  </si>
  <si>
    <t>3.164,02</t>
  </si>
  <si>
    <t>PV DN800 BEIRA RIO PROF 3,26A3,75M-ENTER</t>
  </si>
  <si>
    <t>3.340,68</t>
  </si>
  <si>
    <t>PV DN600 BEIRA RIO PROF ATE 1,25M-AEREO</t>
  </si>
  <si>
    <t>1.852,59</t>
  </si>
  <si>
    <t>PV DN600 BEIRA RIO PROF 1,26A1,75M-AEREO</t>
  </si>
  <si>
    <t>1.944,10</t>
  </si>
  <si>
    <t>PV DN800 BEIRA RIO PROF ATE 1,25M-AEREO</t>
  </si>
  <si>
    <t>1.913,93</t>
  </si>
  <si>
    <t>PV DN800 BEIRA RIO PROF 1,26A1,75M-AEREO</t>
  </si>
  <si>
    <t>2.027,76</t>
  </si>
  <si>
    <t>PV DN800 BEIRA RIO PROF 1,76A2,25M-AEREO</t>
  </si>
  <si>
    <t>2.350,11</t>
  </si>
  <si>
    <t>PV POLIET DN 800 PROF ATE 1,25M</t>
  </si>
  <si>
    <t>2.871,86</t>
  </si>
  <si>
    <t>PV POLIET DN 800 PROF DE 1,26 A 1,75M</t>
  </si>
  <si>
    <t>3.436,84</t>
  </si>
  <si>
    <t>PV POLIET DN 800 PROF DE 1,76 A 2,25M</t>
  </si>
  <si>
    <t>3.696,81</t>
  </si>
  <si>
    <t>PV POLIET DN 1000 PROF DE 2,26 A 2,75M</t>
  </si>
  <si>
    <t>4.406,78</t>
  </si>
  <si>
    <t>PV POLIET DN 1000 PROF DE 2,76 A 3,25M</t>
  </si>
  <si>
    <t>7.276,76</t>
  </si>
  <si>
    <t>PV POLIET DN 1000 PROF DE 3,26 A 3,75M</t>
  </si>
  <si>
    <t>10.046,74</t>
  </si>
  <si>
    <t>PV POLIET DN 1000 PROF DE 3,76 A 4,25M</t>
  </si>
  <si>
    <t>11.216,71</t>
  </si>
  <si>
    <t>GRUPO - S09.010 - FECHAMENTO</t>
  </si>
  <si>
    <t>ALVENARIA DE TIJOLO MACICO, E=10CM</t>
  </si>
  <si>
    <t>137,37</t>
  </si>
  <si>
    <t>ALVENARIA DE TIJOLO MACICO, E=20CM</t>
  </si>
  <si>
    <t>255,41</t>
  </si>
  <si>
    <t>ALVENARIA DE LAJOTA FURADA E=10CM</t>
  </si>
  <si>
    <t>ALVENARIA DE LAJOTA FURADA E=20CM</t>
  </si>
  <si>
    <t>81,38</t>
  </si>
  <si>
    <t>ALVENARIA BLOCO CONCRETO E=9CM</t>
  </si>
  <si>
    <t>42,85</t>
  </si>
  <si>
    <t>ALVENARIA BLOCO CONCRETO E=14CM</t>
  </si>
  <si>
    <t>ALVENARIA BLOCO CONCRETO E=19CM</t>
  </si>
  <si>
    <t>ALVENARIA BLOCO CONCRETO E=9CM APARENTE</t>
  </si>
  <si>
    <t>ALVENARIA BLOCO CONCRETO E=14CM APARENTE</t>
  </si>
  <si>
    <t>ALVENARIA BLOCO CONCRETO E=19CM APARENTE</t>
  </si>
  <si>
    <t>ALVENARIA BLOCO CONCR E=14CM ESTRUTURAL</t>
  </si>
  <si>
    <t>66,22</t>
  </si>
  <si>
    <t>ALVENARIA BLOCO CONCR E=19CM ESTRUTURAL</t>
  </si>
  <si>
    <t>85,47</t>
  </si>
  <si>
    <t>ALVENARIA BLOCO CONCR E=14CM ESTRUT/APAR</t>
  </si>
  <si>
    <t>74,32</t>
  </si>
  <si>
    <t>ALVENARIA BLOCO CONCR E=19CM ESTRUT/APAR</t>
  </si>
  <si>
    <t>ALVENAR BL CONCR U E=14CM ARM/CONC/AMAR</t>
  </si>
  <si>
    <t>27,56</t>
  </si>
  <si>
    <t>ALVENAR BL CONCR U E=19CM ARM/CONC/AMAR</t>
  </si>
  <si>
    <t>31,15</t>
  </si>
  <si>
    <t>ALVENARIA ELEMENTO VAZADO CERAMICO E=7CM</t>
  </si>
  <si>
    <t>115,64</t>
  </si>
  <si>
    <t>ALVENARIA ELEMENTO VAZADO CONCR E=10CM</t>
  </si>
  <si>
    <t>110,08</t>
  </si>
  <si>
    <t>ALVENARIA DE PEDRA</t>
  </si>
  <si>
    <t>371,52</t>
  </si>
  <si>
    <t>GUARDA CORPO PRFV 2"X2"  PADRAO A2.3</t>
  </si>
  <si>
    <t>310,44</t>
  </si>
  <si>
    <t>GUARDA-CORPO GALV 1.1/2"  PAD A2.2 S/TEL</t>
  </si>
  <si>
    <t>423,31</t>
  </si>
  <si>
    <t>GUARDA-CORPO GALV 1.1/2"  PAD A2.2 C/TEL</t>
  </si>
  <si>
    <t>577,26</t>
  </si>
  <si>
    <t>CORRIMAO PRFV 2"X2" PADRAO A2.3</t>
  </si>
  <si>
    <t>180,80</t>
  </si>
  <si>
    <t>CORRIMAO ACO GALV. 1.1/2", PAD A2.4</t>
  </si>
  <si>
    <t>121,08</t>
  </si>
  <si>
    <t>FORRO EM GESSO LISO</t>
  </si>
  <si>
    <t>FORRO EM REGUAS DE PVC</t>
  </si>
  <si>
    <t>37,43</t>
  </si>
  <si>
    <t>LINHA DE SOMBRA PARA FORRO DE GESSO</t>
  </si>
  <si>
    <t>GRUPO - S10.010 - PISOS E REVESTIMENTOS</t>
  </si>
  <si>
    <t>PISO CERAMICO PEI-5 TIPO "A"</t>
  </si>
  <si>
    <t>68,32</t>
  </si>
  <si>
    <t>REVESTIMENTO CERAMICO PEI-3 TIPO "A"</t>
  </si>
  <si>
    <t>52,87</t>
  </si>
  <si>
    <t>PISO LADRILHO HIDRAULICO 20X20CM</t>
  </si>
  <si>
    <t>87,95</t>
  </si>
  <si>
    <t>PLACAS CONCR. ARMADO E=8,0CM 50X50CM-VIA</t>
  </si>
  <si>
    <t>43,70</t>
  </si>
  <si>
    <t>PLACAS CONCR ARMADO E=4,0CM 40X40CM-JARD</t>
  </si>
  <si>
    <t>PISO ALTA RESIST C/ JUNTA E AGREGADO 8MM</t>
  </si>
  <si>
    <t>71,00</t>
  </si>
  <si>
    <t>PISO CIMENTADO E=2,0CM SOB/ LASTRO 8,0CM</t>
  </si>
  <si>
    <t>52,08</t>
  </si>
  <si>
    <t>RODAPE CERAMICO PEI-5 TIPO "A"</t>
  </si>
  <si>
    <t>RODAPE DE MADEIRA MACICA H=7,0CM</t>
  </si>
  <si>
    <t>18,93</t>
  </si>
  <si>
    <t>SOLEIRA, RODAPE E PEITORIL GRANITO E=2CM</t>
  </si>
  <si>
    <t>475,34</t>
  </si>
  <si>
    <t>REGUL BASE DE PISO C/ ARGAM 1:3, E=3CM</t>
  </si>
  <si>
    <t>EMBOCO ARGAMASSA CIMENTO/CAL/AREIA 1:2:9</t>
  </si>
  <si>
    <t>26,14</t>
  </si>
  <si>
    <t>EMBOCO ARGAMASSA CIMENTO/AREIA 1:3</t>
  </si>
  <si>
    <t>REBOCO COMUM ARGAMASSA CIMENTO/AREIA 1:3</t>
  </si>
  <si>
    <t>17,10</t>
  </si>
  <si>
    <t>REBOCO PAULISTA ARGAM CIMENTO/AREIA 1:3</t>
  </si>
  <si>
    <t>REBOCO PAULISTA TETO/PLATIB TRAÇO 1:2:9</t>
  </si>
  <si>
    <t>38,14</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</si>
  <si>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</si>
  <si>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</si>
  <si>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</si>
  <si>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</si>
  <si>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</si>
  <si>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</si>
  <si>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</si>
  <si>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</si>
  <si>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</si>
  <si>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</si>
  <si>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</si>
  <si>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24,11</t>
  </si>
  <si>
    <t>PINTURA LATEX SOBRE CHAPISCO 2 DEMAOS</t>
  </si>
  <si>
    <t>21,06</t>
  </si>
  <si>
    <t>PINTURA TEXTURA ACRILICA FINA</t>
  </si>
  <si>
    <t>13,66</t>
  </si>
  <si>
    <t>PINTURA TEXTURA ACRILICA GROSSA</t>
  </si>
  <si>
    <t>16,25</t>
  </si>
  <si>
    <t>PINTURA ESMALTE SINTETICO ACO 2 DEMAOS</t>
  </si>
  <si>
    <t>PINTURA ESMALTE SINTET TUBUL 2 DEMAOS</t>
  </si>
  <si>
    <t>PINT ESMALTE SINT PAREDE/TETO 2 DEMAOS</t>
  </si>
  <si>
    <t>PINT ESMALTE SINT PAREDE/TETO 3 DEMAOS</t>
  </si>
  <si>
    <t>PINTURA ESMALTE SINTET MADEIRA 2 DEMAOS</t>
  </si>
  <si>
    <t>19,00</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</si>
  <si>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</si>
  <si>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</si>
  <si>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</si>
  <si>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</si>
  <si>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</si>
  <si>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</si>
  <si>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</si>
  <si>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</si>
  <si>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318,43</t>
  </si>
  <si>
    <t>SELADOR ACRILICO PAREDE/TETO</t>
  </si>
  <si>
    <t>POLIURETANO ACRIL ESTR METAL DUAS DEMAOS</t>
  </si>
  <si>
    <t>18,45</t>
  </si>
  <si>
    <t>REBOCO IMPERME C/ ARGAMASSA TIXOTROPICA</t>
  </si>
  <si>
    <t>PINTURA EM VERNIZ REDUTOR EPOXI 2 DEMAOS</t>
  </si>
  <si>
    <t>15,92</t>
  </si>
  <si>
    <t>GRUPO - S11.010 - IMPERMEABILIZAÇÃO</t>
  </si>
  <si>
    <t>ADITIVO IMPERMEABILIZANTE SIKA 1 OU SIMI</t>
  </si>
  <si>
    <t>ADIT ACELER PEGA/ENDURECIM SIKA 3 OU SIM</t>
  </si>
  <si>
    <t>11,12</t>
  </si>
  <si>
    <t>ADESIVO BASE POLIMERO SIKAFIX OU SIMILAR</t>
  </si>
  <si>
    <t>ARGAMASSA FLUIDA SIKAGROUT250 OU SIMILAR</t>
  </si>
  <si>
    <t>2.369,62</t>
  </si>
  <si>
    <t>SIKA TOP 108 OU SIMILAR 2 DEMAOS</t>
  </si>
  <si>
    <t>58,31</t>
  </si>
  <si>
    <t>IGOLFLEX OU SIMILAR 2 DEMAOS</t>
  </si>
  <si>
    <t>IGOLFLEX OU SIMILAR 3 DEMAOS</t>
  </si>
  <si>
    <t>39,15</t>
  </si>
  <si>
    <t>IGOLFLEX BRANCO OU SIMILAR 2 DEMAOS</t>
  </si>
  <si>
    <t>IGOLFLEX BRANCO OU SIMILAR 3 DEMAOS</t>
  </si>
  <si>
    <t>54,35</t>
  </si>
  <si>
    <t>IGOL 2 OU SIMILAR 2 DEMAOS</t>
  </si>
  <si>
    <t>SIKA TOP 107 OU SIMILAR 1 DEMAO</t>
  </si>
  <si>
    <t>SIKA TOP 107 OU SIMILAR 2 DEMAOS</t>
  </si>
  <si>
    <t>SIKA TOP 107 OU SIMILAR 3 DEMAOS</t>
  </si>
  <si>
    <t>41,29</t>
  </si>
  <si>
    <t>SIKA TOP FLEX OU SIMILAR 1 DEMAO</t>
  </si>
  <si>
    <t>SIKA TOP FLEX OU SIMILAR 2 DEMAOS</t>
  </si>
  <si>
    <t>30,78</t>
  </si>
  <si>
    <t>SIKA TOP FLEX OU SIMILAR 3 DEMAOS</t>
  </si>
  <si>
    <t>SIKAGARD 62 OU SIMILAR</t>
  </si>
  <si>
    <t>68,01</t>
  </si>
  <si>
    <t>MANTA ASFALTICA E=4MM ESTRUTURADA</t>
  </si>
  <si>
    <t>49,92</t>
  </si>
  <si>
    <t>REJUNTE MASTIQUE 2X1 - SIKAFLEX OU SIMIL</t>
  </si>
  <si>
    <t>PINTURA EPOXI ALCATRAO 3 DEMAOS</t>
  </si>
  <si>
    <t>37,11</t>
  </si>
  <si>
    <t>TECIDO DE POLIESTER 1 CAMADA</t>
  </si>
  <si>
    <t>ISOPOR COM E=2,5CM</t>
  </si>
  <si>
    <t>ISOPOR COM E=1,0CM</t>
  </si>
  <si>
    <t>JUNTA DILAT ELAST CONCR FUNGENBAND O-22</t>
  </si>
  <si>
    <t>336,32</t>
  </si>
  <si>
    <t>REVEST SIKA TOP 122 OU SIMILAR E=20MM</t>
  </si>
  <si>
    <t>124,00</t>
  </si>
  <si>
    <t>GEOGRELHA DE POLIESTER RESISTENCIA 200KN</t>
  </si>
  <si>
    <t>84,00</t>
  </si>
  <si>
    <t>MANTA GEOTEXTIL POLIESTER 10KN/M</t>
  </si>
  <si>
    <t>GRUPO - S12.010 - ESQUADRIAS E VIDROS</t>
  </si>
  <si>
    <t>PORTA MADEIRA PRANCHETA, COMPLETA</t>
  </si>
  <si>
    <t>260,07</t>
  </si>
  <si>
    <t>PORTA DE MADEIRA ALMOFADA, COMPLETA</t>
  </si>
  <si>
    <t>279,77</t>
  </si>
  <si>
    <t>PORTA ALUMINIO DE ABRIR/CORRER, COMPLETA</t>
  </si>
  <si>
    <t>351,37</t>
  </si>
  <si>
    <t>JANELA/BASCULA ALUM ABRIR/CORRER, COMPL</t>
  </si>
  <si>
    <t>334,57</t>
  </si>
  <si>
    <t>VIDRO LISO TRANSPARENTE E=4MM</t>
  </si>
  <si>
    <t>96,22</t>
  </si>
  <si>
    <t>DIVISORIA GRANITO CINZA POLIDO DUAS FACE</t>
  </si>
  <si>
    <t>222,80</t>
  </si>
  <si>
    <t>ESPELHO DE CRISTAL E=4MM</t>
  </si>
  <si>
    <t>495,20</t>
  </si>
  <si>
    <t>GRUPO - S13.010 - COBERTURA</t>
  </si>
  <si>
    <t>COBERT TELHAS FIBR OND E=6MM, C/ MADEIR</t>
  </si>
  <si>
    <t>91,12</t>
  </si>
  <si>
    <t>COBERT TELHAS FIBR OND E=6MM, S/ MADEIR</t>
  </si>
  <si>
    <t>COBERT TELHAS FIBR OND E=8MM, C/ MADEIR</t>
  </si>
  <si>
    <t>104,24</t>
  </si>
  <si>
    <t>COBERT TELHAS FIBR OND E=8MM, S/ MADEIR</t>
  </si>
  <si>
    <t>52,46</t>
  </si>
  <si>
    <t>COBERTURA TELHAS CANALETE 49, C/ MADEIR</t>
  </si>
  <si>
    <t>116,38</t>
  </si>
  <si>
    <t>COBERTURA TELHAS CANALETE 49, S/ MADEIR</t>
  </si>
  <si>
    <t>COBERTURA TELHAS CANALETE 90, C/ MADEIR</t>
  </si>
  <si>
    <t>COBERTURA TELHAS CANALETE 90 S MADEIRAM</t>
  </si>
  <si>
    <t>83,48</t>
  </si>
  <si>
    <t>COBERT TELHAS ALUMINIO ONDULADA E=5,0MM</t>
  </si>
  <si>
    <t>COBERT TELHAS CERAMICA FRANCESA, C/MADEI</t>
  </si>
  <si>
    <t>135,22</t>
  </si>
  <si>
    <t>COBERT TELHAS CERAMICA COLONIAL, C/MADEI</t>
  </si>
  <si>
    <t>120,98</t>
  </si>
  <si>
    <t>COBERT TELHAS TRANSL TRAP, ESTRU METAL</t>
  </si>
  <si>
    <t>297,41</t>
  </si>
  <si>
    <t>CUMEEIRA UNIVERSAL DE FIBROCIMENTO</t>
  </si>
  <si>
    <t>RUFO EM ALUMINIO ESP=0,5MM LARGURA 40CM</t>
  </si>
  <si>
    <t>68,29</t>
  </si>
  <si>
    <t>CALHA EM PVC L=20CM COM SUPORTE</t>
  </si>
  <si>
    <t>GRUPO -  S14.010 - INSTALAÇÕES HIDROSSANITÁRIAS</t>
  </si>
  <si>
    <t>BACIA SANITARIA LOUCA CAIXA ACOPLADA</t>
  </si>
  <si>
    <t>452,10</t>
  </si>
  <si>
    <t>BACIA SANITARIA LOUCA CONVENCIONAL</t>
  </si>
  <si>
    <t>268,05</t>
  </si>
  <si>
    <t>BACIA SANITARIA LOUCA CONVENCIONAL PCD</t>
  </si>
  <si>
    <t>887,44</t>
  </si>
  <si>
    <t>MICTORIO LOUCA SIFONADO</t>
  </si>
  <si>
    <t>366,16</t>
  </si>
  <si>
    <t>LAVATORIO LOUCA COM COLUNA</t>
  </si>
  <si>
    <t>259,94</t>
  </si>
  <si>
    <t>LAVATORIO LOUCA COM COLUNA SUSPENSA PCD</t>
  </si>
  <si>
    <t>221,85</t>
  </si>
  <si>
    <t>LAVATORIO LOUCA SEM COLUNA SUSPENSO</t>
  </si>
  <si>
    <t>193,92</t>
  </si>
  <si>
    <t>CUBA LOUCA DE EMBUTIR</t>
  </si>
  <si>
    <t>155,44</t>
  </si>
  <si>
    <t>CUBA ACO INOX DE EMBUTIR</t>
  </si>
  <si>
    <t>313,71</t>
  </si>
  <si>
    <t>TANQUE LOUCA SUSPENSO SEM COLUNA</t>
  </si>
  <si>
    <t>434,83</t>
  </si>
  <si>
    <t>CHUVEIRO PLASTICO BRANCO ELETRICO</t>
  </si>
  <si>
    <t>77,48</t>
  </si>
  <si>
    <t>CHUVEIRO PLASTICO BRANCO COMUM</t>
  </si>
  <si>
    <t>DUCHA HIGIENICA METAL CROMADO</t>
  </si>
  <si>
    <t>99,14</t>
  </si>
  <si>
    <t>TORNEIRA BANCADA METAL MANUAL LAVATORIO</t>
  </si>
  <si>
    <t>TORNEIRA BANCADA METAL AUTOMAT LAVATORIO</t>
  </si>
  <si>
    <t>171,70</t>
  </si>
  <si>
    <t>TORNEIRA BANCADA METAL MANUAL PIA COZINH</t>
  </si>
  <si>
    <t>122,83</t>
  </si>
  <si>
    <t>TORNEIRA PVC MANUAL USO GERAL</t>
  </si>
  <si>
    <t>44,88</t>
  </si>
  <si>
    <t>CABIDE METAL CROMADO UM GANCHO</t>
  </si>
  <si>
    <t>PAPELEIRA METAL CROMADO</t>
  </si>
  <si>
    <t>36,03</t>
  </si>
  <si>
    <t>PAPELEIRA PLASTICA PAPEL HIGIENICO ROLAO</t>
  </si>
  <si>
    <t>46,81</t>
  </si>
  <si>
    <t>TOALHEIRO PLASTICO PAPEL TOALHA</t>
  </si>
  <si>
    <t>SABONETEIRA PLASTICA TIPO DISPENSER</t>
  </si>
  <si>
    <t>45,38</t>
  </si>
  <si>
    <t>RALO SECO PVC 100X53X40MM QUADRADO</t>
  </si>
  <si>
    <t>RALO SINFONADO PVC 100X40MM CILINDRICO</t>
  </si>
  <si>
    <t>CAIXA SINFONADA PVC 100X100X50MM REDONDA</t>
  </si>
  <si>
    <t>30,03</t>
  </si>
  <si>
    <t>CAIXA DESCARGA EXTERNA PLASTICA COMPLETA</t>
  </si>
  <si>
    <t>134,26</t>
  </si>
  <si>
    <t>CAIXA GORDURA PRE-MOLDADA 40X40X40CM</t>
  </si>
  <si>
    <t>112,05</t>
  </si>
  <si>
    <t>CAIXA PASSAGEM PRE-MOLDADA 40X40X40CM</t>
  </si>
  <si>
    <t>111,01</t>
  </si>
  <si>
    <t>CAIXA DAGUA FIBRA VIDRO 500L COMPLETA</t>
  </si>
  <si>
    <t>655,66</t>
  </si>
  <si>
    <t>CAIXA DAGUA FIBRA VIDRO 1000L COMPLETA</t>
  </si>
  <si>
    <t>754,50</t>
  </si>
  <si>
    <t>PONTO AGUA FRIA</t>
  </si>
  <si>
    <t>120,31</t>
  </si>
  <si>
    <t>PONTO DRENO AR-CONDICIONADO</t>
  </si>
  <si>
    <t>PONTO REGISTRO DE PRESSAO</t>
  </si>
  <si>
    <t>191,20</t>
  </si>
  <si>
    <t>PONTO REGISTRO DE GAVETA 3/4"</t>
  </si>
  <si>
    <t>PONTO REGISTRO DE GAVETA 1/2"</t>
  </si>
  <si>
    <t>187,46</t>
  </si>
  <si>
    <t>PONTO VALVULA DESCARGA MICTORIO</t>
  </si>
  <si>
    <t>344,78</t>
  </si>
  <si>
    <t>PONTO VALVULA DESCARGA BACIA SANITARIA</t>
  </si>
  <si>
    <t>379,82</t>
  </si>
  <si>
    <t>PONTO VALVULA DESCARGA BACIA SANITAR PCD</t>
  </si>
  <si>
    <t>758,59</t>
  </si>
  <si>
    <t>PONTO ESGOTO PRIMARIO</t>
  </si>
  <si>
    <t>95,59</t>
  </si>
  <si>
    <t>PONTO ESGOTO SECUNDARIO</t>
  </si>
  <si>
    <t>84,56</t>
  </si>
  <si>
    <t>PONTO VENTILACAO ESGOTO</t>
  </si>
  <si>
    <t>335,93</t>
  </si>
  <si>
    <t>TANQUE PRE-MOLDADO DE CONCRETO</t>
  </si>
  <si>
    <t>193,91</t>
  </si>
  <si>
    <t>TUBO PVC SOLD AGUA 20MM, INC CONEXOES</t>
  </si>
  <si>
    <t>TUBO PVC SOLD AGUA 25MM, INC CONEXOES</t>
  </si>
  <si>
    <t>TUBO PVC SOLD AGUA 32MM, INC CONEXOES</t>
  </si>
  <si>
    <t>TUBO PVC SOLD AGUA 50MM, INC CONEXOES</t>
  </si>
  <si>
    <t>36,42</t>
  </si>
  <si>
    <t>TUBO PVC SOLD ESGOTO 40MM, INC CONEXOES</t>
  </si>
  <si>
    <t>TUBO PVC SOLD ESGOTO 50MM, INC CONEXOES</t>
  </si>
  <si>
    <t>35,23</t>
  </si>
  <si>
    <t>TUBO PVC SOLD ESGOTO 75MM, INC CONEXOES</t>
  </si>
  <si>
    <t>49,50</t>
  </si>
  <si>
    <t>TUBO PVC SOLD ESGOTO 100MM, INC CONEXOES</t>
  </si>
  <si>
    <t>55,35</t>
  </si>
  <si>
    <t>TUBO PVC SOLD ESGOTO 200MM, INC CONEXOES</t>
  </si>
  <si>
    <t>104,35</t>
  </si>
  <si>
    <t>REGISTRO DE GAVETA BRUTO DN 25 MM (1")</t>
  </si>
  <si>
    <t>91,67</t>
  </si>
  <si>
    <t>GRUPO -  S15.010 - INSTALAÇÕES ELÉTRICAS/TELEFONIA/CABEAMENTO</t>
  </si>
  <si>
    <t>PONTO ILUMINACAO APARENTE TETO</t>
  </si>
  <si>
    <t>79,76</t>
  </si>
  <si>
    <t>PONTO ILUMINACAO EMBUTIDO PAREDE</t>
  </si>
  <si>
    <t>89,14</t>
  </si>
  <si>
    <t>PONTO INTERRUPTOR SIMPLES EMBUT 1TECLA</t>
  </si>
  <si>
    <t>108,50</t>
  </si>
  <si>
    <t>PONTO INTERRUPTOR SIMPLES EMBUT 2TECLAS</t>
  </si>
  <si>
    <t>125,50</t>
  </si>
  <si>
    <t>PONTO INTERRUPTOR SIMPLES EMBUT 3TECLAS</t>
  </si>
  <si>
    <t>140,98</t>
  </si>
  <si>
    <t>PONTO TOMADA EMBUTIDO 2P+T 10A/250V</t>
  </si>
  <si>
    <t>137,04</t>
  </si>
  <si>
    <t>PONTO TOMADA EMBUTIDO 2P+T 20A/250V</t>
  </si>
  <si>
    <t>170,09</t>
  </si>
  <si>
    <t>PONTO TOMADA EMBUTIDO 3P+T 30A/440V</t>
  </si>
  <si>
    <t>225,87</t>
  </si>
  <si>
    <t>PONTO TOMADA PISO EMBUTID 2P+T 10A/250V</t>
  </si>
  <si>
    <t>123,62</t>
  </si>
  <si>
    <t>PONTO TOMADA CHUVEIRO ELETRICO EMBUTIDO</t>
  </si>
  <si>
    <t>230,72</t>
  </si>
  <si>
    <t>PONTO TOMADA AR CONDICIONADO EMBUTIDO</t>
  </si>
  <si>
    <t>PONTO TOMADA DE TELEFONE RJ11 EMBUTIDO</t>
  </si>
  <si>
    <t>151,82</t>
  </si>
  <si>
    <t>PONTO ANTENA DE TV EMBUTIDO</t>
  </si>
  <si>
    <t>146,96</t>
  </si>
  <si>
    <t>CAIXA PASSAGEM ALV ELET 500X500MM DT-103</t>
  </si>
  <si>
    <t>394,46</t>
  </si>
  <si>
    <t>CAIXA PASSAGEM ALV ELET 300X300MM DT-104</t>
  </si>
  <si>
    <t>176,95</t>
  </si>
  <si>
    <t>POSTE ILUM C/LUMINARIA DECORATIVA DT-118</t>
  </si>
  <si>
    <t>1.177,04</t>
  </si>
  <si>
    <t>GRUPO -  16.010 - INSTALAÇÕES ELETROMECÂNICAS</t>
  </si>
  <si>
    <t>MONT E ASSENT CJ MOTOBOMBA POT ATE 10CV</t>
  </si>
  <si>
    <t>522,13</t>
  </si>
  <si>
    <t>MONT E ASSENT CJ MOTOBOMBA POT 10A20CV</t>
  </si>
  <si>
    <t>652,67</t>
  </si>
  <si>
    <t>MONT E ASSENT CJ MOTOBOMBA POT 20A30CV</t>
  </si>
  <si>
    <t>783,20</t>
  </si>
  <si>
    <t>MONT E ASSENT CJ MOTOBOMBA POT 30A50CV</t>
  </si>
  <si>
    <t>1.174,80</t>
  </si>
  <si>
    <t>MONT E ASSENT CJ MOTOBOMBA POT 50A100CV</t>
  </si>
  <si>
    <t>1.566,40</t>
  </si>
  <si>
    <t>MONT E ASSENT CJ MOTOBOMBA POT 100A300CV</t>
  </si>
  <si>
    <t>3.833,06</t>
  </si>
  <si>
    <t>MONT E ASSENT CJ MOTOBOMBA POT 300A500CV</t>
  </si>
  <si>
    <t>4.631,62</t>
  </si>
  <si>
    <t>MONT E ASSENT CJ MOTOBOMBA POT &gt;500CV</t>
  </si>
  <si>
    <t>5.430,18</t>
  </si>
  <si>
    <t>MONT E INST QUADRO COMANDO POT ATE 10CV</t>
  </si>
  <si>
    <t>938,77</t>
  </si>
  <si>
    <t>MONT E INST QUADRO COMANDO POT 10A20CV</t>
  </si>
  <si>
    <t>1.173,47</t>
  </si>
  <si>
    <t>MONT E INST QUADRO COMANDO POT 20A30CV</t>
  </si>
  <si>
    <t>1.408,16</t>
  </si>
  <si>
    <t>MONT E INST QUADRO COMANDO POT 30A50CV</t>
  </si>
  <si>
    <t>1.760,20</t>
  </si>
  <si>
    <t>MONT E INST QUADRO COMANDO POT 50A100CV</t>
  </si>
  <si>
    <t>3.314,94</t>
  </si>
  <si>
    <t>MONT E INST QUADRO COMANDO POT 100A300CV</t>
  </si>
  <si>
    <t>3.784,33</t>
  </si>
  <si>
    <t>MONT E INST QUADRO COMANDO POT 300A500CV</t>
  </si>
  <si>
    <t>4.371,06</t>
  </si>
  <si>
    <t>MONT E INST QUADRO COMANDO POT &gt; 500CV</t>
  </si>
  <si>
    <t>4.957,79</t>
  </si>
  <si>
    <t>ESTRUTURA EM MADEIRA DE LEI</t>
  </si>
  <si>
    <t>6.100,06</t>
  </si>
  <si>
    <t>COMPORTA STOPLOG FIBRA VIDRO E=3MM</t>
  </si>
  <si>
    <t>580,01</t>
  </si>
  <si>
    <t>COMPORTA STOPLOG FIBRA VIDRO E=5MM</t>
  </si>
  <si>
    <t>680,01</t>
  </si>
  <si>
    <t>COMPORTA STOPLOG FIBRA VIDRO E=6MM</t>
  </si>
  <si>
    <t>780,01</t>
  </si>
  <si>
    <t>COMPORTA STOPLOG FIBRA VIDRO E=7MM</t>
  </si>
  <si>
    <t>880,01</t>
  </si>
  <si>
    <t>COMPORTA STOPLOG FIBRA VIDRO E=10MM</t>
  </si>
  <si>
    <t>1.180,01</t>
  </si>
  <si>
    <t>COMPORTA STOPLOG FIBRA VIDRO E=15MM</t>
  </si>
  <si>
    <t>1.680,01</t>
  </si>
  <si>
    <t>COMPORTA STOPLOG FIBRA VIDRO E=20MM</t>
  </si>
  <si>
    <t>2.180,01</t>
  </si>
  <si>
    <t>CHICANA FIBRA VIDRO E=3MM</t>
  </si>
  <si>
    <t>490,01</t>
  </si>
  <si>
    <t>CHICANA FIBRA VIDRO E=5MM</t>
  </si>
  <si>
    <t>590,01</t>
  </si>
  <si>
    <t>CHICANA FIBRA VIDRO E=6MM</t>
  </si>
  <si>
    <t>690,01</t>
  </si>
  <si>
    <t>CHICANA FIBRA VIDRO E=7MM</t>
  </si>
  <si>
    <t>790,01</t>
  </si>
  <si>
    <t>CHICANA FIBRA VIDRO E=10MM</t>
  </si>
  <si>
    <t>1.090,01</t>
  </si>
  <si>
    <t>CHICANA FIBRA VIDRO E=15MM</t>
  </si>
  <si>
    <t>1.590,01</t>
  </si>
  <si>
    <t>CHICANA FIBRA VIDRO E=20MM</t>
  </si>
  <si>
    <t>2.090,01</t>
  </si>
  <si>
    <t>CALHA PARSHALL PADRAO FIBRA VIDRO W=3"</t>
  </si>
  <si>
    <t>1.170,01</t>
  </si>
  <si>
    <t>CALHA PARSHALL PADRAO FIBRA VIDRO W=6"</t>
  </si>
  <si>
    <t>1.630,02</t>
  </si>
  <si>
    <t>CALHA PARSHALL PADRAO FIBRA VIDRO W=9"</t>
  </si>
  <si>
    <t>1.930,02</t>
  </si>
  <si>
    <t>CALHA PARSHALL PADRAO FIBRA VIDRO W=12"</t>
  </si>
  <si>
    <t>3.456,01</t>
  </si>
  <si>
    <t>CALHA PARSHALL PADRAO FIBRA VIDRO W=18"</t>
  </si>
  <si>
    <t>4.496,01</t>
  </si>
  <si>
    <t>CALHA PARSHALL PADRAO FIBRA VIDRO W=24"</t>
  </si>
  <si>
    <t>4.860,01</t>
  </si>
  <si>
    <t>TAMPA FIBRA VIDRO E=6MM</t>
  </si>
  <si>
    <t>700,00</t>
  </si>
  <si>
    <t>GRUPO -  S17.010 - ASSENTAMENTO</t>
  </si>
  <si>
    <t>ASSENTAMENTO TUBO FOFO JE DN 50</t>
  </si>
  <si>
    <t>4,14</t>
  </si>
  <si>
    <t>ASSENTAMENTO TUBO FOFO JE DN 80</t>
  </si>
  <si>
    <t>ASSENTAMENTO TUBO FOFO JE DN 100</t>
  </si>
  <si>
    <t>8,46</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</si>
  <si>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</si>
  <si>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</si>
  <si>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</si>
  <si>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</si>
  <si>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</si>
  <si>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</si>
  <si>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</si>
  <si>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</si>
  <si>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</si>
  <si>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43,17</t>
  </si>
  <si>
    <t>ASSENTAMENTO TUBO FOFO JE DN 700</t>
  </si>
  <si>
    <t>52,62</t>
  </si>
  <si>
    <t>ASSENTAMENTO TUBO FOFO JE DN 800</t>
  </si>
  <si>
    <t>64,07</t>
  </si>
  <si>
    <t>ASSENTAMENTO TUBO FOFO JE DN 900</t>
  </si>
  <si>
    <t>71,55</t>
  </si>
  <si>
    <t>ASSENTAMENTO TUBO FOFO JE DN 1000</t>
  </si>
  <si>
    <t>78,70</t>
  </si>
  <si>
    <t>ASSENTAMENTO TUBO FOFO JE DN 1200</t>
  </si>
  <si>
    <t>85,86</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</si>
  <si>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</si>
  <si>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</si>
  <si>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</si>
  <si>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</si>
  <si>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</si>
  <si>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</si>
  <si>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</si>
  <si>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</si>
  <si>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</si>
  <si>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</si>
  <si>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</si>
  <si>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4,87</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</si>
  <si>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</si>
  <si>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</si>
  <si>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</si>
  <si>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</si>
  <si>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</si>
  <si>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</si>
  <si>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</si>
  <si>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</si>
  <si>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</si>
  <si>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</si>
  <si>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</si>
  <si>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</si>
  <si>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</si>
  <si>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</si>
  <si>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</si>
  <si>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</si>
  <si>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</si>
  <si>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</si>
  <si>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</si>
  <si>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5,31</t>
  </si>
  <si>
    <t>ASSENTAMENTO TUBO PVC ROSCA 4"</t>
  </si>
  <si>
    <t>5,63</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</si>
  <si>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</si>
  <si>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</si>
  <si>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</si>
  <si>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</si>
  <si>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</si>
  <si>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</si>
  <si>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</si>
  <si>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</si>
  <si>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</si>
  <si>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</si>
  <si>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</si>
  <si>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</si>
  <si>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</si>
  <si>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</si>
  <si>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</si>
  <si>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28,92</t>
  </si>
  <si>
    <t>ASSENTAMENTO TUBO CONCRETO DN 300</t>
  </si>
  <si>
    <t>36,59</t>
  </si>
  <si>
    <t>ASSENTAMENTO TUBO CONCRETO DN 400</t>
  </si>
  <si>
    <t>44,81</t>
  </si>
  <si>
    <t>ASSENTAMENTO TUBO CONCRETO DN 500</t>
  </si>
  <si>
    <t>ASSENTAMENTO TUBO CONCRETO DN 600</t>
  </si>
  <si>
    <t>ASSENTAMENTO TUBO CONCRETO DN 700</t>
  </si>
  <si>
    <t>99,43</t>
  </si>
  <si>
    <t>ASSENTAMENTO TUBO CONCRETO DN 800</t>
  </si>
  <si>
    <t>138,09</t>
  </si>
  <si>
    <t>ASSENTAMENTO TUBO CONCRETO DN 900</t>
  </si>
  <si>
    <t>186,17</t>
  </si>
  <si>
    <t>ASSENTAMENTO TUBO CONCRETO DN 1000</t>
  </si>
  <si>
    <t>197,80</t>
  </si>
  <si>
    <t>ASSENTAMENTO TUBO CONCRETO DN 1200</t>
  </si>
  <si>
    <t>221,21</t>
  </si>
  <si>
    <t>ASSENTAMENTO TUBO CONCRETO DN 1500</t>
  </si>
  <si>
    <t>228,81</t>
  </si>
  <si>
    <t>ASSENT TUBO FOFO DN 80 SOBRE PILARES</t>
  </si>
  <si>
    <t>ASSENT TUBO FOFO DN 100 SOBRE PILARES</t>
  </si>
  <si>
    <t>14,58</t>
  </si>
  <si>
    <t>ASSENT TUBO FOFO DN 150 SOBRE PILARES</t>
  </si>
  <si>
    <t>ASSENT TUBO FOFO DN 200 SOBRE PILARES</t>
  </si>
  <si>
    <t>ASSENT TUBO FOFO DN 250 SOBRE PILARES</t>
  </si>
  <si>
    <t>ASSENT TUBO FOFO DN 300 SOBRE PILARES</t>
  </si>
  <si>
    <t>22,50</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</si>
  <si>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</si>
  <si>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</si>
  <si>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</si>
  <si>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</si>
  <si>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</si>
  <si>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</si>
  <si>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25,25</t>
  </si>
  <si>
    <t>PECAS EM CHAPAS/PERFIL/BARRA EM ACO INOX</t>
  </si>
  <si>
    <t>48,09</t>
  </si>
  <si>
    <t>TUBOS E CONEXOES EM ACO INOX</t>
  </si>
  <si>
    <t>70,58</t>
  </si>
  <si>
    <t>PECAS EM ESTRUTURA PESADA EM ACO</t>
  </si>
  <si>
    <t>CORTE SOLDA DE TUBOS ATE DN 150</t>
  </si>
  <si>
    <t>CORTE SOLDA DE TUBOS DN 200</t>
  </si>
  <si>
    <t>71,44</t>
  </si>
  <si>
    <t>CORTE SOLDA DE TUBOS DN 250</t>
  </si>
  <si>
    <t>79,45</t>
  </si>
  <si>
    <t>CORTE SOLDA DE TUBOS DN 300</t>
  </si>
  <si>
    <t>97,17</t>
  </si>
  <si>
    <t>CORTE SOLDA DE TUBOS DN 400</t>
  </si>
  <si>
    <t>115,37</t>
  </si>
  <si>
    <t>CORTE SOLDA DE TUBOS DN 500</t>
  </si>
  <si>
    <t>146,95</t>
  </si>
  <si>
    <t>CORTE SOLDA DE TUBOS DN 600</t>
  </si>
  <si>
    <t>195,28</t>
  </si>
  <si>
    <t>CORTE SOLDA DE TUBOS DN 700</t>
  </si>
  <si>
    <t>243,65</t>
  </si>
  <si>
    <t>GRUPO -  S19.010 - INTERLIGAÇÕES</t>
  </si>
  <si>
    <t>INTERLIGACAO DE REDE ATE DN 100</t>
  </si>
  <si>
    <t>330,71</t>
  </si>
  <si>
    <t>INTERLIGACAO DE REDE DN 150</t>
  </si>
  <si>
    <t>1.321,71</t>
  </si>
  <si>
    <t>INTERLIGACAO DE REDE  DN 200 A DN 300</t>
  </si>
  <si>
    <t>6.752,14</t>
  </si>
  <si>
    <t>INTERLIGACAO DE REDE  DN 350 A DN 500</t>
  </si>
  <si>
    <t>8.290,54</t>
  </si>
  <si>
    <t>INTERLIGACAO DE REDE  DN 600 A DN 700</t>
  </si>
  <si>
    <t>14.619,37</t>
  </si>
  <si>
    <t>INTERLIGACAO DE REDE  DN 800 A DN 900</t>
  </si>
  <si>
    <t>22.603,36</t>
  </si>
  <si>
    <t>INTERLIGACAO DE REDE  DN 1000</t>
  </si>
  <si>
    <t>28.906,65</t>
  </si>
  <si>
    <t>INTERLIGACAO DE REDE DN 75-C/ REDE CARGA</t>
  </si>
  <si>
    <t>398,63</t>
  </si>
  <si>
    <t>INTERLIGACAO DE REDE DN 100-C/ REDE CARG</t>
  </si>
  <si>
    <t>1.089,88</t>
  </si>
  <si>
    <t>INTERLIGACAO DE REDE DN 150-C/ REDE CARG</t>
  </si>
  <si>
    <t>1.111,06</t>
  </si>
  <si>
    <t>INTERLIGACAO DE REDE DN 200-C/ REDE CARG</t>
  </si>
  <si>
    <t>1.587,94</t>
  </si>
  <si>
    <t>INTERLIGACAO DE REDE DN 250-C/ REDE CARG</t>
  </si>
  <si>
    <t>1.640,03</t>
  </si>
  <si>
    <t>INTERLIGACAO DE REDE DN 300-C/ REDE CARG</t>
  </si>
  <si>
    <t>1.950,86</t>
  </si>
  <si>
    <t>INTERLIGACAO DE REDE DN 350-C/ REDE CARG</t>
  </si>
  <si>
    <t>1.956,07</t>
  </si>
  <si>
    <t>INTERLIGACAO DE REDE DN 400-C/ REDE CARG</t>
  </si>
  <si>
    <t>2.589,37</t>
  </si>
  <si>
    <t>GRUPO -   S20.010 - LIGAÇÕES PREDIAIS</t>
  </si>
  <si>
    <t>LIG PRED ESG LONGA C/MAT S/PAV H0,6A1,0M</t>
  </si>
  <si>
    <t>481,21</t>
  </si>
  <si>
    <t>LIG PRED ESG LONGA C/MAT PARAL H0,6A1,0M</t>
  </si>
  <si>
    <t>701,23</t>
  </si>
  <si>
    <t>LIG PRED ESG LONGA C/MAT BLOCO H0,6A1,0M</t>
  </si>
  <si>
    <t>691,42</t>
  </si>
  <si>
    <t>LIG PRED ESG LONGA C/MAT ASFAL H0,6A1,0M</t>
  </si>
  <si>
    <t>751,87</t>
  </si>
  <si>
    <t>LIG PRED ESG CURTA C/MAT S/PAV H0,6A1,0M</t>
  </si>
  <si>
    <t>355,37</t>
  </si>
  <si>
    <t>LIG PRED ESG CURTA C/MAT PARAL H0,6A1,0M</t>
  </si>
  <si>
    <t>488,47</t>
  </si>
  <si>
    <t>LIG PRED ESG CURTA C/MAT BLOCO H0,6A1,0M</t>
  </si>
  <si>
    <t>481,90</t>
  </si>
  <si>
    <t>LIG PRED ESG CURTA C/MAT ASFAL H0,6A1,0M</t>
  </si>
  <si>
    <t>523,04</t>
  </si>
  <si>
    <t>LIG PRED AGUA DN 20, C/ COLAR, S/PAV</t>
  </si>
  <si>
    <t>166,34</t>
  </si>
  <si>
    <t>LIG PRED AGUA DN 20, C/ COLAR, ASFALTO</t>
  </si>
  <si>
    <t>454,07</t>
  </si>
  <si>
    <t>LIG PRED AGUA DN 20, C/ COLAR, PARALELO</t>
  </si>
  <si>
    <t>301,54</t>
  </si>
  <si>
    <t>LIG PRED AGUA DN 20, C/ COLAR, BLOCO</t>
  </si>
  <si>
    <t>291,32</t>
  </si>
  <si>
    <t>LIG PRED AGUA DN 20, C/ TE, S/PAVIMENTO</t>
  </si>
  <si>
    <t>187,03</t>
  </si>
  <si>
    <t>LIG PRED AGUA DN 20, C/ TE, ASFALTO</t>
  </si>
  <si>
    <t>474,75</t>
  </si>
  <si>
    <t>LIG PRED AGUA DN 20, C/ TE, PARALELO</t>
  </si>
  <si>
    <t>322,22</t>
  </si>
  <si>
    <t>LIG PRED AGUA DN 20, C/ TE, BLOCO</t>
  </si>
  <si>
    <t>312,01</t>
  </si>
  <si>
    <t>PADRAO 1A-CAIXA TERMOPLASTICA HIDROM ¾"</t>
  </si>
  <si>
    <t>201,18</t>
  </si>
  <si>
    <t>PADRAO 1B-CAIXA TERMOPLASTICA HIDROM ¾"</t>
  </si>
  <si>
    <t>PADRAO 1C-CAVALETE PVC HIDROMETRO ¾"</t>
  </si>
  <si>
    <t>202,94</t>
  </si>
  <si>
    <t>PADRAO 1D-CAIXA ENTERRADA HIDROMETRO ¾"</t>
  </si>
  <si>
    <t>541,44</t>
  </si>
  <si>
    <t>PADRAO 2-CAIXA ENTERRADA HIDROMETRO 1"</t>
  </si>
  <si>
    <t>606,85</t>
  </si>
  <si>
    <t>PADRAO 3-CAIXA ENTERRADA HIDROM 1.1/2"</t>
  </si>
  <si>
    <t>705,36</t>
  </si>
  <si>
    <t>PADRAO 4-CAIXA ENTERRADA HIDROMETRO 2"</t>
  </si>
  <si>
    <t>1.222,78</t>
  </si>
  <si>
    <t>PADRAO 5-CAIXA ENTERRADA HIDROMETRO 3"</t>
  </si>
  <si>
    <t>5.065,88</t>
  </si>
  <si>
    <t>PADRAO 6-CAIXA ENTERRADA HIDROMETRO 4"</t>
  </si>
  <si>
    <t>6.556,10</t>
  </si>
  <si>
    <t>INSTALACAO DE HIDROMETRO COM DN  ¾"</t>
  </si>
  <si>
    <t>58,05</t>
  </si>
  <si>
    <t>INSTALACAO DE HIDROMETRO COM DN  1"</t>
  </si>
  <si>
    <t>103,21</t>
  </si>
  <si>
    <t>INSTALACAO DE HIDROMETRO COM DN  1.1/2"</t>
  </si>
  <si>
    <t>155,53</t>
  </si>
  <si>
    <t>INSTALACAO DE HIDROMETRO COM DN  2" A 4"</t>
  </si>
  <si>
    <t>308,77</t>
  </si>
  <si>
    <t>LOCALIZACAO DO RAMAL PREDIAL</t>
  </si>
  <si>
    <t>REPARO DA BASE DO PADRAO TIPO CAVALETE</t>
  </si>
  <si>
    <t>54,04</t>
  </si>
  <si>
    <t>REPARO CAIXA ENTER TERMOPLASTICA CALCADA</t>
  </si>
  <si>
    <t>94,06</t>
  </si>
  <si>
    <t>REPARO DE CAIXA TERMOPLASTICA DE PAREDE</t>
  </si>
  <si>
    <t>75,05</t>
  </si>
  <si>
    <t>CAIXA LIGACAO PREDIAL EM ANEL CONCRETO</t>
  </si>
  <si>
    <t>103,29</t>
  </si>
  <si>
    <t>TAMPA CAIXA DE LIGACAO PREDIAL ESGOTO</t>
  </si>
  <si>
    <t>81,04</t>
  </si>
  <si>
    <t>CAIXA LIGACAO ANEL CONCRETO-BEIRA RIO</t>
  </si>
  <si>
    <t>283,80</t>
  </si>
  <si>
    <t>REDE CONDOM PVC NBR7362 100-BEIRA RIO</t>
  </si>
  <si>
    <t>103,65</t>
  </si>
  <si>
    <t>REDE CONDOM FOFO NBR15420 100-BEIRA RIO</t>
  </si>
  <si>
    <t>257,79</t>
  </si>
  <si>
    <t>LIGACAO INTRA-DOMICILIAR NA CALCADA</t>
  </si>
  <si>
    <t>635,26</t>
  </si>
  <si>
    <t>LIGACAO INTRA-DOMICILIAR-INST. EXISTENTE</t>
  </si>
  <si>
    <t>858,82</t>
  </si>
  <si>
    <t>LIGACAO INTRA-DOMICILIAR PADRAO ATE 6M</t>
  </si>
  <si>
    <t>1.171,99</t>
  </si>
  <si>
    <t>LIGACAO INTRA-DOMIC PAD DIST&gt;6 E &lt;=12M</t>
  </si>
  <si>
    <t>1.640,89</t>
  </si>
  <si>
    <t>LIGACAO INTRA-DOMIC PAD DIST&gt;12 E &lt;=18M</t>
  </si>
  <si>
    <t>2.111,68</t>
  </si>
  <si>
    <t>LIG INTRA-DOMICILIAR CALÇADA(INTERIOR)</t>
  </si>
  <si>
    <t>372,95</t>
  </si>
  <si>
    <t>LIG INTRA-DOMICILIAR-INST EXIST(INTERIOR</t>
  </si>
  <si>
    <t>727,71</t>
  </si>
  <si>
    <t>LIG INTRA-DOMIC PADRAO ATÉ 6M (INTERIOR)</t>
  </si>
  <si>
    <t>864,87</t>
  </si>
  <si>
    <t>LIG INTRA-DOMIC PAD DIST&gt;6E&lt;=12M(INTERIO</t>
  </si>
  <si>
    <t>1.165,94</t>
  </si>
  <si>
    <t>LIG INTRA-DOMIC PAD DIST&gt;12E&lt;=18M(INTERI</t>
  </si>
  <si>
    <t>1.602,23</t>
  </si>
  <si>
    <t>LIG ESG DENTRO PI NA REDE E CAP DRENAGEM</t>
  </si>
  <si>
    <t>75,65</t>
  </si>
  <si>
    <t>PESQ RAMAL PREDIAL P/ NOVA LIGACAO ESGOT</t>
  </si>
  <si>
    <t>65,02</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</si>
  <si>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</si>
  <si>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</si>
  <si>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</si>
  <si>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</si>
  <si>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</si>
  <si>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</si>
  <si>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</si>
  <si>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</si>
  <si>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</si>
  <si>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</si>
  <si>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</si>
  <si>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</si>
  <si>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</si>
  <si>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</si>
  <si>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</si>
  <si>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</si>
  <si>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</si>
  <si>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63,98</t>
  </si>
  <si>
    <t>RECOMP DE PAVIMENTO EM PLACAS CONCRETO</t>
  </si>
  <si>
    <t>RECOMPOSICAO DE PAVIMENTO EM CERAMICA</t>
  </si>
  <si>
    <t>79,63</t>
  </si>
  <si>
    <t>RECOMP PAVIMENTO CIMENTADO INCL LASTRO</t>
  </si>
  <si>
    <t>46,61</t>
  </si>
  <si>
    <t>RECOMPOSICAO MEIO FIO CONCRETO OU PEDRA</t>
  </si>
  <si>
    <t>RECOMPOSICAO DE SARJETA DE CONCRETO</t>
  </si>
  <si>
    <t>BASE EM SOLO BRITA</t>
  </si>
  <si>
    <t>97,98</t>
  </si>
  <si>
    <t>PINTURA LIGACAO SOBRE BASE(RR-2C)</t>
  </si>
  <si>
    <t>RECOMPOSICAO DE PAVIMENTO ASFALTICO</t>
  </si>
  <si>
    <t>1.046,98</t>
  </si>
  <si>
    <t>RECOMP PAV ASFALTICO AREAS TAPA BURACO</t>
  </si>
  <si>
    <t>1.334,77</t>
  </si>
  <si>
    <t>TRANSPORTE DE MASSA ASFALTICA</t>
  </si>
  <si>
    <t>PAVIMENTACAO BLOCO CONCR SEXTAVADO E=6CM</t>
  </si>
  <si>
    <t>PAVIMENTACAO BLOCO CONCR SEXTAVADO E=8CM</t>
  </si>
  <si>
    <t>PAVIMENTACAO BLOCO CONCR PAVI-S E=6CM</t>
  </si>
  <si>
    <t>48,36</t>
  </si>
  <si>
    <t>PAVIMENTACAO BLOCO CONCR PAVI-S E=8CM</t>
  </si>
  <si>
    <t>55,54</t>
  </si>
  <si>
    <t>PAVIMENTACAO PARALELEPIPEDO</t>
  </si>
  <si>
    <t>MEIO FIO DE CONCRETO SECAO 15x12x30CM</t>
  </si>
  <si>
    <t>PAVIMENTO EM PEDRISCO E=5,0CM</t>
  </si>
  <si>
    <t>PAVIMENTO EM PEDRISCO E=10,0CM</t>
  </si>
  <si>
    <t>MURO TIPO "1"  BLOCO/MOURAO/ARAME</t>
  </si>
  <si>
    <t>183,37</t>
  </si>
  <si>
    <t>MURO TIPO"2" BLOCO/MOURAO/TELA PVC/ARAME</t>
  </si>
  <si>
    <t>209,76</t>
  </si>
  <si>
    <t>MURO TIPO  "3"  MOURAO/ARAME</t>
  </si>
  <si>
    <t>120,84</t>
  </si>
  <si>
    <t>MURO TIPO"4" BLOCO/MOURAO/TELA GALV/ARAM</t>
  </si>
  <si>
    <t>179,55</t>
  </si>
  <si>
    <t>MURO TIPO "5" BLOCO DE CONCRETO APARENTE</t>
  </si>
  <si>
    <t>570,73</t>
  </si>
  <si>
    <t>CERCA C/ 6 FIOS ARAME LISO/MOURAO MADEIR</t>
  </si>
  <si>
    <t>CERCA C/ 6 FIOS ARAME FARPADO/MOURAO MAD</t>
  </si>
  <si>
    <t>PORTAO TIPO "1" L=4,00M</t>
  </si>
  <si>
    <t>3.993,39</t>
  </si>
  <si>
    <t>PORTAO TIPO "1" L=1,00M</t>
  </si>
  <si>
    <t>2.013,19</t>
  </si>
  <si>
    <t>PORTAO TIPO "2" FECHADO L=4,0M E H=3,0M</t>
  </si>
  <si>
    <t>6.577,86</t>
  </si>
  <si>
    <t>PINTURA LETREIRO/LOGOMARCA CESAN</t>
  </si>
  <si>
    <t>127,26</t>
  </si>
  <si>
    <t>GRAMA ESMERALDA PLACAS, TERRA VEG. 2,0CM</t>
  </si>
  <si>
    <t>PLANTIO DE ARVORES H=2,0M</t>
  </si>
  <si>
    <t>BANCO PRE-MOLDADO DE CONCRETO</t>
  </si>
  <si>
    <t>282,57</t>
  </si>
  <si>
    <t>CAIXA RALO EM CONCRETO, COMPLETA</t>
  </si>
  <si>
    <t>358,13</t>
  </si>
  <si>
    <t>MEIA CANA DE CONCRETO DN 200</t>
  </si>
  <si>
    <t>MEIA CANA DE CONCRETO DN 300</t>
  </si>
  <si>
    <t>35,22</t>
  </si>
  <si>
    <t>MEIA CANA DE CONCRETO DN 400</t>
  </si>
  <si>
    <t>47,29</t>
  </si>
  <si>
    <t>MEIA CANA DE CONCRETO DN 500</t>
  </si>
  <si>
    <t>61,64</t>
  </si>
  <si>
    <t>MEIA CANA DE CONCRETO DN 600</t>
  </si>
  <si>
    <t>75,20</t>
  </si>
  <si>
    <t>SARJETA EM CONCRETO</t>
  </si>
  <si>
    <t>32,08</t>
  </si>
  <si>
    <t>REDE DREN TUBO CONCR CA-1 DN 400 S/ PAV</t>
  </si>
  <si>
    <t>158,94</t>
  </si>
  <si>
    <t>REDE DREN TUBO CONCR CA-2 DN 300 S/ PAV</t>
  </si>
  <si>
    <t>143,97</t>
  </si>
  <si>
    <t>REDE DREN TUBO CONCR CA-2 DN 400 S/ PAV</t>
  </si>
  <si>
    <t>162,14</t>
  </si>
  <si>
    <t>TAMPAO FERRO FUNDIDO DN 600MM</t>
  </si>
  <si>
    <t>421,99</t>
  </si>
  <si>
    <t>TAMPAO FERRO FUNDIDO DN 800MM</t>
  </si>
  <si>
    <t>1.867,27</t>
  </si>
  <si>
    <t>CONCERTINA CLIP (DUPLA) ACO GALV D=2,76</t>
  </si>
  <si>
    <t>34,95</t>
  </si>
  <si>
    <t>SINALIZACAO HORIZONT TERMOPLAST EXTRUSAO</t>
  </si>
  <si>
    <t>99,88</t>
  </si>
  <si>
    <t>ASFALTO A FRIO ENSACADO</t>
  </si>
  <si>
    <t>RETIRADA CALCADA EM CIMENTADO DESEMP</t>
  </si>
  <si>
    <t>RECOMP DE CALCADA EM CIMENTADO DESEMP</t>
  </si>
  <si>
    <t>BASE EM CASCALHO</t>
  </si>
  <si>
    <t>111,15</t>
  </si>
  <si>
    <t>SINALIZACAO HORIZONT TINTA BASE ACRILICA</t>
  </si>
  <si>
    <t>21,76</t>
  </si>
  <si>
    <t>GRUPO -  S23.010 - SERVIÇOS ESPECIAIS</t>
  </si>
  <si>
    <t>LASTRO DE BRITA "0" PARA BIOFILTRO</t>
  </si>
  <si>
    <t>115,92</t>
  </si>
  <si>
    <t>LASTRO DE BRITA "1" PARA BIOFILTRO</t>
  </si>
  <si>
    <t>96,30</t>
  </si>
  <si>
    <t>LASTRO DE BRITA "2" PARA BIOFILTRO</t>
  </si>
  <si>
    <t>TURFA/CAVACO/CARVAO/AREIA P/ BIOFILTRO</t>
  </si>
  <si>
    <t>247,44</t>
  </si>
  <si>
    <t>TELA TIPO MOSQUITEIRO PARA BIOFILTRO</t>
  </si>
  <si>
    <t>16,08</t>
  </si>
  <si>
    <t>AREIA GROSSA</t>
  </si>
  <si>
    <t>ENROCAMENTO COM PEDRA DE MAO ARGAMASSADA</t>
  </si>
  <si>
    <t>336,50</t>
  </si>
  <si>
    <t>CAIXA DE PASSAGEM 60X60X100</t>
  </si>
  <si>
    <t>524,42</t>
  </si>
  <si>
    <t>DEFENSA METALICA</t>
  </si>
  <si>
    <t>462,26</t>
  </si>
  <si>
    <t>CARVAO ANTRACITO TE=1,1A1,3MM CU=1,5MM</t>
  </si>
  <si>
    <t>2.735,42</t>
  </si>
  <si>
    <t>SEIXO ROLADO PARA FILTRO 50MMX25MM</t>
  </si>
  <si>
    <t>914,60</t>
  </si>
  <si>
    <t>SEIXO ROLADO PARA FILTRO 19MMX12,7MM</t>
  </si>
  <si>
    <t>897,55</t>
  </si>
  <si>
    <t>SEIXO ROLADO PARA FILTRO 12,7MMX6,3MM</t>
  </si>
  <si>
    <t>SEIXO ROLADO PARA FILTRO 6,3MMX3,2MM</t>
  </si>
  <si>
    <t>SEIXO ROLADO PARA FILTRO 3,2MMX2,0MM</t>
  </si>
  <si>
    <t>AREIA PARA FILTRO TE=0,50MM CU=1,5MM</t>
  </si>
  <si>
    <t>874,17</t>
  </si>
  <si>
    <t>GRUPO -  S25.010 - SISTEMA ABASTECIMENTO DE ÁGUA</t>
  </si>
  <si>
    <t>REDE AGUA PVC PBA 15 DN 50 S/PAV</t>
  </si>
  <si>
    <t>42,94</t>
  </si>
  <si>
    <t>REDE AGUA PVC PBA 15 DN 50 ASFALTO</t>
  </si>
  <si>
    <t>90,61</t>
  </si>
  <si>
    <t>REDE AGUA PVC PBA 15 DN 50 BLOCO/PAVI´S</t>
  </si>
  <si>
    <t>REDE AGUA PVC PBA 15 DN 50 PARALELO</t>
  </si>
  <si>
    <t>82,05</t>
  </si>
  <si>
    <t>REDE AGUA PVC PBA 15 DN 75 S/PAV</t>
  </si>
  <si>
    <t>59,33</t>
  </si>
  <si>
    <t>REDE AGUA PVC PBA 15 DN 75 ASFALTO</t>
  </si>
  <si>
    <t>REDE AGUA PVC PBA 15 DN 75 BLOCO/PAVI´S</t>
  </si>
  <si>
    <t>REDE AGUA PVC PBA 15 DN 75 PARALELO</t>
  </si>
  <si>
    <t>98,45</t>
  </si>
  <si>
    <t>REDE AGUA PVC PBA 15 DN 100 S/PAV</t>
  </si>
  <si>
    <t>80,75</t>
  </si>
  <si>
    <t>REDE AGUA PVC PBA 15 DN 100 ASFALTO</t>
  </si>
  <si>
    <t>128,34</t>
  </si>
  <si>
    <t>REDE AGUA PVC PBA 15 DN 100 BLOCO/PAVI´S</t>
  </si>
  <si>
    <t>117,51</t>
  </si>
  <si>
    <t>REDE AGUA PVC PBA 15 DN 100 PARALELO</t>
  </si>
  <si>
    <t>119,77</t>
  </si>
  <si>
    <t>REDE AGUA PVC PBA 20 DN 50 S/PAV</t>
  </si>
  <si>
    <t>46,35</t>
  </si>
  <si>
    <t>REDE AGUA PVC PBA 20 DN 50 ASFALTO</t>
  </si>
  <si>
    <t>94,02</t>
  </si>
  <si>
    <t>REDE AGUA PVC PBA 20 DN 50 BLOCO/PAVI´S</t>
  </si>
  <si>
    <t>83,21</t>
  </si>
  <si>
    <t>REDE AGUA PVC PBA 20 DN 50 PARALELO</t>
  </si>
  <si>
    <t>REDE AGUA PVC PBA 20 DN 75 S/PAV</t>
  </si>
  <si>
    <t>66,99</t>
  </si>
  <si>
    <t>REDE AGUA PVC PBA 20 DN 75 ASFALTO</t>
  </si>
  <si>
    <t>114,68</t>
  </si>
  <si>
    <t>REDE AGUA PVC PBA 20 DN 75 BLOCO/PAVI´S</t>
  </si>
  <si>
    <t>103,86</t>
  </si>
  <si>
    <t>REDE AGUA PVC PBA 20 DN 75 PARALELO</t>
  </si>
  <si>
    <t>106,11</t>
  </si>
  <si>
    <t>REDE AGUA PVC PBA 20 DN 100 S/PAV</t>
  </si>
  <si>
    <t>92,88</t>
  </si>
  <si>
    <t>REDE AGUA PVC PBA 20 DN 100 ASFALTO</t>
  </si>
  <si>
    <t>140,56</t>
  </si>
  <si>
    <t>REDE AGUA PVC PBA 20 DN 100 BLOCO/PAVI´S</t>
  </si>
  <si>
    <t>129,73</t>
  </si>
  <si>
    <t>REDE AGUA PVC PBA 20 DN 100 PARALELO</t>
  </si>
  <si>
    <t>131,99</t>
  </si>
  <si>
    <t>REDE AGUA PVC DEFOFO DN 100 S/PAV</t>
  </si>
  <si>
    <t>REDE AGUA PVC DEFOFO DN 100 ASFALTO</t>
  </si>
  <si>
    <t>114,14</t>
  </si>
  <si>
    <t>REDE AGUA PVC DEFOFO DN 100 BLOCO/PAVI´S</t>
  </si>
  <si>
    <t>103,31</t>
  </si>
  <si>
    <t>REDE AGUA PVC DEFOFO DN 100 PARALELO</t>
  </si>
  <si>
    <t>105,56</t>
  </si>
  <si>
    <t>REDE AGUA PVC DEFOFO DN 150 S/PAV</t>
  </si>
  <si>
    <t>132,87</t>
  </si>
  <si>
    <t>REDE AGUA PVC DEFOFO DN 150 ASFALTO</t>
  </si>
  <si>
    <t>188,37</t>
  </si>
  <si>
    <t>REDE AGUA PVC DEFOFO DN 150 BLOCO/PAVI´S</t>
  </si>
  <si>
    <t>172,69</t>
  </si>
  <si>
    <t>REDE AGUA PVC DEFOFO DN 150 PARALELO</t>
  </si>
  <si>
    <t>175,19</t>
  </si>
  <si>
    <t>REDE AGUA PVC DEFOFO DN 200 S/PAV</t>
  </si>
  <si>
    <t>205,65</t>
  </si>
  <si>
    <t>REDE AGUA PVC DEFOFO DN 200 ASFALTO</t>
  </si>
  <si>
    <t>268,94</t>
  </si>
  <si>
    <t>REDE AGUA PVC DEFOFO DN 200 BLOCO/PAVI´S</t>
  </si>
  <si>
    <t>248,43</t>
  </si>
  <si>
    <t>REDE AGUA PVC DEFOFO DN 200 PARALELO</t>
  </si>
  <si>
    <t>251,18</t>
  </si>
  <si>
    <t>REDE AGUA PVC DEFOFO DN 250 S/PAV</t>
  </si>
  <si>
    <t>288,95</t>
  </si>
  <si>
    <t>REDE AGUA PVC DEFOFO DN 250 ASFALTO</t>
  </si>
  <si>
    <t>352,25</t>
  </si>
  <si>
    <t>REDE AGUA PVC DEFOFO DN 250 BLOCO/PAVI´S</t>
  </si>
  <si>
    <t>REDE AGUA PVC DEFOFO DN 250 PARALELO</t>
  </si>
  <si>
    <t>334,49</t>
  </si>
  <si>
    <t>REDE AGUA PVC DEFOFO DN 300 S/PAV</t>
  </si>
  <si>
    <t>398,61</t>
  </si>
  <si>
    <t>REDE AGUA PVC DEFOFO DN 300 ASFALTO</t>
  </si>
  <si>
    <t>469,72</t>
  </si>
  <si>
    <t>REDE AGUA PVC DEFOFO DN 300 BLOCO/PAVI´S</t>
  </si>
  <si>
    <t>444,35</t>
  </si>
  <si>
    <t>REDE AGUA PVC DEFOFO DN 300 PARALELO</t>
  </si>
  <si>
    <t>447,36</t>
  </si>
  <si>
    <t>REDE AGUA PVC DEFOFO DN 350 S/PAV</t>
  </si>
  <si>
    <t>428,43</t>
  </si>
  <si>
    <t>REDE AGUA PVC DEFOFO DN 350 ASFALTO</t>
  </si>
  <si>
    <t>REDE AGUA PVC DEFOFO DN 350 BLOCO/PAVI´S</t>
  </si>
  <si>
    <t>474,15</t>
  </si>
  <si>
    <t>REDE AGUA PVC DEFOFO DN 350 PARALELO</t>
  </si>
  <si>
    <t>477,17</t>
  </si>
  <si>
    <t>REDE AGUA PVC DEFOFO DN 400 S/PAV</t>
  </si>
  <si>
    <t>654,58</t>
  </si>
  <si>
    <t>REDE AGUA PVC DEFOFO DN 400 ASFALTO</t>
  </si>
  <si>
    <t>730,11</t>
  </si>
  <si>
    <t>REDE AGUA PVC DEFOFO DN 400 BLOCO/PAVI´S</t>
  </si>
  <si>
    <t>701,79</t>
  </si>
  <si>
    <t>REDE AGUA PVC DEFOFO DN 400 PARALELO</t>
  </si>
  <si>
    <t>705,04</t>
  </si>
  <si>
    <t>REDE AGUA FOFO K-7 DN 80 S/PAV</t>
  </si>
  <si>
    <t>275,80</t>
  </si>
  <si>
    <t>REDE AGUA FOFO K-7 DN 80 ASFALTO</t>
  </si>
  <si>
    <t>323,47</t>
  </si>
  <si>
    <t>REDE AGUA FOFO K-7 DN 80 BLOCO</t>
  </si>
  <si>
    <t>312,65</t>
  </si>
  <si>
    <t>REDE AGUA FOFO K-7 DN 80 PARALELO</t>
  </si>
  <si>
    <t>314,90</t>
  </si>
  <si>
    <t>REDE AGUA FOFO K-7 DN 100 S/PAV</t>
  </si>
  <si>
    <t>267,53</t>
  </si>
  <si>
    <t>REDE AGUA FOFO K-7 DN 100 ASFALTO</t>
  </si>
  <si>
    <t>315,20</t>
  </si>
  <si>
    <t>REDE AGUA FOFO K-7 DN 100 BLOCO</t>
  </si>
  <si>
    <t>304,37</t>
  </si>
  <si>
    <t>REDE AGUA FOFO K-7 DN 100 PARALELO</t>
  </si>
  <si>
    <t>306,62</t>
  </si>
  <si>
    <t>REDE AGUA FOFO K-7 DN 150 S/PAV</t>
  </si>
  <si>
    <t>330,46</t>
  </si>
  <si>
    <t>REDE AGUA FOFO K-7 DN 150 ASFALTO</t>
  </si>
  <si>
    <t>385,96</t>
  </si>
  <si>
    <t>REDE AGUA FOFO K-7 DN 150 BLOCO</t>
  </si>
  <si>
    <t>370,28</t>
  </si>
  <si>
    <t>REDE AGUA FOFO K-7 DN 150 PARALELO</t>
  </si>
  <si>
    <t>372,78</t>
  </si>
  <si>
    <t>REDE AGUA FOFO K-7 DN 200 S/PAV</t>
  </si>
  <si>
    <t>REDE AGUA FOFO K-7 DN 200 ASFALTO</t>
  </si>
  <si>
    <t>464,75</t>
  </si>
  <si>
    <t>REDE AGUA FOFO K-7 DN 200 BLOCO</t>
  </si>
  <si>
    <t>444,24</t>
  </si>
  <si>
    <t>REDE AGUA FOFO K-7 DN 200 PARALELO</t>
  </si>
  <si>
    <t>446,99</t>
  </si>
  <si>
    <t>REDE AGUA FOFO K-7 DN 250 S/PAV</t>
  </si>
  <si>
    <t>473,66</t>
  </si>
  <si>
    <t>REDE AGUA FOFO K-7 DN 250 ASFALTO</t>
  </si>
  <si>
    <t>536,95</t>
  </si>
  <si>
    <t>REDE AGUA FOFO K-7 DN 250 BLOCO</t>
  </si>
  <si>
    <t>516,44</t>
  </si>
  <si>
    <t>REDE AGUA FOFO K-7 DN 250 PARALELO</t>
  </si>
  <si>
    <t>519,19</t>
  </si>
  <si>
    <t>REDE AGUA FOFO K-7 DN 300 S/PAV</t>
  </si>
  <si>
    <t>549,89</t>
  </si>
  <si>
    <t>REDE AGUA FOFO K-7 DN 300 ASFALTO</t>
  </si>
  <si>
    <t>621,00</t>
  </si>
  <si>
    <t>REDE AGUA FOFO K-7 DN 300 BLOCO</t>
  </si>
  <si>
    <t>595,63</t>
  </si>
  <si>
    <t>REDE AGUA FOFO K-7 DN 300 PARALELO</t>
  </si>
  <si>
    <t>598,64</t>
  </si>
  <si>
    <t>REDE AGUA FOFO K-7 DN 350 S/PAV</t>
  </si>
  <si>
    <t>684,26</t>
  </si>
  <si>
    <t>REDE AGUA FOFO K-7 DN 350 ASFALTO</t>
  </si>
  <si>
    <t>755,37</t>
  </si>
  <si>
    <t>REDE AGUA FOFO K-7 DN 350 BLOCO</t>
  </si>
  <si>
    <t>729,99</t>
  </si>
  <si>
    <t>REDE AGUA FOFO K-7 DN 350 PARALELO</t>
  </si>
  <si>
    <t>733,01</t>
  </si>
  <si>
    <t>REDE AGUA FOFO K-7 DN 400 S/PAV</t>
  </si>
  <si>
    <t>790,09</t>
  </si>
  <si>
    <t>REDE AGUA FOFO K-7 DN 400 ASFALTO</t>
  </si>
  <si>
    <t>865,70</t>
  </si>
  <si>
    <t>REDE AGUA FOFO K-7 DN 400 BLOCO</t>
  </si>
  <si>
    <t>835,82</t>
  </si>
  <si>
    <t>REDE AGUA FOFO K-7 DN 400 PARALELO</t>
  </si>
  <si>
    <t>838,83</t>
  </si>
  <si>
    <t>REDE AGUA FOFO K-7 DN 80 S/PAV S/F</t>
  </si>
  <si>
    <t>REDE AGUA FOFO K-7 DN 80 ASFALTO S/F</t>
  </si>
  <si>
    <t>82,82</t>
  </si>
  <si>
    <t>REDE AGUA FOFO K-7 DN 80 BLOCO S/F</t>
  </si>
  <si>
    <t>71,99</t>
  </si>
  <si>
    <t>REDE AGUA FOFO K-7 DN 80 PARALELO S/F</t>
  </si>
  <si>
    <t>74,25</t>
  </si>
  <si>
    <t>REDE AGUA FOFO K-7 DN 100 S/PAV S/F</t>
  </si>
  <si>
    <t>REDE AGUA FOFO K-7 DN 100 ASFALTO S/F</t>
  </si>
  <si>
    <t>83,77</t>
  </si>
  <si>
    <t>REDE AGUA FOFO K-7 DN 100 BLOCO S/F</t>
  </si>
  <si>
    <t>72,95</t>
  </si>
  <si>
    <t>REDE AGUA FOFO K-7 DN 100 PARALELO S/F</t>
  </si>
  <si>
    <t>REDE AGUA FOFO K-7 DN 150 S/PAV S/F</t>
  </si>
  <si>
    <t>46,29</t>
  </si>
  <si>
    <t>REDE AGUA FOFO K-7 DN 150 ASFALTO S/F</t>
  </si>
  <si>
    <t>REDE AGUA FOFO K-7 DN 150 BLOCO S/F</t>
  </si>
  <si>
    <t>REDE AGUA FOFO K-7 DN 150 PARALELO S/F</t>
  </si>
  <si>
    <t>88,60</t>
  </si>
  <si>
    <t>REDE AGUA FOFO K-7 DN 200 S/PAV S/F</t>
  </si>
  <si>
    <t>56,68</t>
  </si>
  <si>
    <t>REDE AGUA FOFO K-7 DN 200 ASFALTO S/F</t>
  </si>
  <si>
    <t>119,97</t>
  </si>
  <si>
    <t>REDE AGUA FOFO K-7 DN 200 BLOCO S/F</t>
  </si>
  <si>
    <t>99,46</t>
  </si>
  <si>
    <t>REDE AGUA FOFO K-7 DN 200 PARALELO S/F</t>
  </si>
  <si>
    <t>102,21</t>
  </si>
  <si>
    <t>REDE AGUA FOFO K-7 DN 250 S/PAV S/F</t>
  </si>
  <si>
    <t>REDE AGUA FOFO K-7 DN 250 ASFALTO S/F</t>
  </si>
  <si>
    <t>REDE AGUA FOFO K-7 DN 250 BLOCO S/F</t>
  </si>
  <si>
    <t>103,12</t>
  </si>
  <si>
    <t>REDE AGUA FOFO K-7 DN 250 PARALELO S/F</t>
  </si>
  <si>
    <t>105,88</t>
  </si>
  <si>
    <t>REDE AGUA FOFO K-7 DN 300 S/PAV S/F</t>
  </si>
  <si>
    <t>REDE AGUA FOFO K-7 DN 300 ASFALTO S/F</t>
  </si>
  <si>
    <t>144,65</t>
  </si>
  <si>
    <t>REDE AGUA FOFO K-7 DN 300 BLOCO S/F</t>
  </si>
  <si>
    <t>119,28</t>
  </si>
  <si>
    <t>REDE AGUA FOFO K-7 DN 300 PARALELO S/F</t>
  </si>
  <si>
    <t>REDE AGUA FOFO K-7 DN 350 S/PAV S/F</t>
  </si>
  <si>
    <t>78,15</t>
  </si>
  <si>
    <t>REDE AGUA FOFO K-7 DN 350 ASFALTO S/F</t>
  </si>
  <si>
    <t>149,26</t>
  </si>
  <si>
    <t>REDE AGUA FOFO K-7 DN 350 BLOCO S/F</t>
  </si>
  <si>
    <t>123,88</t>
  </si>
  <si>
    <t>REDE AGUA FOFO K-7 DN 350 PARALELO S/F</t>
  </si>
  <si>
    <t>126,90</t>
  </si>
  <si>
    <t>REDE AGUA FOFO K-7 DN 400 S/PAV S/F</t>
  </si>
  <si>
    <t>112,55</t>
  </si>
  <si>
    <t>REDE AGUA FOFO K-7 DN 400 ASFALTO S/F</t>
  </si>
  <si>
    <t>188,17</t>
  </si>
  <si>
    <t>REDE AGUA FOFO K-7 DN 400 BLOCO S/F</t>
  </si>
  <si>
    <t>158,29</t>
  </si>
  <si>
    <t>REDE AGUA FOFO K-7 DN 400 PARALELO S/F</t>
  </si>
  <si>
    <t>161,30</t>
  </si>
  <si>
    <t>REDE DE AGUA AEREA FOFO K-7 DN 80</t>
  </si>
  <si>
    <t>REDE DE AGUA AEREA FOFO K-7 DN 100</t>
  </si>
  <si>
    <t>249,60</t>
  </si>
  <si>
    <t>REDE DE AGUA AEREA FOFO K-7 DN 150</t>
  </si>
  <si>
    <t>303,37</t>
  </si>
  <si>
    <t>REDE DE AGUA AEREA FOFO K-7 DN 200</t>
  </si>
  <si>
    <t>366,53</t>
  </si>
  <si>
    <t>REDE DE AGUA AEREA FOFO K-7 DN 250</t>
  </si>
  <si>
    <t>436,94</t>
  </si>
  <si>
    <t>REDE DE AGUA AEREA FOFO K-7 DN 300</t>
  </si>
  <si>
    <t>502,43</t>
  </si>
  <si>
    <t>REDE DE AGUA AEREA FOFO K-7 DN 80 S/F</t>
  </si>
  <si>
    <t>16,10</t>
  </si>
  <si>
    <t>REDE DE AGUA AEREA FOFO K-7 DN 100 S/F</t>
  </si>
  <si>
    <t>REDE DE AGUA AEREA FOFO K-7 DN 150 S/F</t>
  </si>
  <si>
    <t>19,19</t>
  </si>
  <si>
    <t>REDE DE AGUA AEREA FOFO K-7 DN 200 S/F</t>
  </si>
  <si>
    <t>21,74</t>
  </si>
  <si>
    <t>REDE DE AGUA AEREA FOFO K-7 DN 250 S/F</t>
  </si>
  <si>
    <t>REDE DE AGUA AEREA FOFO K-7 DN 300 S/F</t>
  </si>
  <si>
    <t>26,09</t>
  </si>
  <si>
    <t>GRUPO - S26.010 - SISTEMA ESGOTAMENTO SANITÁRIO</t>
  </si>
  <si>
    <t>REDE ESG PVC NBR7362 150 ATE 1,25m S/PAV</t>
  </si>
  <si>
    <t>REDE ESG PVC NBR7362 150 ATE 1,25m ASFAL</t>
  </si>
  <si>
    <t>164,01</t>
  </si>
  <si>
    <t>REDE ESG PVC NBR7362 150 ATE 1,25m BLOCO</t>
  </si>
  <si>
    <t>138,43</t>
  </si>
  <si>
    <t>REDE ESG PVC NBR7362 150 ATE 1,25m PARAL</t>
  </si>
  <si>
    <t>141,14</t>
  </si>
  <si>
    <t>REDE ESG PVC NBR7362 150 1,26A1,75 S/PAV</t>
  </si>
  <si>
    <t>137,01</t>
  </si>
  <si>
    <t>REDE ESG PVC NBR7362 150 1,26A1,75 ASFAL</t>
  </si>
  <si>
    <t>208,44</t>
  </si>
  <si>
    <t>REDE ESG PVC NBR7362 150 1,26A1,75 BLOCO</t>
  </si>
  <si>
    <t>180,84</t>
  </si>
  <si>
    <t>REDE ESG PVC NBR7362 150 1,26A1,75 PARAL</t>
  </si>
  <si>
    <t>183,68</t>
  </si>
  <si>
    <t>REDE ESG PVC NBR7362 150 1,76A2,25 S/PAV</t>
  </si>
  <si>
    <t>156,22</t>
  </si>
  <si>
    <t>REDE ESG PVC NBR7362 150 1,76A2,25 ASFAL</t>
  </si>
  <si>
    <t>227,65</t>
  </si>
  <si>
    <t>REDE ESG PVC NBR7362 150 1,76A2,25 BLOCO</t>
  </si>
  <si>
    <t>200,05</t>
  </si>
  <si>
    <t>REDE ESG PVC NBR7362 150 1,76A2,25 PARAL</t>
  </si>
  <si>
    <t>202,89</t>
  </si>
  <si>
    <t>REDE ESG PVC NBR7362 150 2,26A2,75 S/PAV</t>
  </si>
  <si>
    <t>185,16</t>
  </si>
  <si>
    <t>REDE ESG PVC NBR7362 150 2,26A2,75 ASFAL</t>
  </si>
  <si>
    <t>264,43</t>
  </si>
  <si>
    <t>REDE ESG PVC NBR7362 150 2,26A2,75 BLOCO</t>
  </si>
  <si>
    <t>231,79</t>
  </si>
  <si>
    <t>REDE ESG PVC NBR7362 150 2,26A2,75 PARAL</t>
  </si>
  <si>
    <t>234,91</t>
  </si>
  <si>
    <t>REDE ESG PVC NBR7362 150 2,76A3,25 S/PAV</t>
  </si>
  <si>
    <t>206,08</t>
  </si>
  <si>
    <t>REDE ESG PVC NBR7362 150 2,76A3,25 ASFAL</t>
  </si>
  <si>
    <t>285,36</t>
  </si>
  <si>
    <t>REDE ESG PVC NBR7362 150 2,76A3,25 BLOCO</t>
  </si>
  <si>
    <t>REDE ESG PVC NBR7362 150 2,76A3,25 PARAL</t>
  </si>
  <si>
    <t>255,04</t>
  </si>
  <si>
    <t>REDE ESG PVC NBR7362 150 3,26A3,75 S/PAV</t>
  </si>
  <si>
    <t>240,53</t>
  </si>
  <si>
    <t>REDE ESG PVC NBR7362 150 3,26A3,75 ASFAL</t>
  </si>
  <si>
    <t>327,66</t>
  </si>
  <si>
    <t>REDE ESG PVC NBR7362 150 3,26A3,75 BLOCO</t>
  </si>
  <si>
    <t>289,12</t>
  </si>
  <si>
    <t>REDE ESG PVC NBR7362 150 3,26A3,75 PARAL</t>
  </si>
  <si>
    <t>292,37</t>
  </si>
  <si>
    <t>REDE ESG PVC NBR7362 150 3,76A4,25 S/PAV</t>
  </si>
  <si>
    <t>264,74</t>
  </si>
  <si>
    <t>REDE ESG PVC NBR7362 150 3,76A4,25 ASFAL</t>
  </si>
  <si>
    <t>351,88</t>
  </si>
  <si>
    <t>REDE ESG PVC NBR7362 150 3,76A4,25 BLOCO</t>
  </si>
  <si>
    <t>313,33</t>
  </si>
  <si>
    <t>REDE ESG PVC NBR7362 150 3,76A4,25 PARAL</t>
  </si>
  <si>
    <t>316,53</t>
  </si>
  <si>
    <t>REDE ESG PVC NBR7362 200 ATE 1,25m S/PAV</t>
  </si>
  <si>
    <t>117,94</t>
  </si>
  <si>
    <t>REDE ESG PVC NBR7362 200 ATE 1,25m ASFAL</t>
  </si>
  <si>
    <t>185,95</t>
  </si>
  <si>
    <t>REDE ESG PVC NBR7362 200 ATE 1,25m BLOCO</t>
  </si>
  <si>
    <t>160,37</t>
  </si>
  <si>
    <t>REDE ESG PVC NBR7362 200 ATE 1,25m PARAL</t>
  </si>
  <si>
    <t>163,09</t>
  </si>
  <si>
    <t>REDE ESG PVC NBR7362 200 1,26A1,75 S/PAV</t>
  </si>
  <si>
    <t>159,09</t>
  </si>
  <si>
    <t>REDE ESG PVC NBR7362 200 1,26A1,75 ASFAL</t>
  </si>
  <si>
    <t>230,51</t>
  </si>
  <si>
    <t>REDE ESG PVC NBR7362 200 1,26A1,75 BLOCO</t>
  </si>
  <si>
    <t>202,92</t>
  </si>
  <si>
    <t>REDE ESG PVC NBR7362 200 1,26A1,75 PARAL</t>
  </si>
  <si>
    <t>205,76</t>
  </si>
  <si>
    <t>REDE ESG PVC NBR7362 200 1,76A2,25 S/PAV</t>
  </si>
  <si>
    <t>178,29</t>
  </si>
  <si>
    <t>REDE ESG PVC NBR7362 200 1,76A2,25 ASFAL</t>
  </si>
  <si>
    <t>249,73</t>
  </si>
  <si>
    <t>REDE ESG PVC NBR7362 200 1,76A2,25 BLOCO</t>
  </si>
  <si>
    <t>222,13</t>
  </si>
  <si>
    <t>REDE ESG PVC NBR7362 200 1,76A2,25 PARAL</t>
  </si>
  <si>
    <t>224,98</t>
  </si>
  <si>
    <t>REDE ESG PVC NBR7362 200 2,26A2,75 S/PAV</t>
  </si>
  <si>
    <t>207,57</t>
  </si>
  <si>
    <t>REDE ESG PVC NBR7362 200 2,26A2,75 ASFAL</t>
  </si>
  <si>
    <t>286,84</t>
  </si>
  <si>
    <t>REDE ESG PVC NBR7362 200 2,26A2,75 BLOCO</t>
  </si>
  <si>
    <t>254,20</t>
  </si>
  <si>
    <t>REDE ESG PVC NBR7362 200 2,26A2,75 PARAL</t>
  </si>
  <si>
    <t>257,32</t>
  </si>
  <si>
    <t>REDE ESG PVC NBR7362 200 2,76A3,25 S/PAV</t>
  </si>
  <si>
    <t>228,48</t>
  </si>
  <si>
    <t>REDE ESG PVC NBR7362 200 2,76A3,25 ASFAL</t>
  </si>
  <si>
    <t>307,76</t>
  </si>
  <si>
    <t>REDE ESG PVC NBR7362 200 2,76A3,25 BLOCO</t>
  </si>
  <si>
    <t>274,51</t>
  </si>
  <si>
    <t>REDE ESG PVC NBR7362 200 2,76A3,25 PARAL</t>
  </si>
  <si>
    <t>277,45</t>
  </si>
  <si>
    <t>REDE ESG PVC NBR7362 200 3,26A3,75 S/PAV</t>
  </si>
  <si>
    <t>263,26</t>
  </si>
  <si>
    <t>REDE ESG PVC NBR7362 200 3,26A3,75 ASFAL</t>
  </si>
  <si>
    <t>350,39</t>
  </si>
  <si>
    <t>REDE ESG PVC NBR7362 200 3,26A3,75 BLOCO</t>
  </si>
  <si>
    <t>311,86</t>
  </si>
  <si>
    <t>REDE ESG PVC NBR7362 200 3,26A3,75 PARAL</t>
  </si>
  <si>
    <t>315,11</t>
  </si>
  <si>
    <t>REDE ESG PVC NBR7362 200 3,76A4,25 S/PAV</t>
  </si>
  <si>
    <t>287,48</t>
  </si>
  <si>
    <t>REDE ESG PVC NBR7362 200 3,76A4,25 ASFAL</t>
  </si>
  <si>
    <t>374,61</t>
  </si>
  <si>
    <t>REDE ESG PVC NBR7362 200 3,76A4,25 BLOCO</t>
  </si>
  <si>
    <t>336,06</t>
  </si>
  <si>
    <t>REDE ESG PVC NBR7362 200 3,76A4,25 PARAL</t>
  </si>
  <si>
    <t>339,27</t>
  </si>
  <si>
    <t>REDE ESG PVC NBR7362 250 ATE 1,25m S/PAV</t>
  </si>
  <si>
    <t>161,88</t>
  </si>
  <si>
    <t>REDE ESG PVC NBR7362 250 ATE 1,25m ASFAL</t>
  </si>
  <si>
    <t>229,90</t>
  </si>
  <si>
    <t>REDE ESG PVC NBR7362 250 ATE 1,25m BLOCO</t>
  </si>
  <si>
    <t>204,31</t>
  </si>
  <si>
    <t>REDE ESG PVC NBR7362 250 ATE 1,25m PARAL</t>
  </si>
  <si>
    <t>207,03</t>
  </si>
  <si>
    <t>REDE ESG PVC NBR7362 250 1,26A1,75 S/PAV</t>
  </si>
  <si>
    <t>203,23</t>
  </si>
  <si>
    <t>REDE ESG PVC NBR7362 250 1,26A1,75 ASFAL</t>
  </si>
  <si>
    <t>274,67</t>
  </si>
  <si>
    <t>REDE ESG PVC NBR7362 250 1,26A1,75 BLOCO</t>
  </si>
  <si>
    <t>247,06</t>
  </si>
  <si>
    <t>REDE ESG PVC NBR7362 250 1,26A1,75 PARAL</t>
  </si>
  <si>
    <t>249,91</t>
  </si>
  <si>
    <t>REDE ESG PVC NBR7362 250 1,76A2,25 S/PAV</t>
  </si>
  <si>
    <t>222,44</t>
  </si>
  <si>
    <t>REDE ESG PVC NBR7362 250 1,76A2,25 ASFAL</t>
  </si>
  <si>
    <t>REDE ESG PVC NBR7362 250 1,76A2,25 BLOCO</t>
  </si>
  <si>
    <t>266,27</t>
  </si>
  <si>
    <t>REDE ESG PVC NBR7362 250 1,76A2,25 PARAL</t>
  </si>
  <si>
    <t>269,12</t>
  </si>
  <si>
    <t>REDE ESG PVC NBR7362 250 2,26A2,75 S/PAV</t>
  </si>
  <si>
    <t>251,98</t>
  </si>
  <si>
    <t>REDE ESG PVC NBR7362 250 2,26A2,75 ASFAL</t>
  </si>
  <si>
    <t>331,25</t>
  </si>
  <si>
    <t>REDE ESG PVC NBR7362 250 2,26A2,75 BLOCO</t>
  </si>
  <si>
    <t>298,61</t>
  </si>
  <si>
    <t>REDE ESG PVC NBR7362 250 2,26A2,75 PARAL</t>
  </si>
  <si>
    <t>301,74</t>
  </si>
  <si>
    <t>REDE ESG PVC NBR7362 250 2,76A3,25 S/PAV</t>
  </si>
  <si>
    <t>272,90</t>
  </si>
  <si>
    <t>REDE ESG PVC NBR7362 250 2,76A3,25 ASFAL</t>
  </si>
  <si>
    <t>352,17</t>
  </si>
  <si>
    <t>REDE ESG PVC NBR7362 250 2,76A3,25 BLOCO</t>
  </si>
  <si>
    <t>318,92</t>
  </si>
  <si>
    <t>REDE ESG PVC NBR7362 250 2,76A3,25 PARAL</t>
  </si>
  <si>
    <t>321,86</t>
  </si>
  <si>
    <t>REDE ESG PVC NBR7362 250 3,26A3,75 S/PAV</t>
  </si>
  <si>
    <t>307,94</t>
  </si>
  <si>
    <t>REDE ESG PVC NBR7362 250 3,26A3,75 ASFAL</t>
  </si>
  <si>
    <t>395,08</t>
  </si>
  <si>
    <t>REDE ESG PVC NBR7362 250 3,26A3,75 BLOCO</t>
  </si>
  <si>
    <t>356,53</t>
  </si>
  <si>
    <t>REDE ESG PVC NBR7362 250 3,26A3,75 PARAL</t>
  </si>
  <si>
    <t>359,79</t>
  </si>
  <si>
    <t>REDE ESG PVC NBR7362 250 3,76A4,25 S/PAV</t>
  </si>
  <si>
    <t>332,16</t>
  </si>
  <si>
    <t>REDE ESG PVC NBR7362 250 3,76A4,25 ASFAL</t>
  </si>
  <si>
    <t>419,30</t>
  </si>
  <si>
    <t>REDE ESG PVC NBR7362 250 3,76A4,25 BLOCO</t>
  </si>
  <si>
    <t>380,74</t>
  </si>
  <si>
    <t>REDE ESG PVC NBR7362 250 3,76A4,25 PARAL</t>
  </si>
  <si>
    <t>383,94</t>
  </si>
  <si>
    <t>REDE ESG PVC NBR7362 300 ATE 1,25m S/PAV</t>
  </si>
  <si>
    <t>REDE ESG PVC NBR7362 300 ATE 1,25m ASFAL</t>
  </si>
  <si>
    <t>294,48</t>
  </si>
  <si>
    <t>REDE ESG PVC NBR7362 300 ATE 1,25m BLOCO</t>
  </si>
  <si>
    <t>268,89</t>
  </si>
  <si>
    <t>REDE ESG PVC NBR7362 300 ATE 1,25m PARAL</t>
  </si>
  <si>
    <t>271,61</t>
  </si>
  <si>
    <t>REDE ESG PVC NBR7362 300 1,26A1,75 S/PAV</t>
  </si>
  <si>
    <t>268,07</t>
  </si>
  <si>
    <t>REDE ESG PVC NBR7362 300 1,26A1,75 ASFAL</t>
  </si>
  <si>
    <t>339,50</t>
  </si>
  <si>
    <t>REDE ESG PVC NBR7362 300 1,26A1,75 BLOCO</t>
  </si>
  <si>
    <t>311,91</t>
  </si>
  <si>
    <t>REDE ESG PVC NBR7362 300 1,26A1,75 PARAL</t>
  </si>
  <si>
    <t>314,76</t>
  </si>
  <si>
    <t>REDE ESG PVC NBR7362 300 1,76A2,25 S/PAV</t>
  </si>
  <si>
    <t>287,37</t>
  </si>
  <si>
    <t>REDE ESG PVC NBR7362 300 1,76A2,25 ASFAL</t>
  </si>
  <si>
    <t>358,79</t>
  </si>
  <si>
    <t>REDE ESG PVC NBR7362 300 1,76A2,25 BLOCO</t>
  </si>
  <si>
    <t>331,20</t>
  </si>
  <si>
    <t>REDE ESG PVC NBR7362 300 1,76A2,25 PARAL</t>
  </si>
  <si>
    <t>REDE ESG PVC NBR7362 300 2,26A2,75 S/PAV</t>
  </si>
  <si>
    <t>317,45</t>
  </si>
  <si>
    <t>REDE ESG PVC NBR7362 300 2,26A2,75 ASFAL</t>
  </si>
  <si>
    <t>396,72</t>
  </si>
  <si>
    <t>REDE ESG PVC NBR7362 300 2,26A2,75 BLOCO</t>
  </si>
  <si>
    <t>364,08</t>
  </si>
  <si>
    <t>REDE ESG PVC NBR7362 300 2,26A2,75 PARAL</t>
  </si>
  <si>
    <t>367,18</t>
  </si>
  <si>
    <t>REDE ESG PVC NBR7362 300 2,76A3,25 S/PAV</t>
  </si>
  <si>
    <t>338,67</t>
  </si>
  <si>
    <t>REDE ESG PVC NBR7362 300 2,76A3,25 ASFAL</t>
  </si>
  <si>
    <t>417,95</t>
  </si>
  <si>
    <t>REDE ESG PVC NBR7362 300 2,76A3,25 BLOCO</t>
  </si>
  <si>
    <t>384,70</t>
  </si>
  <si>
    <t>REDE ESG PVC NBR7362 300 2,76A3,25 PARAL</t>
  </si>
  <si>
    <t>387,63</t>
  </si>
  <si>
    <t>REDE ESG PVC NBR7362 300 3,26A3,75 S/PAV</t>
  </si>
  <si>
    <t>374,96</t>
  </si>
  <si>
    <t>REDE ESG PVC NBR7362 300 3,26A3,75 ASFAL</t>
  </si>
  <si>
    <t>462,10</t>
  </si>
  <si>
    <t>REDE ESG PVC NBR7362 300 3,26A3,75 BLOCO</t>
  </si>
  <si>
    <t>423,57</t>
  </si>
  <si>
    <t>REDE ESG PVC NBR7362 300 3,26A3,75 PARAL</t>
  </si>
  <si>
    <t>426,82</t>
  </si>
  <si>
    <t>REDE ESG PVC NBR7362 300 3,76A4,25 S/PAV</t>
  </si>
  <si>
    <t>402,28</t>
  </si>
  <si>
    <t>REDE ESG PVC NBR7362 300 3,76A4,25 ASFAL</t>
  </si>
  <si>
    <t>489,43</t>
  </si>
  <si>
    <t>REDE ESG PVC NBR7362 300 3,76A4,25 BLOCO</t>
  </si>
  <si>
    <t>450,88</t>
  </si>
  <si>
    <t>REDE ESG PVC NBR7362 300 3,76A4,25 PARAL</t>
  </si>
  <si>
    <t>454,09</t>
  </si>
  <si>
    <t>REDE ESG PVC NBR7362 350 ATE 1,25m S/PAV</t>
  </si>
  <si>
    <t>266,96</t>
  </si>
  <si>
    <t>REDE ESG PVC NBR7362 350 ATE 1,25m ASFAL</t>
  </si>
  <si>
    <t>334,98</t>
  </si>
  <si>
    <t>REDE ESG PVC NBR7362 350 ATE 1,25m BLOCO</t>
  </si>
  <si>
    <t>309,40</t>
  </si>
  <si>
    <t>REDE ESG PVC NBR7362 350 ATE 1,25m PARAL</t>
  </si>
  <si>
    <t>312,12</t>
  </si>
  <si>
    <t>REDE ESG PVC NBR7362 350 1,26A1,75 S/PAV</t>
  </si>
  <si>
    <t>308,72</t>
  </si>
  <si>
    <t>REDE ESG PVC NBR7362 350 1,26A1,75 ASFAL</t>
  </si>
  <si>
    <t>380,16</t>
  </si>
  <si>
    <t>REDE ESG PVC NBR7362 350 1,26A1,75 BLOCO</t>
  </si>
  <si>
    <t>352,55</t>
  </si>
  <si>
    <t>REDE ESG PVC NBR7362 350 1,26A1,75 PARAL</t>
  </si>
  <si>
    <t>355,40</t>
  </si>
  <si>
    <t>REDE ESG PVC NBR7362 350 1,76A2,25 S/PAV</t>
  </si>
  <si>
    <t>328,01</t>
  </si>
  <si>
    <t>REDE ESG PVC NBR7362 350 1,76A2,25 ASFAL</t>
  </si>
  <si>
    <t>399,45</t>
  </si>
  <si>
    <t>REDE ESG PVC NBR7362 350 1,76A2,25 BLOCO</t>
  </si>
  <si>
    <t>371,84</t>
  </si>
  <si>
    <t>REDE ESG PVC NBR7362 350 1,76A2,25 PARAL</t>
  </si>
  <si>
    <t>374,69</t>
  </si>
  <si>
    <t>REDE ESG PVC NBR7362 350 2,26A2,75 S/PAV</t>
  </si>
  <si>
    <t>358,35</t>
  </si>
  <si>
    <t>REDE ESG PVC NBR7362 350 2,26A2,75 ASFAL</t>
  </si>
  <si>
    <t>437,63</t>
  </si>
  <si>
    <t>REDE ESG PVC NBR7362 350 2,26A2,75 BLOCO</t>
  </si>
  <si>
    <t>404,99</t>
  </si>
  <si>
    <t>REDE ESG PVC NBR7362 350 2,26A2,75 PARAL</t>
  </si>
  <si>
    <t>408,10</t>
  </si>
  <si>
    <t>REDE ESG PVC NBR7362 350 2,76A3,25 S/PAV</t>
  </si>
  <si>
    <t>379,58</t>
  </si>
  <si>
    <t>REDE ESG PVC NBR7362 350 2,76A3,25 ASFAL</t>
  </si>
  <si>
    <t>458,85</t>
  </si>
  <si>
    <t>REDE ESG PVC NBR7362 350 2,76A3,25 BLOCO</t>
  </si>
  <si>
    <t>425,60</t>
  </si>
  <si>
    <t>REDE ESG PVC NBR7362 350 2,76A3,25 PARAL</t>
  </si>
  <si>
    <t>428,54</t>
  </si>
  <si>
    <t>REDE ESG PVC NBR7362 350 3,26A3,75 S/PAV</t>
  </si>
  <si>
    <t>416,14</t>
  </si>
  <si>
    <t>REDE ESG PVC NBR7362 350 3,26A3,75 ASFAL</t>
  </si>
  <si>
    <t>503,27</t>
  </si>
  <si>
    <t>REDE ESG PVC NBR7362 350 3,26A3,75 BLOCO</t>
  </si>
  <si>
    <t>464,74</t>
  </si>
  <si>
    <t>REDE ESG PVC NBR7362 350 3,26A3,75 PARAL</t>
  </si>
  <si>
    <t>467,99</t>
  </si>
  <si>
    <t>REDE ESG PVC NBR7362 350 3,76A4,25 S/PAV</t>
  </si>
  <si>
    <t>443,47</t>
  </si>
  <si>
    <t>REDE ESG PVC NBR7362 350 3,76A4,25 ASFAL</t>
  </si>
  <si>
    <t>530,60</t>
  </si>
  <si>
    <t>REDE ESG PVC NBR7362 350 3,76A4,25 BLOCO</t>
  </si>
  <si>
    <t>492,04</t>
  </si>
  <si>
    <t>REDE ESG PVC NBR7362 350 3,76A4,25 PARAL</t>
  </si>
  <si>
    <t>495,25</t>
  </si>
  <si>
    <t>REDE ESG PVC NBR7362 400 ATE 1,25m S/PAV</t>
  </si>
  <si>
    <t>328,57</t>
  </si>
  <si>
    <t>REDE ESG PVC NBR7362 400 ATE 1,25m ASFAL</t>
  </si>
  <si>
    <t>396,58</t>
  </si>
  <si>
    <t>REDE ESG PVC NBR7362 400 ATE 1,25m BLOCO</t>
  </si>
  <si>
    <t>371,00</t>
  </si>
  <si>
    <t>REDE ESG PVC NBR7362 400 ATE 1,25m PARAL</t>
  </si>
  <si>
    <t>373,71</t>
  </si>
  <si>
    <t>REDE ESG PVC NBR7362 400 1,26A1,75 S/PAV</t>
  </si>
  <si>
    <t>370,50</t>
  </si>
  <si>
    <t>REDE ESG PVC NBR7362 400 1,26A1,75 ASFAL</t>
  </si>
  <si>
    <t>441,94</t>
  </si>
  <si>
    <t>REDE ESG PVC NBR7362 400 1,26A1,75 BLOCO</t>
  </si>
  <si>
    <t>414,34</t>
  </si>
  <si>
    <t>REDE ESG PVC NBR7362 400 1,26A1,75 PARAL</t>
  </si>
  <si>
    <t>417,18</t>
  </si>
  <si>
    <t>REDE ESG PVC NBR7362 400 1,76A2,25 S/PAV</t>
  </si>
  <si>
    <t>389,95</t>
  </si>
  <si>
    <t>REDE ESG PVC NBR7362 400 1,76A2,25 ASFAL</t>
  </si>
  <si>
    <t>461,38</t>
  </si>
  <si>
    <t>REDE ESG PVC NBR7362 400 1,76A2,25 BLOCO</t>
  </si>
  <si>
    <t>433,78</t>
  </si>
  <si>
    <t>REDE ESG PVC NBR7362 400 1,76A2,25 PARAL</t>
  </si>
  <si>
    <t>REDE ESG PVC NBR7362 400 2,26A2,75 S/PAV</t>
  </si>
  <si>
    <t>420,94</t>
  </si>
  <si>
    <t>REDE ESG PVC NBR7362 400 2,26A2,75 ASFAL</t>
  </si>
  <si>
    <t>500,22</t>
  </si>
  <si>
    <t>REDE ESG PVC NBR7362 400 2,26A2,75 BLOCO</t>
  </si>
  <si>
    <t>467,58</t>
  </si>
  <si>
    <t>REDE ESG PVC NBR7362 400 2,26A2,75 PARAL</t>
  </si>
  <si>
    <t>470,70</t>
  </si>
  <si>
    <t>REDE ESG PVC NBR7362 400 2,76A3,25 S/PAV</t>
  </si>
  <si>
    <t>442,95</t>
  </si>
  <si>
    <t>REDE ESG PVC NBR7362 400 2,76A3,25 ASFAL</t>
  </si>
  <si>
    <t>REDE ESG PVC NBR7362 400 2,76A3,25 BLOCO</t>
  </si>
  <si>
    <t>488,98</t>
  </si>
  <si>
    <t>REDE ESG PVC NBR7362 400 2,76A3,25 PARAL</t>
  </si>
  <si>
    <t>491,92</t>
  </si>
  <si>
    <t>REDE ESG PVC NBR7362 400 3,26A3,75 S/PAV</t>
  </si>
  <si>
    <t>482,88</t>
  </si>
  <si>
    <t>REDE ESG PVC NBR7362 400 3,26A3,75 ASFAL</t>
  </si>
  <si>
    <t>570,01</t>
  </si>
  <si>
    <t>REDE ESG PVC NBR7362 400 3,26A3,75 BLOCO</t>
  </si>
  <si>
    <t>531,47</t>
  </si>
  <si>
    <t>REDE ESG PVC NBR7362 400 3,26A3,75 PARAL</t>
  </si>
  <si>
    <t>534,73</t>
  </si>
  <si>
    <t>REDE ESG PVC NBR7362 400 3,76A4,25 S/PAV</t>
  </si>
  <si>
    <t>505,54</t>
  </si>
  <si>
    <t>REDE ESG PVC NBR7362 400 3,76A4,25 ASFAL</t>
  </si>
  <si>
    <t>592,67</t>
  </si>
  <si>
    <t>REDE ESG PVC NBR7362 400 3,76A4,25 BLOCO</t>
  </si>
  <si>
    <t>554,12</t>
  </si>
  <si>
    <t>REDE ESG PVC NBR7362 400 3,76A4,25 PARAL</t>
  </si>
  <si>
    <t>557,33</t>
  </si>
  <si>
    <t>REDE ESG FOFO 80 ATE 1,25m PARAL</t>
  </si>
  <si>
    <t>334,81</t>
  </si>
  <si>
    <t>REDE ESG FOFO 100 ATE 1,25m PARAL</t>
  </si>
  <si>
    <t>341,41</t>
  </si>
  <si>
    <t>REDE ESG FOFO 80 ATE 1,25m S/PAV S/F</t>
  </si>
  <si>
    <t>56,48</t>
  </si>
  <si>
    <t>REDE ESG FOFO 80 ATE 1,25m PARAL S/F</t>
  </si>
  <si>
    <t>101,63</t>
  </si>
  <si>
    <t>REDE ESG FOFO 80 1,26A1,75m PARAL S/F</t>
  </si>
  <si>
    <t>REDE ESG FOFO 100 ATE 1,25m PARAL S/F</t>
  </si>
  <si>
    <t>REDE ESG FOFO 100 1,26A1,75m PARAL S/F</t>
  </si>
  <si>
    <t>145,27</t>
  </si>
  <si>
    <t>REDE ESG FOFO 150 ATE 1,25m S/PAV</t>
  </si>
  <si>
    <t>379,71</t>
  </si>
  <si>
    <t>REDE ESG FOFO 150 ATE 1,25m ASF</t>
  </si>
  <si>
    <t>447,73</t>
  </si>
  <si>
    <t>REDE ESG FOFO 150 ATE 1,25m BLOCO</t>
  </si>
  <si>
    <t>422,15</t>
  </si>
  <si>
    <t>REDE ESG FOFO 150 ATE 1,25m PARAL</t>
  </si>
  <si>
    <t>424,86</t>
  </si>
  <si>
    <t>REDE ESG FOFO 150 1,26A1,75m S/PAV</t>
  </si>
  <si>
    <t>420,71</t>
  </si>
  <si>
    <t>REDE ESG FOFO 150 1,26A1,75m ASF</t>
  </si>
  <si>
    <t>492,15</t>
  </si>
  <si>
    <t>REDE ESG FOFO 150 1,26A1,75m BLOCO</t>
  </si>
  <si>
    <t>464,55</t>
  </si>
  <si>
    <t>REDE ESG FOFO 150 1,26A1,75m PARAL</t>
  </si>
  <si>
    <t>467,41</t>
  </si>
  <si>
    <t>REDE ESG FOFO 150 1,76A2,25m S/PAV</t>
  </si>
  <si>
    <t>439,93</t>
  </si>
  <si>
    <t>REDE ESG FOFO 150 1,76A2,25m ASF</t>
  </si>
  <si>
    <t>511,36</t>
  </si>
  <si>
    <t>REDE ESG FOFO 150 1,76A2,25m BLOCO</t>
  </si>
  <si>
    <t>483,76</t>
  </si>
  <si>
    <t>REDE ESG FOFO 150 1,76A2,25m PARAL</t>
  </si>
  <si>
    <t>486,62</t>
  </si>
  <si>
    <t>REDE ESG FOFO 150 2,26A2,75m S/PAV</t>
  </si>
  <si>
    <t>468,94</t>
  </si>
  <si>
    <t>REDE ESG FOFO 150 2,26A2,75m ASF</t>
  </si>
  <si>
    <t>548,21</t>
  </si>
  <si>
    <t>REDE ESG FOFO 150 2,26A2,75m BLOCO</t>
  </si>
  <si>
    <t>515,58</t>
  </si>
  <si>
    <t>REDE ESG FOFO 150 2,26A2,75m PARAL</t>
  </si>
  <si>
    <t>518,69</t>
  </si>
  <si>
    <t>REDE ESG FOFO 150 2,76A3,25m S/PAV</t>
  </si>
  <si>
    <t>489,86</t>
  </si>
  <si>
    <t>REDE ESG FOFO 150 2,76A3,25m ASF</t>
  </si>
  <si>
    <t>569,13</t>
  </si>
  <si>
    <t>REDE ESG FOFO 150 2,76A3,25m BLOCO</t>
  </si>
  <si>
    <t>535,88</t>
  </si>
  <si>
    <t>REDE ESG FOFO 150 2,76A3,25m PARAL</t>
  </si>
  <si>
    <t>538,81</t>
  </si>
  <si>
    <t>REDE ESG FOFO 150 3,26A3,75m S/PAV</t>
  </si>
  <si>
    <t>524,37</t>
  </si>
  <si>
    <t>REDE ESG FOFO 150 3,26A3,75m ASF</t>
  </si>
  <si>
    <t>611,51</t>
  </si>
  <si>
    <t>REDE ESG FOFO 150 3,26A3,75m BLOCO</t>
  </si>
  <si>
    <t>572,97</t>
  </si>
  <si>
    <t>REDE ESG FOFO 150 3,26A3,75m PARAL</t>
  </si>
  <si>
    <t>576,23</t>
  </si>
  <si>
    <t>REDE ESG FOFO 150 3,76A4,25m S/PAV</t>
  </si>
  <si>
    <t>548,59</t>
  </si>
  <si>
    <t>REDE ESG FOFO 150 3,76A4,25m ASF</t>
  </si>
  <si>
    <t>635,73</t>
  </si>
  <si>
    <t>REDE ESG FOFO 150 3,76A4,25m BLOCO</t>
  </si>
  <si>
    <t>597,17</t>
  </si>
  <si>
    <t>REDE ESG FOFO 150 3,76A4,25m PARAL</t>
  </si>
  <si>
    <t>600,39</t>
  </si>
  <si>
    <t>REDE ESG FOFO 200 ATE 1,25m S/PAV</t>
  </si>
  <si>
    <t>447,82</t>
  </si>
  <si>
    <t>REDE ESG FOFO 200 ATE 1,25m ASF</t>
  </si>
  <si>
    <t>515,84</t>
  </si>
  <si>
    <t>REDE ESG FOFO 200 ATE 1,25m BLOCO</t>
  </si>
  <si>
    <t>490,26</t>
  </si>
  <si>
    <t>REDE ESG FOFO 200 ATE 1,25m PARAL</t>
  </si>
  <si>
    <t>492,98</t>
  </si>
  <si>
    <t>REDE ESG FOFO 200 1,26A1,75m S/PAV</t>
  </si>
  <si>
    <t>489,05</t>
  </si>
  <si>
    <t>REDE ESG FOFO 200 1,26A1,75m ASF</t>
  </si>
  <si>
    <t>560,48</t>
  </si>
  <si>
    <t>REDE ESG FOFO 200 1,26A1,75m BLOCO</t>
  </si>
  <si>
    <t>532,89</t>
  </si>
  <si>
    <t>REDE ESG FOFO 200 1,26A1,75m PARAL</t>
  </si>
  <si>
    <t>535,73</t>
  </si>
  <si>
    <t>REDE ESG FOFO 200 1,76A2,25m S/PAV</t>
  </si>
  <si>
    <t>508,27</t>
  </si>
  <si>
    <t>REDE ESG FOFO 200 1,76A2,25m ASF</t>
  </si>
  <si>
    <t>579,69</t>
  </si>
  <si>
    <t>REDE ESG FOFO 200 1,76A2,25m BLOCO</t>
  </si>
  <si>
    <t>552,10</t>
  </si>
  <si>
    <t>REDE ESG FOFO 200 1,76A2,25m PARAL</t>
  </si>
  <si>
    <t>554,94</t>
  </si>
  <si>
    <t>REDE ESG FOFO 200 2,26A2,75m S/PAV</t>
  </si>
  <si>
    <t>537,59</t>
  </si>
  <si>
    <t>REDE ESG FOFO 200 2,26A2,75m ASF</t>
  </si>
  <si>
    <t>616,86</t>
  </si>
  <si>
    <t>REDE ESG FOFO 200 2,26A2,75m BLOCO</t>
  </si>
  <si>
    <t>584,22</t>
  </si>
  <si>
    <t>REDE ESG FOFO 200 2,26A2,75m PARAL</t>
  </si>
  <si>
    <t>587,34</t>
  </si>
  <si>
    <t>REDE ESG FOFO 200 2,76A3,25m S/PAV</t>
  </si>
  <si>
    <t>558,51</t>
  </si>
  <si>
    <t>REDE ESG FOFO 200 2,76A3,25m ASF</t>
  </si>
  <si>
    <t>637,78</t>
  </si>
  <si>
    <t>REDE ESG FOFO 200 2,76A3,25m BLOCO</t>
  </si>
  <si>
    <t>604,52</t>
  </si>
  <si>
    <t>REDE ESG FOFO 200 2,76A3,25m PARAL</t>
  </si>
  <si>
    <t>607,46</t>
  </si>
  <si>
    <t>REDE ESG FOFO 200 3,26A3,75m S/PAV</t>
  </si>
  <si>
    <t>593,35</t>
  </si>
  <si>
    <t>REDE ESG FOFO 200 3,26A3,75m ASF</t>
  </si>
  <si>
    <t>680,49</t>
  </si>
  <si>
    <t>REDE ESG FOFO 200 3,26A3,75m BLOCO</t>
  </si>
  <si>
    <t>641,95</t>
  </si>
  <si>
    <t>REDE ESG FOFO 200 3,26A3,75m PARAL</t>
  </si>
  <si>
    <t>645,21</t>
  </si>
  <si>
    <t>REDE ESG FOFO 200 3,76A4,25m S/PAV</t>
  </si>
  <si>
    <t>617,57</t>
  </si>
  <si>
    <t>REDE ESG FOFO 200 3,76A4,25m ASF</t>
  </si>
  <si>
    <t>704,71</t>
  </si>
  <si>
    <t>REDE ESG FOFO 200 3,76A4,25m BLOCO</t>
  </si>
  <si>
    <t>666,15</t>
  </si>
  <si>
    <t>REDE ESG FOFO 200 3,76A4,25m PARAL</t>
  </si>
  <si>
    <t>669,36</t>
  </si>
  <si>
    <t>REDE ESG FOFO 250 ATE 1,25m S/PAV</t>
  </si>
  <si>
    <t>537,36</t>
  </si>
  <si>
    <t>REDE ESG FOFO 250 ATE 1,25m ASF</t>
  </si>
  <si>
    <t>605,37</t>
  </si>
  <si>
    <t>REDE ESG FOFO 250 ATE 1,25m BLOCO</t>
  </si>
  <si>
    <t>579,78</t>
  </si>
  <si>
    <t>REDE ESG FOFO 250 ATE 1,25m PARAL</t>
  </si>
  <si>
    <t>582,50</t>
  </si>
  <si>
    <t>REDE ESG FOFO 250 1,26A1,75m S/PAV</t>
  </si>
  <si>
    <t>578,78</t>
  </si>
  <si>
    <t>REDE ESG FOFO 250 1,26A1,75m ASF</t>
  </si>
  <si>
    <t>650,20</t>
  </si>
  <si>
    <t>REDE ESG FOFO 250 1,26A1,75m BLOCO</t>
  </si>
  <si>
    <t>622,60</t>
  </si>
  <si>
    <t>REDE ESG FOFO 250 1,26A1,75m PARAL</t>
  </si>
  <si>
    <t>625,45</t>
  </si>
  <si>
    <t>REDE ESG FOFO 250 1,76A2,25m S/PAV</t>
  </si>
  <si>
    <t>597,99</t>
  </si>
  <si>
    <t>REDE ESG FOFO 250 1,76A2,25m ASF</t>
  </si>
  <si>
    <t>669,42</t>
  </si>
  <si>
    <t>REDE ESG FOFO 250 1,76A2,25m BLOCO</t>
  </si>
  <si>
    <t>641,82</t>
  </si>
  <si>
    <t>REDE ESG FOFO 250 1,76A2,25m PARAL</t>
  </si>
  <si>
    <t>644,67</t>
  </si>
  <si>
    <t>REDE ESG FOFO 250 2,26A2,75m S/PAV</t>
  </si>
  <si>
    <t>627,65</t>
  </si>
  <si>
    <t>REDE ESG FOFO 250 2,26A2,75m ASF</t>
  </si>
  <si>
    <t>706,93</t>
  </si>
  <si>
    <t>REDE ESG FOFO 250 2,26A2,75m BLOCO</t>
  </si>
  <si>
    <t>674,28</t>
  </si>
  <si>
    <t>REDE ESG FOFO 250 2,26A2,75m PARAL</t>
  </si>
  <si>
    <t>677,41</t>
  </si>
  <si>
    <t>REDE ESG FOFO 250 2,76A3,25m S/PAV</t>
  </si>
  <si>
    <t>648,57</t>
  </si>
  <si>
    <t>REDE ESG FOFO 250 2,76A3,25m ASF</t>
  </si>
  <si>
    <t>727,84</t>
  </si>
  <si>
    <t>REDE ESG FOFO 250 2,76A3,25m BLOCO</t>
  </si>
  <si>
    <t>694,59</t>
  </si>
  <si>
    <t>REDE ESG FOFO 250 2,76A3,25m PARAL</t>
  </si>
  <si>
    <t>697,54</t>
  </si>
  <si>
    <t>REDE ESG FOFO 250 3,26A3,75m S/PAV</t>
  </si>
  <si>
    <t>REDE ESG FOFO 250 3,26A3,75m ASF</t>
  </si>
  <si>
    <t>770,95</t>
  </si>
  <si>
    <t>REDE ESG FOFO 250 3,26A3,75m BLOCO</t>
  </si>
  <si>
    <t>732,41</t>
  </si>
  <si>
    <t>REDE ESG FOFO 250 3,26A3,75m PARAL</t>
  </si>
  <si>
    <t>735,67</t>
  </si>
  <si>
    <t>REDE ESG FOFO 250 3,76A4,25m S/PAV</t>
  </si>
  <si>
    <t>708,03</t>
  </si>
  <si>
    <t>REDE ESG FOFO 250 3,76A4,25m ASF</t>
  </si>
  <si>
    <t>795,17</t>
  </si>
  <si>
    <t>REDE ESG FOFO 250 3,76A4,25m BLOCO</t>
  </si>
  <si>
    <t>756,61</t>
  </si>
  <si>
    <t>REDE ESG FOFO 250 3,76A4,25m PARAL</t>
  </si>
  <si>
    <t>759,82</t>
  </si>
  <si>
    <t>REDE ESG FOFO 300 ATE 1,25m S/PAV</t>
  </si>
  <si>
    <t>617,65</t>
  </si>
  <si>
    <t>REDE ESG FOFO 300 ATE 1,25m ASF</t>
  </si>
  <si>
    <t>685,66</t>
  </si>
  <si>
    <t>REDE ESG FOFO 300 ATE 1,25m BLOCO</t>
  </si>
  <si>
    <t>660,08</t>
  </si>
  <si>
    <t>REDE ESG FOFO 300 ATE 1,25m PARAL</t>
  </si>
  <si>
    <t>662,80</t>
  </si>
  <si>
    <t>REDE ESG FOFO 300 1,26A1,75m S/PAV</t>
  </si>
  <si>
    <t>659,32</t>
  </si>
  <si>
    <t>REDE ESG FOFO 300 1,26A1,75m ASF</t>
  </si>
  <si>
    <t>730,76</t>
  </si>
  <si>
    <t>REDE ESG FOFO 300 1,26A1,75m BLOCO</t>
  </si>
  <si>
    <t>703,15</t>
  </si>
  <si>
    <t>REDE ESG FOFO 300 1,26A1,75m PARAL</t>
  </si>
  <si>
    <t>706,01</t>
  </si>
  <si>
    <t>REDE ESG FOFO 300 1,76A2,25m S/PAV</t>
  </si>
  <si>
    <t>678,62</t>
  </si>
  <si>
    <t>REDE ESG FOFO 300 1,76A2,25m ASF</t>
  </si>
  <si>
    <t>750,05</t>
  </si>
  <si>
    <t>REDE ESG FOFO 300 1,76A2,25m BLOCO</t>
  </si>
  <si>
    <t>722,45</t>
  </si>
  <si>
    <t>REDE ESG FOFO 300 1,76A2,25m PARAL</t>
  </si>
  <si>
    <t>725,30</t>
  </si>
  <si>
    <t>REDE ESG FOFO 300 2,26A2,75m S/PAV</t>
  </si>
  <si>
    <t>708,76</t>
  </si>
  <si>
    <t>REDE ESG FOFO 300 2,26A2,75m ASF</t>
  </si>
  <si>
    <t>788,04</t>
  </si>
  <si>
    <t>REDE ESG FOFO 300 2,26A2,75m BLOCO</t>
  </si>
  <si>
    <t>755,41</t>
  </si>
  <si>
    <t>REDE ESG FOFO 300 2,26A2,75m PARAL</t>
  </si>
  <si>
    <t>758,51</t>
  </si>
  <si>
    <t>REDE ESG FOFO 300 2,76A3,25m S/PAV</t>
  </si>
  <si>
    <t>REDE ESG FOFO 300 2,76A3,25m ASF</t>
  </si>
  <si>
    <t>809,26</t>
  </si>
  <si>
    <t>REDE ESG FOFO 300 2,76A3,25m BLOCO</t>
  </si>
  <si>
    <t>776,02</t>
  </si>
  <si>
    <t>REDE ESG FOFO 300 2,76A3,25m PARAL</t>
  </si>
  <si>
    <t>778,95</t>
  </si>
  <si>
    <t>REDE ESG FOFO 300 3,26A3,75m S/PAV</t>
  </si>
  <si>
    <t>766,35</t>
  </si>
  <si>
    <t>REDE ESG FOFO 300 3,26A3,75m ASF</t>
  </si>
  <si>
    <t>853,48</t>
  </si>
  <si>
    <t>REDE ESG FOFO 300 3,26A3,75m BLOCO</t>
  </si>
  <si>
    <t>814,95</t>
  </si>
  <si>
    <t>REDE ESG FOFO 300 3,26A3,75m PARAL</t>
  </si>
  <si>
    <t>818,20</t>
  </si>
  <si>
    <t>REDE ESG FOFO 300 3,76A4,25m S/PAV</t>
  </si>
  <si>
    <t>793,68</t>
  </si>
  <si>
    <t>REDE ESG FOFO 300 3,76A4,25m ASF</t>
  </si>
  <si>
    <t>880,81</t>
  </si>
  <si>
    <t>REDE ESG FOFO 300 3,76A4,25m BLOCO</t>
  </si>
  <si>
    <t>842,26</t>
  </si>
  <si>
    <t>REDE ESG FOFO 300 3,76A4,25m PARAL</t>
  </si>
  <si>
    <t>845,47</t>
  </si>
  <si>
    <t>REDE ESG FOFO 350 ATE 1,25m S/PAV</t>
  </si>
  <si>
    <t>823,08</t>
  </si>
  <si>
    <t>REDE ESG FOFO 350 ATE 1,25m ASF</t>
  </si>
  <si>
    <t>891,09</t>
  </si>
  <si>
    <t>REDE ESG FOFO 350 ATE 1,25m BLOCO</t>
  </si>
  <si>
    <t>865,50</t>
  </si>
  <si>
    <t>REDE ESG FOFO 350 ATE 1,25m PARAL</t>
  </si>
  <si>
    <t>868,23</t>
  </si>
  <si>
    <t>REDE ESG FOFO 350 1,26A1,75m S/PAV</t>
  </si>
  <si>
    <t>864,79</t>
  </si>
  <si>
    <t>REDE ESG FOFO 350 1,26A1,75m ASF</t>
  </si>
  <si>
    <t>936,23</t>
  </si>
  <si>
    <t>REDE ESG FOFO 350 1,26A1,75m BLOCO</t>
  </si>
  <si>
    <t>908,63</t>
  </si>
  <si>
    <t>REDE ESG FOFO 350 1,26A1,75m PARAL</t>
  </si>
  <si>
    <t>911,48</t>
  </si>
  <si>
    <t>REDE ESG FOFO 350 1,76A2,25m S/PAV</t>
  </si>
  <si>
    <t>884,09</t>
  </si>
  <si>
    <t>REDE ESG FOFO 350 1,76A2,25m ASF</t>
  </si>
  <si>
    <t>955,52</t>
  </si>
  <si>
    <t>REDE ESG FOFO 350 1,76A2,25m BLOCO</t>
  </si>
  <si>
    <t>927,92</t>
  </si>
  <si>
    <t>REDE ESG FOFO 350 1,76A2,25m PARAL</t>
  </si>
  <si>
    <t>930,77</t>
  </si>
  <si>
    <t>REDE ESG FOFO 350 2,26A2,75m S/PAV</t>
  </si>
  <si>
    <t>914,65</t>
  </si>
  <si>
    <t>REDE ESG FOFO 350 2,26A2,75m ASF</t>
  </si>
  <si>
    <t>993,93</t>
  </si>
  <si>
    <t>REDE ESG FOFO 350 2,26A2,75m BLOCO</t>
  </si>
  <si>
    <t>961,30</t>
  </si>
  <si>
    <t>REDE ESG FOFO 350 2,26A2,75m PARAL</t>
  </si>
  <si>
    <t>964,41</t>
  </si>
  <si>
    <t>REDE ESG FOFO 350 2,76A3,25m S/PAV</t>
  </si>
  <si>
    <t>935,88</t>
  </si>
  <si>
    <t>REDE ESG FOFO 350 2,76A3,25m ASF</t>
  </si>
  <si>
    <t>1.015,16</t>
  </si>
  <si>
    <t>REDE ESG FOFO 350 2,76A3,25m BLOCO</t>
  </si>
  <si>
    <t>981,92</t>
  </si>
  <si>
    <t>REDE ESG FOFO 350 2,76A3,25m PARAL</t>
  </si>
  <si>
    <t>984,86</t>
  </si>
  <si>
    <t>REDE ESG FOFO 350 3,26A3,75m S/PAV</t>
  </si>
  <si>
    <t>972,56</t>
  </si>
  <si>
    <t>REDE ESG FOFO 350 3,26A3,75m ASF</t>
  </si>
  <si>
    <t>1.059,70</t>
  </si>
  <si>
    <t>REDE ESG FOFO 350 3,26A3,75m BLOCO</t>
  </si>
  <si>
    <t>1.021,16</t>
  </si>
  <si>
    <t>REDE ESG FOFO 350 3,26A3,75m PARAL</t>
  </si>
  <si>
    <t>1.024,42</t>
  </si>
  <si>
    <t>REDE ESG FOFO 350 3,76A4,25m S/PAV</t>
  </si>
  <si>
    <t>999,88</t>
  </si>
  <si>
    <t>REDE ESG FOFO 350 3,76A4,25m ASF</t>
  </si>
  <si>
    <t>1.087,02</t>
  </si>
  <si>
    <t>REDE ESG FOFO 350 3,76A4,25m BLOCO</t>
  </si>
  <si>
    <t>1.048,47</t>
  </si>
  <si>
    <t>REDE ESG FOFO 350 3,76A4,25m PARAL</t>
  </si>
  <si>
    <t>1.051,68</t>
  </si>
  <si>
    <t>REDE ESG FOFO 400 ATE 1,25m S/PAV</t>
  </si>
  <si>
    <t>870,09</t>
  </si>
  <si>
    <t>REDE ESG FOFO 400 ATE 1,25m ASF</t>
  </si>
  <si>
    <t>938,11</t>
  </si>
  <si>
    <t>REDE ESG FOFO 400 ATE 1,25m BLOCO</t>
  </si>
  <si>
    <t>912,52</t>
  </si>
  <si>
    <t>REDE ESG FOFO 400 ATE 1,25m PARAL</t>
  </si>
  <si>
    <t>915,24</t>
  </si>
  <si>
    <t>REDE ESG FOFO 400 1,26A1,75m S/PAV</t>
  </si>
  <si>
    <t>912,17</t>
  </si>
  <si>
    <t>REDE ESG FOFO 400 1,26A1,75m ASF</t>
  </si>
  <si>
    <t>983,60</t>
  </si>
  <si>
    <t>REDE ESG FOFO 400 1,26A1,75m BLOCO</t>
  </si>
  <si>
    <t>956,00</t>
  </si>
  <si>
    <t>REDE ESG FOFO 400 1,26A1,75m PARAL</t>
  </si>
  <si>
    <t>958,85</t>
  </si>
  <si>
    <t>REDE ESG FOFO 400 1,76A2,25m S/PAV</t>
  </si>
  <si>
    <t>931,62</t>
  </si>
  <si>
    <t>REDE ESG FOFO 400 1,76A2,25m ASF</t>
  </si>
  <si>
    <t>1.003,05</t>
  </si>
  <si>
    <t>REDE ESG FOFO 400 1,76A2,25m BLOCO</t>
  </si>
  <si>
    <t>975,46</t>
  </si>
  <si>
    <t>REDE ESG FOFO 400 1,76A2,25m PARAL</t>
  </si>
  <si>
    <t>978,30</t>
  </si>
  <si>
    <t>REDE ESG FOFO 400 2,26A2,75m S/PAV</t>
  </si>
  <si>
    <t>962,81</t>
  </si>
  <si>
    <t>REDE ESG FOFO 400 2,26A2,75m ASF</t>
  </si>
  <si>
    <t>1.042,09</t>
  </si>
  <si>
    <t>REDE ESG FOFO 400 2,26A2,75m BLOCO</t>
  </si>
  <si>
    <t>1.009,45</t>
  </si>
  <si>
    <t>REDE ESG FOFO 400 2,26A2,75m PARAL</t>
  </si>
  <si>
    <t>1.012,56</t>
  </si>
  <si>
    <t>REDE ESG FOFO 400 2,76A3,25m S/PAV</t>
  </si>
  <si>
    <t>984,82</t>
  </si>
  <si>
    <t>REDE ESG FOFO 400 2,76A3,25m ASF</t>
  </si>
  <si>
    <t>1.064,09</t>
  </si>
  <si>
    <t>REDE ESG FOFO 400 2,76A3,25m BLOCO</t>
  </si>
  <si>
    <t>1.030,85</t>
  </si>
  <si>
    <t>REDE ESG FOFO 400 2,76A3,25m PARAL</t>
  </si>
  <si>
    <t>1.033,78</t>
  </si>
  <si>
    <t>REDE ESG FOFO 400 3,26A3,75m S/PAV</t>
  </si>
  <si>
    <t>1.024,93</t>
  </si>
  <si>
    <t>REDE ESG FOFO 400 3,26A3,75m ASF</t>
  </si>
  <si>
    <t>1.112,07</t>
  </si>
  <si>
    <t>REDE ESG FOFO 400 3,26A3,75m BLOCO</t>
  </si>
  <si>
    <t>1.073,53</t>
  </si>
  <si>
    <t>REDE ESG FOFO 400 3,26A3,75m PARAL</t>
  </si>
  <si>
    <t>1.076,79</t>
  </si>
  <si>
    <t>REDE ESG FOFO 400 3,76A4,25m S/PAV</t>
  </si>
  <si>
    <t>1.047,60</t>
  </si>
  <si>
    <t>REDE ESG FOFO 400 3,76A4,25m ASF</t>
  </si>
  <si>
    <t>1.134,73</t>
  </si>
  <si>
    <t>REDE ESG FOFO 400 3,76A4,25m BLOCO</t>
  </si>
  <si>
    <t>1.096,18</t>
  </si>
  <si>
    <t>REDE ESG FOFO 400 3,76A4,25m PARAL</t>
  </si>
  <si>
    <t>1.099,39</t>
  </si>
  <si>
    <t>REDE ESG FOFO 150 ATE 1,25m S/PAV S/F</t>
  </si>
  <si>
    <t>REDE ESG FOFO 150 ATE 1,25m ASF S/F</t>
  </si>
  <si>
    <t>129,66</t>
  </si>
  <si>
    <t>REDE ESG FOFO 150 ATE 1,25m BLOCO S/F</t>
  </si>
  <si>
    <t>106,79</t>
  </si>
  <si>
    <t>REDE ESG FOFO 150 ATE 1,25m PARAL S/F</t>
  </si>
  <si>
    <t>REDE ESG FOFO 150 1,26A1,75m S/PAV S/F</t>
  </si>
  <si>
    <t>102,65</t>
  </si>
  <si>
    <t>REDE ESG FOFO 150 1,26A1,75m ASF S/F</t>
  </si>
  <si>
    <t>149,34</t>
  </si>
  <si>
    <t>REDE ESG FOFO 150 1,26A1,75m BLOCO S/F</t>
  </si>
  <si>
    <t>146,49</t>
  </si>
  <si>
    <t>REDE ESG FOFO 150 1,26A1,75m PARAL S/F</t>
  </si>
  <si>
    <t>REDE ESG FOFO 150 1,76A2,25m S/PAV S/F</t>
  </si>
  <si>
    <t>121,86</t>
  </si>
  <si>
    <t>REDE ESG FOFO 150 1,76A2,25m ASF S/F</t>
  </si>
  <si>
    <t>193,30</t>
  </si>
  <si>
    <t>REDE ESG FOFO 150 1,76A2,25m BLOCO S/F</t>
  </si>
  <si>
    <t>165,69</t>
  </si>
  <si>
    <t>REDE ESG FOFO 150 1,76A2,25m PARAL S/F</t>
  </si>
  <si>
    <t>168,55</t>
  </si>
  <si>
    <t>REDE ESG FOFO 150 2,26A2,75m S/PAV S/F</t>
  </si>
  <si>
    <t>150,87</t>
  </si>
  <si>
    <t>REDE ESG FOFO 150 2,26A2,75m ASF S/F</t>
  </si>
  <si>
    <t>230,15</t>
  </si>
  <si>
    <t>REDE ESG FOFO 150 2,26A2,75m BLOCO S/F</t>
  </si>
  <si>
    <t>197,51</t>
  </si>
  <si>
    <t>REDE ESG FOFO 150 2,26A2,75m PARAL S/F</t>
  </si>
  <si>
    <t>200,62</t>
  </si>
  <si>
    <t>REDE ESG FOFO 150 2,76A3,25m S/PAV S/F</t>
  </si>
  <si>
    <t>171,79</t>
  </si>
  <si>
    <t>REDE ESG FOFO 150 2,76A3,25m ASF S/F</t>
  </si>
  <si>
    <t>251,06</t>
  </si>
  <si>
    <t>REDE ESG FOFO 150 2,76A3,25m BLOCO S/F</t>
  </si>
  <si>
    <t>217,81</t>
  </si>
  <si>
    <t>REDE ESG FOFO 150 2,76A3,25m PARAL S/F</t>
  </si>
  <si>
    <t>220,75</t>
  </si>
  <si>
    <t>REDE ESG FOFO 150 3,26A3,75m S/PAV S/F</t>
  </si>
  <si>
    <t>206,30</t>
  </si>
  <si>
    <t>REDE ESG FOFO 150 3,26A3,75m ASF S/F</t>
  </si>
  <si>
    <t>293,45</t>
  </si>
  <si>
    <t>REDE ESG FOFO 150 3,26A3,75m BLOCO S/F</t>
  </si>
  <si>
    <t>254,90</t>
  </si>
  <si>
    <t>REDE ESG FOFO 200 ATE 1,25m S/PAV S/F</t>
  </si>
  <si>
    <t>REDE ESG FOFO 200 ATE 1,25m PARAL S/F</t>
  </si>
  <si>
    <t>109,60</t>
  </si>
  <si>
    <t>REDE ESG FOFO 200 1,26A1,75m PARAL S/F</t>
  </si>
  <si>
    <t>152,35</t>
  </si>
  <si>
    <t>REDE ESG FOFO 250 ATE 1,25m ASF S/F</t>
  </si>
  <si>
    <t>REDE ESG FOFO 250 1,26A1,75m ASF S/F</t>
  </si>
  <si>
    <t>180,58</t>
  </si>
  <si>
    <t>REDE ESG FOFO 300 ATE 1,25m ASF S/F</t>
  </si>
  <si>
    <t>140,39</t>
  </si>
  <si>
    <t>REDE ESG FOFO 300 ATE 1,25m PARAL S/F</t>
  </si>
  <si>
    <t>117,53</t>
  </si>
  <si>
    <t>REDE ESG FOFO 300 1,26A1,75m ASF S/F</t>
  </si>
  <si>
    <t>185,48</t>
  </si>
  <si>
    <t>REDE ESG FOFO 300 1,26A1,75m PARAL S/F</t>
  </si>
  <si>
    <t>160,73</t>
  </si>
  <si>
    <t>REDE ESG FOFO 300 1,76A2,25m PARAL S/F</t>
  </si>
  <si>
    <t>INTERCEP FOFO 150 ATE 1,25-BEIRA RIO</t>
  </si>
  <si>
    <t>428,79</t>
  </si>
  <si>
    <t>INTERCEP FOFO 150 1,26A1,75M-B. RIO</t>
  </si>
  <si>
    <t>488,45</t>
  </si>
  <si>
    <t>INTERCEP FOFO 150 1,76A2,25M-B. RIO</t>
  </si>
  <si>
    <t>529,23</t>
  </si>
  <si>
    <t>INTERCEP FOFO 150 2,26A2,75M-B. RIO</t>
  </si>
  <si>
    <t>593,61</t>
  </si>
  <si>
    <t>INTERCEP FOFO 200 ATE 1,25-BEIRA RIO</t>
  </si>
  <si>
    <t>495,95</t>
  </si>
  <si>
    <t>INTERCEP FOFO 200 1,26A1,75M-B. RIO</t>
  </si>
  <si>
    <t>555,80</t>
  </si>
  <si>
    <t>INTERCEP FOFO 200 1,76A2,25M-B. RIO</t>
  </si>
  <si>
    <t>596,58</t>
  </si>
  <si>
    <t>INTERCEP FOFO 200 2,26A2,75M-B. RIO</t>
  </si>
  <si>
    <t>660,65</t>
  </si>
  <si>
    <t>INTERCEP FOFO 250 ATE 1,25-BEIRA RIO</t>
  </si>
  <si>
    <t>584,52</t>
  </si>
  <si>
    <t>INTERCEP FOFO 250 1,26A1,75M-B. RIO</t>
  </si>
  <si>
    <t>644,62</t>
  </si>
  <si>
    <t>INTERCEP FOFO 250 1,76A2,25M-B. RIO</t>
  </si>
  <si>
    <t>685,40</t>
  </si>
  <si>
    <t>INTERCEP FOFO 250 2,26A2,75M-B. RIO</t>
  </si>
  <si>
    <t>749,66</t>
  </si>
  <si>
    <t>INTERCEP FOFO 300 ATE 1,25-BEIRA RIO</t>
  </si>
  <si>
    <t>663,71</t>
  </si>
  <si>
    <t>INTERCEP FOFO 300 1,26A1,75M-B. RIO</t>
  </si>
  <si>
    <t>723,97</t>
  </si>
  <si>
    <t>INTERCEP FOFO 300 1,76A2,25M-B. RIO</t>
  </si>
  <si>
    <t>764,76</t>
  </si>
  <si>
    <t>INTERCEP FOFO 300 2,26A2,75M-B. RIO</t>
  </si>
  <si>
    <t>829,28</t>
  </si>
  <si>
    <t>INTERCEP FOFO 150 AEREO - BEIRA RIO</t>
  </si>
  <si>
    <t>353,34</t>
  </si>
  <si>
    <t>INTERCEP FOFO 200 AEREO - BEIRA RIO</t>
  </si>
  <si>
    <t>421,21</t>
  </si>
  <si>
    <t>INTERCEP FOFO 250 AEREO - BEIRA RIO</t>
  </si>
  <si>
    <t>509,33</t>
  </si>
  <si>
    <t>INTERCEP FOFO 300 AEREO - BEIRA RIO</t>
  </si>
  <si>
    <t>587,44</t>
  </si>
  <si>
    <t>INTERCEP FOFO 150 ATE 1,25-BEIRA RIO S/F</t>
  </si>
  <si>
    <t>110,72</t>
  </si>
  <si>
    <t>INTERCEP FOFO 150 1,26A1,75M-B. RIO S/F</t>
  </si>
  <si>
    <t>170,38</t>
  </si>
  <si>
    <t>INTERCEP FOFO 150 1,76A2,25M-B. RIO S/F</t>
  </si>
  <si>
    <t>211,17</t>
  </si>
  <si>
    <t>INTERCEP FOFO 150 2,26A2,75M-B. RIO S/F</t>
  </si>
  <si>
    <t>275,54</t>
  </si>
  <si>
    <t>INTERCEP FOFO 200 ATE 1,25-BEIRA RIO S/F</t>
  </si>
  <si>
    <t>112,57</t>
  </si>
  <si>
    <t>INTERCEP FOFO 200 1,26A1,75M-B. RIO S/F</t>
  </si>
  <si>
    <t>172,41</t>
  </si>
  <si>
    <t>INTERCEP FOFO 200 1,76A2,25M-B. RIO S/F</t>
  </si>
  <si>
    <t>213,20</t>
  </si>
  <si>
    <t>INTERCEP FOFO 200 2,26A2,75M-B. RIO S/F</t>
  </si>
  <si>
    <t>277,27</t>
  </si>
  <si>
    <t>INTERCEP FOFO 250 ATE 1,25-BEIRA RIO S/F</t>
  </si>
  <si>
    <t>114,90</t>
  </si>
  <si>
    <t>INTERCEP FOFO 250 1,26A1,75M-B. RIO S/F</t>
  </si>
  <si>
    <t>175,00</t>
  </si>
  <si>
    <t>INTERCEP FOFO 250 1,76A2,25M-B. RIO S/F</t>
  </si>
  <si>
    <t>215,79</t>
  </si>
  <si>
    <t>INTERCEP FOFO 250 2,26A2,75M-B. RIO S/F</t>
  </si>
  <si>
    <t>280,05</t>
  </si>
  <si>
    <t>INTERCEP FOFO 300 ATE 1,25-BEIRA RIO S/F</t>
  </si>
  <si>
    <t>118,43</t>
  </si>
  <si>
    <t>INTERCEP FOFO 300 1,26A1,75M-B. RIO S/F</t>
  </si>
  <si>
    <t>178,70</t>
  </si>
  <si>
    <t>INTERCEP FOFO 300 1,76A2,25M-B. RIO S/F</t>
  </si>
  <si>
    <t>219,49</t>
  </si>
  <si>
    <t>INTERCEP FOFO 300 2,26A2,75M-B. RIO S/F</t>
  </si>
  <si>
    <t>284,01</t>
  </si>
  <si>
    <t>INTERCEP FOFO 150 AEREO - BEIRA RIO S/F</t>
  </si>
  <si>
    <t>35,27</t>
  </si>
  <si>
    <t>INTERCEP FOFO 200 AEREO - BEIRA RIO S/F</t>
  </si>
  <si>
    <t>37,82</t>
  </si>
  <si>
    <t>INTERCEP FOFO 250 AEREO - BEIRA RIO S/F</t>
  </si>
  <si>
    <t>39,71</t>
  </si>
  <si>
    <t>INTERCEP FOFO 300 AEREO - BEIRA RIO S/F</t>
  </si>
  <si>
    <t>1.0</t>
  </si>
  <si>
    <t>1.1</t>
  </si>
  <si>
    <t>1.2</t>
  </si>
  <si>
    <t>2.0</t>
  </si>
  <si>
    <t>3.0</t>
  </si>
  <si>
    <t>4.0</t>
  </si>
  <si>
    <t>5.0</t>
  </si>
  <si>
    <t>CNPJ</t>
  </si>
  <si>
    <t>FORNECEDOR</t>
  </si>
  <si>
    <t>CONTATO</t>
  </si>
  <si>
    <t>MÉDIA</t>
  </si>
  <si>
    <t>MEDIANA</t>
  </si>
  <si>
    <t>CRONOGRAMA FÍSICO-FINANCEIRO</t>
  </si>
  <si>
    <t>ENDEREÇO:</t>
  </si>
  <si>
    <t>MEMÓRIA DE CÁLCULO</t>
  </si>
  <si>
    <t>PREÇO
UNIT.</t>
  </si>
  <si>
    <t>TOTAL GERAL DA OBRA</t>
  </si>
  <si>
    <t>COMPOSIÇÕES</t>
  </si>
  <si>
    <t xml:space="preserve">CONTR. PREVID.: </t>
  </si>
  <si>
    <t>VL. UNIT. (R$)</t>
  </si>
  <si>
    <t>VL. TOTAL (R$)</t>
  </si>
  <si>
    <t>CUSTO (R$)</t>
  </si>
  <si>
    <t>-</t>
  </si>
  <si>
    <t>FÍSICO (%)/ FINANCEIRO (R$)</t>
  </si>
  <si>
    <t>FINANCEIRO (R$)</t>
  </si>
  <si>
    <t xml:space="preserve"> FINANCEIRO ACUMULADO (R$)</t>
  </si>
  <si>
    <t>FÍSICO ACUMULADO (%)</t>
  </si>
  <si>
    <t>FÍSICO (%)</t>
  </si>
  <si>
    <r>
      <t>Administração Central -</t>
    </r>
    <r>
      <rPr>
        <b/>
        <sz val="10"/>
        <color theme="1"/>
        <rFont val="Arial"/>
        <family val="2"/>
      </rPr>
      <t xml:space="preserve"> AC</t>
    </r>
  </si>
  <si>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</si>
  <si>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</si>
  <si>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</si>
  <si>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</si>
  <si>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r>
      <t xml:space="preserve">BDI= </t>
    </r>
    <r>
      <rPr>
        <u/>
        <sz val="10"/>
        <color theme="1"/>
        <rFont val="Arial"/>
        <family val="2"/>
      </rPr>
      <t>(1+(AC+S+R+G))(1+DF)(1+L))</t>
    </r>
    <r>
      <rPr>
        <sz val="10"/>
        <color theme="1"/>
        <rFont val="Arial"/>
        <family val="2"/>
      </rPr>
      <t xml:space="preserve"> -1 =</t>
    </r>
  </si>
  <si>
    <t>VL.
UNIT. C/ BDI (R$)</t>
  </si>
  <si>
    <t>UND.</t>
  </si>
  <si>
    <t>CORTE E DOBRA DE AÇO CA-50, DIÂMERO DE 32 MM, UTILIZADO EM ESTRUTURAS DIVERSAS, EXCETO LAJE. AF_10/2016</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</si>
  <si>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</si>
  <si>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</si>
  <si>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</si>
  <si>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</si>
  <si>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</si>
  <si>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</si>
  <si>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</si>
  <si>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</si>
  <si>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</si>
  <si>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</si>
  <si>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</si>
  <si>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</si>
  <si>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</si>
  <si>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</si>
  <si>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</si>
  <si>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</si>
  <si>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</si>
  <si>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</si>
  <si>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</si>
  <si>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</si>
  <si>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</si>
  <si>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</si>
  <si>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</si>
  <si>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</si>
  <si>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</si>
  <si>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</si>
  <si>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</si>
  <si>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</si>
  <si>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</si>
  <si>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</si>
  <si>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</si>
  <si>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</si>
  <si>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</si>
  <si>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</si>
  <si>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</si>
  <si>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</si>
  <si>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</si>
  <si>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</si>
  <si>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</si>
  <si>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</si>
  <si>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</si>
  <si>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</si>
  <si>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</si>
  <si>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</si>
  <si>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</si>
  <si>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</si>
  <si>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</si>
  <si>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</si>
  <si>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</si>
  <si>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</si>
  <si>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</si>
  <si>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</si>
  <si>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</si>
  <si>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</si>
  <si>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</si>
  <si>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</si>
  <si>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</si>
  <si>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</si>
  <si>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</si>
  <si>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</si>
  <si>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</si>
  <si>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</si>
  <si>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</si>
  <si>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</si>
  <si>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CUSTO TOTAL</t>
  </si>
  <si>
    <t>FITAS ANTI-CORROSIVAS PRETA PARA ASSENT TELHAS</t>
  </si>
  <si>
    <t>1.3</t>
  </si>
  <si>
    <t>PESO 
(%)</t>
  </si>
  <si>
    <t>SEM DESONERAÇÃO</t>
  </si>
  <si>
    <t>PREFEITURA MUNICIPAL DE BAIXO GUANDU</t>
  </si>
  <si>
    <t>PLANILHA ORÇAMENTÁRIA</t>
  </si>
  <si>
    <t>COTAÇÕES DE MERCADO</t>
  </si>
  <si>
    <t>Placa</t>
  </si>
  <si>
    <t>Qtd.</t>
  </si>
  <si>
    <t>Larg. (m)</t>
  </si>
  <si>
    <t>Comp. (m)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</si>
  <si>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</si>
  <si>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</si>
  <si>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</si>
  <si>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</si>
  <si>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</si>
  <si>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</si>
  <si>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</si>
  <si>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</si>
  <si>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</si>
  <si>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</si>
  <si>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</si>
  <si>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</si>
  <si>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</si>
  <si>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</si>
  <si>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</si>
  <si>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</si>
  <si>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</si>
  <si>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</si>
  <si>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</si>
  <si>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</si>
  <si>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</si>
  <si>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</si>
  <si>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</si>
  <si>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</si>
  <si>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</si>
  <si>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</si>
  <si>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</si>
  <si>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</si>
  <si>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</si>
  <si>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</si>
  <si>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</si>
  <si>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</si>
  <si>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</si>
  <si>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</si>
  <si>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</si>
  <si>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</si>
  <si>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</si>
  <si>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</si>
  <si>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</si>
  <si>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</si>
  <si>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</si>
  <si>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</si>
  <si>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</si>
  <si>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</si>
  <si>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</si>
  <si>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</si>
  <si>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</si>
  <si>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</si>
  <si>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</si>
  <si>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</si>
  <si>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</si>
  <si>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</si>
  <si>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</si>
  <si>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</si>
  <si>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</si>
  <si>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</si>
  <si>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</si>
  <si>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</si>
  <si>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</si>
  <si>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</si>
  <si>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</si>
  <si>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</si>
  <si>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</si>
  <si>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</si>
  <si>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</si>
  <si>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</si>
  <si>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</si>
  <si>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</si>
  <si>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</si>
  <si>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</si>
  <si>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</si>
  <si>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</si>
  <si>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</si>
  <si>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</si>
  <si>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</si>
  <si>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</si>
  <si>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</si>
  <si>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</si>
  <si>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</si>
  <si>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</si>
  <si>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</si>
  <si>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</si>
  <si>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</si>
  <si>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</si>
  <si>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</si>
  <si>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</si>
  <si>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</si>
  <si>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</si>
  <si>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</si>
  <si>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</si>
  <si>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</si>
  <si>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</si>
  <si>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</si>
  <si>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</si>
  <si>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</si>
  <si>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</si>
  <si>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</si>
  <si>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</si>
  <si>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</si>
  <si>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</si>
  <si>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</si>
  <si>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</si>
  <si>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</si>
  <si>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</si>
  <si>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</si>
  <si>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</si>
  <si>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</si>
  <si>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</si>
  <si>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</si>
  <si>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</si>
  <si>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</si>
  <si>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</si>
  <si>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</si>
  <si>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</si>
  <si>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</si>
  <si>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</si>
  <si>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</si>
  <si>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</si>
  <si>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</si>
  <si>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</si>
  <si>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</si>
  <si>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</si>
  <si>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</si>
  <si>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</si>
  <si>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</si>
  <si>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</si>
  <si>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</si>
  <si>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</si>
  <si>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</si>
  <si>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</si>
  <si>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</si>
  <si>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</si>
  <si>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</si>
  <si>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</si>
  <si>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</si>
  <si>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</si>
  <si>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</si>
  <si>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</si>
  <si>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</si>
  <si>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</si>
  <si>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</si>
  <si>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</si>
  <si>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</si>
  <si>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</si>
  <si>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</si>
  <si>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</si>
  <si>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</si>
  <si>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</si>
  <si>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</si>
  <si>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</si>
  <si>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</si>
  <si>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</si>
  <si>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</si>
  <si>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</si>
  <si>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</si>
  <si>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</si>
  <si>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</si>
  <si>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</si>
  <si>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</si>
  <si>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</si>
  <si>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</si>
  <si>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</si>
  <si>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</si>
  <si>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</si>
  <si>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</si>
  <si>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</si>
  <si>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</si>
  <si>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</si>
  <si>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</si>
  <si>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</si>
  <si>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</si>
  <si>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</si>
  <si>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</si>
  <si>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</si>
  <si>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</si>
  <si>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</si>
  <si>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</si>
  <si>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</si>
  <si>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</si>
  <si>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</si>
  <si>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</si>
  <si>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</si>
  <si>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</si>
  <si>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</si>
  <si>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</si>
  <si>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</si>
  <si>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</si>
  <si>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</si>
  <si>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</si>
  <si>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</si>
  <si>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</si>
  <si>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</si>
  <si>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</si>
  <si>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</si>
  <si>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</si>
  <si>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</si>
  <si>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</si>
  <si>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</si>
  <si>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</si>
  <si>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</si>
  <si>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</si>
  <si>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</si>
  <si>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</si>
  <si>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</si>
  <si>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</si>
  <si>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</si>
  <si>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</si>
  <si>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</si>
  <si>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</si>
  <si>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</si>
  <si>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</si>
  <si>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</si>
  <si>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</si>
  <si>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</si>
  <si>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</si>
  <si>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</si>
  <si>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</si>
  <si>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</si>
  <si>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</si>
  <si>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</si>
  <si>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</si>
  <si>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</si>
  <si>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</si>
  <si>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</si>
  <si>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</si>
  <si>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</si>
  <si>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</si>
  <si>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</si>
  <si>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</si>
  <si>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</si>
  <si>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</si>
  <si>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</si>
  <si>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</si>
  <si>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</si>
  <si>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</si>
  <si>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</si>
  <si>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</si>
  <si>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</si>
  <si>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</si>
  <si>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</si>
  <si>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</si>
  <si>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</si>
  <si>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</si>
  <si>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</si>
  <si>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</si>
  <si>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</si>
  <si>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</si>
  <si>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</si>
  <si>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</si>
  <si>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</si>
  <si>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</si>
  <si>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</si>
  <si>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</si>
  <si>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</si>
  <si>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</si>
  <si>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</si>
  <si>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</si>
  <si>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</si>
  <si>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</si>
  <si>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</si>
  <si>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</si>
  <si>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</si>
  <si>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</si>
  <si>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</si>
  <si>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</si>
  <si>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</si>
  <si>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</si>
  <si>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</si>
  <si>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</si>
  <si>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</si>
  <si>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</si>
  <si>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</si>
  <si>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</si>
  <si>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</si>
  <si>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</si>
  <si>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</si>
  <si>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</si>
  <si>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</si>
  <si>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</si>
  <si>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</si>
  <si>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</si>
  <si>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</si>
  <si>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</si>
  <si>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</si>
  <si>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</si>
  <si>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</si>
  <si>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</si>
  <si>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</si>
  <si>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</si>
  <si>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</si>
  <si>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</si>
  <si>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</si>
  <si>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</si>
  <si>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</si>
  <si>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</si>
  <si>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</si>
  <si>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</si>
  <si>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</si>
  <si>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</si>
  <si>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</si>
  <si>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</si>
  <si>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</si>
  <si>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</si>
  <si>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</si>
  <si>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</si>
  <si>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</si>
  <si>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</si>
  <si>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</si>
  <si>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</si>
  <si>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</si>
  <si>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</si>
  <si>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</si>
  <si>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</si>
  <si>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</si>
  <si>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</si>
  <si>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</si>
  <si>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</si>
  <si>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</si>
  <si>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</si>
  <si>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</si>
  <si>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</si>
  <si>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</si>
  <si>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</si>
  <si>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</si>
  <si>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</si>
  <si>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</si>
  <si>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</si>
  <si>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</si>
  <si>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</si>
  <si>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</si>
  <si>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</si>
  <si>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</si>
  <si>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</si>
  <si>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</si>
  <si>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</si>
  <si>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</si>
  <si>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</si>
  <si>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</si>
  <si>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</si>
  <si>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</si>
  <si>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</si>
  <si>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</si>
  <si>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</si>
  <si>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</si>
  <si>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</si>
  <si>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</si>
  <si>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</si>
  <si>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</si>
  <si>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</si>
  <si>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</si>
  <si>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</si>
  <si>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</si>
  <si>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</si>
  <si>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</si>
  <si>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</si>
  <si>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</si>
  <si>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</si>
  <si>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</si>
  <si>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</si>
  <si>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</si>
  <si>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</si>
  <si>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</si>
  <si>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</si>
  <si>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</si>
  <si>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</si>
  <si>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</si>
  <si>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</si>
  <si>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</si>
  <si>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</si>
  <si>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</si>
  <si>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</si>
  <si>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</si>
  <si>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</si>
  <si>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</si>
  <si>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</si>
  <si>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</si>
  <si>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</si>
  <si>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</si>
  <si>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</si>
  <si>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</si>
  <si>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</si>
  <si>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</si>
  <si>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</si>
  <si>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</si>
  <si>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</si>
  <si>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</si>
  <si>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</si>
  <si>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</si>
  <si>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</si>
  <si>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</si>
  <si>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</si>
  <si>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</si>
  <si>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</si>
  <si>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</si>
  <si>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</si>
  <si>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</si>
  <si>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</si>
  <si>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</si>
  <si>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</si>
  <si>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</si>
  <si>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</si>
  <si>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</si>
  <si>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</si>
  <si>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</si>
  <si>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</si>
  <si>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</si>
  <si>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</si>
  <si>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</si>
  <si>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</si>
  <si>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</si>
  <si>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</si>
  <si>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</si>
  <si>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</si>
  <si>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</si>
  <si>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</si>
  <si>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</si>
  <si>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</si>
  <si>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</si>
  <si>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</si>
  <si>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</si>
  <si>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</si>
  <si>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</si>
  <si>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</si>
  <si>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</si>
  <si>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</si>
  <si>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</si>
  <si>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</si>
  <si>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</si>
  <si>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</si>
  <si>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</si>
  <si>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</si>
  <si>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</si>
  <si>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</si>
  <si>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</si>
  <si>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</si>
  <si>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</si>
  <si>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</si>
  <si>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</si>
  <si>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</si>
  <si>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</si>
  <si>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</si>
  <si>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</si>
  <si>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</si>
  <si>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</si>
  <si>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</si>
  <si>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</si>
  <si>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</si>
  <si>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</si>
  <si>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</si>
  <si>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</si>
  <si>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</si>
  <si>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</si>
  <si>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</si>
  <si>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</si>
  <si>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</si>
  <si>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</si>
  <si>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</si>
  <si>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</si>
  <si>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</si>
  <si>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</si>
  <si>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</si>
  <si>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</si>
  <si>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</si>
  <si>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</si>
  <si>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</si>
  <si>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</si>
  <si>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</si>
  <si>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</si>
  <si>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</si>
  <si>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</si>
  <si>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</si>
  <si>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</si>
  <si>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</si>
  <si>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</si>
  <si>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</si>
  <si>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</si>
  <si>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</si>
  <si>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</si>
  <si>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</si>
  <si>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</si>
  <si>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</si>
  <si>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</si>
  <si>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</si>
  <si>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</si>
  <si>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</si>
  <si>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</si>
  <si>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</si>
  <si>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</si>
  <si>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</si>
  <si>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</si>
  <si>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</si>
  <si>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</si>
  <si>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</si>
  <si>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</si>
  <si>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</si>
  <si>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</si>
  <si>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</si>
  <si>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</si>
  <si>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</si>
  <si>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</si>
  <si>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</si>
  <si>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</si>
  <si>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</si>
  <si>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</si>
  <si>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</si>
  <si>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</si>
  <si>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</si>
  <si>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</si>
  <si>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</si>
  <si>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</si>
  <si>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</si>
  <si>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</si>
  <si>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</si>
  <si>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</si>
  <si>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</si>
  <si>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</si>
  <si>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</si>
  <si>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</si>
  <si>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</si>
  <si>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</si>
  <si>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</si>
  <si>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</si>
  <si>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</si>
  <si>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</si>
  <si>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</si>
  <si>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</si>
  <si>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</si>
  <si>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</si>
  <si>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</si>
  <si>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</si>
  <si>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</si>
  <si>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</si>
  <si>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</si>
  <si>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</si>
  <si>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</si>
  <si>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</si>
  <si>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</si>
  <si>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</si>
  <si>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</si>
  <si>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</si>
  <si>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</si>
  <si>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</si>
  <si>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</si>
  <si>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</si>
  <si>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</si>
  <si>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</si>
  <si>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</si>
  <si>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</si>
  <si>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</si>
  <si>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</si>
  <si>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</si>
  <si>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</si>
  <si>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</si>
  <si>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</si>
  <si>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</si>
  <si>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</si>
  <si>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</si>
  <si>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</si>
  <si>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</si>
  <si>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</si>
  <si>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</si>
  <si>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</si>
  <si>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</si>
  <si>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</si>
  <si>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</si>
  <si>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</si>
  <si>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</si>
  <si>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</si>
  <si>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</si>
  <si>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</si>
  <si>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</si>
  <si>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</si>
  <si>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</si>
  <si>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</si>
  <si>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</si>
  <si>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</si>
  <si>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</si>
  <si>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</si>
  <si>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</si>
  <si>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</si>
  <si>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</si>
  <si>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</si>
  <si>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</si>
  <si>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</si>
  <si>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</si>
  <si>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</si>
  <si>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</si>
  <si>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</si>
  <si>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</si>
  <si>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</si>
  <si>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</si>
  <si>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</si>
  <si>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</si>
  <si>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</si>
  <si>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</si>
  <si>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</si>
  <si>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</si>
  <si>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</si>
  <si>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</si>
  <si>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</si>
  <si>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</si>
  <si>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</si>
  <si>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</si>
  <si>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</si>
  <si>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</si>
  <si>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</si>
  <si>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</si>
  <si>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</si>
  <si>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</si>
  <si>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</si>
  <si>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</si>
  <si>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</si>
  <si>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</si>
  <si>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</si>
  <si>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</si>
  <si>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</si>
  <si>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</si>
  <si>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</si>
  <si>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</si>
  <si>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</si>
  <si>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</si>
  <si>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</si>
  <si>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</si>
  <si>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</si>
  <si>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</si>
  <si>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</si>
  <si>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</si>
  <si>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</si>
  <si>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</si>
  <si>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</si>
  <si>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</si>
  <si>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</si>
  <si>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</si>
  <si>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</si>
  <si>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</si>
  <si>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</si>
  <si>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</si>
  <si>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</si>
  <si>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</si>
  <si>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</si>
  <si>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</si>
  <si>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</si>
  <si>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</si>
  <si>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</si>
  <si>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</si>
  <si>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</si>
  <si>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</si>
  <si>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</si>
  <si>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</si>
  <si>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</si>
  <si>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</si>
  <si>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</si>
  <si>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</si>
  <si>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</si>
  <si>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</si>
  <si>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</si>
  <si>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</si>
  <si>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</si>
  <si>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</si>
  <si>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</si>
  <si>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</si>
  <si>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</si>
  <si>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</si>
  <si>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</si>
  <si>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</si>
  <si>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</si>
  <si>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</si>
  <si>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</si>
  <si>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</si>
  <si>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</si>
  <si>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</si>
  <si>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</si>
  <si>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</si>
  <si>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</si>
  <si>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</si>
  <si>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</si>
  <si>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</si>
  <si>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</si>
  <si>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</si>
  <si>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</si>
  <si>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</si>
  <si>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</si>
  <si>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</si>
  <si>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</si>
  <si>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</si>
  <si>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</si>
  <si>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</si>
  <si>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</si>
  <si>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</si>
  <si>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</si>
  <si>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</si>
  <si>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</si>
  <si>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</si>
  <si>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</si>
  <si>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</si>
  <si>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</si>
  <si>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</si>
  <si>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</si>
  <si>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</si>
  <si>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</si>
  <si>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</si>
  <si>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</si>
  <si>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</si>
  <si>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</si>
  <si>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</si>
  <si>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</si>
  <si>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</si>
  <si>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</si>
  <si>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</si>
  <si>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</si>
  <si>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</si>
  <si>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</si>
  <si>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</si>
  <si>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</si>
  <si>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</si>
  <si>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</si>
  <si>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</si>
  <si>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</si>
  <si>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</si>
  <si>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</si>
  <si>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</si>
  <si>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</si>
  <si>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</si>
  <si>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</si>
  <si>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</si>
  <si>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</si>
  <si>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</si>
  <si>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</si>
  <si>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</si>
  <si>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</si>
  <si>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</si>
  <si>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</si>
  <si>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</si>
  <si>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</si>
  <si>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</si>
  <si>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</si>
  <si>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</si>
  <si>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</si>
  <si>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</si>
  <si>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</si>
  <si>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</si>
  <si>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</si>
  <si>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</si>
  <si>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</si>
  <si>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</si>
  <si>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</si>
  <si>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</si>
  <si>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</si>
  <si>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</si>
  <si>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</si>
  <si>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</si>
  <si>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</si>
  <si>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</si>
  <si>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</si>
  <si>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</si>
  <si>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</si>
  <si>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</si>
  <si>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</si>
  <si>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</si>
  <si>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</si>
  <si>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</si>
  <si>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</si>
  <si>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</si>
  <si>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</si>
  <si>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</si>
  <si>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</si>
  <si>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</si>
  <si>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</si>
  <si>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</si>
  <si>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</si>
  <si>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</si>
  <si>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</si>
  <si>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</si>
  <si>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</si>
  <si>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</si>
  <si>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</si>
  <si>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</si>
  <si>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</si>
  <si>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</si>
  <si>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</si>
  <si>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</si>
  <si>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</si>
  <si>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</si>
  <si>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</si>
  <si>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</si>
  <si>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</si>
  <si>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</si>
  <si>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</si>
  <si>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</si>
  <si>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</si>
  <si>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</si>
  <si>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</si>
  <si>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</si>
  <si>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</si>
  <si>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</si>
  <si>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</si>
  <si>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</si>
  <si>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</si>
  <si>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</si>
  <si>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</si>
  <si>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</si>
  <si>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</si>
  <si>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</si>
  <si>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</si>
  <si>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</si>
  <si>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</si>
  <si>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</si>
  <si>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</si>
  <si>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</si>
  <si>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</si>
  <si>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</si>
  <si>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</si>
  <si>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</si>
  <si>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</si>
  <si>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</si>
  <si>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</si>
  <si>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</si>
  <si>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</si>
  <si>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</si>
  <si>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</si>
  <si>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</si>
  <si>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</si>
  <si>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</si>
  <si>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</si>
  <si>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</si>
  <si>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</si>
  <si>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</si>
  <si>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</si>
  <si>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</si>
  <si>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</si>
  <si>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</si>
  <si>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</si>
  <si>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</si>
  <si>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</si>
  <si>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</si>
  <si>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</si>
  <si>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</si>
  <si>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</si>
  <si>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</si>
  <si>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</si>
  <si>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</si>
  <si>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</si>
  <si>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</si>
  <si>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</si>
  <si>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</si>
  <si>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</si>
  <si>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</si>
  <si>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</si>
  <si>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</si>
  <si>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</si>
  <si>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</si>
  <si>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</si>
  <si>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</si>
  <si>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</si>
  <si>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</si>
  <si>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</si>
  <si>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</si>
  <si>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</si>
  <si>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</si>
  <si>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</si>
  <si>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</si>
  <si>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</si>
  <si>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</si>
  <si>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</si>
  <si>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</si>
  <si>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</si>
  <si>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</si>
  <si>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</si>
  <si>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</si>
  <si>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</si>
  <si>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</si>
  <si>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</si>
  <si>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</si>
  <si>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</si>
  <si>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</si>
  <si>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</si>
  <si>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</si>
  <si>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</si>
  <si>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</si>
  <si>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</si>
  <si>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</si>
  <si>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</si>
  <si>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</si>
  <si>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</si>
  <si>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</si>
  <si>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</si>
  <si>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</si>
  <si>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</si>
  <si>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</si>
  <si>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</si>
  <si>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</si>
  <si>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</si>
  <si>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</si>
  <si>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</si>
  <si>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</si>
  <si>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</si>
  <si>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</si>
  <si>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</si>
  <si>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</si>
  <si>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</si>
  <si>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</si>
  <si>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</si>
  <si>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</si>
  <si>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</si>
  <si>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</si>
  <si>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</si>
  <si>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</si>
  <si>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</si>
  <si>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</si>
  <si>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</si>
  <si>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</si>
  <si>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</si>
  <si>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</si>
  <si>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</si>
  <si>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</si>
  <si>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</si>
  <si>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</si>
  <si>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</si>
  <si>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</si>
  <si>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</si>
  <si>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</si>
  <si>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</si>
  <si>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</si>
  <si>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</si>
  <si>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</si>
  <si>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</si>
  <si>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</si>
  <si>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</si>
  <si>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</si>
  <si>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</si>
  <si>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</si>
  <si>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</si>
  <si>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</si>
  <si>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</si>
  <si>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</si>
  <si>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</si>
  <si>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</si>
  <si>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</si>
  <si>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</si>
  <si>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</si>
  <si>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</si>
  <si>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</si>
  <si>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</si>
  <si>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</si>
  <si>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</si>
  <si>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</si>
  <si>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</si>
  <si>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</si>
  <si>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</si>
  <si>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</si>
  <si>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</si>
  <si>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</si>
  <si>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</si>
  <si>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</si>
  <si>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</si>
  <si>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</si>
  <si>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</si>
  <si>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</si>
  <si>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</si>
  <si>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</si>
  <si>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</si>
  <si>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</si>
  <si>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</si>
  <si>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</si>
  <si>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</si>
  <si>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</si>
  <si>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</si>
  <si>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</si>
  <si>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</si>
  <si>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</si>
  <si>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</si>
  <si>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</si>
  <si>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</si>
  <si>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</si>
  <si>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</si>
  <si>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</si>
  <si>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</si>
  <si>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</si>
  <si>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</si>
  <si>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</si>
  <si>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</si>
  <si>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</si>
  <si>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</si>
  <si>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</si>
  <si>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</si>
  <si>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</si>
  <si>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</si>
  <si>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</si>
  <si>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</si>
  <si>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</si>
  <si>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</si>
  <si>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</si>
  <si>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</si>
  <si>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</si>
  <si>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</si>
  <si>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</si>
  <si>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</si>
  <si>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</si>
  <si>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</si>
  <si>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</si>
  <si>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</si>
  <si>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</si>
  <si>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</si>
  <si>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</si>
  <si>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</si>
  <si>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</si>
  <si>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</si>
  <si>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</si>
  <si>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</si>
  <si>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</si>
  <si>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</si>
  <si>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</si>
  <si>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</si>
  <si>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</si>
  <si>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</si>
  <si>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</si>
  <si>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</si>
  <si>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</si>
  <si>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</si>
  <si>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</si>
  <si>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</si>
  <si>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</si>
  <si>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</si>
  <si>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</si>
  <si>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</si>
  <si>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</si>
  <si>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</si>
  <si>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</si>
  <si>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</si>
  <si>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</si>
  <si>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</si>
  <si>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</si>
  <si>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</si>
  <si>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</si>
  <si>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</si>
  <si>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</si>
  <si>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</si>
  <si>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</si>
  <si>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</si>
  <si>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</si>
  <si>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</si>
  <si>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</si>
  <si>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</si>
  <si>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</si>
  <si>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</si>
  <si>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</si>
  <si>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</si>
  <si>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</si>
  <si>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</si>
  <si>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</si>
  <si>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</si>
  <si>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</si>
  <si>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</si>
  <si>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</si>
  <si>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</si>
  <si>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</si>
  <si>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</si>
  <si>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</si>
  <si>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</si>
  <si>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</si>
  <si>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</si>
  <si>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</si>
  <si>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</si>
  <si>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</si>
  <si>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</si>
  <si>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</si>
  <si>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</si>
  <si>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</si>
  <si>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</si>
  <si>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</si>
  <si>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</si>
  <si>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</si>
  <si>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</si>
  <si>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</si>
  <si>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</si>
  <si>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</si>
  <si>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</si>
  <si>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</si>
  <si>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</si>
  <si>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</si>
  <si>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</si>
  <si>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</si>
  <si>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</si>
  <si>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</si>
  <si>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</si>
  <si>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</si>
  <si>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</si>
  <si>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</si>
  <si>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</si>
  <si>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</si>
  <si>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</si>
  <si>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</si>
  <si>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</si>
  <si>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</si>
  <si>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</si>
  <si>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</si>
  <si>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</si>
  <si>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</si>
  <si>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</si>
  <si>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</si>
  <si>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</si>
  <si>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</si>
  <si>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</si>
  <si>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</si>
  <si>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</si>
  <si>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</si>
  <si>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</si>
  <si>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</si>
  <si>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</si>
  <si>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</si>
  <si>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</si>
  <si>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</si>
  <si>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</si>
  <si>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</si>
  <si>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</si>
  <si>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</si>
  <si>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</si>
  <si>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</si>
  <si>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</si>
  <si>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</si>
  <si>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</si>
  <si>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</si>
  <si>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</si>
  <si>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</si>
  <si>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</si>
  <si>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</si>
  <si>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</si>
  <si>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</si>
  <si>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</si>
  <si>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</si>
  <si>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</si>
  <si>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</si>
  <si>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</si>
  <si>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</si>
  <si>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</si>
  <si>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</si>
  <si>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</si>
  <si>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</si>
  <si>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</si>
  <si>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</si>
  <si>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</si>
  <si>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</si>
  <si>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</si>
  <si>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</si>
  <si>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</si>
  <si>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</si>
  <si>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</si>
  <si>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</si>
  <si>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</si>
  <si>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</si>
  <si>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</si>
  <si>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</si>
  <si>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</si>
  <si>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</si>
  <si>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</si>
  <si>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</si>
  <si>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</si>
  <si>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</si>
  <si>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</si>
  <si>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</si>
  <si>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</si>
  <si>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</si>
  <si>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</si>
  <si>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</si>
  <si>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</si>
  <si>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</si>
  <si>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</si>
  <si>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</si>
  <si>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</si>
  <si>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</si>
  <si>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</si>
  <si>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</si>
  <si>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</si>
  <si>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</si>
  <si>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</si>
  <si>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</si>
  <si>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</si>
  <si>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</si>
  <si>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</si>
  <si>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</si>
  <si>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</si>
  <si>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</si>
  <si>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</si>
  <si>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</si>
  <si>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</si>
  <si>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</si>
  <si>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</si>
  <si>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</si>
  <si>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</si>
  <si>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</si>
  <si>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</si>
  <si>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</si>
  <si>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</si>
  <si>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</si>
  <si>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</si>
  <si>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</si>
  <si>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</si>
  <si>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</si>
  <si>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</si>
  <si>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</si>
  <si>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</si>
  <si>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</si>
  <si>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</si>
  <si>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</si>
  <si>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</si>
  <si>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</si>
  <si>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</si>
  <si>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</si>
  <si>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</si>
  <si>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</si>
  <si>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</si>
  <si>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</si>
  <si>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</si>
  <si>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</si>
  <si>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</si>
  <si>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</si>
  <si>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</si>
  <si>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</si>
  <si>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</si>
  <si>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</si>
  <si>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</si>
  <si>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</si>
  <si>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</si>
  <si>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</si>
  <si>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</si>
  <si>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</si>
  <si>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</si>
  <si>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</si>
  <si>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</si>
  <si>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</si>
  <si>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</si>
  <si>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</si>
  <si>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</si>
  <si>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</si>
  <si>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</si>
  <si>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</si>
  <si>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</si>
  <si>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</si>
  <si>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</si>
  <si>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</si>
  <si>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</si>
  <si>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</si>
  <si>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</si>
  <si>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</si>
  <si>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</si>
  <si>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</si>
  <si>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</si>
  <si>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</si>
  <si>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</si>
  <si>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</si>
  <si>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</si>
  <si>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</si>
  <si>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</si>
  <si>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</si>
  <si>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</si>
  <si>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</si>
  <si>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</si>
  <si>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</si>
  <si>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</si>
  <si>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</si>
  <si>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</si>
  <si>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</si>
  <si>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</si>
  <si>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</si>
  <si>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</si>
  <si>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</si>
  <si>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</si>
  <si>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</si>
  <si>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</si>
  <si>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</si>
  <si>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</si>
  <si>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</si>
  <si>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</si>
  <si>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</si>
  <si>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</si>
  <si>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</si>
  <si>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</si>
  <si>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</si>
  <si>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</si>
  <si>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</si>
  <si>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</si>
  <si>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</si>
  <si>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</si>
  <si>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</si>
  <si>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</si>
  <si>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</si>
  <si>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</si>
  <si>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</si>
  <si>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</si>
  <si>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</si>
  <si>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</si>
  <si>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</si>
  <si>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</si>
  <si>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</si>
  <si>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</si>
  <si>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</si>
  <si>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</si>
  <si>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</si>
  <si>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</si>
  <si>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</si>
  <si>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</si>
  <si>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</si>
  <si>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</si>
  <si>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</si>
  <si>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</si>
  <si>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</si>
  <si>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</si>
  <si>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</si>
  <si>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</si>
  <si>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</si>
  <si>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</si>
  <si>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</si>
  <si>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</si>
  <si>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</si>
  <si>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</si>
  <si>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</si>
  <si>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</si>
  <si>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</si>
  <si>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</si>
  <si>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</si>
  <si>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</si>
  <si>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</si>
  <si>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</si>
  <si>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</si>
  <si>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</si>
  <si>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</si>
  <si>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</si>
  <si>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</si>
  <si>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</si>
  <si>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</si>
  <si>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</si>
  <si>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</si>
  <si>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</si>
  <si>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</si>
  <si>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</si>
  <si>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</si>
  <si>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</si>
  <si>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</si>
  <si>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</si>
  <si>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</si>
  <si>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</si>
  <si>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</si>
  <si>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</si>
  <si>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</si>
  <si>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</si>
  <si>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</si>
  <si>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</si>
  <si>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</si>
  <si>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</si>
  <si>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</si>
  <si>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</si>
  <si>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</si>
  <si>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</si>
  <si>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</si>
  <si>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</si>
  <si>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</si>
  <si>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</si>
  <si>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</si>
  <si>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</si>
  <si>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</si>
  <si>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</si>
  <si>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</si>
  <si>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</si>
  <si>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</si>
  <si>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</si>
  <si>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</si>
  <si>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</si>
  <si>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</si>
  <si>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</si>
  <si>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</si>
  <si>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</si>
  <si>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</si>
  <si>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</si>
  <si>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</si>
  <si>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</si>
  <si>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</si>
  <si>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</si>
  <si>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</si>
  <si>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</si>
  <si>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</si>
  <si>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</si>
  <si>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</si>
  <si>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</si>
  <si>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</si>
  <si>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</si>
  <si>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</si>
  <si>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</si>
  <si>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</si>
  <si>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</si>
  <si>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</si>
  <si>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</si>
  <si>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</si>
  <si>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</si>
  <si>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</si>
  <si>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</si>
  <si>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</si>
  <si>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</si>
  <si>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</si>
  <si>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</si>
  <si>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</si>
  <si>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</si>
  <si>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</si>
  <si>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</si>
  <si>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</si>
  <si>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</si>
  <si>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</si>
  <si>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</si>
  <si>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</si>
  <si>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</si>
  <si>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</si>
  <si>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</si>
  <si>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</si>
  <si>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</si>
  <si>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</si>
  <si>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</si>
  <si>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</si>
  <si>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</si>
  <si>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</si>
  <si>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</si>
  <si>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</si>
  <si>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</si>
  <si>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</si>
  <si>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</si>
  <si>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</si>
  <si>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</si>
  <si>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</si>
  <si>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</si>
  <si>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</si>
  <si>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</si>
  <si>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</si>
  <si>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</si>
  <si>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</si>
  <si>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</si>
  <si>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</si>
  <si>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</si>
  <si>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</si>
  <si>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</si>
  <si>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</si>
  <si>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</si>
  <si>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</si>
  <si>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</si>
  <si>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</si>
  <si>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</si>
  <si>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</si>
  <si>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</si>
  <si>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</si>
  <si>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</si>
  <si>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</si>
  <si>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</si>
  <si>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</si>
  <si>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</si>
  <si>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</si>
  <si>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</si>
  <si>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</si>
  <si>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</si>
  <si>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</si>
  <si>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</si>
  <si>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</si>
  <si>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</si>
  <si>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</si>
  <si>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</si>
  <si>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</si>
  <si>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</si>
  <si>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</si>
  <si>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</si>
  <si>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</si>
  <si>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</si>
  <si>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</si>
  <si>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</si>
  <si>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</si>
  <si>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</si>
  <si>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</si>
  <si>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</si>
  <si>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</si>
  <si>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</si>
  <si>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</si>
  <si>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</si>
  <si>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</si>
  <si>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</si>
  <si>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</si>
  <si>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</si>
  <si>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</si>
  <si>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</si>
  <si>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</si>
  <si>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</si>
  <si>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</si>
  <si>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</si>
  <si>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</si>
  <si>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</si>
  <si>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</si>
  <si>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</si>
  <si>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</si>
  <si>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</si>
  <si>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</si>
  <si>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</si>
  <si>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</si>
  <si>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</si>
  <si>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</si>
  <si>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</si>
  <si>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</si>
  <si>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</si>
  <si>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</si>
  <si>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</si>
  <si>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</si>
  <si>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</si>
  <si>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</si>
  <si>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</si>
  <si>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</si>
  <si>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</si>
  <si>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</si>
  <si>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</si>
  <si>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</si>
  <si>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</si>
  <si>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</si>
  <si>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</si>
  <si>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</si>
  <si>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</si>
  <si>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</si>
  <si>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</si>
  <si>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</si>
  <si>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</si>
  <si>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</si>
  <si>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</si>
  <si>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</si>
  <si>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</si>
  <si>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</si>
  <si>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</si>
  <si>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</si>
  <si>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</si>
  <si>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</si>
  <si>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</si>
  <si>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</si>
  <si>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</si>
  <si>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</si>
  <si>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</si>
  <si>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</si>
  <si>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</si>
  <si>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</si>
  <si>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</si>
  <si>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</si>
  <si>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</si>
  <si>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</si>
  <si>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</si>
  <si>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</si>
  <si>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</si>
  <si>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</si>
  <si>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</si>
  <si>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</si>
  <si>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</si>
  <si>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</si>
  <si>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</si>
  <si>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</si>
  <si>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</si>
  <si>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</si>
  <si>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</si>
  <si>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</si>
  <si>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</si>
  <si>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</si>
  <si>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</si>
  <si>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</si>
  <si>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</si>
  <si>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</si>
  <si>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</si>
  <si>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</si>
  <si>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</si>
  <si>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</si>
  <si>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</si>
  <si>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</si>
  <si>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</si>
  <si>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</si>
  <si>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</si>
  <si>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</si>
  <si>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</si>
  <si>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</si>
  <si>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</si>
  <si>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</si>
  <si>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</si>
  <si>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</si>
  <si>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</si>
  <si>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</si>
  <si>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</si>
  <si>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</si>
  <si>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</si>
  <si>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</si>
  <si>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</si>
  <si>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</si>
  <si>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</si>
  <si>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</si>
  <si>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</si>
  <si>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</si>
  <si>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</si>
  <si>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</si>
  <si>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</si>
  <si>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</si>
  <si>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</si>
  <si>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</si>
  <si>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</si>
  <si>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</si>
  <si>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</si>
  <si>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</si>
  <si>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</si>
  <si>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</si>
  <si>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</si>
  <si>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</si>
  <si>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</si>
  <si>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</si>
  <si>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</si>
  <si>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</si>
  <si>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</si>
  <si>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</si>
  <si>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</si>
  <si>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</si>
  <si>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</si>
  <si>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</si>
  <si>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</si>
  <si>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</si>
  <si>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</si>
  <si>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</si>
  <si>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</si>
  <si>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</si>
  <si>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</si>
  <si>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</si>
  <si>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</si>
  <si>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</si>
  <si>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</si>
  <si>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</si>
  <si>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</si>
  <si>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</si>
  <si>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</si>
  <si>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</si>
  <si>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</si>
  <si>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</si>
  <si>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</si>
  <si>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</si>
  <si>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</si>
  <si>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</si>
  <si>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</si>
  <si>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</si>
  <si>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</si>
  <si>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</si>
  <si>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</si>
  <si>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</si>
  <si>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</si>
  <si>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</si>
  <si>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</si>
  <si>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</si>
  <si>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</si>
  <si>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</si>
  <si>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</si>
  <si>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</si>
  <si>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</si>
  <si>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</si>
  <si>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</si>
  <si>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</si>
  <si>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</si>
  <si>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</si>
  <si>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</si>
  <si>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</si>
  <si>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</si>
  <si>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</si>
  <si>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</si>
  <si>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</si>
  <si>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</si>
  <si>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</si>
  <si>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</si>
  <si>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</si>
  <si>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</si>
  <si>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</si>
  <si>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</si>
  <si>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</si>
  <si>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</si>
  <si>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</si>
  <si>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</si>
  <si>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</si>
  <si>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</si>
  <si>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</si>
  <si>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</si>
  <si>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</si>
  <si>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</si>
  <si>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</si>
  <si>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</si>
  <si>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</si>
  <si>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</si>
  <si>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</si>
  <si>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</si>
  <si>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</si>
  <si>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</si>
  <si>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</si>
  <si>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</si>
  <si>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</si>
  <si>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</si>
  <si>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</si>
  <si>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</si>
  <si>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</si>
  <si>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</si>
  <si>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</si>
  <si>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</si>
  <si>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</si>
  <si>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</si>
  <si>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</si>
  <si>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</si>
  <si>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</si>
  <si>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</si>
  <si>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</si>
  <si>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</si>
  <si>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</si>
  <si>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</si>
  <si>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</si>
  <si>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</si>
  <si>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</si>
  <si>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</si>
  <si>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</si>
  <si>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</si>
  <si>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</si>
  <si>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</si>
  <si>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</si>
  <si>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</si>
  <si>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</si>
  <si>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</si>
  <si>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</si>
  <si>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</si>
  <si>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</si>
  <si>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</si>
  <si>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</si>
  <si>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</si>
  <si>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</si>
  <si>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</si>
  <si>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</si>
  <si>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</si>
  <si>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</si>
  <si>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</si>
  <si>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</si>
  <si>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</si>
  <si>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</si>
  <si>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</si>
  <si>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</si>
  <si>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</si>
  <si>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</si>
  <si>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</si>
  <si>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</si>
  <si>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</si>
  <si>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</si>
  <si>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</si>
  <si>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</si>
  <si>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</si>
  <si>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</si>
  <si>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</si>
  <si>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</si>
  <si>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</si>
  <si>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</si>
  <si>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</si>
  <si>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</si>
  <si>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</si>
  <si>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</si>
  <si>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</si>
  <si>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</si>
  <si>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</si>
  <si>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</si>
  <si>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</si>
  <si>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</si>
  <si>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</si>
  <si>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</si>
  <si>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</si>
  <si>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</si>
  <si>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</si>
  <si>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</si>
  <si>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</si>
  <si>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</si>
  <si>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</si>
  <si>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</si>
  <si>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</si>
  <si>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</si>
  <si>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</si>
  <si>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</si>
  <si>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</si>
  <si>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</si>
  <si>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</si>
  <si>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</si>
  <si>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</si>
  <si>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</si>
  <si>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</si>
  <si>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</si>
  <si>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</si>
  <si>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</si>
  <si>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</si>
  <si>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</si>
  <si>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</si>
  <si>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</si>
  <si>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</si>
  <si>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</si>
  <si>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</si>
  <si>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</si>
  <si>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</si>
  <si>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</si>
  <si>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</si>
  <si>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</si>
  <si>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</si>
  <si>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</si>
  <si>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</si>
  <si>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</si>
  <si>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</si>
  <si>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</si>
  <si>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</si>
  <si>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</si>
  <si>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</si>
  <si>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</si>
  <si>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</si>
  <si>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</si>
  <si>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</si>
  <si>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</si>
  <si>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</si>
  <si>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</si>
  <si>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</si>
  <si>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</si>
  <si>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</si>
  <si>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</si>
  <si>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</si>
  <si>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</si>
  <si>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</si>
  <si>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</si>
  <si>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</si>
  <si>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</si>
  <si>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</si>
  <si>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</si>
  <si>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</si>
  <si>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</si>
  <si>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</si>
  <si>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</si>
  <si>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</si>
  <si>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</si>
  <si>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</si>
  <si>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</si>
  <si>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</si>
  <si>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</si>
  <si>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</si>
  <si>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</si>
  <si>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</si>
  <si>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</si>
  <si>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</si>
  <si>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</si>
  <si>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</si>
  <si>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</si>
  <si>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</si>
  <si>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</si>
  <si>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</si>
  <si>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</si>
  <si>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</si>
  <si>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</si>
  <si>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</si>
  <si>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</si>
  <si>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</si>
  <si>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</si>
  <si>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</si>
  <si>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</si>
  <si>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</si>
  <si>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</si>
  <si>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</si>
  <si>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</si>
  <si>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</si>
  <si>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</si>
  <si>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</si>
  <si>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</si>
  <si>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</si>
  <si>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</si>
  <si>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</si>
  <si>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</si>
  <si>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</si>
  <si>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</si>
  <si>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</si>
  <si>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</si>
  <si>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</si>
  <si>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</si>
  <si>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</si>
  <si>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</si>
  <si>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</si>
  <si>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</si>
  <si>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</si>
  <si>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</si>
  <si>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</si>
  <si>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</si>
  <si>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</si>
  <si>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</si>
  <si>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</si>
  <si>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</si>
  <si>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</si>
  <si>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</si>
  <si>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</si>
  <si>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</si>
  <si>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</si>
  <si>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</si>
  <si>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</si>
  <si>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</si>
  <si>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</si>
  <si>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</si>
  <si>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</si>
  <si>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</si>
  <si>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</si>
  <si>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</si>
  <si>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</si>
  <si>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</si>
  <si>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</si>
  <si>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</si>
  <si>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</si>
  <si>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</si>
  <si>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</si>
  <si>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</si>
  <si>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</si>
  <si>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</si>
  <si>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</si>
  <si>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</si>
  <si>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</si>
  <si>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</si>
  <si>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</si>
  <si>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</si>
  <si>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</si>
  <si>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</si>
  <si>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</si>
  <si>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</si>
  <si>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</si>
  <si>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</si>
  <si>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</si>
  <si>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</si>
  <si>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</si>
  <si>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</si>
  <si>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</si>
  <si>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</si>
  <si>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</si>
  <si>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</si>
  <si>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</si>
  <si>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</si>
  <si>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</si>
  <si>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</si>
  <si>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</si>
  <si>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</si>
  <si>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</si>
  <si>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</si>
  <si>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</si>
  <si>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</si>
  <si>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</si>
  <si>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</si>
  <si>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</si>
  <si>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</si>
  <si>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</si>
  <si>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</si>
  <si>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</si>
  <si>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</si>
  <si>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</si>
  <si>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</si>
  <si>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</si>
  <si>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</si>
  <si>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</si>
  <si>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</si>
  <si>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</si>
  <si>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</si>
  <si>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</si>
  <si>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</si>
  <si>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</si>
  <si>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</si>
  <si>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</si>
  <si>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</si>
  <si>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</si>
  <si>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</si>
  <si>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</si>
  <si>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</si>
  <si>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</si>
  <si>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</si>
  <si>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</si>
  <si>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</si>
  <si>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</si>
  <si>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</si>
  <si>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</si>
  <si>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</si>
  <si>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</si>
  <si>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</si>
  <si>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</si>
  <si>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</si>
  <si>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</si>
  <si>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</si>
  <si>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</si>
  <si>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</si>
  <si>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</si>
  <si>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</si>
  <si>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</si>
  <si>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</si>
  <si>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</si>
  <si>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</si>
  <si>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</si>
  <si>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</si>
  <si>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</si>
  <si>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</si>
  <si>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</si>
  <si>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</si>
  <si>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</si>
  <si>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</si>
  <si>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</si>
  <si>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</si>
  <si>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</si>
  <si>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</si>
  <si>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</si>
  <si>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</si>
  <si>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</si>
  <si>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</si>
  <si>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</si>
  <si>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</si>
  <si>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</si>
  <si>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</si>
  <si>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</si>
  <si>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</si>
  <si>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</si>
  <si>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</si>
  <si>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</si>
  <si>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</si>
  <si>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</si>
  <si>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</si>
  <si>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</si>
  <si>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</si>
  <si>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</si>
  <si>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</si>
  <si>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</si>
  <si>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</si>
  <si>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</si>
  <si>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</si>
  <si>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</si>
  <si>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</si>
  <si>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</si>
  <si>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</si>
  <si>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</si>
  <si>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</si>
  <si>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</si>
  <si>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</si>
  <si>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</si>
  <si>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</si>
  <si>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</si>
  <si>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</si>
  <si>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</si>
  <si>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</si>
  <si>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</si>
  <si>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</si>
  <si>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</si>
  <si>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</si>
  <si>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</si>
  <si>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</si>
  <si>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</si>
  <si>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</si>
  <si>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</si>
  <si>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</si>
  <si>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</si>
  <si>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</si>
  <si>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</si>
  <si>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</si>
  <si>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</si>
  <si>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</si>
  <si>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</si>
  <si>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</si>
  <si>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</si>
  <si>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</si>
  <si>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</si>
  <si>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</si>
  <si>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</si>
  <si>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</si>
  <si>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</si>
  <si>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</si>
  <si>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</si>
  <si>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</si>
  <si>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</si>
  <si>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</si>
  <si>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</si>
  <si>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</si>
  <si>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</si>
  <si>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</si>
  <si>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</si>
  <si>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</si>
  <si>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</si>
  <si>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</si>
  <si>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</si>
  <si>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</si>
  <si>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</si>
  <si>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</si>
  <si>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</si>
  <si>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</si>
  <si>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</si>
  <si>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</si>
  <si>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</si>
  <si>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</si>
  <si>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</si>
  <si>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</si>
  <si>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</si>
  <si>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</si>
  <si>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</si>
  <si>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</si>
  <si>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</si>
  <si>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</si>
  <si>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</si>
  <si>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</si>
  <si>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</si>
  <si>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</si>
  <si>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</si>
  <si>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</si>
  <si>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</si>
  <si>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</si>
  <si>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</si>
  <si>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</si>
  <si>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</si>
  <si>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</si>
  <si>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</si>
  <si>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</si>
  <si>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</si>
  <si>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</si>
  <si>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</si>
  <si>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</si>
  <si>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</si>
  <si>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</si>
  <si>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</si>
  <si>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</si>
  <si>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</si>
  <si>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</si>
  <si>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</si>
  <si>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</si>
  <si>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</si>
  <si>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</si>
  <si>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</si>
  <si>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</si>
  <si>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</si>
  <si>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</si>
  <si>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</si>
  <si>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</si>
  <si>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</si>
  <si>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</si>
  <si>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</si>
  <si>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</si>
  <si>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</si>
  <si>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</si>
  <si>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</si>
  <si>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</si>
  <si>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</si>
  <si>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</si>
  <si>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</si>
  <si>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</si>
  <si>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</si>
  <si>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</si>
  <si>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</si>
  <si>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</si>
  <si>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</si>
  <si>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</si>
  <si>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</si>
  <si>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</si>
  <si>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</si>
  <si>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</si>
  <si>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</si>
  <si>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</si>
  <si>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</si>
  <si>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</si>
  <si>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</si>
  <si>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</si>
  <si>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</si>
  <si>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</si>
  <si>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</si>
  <si>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</si>
  <si>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</si>
  <si>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</si>
  <si>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</si>
  <si>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</si>
  <si>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</si>
  <si>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</si>
  <si>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</si>
  <si>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</si>
  <si>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</si>
  <si>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</si>
  <si>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</si>
  <si>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</si>
  <si>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</si>
  <si>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</si>
  <si>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</si>
  <si>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</si>
  <si>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</si>
  <si>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</si>
  <si>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</si>
  <si>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</si>
  <si>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</si>
  <si>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</si>
  <si>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</si>
  <si>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</si>
  <si>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</si>
  <si>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</si>
  <si>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</si>
  <si>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</si>
  <si>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</si>
  <si>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</si>
  <si>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</si>
  <si>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2.1</t>
  </si>
  <si>
    <t>C</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</si>
  <si>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</si>
  <si>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</si>
  <si>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</si>
  <si>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</si>
  <si>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</si>
  <si>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</si>
  <si>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</si>
  <si>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</si>
  <si>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</si>
  <si>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</si>
  <si>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</si>
  <si>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</si>
  <si>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</si>
  <si>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</si>
  <si>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</si>
  <si>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</si>
  <si>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</si>
  <si>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</si>
  <si>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</si>
  <si>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</si>
  <si>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</si>
  <si>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</si>
  <si>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</si>
  <si>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</si>
  <si>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</si>
  <si>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</si>
  <si>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</si>
  <si>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</si>
  <si>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</si>
  <si>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</si>
  <si>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</si>
  <si>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</si>
  <si>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</si>
  <si>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</si>
  <si>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</si>
  <si>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</si>
  <si>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</si>
  <si>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</si>
  <si>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</si>
  <si>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</si>
  <si>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</si>
  <si>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</si>
  <si>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</si>
  <si>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</si>
  <si>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</si>
  <si>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</si>
  <si>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</si>
  <si>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</si>
  <si>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</si>
  <si>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</si>
  <si>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</si>
  <si>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</si>
  <si>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</si>
  <si>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</si>
  <si>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</si>
  <si>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</si>
  <si>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</si>
  <si>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</si>
  <si>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</si>
  <si>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</si>
  <si>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</si>
  <si>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</si>
  <si>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</si>
  <si>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</si>
  <si>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</si>
  <si>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</si>
  <si>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</si>
  <si>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</si>
  <si>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</si>
  <si>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</si>
  <si>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</si>
  <si>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</si>
  <si>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</si>
  <si>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</si>
  <si>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</si>
  <si>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</si>
  <si>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</si>
  <si>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</si>
  <si>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</si>
  <si>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</si>
  <si>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</si>
  <si>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</si>
  <si>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</si>
  <si>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</si>
  <si>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</si>
  <si>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</si>
  <si>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</si>
  <si>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</si>
  <si>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</si>
  <si>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</si>
  <si>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</si>
  <si>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</si>
  <si>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</si>
  <si>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</si>
  <si>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</si>
  <si>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</si>
  <si>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</si>
  <si>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</si>
  <si>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</si>
  <si>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</si>
  <si>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</si>
  <si>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</si>
  <si>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</si>
  <si>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</si>
  <si>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</si>
  <si>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</si>
  <si>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</si>
  <si>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</si>
  <si>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</si>
  <si>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</si>
  <si>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</si>
  <si>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</si>
  <si>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</si>
  <si>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</si>
  <si>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</si>
  <si>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</si>
  <si>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</si>
  <si>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</si>
  <si>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</si>
  <si>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</si>
  <si>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</si>
  <si>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</si>
  <si>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</si>
  <si>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</si>
  <si>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</si>
  <si>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</si>
  <si>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</si>
  <si>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</si>
  <si>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</si>
  <si>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</si>
  <si>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</si>
  <si>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</si>
  <si>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</si>
  <si>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</si>
  <si>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</si>
  <si>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</si>
  <si>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</si>
  <si>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</si>
  <si>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</si>
  <si>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</si>
  <si>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</si>
  <si>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</si>
  <si>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</si>
  <si>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</si>
  <si>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</si>
  <si>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</si>
  <si>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</si>
  <si>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</si>
  <si>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</si>
  <si>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</si>
  <si>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</si>
  <si>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</si>
  <si>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</si>
  <si>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</si>
  <si>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</si>
  <si>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</si>
  <si>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</si>
  <si>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</si>
  <si>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</si>
  <si>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</si>
  <si>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</si>
  <si>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</si>
  <si>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</si>
  <si>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</si>
  <si>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</si>
  <si>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</si>
  <si>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</si>
  <si>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</si>
  <si>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</si>
  <si>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</si>
  <si>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</si>
  <si>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</si>
  <si>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</si>
  <si>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</si>
  <si>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</si>
  <si>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</si>
  <si>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</si>
  <si>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</si>
  <si>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</si>
  <si>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</si>
  <si>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</si>
  <si>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</si>
  <si>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</si>
  <si>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</si>
  <si>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</si>
  <si>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</si>
  <si>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</si>
  <si>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</si>
  <si>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</si>
  <si>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</si>
  <si>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</si>
  <si>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</si>
  <si>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</si>
  <si>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</si>
  <si>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</si>
  <si>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</si>
  <si>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</si>
  <si>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</si>
  <si>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</si>
  <si>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</si>
  <si>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</si>
  <si>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</si>
  <si>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</si>
  <si>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</si>
  <si>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</si>
  <si>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</si>
  <si>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</si>
  <si>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</si>
  <si>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</si>
  <si>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</si>
  <si>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</si>
  <si>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</si>
  <si>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</si>
  <si>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</si>
  <si>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</si>
  <si>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</si>
  <si>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</si>
  <si>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</si>
  <si>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</si>
  <si>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</si>
  <si>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</si>
  <si>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</si>
  <si>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</si>
  <si>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</si>
  <si>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</si>
  <si>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</si>
  <si>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</si>
  <si>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</si>
  <si>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</si>
  <si>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</si>
  <si>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</si>
  <si>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</si>
  <si>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</si>
  <si>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</si>
  <si>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</si>
  <si>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</si>
  <si>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</si>
  <si>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</si>
  <si>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</si>
  <si>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</si>
  <si>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</si>
  <si>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</si>
  <si>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</si>
  <si>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</si>
  <si>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</si>
  <si>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</si>
  <si>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</si>
  <si>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</si>
  <si>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</si>
  <si>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</si>
  <si>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</si>
  <si>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</si>
  <si>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</si>
  <si>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</si>
  <si>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</si>
  <si>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</si>
  <si>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</si>
  <si>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</si>
  <si>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</si>
  <si>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</si>
  <si>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</si>
  <si>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</si>
  <si>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</si>
  <si>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</si>
  <si>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</si>
  <si>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</si>
  <si>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</si>
  <si>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</si>
  <si>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</si>
  <si>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</si>
  <si>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</si>
  <si>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</si>
  <si>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</si>
  <si>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</si>
  <si>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</si>
  <si>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</si>
  <si>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</si>
  <si>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</si>
  <si>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</si>
  <si>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</si>
  <si>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</si>
  <si>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</si>
  <si>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</si>
  <si>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</si>
  <si>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</si>
  <si>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</si>
  <si>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</si>
  <si>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</si>
  <si>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</si>
  <si>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</si>
  <si>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</si>
  <si>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</si>
  <si>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</si>
  <si>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</si>
  <si>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</si>
  <si>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</si>
  <si>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</si>
  <si>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</si>
  <si>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</si>
  <si>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</si>
  <si>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</si>
  <si>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</si>
  <si>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</si>
  <si>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</si>
  <si>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</si>
  <si>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</si>
  <si>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</si>
  <si>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</si>
  <si>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</si>
  <si>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</si>
  <si>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</si>
  <si>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</si>
  <si>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</si>
  <si>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</si>
  <si>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</si>
  <si>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</si>
  <si>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</si>
  <si>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</si>
  <si>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</si>
  <si>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</si>
  <si>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</si>
  <si>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</si>
  <si>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</si>
  <si>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</si>
  <si>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</si>
  <si>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</si>
  <si>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</si>
  <si>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</si>
  <si>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</si>
  <si>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</si>
  <si>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</si>
  <si>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</si>
  <si>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</si>
  <si>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</si>
  <si>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</si>
  <si>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</si>
  <si>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</si>
  <si>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</si>
  <si>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</si>
  <si>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</si>
  <si>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</si>
  <si>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</si>
  <si>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</si>
  <si>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</si>
  <si>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</si>
  <si>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</si>
  <si>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</si>
  <si>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</si>
  <si>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</si>
  <si>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</si>
  <si>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</si>
  <si>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</si>
  <si>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</si>
  <si>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</si>
  <si>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</si>
  <si>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</si>
  <si>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</si>
  <si>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</si>
  <si>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</si>
  <si>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</si>
  <si>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</si>
  <si>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</si>
  <si>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</si>
  <si>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</si>
  <si>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</si>
  <si>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</si>
  <si>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</si>
  <si>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</si>
  <si>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</si>
  <si>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</si>
  <si>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</si>
  <si>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</si>
  <si>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</si>
  <si>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</si>
  <si>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</si>
  <si>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</si>
  <si>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</si>
  <si>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</si>
  <si>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</si>
  <si>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</si>
  <si>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</si>
  <si>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</si>
  <si>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</si>
  <si>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</si>
  <si>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</si>
  <si>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</si>
  <si>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</si>
  <si>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</si>
  <si>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</si>
  <si>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</si>
  <si>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</si>
  <si>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</si>
  <si>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</si>
  <si>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</si>
  <si>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</si>
  <si>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</si>
  <si>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</si>
  <si>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</si>
  <si>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</si>
  <si>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</si>
  <si>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</si>
  <si>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</si>
  <si>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</si>
  <si>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</si>
  <si>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</si>
  <si>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</si>
  <si>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</si>
  <si>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</si>
  <si>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</si>
  <si>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</si>
  <si>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</si>
  <si>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</si>
  <si>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</si>
  <si>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</si>
  <si>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</si>
  <si>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</si>
  <si>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</si>
  <si>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</si>
  <si>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</si>
  <si>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</si>
  <si>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</si>
  <si>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</si>
  <si>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</si>
  <si>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</si>
  <si>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</si>
  <si>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</si>
  <si>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</si>
  <si>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</si>
  <si>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</si>
  <si>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</si>
  <si>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</si>
  <si>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</si>
  <si>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</si>
  <si>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</si>
  <si>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</si>
  <si>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</si>
  <si>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</si>
  <si>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</si>
  <si>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</si>
  <si>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</si>
  <si>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</si>
  <si>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</si>
  <si>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</si>
  <si>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</si>
  <si>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</si>
  <si>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</si>
  <si>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</si>
  <si>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</si>
  <si>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</si>
  <si>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</si>
  <si>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</si>
  <si>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</si>
  <si>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</si>
  <si>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</si>
  <si>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</si>
  <si>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</si>
  <si>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</si>
  <si>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</si>
  <si>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</si>
  <si>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</si>
  <si>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</si>
  <si>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</si>
  <si>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</si>
  <si>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</si>
  <si>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</si>
  <si>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</si>
  <si>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</si>
  <si>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</si>
  <si>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</si>
  <si>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</si>
  <si>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</si>
  <si>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</si>
  <si>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</si>
  <si>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</si>
  <si>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</si>
  <si>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</si>
  <si>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</si>
  <si>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</si>
  <si>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</si>
  <si>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</si>
  <si>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</si>
  <si>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</si>
  <si>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</si>
  <si>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</si>
  <si>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</si>
  <si>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</si>
  <si>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</si>
  <si>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</si>
  <si>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</si>
  <si>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</si>
  <si>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</si>
  <si>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</si>
  <si>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</si>
  <si>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</si>
  <si>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</si>
  <si>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</si>
  <si>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</si>
  <si>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</si>
  <si>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</si>
  <si>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</si>
  <si>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</si>
  <si>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</si>
  <si>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</si>
  <si>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</si>
  <si>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</si>
  <si>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</si>
  <si>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</si>
  <si>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</si>
  <si>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</si>
  <si>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</si>
  <si>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</si>
  <si>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</si>
  <si>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</si>
  <si>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</si>
  <si>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</si>
  <si>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</si>
  <si>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</si>
  <si>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</si>
  <si>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</si>
  <si>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</si>
  <si>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</si>
  <si>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</si>
  <si>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</si>
  <si>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</si>
  <si>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</si>
  <si>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</si>
  <si>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</si>
  <si>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</si>
  <si>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</si>
  <si>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</si>
  <si>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</si>
  <si>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</si>
  <si>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</si>
  <si>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</si>
  <si>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</si>
  <si>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</si>
  <si>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</si>
  <si>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</si>
  <si>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</si>
  <si>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</si>
  <si>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</si>
  <si>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</si>
  <si>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</si>
  <si>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</si>
  <si>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</si>
  <si>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</si>
  <si>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</si>
  <si>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</si>
  <si>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</si>
  <si>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</si>
  <si>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</si>
  <si>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</si>
  <si>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</si>
  <si>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</si>
  <si>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</si>
  <si>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</si>
  <si>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</si>
  <si>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</si>
  <si>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</si>
  <si>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</si>
  <si>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</si>
  <si>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</si>
  <si>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</si>
  <si>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</si>
  <si>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</si>
  <si>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</si>
  <si>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</si>
  <si>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</si>
  <si>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</si>
  <si>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</si>
  <si>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</si>
  <si>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</si>
  <si>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</si>
  <si>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</si>
  <si>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</si>
  <si>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</si>
  <si>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</si>
  <si>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</si>
  <si>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</si>
  <si>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</si>
  <si>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</si>
  <si>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</si>
  <si>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</si>
  <si>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</si>
  <si>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</si>
  <si>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</si>
  <si>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</si>
  <si>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</si>
  <si>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</si>
  <si>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</si>
  <si>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</si>
  <si>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</si>
  <si>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</si>
  <si>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</si>
  <si>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</si>
  <si>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</si>
  <si>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</si>
  <si>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</si>
  <si>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</si>
  <si>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</si>
  <si>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</si>
  <si>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</si>
  <si>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</si>
  <si>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</si>
  <si>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</si>
  <si>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</si>
  <si>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</si>
  <si>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</si>
  <si>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</si>
  <si>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</si>
  <si>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</si>
  <si>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</si>
  <si>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</si>
  <si>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</si>
  <si>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</si>
  <si>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</si>
  <si>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</si>
  <si>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</si>
  <si>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</si>
  <si>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</si>
  <si>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</si>
  <si>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</si>
  <si>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</si>
  <si>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</si>
  <si>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</si>
  <si>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</si>
  <si>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</si>
  <si>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</si>
  <si>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</si>
  <si>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</si>
  <si>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</si>
  <si>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</si>
  <si>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</si>
  <si>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</si>
  <si>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</si>
  <si>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</si>
  <si>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</si>
  <si>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</si>
  <si>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</si>
  <si>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</si>
  <si>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</si>
  <si>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</si>
  <si>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</si>
  <si>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</si>
  <si>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</si>
  <si>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</si>
  <si>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</si>
  <si>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</si>
  <si>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</si>
  <si>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</si>
  <si>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</si>
  <si>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</si>
  <si>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</si>
  <si>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</si>
  <si>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</si>
  <si>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</si>
  <si>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</si>
  <si>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CORTE DIAMANTADO SEGMENTADO PARA CONCRETO, DIAMETRO DE 110 MM, FURO DE 20 MM                                                                                                                                                                                                                                                                                                                                                                                                                     </t>
  </si>
  <si>
    <t xml:space="preserve">DISCO DE CORTE DIAMANTADO SEGMENTADO PARA CONCRETO, DIAMETRO DE 350 MM, FURO DE 1 " (14 X 1 ")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</si>
  <si>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</si>
  <si>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</si>
  <si>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</si>
  <si>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</si>
  <si>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</si>
  <si>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</si>
  <si>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</si>
  <si>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</si>
  <si>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</si>
  <si>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</si>
  <si>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</si>
  <si>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</si>
  <si>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</si>
  <si>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</si>
  <si>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</si>
  <si>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</si>
  <si>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</si>
  <si>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</si>
  <si>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</si>
  <si>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</si>
  <si>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</si>
  <si>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</si>
  <si>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</si>
  <si>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</si>
  <si>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</si>
  <si>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</si>
  <si>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</si>
  <si>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</si>
  <si>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</si>
  <si>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</si>
  <si>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</si>
  <si>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</si>
  <si>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</si>
  <si>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</si>
  <si>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</si>
  <si>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</si>
  <si>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</si>
  <si>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</si>
  <si>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</si>
  <si>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</si>
  <si>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</si>
  <si>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</si>
  <si>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</si>
  <si>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</si>
  <si>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</si>
  <si>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</si>
  <si>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</si>
  <si>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</si>
  <si>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</si>
  <si>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</si>
  <si>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</si>
  <si>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</si>
  <si>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</si>
  <si>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</si>
  <si>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</si>
  <si>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</si>
  <si>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</si>
  <si>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</si>
  <si>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</si>
  <si>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</si>
  <si>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</si>
  <si>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</si>
  <si>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</si>
  <si>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</si>
  <si>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</si>
  <si>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</si>
  <si>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</si>
  <si>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</si>
  <si>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</si>
  <si>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</si>
  <si>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</si>
  <si>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</si>
  <si>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</si>
  <si>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</si>
  <si>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</si>
  <si>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</si>
  <si>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</si>
  <si>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</si>
  <si>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</si>
  <si>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</si>
  <si>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</si>
  <si>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</si>
  <si>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</si>
  <si>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</si>
  <si>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</si>
  <si>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</si>
  <si>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</si>
  <si>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</si>
  <si>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</si>
  <si>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</si>
  <si>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</si>
  <si>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</si>
  <si>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</si>
  <si>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</si>
  <si>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</si>
  <si>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</si>
  <si>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</si>
  <si>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</si>
  <si>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</si>
  <si>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</si>
  <si>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</si>
  <si>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</si>
  <si>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</si>
  <si>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</si>
  <si>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</si>
  <si>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</si>
  <si>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</si>
  <si>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</si>
  <si>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</si>
  <si>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</si>
  <si>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</si>
  <si>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</si>
  <si>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</si>
  <si>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</si>
  <si>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</si>
  <si>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</si>
  <si>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</si>
  <si>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</si>
  <si>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</si>
  <si>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</si>
  <si>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</si>
  <si>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</si>
  <si>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</si>
  <si>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</si>
  <si>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</si>
  <si>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</si>
  <si>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</si>
  <si>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</si>
  <si>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</si>
  <si>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</si>
  <si>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</si>
  <si>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</si>
  <si>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</si>
  <si>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</si>
  <si>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</si>
  <si>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</si>
  <si>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</si>
  <si>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</si>
  <si>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</si>
  <si>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</si>
  <si>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</si>
  <si>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</si>
  <si>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</si>
  <si>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</si>
  <si>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</si>
  <si>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</si>
  <si>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</si>
  <si>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</si>
  <si>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</si>
  <si>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</si>
  <si>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</si>
  <si>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</si>
  <si>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</si>
  <si>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</si>
  <si>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</si>
  <si>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</si>
  <si>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</si>
  <si>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</si>
  <si>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</si>
  <si>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</si>
  <si>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</si>
  <si>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</si>
  <si>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</si>
  <si>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</si>
  <si>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</si>
  <si>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</si>
  <si>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</si>
  <si>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</si>
  <si>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</si>
  <si>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</si>
  <si>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</si>
  <si>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</si>
  <si>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</si>
  <si>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</si>
  <si>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</si>
  <si>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</si>
  <si>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</si>
  <si>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</si>
  <si>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</si>
  <si>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</si>
  <si>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</si>
  <si>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</si>
  <si>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</si>
  <si>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</si>
  <si>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</si>
  <si>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</si>
  <si>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</si>
  <si>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</si>
  <si>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</si>
  <si>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</si>
  <si>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</si>
  <si>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</si>
  <si>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</si>
  <si>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</si>
  <si>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</si>
  <si>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</si>
  <si>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</si>
  <si>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</si>
  <si>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</si>
  <si>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</si>
  <si>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</si>
  <si>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</si>
  <si>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</si>
  <si>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</si>
  <si>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</si>
  <si>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</si>
  <si>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</si>
  <si>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</si>
  <si>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</si>
  <si>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</si>
  <si>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</si>
  <si>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</si>
  <si>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</si>
  <si>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</si>
  <si>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</si>
  <si>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</si>
  <si>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</si>
  <si>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</si>
  <si>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</si>
  <si>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</si>
  <si>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</si>
  <si>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</si>
  <si>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</si>
  <si>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</si>
  <si>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</si>
  <si>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</si>
  <si>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</si>
  <si>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</si>
  <si>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</si>
  <si>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</si>
  <si>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</si>
  <si>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</si>
  <si>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</si>
  <si>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</si>
  <si>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</si>
  <si>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</si>
  <si>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</si>
  <si>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</si>
  <si>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</si>
  <si>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</si>
  <si>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</si>
  <si>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</si>
  <si>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</si>
  <si>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</si>
  <si>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</si>
  <si>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</si>
  <si>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</si>
  <si>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</si>
  <si>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</si>
  <si>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</si>
  <si>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</si>
  <si>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</si>
  <si>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</si>
  <si>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</si>
  <si>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</si>
  <si>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</si>
  <si>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</si>
  <si>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</si>
  <si>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</si>
  <si>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</si>
  <si>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</si>
  <si>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</si>
  <si>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</si>
  <si>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</si>
  <si>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</si>
  <si>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</si>
  <si>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</si>
  <si>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</si>
  <si>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</si>
  <si>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</si>
  <si>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</si>
  <si>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</si>
  <si>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</si>
  <si>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</si>
  <si>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</si>
  <si>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</si>
  <si>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</si>
  <si>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</si>
  <si>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</si>
  <si>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</si>
  <si>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</si>
  <si>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</si>
  <si>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</si>
  <si>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</si>
  <si>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</si>
  <si>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</si>
  <si>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</si>
  <si>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</si>
  <si>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</si>
  <si>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</si>
  <si>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</si>
  <si>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</si>
  <si>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</si>
  <si>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</si>
  <si>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</si>
  <si>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</si>
  <si>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</si>
  <si>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</si>
  <si>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</si>
  <si>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</si>
  <si>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</si>
  <si>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</si>
  <si>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</si>
  <si>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</si>
  <si>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</si>
  <si>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</si>
  <si>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</si>
  <si>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</si>
  <si>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</si>
  <si>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</si>
  <si>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</si>
  <si>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</si>
  <si>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</si>
  <si>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</si>
  <si>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</si>
  <si>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</si>
  <si>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</si>
  <si>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</si>
  <si>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</si>
  <si>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</si>
  <si>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</si>
  <si>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</si>
  <si>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</si>
  <si>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</si>
  <si>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</si>
  <si>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</si>
  <si>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</si>
  <si>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</si>
  <si>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</si>
  <si>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</si>
  <si>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</si>
  <si>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</si>
  <si>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</si>
  <si>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</si>
  <si>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</si>
  <si>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</si>
  <si>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</si>
  <si>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</si>
  <si>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</si>
  <si>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</si>
  <si>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</si>
  <si>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</si>
  <si>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</si>
  <si>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</si>
  <si>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</si>
  <si>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</si>
  <si>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</si>
  <si>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</si>
  <si>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</si>
  <si>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</si>
  <si>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</si>
  <si>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</si>
  <si>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</si>
  <si>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</si>
  <si>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</si>
  <si>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</si>
  <si>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</si>
  <si>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</si>
  <si>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</si>
  <si>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</si>
  <si>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</si>
  <si>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</si>
  <si>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</si>
  <si>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</si>
  <si>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</si>
  <si>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</si>
  <si>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</si>
  <si>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</si>
  <si>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</si>
  <si>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</si>
  <si>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</si>
  <si>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</si>
  <si>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</si>
  <si>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</si>
  <si>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</si>
  <si>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</si>
  <si>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</si>
  <si>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</si>
  <si>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</si>
  <si>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</si>
  <si>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</si>
  <si>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</si>
  <si>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</si>
  <si>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</si>
  <si>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</si>
  <si>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</si>
  <si>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</si>
  <si>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</si>
  <si>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</si>
  <si>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</si>
  <si>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</si>
  <si>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</si>
  <si>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</si>
  <si>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</si>
  <si>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</si>
  <si>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</si>
  <si>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</si>
  <si>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</si>
  <si>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</si>
  <si>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</si>
  <si>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</si>
  <si>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</si>
  <si>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</si>
  <si>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</si>
  <si>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</si>
  <si>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</si>
  <si>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</si>
  <si>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</si>
  <si>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</si>
  <si>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</si>
  <si>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</si>
  <si>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</si>
  <si>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</si>
  <si>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</si>
  <si>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</si>
  <si>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</si>
  <si>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</si>
  <si>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</si>
  <si>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</si>
  <si>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</si>
  <si>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</si>
  <si>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</si>
  <si>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</si>
  <si>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</si>
  <si>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</si>
  <si>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</si>
  <si>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</si>
  <si>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</si>
  <si>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</si>
  <si>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</si>
  <si>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</si>
  <si>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</si>
  <si>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</si>
  <si>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</si>
  <si>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</si>
  <si>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</si>
  <si>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</si>
  <si>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</si>
  <si>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</si>
  <si>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</si>
  <si>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</si>
  <si>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</si>
  <si>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</si>
  <si>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</si>
  <si>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</si>
  <si>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</si>
  <si>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</si>
  <si>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</si>
  <si>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</si>
  <si>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</si>
  <si>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</si>
  <si>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</si>
  <si>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</si>
  <si>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</si>
  <si>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</si>
  <si>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</si>
  <si>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</si>
  <si>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</si>
  <si>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</si>
  <si>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</si>
  <si>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</si>
  <si>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</si>
  <si>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</si>
  <si>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</si>
  <si>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</si>
  <si>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</si>
  <si>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</si>
  <si>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</si>
  <si>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</si>
  <si>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</si>
  <si>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</si>
  <si>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</si>
  <si>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</si>
  <si>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</si>
  <si>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</si>
  <si>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</si>
  <si>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</si>
  <si>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</si>
  <si>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</si>
  <si>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</si>
  <si>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</si>
  <si>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</si>
  <si>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</si>
  <si>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</si>
  <si>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</si>
  <si>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</si>
  <si>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</si>
  <si>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</si>
  <si>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</si>
  <si>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</si>
  <si>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</si>
  <si>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</si>
  <si>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</si>
  <si>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</si>
  <si>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</si>
  <si>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</si>
  <si>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</si>
  <si>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</si>
  <si>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</si>
  <si>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</si>
  <si>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</si>
  <si>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</si>
  <si>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</si>
  <si>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</si>
  <si>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</si>
  <si>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</si>
  <si>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</si>
  <si>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</si>
  <si>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</si>
  <si>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</si>
  <si>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</si>
  <si>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</si>
  <si>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</si>
  <si>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</si>
  <si>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</si>
  <si>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</si>
  <si>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</si>
  <si>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</si>
  <si>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</si>
  <si>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</si>
  <si>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</si>
  <si>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</si>
  <si>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</si>
  <si>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</si>
  <si>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</si>
  <si>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</si>
  <si>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</si>
  <si>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</si>
  <si>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</si>
  <si>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</si>
  <si>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</si>
  <si>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</si>
  <si>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</si>
  <si>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</si>
  <si>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</si>
  <si>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</si>
  <si>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</si>
  <si>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</si>
  <si>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</si>
  <si>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</si>
  <si>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</si>
  <si>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</si>
  <si>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</si>
  <si>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</si>
  <si>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MOTOR DIESEL POTENCIA 170 KVA                                                                                                                                                                                                                                                                                                                                                                                                                                                 </t>
  </si>
  <si>
    <t xml:space="preserve">GRUPO GERADOR ESTACIONARIO, POTENCIA 150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</si>
  <si>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</si>
  <si>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</si>
  <si>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</si>
  <si>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</si>
  <si>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</si>
  <si>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</si>
  <si>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</si>
  <si>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</si>
  <si>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</si>
  <si>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</si>
  <si>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</si>
  <si>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</si>
  <si>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</si>
  <si>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</si>
  <si>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</si>
  <si>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</si>
  <si>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</si>
  <si>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</si>
  <si>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</si>
  <si>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</si>
  <si>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</si>
  <si>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</si>
  <si>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</si>
  <si>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</si>
  <si>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</si>
  <si>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</si>
  <si>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</si>
  <si>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</si>
  <si>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</si>
  <si>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</si>
  <si>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</si>
  <si>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</si>
  <si>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</si>
  <si>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</si>
  <si>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</si>
  <si>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</si>
  <si>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</si>
  <si>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</si>
  <si>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</si>
  <si>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</si>
  <si>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</si>
  <si>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</si>
  <si>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</si>
  <si>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</si>
  <si>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</si>
  <si>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</si>
  <si>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</si>
  <si>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</si>
  <si>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</si>
  <si>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</si>
  <si>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</si>
  <si>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</si>
  <si>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</si>
  <si>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</si>
  <si>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</si>
  <si>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</si>
  <si>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</si>
  <si>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</si>
  <si>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</si>
  <si>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</si>
  <si>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</si>
  <si>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</si>
  <si>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</si>
  <si>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</si>
  <si>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</si>
  <si>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</si>
  <si>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</si>
  <si>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</si>
  <si>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</si>
  <si>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</si>
  <si>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</si>
  <si>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</si>
  <si>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</si>
  <si>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</si>
  <si>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</si>
  <si>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</si>
  <si>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</si>
  <si>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</si>
  <si>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</si>
  <si>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</si>
  <si>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</si>
  <si>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</si>
  <si>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</si>
  <si>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</si>
  <si>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</si>
  <si>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</si>
  <si>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</si>
  <si>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</si>
  <si>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</si>
  <si>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</si>
  <si>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</si>
  <si>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</si>
  <si>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</si>
  <si>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</si>
  <si>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</si>
  <si>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</si>
  <si>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</si>
  <si>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</si>
  <si>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</si>
  <si>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</si>
  <si>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</si>
  <si>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</si>
  <si>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</si>
  <si>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</si>
  <si>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</si>
  <si>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</si>
  <si>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</si>
  <si>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</si>
  <si>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</si>
  <si>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</si>
  <si>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</si>
  <si>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</si>
  <si>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</si>
  <si>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</si>
  <si>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</si>
  <si>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</si>
  <si>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</si>
  <si>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</si>
  <si>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</si>
  <si>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</si>
  <si>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</si>
  <si>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</si>
  <si>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</si>
  <si>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</si>
  <si>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</si>
  <si>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</si>
  <si>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</si>
  <si>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</si>
  <si>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</si>
  <si>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</si>
  <si>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</si>
  <si>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</si>
  <si>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</si>
  <si>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</si>
  <si>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</si>
  <si>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</si>
  <si>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</si>
  <si>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</si>
  <si>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</si>
  <si>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</si>
  <si>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</si>
  <si>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</si>
  <si>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</si>
  <si>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</si>
  <si>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</si>
  <si>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</si>
  <si>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</si>
  <si>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</si>
  <si>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</si>
  <si>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</si>
  <si>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</si>
  <si>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</si>
  <si>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</si>
  <si>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</si>
  <si>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</si>
  <si>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</si>
  <si>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</si>
  <si>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</si>
  <si>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</si>
  <si>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</si>
  <si>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</si>
  <si>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</si>
  <si>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</si>
  <si>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</si>
  <si>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</si>
  <si>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</si>
  <si>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</si>
  <si>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</si>
  <si>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</si>
  <si>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</si>
  <si>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</si>
  <si>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</si>
  <si>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</si>
  <si>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</si>
  <si>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</si>
  <si>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</si>
  <si>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</si>
  <si>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</si>
  <si>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</si>
  <si>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</si>
  <si>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</si>
  <si>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</si>
  <si>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</si>
  <si>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</si>
  <si>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</si>
  <si>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</si>
  <si>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</si>
  <si>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</si>
  <si>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</si>
  <si>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</si>
  <si>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</si>
  <si>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</si>
  <si>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</si>
  <si>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</si>
  <si>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</si>
  <si>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</si>
  <si>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</si>
  <si>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</si>
  <si>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</si>
  <si>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</si>
  <si>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</si>
  <si>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</si>
  <si>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</si>
  <si>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</si>
  <si>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</si>
  <si>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</si>
  <si>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</si>
  <si>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</si>
  <si>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</si>
  <si>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</si>
  <si>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</si>
  <si>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</si>
  <si>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</si>
  <si>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</si>
  <si>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</si>
  <si>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</si>
  <si>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</si>
  <si>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</si>
  <si>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</si>
  <si>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</si>
  <si>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</si>
  <si>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</si>
  <si>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</si>
  <si>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</si>
  <si>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</si>
  <si>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</si>
  <si>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</si>
  <si>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</si>
  <si>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</si>
  <si>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</si>
  <si>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</si>
  <si>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</si>
  <si>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</si>
  <si>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</si>
  <si>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</si>
  <si>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</si>
  <si>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</si>
  <si>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</si>
  <si>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</si>
  <si>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</si>
  <si>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</si>
  <si>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</si>
  <si>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</si>
  <si>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</si>
  <si>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</si>
  <si>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</si>
  <si>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</si>
  <si>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</si>
  <si>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</si>
  <si>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</si>
  <si>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</si>
  <si>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</si>
  <si>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</si>
  <si>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</si>
  <si>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</si>
  <si>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</si>
  <si>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</si>
  <si>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</si>
  <si>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</si>
  <si>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</si>
  <si>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</si>
  <si>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</si>
  <si>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</si>
  <si>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</si>
  <si>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</si>
  <si>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</si>
  <si>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</si>
  <si>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</si>
  <si>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</si>
  <si>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</si>
  <si>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</si>
  <si>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</si>
  <si>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</si>
  <si>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</si>
  <si>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</si>
  <si>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</si>
  <si>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</si>
  <si>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</si>
  <si>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</si>
  <si>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</si>
  <si>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</si>
  <si>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</si>
  <si>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</si>
  <si>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</si>
  <si>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</si>
  <si>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</si>
  <si>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</si>
  <si>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</si>
  <si>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</si>
  <si>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</si>
  <si>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</si>
  <si>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</si>
  <si>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</si>
  <si>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</si>
  <si>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</si>
  <si>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</si>
  <si>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</si>
  <si>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</si>
  <si>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</si>
  <si>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</si>
  <si>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</si>
  <si>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</si>
  <si>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</si>
  <si>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</si>
  <si>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</si>
  <si>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</si>
  <si>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</si>
  <si>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</si>
  <si>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</si>
  <si>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</si>
  <si>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</si>
  <si>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</si>
  <si>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</si>
  <si>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</si>
  <si>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</si>
  <si>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</si>
  <si>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</si>
  <si>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</si>
  <si>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</si>
  <si>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</si>
  <si>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</si>
  <si>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</si>
  <si>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</si>
  <si>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</si>
  <si>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</si>
  <si>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</si>
  <si>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</si>
  <si>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</si>
  <si>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</si>
  <si>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</si>
  <si>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</si>
  <si>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</si>
  <si>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</si>
  <si>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</si>
  <si>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</si>
  <si>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</si>
  <si>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</si>
  <si>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</si>
  <si>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</si>
  <si>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</si>
  <si>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</si>
  <si>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</si>
  <si>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</si>
  <si>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</si>
  <si>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</si>
  <si>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</si>
  <si>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</si>
  <si>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</si>
  <si>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</si>
  <si>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</si>
  <si>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</si>
  <si>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</si>
  <si>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</si>
  <si>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</si>
  <si>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</si>
  <si>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</si>
  <si>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</si>
  <si>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</si>
  <si>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</si>
  <si>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</si>
  <si>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</si>
  <si>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</si>
  <si>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</si>
  <si>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</si>
  <si>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</si>
  <si>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</si>
  <si>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</si>
  <si>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</si>
  <si>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</si>
  <si>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</si>
  <si>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</si>
  <si>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</si>
  <si>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</si>
  <si>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</si>
  <si>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</si>
  <si>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</si>
  <si>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</si>
  <si>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</si>
  <si>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</si>
  <si>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</si>
  <si>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</si>
  <si>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</si>
  <si>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</si>
  <si>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</si>
  <si>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</si>
  <si>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</si>
  <si>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</si>
  <si>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</si>
  <si>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</si>
  <si>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</si>
  <si>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</si>
  <si>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</si>
  <si>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</si>
  <si>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</si>
  <si>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</si>
  <si>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</si>
  <si>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</si>
  <si>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</si>
  <si>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</si>
  <si>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</si>
  <si>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</si>
  <si>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</si>
  <si>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</si>
  <si>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</si>
  <si>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</si>
  <si>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</si>
  <si>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</si>
  <si>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</si>
  <si>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</si>
  <si>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</si>
  <si>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</si>
  <si>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</si>
  <si>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</si>
  <si>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</si>
  <si>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</si>
  <si>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</si>
  <si>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</si>
  <si>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</si>
  <si>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</si>
  <si>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</si>
  <si>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</si>
  <si>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</si>
  <si>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</si>
  <si>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</si>
  <si>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</si>
  <si>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</si>
  <si>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</si>
  <si>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</si>
  <si>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</si>
  <si>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</si>
  <si>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</si>
  <si>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</si>
  <si>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</si>
  <si>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</si>
  <si>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</si>
  <si>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</si>
  <si>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</si>
  <si>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</si>
  <si>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</si>
  <si>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</si>
  <si>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</si>
  <si>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</si>
  <si>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</si>
  <si>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</si>
  <si>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</si>
  <si>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</si>
  <si>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</si>
  <si>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</si>
  <si>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</si>
  <si>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</si>
  <si>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</si>
  <si>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</si>
  <si>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</si>
  <si>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</si>
  <si>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</si>
  <si>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</si>
  <si>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</si>
  <si>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</si>
  <si>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</si>
  <si>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</si>
  <si>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</si>
  <si>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</si>
  <si>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</si>
  <si>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</si>
  <si>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</si>
  <si>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</si>
  <si>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</si>
  <si>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</si>
  <si>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</si>
  <si>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</si>
  <si>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</si>
  <si>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</si>
  <si>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</si>
  <si>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</si>
  <si>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</si>
  <si>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</si>
  <si>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</si>
  <si>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</si>
  <si>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</si>
  <si>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</si>
  <si>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</si>
  <si>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</si>
  <si>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</si>
  <si>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</si>
  <si>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</si>
  <si>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</si>
  <si>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</si>
  <si>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</si>
  <si>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</si>
  <si>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</si>
  <si>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</si>
  <si>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</si>
  <si>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</si>
  <si>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</si>
  <si>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</si>
  <si>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</si>
  <si>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</si>
  <si>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</si>
  <si>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</si>
  <si>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</si>
  <si>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</si>
  <si>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</si>
  <si>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</si>
  <si>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</si>
  <si>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</si>
  <si>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</si>
  <si>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</si>
  <si>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</si>
  <si>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</si>
  <si>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</si>
  <si>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</si>
  <si>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</si>
  <si>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</si>
  <si>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</si>
  <si>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</si>
  <si>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</si>
  <si>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</si>
  <si>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</si>
  <si>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</si>
  <si>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</si>
  <si>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</si>
  <si>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</si>
  <si>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</si>
  <si>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</si>
  <si>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</si>
  <si>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</si>
  <si>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</si>
  <si>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</si>
  <si>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</si>
  <si>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</si>
  <si>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</si>
  <si>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</si>
  <si>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</si>
  <si>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</si>
  <si>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</si>
  <si>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</si>
  <si>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</si>
  <si>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</si>
  <si>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</si>
  <si>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</si>
  <si>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</si>
  <si>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</si>
  <si>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</si>
  <si>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</si>
  <si>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</si>
  <si>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</si>
  <si>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</si>
  <si>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</si>
  <si>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</si>
  <si>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</si>
  <si>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</si>
  <si>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</si>
  <si>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</si>
  <si>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</si>
  <si>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</si>
  <si>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</si>
  <si>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</si>
  <si>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</si>
  <si>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</si>
  <si>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</si>
  <si>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</si>
  <si>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</si>
  <si>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</si>
  <si>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</si>
  <si>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</si>
  <si>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</si>
  <si>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</si>
  <si>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</si>
  <si>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</si>
  <si>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</si>
  <si>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</si>
  <si>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</si>
  <si>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</si>
  <si>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</si>
  <si>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</si>
  <si>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</si>
  <si>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</si>
  <si>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</si>
  <si>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</si>
  <si>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</si>
  <si>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</si>
  <si>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</si>
  <si>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</si>
  <si>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</si>
  <si>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</si>
  <si>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</si>
  <si>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</si>
  <si>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</si>
  <si>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</si>
  <si>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</si>
  <si>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</si>
  <si>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</si>
  <si>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</si>
  <si>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</si>
  <si>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</si>
  <si>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</si>
  <si>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</si>
  <si>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</si>
  <si>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</si>
  <si>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</si>
  <si>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</si>
  <si>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</si>
  <si>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</si>
  <si>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</si>
  <si>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</si>
  <si>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</si>
  <si>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</si>
  <si>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</si>
  <si>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</si>
  <si>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</si>
  <si>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</si>
  <si>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</si>
  <si>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</si>
  <si>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</si>
  <si>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</si>
  <si>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</si>
  <si>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</si>
  <si>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</si>
  <si>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</si>
  <si>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</si>
  <si>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</si>
  <si>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</si>
  <si>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</si>
  <si>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</si>
  <si>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</si>
  <si>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</si>
  <si>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</si>
  <si>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</si>
  <si>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</si>
  <si>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</si>
  <si>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</si>
  <si>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</si>
  <si>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</si>
  <si>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</si>
  <si>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</si>
  <si>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</si>
  <si>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</si>
  <si>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</si>
  <si>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</si>
  <si>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</si>
  <si>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</si>
  <si>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</si>
  <si>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</si>
  <si>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</si>
  <si>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</si>
  <si>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</si>
  <si>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</si>
  <si>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</si>
  <si>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</si>
  <si>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</si>
  <si>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</si>
  <si>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</si>
  <si>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</si>
  <si>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</si>
  <si>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</si>
  <si>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</si>
  <si>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</si>
  <si>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</si>
  <si>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</si>
  <si>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</si>
  <si>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</si>
  <si>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</si>
  <si>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</si>
  <si>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</si>
  <si>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</si>
  <si>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</si>
  <si>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</si>
  <si>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</si>
  <si>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</si>
  <si>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</si>
  <si>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</si>
  <si>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</si>
  <si>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</si>
  <si>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</si>
  <si>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</si>
  <si>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</si>
  <si>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</si>
  <si>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</si>
  <si>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</si>
  <si>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</si>
  <si>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</si>
  <si>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</si>
  <si>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</si>
  <si>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</si>
  <si>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</si>
  <si>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</si>
  <si>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</si>
  <si>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</si>
  <si>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</si>
  <si>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</si>
  <si>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</si>
  <si>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</si>
  <si>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</si>
  <si>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</si>
  <si>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</si>
  <si>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</si>
  <si>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</si>
  <si>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</si>
  <si>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</si>
  <si>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</si>
  <si>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</si>
  <si>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</si>
  <si>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</si>
  <si>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</si>
  <si>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</si>
  <si>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</si>
  <si>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</si>
  <si>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</si>
  <si>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</si>
  <si>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</si>
  <si>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</si>
  <si>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</si>
  <si>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</si>
  <si>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</si>
  <si>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</si>
  <si>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</si>
  <si>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</si>
  <si>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</si>
  <si>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</si>
  <si>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</si>
  <si>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</si>
  <si>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</si>
  <si>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</si>
  <si>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</si>
  <si>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</si>
  <si>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</si>
  <si>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</si>
  <si>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</si>
  <si>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</si>
  <si>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</si>
  <si>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</si>
  <si>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</si>
  <si>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</si>
  <si>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</si>
  <si>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</si>
  <si>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</si>
  <si>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</si>
  <si>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</si>
  <si>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</si>
  <si>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</si>
  <si>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</si>
  <si>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</si>
  <si>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</si>
  <si>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</si>
  <si>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</si>
  <si>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</si>
  <si>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</si>
  <si>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</si>
  <si>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VIDRO                                                                                                                                                                                                                                                                                                                                                                                                                                                                                          </t>
  </si>
  <si>
    <t xml:space="preserve">MASSA PLASTICA PARA MARMORE/GRANITO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</si>
  <si>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</si>
  <si>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</si>
  <si>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</si>
  <si>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</si>
  <si>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</si>
  <si>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</si>
  <si>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</si>
  <si>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</si>
  <si>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</si>
  <si>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</si>
  <si>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</si>
  <si>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</si>
  <si>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</si>
  <si>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</si>
  <si>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</si>
  <si>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</si>
  <si>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</si>
  <si>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</si>
  <si>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</si>
  <si>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</si>
  <si>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</si>
  <si>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</si>
  <si>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</si>
  <si>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</si>
  <si>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</si>
  <si>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</si>
  <si>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</si>
  <si>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</si>
  <si>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</si>
  <si>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</si>
  <si>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</si>
  <si>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</si>
  <si>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</si>
  <si>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</si>
  <si>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</si>
  <si>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</si>
  <si>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</si>
  <si>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</si>
  <si>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</si>
  <si>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</si>
  <si>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</si>
  <si>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</si>
  <si>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</si>
  <si>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</si>
  <si>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</si>
  <si>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</si>
  <si>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</si>
  <si>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</si>
  <si>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</si>
  <si>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</si>
  <si>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</si>
  <si>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</si>
  <si>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</si>
  <si>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</si>
  <si>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</si>
  <si>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</si>
  <si>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</si>
  <si>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</si>
  <si>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</si>
  <si>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</si>
  <si>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</si>
  <si>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</si>
  <si>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</si>
  <si>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</si>
  <si>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</si>
  <si>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</si>
  <si>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</si>
  <si>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</si>
  <si>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</si>
  <si>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</si>
  <si>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</si>
  <si>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</si>
  <si>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</si>
  <si>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</si>
  <si>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</si>
  <si>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</si>
  <si>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</si>
  <si>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</si>
  <si>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</si>
  <si>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</si>
  <si>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</si>
  <si>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</si>
  <si>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</si>
  <si>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</si>
  <si>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</si>
  <si>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</si>
  <si>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</si>
  <si>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</si>
  <si>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</si>
  <si>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</si>
  <si>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</si>
  <si>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</si>
  <si>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</si>
  <si>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</si>
  <si>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</si>
  <si>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</si>
  <si>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</si>
  <si>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</si>
  <si>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</si>
  <si>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</si>
  <si>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</si>
  <si>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</si>
  <si>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</si>
  <si>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</si>
  <si>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</si>
  <si>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</si>
  <si>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</si>
  <si>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</si>
  <si>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</si>
  <si>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</si>
  <si>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</si>
  <si>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</si>
  <si>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</si>
  <si>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</si>
  <si>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</si>
  <si>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</si>
  <si>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</si>
  <si>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</si>
  <si>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</si>
  <si>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</si>
  <si>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</si>
  <si>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</si>
  <si>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</si>
  <si>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</si>
  <si>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</si>
  <si>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</si>
  <si>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</si>
  <si>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</si>
  <si>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</si>
  <si>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</si>
  <si>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</si>
  <si>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</si>
  <si>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</si>
  <si>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</si>
  <si>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</si>
  <si>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</si>
  <si>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</si>
  <si>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</si>
  <si>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</si>
  <si>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</si>
  <si>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</si>
  <si>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</si>
  <si>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</si>
  <si>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</si>
  <si>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</si>
  <si>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</si>
  <si>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</si>
  <si>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</si>
  <si>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</si>
  <si>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</si>
  <si>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</si>
  <si>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</si>
  <si>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</si>
  <si>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</si>
  <si>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</si>
  <si>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</si>
  <si>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</si>
  <si>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</si>
  <si>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</si>
  <si>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</si>
  <si>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</si>
  <si>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</si>
  <si>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</si>
  <si>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</si>
  <si>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</si>
  <si>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</si>
  <si>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</si>
  <si>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</si>
  <si>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</si>
  <si>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</si>
  <si>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</si>
  <si>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</si>
  <si>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</si>
  <si>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</si>
  <si>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</si>
  <si>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</si>
  <si>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</si>
  <si>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</si>
  <si>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</si>
  <si>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</si>
  <si>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</si>
  <si>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</si>
  <si>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</si>
  <si>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</si>
  <si>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</si>
  <si>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</si>
  <si>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</si>
  <si>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</si>
  <si>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</si>
  <si>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</si>
  <si>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</si>
  <si>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</si>
  <si>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</si>
  <si>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</si>
  <si>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</si>
  <si>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</si>
  <si>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</si>
  <si>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</si>
  <si>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</si>
  <si>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</si>
  <si>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</si>
  <si>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</si>
  <si>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</si>
  <si>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</si>
  <si>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</si>
  <si>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</si>
  <si>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</si>
  <si>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</si>
  <si>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</si>
  <si>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</si>
  <si>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</si>
  <si>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</si>
  <si>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</si>
  <si>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</si>
  <si>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</si>
  <si>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</si>
  <si>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</si>
  <si>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</si>
  <si>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</si>
  <si>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</si>
  <si>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</si>
  <si>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</si>
  <si>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</si>
  <si>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</si>
  <si>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</si>
  <si>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</si>
  <si>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</si>
  <si>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</si>
  <si>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</si>
  <si>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</si>
  <si>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</si>
  <si>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</si>
  <si>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</si>
  <si>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</si>
  <si>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</si>
  <si>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</si>
  <si>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</si>
  <si>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</si>
  <si>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</si>
  <si>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</si>
  <si>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</si>
  <si>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</si>
  <si>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</si>
  <si>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</si>
  <si>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</si>
  <si>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</si>
  <si>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</si>
  <si>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</si>
  <si>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</si>
  <si>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</si>
  <si>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</si>
  <si>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</si>
  <si>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</si>
  <si>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</si>
  <si>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</si>
  <si>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</si>
  <si>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</si>
  <si>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</si>
  <si>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</si>
  <si>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</si>
  <si>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</si>
  <si>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</si>
  <si>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</si>
  <si>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</si>
  <si>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</si>
  <si>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</si>
  <si>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</si>
  <si>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</si>
  <si>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</si>
  <si>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</si>
  <si>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</si>
  <si>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</si>
  <si>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</si>
  <si>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</si>
  <si>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</si>
  <si>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</si>
  <si>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</si>
  <si>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</si>
  <si>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</si>
  <si>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</si>
  <si>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</si>
  <si>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</si>
  <si>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</si>
  <si>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</si>
  <si>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</si>
  <si>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</si>
  <si>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</si>
  <si>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</si>
  <si>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</si>
  <si>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</si>
  <si>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</si>
  <si>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</si>
  <si>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</si>
  <si>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</si>
  <si>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</si>
  <si>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</si>
  <si>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</si>
  <si>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</si>
  <si>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</si>
  <si>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</si>
  <si>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</si>
  <si>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</si>
  <si>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</si>
  <si>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</si>
  <si>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</si>
  <si>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</si>
  <si>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</si>
  <si>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</si>
  <si>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</si>
  <si>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</si>
  <si>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</si>
  <si>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</si>
  <si>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</si>
  <si>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</si>
  <si>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</si>
  <si>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</si>
  <si>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</si>
  <si>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</si>
  <si>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</si>
  <si>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</si>
  <si>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</si>
  <si>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</si>
  <si>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</si>
  <si>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</si>
  <si>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</si>
  <si>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</si>
  <si>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</si>
  <si>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</si>
  <si>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</si>
  <si>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</si>
  <si>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</si>
  <si>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</si>
  <si>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</si>
  <si>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</si>
  <si>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</si>
  <si>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</si>
  <si>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</si>
  <si>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</si>
  <si>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</si>
  <si>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</si>
  <si>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</si>
  <si>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</si>
  <si>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</si>
  <si>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</si>
  <si>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</si>
  <si>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</si>
  <si>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</si>
  <si>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</si>
  <si>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</si>
  <si>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</si>
  <si>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</si>
  <si>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</si>
  <si>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</si>
  <si>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</si>
  <si>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</si>
  <si>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</si>
  <si>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</si>
  <si>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</si>
  <si>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</si>
  <si>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</si>
  <si>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</si>
  <si>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</si>
  <si>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</si>
  <si>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</si>
  <si>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</si>
  <si>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</si>
  <si>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</si>
  <si>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</si>
  <si>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</si>
  <si>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</si>
  <si>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</si>
  <si>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</si>
  <si>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</si>
  <si>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</si>
  <si>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</si>
  <si>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</si>
  <si>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</si>
  <si>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</si>
  <si>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</si>
  <si>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</si>
  <si>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</si>
  <si>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</si>
  <si>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</si>
  <si>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</si>
  <si>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</si>
  <si>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</si>
  <si>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</si>
  <si>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</si>
  <si>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</si>
  <si>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</si>
  <si>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</si>
  <si>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</si>
  <si>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</si>
  <si>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</si>
  <si>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</si>
  <si>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</si>
  <si>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</si>
  <si>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</si>
  <si>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</si>
  <si>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</si>
  <si>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</si>
  <si>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</si>
  <si>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</si>
  <si>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</si>
  <si>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</si>
  <si>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</si>
  <si>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</si>
  <si>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</si>
  <si>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</si>
  <si>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</si>
  <si>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</si>
  <si>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</si>
  <si>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</si>
  <si>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</si>
  <si>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</si>
  <si>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</si>
  <si>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</si>
  <si>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</si>
  <si>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</si>
  <si>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</si>
  <si>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</si>
  <si>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</si>
  <si>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</si>
  <si>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</si>
  <si>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</si>
  <si>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</si>
  <si>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</si>
  <si>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</si>
  <si>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</si>
  <si>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</si>
  <si>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</si>
  <si>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</si>
  <si>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</si>
  <si>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</si>
  <si>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</si>
  <si>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</si>
  <si>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</si>
  <si>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</si>
  <si>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</si>
  <si>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</si>
  <si>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</si>
  <si>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</si>
  <si>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</si>
  <si>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</si>
  <si>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</si>
  <si>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</si>
  <si>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</si>
  <si>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</si>
  <si>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</si>
  <si>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</si>
  <si>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</si>
  <si>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</si>
  <si>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</si>
  <si>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</si>
  <si>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</si>
  <si>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</si>
  <si>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</si>
  <si>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</si>
  <si>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</si>
  <si>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</si>
  <si>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</si>
  <si>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</si>
  <si>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</si>
  <si>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</si>
  <si>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</si>
  <si>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</si>
  <si>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</si>
  <si>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</si>
  <si>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</si>
  <si>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</si>
  <si>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</si>
  <si>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</si>
  <si>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</si>
  <si>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</si>
  <si>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</si>
  <si>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</si>
  <si>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</si>
  <si>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</si>
  <si>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</si>
  <si>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</si>
  <si>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</si>
  <si>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</si>
  <si>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</si>
  <si>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</si>
  <si>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</si>
  <si>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</si>
  <si>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</si>
  <si>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</si>
  <si>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</si>
  <si>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</si>
  <si>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</si>
  <si>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</si>
  <si>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</si>
  <si>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</si>
  <si>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</si>
  <si>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</si>
  <si>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</si>
  <si>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</si>
  <si>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</si>
  <si>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</si>
  <si>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</si>
  <si>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</si>
  <si>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</si>
  <si>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</si>
  <si>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</si>
  <si>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</si>
  <si>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</si>
  <si>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</si>
  <si>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</si>
  <si>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</si>
  <si>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</si>
  <si>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</si>
  <si>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</si>
  <si>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</si>
  <si>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</si>
  <si>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</si>
  <si>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</si>
  <si>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</si>
  <si>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</si>
  <si>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</si>
  <si>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</si>
  <si>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</si>
  <si>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</si>
  <si>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</si>
  <si>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</si>
  <si>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</si>
  <si>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</si>
  <si>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</si>
  <si>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</si>
  <si>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</si>
  <si>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</si>
  <si>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</si>
  <si>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</si>
  <si>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</si>
  <si>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</si>
  <si>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</si>
  <si>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</si>
  <si>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</si>
  <si>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</si>
  <si>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</si>
  <si>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</si>
  <si>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</si>
  <si>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</si>
  <si>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</si>
  <si>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</si>
  <si>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</si>
  <si>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</si>
  <si>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</si>
  <si>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</si>
  <si>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</si>
  <si>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</si>
  <si>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</si>
  <si>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</si>
  <si>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</si>
  <si>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</si>
  <si>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</si>
  <si>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</si>
  <si>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</si>
  <si>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</si>
  <si>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</si>
  <si>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</si>
  <si>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</si>
  <si>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</si>
  <si>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</si>
  <si>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</si>
  <si>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</si>
  <si>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</si>
  <si>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</si>
  <si>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</si>
  <si>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</si>
  <si>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</si>
  <si>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</si>
  <si>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</si>
  <si>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</si>
  <si>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</si>
  <si>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</si>
  <si>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</si>
  <si>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</si>
  <si>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</si>
  <si>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</si>
  <si>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</si>
  <si>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</si>
  <si>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</si>
  <si>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</si>
  <si>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</si>
  <si>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</si>
  <si>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</si>
  <si>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</si>
  <si>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</si>
  <si>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</si>
  <si>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</si>
  <si>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</si>
  <si>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</si>
  <si>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</si>
  <si>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</si>
  <si>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</si>
  <si>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</si>
  <si>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</si>
  <si>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</si>
  <si>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</si>
  <si>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</si>
  <si>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</si>
  <si>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</si>
  <si>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</si>
  <si>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</si>
  <si>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</si>
  <si>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</si>
  <si>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</si>
  <si>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</si>
  <si>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</si>
  <si>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</si>
  <si>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</si>
  <si>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</si>
  <si>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</si>
  <si>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</si>
  <si>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</si>
  <si>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</si>
  <si>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</si>
  <si>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</si>
  <si>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</si>
  <si>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</si>
  <si>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</si>
  <si>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</si>
  <si>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</si>
  <si>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</si>
  <si>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</si>
  <si>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</si>
  <si>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</si>
  <si>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</si>
  <si>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</si>
  <si>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</si>
  <si>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</si>
  <si>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</si>
  <si>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</si>
  <si>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</si>
  <si>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</si>
  <si>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</si>
  <si>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</si>
  <si>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</si>
  <si>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</si>
  <si>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</si>
  <si>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</si>
  <si>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</si>
  <si>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</si>
  <si>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</si>
  <si>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</si>
  <si>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</si>
  <si>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</si>
  <si>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</si>
  <si>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</si>
  <si>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</si>
  <si>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</si>
  <si>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</si>
  <si>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</si>
  <si>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</si>
  <si>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</si>
  <si>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</si>
  <si>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</si>
  <si>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</si>
  <si>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</si>
  <si>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</si>
  <si>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</si>
  <si>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</si>
  <si>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</si>
  <si>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</si>
  <si>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</si>
  <si>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</si>
  <si>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</si>
  <si>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</si>
  <si>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</si>
  <si>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</si>
  <si>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</si>
  <si>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</si>
  <si>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</si>
  <si>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</si>
  <si>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</si>
  <si>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</si>
  <si>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</si>
  <si>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</si>
  <si>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</si>
  <si>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</si>
  <si>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</si>
  <si>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</si>
  <si>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</si>
  <si>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</si>
  <si>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</si>
  <si>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</si>
  <si>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</si>
  <si>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</si>
  <si>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</si>
  <si>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</si>
  <si>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</si>
  <si>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</si>
  <si>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</si>
  <si>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</si>
  <si>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</si>
  <si>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</si>
  <si>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</si>
  <si>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</si>
  <si>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</si>
  <si>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</si>
  <si>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</si>
  <si>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</si>
  <si>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</si>
  <si>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</si>
  <si>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</si>
  <si>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</si>
  <si>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</si>
  <si>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</si>
  <si>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</si>
  <si>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</si>
  <si>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</si>
  <si>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</si>
  <si>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</si>
  <si>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</si>
  <si>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</si>
  <si>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</si>
  <si>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</si>
  <si>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</si>
  <si>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</si>
  <si>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</si>
  <si>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</si>
  <si>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</si>
  <si>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</si>
  <si>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</si>
  <si>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</si>
  <si>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</si>
  <si>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</si>
  <si>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</si>
  <si>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</si>
  <si>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</si>
  <si>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</si>
  <si>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</si>
  <si>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</si>
  <si>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</si>
  <si>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</si>
  <si>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</si>
  <si>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</si>
  <si>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</si>
  <si>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</si>
  <si>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</si>
  <si>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</si>
  <si>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</si>
  <si>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</si>
  <si>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</si>
  <si>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</si>
  <si>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</si>
  <si>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</si>
  <si>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</si>
  <si>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</si>
  <si>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</si>
  <si>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</si>
  <si>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</si>
  <si>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</si>
  <si>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</si>
  <si>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</si>
  <si>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</si>
  <si>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</si>
  <si>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</si>
  <si>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</si>
  <si>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</si>
  <si>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</si>
  <si>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</si>
  <si>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</si>
  <si>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</si>
  <si>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</si>
  <si>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</si>
  <si>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</si>
  <si>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</si>
  <si>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</si>
  <si>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</si>
  <si>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</si>
  <si>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</si>
  <si>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</si>
  <si>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</si>
  <si>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</si>
  <si>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</si>
  <si>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</si>
  <si>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</si>
  <si>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</si>
  <si>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</si>
  <si>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</si>
  <si>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</si>
  <si>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</si>
  <si>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</si>
  <si>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</si>
  <si>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</si>
  <si>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</si>
  <si>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</si>
  <si>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</si>
  <si>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</si>
  <si>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</si>
  <si>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</si>
  <si>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</si>
  <si>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</si>
  <si>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</si>
  <si>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</si>
  <si>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</si>
  <si>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</si>
  <si>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</si>
  <si>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</si>
  <si>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</si>
  <si>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</si>
  <si>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</si>
  <si>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</si>
  <si>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</si>
  <si>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</si>
  <si>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</si>
  <si>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</si>
  <si>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</si>
  <si>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</si>
  <si>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</si>
  <si>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</si>
  <si>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</si>
  <si>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</si>
  <si>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</si>
  <si>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</si>
  <si>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</si>
  <si>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</si>
  <si>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</si>
  <si>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</si>
  <si>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</si>
  <si>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</si>
  <si>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</si>
  <si>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</si>
  <si>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</si>
  <si>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</si>
  <si>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</si>
  <si>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</si>
  <si>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</si>
  <si>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</si>
  <si>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</si>
  <si>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</si>
  <si>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</si>
  <si>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</si>
  <si>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</si>
  <si>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</si>
  <si>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</si>
  <si>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</si>
  <si>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</si>
  <si>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</si>
  <si>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</si>
  <si>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</si>
  <si>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</si>
  <si>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</si>
  <si>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</si>
  <si>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</si>
  <si>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</si>
  <si>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</si>
  <si>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</si>
  <si>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</si>
  <si>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</si>
  <si>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</si>
  <si>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</si>
  <si>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</si>
  <si>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</si>
  <si>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</si>
  <si>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</si>
  <si>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</si>
  <si>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</si>
  <si>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</si>
  <si>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</si>
  <si>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</si>
  <si>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</si>
  <si>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</si>
  <si>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</si>
  <si>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</si>
  <si>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</si>
  <si>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</si>
  <si>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</si>
  <si>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</si>
  <si>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</si>
  <si>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</si>
  <si>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</si>
  <si>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</si>
  <si>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</si>
  <si>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</si>
  <si>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</si>
  <si>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</si>
  <si>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</si>
  <si>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</si>
  <si>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</si>
  <si>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</si>
  <si>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</si>
  <si>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</si>
  <si>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</si>
  <si>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</si>
  <si>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</si>
  <si>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</si>
  <si>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</si>
  <si>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</si>
  <si>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</si>
  <si>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</si>
  <si>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</si>
  <si>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</si>
  <si>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</si>
  <si>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</si>
  <si>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</si>
  <si>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</si>
  <si>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</si>
  <si>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</si>
  <si>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</si>
  <si>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</si>
  <si>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</si>
  <si>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</si>
  <si>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</si>
  <si>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</si>
  <si>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</si>
  <si>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</si>
  <si>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</si>
  <si>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</si>
  <si>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</si>
  <si>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</si>
  <si>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</si>
  <si>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</si>
  <si>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</si>
  <si>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</si>
  <si>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</si>
  <si>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</si>
  <si>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</si>
  <si>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</si>
  <si>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</si>
  <si>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</si>
  <si>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</si>
  <si>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</si>
  <si>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</si>
  <si>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</si>
  <si>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</si>
  <si>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</si>
  <si>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</si>
  <si>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</si>
  <si>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</si>
  <si>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</si>
  <si>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</si>
  <si>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</si>
  <si>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</si>
  <si>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</si>
  <si>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</si>
  <si>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</si>
  <si>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</si>
  <si>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</si>
  <si>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</si>
  <si>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</si>
  <si>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</si>
  <si>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</si>
  <si>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</si>
  <si>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</si>
  <si>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</si>
  <si>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</si>
  <si>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</si>
  <si>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</si>
  <si>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</si>
  <si>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</si>
  <si>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</si>
  <si>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</si>
  <si>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</si>
  <si>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</si>
  <si>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</si>
  <si>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</si>
  <si>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</si>
  <si>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</si>
  <si>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</si>
  <si>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</si>
  <si>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</si>
  <si>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</si>
  <si>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</si>
  <si>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</si>
  <si>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</si>
  <si>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</si>
  <si>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</si>
  <si>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</si>
  <si>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</si>
  <si>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</si>
  <si>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</si>
  <si>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</si>
  <si>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</si>
  <si>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</si>
  <si>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</si>
  <si>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</si>
  <si>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</si>
  <si>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</si>
  <si>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</si>
  <si>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</si>
  <si>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</si>
  <si>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</si>
  <si>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</si>
  <si>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</si>
  <si>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</si>
  <si>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</si>
  <si>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</si>
  <si>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</si>
  <si>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</si>
  <si>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</si>
  <si>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</si>
  <si>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</si>
  <si>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</si>
  <si>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</si>
  <si>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</si>
  <si>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</si>
  <si>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</si>
  <si>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</si>
  <si>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</si>
  <si>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</si>
  <si>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</si>
  <si>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</si>
  <si>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</si>
  <si>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</si>
  <si>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</si>
  <si>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</si>
  <si>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</si>
  <si>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</si>
  <si>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</si>
  <si>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</si>
  <si>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</si>
  <si>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</si>
  <si>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</si>
  <si>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</si>
  <si>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</si>
  <si>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</si>
  <si>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</si>
  <si>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</si>
  <si>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</si>
  <si>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</si>
  <si>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</si>
  <si>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</si>
  <si>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</si>
  <si>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</si>
  <si>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</si>
  <si>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</si>
  <si>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</si>
  <si>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</si>
  <si>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</si>
  <si>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</si>
  <si>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</si>
  <si>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</si>
  <si>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</si>
  <si>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</si>
  <si>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</si>
  <si>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</si>
  <si>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</si>
  <si>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</si>
  <si>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</si>
  <si>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</si>
  <si>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</si>
  <si>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</si>
  <si>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</si>
  <si>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</si>
  <si>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</si>
  <si>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</si>
  <si>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</si>
  <si>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</si>
  <si>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</si>
  <si>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</si>
  <si>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</si>
  <si>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</si>
  <si>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</si>
  <si>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</si>
  <si>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</si>
  <si>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</si>
  <si>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</si>
  <si>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</si>
  <si>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</si>
  <si>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</si>
  <si>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</si>
  <si>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</si>
  <si>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</si>
  <si>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</si>
  <si>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</si>
  <si>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</si>
  <si>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</si>
  <si>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</si>
  <si>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</si>
  <si>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</si>
  <si>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</si>
  <si>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</si>
  <si>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</si>
  <si>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</si>
  <si>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</si>
  <si>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</si>
  <si>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</si>
  <si>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</si>
  <si>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</si>
  <si>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</si>
  <si>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</si>
  <si>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</si>
  <si>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</si>
  <si>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</si>
  <si>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</si>
  <si>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</si>
  <si>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</si>
  <si>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</si>
  <si>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</si>
  <si>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</si>
  <si>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</si>
  <si>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</si>
  <si>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</si>
  <si>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</si>
  <si>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</si>
  <si>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</si>
  <si>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</si>
  <si>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</si>
  <si>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</si>
  <si>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</si>
  <si>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</si>
  <si>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</si>
  <si>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</si>
  <si>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</si>
  <si>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</si>
  <si>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</si>
  <si>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</si>
  <si>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</si>
  <si>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</si>
  <si>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</si>
  <si>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</si>
  <si>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</si>
  <si>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</si>
  <si>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</si>
  <si>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</si>
  <si>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</si>
  <si>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</si>
  <si>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</si>
  <si>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</si>
  <si>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</si>
  <si>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</si>
  <si>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</si>
  <si>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</si>
  <si>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</si>
  <si>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</si>
  <si>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</si>
  <si>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</si>
  <si>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</si>
  <si>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</si>
  <si>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</si>
  <si>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</si>
  <si>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</si>
  <si>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</si>
  <si>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</si>
  <si>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</si>
  <si>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</si>
  <si>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</si>
  <si>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</si>
  <si>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</si>
  <si>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</si>
  <si>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</si>
  <si>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</si>
  <si>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</si>
  <si>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</si>
  <si>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</si>
  <si>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</si>
  <si>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</si>
  <si>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</si>
  <si>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</si>
  <si>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</si>
  <si>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</si>
  <si>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</si>
  <si>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</si>
  <si>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</si>
  <si>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</si>
  <si>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</si>
  <si>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</si>
  <si>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</si>
  <si>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</si>
  <si>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</si>
  <si>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</si>
  <si>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</si>
  <si>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</si>
  <si>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</si>
  <si>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</si>
  <si>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</si>
  <si>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</si>
  <si>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</si>
  <si>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</si>
  <si>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</si>
  <si>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</si>
  <si>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</si>
  <si>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</si>
  <si>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</si>
  <si>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</si>
  <si>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</si>
  <si>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</si>
  <si>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</si>
  <si>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</si>
  <si>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</si>
  <si>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</si>
  <si>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</si>
  <si>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</si>
  <si>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</si>
  <si>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</si>
  <si>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</si>
  <si>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</si>
  <si>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</si>
  <si>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</si>
  <si>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</si>
  <si>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</si>
  <si>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</si>
  <si>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</si>
  <si>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</si>
  <si>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</si>
  <si>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</si>
  <si>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</si>
  <si>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</si>
  <si>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</si>
  <si>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</si>
  <si>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</si>
  <si>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</si>
  <si>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</si>
  <si>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</si>
  <si>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</si>
  <si>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</si>
  <si>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</si>
  <si>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</si>
  <si>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</si>
  <si>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</si>
  <si>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</si>
  <si>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</si>
  <si>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</si>
  <si>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</si>
  <si>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</si>
  <si>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</si>
  <si>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</si>
  <si>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</si>
  <si>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</si>
  <si>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</si>
  <si>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</si>
  <si>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</si>
  <si>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</si>
  <si>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</si>
  <si>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</si>
  <si>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</si>
  <si>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</si>
  <si>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</si>
  <si>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</si>
  <si>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</si>
  <si>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</si>
  <si>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</si>
  <si>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</si>
  <si>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</si>
  <si>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</si>
  <si>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</si>
  <si>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</si>
  <si>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</si>
  <si>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</si>
  <si>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</si>
  <si>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</si>
  <si>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</si>
  <si>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</si>
  <si>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</si>
  <si>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</si>
  <si>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</si>
  <si>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</si>
  <si>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</si>
  <si>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</si>
  <si>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</si>
  <si>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</si>
  <si>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</si>
  <si>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</si>
  <si>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</si>
  <si>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</si>
  <si>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</si>
  <si>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</si>
  <si>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</si>
  <si>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</si>
  <si>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</si>
  <si>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</si>
  <si>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</si>
  <si>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</si>
  <si>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</si>
  <si>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</si>
  <si>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</si>
  <si>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</si>
  <si>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</si>
  <si>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</si>
  <si>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</si>
  <si>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</si>
  <si>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</si>
  <si>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</si>
  <si>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</si>
  <si>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</si>
  <si>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</si>
  <si>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</si>
  <si>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</si>
  <si>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</si>
  <si>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</si>
  <si>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</si>
  <si>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</si>
  <si>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</si>
  <si>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</si>
  <si>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</si>
  <si>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</si>
  <si>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</si>
  <si>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</si>
  <si>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</si>
  <si>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</si>
  <si>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</si>
  <si>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</si>
  <si>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</si>
  <si>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</si>
  <si>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</si>
  <si>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</si>
  <si>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</si>
  <si>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</si>
  <si>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</si>
  <si>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</si>
  <si>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</si>
  <si>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</si>
  <si>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</si>
  <si>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</si>
  <si>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</si>
  <si>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</si>
  <si>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</si>
  <si>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</si>
  <si>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</si>
  <si>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</si>
  <si>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</si>
  <si>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</si>
  <si>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</si>
  <si>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</si>
  <si>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</si>
  <si>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</si>
  <si>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</si>
  <si>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</si>
  <si>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</si>
  <si>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</si>
  <si>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</si>
  <si>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</si>
  <si>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</si>
  <si>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</si>
  <si>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</si>
  <si>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</si>
  <si>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</si>
  <si>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</si>
  <si>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</si>
  <si>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</si>
  <si>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</si>
  <si>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</si>
  <si>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</si>
  <si>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</si>
  <si>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</si>
  <si>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</si>
  <si>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</si>
  <si>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</si>
  <si>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</si>
  <si>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</si>
  <si>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</si>
  <si>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</si>
  <si>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</si>
  <si>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</si>
  <si>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</si>
  <si>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</si>
  <si>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</si>
  <si>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</si>
  <si>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</si>
  <si>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</si>
  <si>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</si>
  <si>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</si>
  <si>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</si>
  <si>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</si>
  <si>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</si>
  <si>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</si>
  <si>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</si>
  <si>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</si>
  <si>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</si>
  <si>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</si>
  <si>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</si>
  <si>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</si>
  <si>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</si>
  <si>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</si>
  <si>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</si>
  <si>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</si>
  <si>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</si>
  <si>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</si>
  <si>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</si>
  <si>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</si>
  <si>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</si>
  <si>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</si>
  <si>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</si>
  <si>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</si>
  <si>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</si>
  <si>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</si>
  <si>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</si>
  <si>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</si>
  <si>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</si>
  <si>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</si>
  <si>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</si>
  <si>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</si>
  <si>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</si>
  <si>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</si>
  <si>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</si>
  <si>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</si>
  <si>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</si>
  <si>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</si>
  <si>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</si>
  <si>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</si>
  <si>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</si>
  <si>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</si>
  <si>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</si>
  <si>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</si>
  <si>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</si>
  <si>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</si>
  <si>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</si>
  <si>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</si>
  <si>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</si>
  <si>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</si>
  <si>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</si>
  <si>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</si>
  <si>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</si>
  <si>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</si>
  <si>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</si>
  <si>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</si>
  <si>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</si>
  <si>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</si>
  <si>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</si>
  <si>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</si>
  <si>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</si>
  <si>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</si>
  <si>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</si>
  <si>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</si>
  <si>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</si>
  <si>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</si>
  <si>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</si>
  <si>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</si>
  <si>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</si>
  <si>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</si>
  <si>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</si>
  <si>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</si>
  <si>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</si>
  <si>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</si>
  <si>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</si>
  <si>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</si>
  <si>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</si>
  <si>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</si>
  <si>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</si>
  <si>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</si>
  <si>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</si>
  <si>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</si>
  <si>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</si>
  <si>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</si>
  <si>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</si>
  <si>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</si>
  <si>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</si>
  <si>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</si>
  <si>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</si>
  <si>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</si>
  <si>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</si>
  <si>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</si>
  <si>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</si>
  <si>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</si>
  <si>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</si>
  <si>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</si>
  <si>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</si>
  <si>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</si>
  <si>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</si>
  <si>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</si>
  <si>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</si>
  <si>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</si>
  <si>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</si>
  <si>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</si>
  <si>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</si>
  <si>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</si>
  <si>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</si>
  <si>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</si>
  <si>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</si>
  <si>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</si>
  <si>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</si>
  <si>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</si>
  <si>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</si>
  <si>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</si>
  <si>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</si>
  <si>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</si>
  <si>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</si>
  <si>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</si>
  <si>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</si>
  <si>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</si>
  <si>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</si>
  <si>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</si>
  <si>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</si>
  <si>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</si>
  <si>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</si>
  <si>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</si>
  <si>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</si>
  <si>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</si>
  <si>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</si>
  <si>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</si>
  <si>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</si>
  <si>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</si>
  <si>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</si>
  <si>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</si>
  <si>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</si>
  <si>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</si>
  <si>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</si>
  <si>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</si>
  <si>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</si>
  <si>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</si>
  <si>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</si>
  <si>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</si>
  <si>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</si>
  <si>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</si>
  <si>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</si>
  <si>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</si>
  <si>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</si>
  <si>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</si>
  <si>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</si>
  <si>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</si>
  <si>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</si>
  <si>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</si>
  <si>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</si>
  <si>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</si>
  <si>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</si>
  <si>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</si>
  <si>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</si>
  <si>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</si>
  <si>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</si>
  <si>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</si>
  <si>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</si>
  <si>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</si>
  <si>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</si>
  <si>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</si>
  <si>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</si>
  <si>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</si>
  <si>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</si>
  <si>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</si>
  <si>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</si>
  <si>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</si>
  <si>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</si>
  <si>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</si>
  <si>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</si>
  <si>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</si>
  <si>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</si>
  <si>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</si>
  <si>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</si>
  <si>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</si>
  <si>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</si>
  <si>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</si>
  <si>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</si>
  <si>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</si>
  <si>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</si>
  <si>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</si>
  <si>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</si>
  <si>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</si>
  <si>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</si>
  <si>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</si>
  <si>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</si>
  <si>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</si>
  <si>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</si>
  <si>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</si>
  <si>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</si>
  <si>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</si>
  <si>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</si>
  <si>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</si>
  <si>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</si>
  <si>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</si>
  <si>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</si>
  <si>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</si>
  <si>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</si>
  <si>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</si>
  <si>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</si>
  <si>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</si>
  <si>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</si>
  <si>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</si>
  <si>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</si>
  <si>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</si>
  <si>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</si>
  <si>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</si>
  <si>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</si>
  <si>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</si>
  <si>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</si>
  <si>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</si>
  <si>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</si>
  <si>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</si>
  <si>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</si>
  <si>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</si>
  <si>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</si>
  <si>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</si>
  <si>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</si>
  <si>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</si>
  <si>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</si>
  <si>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</si>
  <si>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</si>
  <si>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</si>
  <si>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</si>
  <si>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</si>
  <si>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</si>
  <si>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</si>
  <si>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</si>
  <si>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</si>
  <si>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</si>
  <si>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</si>
  <si>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</si>
  <si>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</si>
  <si>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</si>
  <si>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</si>
  <si>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</si>
  <si>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</si>
  <si>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</si>
  <si>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</si>
  <si>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</si>
  <si>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</si>
  <si>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</si>
  <si>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</si>
  <si>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</si>
  <si>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</si>
  <si>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</si>
  <si>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</si>
  <si>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</si>
  <si>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</si>
  <si>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</si>
  <si>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</si>
  <si>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</si>
  <si>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</si>
  <si>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</si>
  <si>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</si>
  <si>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</si>
  <si>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</si>
  <si>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</si>
  <si>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</si>
  <si>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</si>
  <si>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</si>
  <si>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</si>
  <si>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</si>
  <si>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</si>
  <si>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</si>
  <si>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</si>
  <si>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</si>
  <si>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</si>
  <si>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</si>
  <si>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</si>
  <si>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</si>
  <si>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</si>
  <si>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</si>
  <si>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</si>
  <si>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</si>
  <si>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</si>
  <si>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</si>
  <si>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</si>
  <si>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</si>
  <si>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</si>
  <si>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</si>
  <si>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</si>
  <si>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</si>
  <si>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</si>
  <si>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</si>
  <si>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</si>
  <si>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</si>
  <si>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</si>
  <si>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</si>
  <si>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</si>
  <si>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</si>
  <si>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</si>
  <si>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</si>
  <si>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</si>
  <si>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</si>
  <si>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</si>
  <si>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</si>
  <si>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</si>
  <si>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</si>
  <si>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</si>
  <si>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</si>
  <si>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</si>
  <si>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</si>
  <si>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</si>
  <si>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</si>
  <si>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</si>
  <si>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</si>
  <si>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</si>
  <si>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</si>
  <si>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</si>
  <si>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</si>
  <si>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</si>
  <si>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</si>
  <si>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</si>
  <si>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</si>
  <si>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</si>
  <si>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</si>
  <si>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</si>
  <si>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</si>
  <si>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</si>
  <si>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</si>
  <si>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</si>
  <si>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</si>
  <si>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</si>
  <si>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</si>
  <si>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</si>
  <si>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</si>
  <si>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</si>
  <si>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</si>
  <si>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</si>
  <si>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</si>
  <si>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</si>
  <si>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</si>
  <si>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</si>
  <si>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</si>
  <si>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</si>
  <si>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</si>
  <si>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</si>
  <si>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</si>
  <si>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</si>
  <si>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</si>
  <si>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</si>
  <si>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</si>
  <si>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</si>
  <si>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</si>
  <si>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</si>
  <si>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</si>
  <si>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</si>
  <si>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</si>
  <si>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</si>
  <si>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</si>
  <si>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</si>
  <si>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</si>
  <si>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</si>
  <si>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</si>
  <si>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</si>
  <si>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</si>
  <si>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</si>
  <si>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</si>
  <si>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</si>
  <si>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</si>
  <si>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</si>
  <si>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</si>
  <si>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</si>
  <si>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</si>
  <si>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</si>
  <si>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</si>
  <si>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</si>
  <si>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</si>
  <si>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</si>
  <si>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</si>
  <si>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</si>
  <si>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</si>
  <si>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</si>
  <si>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</si>
  <si>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</si>
  <si>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</si>
  <si>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</si>
  <si>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</si>
  <si>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</si>
  <si>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</si>
  <si>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</si>
  <si>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</si>
  <si>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</si>
  <si>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</si>
  <si>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</si>
  <si>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</si>
  <si>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</si>
  <si>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</si>
  <si>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</si>
  <si>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</si>
  <si>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</si>
  <si>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</si>
  <si>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</si>
  <si>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</si>
  <si>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</si>
  <si>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</si>
  <si>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</si>
  <si>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</si>
  <si>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</si>
  <si>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</si>
  <si>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</si>
  <si>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</si>
  <si>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</si>
  <si>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</si>
  <si>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</si>
  <si>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</si>
  <si>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</si>
  <si>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</si>
  <si>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</si>
  <si>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</si>
  <si>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</si>
  <si>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</si>
  <si>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</si>
  <si>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</si>
  <si>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</si>
  <si>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</si>
  <si>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</si>
  <si>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</si>
  <si>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</si>
  <si>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</si>
  <si>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</si>
  <si>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</si>
  <si>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</si>
  <si>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</si>
  <si>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</si>
  <si>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</si>
  <si>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</si>
  <si>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</si>
  <si>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</si>
  <si>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</si>
  <si>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</si>
  <si>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</si>
  <si>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</si>
  <si>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</si>
  <si>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</si>
  <si>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</si>
  <si>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</si>
  <si>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</si>
  <si>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</si>
  <si>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</si>
  <si>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</si>
  <si>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</si>
  <si>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</si>
  <si>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</si>
  <si>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</si>
  <si>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</si>
  <si>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</si>
  <si>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</si>
  <si>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</si>
  <si>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</si>
  <si>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</si>
  <si>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</si>
  <si>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</si>
  <si>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</si>
  <si>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</si>
  <si>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</si>
  <si>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</si>
  <si>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</si>
  <si>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</si>
  <si>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</si>
  <si>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</si>
  <si>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</si>
  <si>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</si>
  <si>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</si>
  <si>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</si>
  <si>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</si>
  <si>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</si>
  <si>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</si>
  <si>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</si>
  <si>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</si>
  <si>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</si>
  <si>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</si>
  <si>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</si>
  <si>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</si>
  <si>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</si>
  <si>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</si>
  <si>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</si>
  <si>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</si>
  <si>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</si>
  <si>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</si>
  <si>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</si>
  <si>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</si>
  <si>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</si>
  <si>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</si>
  <si>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</si>
  <si>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</si>
  <si>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</si>
  <si>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</si>
  <si>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</si>
  <si>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</si>
  <si>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</si>
  <si>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</si>
  <si>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</si>
  <si>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</si>
  <si>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</si>
  <si>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</si>
  <si>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</si>
  <si>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</si>
  <si>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</si>
  <si>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</si>
  <si>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</si>
  <si>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</si>
  <si>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</si>
  <si>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</si>
  <si>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</si>
  <si>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</si>
  <si>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</si>
  <si>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</si>
  <si>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</si>
  <si>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</si>
  <si>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</si>
  <si>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</si>
  <si>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</si>
  <si>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</si>
  <si>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</si>
  <si>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</si>
  <si>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</si>
  <si>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</si>
  <si>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</si>
  <si>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</si>
  <si>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</si>
  <si>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</si>
  <si>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</si>
  <si>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</si>
  <si>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</si>
  <si>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</si>
  <si>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</si>
  <si>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</si>
  <si>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</si>
  <si>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</si>
  <si>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</si>
  <si>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</si>
  <si>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</si>
  <si>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</si>
  <si>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</si>
  <si>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</si>
  <si>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</si>
  <si>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</si>
  <si>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</si>
  <si>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</si>
  <si>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</si>
  <si>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</si>
  <si>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</si>
  <si>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</si>
  <si>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</si>
  <si>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</si>
  <si>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</si>
  <si>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</si>
  <si>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</si>
  <si>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</si>
  <si>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</si>
  <si>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</si>
  <si>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</si>
  <si>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</si>
  <si>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</si>
  <si>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</si>
  <si>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4.3</t>
  </si>
  <si>
    <t>Madeira Madeira</t>
  </si>
  <si>
    <t>10.490.181/0001-35</t>
  </si>
  <si>
    <t>0800 080 0099</t>
  </si>
  <si>
    <t>00.776.574/0006-60</t>
  </si>
  <si>
    <t>SITE</t>
  </si>
  <si>
    <t>4.1</t>
  </si>
  <si>
    <t>4.2</t>
  </si>
  <si>
    <t>4.4</t>
  </si>
  <si>
    <t>5.1</t>
  </si>
  <si>
    <t>3.1</t>
  </si>
  <si>
    <t>3.2</t>
  </si>
  <si>
    <t>3.3</t>
  </si>
  <si>
    <t>4.5</t>
  </si>
  <si>
    <t>2.2</t>
  </si>
  <si>
    <t>2.3</t>
  </si>
  <si>
    <t>2.4</t>
  </si>
  <si>
    <t>1.4</t>
  </si>
  <si>
    <t>1.5</t>
  </si>
  <si>
    <t>2.5</t>
  </si>
  <si>
    <t>1.6</t>
  </si>
  <si>
    <t>2.6</t>
  </si>
  <si>
    <t>AD 04.10 Sondagem Rotativa com Coroa de Wídia</t>
  </si>
  <si>
    <t>AD 04.15 Sondagem Rotativa com Coroa de Diamente</t>
  </si>
  <si>
    <t>AD 04.20 Sondagem à Percurssão</t>
  </si>
  <si>
    <t>AD 34.05 Ensaios em Betumes e em Misturas Betuminosas</t>
  </si>
  <si>
    <t>AD 34.10 Ensaios com Cimento Portland</t>
  </si>
  <si>
    <t>AD 34.15 Ensaios em Concreto</t>
  </si>
  <si>
    <t>AD 34.20 Ensaios em Mistura Asfáltica</t>
  </si>
  <si>
    <t>AD 34.25 Ensaios em Solos e Rochas</t>
  </si>
  <si>
    <t>AD 34.30 Ensaios em Estruturas de Concreto Armado ou Protendido</t>
  </si>
  <si>
    <t>AD 34.35 Ensaios de Caracterização</t>
  </si>
  <si>
    <t>Ensaio de palheta ("Vane test") realizado no campo, exclusive perfuração. (desonerado)</t>
  </si>
  <si>
    <t>CI 04.55.0300 (/)</t>
  </si>
  <si>
    <t>Cobertura em telhas P.V.C colonial (230 x 88)cm cerâmica, fixadas por parafusos galvanizados, inclusive vedação, exclusive o madeiramento. Fornecimento e instalação. (desonerado)</t>
  </si>
  <si>
    <t>CI 04.55.0350 (/)</t>
  </si>
  <si>
    <t>Cumeeira central P.V.C cerâmica nas dimensões (1 x 56 x 90)cm, fixada por parafusos galvanizados, inclusive vedação. Fornecimento e colocação. (desonerado)</t>
  </si>
  <si>
    <t>DR 04.05.0125 (/)</t>
  </si>
  <si>
    <t>Tampão de ferro fundido, tipo leve, ou de polietileno de alta densidade, articulado, completo, de 0,30m de diâmetro, padrão RIOLUZ, assentado com argamassa de cimento e areia no traço 1:4 em volume, exclusive o tampão. Assentamento. (desonerado)</t>
  </si>
  <si>
    <t>Tampão de ferro fundido, tipo leve, ou de polietileno de alta densidade, completo, articulado, de 0,60m de diâmetro, padrão RIOLUZ, assentado com argamassa de cimento e areia no traço 1:4 em volume, exclusive o tempão. Assentamento. (desonerado)</t>
  </si>
  <si>
    <t>Tubo de concreto armado, classe PA-2, para galerias de aguas pluviais, com diametro de 0,70m, aterro e compactacao ate a geratriz superior do tubo; inclusive fornecimento do material para rejuntamento com argamassa de cimento e areia no traco 1:4. Fornecimento e assentamento. (Desonerado).</t>
  </si>
  <si>
    <t>Tubo de concreto armado, classe PA-2, para galerias de aguas pluviais, com diametro de 0,80m, aterro e compactacao ate a geratriz superior do tubo; inclusive fornecimento do material para rejuntamento com argamassa de cimento e areia no traco 1:4. Fornecimento e assentamento. (Desonerado)</t>
  </si>
  <si>
    <t>Tubo de concreto armado, classe PA-2, para galerias de aguas pluviais, com diametro de 0,90m, aterro e compactacao ate a geratriz superior do tubo; inclusive fornecimento do material para rejuntamento com argamassa de cimento e areia no traco 1:4. Fornecimento e assentamento. (Desonerado)</t>
  </si>
  <si>
    <t>Tubo de concreto armado, classe PA-2, para galerias de aguas pluviais, com diametro de 1,20m, aterro e compactacao ate a geratriz superior do tubo; inclusive fornecimento do material para rejuntamento com argamassa de cimento e areia no traco 1:4. Fornecimento e assentamento. (Desonerado)</t>
  </si>
  <si>
    <t>Tubo de concreto armado, classe PA-2, para galerias de aguas pluviais, com diametro de 1,50m, aterro e compactacao ate a geratriz superior do tubo; inclusive fornecimento do material para rejuntamento com argamassa de cimento e areia no traco 1:4. Fornecimento e assentamento. (Desonerado)</t>
  </si>
  <si>
    <t>Tubo de concreto armado, classe PA-2, para galerias de aguas pluviais, com diametro de 2,00m, aterro e compactacao ate a geratriz superior do tubo; inclusive fornecimento do material para rejuntamento com argamassa de cimento e areia no traco 1:4. Fornecimento e assentamento. (Desonerado)</t>
  </si>
  <si>
    <t>EQ 04.10.0020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</si>
  <si>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 (Desonerado)</t>
  </si>
  <si>
    <t>EQ 04.10.0023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</si>
  <si>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funcionando). (Desonerado)</t>
  </si>
  <si>
    <t>EQ 04.10.0026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</si>
  <si>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 (Desonerado)</t>
  </si>
  <si>
    <t>EQ 04.10.0035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</si>
  <si>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 (Desonerado)</t>
  </si>
  <si>
    <t>EQ 04.10.0038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</si>
  <si>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 (Desonerado)</t>
  </si>
  <si>
    <t>EQ 04.10.0041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</si>
  <si>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 (Desonerado)</t>
  </si>
  <si>
    <t>Corte, dobragem, montagem e colocação de ferragens nas formas, aço CA-50, em barra redonda, com diâmetro entre 8mm e 12,5mm.(desonerado)</t>
  </si>
  <si>
    <t>Corte, dobragem, montagem e colocação de ferragens nas formas, aço CA-50, em barra redonda, com diâmetro maior ou igual a 16mm.(desonerado)</t>
  </si>
  <si>
    <t>Corte, dobragem, montagem e colocação de ferragens nas formas, aço CA-60, em fio redondo, com diâmetro entre 7mm e 8mm.(desonerado)</t>
  </si>
  <si>
    <t>ET 24.05.0075 (/)</t>
  </si>
  <si>
    <t>Instalação de barreiras dinâmicas modelo ROCCO da Geobrugg ou similar até 4 metros de altura para proteção contra queda de rochas (Não incluso materiais). (Desonerado)</t>
  </si>
  <si>
    <t>ET 49.05.0050 (D)</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</si>
  <si>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 (desonerado)</t>
  </si>
  <si>
    <t>ET 79.05.0075 (/)</t>
  </si>
  <si>
    <t>Agente de cura química para concreto pronto para uso. Fornecimento e Aplicação. (Desonerado)</t>
  </si>
  <si>
    <t>ET 79.05.0125 (/)</t>
  </si>
  <si>
    <t>Microconcreto de endurecimento ultra-rápido, apresentando resistência mecânica à compressão de no mínimo 20MPA em 2,0 horas e 40MPA em 24,0 horas após a execução. Inclusive fornecimento, preparo e lançamento do material. (Desonerado)</t>
  </si>
  <si>
    <t>Poste de aço, reto, ou de composto de poliéster reforçado com fibra de vidro - PRFV, seção única, reto, ambos de 4,50m ate 6,00m, com engastamento da parte inferior da coluna diretamente no solo; exclusive fornecimento do poste. Assentamento. (desonerado)</t>
  </si>
  <si>
    <t>Poste de aço, reto, ou de composto de poliéster reforçado com fibra de vidro - PRFV, seção única, reto, ambos de 7,00m ate 12,00m, com engastamento da parte inferior da coluna diretamente no solo; exclusive fornecimento do poste. Assentamento. (desonerado)</t>
  </si>
  <si>
    <t>IP 04.25.0850 (/)</t>
  </si>
  <si>
    <t>Poste de composto de poliéster reforçado com fibra de vidro - PRFV, seção única, reto, de 4,50m a 6m, com flange fixado por parafusos chumbadores engastados em fundação de concreto, exclusive fundação e fornecimento do poste. Assentamento. (desonerado)</t>
  </si>
  <si>
    <t>IP 04.25.0900 (/)</t>
  </si>
  <si>
    <t>Poste de composto de poliéster reforçado com fibra de vidro - PRFV, seção única, reto, de 7,00m a 11,00m, com flange fixado por parafusos chumbadores engastados em fundação de concreto, exclusive fundação e fornecimento do poste. (desonerado)</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</si>
  <si>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 (desonerado)</t>
  </si>
  <si>
    <t>Fundação simples de concreto pré-moldado, padrão RIOLUZ, com chumbadores de aço provido de arruelas e porcas, para fixação de postes de aço reto ou de composto de poliéster reforçado com fibra de vidro - PRFV, seção única, ambos de 7,00 m a 11,00 m, exclusive o poste e chumbadores. (desonerado)</t>
  </si>
  <si>
    <t>IP 09.30.0700 (/)</t>
  </si>
  <si>
    <t>Conectores para interligação entre cabo singelo ou múltiplo ou haste de aterramento, exclusive fornecimento do conector. Instalação (desonerado)</t>
  </si>
  <si>
    <t>IP 14.45.0400 (/)</t>
  </si>
  <si>
    <t>Cabo múltiplo em poste reto ou curvo; braço reto ou curvo ou base múltipla; exclusive fornecimento dos cabos. Colocação. (desonerado)</t>
  </si>
  <si>
    <t>IP 19.05.0250 (/)</t>
  </si>
  <si>
    <t>Conjunto de aterramento para rede de baixa tensão, exclusive fornecimento dos materiais (ver desenho A2-134-CP). Instalação. (desonerado)</t>
  </si>
  <si>
    <t>IP 19.05.0300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</si>
  <si>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 (Desonerado)</t>
  </si>
  <si>
    <t>IP 19.05.0350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</si>
  <si>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 (Desonerado)</t>
  </si>
  <si>
    <t>IP 24.20.0300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</si>
  <si>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 (Desonerado)</t>
  </si>
  <si>
    <t>IP 24.20.0350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</si>
  <si>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 (Desonerado)</t>
  </si>
  <si>
    <t>IP 49.05.0350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</si>
  <si>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 (Desonerado)</t>
  </si>
  <si>
    <t>IP 49.05.0400 (/)</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</si>
  <si>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 Fornecimento. (Desonerado)</t>
  </si>
  <si>
    <t>IP 49.05.0450 (/)</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</si>
  <si>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 Fornecimento. (Desonerado)</t>
  </si>
  <si>
    <t>IP 49.05.0500 (/)</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</si>
  <si>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 Fornecimento. (Desonerado)</t>
  </si>
  <si>
    <t>IP 49.05.0550 (/)</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</si>
  <si>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 Fornecimento. (Desonerado)</t>
  </si>
  <si>
    <t>IP 49.05.0600 (/)</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</si>
  <si>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 Fornecimento. (Desonerado)</t>
  </si>
  <si>
    <t>IP 49.05.0650 (/)</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</si>
  <si>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 Fornecimento. (Desonerado)</t>
  </si>
  <si>
    <t>IP 49.05.0700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</si>
  <si>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 (Desonerado)</t>
  </si>
  <si>
    <t>IP 49.05.0750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</si>
  <si>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 (Desonerado)</t>
  </si>
  <si>
    <t>IP 49.20.0310 (/)</t>
  </si>
  <si>
    <t>Base múltipla para fixação de luminárias, em poste reto de 4,50 m até 6,00 m exclusive luminária e base. Colocação. (desonerado)</t>
  </si>
  <si>
    <t>IP 49.20.0325 (/)</t>
  </si>
  <si>
    <t>Base múltipla para fixação de luminárias, em poste reto, de 7,00m até 9,00 m, exclusive luminária e base. Colocação. (desonerado)</t>
  </si>
  <si>
    <t>IP 49.20.0340 (/)</t>
  </si>
  <si>
    <t>Base múltipla para fixação de luminárias, em poste reto de 10m até 11,00 m, exclusive luminária e base. Colocação. (desonerado)</t>
  </si>
  <si>
    <t>IP 49.20.0355 (/)</t>
  </si>
  <si>
    <t>Base múltipla para fixação de luminárias, em poste reto de 12m até 15m, exclusive luminária e base. Colocação. (desonerado)</t>
  </si>
  <si>
    <t>IP 49.20.0370 (/)</t>
  </si>
  <si>
    <t>Base múltipla para fixação de luminárias, em poste reto de 16m até 20m, exclusive luminária e base. Colocação. (desonerado)</t>
  </si>
  <si>
    <t>IP 49.20.0395 (/)</t>
  </si>
  <si>
    <t>Suporte para instalação de projetores, em poste reto, de aço, concreto ou composto de poliéster reforçado com fibra de vidro - PRFV, de 7,00m até 9,00m, exclusive fornecimento do projetor e do suporte. Colocação (desonerado)</t>
  </si>
  <si>
    <t>IP 49.20.0410 (/)</t>
  </si>
  <si>
    <t>Suporte para instalação de projetores, em poste reto, de aço, concreto ou composto de Poliéster reforçado com Fibra de Vidro - PRFV, de 10,00m até 11,00m, exclusive fornecimento do projetor e do suporte. Colocação. (desonerado)</t>
  </si>
  <si>
    <t>IP 49.20.0425 (/)</t>
  </si>
  <si>
    <t>Suporte para instalação de projetores, em poste reto, de aço, concreto ou composto de poliéster reforçado com fibra de vidro - PRFV, de 12,00m até 15,00 m, exclusive fornecimento do projetor e do suporte. Colocação. (desonerado)</t>
  </si>
  <si>
    <t>IP 49.20.0440 (/)</t>
  </si>
  <si>
    <t>Suporte para instalação de projetores, em poste reto, de aço, concreto ou composto de poliéster reforçado com fibra de vidro - PRFV, de 16,00m até 20,00 m, exclusive fornecimento de projetor e do suporte. Colocação. (desonerado)</t>
  </si>
  <si>
    <t>IP 49.35.0600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</si>
  <si>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 (desonerado)</t>
  </si>
  <si>
    <t>IP 49.35.0650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</si>
  <si>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 (desonerado)</t>
  </si>
  <si>
    <t>IP 49.35.0700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</si>
  <si>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 (desonerado)</t>
  </si>
  <si>
    <t>IP 49.35.0750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</si>
  <si>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  (desonerado)</t>
  </si>
  <si>
    <t>Colocação de luminária com lâmpada de descarga, com ou sem reator integrado, em ponta de braço ou poste reto (aço, concreto ou composto de poliéster reforçado com fibra de vidro - PRFV, seção única) até 6m de altura, exclusive fornecimento da luminária. (desonerado)</t>
  </si>
  <si>
    <t>IP 49.40.0160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</si>
  <si>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 (desonerado)</t>
  </si>
  <si>
    <t>IP 54.05.0150 (/)</t>
  </si>
  <si>
    <t>Fita isolante, plástica ou auto-fusão, para proteção de emendas entre condutores, singelos ou múltiplos, exclusive fornecimento da fita isolante. Instalação. (desonerado)</t>
  </si>
  <si>
    <t>IP 59.20.0900 (/)</t>
  </si>
  <si>
    <t>Retirada de base múltipla para fixação de luminárias, instalado em topo de poste, de 4,50 m até 6,00 m de altura. (desonerado)</t>
  </si>
  <si>
    <t>IP 59.20.0915 (/)</t>
  </si>
  <si>
    <t>Retirada de base múltipla para fixação de luminárias, instalado em topo de poste, de 7,00m até 9,00 m de altura. (desonerado)</t>
  </si>
  <si>
    <t>IP 59.20.0930 (/)</t>
  </si>
  <si>
    <t>Retirada de base múltipla para fixação de luminárias, instalado em topo de poste, de 10,00 m até 11,00 m de altura. (desonerado)</t>
  </si>
  <si>
    <t>IP 59.20.0945 (/)</t>
  </si>
  <si>
    <t>Retirada de base múltipla para fixação de luminárias, instalado em topo de poste, de 12,00m até 15,00m de altura. (desonerado)</t>
  </si>
  <si>
    <t>IP 59.20.0960 (/)</t>
  </si>
  <si>
    <t>Retirada de base múltipla para fixação de luminárias, instalado em topo de poste, de 16,00m até 20,00m de altura. (desonerado)</t>
  </si>
  <si>
    <t>IP 59.20.1010 (/)</t>
  </si>
  <si>
    <t>Retirada de suporte para instalação de projetores instalado em poste reto de 12,00m até 15,00 m. (desonerado)</t>
  </si>
  <si>
    <t>IP 59.20.1025 (/)</t>
  </si>
  <si>
    <t>Retirada de suporte para instalação de projetores instalado em poste reto de 16,00m até 20,00 m. (desonerado)</t>
  </si>
  <si>
    <t>PJ 14.05.0110 (A)</t>
  </si>
  <si>
    <t>Limitador de grama em polietileno - Linha Borda.  Fornecimento e colocação.(desonerado)</t>
  </si>
  <si>
    <t>PJ 14.05.0113 (A)</t>
  </si>
  <si>
    <t>Limitador de grama em polietileno - Linha Plana.  Fornecimento e colocação.(desonerado)</t>
  </si>
  <si>
    <t>SE 09.05.0200 (/)</t>
  </si>
  <si>
    <t>Perfuração rotativa inclinada, em solo, com coroa de Widia ou similar, diâmetro H (99mm), inclusive deslocamento e posicionamento em cada furo. (desonerado)</t>
  </si>
  <si>
    <t>SE 24.10.0405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</si>
  <si>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(Desonerado)</t>
  </si>
  <si>
    <t>SE 24.10.0410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</si>
  <si>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(Desonerado)</t>
  </si>
  <si>
    <t>SE 24.10.0415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</si>
  <si>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(Desonerado)</t>
  </si>
  <si>
    <t>SE 24.10.0420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</si>
  <si>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 (Desonerado)</t>
  </si>
  <si>
    <t>SE 24.10.0425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</si>
  <si>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 (Desonerado)</t>
  </si>
  <si>
    <t>SE 24.10.0430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</si>
  <si>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 (Desonerado)</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</si>
  <si>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 (desonerado).</t>
  </si>
  <si>
    <t>Braço projetado de aço para sustentação de semáforo e placa até 3m2 (três metros quadrados), galvanizado a fogo; para fixação em coluna cilindrica giratória, projeção de 2,80m (dois metros e oitenta centímetros); diâmetro junto à flange de 123mm (cento e vinte e três milímetros); conforme especificação CET-RIO.  Fornecimento.(desonerado)</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</si>
  <si>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 (desonerado).</t>
  </si>
  <si>
    <t>ES 31.05 Corrimões e Guarda-Corpos</t>
  </si>
  <si>
    <t>ES 31.05.0500 (/)</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</si>
  <si>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 (Desonerado)</t>
  </si>
  <si>
    <t>R$</t>
  </si>
  <si>
    <t>2.7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</si>
  <si>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</si>
  <si>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</si>
  <si>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</si>
  <si>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</si>
  <si>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</si>
  <si>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</si>
  <si>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</si>
  <si>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</si>
  <si>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</si>
  <si>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</si>
  <si>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</si>
  <si>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</si>
  <si>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</si>
  <si>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</si>
  <si>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</si>
  <si>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</si>
  <si>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</si>
  <si>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</si>
  <si>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</si>
  <si>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</si>
  <si>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</si>
  <si>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</si>
  <si>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</si>
  <si>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</si>
  <si>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</si>
  <si>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</si>
  <si>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</si>
  <si>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</si>
  <si>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</si>
  <si>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</si>
  <si>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</si>
  <si>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</si>
  <si>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</si>
  <si>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</si>
  <si>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</si>
  <si>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</si>
  <si>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</si>
  <si>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</si>
  <si>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</si>
  <si>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</si>
  <si>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</si>
  <si>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</si>
  <si>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</si>
  <si>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</si>
  <si>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</si>
  <si>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</si>
  <si>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</si>
  <si>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</si>
  <si>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</si>
  <si>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</si>
  <si>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</si>
  <si>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</si>
  <si>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</si>
  <si>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</si>
  <si>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</si>
  <si>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</si>
  <si>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</si>
  <si>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</si>
  <si>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</si>
  <si>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</si>
  <si>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</si>
  <si>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</si>
  <si>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</si>
  <si>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</si>
  <si>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</si>
  <si>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</si>
  <si>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</si>
  <si>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</si>
  <si>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</si>
  <si>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</si>
  <si>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</si>
  <si>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</si>
  <si>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</si>
  <si>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</si>
  <si>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</si>
  <si>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</si>
  <si>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</si>
  <si>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</si>
  <si>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</si>
  <si>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</si>
  <si>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</si>
  <si>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</si>
  <si>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</si>
  <si>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</si>
  <si>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</si>
  <si>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</si>
  <si>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</si>
  <si>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</si>
  <si>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</si>
  <si>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</si>
  <si>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</si>
  <si>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</si>
  <si>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</si>
  <si>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</si>
  <si>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</si>
  <si>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</si>
  <si>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</si>
  <si>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</si>
  <si>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</si>
  <si>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</si>
  <si>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</si>
  <si>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</si>
  <si>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</si>
  <si>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</si>
  <si>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</si>
  <si>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</si>
  <si>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</si>
  <si>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</si>
  <si>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</si>
  <si>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</si>
  <si>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</si>
  <si>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</si>
  <si>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</si>
  <si>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</si>
  <si>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</si>
  <si>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</si>
  <si>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</si>
  <si>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</si>
  <si>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</si>
  <si>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</si>
  <si>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</si>
  <si>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</si>
  <si>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</si>
  <si>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</si>
  <si>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</si>
  <si>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</si>
  <si>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</si>
  <si>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</si>
  <si>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</si>
  <si>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</si>
  <si>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</si>
  <si>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</si>
  <si>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</si>
  <si>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</si>
  <si>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</si>
  <si>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</si>
  <si>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</si>
  <si>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</si>
  <si>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</si>
  <si>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</si>
  <si>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</si>
  <si>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</si>
  <si>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</si>
  <si>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</si>
  <si>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</si>
  <si>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</si>
  <si>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</si>
  <si>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</si>
  <si>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</si>
  <si>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</si>
  <si>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</si>
  <si>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</si>
  <si>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</si>
  <si>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</si>
  <si>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</si>
  <si>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</si>
  <si>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</si>
  <si>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</si>
  <si>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</si>
  <si>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</si>
  <si>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</si>
  <si>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</si>
  <si>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</si>
  <si>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</si>
  <si>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</si>
  <si>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</si>
  <si>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</si>
  <si>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</si>
  <si>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</si>
  <si>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</si>
  <si>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</si>
  <si>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</si>
  <si>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</si>
  <si>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</si>
  <si>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</si>
  <si>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</si>
  <si>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</si>
  <si>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</si>
  <si>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</si>
  <si>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</si>
  <si>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</si>
  <si>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</si>
  <si>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</si>
  <si>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</si>
  <si>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</si>
  <si>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</si>
  <si>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</si>
  <si>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</si>
  <si>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</si>
  <si>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</si>
  <si>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</si>
  <si>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</si>
  <si>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</si>
  <si>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</si>
  <si>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</si>
  <si>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</si>
  <si>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</si>
  <si>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</si>
  <si>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</si>
  <si>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</si>
  <si>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</si>
  <si>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</si>
  <si>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</si>
  <si>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</si>
  <si>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</si>
  <si>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</si>
  <si>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</si>
  <si>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</si>
  <si>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</si>
  <si>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</si>
  <si>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</si>
  <si>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</si>
  <si>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</si>
  <si>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</si>
  <si>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</si>
  <si>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</si>
  <si>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</si>
  <si>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</si>
  <si>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</si>
  <si>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</si>
  <si>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</si>
  <si>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</si>
  <si>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</si>
  <si>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</si>
  <si>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</si>
  <si>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</si>
  <si>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</si>
  <si>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</si>
  <si>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</si>
  <si>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</si>
  <si>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</si>
  <si>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</si>
  <si>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</si>
  <si>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</si>
  <si>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</si>
  <si>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</si>
  <si>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</si>
  <si>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</si>
  <si>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</si>
  <si>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</si>
  <si>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</si>
  <si>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</si>
  <si>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</si>
  <si>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</si>
  <si>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</si>
  <si>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</si>
  <si>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</si>
  <si>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</si>
  <si>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</si>
  <si>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</si>
  <si>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Telha em aço galvalume trapezoidal 40, e=0.50mm, pintura cor branca nas duas faces, inclusive acessório de fixação Ref. Santo André, Eternit, Metform ou equivalente</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</si>
  <si>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</si>
  <si>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</si>
  <si>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</si>
  <si>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</si>
  <si>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</si>
  <si>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</si>
  <si>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</si>
  <si>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</si>
  <si>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</si>
  <si>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</si>
  <si>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</si>
  <si>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</si>
  <si>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</si>
  <si>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</si>
  <si>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</si>
  <si>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</si>
  <si>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</si>
  <si>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</si>
  <si>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</si>
  <si>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</si>
  <si>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</si>
  <si>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</si>
  <si>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</si>
  <si>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</si>
  <si>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</si>
  <si>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LUMINARIAS PARA LÂMPADAS LED</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</si>
  <si>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</si>
  <si>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</si>
  <si>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</si>
  <si>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</si>
  <si>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</si>
  <si>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</si>
  <si>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</si>
  <si>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</si>
  <si>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</si>
  <si>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</si>
  <si>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</si>
  <si>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</si>
  <si>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</si>
  <si>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</si>
  <si>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</si>
  <si>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</si>
  <si>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</si>
  <si>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</si>
  <si>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</si>
  <si>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</si>
  <si>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</si>
  <si>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</si>
  <si>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</si>
  <si>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</si>
  <si>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</si>
  <si>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</si>
  <si>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</si>
  <si>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</si>
  <si>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</si>
  <si>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</si>
  <si>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</si>
  <si>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</si>
  <si>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</si>
  <si>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</si>
  <si>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</si>
  <si>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</si>
  <si>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</si>
  <si>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</si>
  <si>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</si>
  <si>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</si>
  <si>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</si>
  <si>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</si>
  <si>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</si>
  <si>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</si>
  <si>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</si>
  <si>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</si>
  <si>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</si>
  <si>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</si>
  <si>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</si>
  <si>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</si>
  <si>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</si>
  <si>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</si>
  <si>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</si>
  <si>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</si>
  <si>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</si>
  <si>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</si>
  <si>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</si>
  <si>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</si>
  <si>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</si>
  <si>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</si>
  <si>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</si>
  <si>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</si>
  <si>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</si>
  <si>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</si>
  <si>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</si>
  <si>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</si>
  <si>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</si>
  <si>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Escada tipo marinheiro de tubo de ferro 1" e 3/4", com h=4.20m, para acesso a caixa dágua, inclusive pintura em esmalte sintético, conforme detalhe em projeto</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</si>
  <si>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</si>
  <si>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</si>
  <si>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</si>
  <si>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</si>
  <si>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</si>
  <si>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</si>
  <si>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</si>
  <si>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</si>
  <si>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</si>
  <si>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</si>
  <si>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</si>
  <si>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</si>
  <si>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</si>
  <si>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</si>
  <si>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</si>
  <si>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</si>
  <si>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</si>
  <si>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</si>
  <si>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</si>
  <si>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</si>
  <si>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MADEIRA DE LEI PARA TELHADO COLONIAL/TELHA FRANCESA</t>
  </si>
  <si>
    <t>MADEIRA DE LEI PARA TELHADO</t>
  </si>
  <si>
    <t>PECA EM MADEIRA DE LEI 7 X 5 CM (APARELHADA)</t>
  </si>
  <si>
    <t>ADITIVO SIKA 1</t>
  </si>
  <si>
    <t>TELHA METALICA ONDULADA ACO GALVALUME ESP 0.5MM PRE PINTADA 1 FACE COR RAL 9003 (BRANCA) - PERFILOR, MULTI TELHAS, ISOESTE OU EQUIVALENTE</t>
  </si>
  <si>
    <t>TELHA METALICA EM ACO GALVALUME TRAPEZOIDAL 40 ESP. 0.50MM PRE-PINTADA NAS DUAS FACES</t>
  </si>
  <si>
    <t>BUCHA PLASTICA S-7</t>
  </si>
  <si>
    <t>BUCHA PLASTICA S-5</t>
  </si>
  <si>
    <t>BUCHA PLASTICA S-8</t>
  </si>
  <si>
    <t>BUCHA PLASTICA COM PARAFUSO - 6MM</t>
  </si>
  <si>
    <t>CILINDRO DE GAS DE COZINHA 45 KG (VAZIO)</t>
  </si>
  <si>
    <t>PERFIL "U" EM ALUMINIO ANODIZADO NATURAL 1/2" X 1/2" ESP. 1/16"</t>
  </si>
  <si>
    <t>TABUA MADEIRA DE LEI P/ PISO COM MACHO/FEMEA 15 CM X 2 CM (ASSOALHO)</t>
  </si>
  <si>
    <t>TINTA EPOXI CATALISAVEL PARA ACABAMENTO</t>
  </si>
  <si>
    <t>LAMPADAS (CONTINUAÇÃO)</t>
  </si>
  <si>
    <t>LAMPADA TUBULAR LED T8 9W 600MM BIVOLT CERTIFICADA INMETRO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</si>
  <si>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</si>
  <si>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</si>
  <si>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</si>
  <si>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</si>
  <si>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</si>
  <si>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</si>
  <si>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</si>
  <si>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QUADRO DISTRIB EM PVC 12 CIRCUITOS - BARRAMENTO 100A</t>
  </si>
  <si>
    <t>CANALETA DE DISTRIBUICAO 20X10CM COMPRIMENTO 2,00 M, COM TAMPA, SEM ADESIVO E COM DIVISORIAS, REF. 308 01X LEGRAND SISTEMA X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</si>
  <si>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</si>
  <si>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</si>
  <si>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</si>
  <si>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</si>
  <si>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</si>
  <si>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</si>
  <si>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</si>
  <si>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PP ISOLAMENTO 1000V, 3 X 4.00 MM2 - PIRELLI OU EQUIVALENTE</t>
  </si>
  <si>
    <t>CABO PP ISOLAMENTO 1000V, 2 X 2.5 MM2 - PIRELLI OU EQUIVALENTE</t>
  </si>
  <si>
    <t>CABO DE COBRE PP FLEX ISOL. PVC 1000V ANTI-CHAMA 70º - 3 X 2,5MM2</t>
  </si>
  <si>
    <t>CAIXA 4X4" EM ALUMINIO P/ PISO</t>
  </si>
  <si>
    <t>CAIXA PVC 4 X 2" - IP40 - TIGRE OU EQUIVALENTE</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</si>
  <si>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</si>
  <si>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</si>
  <si>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</si>
  <si>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</si>
  <si>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</si>
  <si>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 SO-001 000 - CLARON/EQUIVALENTE</t>
  </si>
  <si>
    <t>HASTE TIPO COPPERWELD - 5/8 "X 2.4M - ALTA CAMADA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</si>
  <si>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</si>
  <si>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</si>
  <si>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</si>
  <si>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</si>
  <si>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</si>
  <si>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</si>
  <si>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</si>
  <si>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</si>
  <si>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</si>
  <si>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</si>
  <si>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</si>
  <si>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</si>
  <si>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</si>
  <si>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</si>
  <si>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</si>
  <si>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</si>
  <si>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BARRA CHATA EM ALUMINIO 7/8" X 1/8" X 3M (70MM2) TEL-771</t>
  </si>
  <si>
    <t>TERMINAL AEREO EM LATAO (MINICAPTOR) H=250MM X 10MM - TEL 2024 - TERMOTECNICA OU EQUIVALENTE</t>
  </si>
  <si>
    <t>CONECTOR PARAFUSO FENDIDO SPLIT-BOLT (KS-17) P/CABO 4 - 10MM2 - BURNDY OU EQUIVALENTE</t>
  </si>
  <si>
    <t>CONECTOR PARAFUSO FENDIDO SPLIT-BOLT (KS-26) P/CABO 35 - 70MM2 - BURNDY OU EQUIVALENTE</t>
  </si>
  <si>
    <t>PARAFUSO CAB ABAULADA ACO GALV 1020 16X150MM</t>
  </si>
  <si>
    <t>CABECOTE DE ALUMINIO FUNDIDO 3"</t>
  </si>
  <si>
    <t>REATOR EXT. P/LAMPADA VAPOR MERCURIO TECNOWATT 400W/220V</t>
  </si>
  <si>
    <t>CABECOTE DE ALUMINIO FUNDIDO 4"</t>
  </si>
  <si>
    <t>PARAFUSO CAB ABAULADA ACO GALV 1020 10X150MM</t>
  </si>
  <si>
    <t>TUBO DE ESGOTO DE PVC SERIE "R" CINZA (6") - 150MM - TIGRE, AMANCO OU EQUIVALENTE</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</si>
  <si>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</si>
  <si>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</si>
  <si>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</si>
  <si>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</si>
  <si>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</si>
  <si>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</si>
  <si>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</si>
  <si>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</si>
  <si>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</si>
  <si>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</si>
  <si>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</si>
  <si>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</si>
  <si>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</si>
  <si>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</si>
  <si>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VALVULA DE DESCARGA P/ MICTORIO 1.1/2"</t>
  </si>
  <si>
    <t>CAIXA ACOPLADA P/ BACIA LOUCA INCL. VALVULA COM DUPLO ACIONAMENTO - REF. CD.00F - DECA OU EQUIVALENTE</t>
  </si>
  <si>
    <t>TORNEIRA DE LAVATORIO PAREDE ANTI-VANDAL CROMADO BIOPRESS AV 140MM - 1182-AV-BIO-140 - FABRIMAR OU EQUIVALENTE</t>
  </si>
  <si>
    <t>ASSENTO POLIESTER P/ BACIA VOGUE PLUS AP51 - DECA OU EQUIVALENTE</t>
  </si>
  <si>
    <t>ASSENTO POLIESTER C/ ABERTURA FRONTAL P/ BACIA VOGUE PLUS AP52 -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</si>
  <si>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</si>
  <si>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</si>
  <si>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</si>
  <si>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LAMPADA TUBULAR LED T8 18W 1200MM BIVOLT CERTIFICADA INMETRO</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</si>
  <si>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</si>
  <si>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</si>
  <si>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</si>
  <si>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</si>
  <si>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</si>
  <si>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</si>
  <si>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</si>
  <si>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</si>
  <si>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</si>
  <si>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</si>
  <si>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</si>
  <si>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</si>
  <si>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</si>
  <si>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</si>
  <si>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</si>
  <si>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</si>
  <si>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</si>
  <si>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</si>
  <si>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</si>
  <si>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</si>
  <si>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</si>
  <si>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</si>
  <si>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</si>
  <si>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</si>
  <si>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</si>
  <si>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</si>
  <si>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</si>
  <si>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</si>
  <si>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</si>
  <si>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</si>
  <si>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</si>
  <si>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</si>
  <si>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</si>
  <si>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</si>
  <si>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</si>
  <si>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</si>
  <si>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</si>
  <si>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</si>
  <si>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</si>
  <si>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</si>
  <si>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</si>
  <si>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</si>
  <si>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</si>
  <si>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</si>
  <si>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</si>
  <si>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</si>
  <si>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</si>
  <si>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</si>
  <si>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</si>
  <si>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</si>
  <si>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</si>
  <si>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</si>
  <si>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</si>
  <si>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</si>
  <si>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</si>
  <si>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</si>
  <si>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</si>
  <si>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</si>
  <si>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</si>
  <si>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</si>
  <si>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</si>
  <si>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5.2</t>
  </si>
  <si>
    <t>1.7</t>
  </si>
  <si>
    <t>1.8</t>
  </si>
  <si>
    <t>2.8</t>
  </si>
  <si>
    <t>Fabrício Benício de Brito</t>
  </si>
  <si>
    <t>Engenheiro Civil - CREA ES-014512/D</t>
  </si>
  <si>
    <t>RESTAURAÇÃO CASARÃO MADAME ALBERTINA HOLZ</t>
  </si>
  <si>
    <t>Avenida Rio Doce, quadra 20E, lote 1, Centro - Baixo Guandu/ ES</t>
  </si>
  <si>
    <t>MOVIMENTAÇÃO DE TERRA</t>
  </si>
  <si>
    <t>ESTRUTURA DE CONCRETO</t>
  </si>
  <si>
    <t>6.0</t>
  </si>
  <si>
    <t>6.1</t>
  </si>
  <si>
    <t>6.2</t>
  </si>
  <si>
    <t>6.3</t>
  </si>
  <si>
    <t>PISO</t>
  </si>
  <si>
    <t>ESQUADRIAS</t>
  </si>
  <si>
    <t>IMPERMEABILIZAÇÕES</t>
  </si>
  <si>
    <t>7.0</t>
  </si>
  <si>
    <t>7.1</t>
  </si>
  <si>
    <t>7.2</t>
  </si>
  <si>
    <t>INSTALAÇÕES HIDROSSANITÁRIAS</t>
  </si>
  <si>
    <t>8.0</t>
  </si>
  <si>
    <t>8.1</t>
  </si>
  <si>
    <t>8.2</t>
  </si>
  <si>
    <t>8.3</t>
  </si>
  <si>
    <t>9.0</t>
  </si>
  <si>
    <t>9.1</t>
  </si>
  <si>
    <t>9.2</t>
  </si>
  <si>
    <t>10.0</t>
  </si>
  <si>
    <t>10.1</t>
  </si>
  <si>
    <t>10.2</t>
  </si>
  <si>
    <t>11.0</t>
  </si>
  <si>
    <t>11.1</t>
  </si>
  <si>
    <t>11.2</t>
  </si>
  <si>
    <t>11.3</t>
  </si>
  <si>
    <t>12.0</t>
  </si>
  <si>
    <t>12.1</t>
  </si>
  <si>
    <t>12.2</t>
  </si>
  <si>
    <t>SERVIÇOS FINAIS</t>
  </si>
  <si>
    <t>SERVIÇOS DIVERSOS OU ESPECÍFICOS</t>
  </si>
  <si>
    <t>Meses (ms)</t>
  </si>
  <si>
    <t>Escritório</t>
  </si>
  <si>
    <t>Almoxarifado</t>
  </si>
  <si>
    <t>Reservatório</t>
  </si>
  <si>
    <t>11.4</t>
  </si>
  <si>
    <t>11.5</t>
  </si>
  <si>
    <t>MOBILIÁRIO URBANO</t>
  </si>
  <si>
    <t>CALÇADA CIDADÃ</t>
  </si>
  <si>
    <t>Banco para praça estilo Tamanduá em ripas de madeira maciça e pés em ferro fundido - largura 1,5 m - 3 lugares</t>
  </si>
  <si>
    <t>Lixeira cilíndrica em tela Belinox com suporte de tubos galvanizados, inclusive pintura, conforme projeto - fornecimento e instalação</t>
  </si>
  <si>
    <t>Banco de jardim ou praça estilo Tamanduá de madeira maciça - largura 1,50 m - 3 lugares</t>
  </si>
  <si>
    <t>33.497.110/0001-60</t>
  </si>
  <si>
    <t xml:space="preserve">Americanas S.A. </t>
  </si>
  <si>
    <t>Pronto Artes</t>
  </si>
  <si>
    <t>(24) 2220-2543
(24) 98837-0399</t>
  </si>
  <si>
    <t>DER-ES</t>
  </si>
  <si>
    <t>4.6</t>
  </si>
  <si>
    <t>4.7</t>
  </si>
  <si>
    <t>4.8</t>
  </si>
  <si>
    <t>4.9</t>
  </si>
  <si>
    <t>FORRO</t>
  </si>
  <si>
    <t>2.9</t>
  </si>
  <si>
    <t>2.10</t>
  </si>
  <si>
    <t>2.11</t>
  </si>
  <si>
    <t>2.12</t>
  </si>
  <si>
    <t>6.4</t>
  </si>
  <si>
    <t>6.5</t>
  </si>
  <si>
    <t>7.4</t>
  </si>
  <si>
    <t xml:space="preserve">PAREDES </t>
  </si>
  <si>
    <t>7.5</t>
  </si>
  <si>
    <t>13.0</t>
  </si>
  <si>
    <t>13.1</t>
  </si>
  <si>
    <t>13.2</t>
  </si>
  <si>
    <t>14.0</t>
  </si>
  <si>
    <t>14.1</t>
  </si>
  <si>
    <t>14.2</t>
  </si>
  <si>
    <t>15.0</t>
  </si>
  <si>
    <t>15.1</t>
  </si>
  <si>
    <t>15.2</t>
  </si>
  <si>
    <t>16.0</t>
  </si>
  <si>
    <t>16.1</t>
  </si>
  <si>
    <t>17.0</t>
  </si>
  <si>
    <t>17.1</t>
  </si>
  <si>
    <t>17.2</t>
  </si>
  <si>
    <t>17.3</t>
  </si>
  <si>
    <t>18.0</t>
  </si>
  <si>
    <t>19.0</t>
  </si>
  <si>
    <t>19.1</t>
  </si>
  <si>
    <t>19.2</t>
  </si>
  <si>
    <t>19.3</t>
  </si>
  <si>
    <t>20.0</t>
  </si>
  <si>
    <t>20.1</t>
  </si>
  <si>
    <t>20.2</t>
  </si>
  <si>
    <t>I</t>
  </si>
  <si>
    <t>Av. Rio Doce</t>
  </si>
  <si>
    <t>Jardim interno</t>
  </si>
  <si>
    <t>Buxinhos</t>
  </si>
  <si>
    <t>Lixeiras</t>
  </si>
  <si>
    <t>Bancos</t>
  </si>
  <si>
    <t>14.3</t>
  </si>
  <si>
    <t>17.4</t>
  </si>
  <si>
    <t>17.5</t>
  </si>
  <si>
    <t>Área (m²)</t>
  </si>
  <si>
    <t>Desnível térreo - 3 cm</t>
  </si>
  <si>
    <t>Vaso sanitário</t>
  </si>
  <si>
    <t>Localizados no pav. Superior</t>
  </si>
  <si>
    <t>Alt. (m)</t>
  </si>
  <si>
    <t>Quadro - fachada</t>
  </si>
  <si>
    <t>Platibanda</t>
  </si>
  <si>
    <t>Térreo + Pav. Sup.</t>
  </si>
  <si>
    <t>WC PNE</t>
  </si>
  <si>
    <t>Térreo + Pav. Sup. (03 pçs em cada sanitário - ver projeto)</t>
  </si>
  <si>
    <t>WC Masc.</t>
  </si>
  <si>
    <t xml:space="preserve">Térreo + Pav. Sup. </t>
  </si>
  <si>
    <t>Bebedouro</t>
  </si>
  <si>
    <t>Esp. (m)</t>
  </si>
  <si>
    <t>Copa</t>
  </si>
  <si>
    <t>1 unidade no Térreo e 1 unidade no Pav. Superior</t>
  </si>
  <si>
    <t>Bicicletário</t>
  </si>
  <si>
    <t>Circulação</t>
  </si>
  <si>
    <t>Térreo</t>
  </si>
  <si>
    <t>Pav. Sup.</t>
  </si>
  <si>
    <t>Localização</t>
  </si>
  <si>
    <t>Rua Milagres Junior</t>
  </si>
  <si>
    <t>Esquina R. Miladres com Av. Rio Doce</t>
  </si>
  <si>
    <t>Fechamentos muros existentes</t>
  </si>
  <si>
    <t>Trecho 1</t>
  </si>
  <si>
    <t>Fechamento muro R. Milagres Junior</t>
  </si>
  <si>
    <t>Trecho 2</t>
  </si>
  <si>
    <t>Trecho 3</t>
  </si>
  <si>
    <t>Trecho 4</t>
  </si>
  <si>
    <t>Trecho 5</t>
  </si>
  <si>
    <t>Limpeza terreno</t>
  </si>
  <si>
    <t>Anexo edificação (sanitários)</t>
  </si>
  <si>
    <t>Calçada frontal</t>
  </si>
  <si>
    <t xml:space="preserve">Galeria de artes </t>
  </si>
  <si>
    <t xml:space="preserve">Hall escada </t>
  </si>
  <si>
    <t>Sala 1</t>
  </si>
  <si>
    <t>Sala 3</t>
  </si>
  <si>
    <t>Sala 4</t>
  </si>
  <si>
    <t>Sala 5</t>
  </si>
  <si>
    <t>Sala 6</t>
  </si>
  <si>
    <t>Sala 7</t>
  </si>
  <si>
    <t>Sala 8</t>
  </si>
  <si>
    <t>Grama</t>
  </si>
  <si>
    <t>Ave do Paraízo</t>
  </si>
  <si>
    <t>Moréia</t>
  </si>
  <si>
    <t>Pinheiro Vela</t>
  </si>
  <si>
    <t>Flamboyant</t>
  </si>
  <si>
    <t>Pata-de-vaca</t>
  </si>
  <si>
    <t>Manacá da Serra</t>
  </si>
  <si>
    <t>Cor CINZA</t>
  </si>
  <si>
    <t>Cor VERMELHO</t>
  </si>
  <si>
    <t>Cor AMARELO</t>
  </si>
  <si>
    <t>Calçada</t>
  </si>
  <si>
    <t>Ladriho</t>
  </si>
  <si>
    <t>Rampas acesso</t>
  </si>
  <si>
    <t>Meio-fio (esquina)</t>
  </si>
  <si>
    <t xml:space="preserve">*Incluso meio-fio rebaixado - trecho acesso rampas </t>
  </si>
  <si>
    <t>R. Milagre Junior e Av. Rio Doce</t>
  </si>
  <si>
    <t>Cobertura existente</t>
  </si>
  <si>
    <t>Calha</t>
  </si>
  <si>
    <t>Mesa com cadeiras</t>
  </si>
  <si>
    <t>Wc Fem.</t>
  </si>
  <si>
    <t>Wc Masc.</t>
  </si>
  <si>
    <t>Wc PNE</t>
  </si>
  <si>
    <t>18.3</t>
  </si>
  <si>
    <t>Placa 1</t>
  </si>
  <si>
    <t>Placa 2</t>
  </si>
  <si>
    <t>Placa 3</t>
  </si>
  <si>
    <t>Placa 4</t>
  </si>
  <si>
    <t>TÉRREO</t>
  </si>
  <si>
    <t>TÉRREO + PAV. SUPERIOR</t>
  </si>
  <si>
    <t>PAV. SUPERIOR</t>
  </si>
  <si>
    <t>Desc. Portas (m)</t>
  </si>
  <si>
    <t>Comp. total (m)</t>
  </si>
  <si>
    <t>Circulação (Pav. Sup.)</t>
  </si>
  <si>
    <t>Circulação (Térreo)</t>
  </si>
  <si>
    <t>Sapatas - tipo I</t>
  </si>
  <si>
    <t>Sapatas - tipo II</t>
  </si>
  <si>
    <t>Sapatas - tipo III</t>
  </si>
  <si>
    <t>Dim. (m)</t>
  </si>
  <si>
    <t>100x100</t>
  </si>
  <si>
    <t>Pilares</t>
  </si>
  <si>
    <t>*Acréscimo de 60 cm de folga para cada lado para montgem de forma.</t>
  </si>
  <si>
    <t>*Altura forma sapatas = concreto magro (5 cm) + concreto estrutural (variável - conf. Projeto)</t>
  </si>
  <si>
    <t>*Altura forma pilaretes = Nível fundação (considerado 1,50 m) - concreto sapata</t>
  </si>
  <si>
    <t>Piso Pav. Sup.</t>
  </si>
  <si>
    <t>Forro Pav. Sup.</t>
  </si>
  <si>
    <t>Sobre mureta 20 cm</t>
  </si>
  <si>
    <t>Wc. Fem.</t>
  </si>
  <si>
    <t>Wc. Masc.</t>
  </si>
  <si>
    <t>Per. (m)</t>
  </si>
  <si>
    <t>Desc. Vãos (m)</t>
  </si>
  <si>
    <t>*Desconto de portas e básculas.</t>
  </si>
  <si>
    <t>P1 (70x210)</t>
  </si>
  <si>
    <t>P3 (90x210)</t>
  </si>
  <si>
    <t>J1 (80x40/170)</t>
  </si>
  <si>
    <t>Wc fem. + Wc. Masc. + WC PNE</t>
  </si>
  <si>
    <t>Tipo</t>
  </si>
  <si>
    <t>Verga</t>
  </si>
  <si>
    <t>Verga + Contraverga</t>
  </si>
  <si>
    <t>*Térreo + Pav. Sup.</t>
  </si>
  <si>
    <t>Área cx. d'água + condensadores</t>
  </si>
  <si>
    <t>Torneira de jardim</t>
  </si>
  <si>
    <t>*Aplicação em PISO e PAREDE (subindo 50 cm do piso)</t>
  </si>
  <si>
    <t>13.3</t>
  </si>
  <si>
    <t>13.4</t>
  </si>
  <si>
    <t>Coef.</t>
  </si>
  <si>
    <t>Plataforma</t>
  </si>
  <si>
    <t>12.3</t>
  </si>
  <si>
    <t>13.5</t>
  </si>
  <si>
    <t>Área do terreno</t>
  </si>
  <si>
    <t>Reboco interno</t>
  </si>
  <si>
    <t>Piso (item 2.1)</t>
  </si>
  <si>
    <t>Vol. (m³)</t>
  </si>
  <si>
    <t>Reboco interno edificação existente (item 2.2) = 2,5 cm</t>
  </si>
  <si>
    <t>Meio-fio (item 2.6)</t>
  </si>
  <si>
    <t>Alvenaria (item 2.3)</t>
  </si>
  <si>
    <t>Comp (m)</t>
  </si>
  <si>
    <t>Vol. Escavado (m³)</t>
  </si>
  <si>
    <t>Vol. Concreto magro (m³)</t>
  </si>
  <si>
    <t>Vol. Concreto estrutural (m³)</t>
  </si>
  <si>
    <t>Poço plataforma</t>
  </si>
  <si>
    <t>Edificação existente</t>
  </si>
  <si>
    <t>Edificação nova</t>
  </si>
  <si>
    <t>Viga Laje impermeabilizada</t>
  </si>
  <si>
    <t>EDIFICAÇÃO EXISTENTE:</t>
  </si>
  <si>
    <t>EDIFICAÇÃO NOVA:</t>
  </si>
  <si>
    <t>Chapisco (m²)</t>
  </si>
  <si>
    <t>Emboço (m²)</t>
  </si>
  <si>
    <t>Face viga+laje circulação</t>
  </si>
  <si>
    <t>12.4</t>
  </si>
  <si>
    <t>12.5</t>
  </si>
  <si>
    <t>J2 (120x40/170)</t>
  </si>
  <si>
    <t>Escada</t>
  </si>
  <si>
    <t>M²</t>
  </si>
  <si>
    <t>Bancada de granito cinza polido, para pia de cozinha, inclusive suporte mão-francesa em cantoneira (abas iguais) em ferro galvanizado - fornecimento e instalação</t>
  </si>
  <si>
    <t>REF. SINAPI_Custos de Composição Analítico_86889_Bancada de granito cinza polido, de 1,50 x 0,60 m, para pia de cozinha - fornecimento e instalação. AF _01/2020</t>
  </si>
  <si>
    <t>Rodabanca em granito cinza polido, altura 10 cm, espessura 2 cm - fornecimento e instalação</t>
  </si>
  <si>
    <t>REF. SINAPI_Custos de Composição Analítico_98685_Rodapé em granito, altura 10 cm. AF_09/2020</t>
  </si>
  <si>
    <t>Testeira de granito cinza polido, para bancada, altura 10 cm, espessura 2 cm</t>
  </si>
  <si>
    <t>Limpeza interna (edificação) e externa</t>
  </si>
  <si>
    <t>Piso área de serviço - à ser demolido</t>
  </si>
  <si>
    <t>Anexo - edificação NOVA</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</si>
  <si>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</si>
  <si>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</si>
  <si>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</si>
  <si>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Vista 1</t>
  </si>
  <si>
    <t>Portas:</t>
  </si>
  <si>
    <t>Janelas:</t>
  </si>
  <si>
    <t>Porta externa_Pav. Sup.</t>
  </si>
  <si>
    <t>NOTA: Retirada de esquadrias para substituição e/ou restauração</t>
  </si>
  <si>
    <t>NOTA: Retirada de esquadrias para substituição</t>
  </si>
  <si>
    <t>Desnível térreo - 15 cm calçada)</t>
  </si>
  <si>
    <t>Pav. Superior</t>
  </si>
  <si>
    <t>Paredes horizontais</t>
  </si>
  <si>
    <t>Térreo:</t>
  </si>
  <si>
    <t>Pav. Superior:</t>
  </si>
  <si>
    <t>Paredes externas:</t>
  </si>
  <si>
    <t>Térreo (INTERNO):</t>
  </si>
  <si>
    <t>Pav. Superior (INTERNO):</t>
  </si>
  <si>
    <t>Placas:</t>
  </si>
  <si>
    <t>Borda de piso intertravado (larg. 60 cm):</t>
  </si>
  <si>
    <t>Ver detalhe - Rua Milagres Junior</t>
  </si>
  <si>
    <t>6.6</t>
  </si>
  <si>
    <t>6.7</t>
  </si>
  <si>
    <t>6.8</t>
  </si>
  <si>
    <t>6.9</t>
  </si>
  <si>
    <t>8.4</t>
  </si>
  <si>
    <t>8.5</t>
  </si>
  <si>
    <t>9.3</t>
  </si>
  <si>
    <t>11.6</t>
  </si>
  <si>
    <t>11.7</t>
  </si>
  <si>
    <t>11.8</t>
  </si>
  <si>
    <t>11.9</t>
  </si>
  <si>
    <t>11.10</t>
  </si>
  <si>
    <t>11.11</t>
  </si>
  <si>
    <t>18.4</t>
  </si>
  <si>
    <t>18.5</t>
  </si>
  <si>
    <t>20.3</t>
  </si>
  <si>
    <t>21.0</t>
  </si>
  <si>
    <t>21.1</t>
  </si>
  <si>
    <t>21.2</t>
  </si>
  <si>
    <t>V1</t>
  </si>
  <si>
    <t>V2</t>
  </si>
  <si>
    <t>Piso pav. Superior edificação existente</t>
  </si>
  <si>
    <t>Porta fundos</t>
  </si>
  <si>
    <t>Porta lateral</t>
  </si>
  <si>
    <t>Salão_interno</t>
  </si>
  <si>
    <t>Cozinha_paredes externas</t>
  </si>
  <si>
    <t>Cozinha_parede interna</t>
  </si>
  <si>
    <t>Divisória banheiro</t>
  </si>
  <si>
    <t>Paredes verticais</t>
  </si>
  <si>
    <t>NOTA: Não foi considerado desconto de vãos.</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</si>
  <si>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</si>
  <si>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</si>
  <si>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</si>
  <si>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</si>
  <si>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</si>
  <si>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</si>
  <si>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</si>
  <si>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</si>
  <si>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</si>
  <si>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</si>
  <si>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</si>
  <si>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</si>
  <si>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</si>
  <si>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</si>
  <si>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</si>
  <si>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</si>
  <si>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</si>
  <si>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</si>
  <si>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</si>
  <si>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</si>
  <si>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</si>
  <si>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</si>
  <si>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</si>
  <si>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</si>
  <si>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</si>
  <si>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</si>
  <si>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</si>
  <si>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</si>
  <si>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</si>
  <si>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</si>
  <si>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</si>
  <si>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</si>
  <si>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</si>
  <si>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</si>
  <si>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</si>
  <si>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</si>
  <si>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</si>
  <si>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</si>
  <si>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</si>
  <si>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</si>
  <si>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</si>
  <si>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</si>
  <si>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</si>
  <si>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</si>
  <si>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</si>
  <si>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</si>
  <si>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</si>
  <si>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</si>
  <si>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</si>
  <si>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</si>
  <si>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</si>
  <si>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</si>
  <si>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</si>
  <si>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</si>
  <si>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</si>
  <si>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</si>
  <si>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</si>
  <si>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</si>
  <si>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</si>
  <si>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</si>
  <si>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</si>
  <si>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</si>
  <si>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</si>
  <si>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</si>
  <si>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</si>
  <si>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</si>
  <si>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</si>
  <si>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</si>
  <si>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</si>
  <si>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</si>
  <si>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</si>
  <si>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</si>
  <si>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</si>
  <si>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</si>
  <si>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</si>
  <si>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</si>
  <si>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</si>
  <si>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</si>
  <si>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</si>
  <si>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</si>
  <si>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</si>
  <si>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</si>
  <si>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</si>
  <si>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</si>
  <si>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</si>
  <si>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</si>
  <si>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</si>
  <si>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</si>
  <si>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</si>
  <si>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</si>
  <si>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</si>
  <si>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</si>
  <si>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</si>
  <si>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</si>
  <si>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</si>
  <si>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</si>
  <si>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</si>
  <si>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</si>
  <si>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</si>
  <si>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</si>
  <si>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</si>
  <si>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</si>
  <si>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</si>
  <si>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</si>
  <si>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</si>
  <si>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</si>
  <si>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</si>
  <si>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</si>
  <si>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</si>
  <si>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</si>
  <si>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</si>
  <si>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</si>
  <si>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</si>
  <si>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</si>
  <si>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</si>
  <si>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</si>
  <si>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</si>
  <si>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</si>
  <si>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</si>
  <si>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</si>
  <si>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</si>
  <si>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</si>
  <si>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</si>
  <si>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</si>
  <si>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</si>
  <si>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</si>
  <si>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</si>
  <si>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</si>
  <si>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</si>
  <si>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</si>
  <si>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</si>
  <si>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</si>
  <si>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</si>
  <si>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</si>
  <si>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</si>
  <si>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</si>
  <si>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</si>
  <si>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</si>
  <si>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</si>
  <si>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</si>
  <si>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</si>
  <si>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</si>
  <si>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</si>
  <si>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</si>
  <si>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</si>
  <si>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</si>
  <si>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</si>
  <si>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</si>
  <si>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</si>
  <si>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</si>
  <si>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</si>
  <si>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</si>
  <si>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</si>
  <si>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</si>
  <si>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</si>
  <si>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</si>
  <si>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</si>
  <si>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</si>
  <si>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</si>
  <si>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</si>
  <si>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</si>
  <si>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</si>
  <si>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</si>
  <si>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</si>
  <si>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</si>
  <si>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</si>
  <si>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</si>
  <si>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</si>
  <si>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</si>
  <si>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</si>
  <si>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</si>
  <si>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</si>
  <si>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</si>
  <si>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</si>
  <si>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</si>
  <si>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</si>
  <si>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</si>
  <si>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</si>
  <si>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</si>
  <si>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</si>
  <si>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</si>
  <si>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</si>
  <si>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</si>
  <si>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</si>
  <si>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</si>
  <si>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</si>
  <si>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</si>
  <si>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</si>
  <si>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</si>
  <si>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</si>
  <si>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</si>
  <si>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</si>
  <si>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</si>
  <si>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</si>
  <si>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</si>
  <si>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</si>
  <si>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</si>
  <si>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</si>
  <si>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</si>
  <si>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</si>
  <si>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</si>
  <si>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</si>
  <si>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</si>
  <si>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</si>
  <si>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</si>
  <si>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</si>
  <si>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</si>
  <si>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</si>
  <si>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</si>
  <si>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</si>
  <si>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</si>
  <si>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</si>
  <si>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</si>
  <si>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</si>
  <si>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</si>
  <si>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</si>
  <si>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</si>
  <si>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</si>
  <si>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</si>
  <si>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</si>
  <si>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</si>
  <si>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</si>
  <si>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</si>
  <si>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</si>
  <si>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</si>
  <si>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</si>
  <si>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</si>
  <si>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</si>
  <si>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</si>
  <si>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</si>
  <si>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</si>
  <si>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</si>
  <si>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</si>
  <si>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</si>
  <si>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</si>
  <si>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</si>
  <si>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</si>
  <si>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</si>
  <si>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</si>
  <si>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</si>
  <si>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</si>
  <si>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</si>
  <si>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</si>
  <si>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</si>
  <si>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</si>
  <si>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</si>
  <si>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</si>
  <si>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</si>
  <si>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</si>
  <si>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</si>
  <si>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</si>
  <si>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</si>
  <si>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</si>
  <si>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</si>
  <si>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</si>
  <si>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</si>
  <si>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</si>
  <si>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</si>
  <si>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</si>
  <si>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</si>
  <si>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</si>
  <si>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</si>
  <si>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</si>
  <si>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</si>
  <si>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</si>
  <si>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</si>
  <si>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</si>
  <si>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</si>
  <si>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</si>
  <si>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</si>
  <si>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</si>
  <si>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</si>
  <si>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</si>
  <si>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</si>
  <si>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</si>
  <si>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</si>
  <si>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</si>
  <si>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</si>
  <si>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</si>
  <si>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</si>
  <si>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</si>
  <si>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</si>
  <si>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</si>
  <si>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</si>
  <si>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</si>
  <si>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</si>
  <si>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</si>
  <si>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</si>
  <si>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</si>
  <si>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</si>
  <si>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</si>
  <si>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</si>
  <si>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</si>
  <si>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</si>
  <si>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</si>
  <si>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</si>
  <si>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</si>
  <si>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</si>
  <si>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</si>
  <si>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</si>
  <si>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</si>
  <si>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</si>
  <si>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</si>
  <si>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</si>
  <si>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</si>
  <si>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</si>
  <si>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</si>
  <si>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</si>
  <si>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</si>
  <si>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</si>
  <si>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</si>
  <si>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</si>
  <si>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</si>
  <si>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</si>
  <si>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</si>
  <si>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</si>
  <si>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</si>
  <si>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</si>
  <si>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</si>
  <si>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</si>
  <si>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</si>
  <si>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</si>
  <si>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</si>
  <si>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</si>
  <si>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</si>
  <si>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</si>
  <si>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</si>
  <si>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</si>
  <si>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</si>
  <si>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</si>
  <si>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</si>
  <si>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</si>
  <si>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</si>
  <si>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</si>
  <si>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</si>
  <si>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</si>
  <si>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</si>
  <si>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</si>
  <si>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</si>
  <si>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</si>
  <si>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</si>
  <si>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</si>
  <si>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</si>
  <si>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</si>
  <si>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</si>
  <si>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</si>
  <si>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</si>
  <si>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</si>
  <si>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</si>
  <si>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</si>
  <si>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</si>
  <si>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</si>
  <si>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</si>
  <si>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</si>
  <si>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</si>
  <si>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</si>
  <si>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</si>
  <si>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</si>
  <si>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</si>
  <si>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</si>
  <si>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</si>
  <si>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</si>
  <si>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</si>
  <si>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</si>
  <si>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</si>
  <si>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</si>
  <si>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</si>
  <si>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</si>
  <si>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</si>
  <si>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</si>
  <si>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</si>
  <si>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</si>
  <si>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</si>
  <si>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</si>
  <si>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</si>
  <si>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</si>
  <si>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</si>
  <si>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</si>
  <si>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</si>
  <si>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</si>
  <si>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</si>
  <si>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</si>
  <si>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</si>
  <si>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</si>
  <si>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</si>
  <si>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</si>
  <si>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</si>
  <si>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</si>
  <si>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</si>
  <si>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</si>
  <si>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</si>
  <si>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</si>
  <si>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</si>
  <si>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</si>
  <si>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</si>
  <si>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</si>
  <si>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</si>
  <si>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</si>
  <si>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</si>
  <si>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</si>
  <si>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</si>
  <si>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</si>
  <si>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</si>
  <si>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</si>
  <si>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</si>
  <si>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</si>
  <si>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</si>
  <si>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</si>
  <si>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</si>
  <si>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</si>
  <si>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</si>
  <si>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</si>
  <si>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</si>
  <si>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</si>
  <si>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</si>
  <si>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</si>
  <si>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</si>
  <si>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</si>
  <si>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</si>
  <si>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</si>
  <si>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</si>
  <si>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</si>
  <si>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</si>
  <si>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</si>
  <si>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</si>
  <si>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</si>
  <si>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</si>
  <si>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</si>
  <si>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</si>
  <si>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</si>
  <si>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</si>
  <si>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</si>
  <si>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</si>
  <si>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</si>
  <si>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</si>
  <si>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</si>
  <si>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</si>
  <si>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</si>
  <si>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</si>
  <si>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</si>
  <si>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</si>
  <si>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</si>
  <si>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</si>
  <si>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</si>
  <si>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</si>
  <si>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</si>
  <si>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</si>
  <si>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</si>
  <si>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</si>
  <si>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</si>
  <si>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</si>
  <si>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</si>
  <si>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</si>
  <si>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</si>
  <si>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</si>
  <si>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</si>
  <si>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</si>
  <si>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</si>
  <si>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</si>
  <si>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</si>
  <si>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</si>
  <si>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</si>
  <si>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</si>
  <si>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</si>
  <si>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</si>
  <si>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</si>
  <si>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</si>
  <si>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</si>
  <si>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</si>
  <si>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</si>
  <si>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</si>
  <si>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</si>
  <si>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</si>
  <si>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</si>
  <si>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</si>
  <si>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</si>
  <si>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</si>
  <si>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</si>
  <si>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</si>
  <si>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</si>
  <si>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</si>
  <si>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</si>
  <si>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</si>
  <si>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</si>
  <si>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</si>
  <si>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</si>
  <si>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</si>
  <si>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</si>
  <si>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</si>
  <si>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</si>
  <si>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</si>
  <si>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</si>
  <si>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</si>
  <si>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</si>
  <si>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</si>
  <si>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</si>
  <si>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</si>
  <si>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</si>
  <si>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</si>
  <si>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</si>
  <si>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</si>
  <si>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</si>
  <si>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</si>
  <si>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</si>
  <si>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</si>
  <si>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</si>
  <si>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</si>
  <si>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</si>
  <si>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</si>
  <si>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</si>
  <si>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</si>
  <si>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</si>
  <si>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</si>
  <si>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</si>
  <si>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</si>
  <si>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</si>
  <si>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</si>
  <si>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</si>
  <si>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</si>
  <si>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</si>
  <si>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</si>
  <si>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</si>
  <si>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</si>
  <si>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</si>
  <si>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</si>
  <si>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</si>
  <si>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</si>
  <si>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</si>
  <si>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</si>
  <si>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</si>
  <si>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</si>
  <si>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</si>
  <si>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</si>
  <si>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</si>
  <si>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</si>
  <si>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</si>
  <si>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</si>
  <si>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</si>
  <si>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</si>
  <si>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</si>
  <si>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</si>
  <si>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</si>
  <si>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</si>
  <si>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</si>
  <si>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</si>
  <si>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</si>
  <si>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</si>
  <si>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</si>
  <si>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</si>
  <si>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</si>
  <si>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</si>
  <si>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</si>
  <si>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</si>
  <si>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</si>
  <si>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</si>
  <si>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</si>
  <si>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</si>
  <si>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</si>
  <si>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</si>
  <si>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</si>
  <si>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</si>
  <si>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</si>
  <si>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</si>
  <si>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</si>
  <si>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</si>
  <si>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</si>
  <si>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</si>
  <si>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</si>
  <si>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</si>
  <si>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</si>
  <si>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</si>
  <si>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</si>
  <si>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</si>
  <si>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</si>
  <si>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</si>
  <si>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</si>
  <si>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</si>
  <si>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</si>
  <si>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</si>
  <si>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</si>
  <si>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</si>
  <si>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</si>
  <si>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</si>
  <si>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</si>
  <si>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</si>
  <si>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</si>
  <si>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</si>
  <si>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</si>
  <si>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</si>
  <si>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</si>
  <si>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</si>
  <si>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</si>
  <si>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</si>
  <si>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</si>
  <si>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</si>
  <si>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</si>
  <si>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</si>
  <si>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</si>
  <si>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</si>
  <si>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</si>
  <si>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</si>
  <si>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</si>
  <si>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</si>
  <si>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</si>
  <si>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</si>
  <si>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</si>
  <si>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</si>
  <si>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</si>
  <si>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</si>
  <si>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</si>
  <si>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</si>
  <si>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</si>
  <si>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</si>
  <si>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</si>
  <si>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</si>
  <si>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</si>
  <si>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</si>
  <si>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</si>
  <si>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</si>
  <si>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</si>
  <si>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</si>
  <si>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</si>
  <si>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</si>
  <si>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</si>
  <si>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</si>
  <si>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</si>
  <si>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</si>
  <si>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</si>
  <si>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</si>
  <si>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</si>
  <si>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</si>
  <si>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</si>
  <si>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</si>
  <si>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</si>
  <si>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</si>
  <si>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</si>
  <si>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</si>
  <si>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</si>
  <si>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</si>
  <si>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</si>
  <si>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</si>
  <si>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</si>
  <si>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</si>
  <si>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</si>
  <si>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</si>
  <si>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</si>
  <si>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</si>
  <si>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</si>
  <si>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</si>
  <si>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</si>
  <si>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</si>
  <si>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</si>
  <si>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</si>
  <si>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</si>
  <si>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</si>
  <si>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</si>
  <si>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</si>
  <si>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</si>
  <si>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</si>
  <si>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</si>
  <si>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</si>
  <si>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</si>
  <si>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</si>
  <si>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</si>
  <si>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</si>
  <si>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</si>
  <si>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</si>
  <si>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</si>
  <si>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</si>
  <si>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</si>
  <si>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</si>
  <si>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</si>
  <si>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</si>
  <si>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</si>
  <si>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</si>
  <si>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</si>
  <si>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</si>
  <si>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</si>
  <si>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</si>
  <si>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</si>
  <si>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</si>
  <si>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</si>
  <si>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</si>
  <si>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</si>
  <si>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</si>
  <si>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</si>
  <si>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</si>
  <si>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</si>
  <si>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</si>
  <si>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</si>
  <si>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</si>
  <si>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</si>
  <si>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</si>
  <si>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</si>
  <si>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</si>
  <si>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</si>
  <si>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</si>
  <si>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</si>
  <si>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</si>
  <si>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</si>
  <si>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</si>
  <si>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</si>
  <si>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</si>
  <si>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</si>
  <si>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</si>
  <si>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</si>
  <si>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</si>
  <si>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</si>
  <si>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</si>
  <si>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</si>
  <si>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</si>
  <si>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</si>
  <si>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</si>
  <si>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</si>
  <si>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</si>
  <si>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</si>
  <si>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</si>
  <si>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</si>
  <si>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</si>
  <si>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</si>
  <si>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</si>
  <si>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</si>
  <si>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</si>
  <si>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</si>
  <si>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</si>
  <si>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</si>
  <si>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</si>
  <si>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</si>
  <si>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</si>
  <si>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</si>
  <si>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</si>
  <si>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</si>
  <si>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</si>
  <si>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</si>
  <si>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</si>
  <si>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</si>
  <si>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</si>
  <si>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</si>
  <si>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</si>
  <si>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</si>
  <si>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</si>
  <si>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</si>
  <si>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</si>
  <si>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</si>
  <si>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</si>
  <si>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</si>
  <si>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</si>
  <si>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</si>
  <si>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</si>
  <si>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</si>
  <si>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</si>
  <si>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</si>
  <si>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</si>
  <si>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</si>
  <si>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</si>
  <si>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</si>
  <si>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</si>
  <si>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</si>
  <si>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</si>
  <si>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</si>
  <si>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</si>
  <si>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</si>
  <si>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</si>
  <si>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</si>
  <si>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</si>
  <si>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</si>
  <si>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</si>
  <si>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</si>
  <si>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</si>
  <si>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</si>
  <si>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</si>
  <si>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</si>
  <si>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</si>
  <si>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</si>
  <si>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</si>
  <si>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</si>
  <si>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</si>
  <si>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</si>
  <si>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</si>
  <si>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</si>
  <si>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</si>
  <si>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</si>
  <si>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</si>
  <si>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</si>
  <si>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</si>
  <si>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</si>
  <si>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</si>
  <si>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</si>
  <si>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</si>
  <si>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</si>
  <si>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</si>
  <si>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</si>
  <si>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</si>
  <si>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</si>
  <si>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</si>
  <si>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</si>
  <si>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</si>
  <si>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</si>
  <si>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</si>
  <si>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</si>
  <si>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</si>
  <si>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</si>
  <si>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</si>
  <si>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</si>
  <si>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</si>
  <si>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</si>
  <si>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</si>
  <si>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</si>
  <si>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</si>
  <si>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</si>
  <si>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</si>
  <si>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</si>
  <si>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</si>
  <si>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</si>
  <si>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</si>
  <si>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</si>
  <si>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</si>
  <si>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</si>
  <si>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</si>
  <si>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</si>
  <si>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</si>
  <si>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</si>
  <si>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</si>
  <si>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</si>
  <si>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</si>
  <si>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</si>
  <si>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</si>
  <si>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</si>
  <si>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</si>
  <si>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</si>
  <si>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</si>
  <si>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</si>
  <si>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</si>
  <si>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</si>
  <si>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</si>
  <si>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</si>
  <si>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</si>
  <si>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</si>
  <si>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</si>
  <si>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</si>
  <si>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</si>
  <si>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</si>
  <si>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</si>
  <si>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</si>
  <si>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</si>
  <si>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</si>
  <si>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</si>
  <si>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</si>
  <si>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</si>
  <si>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</si>
  <si>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</si>
  <si>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</si>
  <si>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</si>
  <si>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</si>
  <si>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</si>
  <si>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</si>
  <si>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</si>
  <si>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</si>
  <si>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</si>
  <si>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</si>
  <si>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</si>
  <si>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</si>
  <si>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</si>
  <si>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</si>
  <si>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</si>
  <si>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</si>
  <si>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</si>
  <si>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</si>
  <si>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</si>
  <si>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</si>
  <si>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</si>
  <si>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</si>
  <si>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</si>
  <si>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</si>
  <si>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</si>
  <si>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</si>
  <si>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</si>
  <si>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</si>
  <si>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</si>
  <si>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</si>
  <si>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</si>
  <si>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</si>
  <si>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</si>
  <si>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</si>
  <si>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</si>
  <si>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</si>
  <si>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</si>
  <si>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</si>
  <si>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</si>
  <si>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</si>
  <si>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</si>
  <si>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</si>
  <si>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</si>
  <si>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</si>
  <si>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</si>
  <si>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</si>
  <si>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</si>
  <si>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</si>
  <si>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</si>
  <si>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</si>
  <si>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</si>
  <si>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</si>
  <si>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</si>
  <si>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</si>
  <si>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</si>
  <si>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</si>
  <si>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</si>
  <si>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</si>
  <si>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</si>
  <si>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</si>
  <si>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</si>
  <si>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</si>
  <si>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</si>
  <si>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</si>
  <si>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</si>
  <si>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</si>
  <si>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</si>
  <si>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</si>
  <si>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</si>
  <si>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</si>
  <si>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</si>
  <si>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</si>
  <si>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</si>
  <si>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</si>
  <si>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</si>
  <si>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</si>
  <si>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</si>
  <si>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</si>
  <si>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</si>
  <si>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</si>
  <si>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</si>
  <si>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</si>
  <si>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</si>
  <si>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</si>
  <si>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</si>
  <si>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</si>
  <si>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</si>
  <si>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</si>
  <si>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</si>
  <si>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</si>
  <si>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</si>
  <si>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</si>
  <si>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</si>
  <si>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</si>
  <si>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</si>
  <si>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</si>
  <si>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</si>
  <si>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</si>
  <si>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</si>
  <si>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</si>
  <si>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</si>
  <si>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</si>
  <si>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</si>
  <si>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</si>
  <si>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</si>
  <si>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</si>
  <si>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</si>
  <si>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</si>
  <si>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</si>
  <si>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</si>
  <si>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</si>
  <si>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</si>
  <si>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</si>
  <si>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</si>
  <si>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</si>
  <si>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</si>
  <si>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</si>
  <si>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</si>
  <si>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</si>
  <si>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</si>
  <si>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</si>
  <si>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</si>
  <si>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</si>
  <si>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</si>
  <si>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</si>
  <si>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</si>
  <si>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</si>
  <si>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</si>
  <si>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</si>
  <si>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</si>
  <si>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</si>
  <si>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</si>
  <si>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</si>
  <si>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</si>
  <si>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</si>
  <si>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</si>
  <si>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</si>
  <si>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</si>
  <si>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</si>
  <si>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</si>
  <si>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</si>
  <si>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</si>
  <si>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</si>
  <si>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</si>
  <si>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</si>
  <si>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</si>
  <si>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</si>
  <si>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</si>
  <si>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</si>
  <si>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</si>
  <si>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</si>
  <si>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</si>
  <si>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</si>
  <si>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</si>
  <si>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</si>
  <si>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</si>
  <si>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</si>
  <si>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</si>
  <si>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</si>
  <si>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</si>
  <si>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</si>
  <si>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</si>
  <si>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</si>
  <si>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</si>
  <si>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</si>
  <si>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</si>
  <si>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</si>
  <si>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</si>
  <si>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</si>
  <si>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</si>
  <si>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</si>
  <si>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</si>
  <si>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</si>
  <si>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</si>
  <si>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</si>
  <si>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</si>
  <si>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</si>
  <si>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</si>
  <si>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</si>
  <si>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</si>
  <si>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</si>
  <si>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</si>
  <si>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</si>
  <si>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</si>
  <si>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</si>
  <si>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</si>
  <si>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</si>
  <si>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</si>
  <si>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</si>
  <si>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</si>
  <si>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</si>
  <si>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</si>
  <si>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</si>
  <si>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</si>
  <si>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</si>
  <si>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</si>
  <si>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</si>
  <si>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</si>
  <si>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</si>
  <si>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</si>
  <si>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</si>
  <si>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</si>
  <si>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</si>
  <si>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</si>
  <si>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</si>
  <si>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</si>
  <si>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</si>
  <si>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</si>
  <si>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</si>
  <si>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</si>
  <si>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</si>
  <si>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</si>
  <si>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</si>
  <si>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</si>
  <si>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</si>
  <si>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</si>
  <si>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</si>
  <si>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</si>
  <si>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</si>
  <si>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</si>
  <si>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</si>
  <si>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</si>
  <si>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</si>
  <si>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</si>
  <si>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</si>
  <si>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</si>
  <si>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</si>
  <si>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</si>
  <si>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</si>
  <si>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</si>
  <si>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</si>
  <si>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</si>
  <si>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</si>
  <si>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</si>
  <si>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</si>
  <si>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</si>
  <si>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</si>
  <si>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</si>
  <si>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</si>
  <si>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</si>
  <si>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</si>
  <si>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</si>
  <si>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</si>
  <si>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</si>
  <si>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</si>
  <si>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</si>
  <si>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</si>
  <si>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</si>
  <si>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</si>
  <si>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</si>
  <si>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</si>
  <si>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</si>
  <si>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</si>
  <si>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</si>
  <si>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</si>
  <si>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</si>
  <si>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</si>
  <si>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</si>
  <si>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</si>
  <si>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</si>
  <si>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</si>
  <si>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</si>
  <si>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</si>
  <si>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</si>
  <si>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</si>
  <si>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</si>
  <si>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</si>
  <si>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</si>
  <si>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</si>
  <si>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</si>
  <si>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</si>
  <si>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</si>
  <si>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</si>
  <si>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</si>
  <si>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CERA LIQUIDA INCOLOR MULTIPISO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</si>
  <si>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</si>
  <si>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</si>
  <si>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</si>
  <si>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</si>
  <si>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</si>
  <si>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</si>
  <si>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</si>
  <si>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</si>
  <si>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</si>
  <si>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</si>
  <si>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</si>
  <si>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CIMENTO PORTLAND ESTRUTURAL BRANCO  CPB-32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</si>
  <si>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</si>
  <si>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</si>
  <si>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</si>
  <si>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</si>
  <si>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</si>
  <si>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</si>
  <si>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</si>
  <si>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</si>
  <si>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CONTRAMARCO DE ALUMINIO (PERFIL 25) PARA ESQUADRIAS, TIPO CONVENCIONAL / CADEIRINHA, 60 MM (CM-060), INCLUSO CONEXOES, GRAPAS E TRAVAMENTOS                                                                                                                                                                                                                                                                                                                                                               </t>
  </si>
  <si>
    <t xml:space="preserve">DENTE PARA  FRESADORA                                                                                                                                                                                                                                                                                                                                                                                                                                                                                     </t>
  </si>
  <si>
    <t xml:space="preserve">DESINFETANTE PRONTO USO                                                                                                                                                                                                                                                                                                                                                                                                                                                                                   </t>
  </si>
  <si>
    <t xml:space="preserve">DETERGENTE NEUTRO USO GERAL, CONCENTRADO                                                                                                                                                                                                                                                                                                                                                                                                                                                                  </t>
  </si>
  <si>
    <t xml:space="preserve">DILUENTE AGUARRAS                                                                                                                                                                                                                                                                                                                                                                                                                                                                                         </t>
  </si>
  <si>
    <t xml:space="preserve">DISCO DE BORRACHA PARA LIXADEIRA RIGIDO 7 " COM ARRUELA  CENTRAL                                                                                                                                                                                                                                                                                                                                                                                                                                          </t>
  </si>
  <si>
    <t xml:space="preserve">DISCO DE CORTE DIAMANTADO SEGMENTADO DIAMETRO DE 180 MM PARA ESMERILHADEIRA  7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</si>
  <si>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</si>
  <si>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</si>
  <si>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</si>
  <si>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DIVISORIA EM GRANITO, COM DUAS FACES POLIDAS, TIPO ANDORINHA/ QUARTZ/ CASTELO/ CORUMBA OU OUTROS EQUIVALENTES DA REGIAO, E=  *3,0*  CM                                                                                                                                                                                                                                                                                                                                                                    </t>
  </si>
  <si>
    <t xml:space="preserve">DUCHA / CHUVEIRO METALICO, DE PAREDE, ARTICULAVEL, COM BRACO/CANO, SEM DESVIADOR                                                                                                                                                                                                                                                                                                                                                                                                                          </t>
  </si>
  <si>
    <t xml:space="preserve">DUCHA / CHUVEIRO METALICO, DE PAREDE, ARTICULAVEL, COM DESVIADOR E DUCHA MANUAL                                                                                                                                                                                                                                                                                                                                                                                                                           </t>
  </si>
  <si>
    <t xml:space="preserve">ELEMENTO VAZADO CERAMICO QUADRADO (TIPO RETO OU REDONDO), *7 A 9 X 20 X 20* CM (L X A X C)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</si>
  <si>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</si>
  <si>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</si>
  <si>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</si>
  <si>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ESCOVA CIRCULAR EM ACO LATONADO, 6 X 1 " (DIAMETRO X ESPESSURA), FURO DE 1 1/4 ", FIO ONDULADO *0,30*  MM                                                                                                                                                                                                                                                                                                                                                                                                 </t>
  </si>
  <si>
    <t xml:space="preserve">FERTILIZANTE NPK -  10:10:10                                                                                                                                                                                                                                                                                                                                                                                                                                                                              </t>
  </si>
  <si>
    <t xml:space="preserve">FUNDO SINTETICO NIVELADOR BRANCO FOSCO PARA MADEIRA                                                                                                                                                                                                                                                                                                                                                                                                                                                       </t>
  </si>
  <si>
    <t xml:space="preserve">GESSO COLA, EM PO, PARA FIXACAO DE MOLDURAS, SANCAS E BLOCOS DE GESSO                                                                                                                                                                                                                                                                                                                                                                                                                                     </t>
  </si>
  <si>
    <t xml:space="preserve">GRANALHA DE ACO, ESFERICA (SHOT), PARA JATEAMENTO, PENEIRA 1,19 A 1,00 MM  (SAE S390)                                                                                                                                                                                                                                                                                                                                                                                                                     </t>
  </si>
  <si>
    <t xml:space="preserve">GRUPO GERADOR ESTACIONARIO SILENCIADO, POTENCIA 50 KVA, MOTOR  DIESEL                                                                                                                                                                                                                                                                                                                                                                                                                                     </t>
  </si>
  <si>
    <t xml:space="preserve">GRUPO GERADOR ESTACIONARIO, SILENCIADO, POTENCIA 180 KVA, MOTOR  DIESEL                                                                                                                                                                                                                                                                                                                                                                                                                                   </t>
  </si>
  <si>
    <t xml:space="preserve">GUARNICAO / MOLDURA / ARREMATE DE ACABAMENTO PARA ESQUADRIA, EM ALUMINIO PERFIL 25, ACABAMENTO ANODIZADO BRANCO OU BRILHANTE, PARA 1 FACE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</si>
  <si>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</si>
  <si>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</si>
  <si>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</si>
  <si>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IMPERMEABILIZANTE INCOLOR,  BASE SILICONE, PARA TRATAMENTO DE FACHADAS, TELHAS, PEDRAS E OUTRAS SUPERFICIES                                                                                                                                                                                                                                                                                                                                                                                               </t>
  </si>
  <si>
    <t xml:space="preserve">JANELA BASCULANTE, EM ALUMINIO PERFIL 20, 80 X 60 CM (A X L), 4 FLS (1 FIXA E 3 MOVEIS), ACABAMENTO BRANCO OU BRILHANTE, BATENTE DE 3 A 4 CM, COM VIDRO, SEM GUARNICAO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</si>
  <si>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</si>
  <si>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</si>
  <si>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</si>
  <si>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</si>
  <si>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</si>
  <si>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</si>
  <si>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</si>
  <si>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ALUMINIO PERFIL 25, 60 X 80 CM (A X L), ACABAMENTO BRANCO OU BRILHANTE, BATENTE DE 4 A 5 CM, COM VIDRO, SEM GUARNICAO/ALIZAR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</si>
  <si>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</si>
  <si>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</si>
  <si>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</si>
  <si>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LIMPA VIDROS COM PULVERIZADOR                                                                                                                                                                                                                                                                                                                                                                                                                                                                             </t>
  </si>
  <si>
    <t xml:space="preserve">LIXA EM FOLHA PARA PAREDE OU MADEIRA, NUMERO 120, COR VERMELHA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</si>
  <si>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</si>
  <si>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</si>
  <si>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</si>
  <si>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</si>
  <si>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</si>
  <si>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</si>
  <si>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</si>
  <si>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</si>
  <si>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</si>
  <si>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</si>
  <si>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</si>
  <si>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</si>
  <si>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</si>
  <si>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</si>
  <si>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MASSA ACRILICA PARA SUPERFICIES INTERNAS E EXTERNAS                                                                                                                                                                                                                                                                                                                                                                                                                                                       </t>
  </si>
  <si>
    <t xml:space="preserve">MASSA CORRIDA PARA SUPERFICIES DE AMBIENTES INTERNOS                                                                                                                                                                                                                                                                                                                                                                                                                                                      </t>
  </si>
  <si>
    <t xml:space="preserve">MASSA PARA MADEIRA - INTERIOR E EXTERIOR                                                                                                                                                                                                                                                                                                                                                                                                                                                                  </t>
  </si>
  <si>
    <t xml:space="preserve">MASSA PREMIUM PARA TEXTURA LISA DE BASE ACRILICA, USO INTERNO E EXTERNO                                                                                                                                                                                                                                                                                                                                                                                                                                   </t>
  </si>
  <si>
    <t xml:space="preserve">MASSA PREMIUM PARA TEXTURA RUSTICA DE BASE ACRILICA, COR BRANCA, USO INTERNO E EXTERNO                                                                                                                                                                                                                                                                                                                                                                                                                    </t>
  </si>
  <si>
    <t xml:space="preserve">MICROESFERAS DE VIDRO PARA SINALIZACAO HORIZONTAL VIARIA, TIPO I-B (PREMIX) - NBR  16184                                                                                                                                                                                                                                                                                                                                                                                                                  </t>
  </si>
  <si>
    <t xml:space="preserve">MICROESFERAS DE VIDRO PARA SINALIZACAO HORIZONTAL VIARIA, TIPO II-A (DROP-ON) - NBR  16184                                                                                                                                                                                                                                                                                                                                                                                                                </t>
  </si>
  <si>
    <t xml:space="preserve">MISTURADOR CROMADO DE MESA, BICA BAIXA, PARA LAVATORIO (REF 1875)                                                                                                                                                                                                                                                                                                                                                                                                                                         </t>
  </si>
  <si>
    <t xml:space="preserve">MISTURADOR CROMADO DE PAREDE PARA LAVATORIO (REF 1878)                                                                                                                                                                                                                                                                                                                                                                                                                                                    </t>
  </si>
  <si>
    <t xml:space="preserve">MISTURADOR DE PAREDE, CROMADO, PARA COZINHA, BICA ALTA MOVEL, COM AREJADOR ARTICULADO (REF 1258)                                                                                                                                                                                                                                                                                                                                                                                                          </t>
  </si>
  <si>
    <t xml:space="preserve">MISTURADOR MONOCOMANDO PARA CHUVEIRO, BASE BRUTA, ACABAMENTO CROMADO                                                                                                                                                                                                                                                                                                                                                                                                                                      </t>
  </si>
  <si>
    <t xml:space="preserve">MISTURADOR, BASE PARA CHUVEIRO/BANHEIRA, 1/2 " OU 3/4 ", SOLDAVEL OU ROSCAVEL (NAO INCLUI ACABAMENTOS)                                                                                                                                                                                                                                                                                                                                                                                                    </t>
  </si>
  <si>
    <t xml:space="preserve">MONTADOR DE ESTRUTURAS METALICAS HORISTA                                                                                                                                                                                                                                                                                                                                                                                                                                                                  </t>
  </si>
  <si>
    <t xml:space="preserve">OPERADOR DE DEMARCADORA DE FAIXAS DE TRAFEGO HORISTA                                                                                                                                                                                                                                                                                                                                                                                                                                                      </t>
  </si>
  <si>
    <t xml:space="preserve">OPERADOR DE PAVIMENTADORA / MESA VIBROACABADORA HORISTA                                                                                                                                                                                                                                                                                                                                                                                                                                                   </t>
  </si>
  <si>
    <t xml:space="preserve">PAR DE TABELAS DE BASQUETE EM COMPENSADO NAVAL, OFICIAL, 1800 X 1200 MM, INCLUINDO ARO DE METAL E REDE EM POLIPROPILENO 100% (SEM SUPORTE DE FIXACAO)                                                                                                                                                                                                                                                                                                                                                     </t>
  </si>
  <si>
    <t xml:space="preserve">PERFIL LONGARINA (PRINCIPAL), T CLICADO, EM ACO, BRANCO NAS FACES APARENTES, PARA FORRO REMOVIVEL, 24 X 32 X 3750 MM (L X H X C                                                                                                                                                                                                                                                                                                                                                                           </t>
  </si>
  <si>
    <t xml:space="preserve">PISO EM GRANITO, POLIDO, TIPO MARFIM, DALLAS, CARAVELAS OU OUTROS EQUIVALENTES DA REGIAO, FORMATO MENOR OU IGUAL A 3025 CM2, E=  *2*CM                                                                                                                                                                                                                                                                                                                                                                    </t>
  </si>
  <si>
    <t xml:space="preserve">PISO/ REVESTIMENTO EM GRANITO, POLIDO, TIPO ANDORINHA/ QUARTZ/ CASTELO/ CORUMBA OU OUTROS EQUIVALENTES DA REGIAO, FORMATO MAIOR OU IGUAL A 3025 CM2, E = *2*CM                                                                                                                                                                                                                                                                                                                                            </t>
  </si>
  <si>
    <t xml:space="preserve">PLACA / CHAPA DE GESSO ACARTONADO, RESISTENTE A UMIDADE (RU), COR VERDE, E = 15 MM, 1200 X 2400 MM (L X C)                                                                                                                                                                                                                                                                                                                                                                                                </t>
  </si>
  <si>
    <t xml:space="preserve">PLACA / CHAPA DE GESSO ACARTONADO, RESISTENTE AO FOGO (RF), COR ROSA, E = 15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</si>
  <si>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</si>
  <si>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</si>
  <si>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</si>
  <si>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OBRA (PARA CONSTRUCAO CIVIL) EM CHAPA GALVANIZADA *N. 22*, ADESIVADA, DE *2,4 X 1,2* M (SEM POSTES PARA FIXACAO)                                                                                                                                                                                                                                                                                                                                                                                 </t>
  </si>
  <si>
    <t xml:space="preserve">PONTEIRO PARA MARTELO ROMPEDOR, DIAMETRO = *28* MM, COMPRIMENTO = *520* MM, ENCAIXE  SEXTAVADO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</si>
  <si>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</si>
  <si>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</si>
  <si>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</si>
  <si>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DENTE PARA  FRESADORA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</si>
  <si>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</si>
  <si>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</si>
  <si>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</si>
  <si>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</si>
  <si>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</si>
  <si>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</si>
  <si>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</si>
  <si>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</si>
  <si>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</si>
  <si>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</si>
  <si>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</si>
  <si>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</si>
  <si>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</si>
  <si>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</si>
  <si>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</si>
  <si>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</si>
  <si>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</si>
  <si>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</si>
  <si>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</si>
  <si>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</si>
  <si>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</si>
  <si>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</si>
  <si>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</si>
  <si>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</si>
  <si>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</si>
  <si>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</si>
  <si>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</si>
  <si>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</si>
  <si>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</si>
  <si>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</si>
  <si>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</si>
  <si>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</si>
  <si>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</si>
  <si>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</si>
  <si>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</si>
  <si>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</si>
  <si>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</si>
  <si>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</si>
  <si>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</si>
  <si>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</si>
  <si>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</si>
  <si>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</si>
  <si>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</si>
  <si>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</si>
  <si>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</si>
  <si>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</si>
  <si>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</si>
  <si>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</si>
  <si>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</si>
  <si>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</si>
  <si>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</si>
  <si>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</si>
  <si>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POZOLANA DE CLASSE  C                                                                                                                                                                                                                                                                                                                                                                                                                                                                                     </t>
  </si>
  <si>
    <t xml:space="preserve">PRIMER EPOXI / EPOXIDICO                                                                                                                                                                                                                                                                                                                                                                                                                                                                                  </t>
  </si>
  <si>
    <t xml:space="preserve">RASTELEIRO HORISTA                                                                                                                                                                                                                                                                                                                                                                                                                                                                                        </t>
  </si>
  <si>
    <t xml:space="preserve">REBOLO ABRASIVO RETO DE USO GERAL GRAO 36, DE 6 X 1 " ( DIAMETRO X ALTURA)                                                                                                                                                                                                                                                                                                                                                                                                                                </t>
  </si>
  <si>
    <t xml:space="preserve">RESINA ACRILICA PREMIUM BASE AGUA - COR BRANCA                                                                                                                                                                                                                                                                                                                                                                                                                                                            </t>
  </si>
  <si>
    <t xml:space="preserve">SERVICO DE BOMBEAMENTO DE CONCRETO COM CONSUMO MINIMO DE 40  M3                                                                                                                                                                                                                                                                                                                                                                                                                                           </t>
  </si>
  <si>
    <t xml:space="preserve">SILICA ATIVA PARA ADICAO EM CONCRETO E  ARGAMASSA                                                                                                                                                                                                                                                                                                                                                                                                                                                         </t>
  </si>
  <si>
    <t xml:space="preserve">TARIFA "A" ENTRE  0 E 20M3 FORNECIMENTO  D'AGUA                                                                                                                                                                                                                                                                                                                                                                                                                                                           </t>
  </si>
  <si>
    <t xml:space="preserve">TARUGO DELIMITADOR DE PROFUNDIDADE EM ESPUMA DE POLIETILENO DE BAIXA DENSIDADE 10 MM, CINZA                                                                                                                                                                                                                                                                                                                                                                                                               </t>
  </si>
  <si>
    <t xml:space="preserve">TELA DE ANIAGEM ( JUTA)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</si>
  <si>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</si>
  <si>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TINTA LATEX ACRILICA PREMIUM, COR BRANCO FOSCO                                                                                                                                                                                                                                                                                                                                                                                                                                                            </t>
  </si>
  <si>
    <t xml:space="preserve">TINTA LATEX ACRILICA SUPER PREMIUM, COR BRANCO FOSCO                                                                                                                                                                                                                                                                                                                                                                                                                                                      </t>
  </si>
  <si>
    <t xml:space="preserve">TINTA/RESINA ACRILICA PREMIUM PARA CERAMICA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</si>
  <si>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</si>
  <si>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</si>
  <si>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</si>
  <si>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</si>
  <si>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</si>
  <si>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</si>
  <si>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</si>
  <si>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</si>
  <si>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</si>
  <si>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</si>
  <si>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</si>
  <si>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</si>
  <si>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</si>
  <si>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</si>
  <si>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</si>
  <si>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</si>
  <si>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</si>
  <si>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</si>
  <si>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</si>
  <si>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</si>
  <si>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</si>
  <si>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</si>
  <si>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</si>
  <si>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</si>
  <si>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</si>
  <si>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</si>
  <si>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</si>
  <si>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</si>
  <si>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</si>
  <si>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</si>
  <si>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</si>
  <si>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</si>
  <si>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</si>
  <si>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</si>
  <si>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</si>
  <si>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</si>
  <si>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</si>
  <si>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</si>
  <si>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</si>
  <si>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</si>
  <si>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REVESTIMENTO, EM ACO, CORPO SCHEDULE 40, PONTEIRA SCHEDULE 80, ROSQUEAVEL E SEGMENTADO PARA PERFURACAO, DIAMETRO 8'' (200 MM)                                                                                                                                                                                                                                                                                                                                                                     </t>
  </si>
  <si>
    <t xml:space="preserve">TUBO PVC, SOLDAVEL, DN 100 MM, AGUA FRIA (NBR-5648)                                                                                                                                                                                                                                                                                                                                                                                                                                                       </t>
  </si>
  <si>
    <t xml:space="preserve">USINA DE ASFALTO, GRAVIMETRICA, CAPACIDADE DE 150 T/H, POTENCIA DE 400  KW                                                                                                                                                                                                                                                                                                                                                                                                                                </t>
  </si>
  <si>
    <t xml:space="preserve">VALVULA DE ESCOAMENTO PARA TANQUE, EM METAL CROMADO, 1.1/2 ", SEM LADRAO, COM TAMPAO PLASTICO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</si>
  <si>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</si>
  <si>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</si>
  <si>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</si>
  <si>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VIBROACABADORA DE ASFALTO SOBRE ESTEIRAS, LARG. PAVIM. MAX. 8,00 M, POT. 100 KW/ 134 HP, CAP.  600 T/ H                                                                                                                                                                                                                                                                                                                                                                                                   </t>
  </si>
  <si>
    <t xml:space="preserve">VIBROACABADORA DE ASFALTO SOBRE ESTEIRAS, LARG. PAVIM. 2,13 M A 4,55 M, POT. 74 KW/ 100 HP, CAP. 400  T/ H                                                                                                                                                                                                                                                                                                                                                                                                </t>
  </si>
  <si>
    <t>TOTAL DE INSUMOS : 5215</t>
  </si>
  <si>
    <t>DEZ/21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</si>
  <si>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</si>
  <si>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</si>
  <si>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</si>
  <si>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</si>
  <si>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</si>
  <si>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</si>
  <si>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</si>
  <si>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</si>
  <si>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</si>
  <si>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</si>
  <si>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</si>
  <si>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</si>
  <si>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</si>
  <si>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</si>
  <si>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</si>
  <si>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</si>
  <si>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</si>
  <si>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</si>
  <si>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</si>
  <si>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</si>
  <si>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</si>
  <si>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</si>
  <si>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</si>
  <si>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</si>
  <si>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</si>
  <si>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</si>
  <si>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</si>
  <si>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</si>
  <si>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</si>
  <si>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</si>
  <si>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</si>
  <si>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</si>
  <si>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</si>
  <si>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</si>
  <si>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</si>
  <si>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</si>
  <si>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</si>
  <si>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</si>
  <si>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</si>
  <si>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</si>
  <si>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</si>
  <si>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</si>
  <si>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</si>
  <si>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</si>
  <si>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</si>
  <si>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</si>
  <si>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</si>
  <si>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</si>
  <si>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</si>
  <si>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</si>
  <si>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</si>
  <si>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</si>
  <si>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</si>
  <si>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</si>
  <si>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</si>
  <si>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</si>
  <si>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</si>
  <si>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</si>
  <si>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</si>
  <si>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</si>
  <si>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</si>
  <si>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</si>
  <si>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</si>
  <si>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</si>
  <si>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</si>
  <si>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</si>
  <si>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</si>
  <si>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</si>
  <si>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</si>
  <si>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</si>
  <si>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</si>
  <si>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</si>
  <si>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</si>
  <si>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</si>
  <si>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</si>
  <si>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</si>
  <si>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</si>
  <si>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</si>
  <si>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</si>
  <si>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</si>
  <si>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</si>
  <si>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</si>
  <si>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</si>
  <si>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</si>
  <si>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</si>
  <si>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</si>
  <si>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</si>
  <si>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</si>
  <si>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</si>
  <si>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</si>
  <si>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</si>
  <si>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</si>
  <si>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</si>
  <si>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</si>
  <si>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</si>
  <si>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</si>
  <si>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</si>
  <si>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</si>
  <si>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</si>
  <si>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</si>
  <si>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</si>
  <si>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</si>
  <si>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</si>
  <si>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</si>
  <si>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</si>
  <si>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</si>
  <si>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</si>
  <si>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</si>
  <si>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</si>
  <si>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</si>
  <si>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</si>
  <si>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</si>
  <si>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</si>
  <si>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</si>
  <si>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</si>
  <si>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</si>
  <si>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</si>
  <si>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</si>
  <si>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</si>
  <si>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</si>
  <si>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</si>
  <si>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</si>
  <si>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</si>
  <si>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</si>
  <si>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</si>
  <si>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</si>
  <si>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</si>
  <si>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</si>
  <si>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</si>
  <si>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</si>
  <si>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</si>
  <si>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</si>
  <si>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</si>
  <si>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</si>
  <si>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</si>
  <si>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</si>
  <si>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</si>
  <si>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</si>
  <si>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</si>
  <si>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</si>
  <si>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</si>
  <si>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</si>
  <si>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</si>
  <si>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</si>
  <si>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</si>
  <si>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</si>
  <si>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</si>
  <si>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</si>
  <si>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</si>
  <si>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</si>
  <si>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</si>
  <si>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</si>
  <si>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</si>
  <si>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</si>
  <si>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</si>
  <si>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</si>
  <si>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</si>
  <si>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</si>
  <si>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</si>
  <si>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</si>
  <si>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</si>
  <si>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</si>
  <si>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</si>
  <si>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</si>
  <si>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</si>
  <si>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</si>
  <si>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</si>
  <si>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</si>
  <si>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</si>
  <si>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</si>
  <si>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</si>
  <si>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</si>
  <si>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</si>
  <si>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</si>
  <si>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</si>
  <si>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</si>
  <si>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</si>
  <si>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</si>
  <si>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</si>
  <si>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</si>
  <si>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</si>
  <si>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</si>
  <si>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</si>
  <si>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</si>
  <si>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</si>
  <si>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</si>
  <si>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</si>
  <si>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</si>
  <si>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</si>
  <si>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</si>
  <si>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</si>
  <si>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</si>
  <si>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</si>
  <si>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</si>
  <si>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</si>
  <si>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</si>
  <si>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</si>
  <si>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</si>
  <si>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</si>
  <si>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</si>
  <si>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</si>
  <si>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</si>
  <si>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</si>
  <si>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</si>
  <si>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</si>
  <si>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</si>
  <si>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</si>
  <si>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</si>
  <si>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</si>
  <si>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</si>
  <si>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</si>
  <si>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</si>
  <si>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</si>
  <si>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</si>
  <si>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</si>
  <si>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</si>
  <si>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</si>
  <si>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</si>
  <si>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</si>
  <si>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</si>
  <si>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</si>
  <si>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</si>
  <si>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</si>
  <si>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</si>
  <si>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</si>
  <si>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</si>
  <si>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</si>
  <si>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</si>
  <si>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</si>
  <si>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PINTOR (LETRISTA) - (SINTRACONST)</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</si>
  <si>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</si>
  <si>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</si>
  <si>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</si>
  <si>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</si>
  <si>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</si>
  <si>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</si>
  <si>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</si>
  <si>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</si>
  <si>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</si>
  <si>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</si>
  <si>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</si>
  <si>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</si>
  <si>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</si>
  <si>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</si>
  <si>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</si>
  <si>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</si>
  <si>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</si>
  <si>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</si>
  <si>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</si>
  <si>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</si>
  <si>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</si>
  <si>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</si>
  <si>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</si>
  <si>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</si>
  <si>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</si>
  <si>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</si>
  <si>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</si>
  <si>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</si>
  <si>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</si>
  <si>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</si>
  <si>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</si>
  <si>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</si>
  <si>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</si>
  <si>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</si>
  <si>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</si>
  <si>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</si>
  <si>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</si>
  <si>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</si>
  <si>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</si>
  <si>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</si>
  <si>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</si>
  <si>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</si>
  <si>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</si>
  <si>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</si>
  <si>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</si>
  <si>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NOV/21</t>
  </si>
  <si>
    <t>Placa de obra nas dimensões de 2.0 x 4.0 m, padrão DER</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</si>
  <si>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</si>
  <si>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</si>
  <si>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</si>
  <si>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</si>
  <si>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</si>
  <si>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</si>
  <si>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</si>
  <si>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</si>
  <si>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</si>
  <si>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</si>
  <si>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</si>
  <si>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</si>
  <si>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</si>
  <si>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</si>
  <si>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</si>
  <si>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</si>
  <si>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</si>
  <si>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</si>
  <si>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</si>
  <si>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</si>
  <si>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</si>
  <si>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</si>
  <si>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</si>
  <si>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</si>
  <si>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</si>
  <si>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</si>
  <si>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</si>
  <si>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</si>
  <si>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</si>
  <si>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</si>
  <si>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</si>
  <si>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</si>
  <si>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</si>
  <si>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</si>
  <si>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</si>
  <si>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</si>
  <si>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</si>
  <si>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</si>
  <si>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</si>
  <si>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</si>
  <si>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</si>
  <si>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</si>
  <si>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</si>
  <si>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</si>
  <si>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</si>
  <si>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</si>
  <si>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NOTAS:</t>
  </si>
  <si>
    <t>Base de referência DER-ES_NOV/2021</t>
  </si>
  <si>
    <t>Base de referência SINAPI_DEZ/2021</t>
  </si>
  <si>
    <t>Porta externa_Térreo_hall escada</t>
  </si>
  <si>
    <t>NOTA: Rodapé de madeira existente a ser reaproveitado.</t>
  </si>
  <si>
    <t>60x60</t>
  </si>
  <si>
    <t>120x120</t>
  </si>
  <si>
    <t>S4=S8</t>
  </si>
  <si>
    <t>S11</t>
  </si>
  <si>
    <t>S1=S2=S3=S5=S6=S7=S9=S10</t>
  </si>
  <si>
    <t>5.3</t>
  </si>
  <si>
    <t>Localização:</t>
  </si>
  <si>
    <t>Pavimento superior</t>
  </si>
  <si>
    <t>2.13</t>
  </si>
  <si>
    <t>*Inclusive assoalho Hall escada</t>
  </si>
  <si>
    <t>V3</t>
  </si>
  <si>
    <t>V4</t>
  </si>
  <si>
    <t>V5</t>
  </si>
  <si>
    <t>Escada acesso Pav. Superior</t>
  </si>
  <si>
    <t>5.4</t>
  </si>
  <si>
    <t>Guarda-corpo escada</t>
  </si>
  <si>
    <t>Assoalho de madeira existente</t>
  </si>
  <si>
    <t>4.10</t>
  </si>
  <si>
    <t>6.10</t>
  </si>
  <si>
    <t xml:space="preserve">Apoio laje piso pavimento superior </t>
  </si>
  <si>
    <t>Apoio laje cobertura</t>
  </si>
  <si>
    <t>Localização: junta entre construção NOVA (sanitários) e edificação EXISTENTE.</t>
  </si>
  <si>
    <t>13.6</t>
  </si>
  <si>
    <t>7.6</t>
  </si>
  <si>
    <t>Trechos à complementar</t>
  </si>
  <si>
    <t>2.14</t>
  </si>
  <si>
    <t>Assoalho salas</t>
  </si>
  <si>
    <t>Assoalho hall escada</t>
  </si>
  <si>
    <t>*ANEXO -&gt; Térreo + Pav. Sup.</t>
  </si>
  <si>
    <t>Guarda-corpo Hall/ escada</t>
  </si>
  <si>
    <t>Almoxarifado/ Copa</t>
  </si>
  <si>
    <t>NOTA: Paredes pavimento superior edificação existente.</t>
  </si>
  <si>
    <t>Calçada entorno das edificações (larg. 60 cm):</t>
  </si>
  <si>
    <t>Paredes internas</t>
  </si>
  <si>
    <t>Teto</t>
  </si>
  <si>
    <t>Elementos decorativos</t>
  </si>
  <si>
    <t>Arco - fachada frontal (vista 1)</t>
  </si>
  <si>
    <t>Púlpitos - fachada frontal (vista 1)</t>
  </si>
  <si>
    <t>2.15</t>
  </si>
  <si>
    <t>Vigas baldrames</t>
  </si>
  <si>
    <t>12x40</t>
  </si>
  <si>
    <t>V1 À V12</t>
  </si>
  <si>
    <t>Pilares - tipo I</t>
  </si>
  <si>
    <t>Vigas - 1° e 2° laje</t>
  </si>
  <si>
    <t>5.5</t>
  </si>
  <si>
    <t>Corrimão de madeira, dimensão 5 x 6 cm, em Macaranduba, Angelim ou equivalente, suporte metálico. Inclui lixamento de madeira para aplicação de verniz</t>
  </si>
  <si>
    <t>Corrimão escada interna</t>
  </si>
  <si>
    <t>Cantoneira de apoio laje pré-moldada, dim.: 4" x 1/4" (101,60 x 6,35 mm) fixado com barra de ancoragem em estrutura existente</t>
  </si>
  <si>
    <t>7.7</t>
  </si>
  <si>
    <t>Entorno pilares
Galeria de Artes</t>
  </si>
  <si>
    <t>Porta de enrolar</t>
  </si>
  <si>
    <t>Térreo_vista 1</t>
  </si>
  <si>
    <t>Báscula</t>
  </si>
  <si>
    <t>Cozinha existente a demolir</t>
  </si>
  <si>
    <t>Janela</t>
  </si>
  <si>
    <t>18.6</t>
  </si>
  <si>
    <t>Mangueira</t>
  </si>
  <si>
    <t>Árvores de pequeno porte</t>
  </si>
  <si>
    <t>J4</t>
  </si>
  <si>
    <t>16.2</t>
  </si>
  <si>
    <t>16.3</t>
  </si>
  <si>
    <t>16.4</t>
  </si>
  <si>
    <t>16.5</t>
  </si>
  <si>
    <t>ESTRUTURA DE MADEIRA E PISO</t>
  </si>
  <si>
    <t>5.6</t>
  </si>
  <si>
    <t>Pilares_Galeria de Artes_Térreo</t>
  </si>
  <si>
    <t>Muro placas</t>
  </si>
  <si>
    <t>Escada + patamar de madeira existente</t>
  </si>
  <si>
    <t>(paredes externas)</t>
  </si>
  <si>
    <t>(paredes internas)</t>
  </si>
  <si>
    <t>Área de serviço</t>
  </si>
  <si>
    <t>(vista 2)</t>
  </si>
  <si>
    <t>Porta frontal_hall escada</t>
  </si>
  <si>
    <t>Janela fundos</t>
  </si>
  <si>
    <t>Piso pavimento superior</t>
  </si>
  <si>
    <t>Cozinha</t>
  </si>
  <si>
    <t>Forro (item 2.9)</t>
  </si>
  <si>
    <t>Piso (item 2.13)</t>
  </si>
  <si>
    <t>Placas muro (item 2.14)</t>
  </si>
  <si>
    <t>2.16</t>
  </si>
  <si>
    <t>2.17</t>
  </si>
  <si>
    <t>2.18</t>
  </si>
  <si>
    <t>2.19</t>
  </si>
  <si>
    <t>Árvores de grande porte</t>
  </si>
  <si>
    <t>Carambola</t>
  </si>
  <si>
    <t>4.11</t>
  </si>
  <si>
    <t>Escada ANEXO</t>
  </si>
  <si>
    <t>Peso (kg)</t>
  </si>
  <si>
    <t>P2 (80x210)</t>
  </si>
  <si>
    <t>Almoxarifado/ copa</t>
  </si>
  <si>
    <t>Wc fem. + Wc. Masc.</t>
  </si>
  <si>
    <t>P4 (90x210)</t>
  </si>
  <si>
    <t>Copa + almoxarifado</t>
  </si>
  <si>
    <t>Copa/ almoxarifado</t>
  </si>
  <si>
    <t>Escada (piso)</t>
  </si>
  <si>
    <t>Escada (degraus)</t>
  </si>
  <si>
    <t>Pilares (arremate)</t>
  </si>
  <si>
    <t>Perdas (10 %)</t>
  </si>
  <si>
    <t>Item 2.13</t>
  </si>
  <si>
    <t>NOTA: Considerando perda de 10 % de material deteriorado.</t>
  </si>
  <si>
    <t>&gt; recomposição de material deteriorado.</t>
  </si>
  <si>
    <t>7.8</t>
  </si>
  <si>
    <t>Sobre mureta com 2,00 m</t>
  </si>
  <si>
    <t xml:space="preserve">Pilares </t>
  </si>
  <si>
    <t>Alt. Forro = 2,80 m</t>
  </si>
  <si>
    <t>* Incluso forro sobre hall escada</t>
  </si>
  <si>
    <t>* Incluso forro sobre defumador antigo</t>
  </si>
  <si>
    <t>Acabamento para forro (roda-forro) de pilar em madeira Macaranduba, Angelim ou equivalente da região, fixação com parafuso e bucha - conforme projeto</t>
  </si>
  <si>
    <t>Forro em madeira em Cedrinho ou equivalente, para ambientes residenciais, inclusive estrutura de fixação, lixamento e pintura com verniz (incolor) poliuretânico a duas demãos</t>
  </si>
  <si>
    <t>P9</t>
  </si>
  <si>
    <t>P5 (80x210 cm)</t>
  </si>
  <si>
    <t>Portas internas</t>
  </si>
  <si>
    <t>P10</t>
  </si>
  <si>
    <t>P11</t>
  </si>
  <si>
    <t xml:space="preserve">J3 </t>
  </si>
  <si>
    <t>Térreo_vista fundos</t>
  </si>
  <si>
    <t>Janelas pavimento superior</t>
  </si>
  <si>
    <t>Restauração em porta de aço de enrolar em chapa contínua. Lixamento e pintura com esmalte sintético a duas demãos. Dimensão: 140 x 165 cm - conforme projeto</t>
  </si>
  <si>
    <t>Janela de abrir, em vidro temperado incolor, E = 10 mm, trecho superior fixo encaixado em perfil de alumínio tipo U, inclusive acessórios. Dimensão 140 x 205 cm - conforme projeto</t>
  </si>
  <si>
    <t>Janela de abrir pantográfica de madeira, em Macaraduba, Angelim ou equivalente da região, 03 folhas, tipo veneziana + vidro + veneziana, com postigo em todas as folhas, inclusive guarnição com marco de 7 x 3 cm. Maxim-ar superior em madeira com vidro liso incolor, E = 4 mm. Lixamento e pintura com esmalte sintético à duas demãos. Dimensões: 125 x 205 cm - conforme projeto</t>
  </si>
  <si>
    <t>Porta de abrir com almofadas, 02 folhas, de madeira maciça em Macaranduba, Angelim ou equivalente da região, com almofadas. Maxim-ar superior em madeira com vidro liso incolor, E = 4 mm. Incluso dobradiças, marco, alizar, fechadura e ferrolhos. Lixamento e pintura com esmalte sintético à duas demãos. Dimensão: 100 x 305 cm - conforme projeto</t>
  </si>
  <si>
    <t>Porta de abrir com almofadas, 01 folha, de madeira maciça em Macaranduba, Angelim ou equivalente da região. Incluso dobradiças, marco, alizar e fechadura. Lixamento e pintura com esmalte sintético à duas demãos. Dimensão: 80 x 210 cm - conforme projeto</t>
  </si>
  <si>
    <t>P6 (100x305 cm)</t>
  </si>
  <si>
    <t>Porta de abrir pantográfica, 04 folhas, de madeira maciça em Macaranduba, Angelim ou equivalente da região, tipo veneziana + vidro + almofadas maciça na parte inferior, postigo nos trechos com veneziana e vidro. Maxim-ar superior em madeira com vidro liso incolor, E = 4 mm. Incluso dobradiças, marco, alizar, fechadura e ferrolhos. Lixamento e pintura com esmalte sintético à duas demãos. Dimensão: 140 x 305 cm - conforme projeto</t>
  </si>
  <si>
    <t>P7 (140x305 cm)</t>
  </si>
  <si>
    <t>P8 (170x300 cm)</t>
  </si>
  <si>
    <t>Hall escada térreo</t>
  </si>
  <si>
    <t>Fachada frontal - vista 01</t>
  </si>
  <si>
    <t>Térreo_Fachada lateral_vista 2</t>
  </si>
  <si>
    <t>Porta de abrir, 02 folhas, com mola hidráulica, em vidro temperado incolor, E = 10 mm, bandeira fixa superior em vidro temperado encaixado em perfil de alumínio U, inclusive acessórios. Dimensão 220 x 300 cm</t>
  </si>
  <si>
    <t>Porta de abrir, 02 folhas, com mola hidráulica, em vidro temperado incolor, E = 10 mm, bandeira fixa superior em vidro temperado encaixado em perfil de alumínio U, inclusive acessórios. Dimensão 250 x 300 cm</t>
  </si>
  <si>
    <t>Térreo_Fachada frontal_vista 1</t>
  </si>
  <si>
    <t>Térreo_Fundos</t>
  </si>
  <si>
    <t>Envelopamento de pilares de concreto armado com tábua de madeira, dimensão 30 x 2,5 cm, em Macaranduba, Angelim ou equivalente da região. Fixação com parafuso e bucha. Lixamento de madeira e aplicação de verniz à duas demãos</t>
  </si>
  <si>
    <t>Guarda-corpo em madeira maciça instalada sobre vigas de madeira, 1,10 m de altura, montantes em ripas de madeira 1,5 x 5 cm e travessa superior em peça de madeira 5 x 6 cm, em Macaranduba, Angelim ou equivalente da região. Lixamento de madeira e aplicação de verniz à duas demãos</t>
  </si>
  <si>
    <t>Mexerica</t>
  </si>
  <si>
    <t>&gt; Rampa de acesso lateral (Rua Milagres Junior)</t>
  </si>
  <si>
    <t>&gt; Rampa de acesso fachada frontal (Av. Rio Doce)_vista 1</t>
  </si>
  <si>
    <t>Gola das árvores (80x80)</t>
  </si>
  <si>
    <t>Gola das árvores (200x80)</t>
  </si>
  <si>
    <t>12.6</t>
  </si>
  <si>
    <t>12.7</t>
  </si>
  <si>
    <t>Padrão de entrada</t>
  </si>
  <si>
    <t>Quadros de distribuição</t>
  </si>
  <si>
    <t>Iluminação externa</t>
  </si>
  <si>
    <t>12.8</t>
  </si>
  <si>
    <t>12.9</t>
  </si>
  <si>
    <t>Projeto De Climatização E Conforto Ambiental</t>
  </si>
  <si>
    <t>CLIMATIZAÇÃO E CONFORTO AMBIENTAL</t>
  </si>
  <si>
    <t>14.4</t>
  </si>
  <si>
    <t>14.5</t>
  </si>
  <si>
    <t>14.6</t>
  </si>
  <si>
    <t>14.7</t>
  </si>
  <si>
    <t>14.8</t>
  </si>
  <si>
    <t>14.9</t>
  </si>
  <si>
    <t>14.10</t>
  </si>
  <si>
    <t>14.11</t>
  </si>
  <si>
    <t>14.12</t>
  </si>
  <si>
    <t>14.13</t>
  </si>
  <si>
    <t>14.14</t>
  </si>
  <si>
    <t>14.15</t>
  </si>
  <si>
    <t>14.16</t>
  </si>
  <si>
    <t>16.6</t>
  </si>
  <si>
    <t>16.7</t>
  </si>
  <si>
    <t>16.8</t>
  </si>
  <si>
    <t>16.9</t>
  </si>
  <si>
    <t>16.10</t>
  </si>
  <si>
    <t>16.11</t>
  </si>
  <si>
    <t>16.12</t>
  </si>
  <si>
    <t>16.13</t>
  </si>
  <si>
    <t>18.1</t>
  </si>
  <si>
    <t>18.2</t>
  </si>
  <si>
    <t>18.7</t>
  </si>
  <si>
    <t>19.4</t>
  </si>
  <si>
    <t>21.3</t>
  </si>
  <si>
    <t>21.4</t>
  </si>
  <si>
    <t>21.5</t>
  </si>
  <si>
    <t>22.0</t>
  </si>
  <si>
    <t>22.1</t>
  </si>
  <si>
    <t>22.2</t>
  </si>
  <si>
    <t>Ar condicionado</t>
  </si>
  <si>
    <t>24.205.016/0001-07</t>
  </si>
  <si>
    <t>01.438.784/0048-60</t>
  </si>
  <si>
    <t>47.960.950/1088-36</t>
  </si>
  <si>
    <t>33.041.260/0652-90</t>
  </si>
  <si>
    <t>Starlumen</t>
  </si>
  <si>
    <t>Leroy</t>
  </si>
  <si>
    <t>Magazine</t>
  </si>
  <si>
    <t>Extra</t>
  </si>
  <si>
    <t>0800-602-1380</t>
  </si>
  <si>
    <t>(11) 4003-3383</t>
  </si>
  <si>
    <t>Porta de enrolar manual completa, articulada raiada larga, em aco galvanizado natural, chapa número 24, inclusive instalação</t>
  </si>
  <si>
    <t>Escada em madeira maciça aparelhada, formato tipo "U" com 02 lances, com estrutura de sustentação peça 6 x 25 cm e degraus (piso + espelho) em tábua 2,5 cm, em Macaranduba, Angelim ou equivalente da região - largura 1,10 m  e pé direito 4,20 m - conforme projeto. Lixamento de madeira e aplicação de verniz à duas demãos</t>
  </si>
  <si>
    <t>Viga em madeira maciça aparelhada, dimensão 8 x 30 cm, em Macaranduba, Angelim ou equivalente da região, incluso içamento e instalação - conforme projeto. Lixamento de madeira e aplicação de verniz à duas demãos</t>
  </si>
  <si>
    <t>B1</t>
  </si>
  <si>
    <t>B2</t>
  </si>
  <si>
    <t>Entorno árvores</t>
  </si>
  <si>
    <t>Meio-fio pedra</t>
  </si>
  <si>
    <t>11.12</t>
  </si>
  <si>
    <t>14.17</t>
  </si>
  <si>
    <t>Muro fundos</t>
  </si>
  <si>
    <t>6.11</t>
  </si>
  <si>
    <t>6.12</t>
  </si>
  <si>
    <t>REBOCO EXTERNO:</t>
  </si>
  <si>
    <t>PAREDES EXTERNAS:</t>
  </si>
  <si>
    <t>Muro</t>
  </si>
  <si>
    <t xml:space="preserve">Wc Fem. e Masc. </t>
  </si>
  <si>
    <t>Wc Fem./ Wc Masc./ Wc PNE</t>
  </si>
  <si>
    <t>10.3</t>
  </si>
  <si>
    <t>2.20</t>
  </si>
  <si>
    <t>2.21</t>
  </si>
  <si>
    <t>Banheiro antigo</t>
  </si>
  <si>
    <t>Pavimento superior edificação existente.</t>
  </si>
  <si>
    <t>Considerando apenas parede divisa externa, uma vez que as demais serão demolidas.</t>
  </si>
  <si>
    <t>PAREDES INTERNAS:</t>
  </si>
  <si>
    <t>Item 15.1</t>
  </si>
  <si>
    <t>Item 6.8</t>
  </si>
  <si>
    <t>BANCADAS, LOUÇAS, METAIS E EQUIPAMENTOS</t>
  </si>
  <si>
    <t>16.14</t>
  </si>
  <si>
    <t>16.15</t>
  </si>
  <si>
    <t>16.16</t>
  </si>
  <si>
    <t>16.17</t>
  </si>
  <si>
    <t>Ducha manual higiênica, plástica, com registro metálico</t>
  </si>
  <si>
    <t>Toalheiro plástico tipo dispenser para papel toalha interfolhado</t>
  </si>
  <si>
    <t>16.18</t>
  </si>
  <si>
    <t>16.19</t>
  </si>
  <si>
    <t>Espelho prata, espessura 4 mm fixado com botão frances cromado</t>
  </si>
  <si>
    <t>14.18</t>
  </si>
  <si>
    <t>AD 04.05 Ensaios e Pesquisas em Solo</t>
  </si>
  <si>
    <t xml:space="preserve">       NA</t>
  </si>
  <si>
    <t>ET 24.05.0085 (/)</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</si>
  <si>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 (desonerado)</t>
  </si>
  <si>
    <t>ET 24.05.0100 (A)</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</si>
  <si>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 (desonerado)</t>
  </si>
  <si>
    <t>SE 09.15.0275 (/)</t>
  </si>
  <si>
    <t>Perfuração rotativa inclinada, em rocha sã, com coroa de diamante, diâmetro H (99mm), inclusive deslocamento e posicionamento em cada furo. (Desonerado)</t>
  </si>
  <si>
    <t>Térreo_vista 3</t>
  </si>
  <si>
    <t>Base de referência SCORIO_DEZ/2021</t>
  </si>
  <si>
    <t>Janela sala 4</t>
  </si>
  <si>
    <t>Ø</t>
  </si>
  <si>
    <t>Peso (kg/ m)</t>
  </si>
  <si>
    <t>Pilares - tipo II</t>
  </si>
  <si>
    <t>Pilares - tipo IIII</t>
  </si>
  <si>
    <t>15x40</t>
  </si>
  <si>
    <t>15x55</t>
  </si>
  <si>
    <t>Luminária pendente, Vintage Colonial, cor preto, dimensões 17 x 10,5 x 10,5 cm</t>
  </si>
  <si>
    <t xml:space="preserve">Luminária pendente, Vintage Colonial, cor preto, incluso 1 lâmpada fluorescente </t>
  </si>
  <si>
    <t>(41) 4063-7105</t>
  </si>
  <si>
    <t>MadeiraMadeira</t>
  </si>
  <si>
    <t>Trilho eletrificado preto com 3 Spots Led 10 W Luz Quente</t>
  </si>
  <si>
    <t>(21) 4003-4848</t>
  </si>
  <si>
    <t>Magazine Luiza S/A</t>
  </si>
  <si>
    <t>(16) 3711-2002</t>
  </si>
  <si>
    <t>15.436.940/0001-03</t>
  </si>
  <si>
    <t>Amazon Serviços de Varejo do Brasil LTDA</t>
  </si>
  <si>
    <t>(11) 4130-2000</t>
  </si>
  <si>
    <t xml:space="preserve"> 47.960.950/1088-36</t>
  </si>
  <si>
    <t>Trilho eletrificado preto com 3 Spots Led 10 W Preto Quente</t>
  </si>
  <si>
    <t>m²</t>
  </si>
  <si>
    <t>m³</t>
  </si>
  <si>
    <t xml:space="preserve">M³    </t>
  </si>
  <si>
    <t xml:space="preserve">M²    </t>
  </si>
  <si>
    <t>M²XMES</t>
  </si>
  <si>
    <t>M²XKM</t>
  </si>
  <si>
    <t>M³</t>
  </si>
  <si>
    <t>M³XKM</t>
  </si>
  <si>
    <t>UNDIDADE</t>
  </si>
  <si>
    <t>UNDXKM</t>
  </si>
  <si>
    <t>Descida poste iluminação pública com tubo de aço galvanizado DN 1.1/2", inclusive acessórios</t>
  </si>
  <si>
    <t>12.10</t>
  </si>
  <si>
    <t>12.11</t>
  </si>
  <si>
    <t>12.12</t>
  </si>
  <si>
    <t>12.13</t>
  </si>
  <si>
    <t>Entrada energia</t>
  </si>
  <si>
    <t>12.14</t>
  </si>
  <si>
    <t>12.15</t>
  </si>
  <si>
    <t>12.16</t>
  </si>
  <si>
    <t>12.17</t>
  </si>
  <si>
    <t>12.18</t>
  </si>
  <si>
    <t>11.13</t>
  </si>
  <si>
    <t>Saída poste até quadro medidor</t>
  </si>
  <si>
    <t>12.19</t>
  </si>
  <si>
    <t>13.7</t>
  </si>
  <si>
    <t>13.8</t>
  </si>
  <si>
    <t>Descida_Pav. Sup.</t>
  </si>
  <si>
    <t>Rede_Pav. Sup.</t>
  </si>
  <si>
    <t>13.9</t>
  </si>
  <si>
    <t>20.4</t>
  </si>
  <si>
    <t>Área externa</t>
  </si>
  <si>
    <t>Circulação_térreo</t>
  </si>
  <si>
    <t>Circulação_Pav. Sup.</t>
  </si>
  <si>
    <t>QUADRO DE ESQUADRIAS</t>
  </si>
  <si>
    <t>COD</t>
  </si>
  <si>
    <t>LARG. 
(CM)</t>
  </si>
  <si>
    <t>ALT. 
(CM)</t>
  </si>
  <si>
    <t>PARAPEITO 
(CM)</t>
  </si>
  <si>
    <t>MATERIAL</t>
  </si>
  <si>
    <t>QTD.</t>
  </si>
  <si>
    <t>LOCALIZAÇÃO</t>
  </si>
  <si>
    <t>MAXIM-AR 1 FOLHA</t>
  </si>
  <si>
    <t>ALUMÍNIO E VIDRO</t>
  </si>
  <si>
    <t>WC FEM./ WC MASC./ WC PNE</t>
  </si>
  <si>
    <t>COPA/ ALMOXARIFADO</t>
  </si>
  <si>
    <t>J1</t>
  </si>
  <si>
    <t>JANELA DE ENROLAR + GRADIL + VIDRO</t>
  </si>
  <si>
    <t>FERRO E VIDRO</t>
  </si>
  <si>
    <t>GALERIA DE ARTES</t>
  </si>
  <si>
    <t>J2</t>
  </si>
  <si>
    <t>JANELA PANTOGRÁFICA 3 FOLHAS</t>
  </si>
  <si>
    <t>MADEIRA</t>
  </si>
  <si>
    <t>SALAS PAVIMENTO SUPERIOR</t>
  </si>
  <si>
    <t>P1</t>
  </si>
  <si>
    <t>PORTA DE ABRIR</t>
  </si>
  <si>
    <t>VENEZIANA DE ALUMÍNIO</t>
  </si>
  <si>
    <t>WC FEM./ WC MASC.</t>
  </si>
  <si>
    <t>P2</t>
  </si>
  <si>
    <t>P3</t>
  </si>
  <si>
    <t>P4</t>
  </si>
  <si>
    <t>AÇO COM VIDRO</t>
  </si>
  <si>
    <t>PLATAFORMA ACESSIBILIDADE</t>
  </si>
  <si>
    <t>P5</t>
  </si>
  <si>
    <t>P6</t>
  </si>
  <si>
    <t>PORTA DE ABRIR 2 FOLHAS</t>
  </si>
  <si>
    <t>CIRCULAÇÃO/ FACHADA FUNDOS</t>
  </si>
  <si>
    <t>P7</t>
  </si>
  <si>
    <t>PORTA PANTOGRÁFICA 4 FOLHAS</t>
  </si>
  <si>
    <t>FACHADA FRONTAL_PAVIMENTO SUPERIOR</t>
  </si>
  <si>
    <t>P8</t>
  </si>
  <si>
    <t>HALL ESCADA_TÉRREO</t>
  </si>
  <si>
    <t>PORTA DE ENROLAR + GRADIL + VIDRO</t>
  </si>
  <si>
    <t>CHAPA RAIADA + GRADIL + VIDRO TEMPERADO</t>
  </si>
  <si>
    <t>QUADRO DE ÁREA</t>
  </si>
  <si>
    <t>ÁREA DO TERRENO (M²)</t>
  </si>
  <si>
    <t>EXISTENTE</t>
  </si>
  <si>
    <t>AMPLIAÇÃO</t>
  </si>
  <si>
    <t>ÁREA TÉRREO (M²)</t>
  </si>
  <si>
    <t>ÁREA PAV. SUPERIOR (M²)</t>
  </si>
  <si>
    <t>SUB-TOTAL (M²)</t>
  </si>
  <si>
    <t>ÁREA TOTAL CONSTRUÍDA (M²)</t>
  </si>
  <si>
    <t>ÁREA PROJEÇÃO DAS EDIFICAÇÕES (M²)</t>
  </si>
  <si>
    <t>TAXA DE OCUPAÇÃO (%)</t>
  </si>
  <si>
    <t>COEFICIENTE DE APROVEITAMENTO</t>
  </si>
  <si>
    <t>ÁREA PERMEÁVEL (M²)</t>
  </si>
  <si>
    <t>TAXA DE PERMEABILIDADE (%)</t>
  </si>
  <si>
    <t>GABARITO</t>
  </si>
  <si>
    <t>02</t>
  </si>
  <si>
    <t>EQUIPAMENTOS E ACESSÓRIOS</t>
  </si>
  <si>
    <t>BACIA SANITÁRIA CONVENCIONAL EM LOUÇA BRANCA, SIFÃO APARENTE, COM ACESSÓRIOS PARA LIGAÇÃO, INCLUSIVE ASSENTO PLÁSTICO UNIVERSAL BRANCO</t>
  </si>
  <si>
    <t>BACIA SANITÁRIA CONVENCIONAL EM LOUÇA BRANCA PARA PCD (PESSOA COM DEFICIÊNCIA), SEM FURO FRONTAL, COM ACESSÓRIOS PARA LIGAÇÃO, INCLUSIVE ASSENTO PLÁSTICO UNIVERSAL BRANCO</t>
  </si>
  <si>
    <t>DH</t>
  </si>
  <si>
    <t>DUCHA HIGIÊNICA PLÁSTICA COM REGISTRO</t>
  </si>
  <si>
    <t>BR</t>
  </si>
  <si>
    <t>BARRA DE APOIO RETA, EM AÇO INOX, COMPRIMENTO = 80 CM E DIÂMETRO MÍNIMO = 3 CM</t>
  </si>
  <si>
    <t>BA</t>
  </si>
  <si>
    <t>BARRA DE APOIO PARA LAVATÓRIO, EM AÇO INOX, DIÂMETRO 1.1/4"</t>
  </si>
  <si>
    <t>C1</t>
  </si>
  <si>
    <t>CUBA DE EMBUTIR, EM AÇO INOX, DIMENSÕES 46 X 30 CM, VÁLVULA AMERICANA 3.1/2" EM METAL CROMADO E SIFÃO FLEXÍVEL EM PVC</t>
  </si>
  <si>
    <t>LV</t>
  </si>
  <si>
    <t>LAVATÓRIO SUSPENSO, DIMENSÃO 29,5 X 39 CM OU EQUIVALENTE, EM LOUÇA BRANCA, COM ACESSÓRIOS EM PVC (VÁLVULA, ENGATE FLEXÍVEL 30 CM E SIFÃO FLEXÍVEL) E TORNEIRA CROMADA DE MESA EM METAL CROMADO</t>
  </si>
  <si>
    <t>MI</t>
  </si>
  <si>
    <t>MICTÓRIO INDIVIDUAL, SIFONADO, EM LOUÇA BRANCA E ACESSÓRIOS CROMADOS</t>
  </si>
  <si>
    <t>TQ</t>
  </si>
  <si>
    <t>TANQUE SUSPENSO, EM LOUÇA BRANCA, SIFÃO TIPO GARRAFA EM PVC, VÁLVULA PLÁSTICA EM PVC E TORNEIRA DE MESA EM METAL CROMADO</t>
  </si>
  <si>
    <t>PA</t>
  </si>
  <si>
    <t>PAPELEIRA DE PAREDE EM METAL CROMADO SEM TAMPA</t>
  </si>
  <si>
    <t xml:space="preserve">SA </t>
  </si>
  <si>
    <t xml:space="preserve">SABONETEIRA PLÁSTICA TIPO DISPENSER PARA SABONETE LÍQUIDO </t>
  </si>
  <si>
    <t>TOALHEIRO PLÁSTICO TIPO DISPENSER PARA PAPEL TOALHA INTERFOLHADO</t>
  </si>
  <si>
    <t>ES</t>
  </si>
  <si>
    <t>ESPELHO ESPESSURA 4 MM, DIMENSÕES 45 X 90 CM</t>
  </si>
  <si>
    <t>BE</t>
  </si>
  <si>
    <t>BEBEDOURO ELÉTRICO TIPO PRESSÃO, EM AÇO INOX, MODELO PÉ, ADULTO/CRIANÇA, CAPACIDADE 80 L/H</t>
  </si>
  <si>
    <t>TABELA TUBOS E CONEXÕES</t>
  </si>
  <si>
    <t>ADAPTADOR CURTO COM BOLSA E ROSCA PARA REGISTRO</t>
  </si>
  <si>
    <t>DIÂMETRO</t>
  </si>
  <si>
    <t>25 MM X 3/4"</t>
  </si>
  <si>
    <t>REGISTRO DE GAVETA BRUTO, LATÃO, ROSCÁVEL</t>
  </si>
  <si>
    <t>3/4"</t>
  </si>
  <si>
    <t>LUVA DE REDUÇÃO</t>
  </si>
  <si>
    <t>50 X 25 MM</t>
  </si>
  <si>
    <t xml:space="preserve">JOELHO 90° </t>
  </si>
  <si>
    <t xml:space="preserve">JOELHO 45° </t>
  </si>
  <si>
    <t>50 MM</t>
  </si>
  <si>
    <t>25 MM</t>
  </si>
  <si>
    <t>TÊ</t>
  </si>
  <si>
    <t>JOELHO 90° COM BUCHA DE LATÃO</t>
  </si>
  <si>
    <t>50 MM X 1.1/2"</t>
  </si>
  <si>
    <t>1.1/2"</t>
  </si>
  <si>
    <t>TUBO VDE COM JOELHO 90° (AZUL)</t>
  </si>
  <si>
    <t>38 MM</t>
  </si>
  <si>
    <t xml:space="preserve">TUBO </t>
  </si>
  <si>
    <t>VÁLVULA DE DESCARGA</t>
  </si>
  <si>
    <t>TÊ COM BUCHA DE LATÃO</t>
  </si>
  <si>
    <t>ALTURA PONTOS HIDRÁULICOS</t>
  </si>
  <si>
    <t>BEBEDOURO</t>
  </si>
  <si>
    <t>DUCHA HIGIÊNICA</t>
  </si>
  <si>
    <t>LAVATÓRIO</t>
  </si>
  <si>
    <t>MICTÓRIO</t>
  </si>
  <si>
    <t>VASO SANITÁRIO</t>
  </si>
  <si>
    <t>REGISTRO DE GAVETA</t>
  </si>
  <si>
    <t>TANQUE</t>
  </si>
  <si>
    <t>ALT. (CM)</t>
  </si>
  <si>
    <t>PIA COZINHA (TORNEIRA DE MESA)</t>
  </si>
  <si>
    <t>VÁLVULA DE DESCARGA (VASO SANITÁRIO)</t>
  </si>
  <si>
    <t>AF1</t>
  </si>
  <si>
    <t>AF2</t>
  </si>
  <si>
    <t>AF3</t>
  </si>
  <si>
    <t>AF4</t>
  </si>
  <si>
    <t>ALIM.</t>
  </si>
  <si>
    <t>BARR.</t>
  </si>
  <si>
    <t>TORNEIRA</t>
  </si>
  <si>
    <t>P12</t>
  </si>
  <si>
    <t>SHAFT</t>
  </si>
  <si>
    <t>JOELHO 90°</t>
  </si>
  <si>
    <t>40 MM</t>
  </si>
  <si>
    <t>100 MM</t>
  </si>
  <si>
    <t>JOELHO 45°</t>
  </si>
  <si>
    <t>LUVA SIMPLES</t>
  </si>
  <si>
    <t>TÊ SIMPLES</t>
  </si>
  <si>
    <t>100 X 50 MM</t>
  </si>
  <si>
    <t>JUNÇÃO SIMPLES</t>
  </si>
  <si>
    <t xml:space="preserve">CAIXA SIFONADA COM GRELHA </t>
  </si>
  <si>
    <t>PRANCHA</t>
  </si>
  <si>
    <t>01/01</t>
  </si>
  <si>
    <t>N°</t>
  </si>
  <si>
    <t>1</t>
  </si>
  <si>
    <t>DEMOLIÇÕES E RETIRADAS - PLANTA BAIXA TÉRREO</t>
  </si>
  <si>
    <t>PAISAGISMO E MOBILIÁRIO URBANO</t>
  </si>
  <si>
    <t>PAVIMENTAÇÃO EXTERNA E CALÇADA CIDADÃ</t>
  </si>
  <si>
    <t>4</t>
  </si>
  <si>
    <t>01/03</t>
  </si>
  <si>
    <t>PLANTA BAIXA - TÉRREO/ PAVIMENTO SUPERIOR E COBERTURA</t>
  </si>
  <si>
    <t>02/03</t>
  </si>
  <si>
    <t>VISTA 1,2 E 3 E CORTE A-A</t>
  </si>
  <si>
    <t>6</t>
  </si>
  <si>
    <t>03/03</t>
  </si>
  <si>
    <t>CORTE B-B, C-C E D-D/ DETALHE ACABAMENTO FORRO</t>
  </si>
  <si>
    <t>7</t>
  </si>
  <si>
    <t>FOLHA</t>
  </si>
  <si>
    <t>A0</t>
  </si>
  <si>
    <t>A1</t>
  </si>
  <si>
    <t>8</t>
  </si>
  <si>
    <t>9</t>
  </si>
  <si>
    <t>10</t>
  </si>
  <si>
    <t>11</t>
  </si>
  <si>
    <t>ESTRUTURA DE MADEIRA - VIGAS ASSOALHO/ ESCADA</t>
  </si>
  <si>
    <t>TÊ COM REDUÇÃO</t>
  </si>
  <si>
    <t>TQ1</t>
  </si>
  <si>
    <t>TQ2</t>
  </si>
  <si>
    <t>TQ3</t>
  </si>
  <si>
    <t>CV1</t>
  </si>
  <si>
    <t>CV2</t>
  </si>
  <si>
    <t>AP1</t>
  </si>
  <si>
    <t>11.14</t>
  </si>
  <si>
    <t>11.15</t>
  </si>
  <si>
    <t>11.16</t>
  </si>
  <si>
    <t>11.17</t>
  </si>
  <si>
    <t>11.18</t>
  </si>
  <si>
    <t>11.19</t>
  </si>
  <si>
    <t>11.20</t>
  </si>
  <si>
    <t>11.21</t>
  </si>
  <si>
    <t>11.22</t>
  </si>
  <si>
    <t>11.23</t>
  </si>
  <si>
    <t>11.24</t>
  </si>
  <si>
    <t>11.25</t>
  </si>
  <si>
    <t>Tubo VDE com joelho 90° (azul) para válvula de descarga, Dn 38 mm</t>
  </si>
  <si>
    <t>Tubo VDE e joelho 90° (azul), Dn 38 mm</t>
  </si>
  <si>
    <t>INSTALAÇÕES HIDRÁULICAS</t>
  </si>
  <si>
    <t>DRENAGEM PLUVIAL</t>
  </si>
  <si>
    <t>Tê, PVC, série normal, esgoto predial, DN 100 x 50 mm, junta elástica, fornecido e instalado</t>
  </si>
  <si>
    <t>Terminal de ventilação, Dn 100 mm, série normal, esgoto predial, fornecido e instalado</t>
  </si>
  <si>
    <t>11.26</t>
  </si>
  <si>
    <t>11.27</t>
  </si>
  <si>
    <t>11.28</t>
  </si>
  <si>
    <t>11.29</t>
  </si>
  <si>
    <t>11.30</t>
  </si>
  <si>
    <t>11.31</t>
  </si>
  <si>
    <t>INSTALAÇÕES SANITÁRIAS</t>
  </si>
  <si>
    <t>Junção simples, PVC, série normal, Dn 100 x 50 mm, junta elástica, fornecido e instalado</t>
  </si>
  <si>
    <t>11.32</t>
  </si>
  <si>
    <t>11.33</t>
  </si>
  <si>
    <t>11.34</t>
  </si>
  <si>
    <t>11.35</t>
  </si>
  <si>
    <t>11.36</t>
  </si>
  <si>
    <t>11.37</t>
  </si>
  <si>
    <t>11.38</t>
  </si>
  <si>
    <t>11.39</t>
  </si>
  <si>
    <t>11.40</t>
  </si>
  <si>
    <t>11.41</t>
  </si>
  <si>
    <t>11.42</t>
  </si>
  <si>
    <t>11.43</t>
  </si>
  <si>
    <t>11.44</t>
  </si>
  <si>
    <t>11.45</t>
  </si>
  <si>
    <t>11.46</t>
  </si>
  <si>
    <t>11.47</t>
  </si>
  <si>
    <t>11.48</t>
  </si>
  <si>
    <t>Água fria</t>
  </si>
  <si>
    <t>Drenagem pluvial</t>
  </si>
  <si>
    <t>Esgoto</t>
  </si>
  <si>
    <t>11.49</t>
  </si>
  <si>
    <t>11.50</t>
  </si>
  <si>
    <t>11.51</t>
  </si>
  <si>
    <t>11.52</t>
  </si>
  <si>
    <t>22.3</t>
  </si>
  <si>
    <t>Uso interno</t>
  </si>
  <si>
    <t>Qtd. Meses</t>
  </si>
  <si>
    <t>Uso externo</t>
  </si>
  <si>
    <t>1.9</t>
  </si>
  <si>
    <t>Sanitário</t>
  </si>
  <si>
    <t>12.20</t>
  </si>
  <si>
    <t>Luminária de embutir piso, LED 30 W, IP67, bivolt, Dn 100 x 150 mm - preto</t>
  </si>
  <si>
    <t>10.434.457/0001-68</t>
  </si>
  <si>
    <t>27.959.446/0001-02</t>
  </si>
  <si>
    <t>Bright</t>
  </si>
  <si>
    <t>Laydaner Comercial Eireli</t>
  </si>
  <si>
    <t>Submarino</t>
  </si>
  <si>
    <t>(11) 3230-2806</t>
  </si>
  <si>
    <t>(15) 3251-9305</t>
  </si>
  <si>
    <t>Luminária de embutir piso, Led 30 W, IP 67, Bivolt, Dn 100 x 150 mm - cor preto</t>
  </si>
  <si>
    <t>Caixas</t>
  </si>
  <si>
    <t>12.21</t>
  </si>
  <si>
    <t>CIRCUITO</t>
  </si>
  <si>
    <t>TENSÃO (V)</t>
  </si>
  <si>
    <t>POTÊNCIA (W)</t>
  </si>
  <si>
    <t>FATOR DE POTÊNCIA</t>
  </si>
  <si>
    <t>SEÇÃO (MM)</t>
  </si>
  <si>
    <t xml:space="preserve">ILUMINAÇÃO </t>
  </si>
  <si>
    <t>DISJUNTOR (A)</t>
  </si>
  <si>
    <t>TOMADA</t>
  </si>
  <si>
    <t>Plafon de Led sobrepor quadrado 24 W 6500K</t>
  </si>
  <si>
    <t>Americanas</t>
  </si>
  <si>
    <t>09.155.818/0001-58</t>
  </si>
  <si>
    <t>Libertas Rosas</t>
  </si>
  <si>
    <t>(32) 3355-1385
(32) 98892-2561</t>
  </si>
  <si>
    <t>Lustre pendente de teto com 6 bocais rústicos</t>
  </si>
  <si>
    <t xml:space="preserve">Luminária de Led sobrepor quadrado 24 W 6500 K </t>
  </si>
  <si>
    <t>12.22</t>
  </si>
  <si>
    <t>ILUMINAÇÃO POSTES</t>
  </si>
  <si>
    <t>ILUMINAÇÃO PISO</t>
  </si>
  <si>
    <t>ILUMINAÇÃO TRILHO</t>
  </si>
  <si>
    <t>ILUMINAÇÃO ARANDELAS</t>
  </si>
  <si>
    <t>PLATAFORMA</t>
  </si>
  <si>
    <t>QUADRO 2 - PAVIMENTO SUPERIOR (MUSEU PERMANENTE)</t>
  </si>
  <si>
    <t>QUADRO 1 - TÉRREO (GALERIA DE ARTES)</t>
  </si>
  <si>
    <t>QUADRO 3 - TÉRREO (ANEXO)</t>
  </si>
  <si>
    <t>QUADRO 4 - PAVIMENTO SUPERIOR (ANEXO)</t>
  </si>
  <si>
    <t>BIPOLAR</t>
  </si>
  <si>
    <t>12.23</t>
  </si>
  <si>
    <t>12.24</t>
  </si>
  <si>
    <t>12.25</t>
  </si>
  <si>
    <t>12.26</t>
  </si>
  <si>
    <t>12.27</t>
  </si>
  <si>
    <t>12.28</t>
  </si>
  <si>
    <t>12.29</t>
  </si>
  <si>
    <t>12.30</t>
  </si>
  <si>
    <t>12.31</t>
  </si>
  <si>
    <t>12.32</t>
  </si>
  <si>
    <t>12.33</t>
  </si>
  <si>
    <t>TRIPOLAR</t>
  </si>
  <si>
    <t>MONO</t>
  </si>
  <si>
    <t>Disjuntores</t>
  </si>
  <si>
    <t>Subida quadros de distribuição</t>
  </si>
  <si>
    <t>Quadro 1</t>
  </si>
  <si>
    <t>Quadro 2</t>
  </si>
  <si>
    <t>Quadro 3/ 4 e plataforma</t>
  </si>
  <si>
    <t>DPS</t>
  </si>
  <si>
    <t>4 pçs/ quadro</t>
  </si>
  <si>
    <t>12.34</t>
  </si>
  <si>
    <t>12.35</t>
  </si>
  <si>
    <t>Museu permanente</t>
  </si>
  <si>
    <t>Conforme projeto</t>
  </si>
  <si>
    <t>Térreo + pav. Superior</t>
  </si>
  <si>
    <t>Púlpito_museu permanente</t>
  </si>
  <si>
    <t>12.36</t>
  </si>
  <si>
    <t>12.37</t>
  </si>
  <si>
    <t>12.38</t>
  </si>
  <si>
    <t>Tomada baixa</t>
  </si>
  <si>
    <t>12.39</t>
  </si>
  <si>
    <t>12.40</t>
  </si>
  <si>
    <t>Interruptor simples</t>
  </si>
  <si>
    <t>Interruptor paralelo</t>
  </si>
  <si>
    <t>12.41</t>
  </si>
  <si>
    <t>12.42</t>
  </si>
  <si>
    <t>Tomada média</t>
  </si>
  <si>
    <t>12.43</t>
  </si>
  <si>
    <t>12.44</t>
  </si>
  <si>
    <t>Quadros de distribuição_Galeria de Artes</t>
  </si>
  <si>
    <t>19.5</t>
  </si>
  <si>
    <t>Aplicação em mudas</t>
  </si>
  <si>
    <t>13.10</t>
  </si>
  <si>
    <t>13.11</t>
  </si>
  <si>
    <t>13.12</t>
  </si>
  <si>
    <t>13.13</t>
  </si>
  <si>
    <t>13.14</t>
  </si>
  <si>
    <t>7.9</t>
  </si>
  <si>
    <t>Reinstalação de rodapé de madeira, altura 14 cm, fixado com cola e parafusos</t>
  </si>
  <si>
    <t>Considerando 2x a altura do rodapé</t>
  </si>
  <si>
    <t>Shaft</t>
  </si>
  <si>
    <t>Sala 2_Pav. Sup.</t>
  </si>
  <si>
    <t>Borda piso_Circulação_térreo</t>
  </si>
  <si>
    <t>Borda piso_Circulação_Pav. Sup.</t>
  </si>
  <si>
    <t>11.53</t>
  </si>
  <si>
    <t>13.15</t>
  </si>
  <si>
    <t>Saídas lavatório e tanque</t>
  </si>
  <si>
    <t>Saída pia + mictório</t>
  </si>
  <si>
    <t>16.20</t>
  </si>
  <si>
    <t>PR</t>
  </si>
  <si>
    <t>PRATELEIRA EM GRANITO, REF. CINZA ANDORINHA, ESPESSURA 2 CM</t>
  </si>
  <si>
    <t>9.4</t>
  </si>
  <si>
    <t>Acabamento para forro (roda-forro em madeira Cedrinho ou equivalente)</t>
  </si>
  <si>
    <t>Hall escada_térreo</t>
  </si>
  <si>
    <t>Sala 2</t>
  </si>
  <si>
    <t>Hall escada_pav.sup.</t>
  </si>
  <si>
    <t>Placa de inauguração</t>
  </si>
  <si>
    <t>Caixa d'água</t>
  </si>
  <si>
    <t>Suporte para elevação de caixa d'água em madeira com 6 apoios</t>
  </si>
  <si>
    <t>2.22</t>
  </si>
  <si>
    <t xml:space="preserve">Cozinha </t>
  </si>
  <si>
    <t>Remoção de tubulações (tubos e conexões) de água fria ou esgoto, de forma manual, sem reaproveitamento</t>
  </si>
  <si>
    <t>2.23</t>
  </si>
  <si>
    <t>Fundos</t>
  </si>
  <si>
    <t>Internos e fachada lateral</t>
  </si>
  <si>
    <t>6.13</t>
  </si>
  <si>
    <t>Mureta 20 cm</t>
  </si>
  <si>
    <t>Travamento topo alvenaria</t>
  </si>
  <si>
    <t>Travamentos intermediários poço plataforma</t>
  </si>
  <si>
    <t>Poste de aço cônico contínuo curvo duplo, flangeado, H = 9 m, inclusive luminárias LED para iluminação pública, de 240 W até 350 W, com involucro em alumínio ou aço inox - fornecimento e instalação</t>
  </si>
  <si>
    <t>Poste de aço galvanizado, tipo ornamental, modelo colonial, com dois braços, 2,25 metros de altura, flangeado, inclusive luminária e lâmpada LED - conforme projeto</t>
  </si>
  <si>
    <t>Poste de aço, tipo ornamental, modelo colonial, com dois braços, 2,25 metros de altura, flangeado, inclusive luminária</t>
  </si>
  <si>
    <t>P11 (50x180)</t>
  </si>
  <si>
    <t>Porta de abrir com almofadas, 02 folhas, de madeira maciça em Macaranduba, Angelim ou equivalente da região. Maxim-ar superior em madeira com vidro liso incolor, E = 4 mm. Incluso dobradiças, marco, alizar, fechadura e ferrolhos. Lixamento e pintura com esmalte sintético à duas demãos. Dimensão: 170 x 300 cm - conforme projeto</t>
  </si>
  <si>
    <t>Elemento decorativo (gradil) confeccionado em barras de ferro chato, estrutura principal em barra chata 25,4 mm x 6,35 mm e estrutura secundária em barra chata 12,7 mm x 6,35 mm. Dimensão: 140 x 60 cm. Inclui lixamento e pintura com esmalte sintético e instalação. Conforme projeto.</t>
  </si>
  <si>
    <t>Elemento decorativo (gradil) confeccionado em barras de ferro chato, estrutura principal em barra chata 25,4 mm x 6,35 mm e estrutura secundária em barra chata 12,7 mm x 6,35 mm. Lixamento e pintura com esmalte sintético e instalação. Dimensão: 115 x 40 cm - conforme projeto.</t>
  </si>
  <si>
    <t>Porta de abrir, 02 folhas, com mola hidráulica, em vidro temperado incolor, E = 10 mm, bandeira superior fixa em vidro temperado encaixado em perfil de alumínio U, inclusive acessórios. Dimensão 190 x 300 cm</t>
  </si>
  <si>
    <t>17.6</t>
  </si>
  <si>
    <t>Escada complementar de tubo de ferro 1" e 3/4", com comprimento de 1,80 m, para complemento ao acesso à caixa d'água, inclusive pintura em esmalte sintético, conforme detalhe em projeto</t>
  </si>
  <si>
    <t>Escada tipo marinheiro de tubo de ferro 1" e 3/4" e proteção em barra chata de ferro 1" x 3/16", com comprimento de 6,60 m, para acesso a caixa d'água, fixado com argamassa, inclusive pintura em esmalte sintético, conforme detalhe em projeto</t>
  </si>
  <si>
    <t>12</t>
  </si>
  <si>
    <t>13</t>
  </si>
  <si>
    <t>14</t>
  </si>
  <si>
    <t>15</t>
  </si>
  <si>
    <t>PLANTA BAIXA - HIDRÁULICA</t>
  </si>
  <si>
    <t>ISOMÉTRICO</t>
  </si>
  <si>
    <t>DETALHAMENTO ESGOTO E DRENAGEM PLUVIAL</t>
  </si>
  <si>
    <t>ASSUNTO</t>
  </si>
  <si>
    <t>ARQUITETURA</t>
  </si>
  <si>
    <t>ESTRUTURA</t>
  </si>
  <si>
    <t>HIDROSSANITÁRIO</t>
  </si>
  <si>
    <t>CLIMATIZAÇÃO</t>
  </si>
  <si>
    <t xml:space="preserve">PLANTA BAIXA - PASSAGEM TUBULAÇÃO DE INTERLIGAÇÃO E REDE DE DRENAGEM </t>
  </si>
  <si>
    <t>(11) 4225-6555</t>
  </si>
  <si>
    <t>Casas Bahia (VIA S.A.)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</si>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</sst>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quot;MÊS &quot;00"/>
    <numFmt numFmtId="170" formatCode="000&quot;.&quot;0000"/>
    <numFmt numFmtId="171" formatCode="0.000"/>
    <numFmt numFmtId="172" formatCode="#,##0.000"/>
    <numFmt numFmtId="173" formatCode="0.0"/>
  </numFmts>
  <fonts count="57">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sz val="9"/>
      <color rgb="FF000000"/>
      <name val="Liberation Sans"/>
      <family val="2"/>
    </font>
    <font>
      <b/>
      <sz val="10"/>
      <color theme="1"/>
      <name val="Arial1"/>
    </font>
    <font>
      <sz val="10"/>
      <color theme="1"/>
      <name val="Arial1"/>
    </font>
    <font>
      <b/>
      <sz val="9"/>
      <color rgb="FF000000"/>
      <name val="Liberation Sans"/>
      <family val="2"/>
    </font>
    <font>
      <b/>
      <sz val="10"/>
      <color theme="1"/>
      <name val="Arial"/>
      <family val="2"/>
    </font>
    <font>
      <sz val="10"/>
      <color rgb="FF000000"/>
      <name val="Liberation Sans"/>
      <family val="2"/>
    </font>
    <font>
      <b/>
      <sz val="10"/>
      <color rgb="FFFF0000"/>
      <name val="Arial1"/>
    </font>
    <font>
      <b/>
      <sz val="8"/>
      <color theme="1"/>
      <name val="Courier New"/>
      <family val="3"/>
    </font>
    <font>
      <sz val="8"/>
      <color theme="1"/>
      <name val="Courier New"/>
      <family val="3"/>
    </font>
    <font>
      <sz val="10"/>
      <name val="Arial"/>
      <family val="2"/>
    </font>
    <font>
      <b/>
      <sz val="12"/>
      <color theme="1"/>
      <name val="Arial"/>
      <family val="2"/>
    </font>
    <font>
      <sz val="8"/>
      <name val="Liberation Sans"/>
      <family val="2"/>
    </font>
    <font>
      <sz val="10"/>
      <name val="Courier New"/>
      <family val="3"/>
    </font>
    <font>
      <b/>
      <sz val="10"/>
      <color rgb="FF000000"/>
      <name val="Arial"/>
      <family val="2"/>
    </font>
    <font>
      <sz val="10"/>
      <color rgb="FF000000"/>
      <name val="Arial"/>
      <family val="2"/>
    </font>
    <font>
      <b/>
      <sz val="10"/>
      <color rgb="FFFF0000"/>
      <name val="Arial"/>
      <family val="2"/>
    </font>
    <font>
      <sz val="10"/>
      <color theme="0"/>
      <name val="Arial"/>
      <family val="2"/>
    </font>
    <font>
      <sz val="10"/>
      <color theme="1"/>
      <name val="Liberation Sans"/>
      <family val="2"/>
    </font>
    <font>
      <i/>
      <sz val="10"/>
      <color theme="1"/>
      <name val="Arial"/>
      <family val="2"/>
    </font>
    <font>
      <u/>
      <sz val="10"/>
      <color theme="1"/>
      <name val="Arial"/>
      <family val="2"/>
    </font>
    <font>
      <b/>
      <i/>
      <sz val="10"/>
      <color theme="1"/>
      <name val="Arial"/>
      <family val="2"/>
    </font>
    <font>
      <b/>
      <sz val="10"/>
      <name val="Arial"/>
      <family val="2"/>
    </font>
    <font>
      <b/>
      <sz val="10"/>
      <name val="Arial1"/>
    </font>
    <font>
      <sz val="10"/>
      <name val="Liberation Sans"/>
      <family val="2"/>
    </font>
    <font>
      <b/>
      <sz val="14"/>
      <color theme="1"/>
      <name val="Arial"/>
      <family val="2"/>
    </font>
    <font>
      <b/>
      <sz val="14"/>
      <color rgb="FF000000"/>
      <name val="Arial"/>
      <family val="2"/>
    </font>
    <font>
      <b/>
      <sz val="11"/>
      <color theme="1"/>
      <name val="Calibri"/>
      <family val="2"/>
      <scheme val="minor"/>
    </font>
    <font>
      <sz val="7"/>
      <color theme="1"/>
      <name val="Arial Narrow"/>
      <family val="2"/>
    </font>
    <font>
      <b/>
      <sz val="8"/>
      <color theme="1"/>
      <name val="Arial"/>
      <family val="2"/>
    </font>
    <font>
      <u/>
      <sz val="10"/>
      <color theme="1"/>
      <name val="Liberation Sans"/>
      <family val="2"/>
    </font>
    <font>
      <b/>
      <sz val="10"/>
      <name val="Calibri"/>
      <family val="2"/>
    </font>
    <font>
      <sz val="11"/>
      <color theme="1"/>
      <name val="Calibri "/>
    </font>
    <font>
      <b/>
      <sz val="11"/>
      <color theme="1"/>
      <name val="Calibri "/>
    </font>
  </fonts>
  <fills count="3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D7"/>
        <bgColor rgb="FFFFFFD7"/>
      </patternFill>
    </fill>
    <fill>
      <patternFill patternType="solid">
        <fgColor rgb="FFCCCCCC"/>
        <bgColor rgb="FFCCCCCC"/>
      </patternFill>
    </fill>
    <fill>
      <patternFill patternType="solid">
        <fgColor rgb="FFB4C7DC"/>
        <bgColor rgb="FFB4C7DC"/>
      </patternFill>
    </fill>
    <fill>
      <patternFill patternType="solid">
        <fgColor rgb="FFDEE6EF"/>
        <bgColor rgb="FFDEE6EF"/>
      </patternFill>
    </fill>
    <fill>
      <patternFill patternType="solid">
        <fgColor rgb="FFFFFFCC"/>
        <bgColor rgb="FFFFFFD7"/>
      </patternFill>
    </fill>
    <fill>
      <patternFill patternType="solid">
        <fgColor rgb="FFFFFF00"/>
        <bgColor indexed="64"/>
      </patternFill>
    </fill>
    <fill>
      <patternFill patternType="solid">
        <fgColor theme="0" tint="-0.34998626667073579"/>
        <bgColor rgb="FFFFFFA6"/>
      </patternFill>
    </fill>
    <fill>
      <patternFill patternType="solid">
        <fgColor theme="0"/>
        <bgColor indexed="64"/>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249977111117893"/>
        <bgColor rgb="FF000000"/>
      </patternFill>
    </fill>
    <fill>
      <patternFill patternType="solid">
        <fgColor theme="7" tint="0.79998168889431442"/>
        <bgColor indexed="64"/>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tint="-4.9989318521683403E-2"/>
        <bgColor indexed="64"/>
      </patternFill>
    </fill>
    <fill>
      <patternFill patternType="solid">
        <fgColor theme="0"/>
        <bgColor rgb="FFDEE6EF"/>
      </patternFill>
    </fill>
    <fill>
      <patternFill patternType="solid">
        <fgColor theme="0"/>
        <bgColor rgb="FFFFFFFF"/>
      </patternFill>
    </fill>
    <fill>
      <patternFill patternType="solid">
        <fgColor theme="0" tint="-0.249977111117893"/>
        <bgColor rgb="FFFFFFD7"/>
      </patternFill>
    </fill>
    <fill>
      <patternFill patternType="solid">
        <fgColor theme="0" tint="-0.14999847407452621"/>
        <bgColor rgb="FFFFFFFF"/>
      </patternFill>
    </fill>
    <fill>
      <patternFill patternType="solid">
        <fgColor theme="0" tint="-0.249977111117893"/>
        <bgColor rgb="FFB4C7DC"/>
      </patternFill>
    </fill>
    <fill>
      <patternFill patternType="solid">
        <fgColor theme="0"/>
        <bgColor rgb="FFFFFFA6"/>
      </patternFill>
    </fill>
    <fill>
      <patternFill patternType="solid">
        <fgColor theme="0" tint="-0.14999847407452621"/>
        <bgColor rgb="FFFFFF6D"/>
      </patternFill>
    </fill>
    <fill>
      <patternFill patternType="solid">
        <fgColor rgb="FFCFCFCF"/>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rgb="FF000000"/>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dotted">
        <color indexed="64"/>
      </right>
      <top/>
      <bottom style="dotted">
        <color indexed="64"/>
      </bottom>
      <diagonal/>
    </border>
  </borders>
  <cellStyleXfs count="36">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33" fillId="0" borderId="0" applyFont="0" applyFill="0" applyBorder="0" applyAlignment="0" applyProtection="0"/>
    <xf numFmtId="44"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cellStyleXfs>
  <cellXfs count="441">
    <xf numFmtId="0" fontId="0" fillId="0" borderId="0" xfId="0"/>
    <xf numFmtId="0" fontId="25" fillId="0" borderId="0" xfId="17" applyFont="1"/>
    <xf numFmtId="0" fontId="26" fillId="0" borderId="0" xfId="17" applyFont="1"/>
    <xf numFmtId="0" fontId="25" fillId="0" borderId="0" xfId="17" applyFont="1" applyAlignment="1">
      <alignment horizontal="right"/>
    </xf>
    <xf numFmtId="0" fontId="25" fillId="12" borderId="2" xfId="17" applyFont="1" applyFill="1" applyBorder="1" applyAlignment="1">
      <alignment horizontal="center" vertical="center" wrapText="1"/>
    </xf>
    <xf numFmtId="0" fontId="26" fillId="0" borderId="0" xfId="17" applyFont="1" applyAlignment="1">
      <alignment horizontal="center"/>
    </xf>
    <xf numFmtId="0" fontId="26" fillId="0" borderId="2" xfId="17" applyFont="1" applyBorder="1"/>
    <xf numFmtId="166" fontId="26" fillId="0" borderId="2" xfId="8" applyFont="1" applyFill="1" applyBorder="1" applyAlignment="1" applyProtection="1"/>
    <xf numFmtId="0" fontId="26" fillId="0" borderId="2" xfId="17" applyFont="1" applyBorder="1" applyAlignment="1">
      <alignment wrapText="1"/>
    </xf>
    <xf numFmtId="0" fontId="26" fillId="0" borderId="0" xfId="17" applyFont="1" applyFill="1"/>
    <xf numFmtId="10" fontId="26" fillId="0" borderId="0" xfId="17" applyNumberFormat="1" applyFont="1"/>
    <xf numFmtId="0" fontId="26" fillId="0" borderId="0" xfId="17" applyFont="1" applyAlignment="1">
      <alignment horizontal="right"/>
    </xf>
    <xf numFmtId="0" fontId="26" fillId="0" borderId="2" xfId="17" applyFont="1" applyBorder="1" applyAlignment="1">
      <alignment horizontal="right"/>
    </xf>
    <xf numFmtId="0" fontId="32" fillId="0" borderId="0" xfId="0" applyFont="1"/>
    <xf numFmtId="0" fontId="32" fillId="0" borderId="0" xfId="0" applyFont="1" applyAlignment="1"/>
    <xf numFmtId="49" fontId="32" fillId="19" borderId="0" xfId="0" applyNumberFormat="1" applyFont="1" applyFill="1"/>
    <xf numFmtId="49" fontId="32" fillId="0" borderId="0" xfId="0" applyNumberFormat="1" applyFont="1" applyFill="1"/>
    <xf numFmtId="164" fontId="32" fillId="0" borderId="0" xfId="0" applyNumberFormat="1" applyFont="1" applyFill="1" applyAlignment="1">
      <alignment horizontal="center"/>
    </xf>
    <xf numFmtId="49" fontId="32" fillId="0" borderId="0" xfId="0" applyNumberFormat="1" applyFont="1" applyFill="1" applyAlignment="1">
      <alignment horizontal="center"/>
    </xf>
    <xf numFmtId="0" fontId="32" fillId="0" borderId="0" xfId="0" applyFont="1" applyFill="1"/>
    <xf numFmtId="0" fontId="32" fillId="19" borderId="0" xfId="0" applyFont="1" applyFill="1"/>
    <xf numFmtId="17" fontId="32" fillId="19" borderId="0" xfId="0" applyNumberFormat="1" applyFont="1" applyFill="1"/>
    <xf numFmtId="164" fontId="32" fillId="0" borderId="0" xfId="0" applyNumberFormat="1" applyFont="1" applyFill="1" applyBorder="1" applyAlignment="1">
      <alignment horizontal="center" vertical="center" wrapText="1"/>
    </xf>
    <xf numFmtId="49" fontId="32" fillId="0" borderId="0" xfId="0" applyNumberFormat="1" applyFont="1" applyFill="1" applyBorder="1" applyAlignment="1">
      <alignment horizontal="left" vertical="center" wrapText="1"/>
    </xf>
    <xf numFmtId="49" fontId="32" fillId="0" borderId="0" xfId="0" applyNumberFormat="1" applyFont="1" applyFill="1" applyBorder="1" applyAlignment="1">
      <alignment horizontal="center" vertical="center" wrapText="1"/>
    </xf>
    <xf numFmtId="49" fontId="32" fillId="0" borderId="0" xfId="0" applyNumberFormat="1" applyFont="1" applyFill="1" applyAlignment="1">
      <alignment vertical="center" wrapText="1"/>
    </xf>
    <xf numFmtId="0" fontId="32" fillId="0" borderId="0" xfId="0" applyFont="1" applyFill="1" applyAlignment="1">
      <alignment vertical="center" wrapText="1"/>
    </xf>
    <xf numFmtId="10" fontId="32" fillId="0" borderId="0" xfId="0" applyNumberFormat="1" applyFont="1"/>
    <xf numFmtId="1" fontId="32" fillId="0" borderId="0" xfId="0" applyNumberFormat="1" applyFont="1" applyAlignment="1">
      <alignment horizontal="center"/>
    </xf>
    <xf numFmtId="4" fontId="32" fillId="0" borderId="0" xfId="0" applyNumberFormat="1" applyFont="1"/>
    <xf numFmtId="49" fontId="31" fillId="0" borderId="0" xfId="0" applyNumberFormat="1" applyFont="1" applyBorder="1" applyAlignment="1">
      <alignment vertical="center"/>
    </xf>
    <xf numFmtId="49" fontId="31" fillId="19" borderId="0" xfId="0" applyNumberFormat="1" applyFont="1" applyFill="1" applyBorder="1" applyAlignment="1">
      <alignment vertical="center"/>
    </xf>
    <xf numFmtId="0" fontId="32" fillId="0" borderId="0" xfId="0" applyFont="1" applyBorder="1" applyAlignment="1"/>
    <xf numFmtId="2" fontId="31" fillId="0" borderId="0" xfId="27" applyNumberFormat="1" applyFont="1" applyBorder="1" applyAlignment="1">
      <alignment horizontal="center" vertical="center"/>
    </xf>
    <xf numFmtId="0" fontId="31" fillId="0" borderId="0" xfId="0" applyFont="1" applyBorder="1" applyAlignment="1"/>
    <xf numFmtId="43" fontId="32" fillId="0" borderId="0" xfId="27" applyFont="1" applyFill="1"/>
    <xf numFmtId="43" fontId="32" fillId="0" borderId="0" xfId="27" applyFont="1" applyFill="1" applyBorder="1" applyAlignment="1">
      <alignment horizontal="left" vertical="center" wrapText="1"/>
    </xf>
    <xf numFmtId="0" fontId="0" fillId="0" borderId="0" xfId="0"/>
    <xf numFmtId="166" fontId="26" fillId="0" borderId="2" xfId="8" applyFont="1" applyBorder="1" applyAlignment="1">
      <alignment horizontal="center"/>
    </xf>
    <xf numFmtId="0" fontId="31" fillId="19" borderId="0" xfId="0" applyFont="1" applyFill="1" applyBorder="1" applyAlignment="1">
      <alignment vertical="top"/>
    </xf>
    <xf numFmtId="0" fontId="31" fillId="0" borderId="0" xfId="0" applyFont="1" applyFill="1" applyBorder="1" applyAlignment="1">
      <alignment vertical="top"/>
    </xf>
    <xf numFmtId="0" fontId="32" fillId="0" borderId="0" xfId="0" applyFont="1" applyFill="1" applyBorder="1" applyAlignment="1"/>
    <xf numFmtId="0" fontId="31" fillId="0" borderId="0" xfId="0" applyFont="1" applyFill="1" applyBorder="1" applyAlignment="1">
      <alignment horizontal="left" wrapText="1"/>
    </xf>
    <xf numFmtId="0" fontId="31" fillId="0" borderId="0" xfId="0" applyFont="1" applyFill="1" applyBorder="1" applyAlignment="1">
      <alignment horizontal="center" wrapText="1"/>
    </xf>
    <xf numFmtId="0" fontId="32" fillId="0" borderId="0" xfId="0" applyFont="1" applyFill="1" applyBorder="1"/>
    <xf numFmtId="17" fontId="31" fillId="19" borderId="0" xfId="0" quotePrefix="1" applyNumberFormat="1" applyFont="1" applyFill="1" applyBorder="1" applyAlignment="1">
      <alignment horizontal="center" vertical="top"/>
    </xf>
    <xf numFmtId="17" fontId="32" fillId="19" borderId="0" xfId="0" quotePrefix="1" applyNumberFormat="1" applyFont="1" applyFill="1" applyAlignment="1">
      <alignment horizontal="center"/>
    </xf>
    <xf numFmtId="167" fontId="32" fillId="19" borderId="0" xfId="0" quotePrefix="1" applyNumberFormat="1" applyFont="1" applyFill="1" applyAlignment="1">
      <alignment horizontal="center"/>
    </xf>
    <xf numFmtId="0" fontId="36" fillId="0" borderId="0" xfId="0" applyFont="1" applyAlignment="1">
      <alignment horizontal="left"/>
    </xf>
    <xf numFmtId="0" fontId="36" fillId="0" borderId="0" xfId="0" applyNumberFormat="1" applyFont="1" applyAlignment="1">
      <alignment horizontal="left"/>
    </xf>
    <xf numFmtId="0" fontId="36" fillId="0" borderId="0" xfId="0" applyNumberFormat="1" applyFont="1" applyAlignment="1">
      <alignment horizontal="right"/>
    </xf>
    <xf numFmtId="4" fontId="36" fillId="0" borderId="0" xfId="0" applyNumberFormat="1" applyFont="1" applyAlignment="1">
      <alignment horizontal="right"/>
    </xf>
    <xf numFmtId="0" fontId="21" fillId="0" borderId="0" xfId="0" applyFont="1" applyAlignment="1">
      <alignment vertical="center"/>
    </xf>
    <xf numFmtId="0" fontId="21" fillId="13" borderId="0" xfId="0" applyFont="1" applyFill="1" applyAlignment="1">
      <alignment vertical="center"/>
    </xf>
    <xf numFmtId="10" fontId="21" fillId="13" borderId="0" xfId="30" applyNumberFormat="1" applyFont="1" applyFill="1" applyAlignment="1">
      <alignment horizontal="center" vertical="center"/>
    </xf>
    <xf numFmtId="0" fontId="37" fillId="0" borderId="0" xfId="0" applyFont="1" applyBorder="1" applyAlignment="1">
      <alignment horizontal="center"/>
    </xf>
    <xf numFmtId="0" fontId="38" fillId="0" borderId="0" xfId="0" applyFont="1"/>
    <xf numFmtId="0" fontId="38" fillId="0" borderId="0" xfId="0" applyFont="1" applyAlignment="1">
      <alignment horizontal="left"/>
    </xf>
    <xf numFmtId="0" fontId="37" fillId="0" borderId="0" xfId="0" applyFont="1"/>
    <xf numFmtId="0" fontId="21" fillId="0" borderId="0" xfId="17" applyFont="1" applyProtection="1"/>
    <xf numFmtId="0" fontId="21" fillId="0" borderId="0" xfId="17" applyFont="1" applyAlignment="1" applyProtection="1">
      <alignment horizontal="center"/>
    </xf>
    <xf numFmtId="0" fontId="21" fillId="0" borderId="0" xfId="17" applyFont="1" applyAlignment="1" applyProtection="1">
      <alignment horizontal="right"/>
    </xf>
    <xf numFmtId="0" fontId="38" fillId="0" borderId="0" xfId="17" applyFont="1" applyBorder="1" applyAlignment="1" applyProtection="1">
      <alignment horizontal="center" wrapText="1"/>
    </xf>
    <xf numFmtId="0" fontId="21" fillId="0" borderId="0" xfId="17" applyFont="1" applyBorder="1" applyProtection="1"/>
    <xf numFmtId="10" fontId="39" fillId="0" borderId="0" xfId="19" applyNumberFormat="1" applyFont="1" applyFill="1" applyBorder="1" applyAlignment="1" applyProtection="1">
      <alignment horizontal="left" vertical="center" wrapText="1"/>
    </xf>
    <xf numFmtId="10" fontId="38" fillId="0" borderId="0" xfId="19" applyNumberFormat="1" applyFont="1" applyFill="1" applyBorder="1" applyAlignment="1" applyProtection="1"/>
    <xf numFmtId="0" fontId="21" fillId="0" borderId="0" xfId="17" applyFont="1" applyFill="1" applyProtection="1"/>
    <xf numFmtId="0" fontId="37" fillId="0" borderId="0" xfId="0" applyFont="1" applyBorder="1" applyAlignment="1"/>
    <xf numFmtId="0" fontId="21" fillId="0" borderId="0" xfId="0" applyFont="1"/>
    <xf numFmtId="0" fontId="28" fillId="8" borderId="6" xfId="0" applyFont="1" applyFill="1" applyBorder="1" applyAlignment="1" applyProtection="1">
      <alignment horizontal="center" vertical="center"/>
      <protection locked="0"/>
    </xf>
    <xf numFmtId="0" fontId="21" fillId="8" borderId="0" xfId="0" applyFont="1" applyFill="1" applyBorder="1" applyAlignment="1" applyProtection="1">
      <alignment horizontal="center" vertical="center"/>
      <protection locked="0"/>
    </xf>
    <xf numFmtId="0" fontId="28" fillId="13" borderId="7" xfId="0" applyFont="1" applyFill="1" applyBorder="1" applyAlignment="1">
      <alignment horizontal="right" vertical="center" readingOrder="1"/>
    </xf>
    <xf numFmtId="0" fontId="28" fillId="16" borderId="5" xfId="0" applyFont="1" applyFill="1" applyBorder="1" applyAlignment="1">
      <alignment horizontal="center" vertical="center"/>
    </xf>
    <xf numFmtId="4" fontId="28" fillId="16" borderId="5" xfId="0" applyNumberFormat="1" applyFont="1" applyFill="1" applyBorder="1" applyAlignment="1">
      <alignment horizontal="center" vertical="center"/>
    </xf>
    <xf numFmtId="0" fontId="21" fillId="17" borderId="5" xfId="0" applyFont="1" applyFill="1" applyBorder="1" applyAlignment="1">
      <alignment horizontal="center" vertical="center"/>
    </xf>
    <xf numFmtId="4" fontId="21" fillId="17" borderId="5" xfId="0" applyNumberFormat="1" applyFont="1" applyFill="1" applyBorder="1" applyAlignment="1">
      <alignment horizontal="center" vertical="center"/>
    </xf>
    <xf numFmtId="0" fontId="26" fillId="0" borderId="0" xfId="0" applyFont="1" applyAlignment="1">
      <alignment horizontal="center" vertical="center"/>
    </xf>
    <xf numFmtId="0" fontId="26" fillId="13" borderId="0" xfId="0" applyFont="1" applyFill="1" applyAlignment="1">
      <alignment horizontal="center" vertical="center" readingOrder="1"/>
    </xf>
    <xf numFmtId="0" fontId="26" fillId="13" borderId="0" xfId="0" applyFont="1" applyFill="1" applyAlignment="1">
      <alignment horizontal="left" vertical="center" wrapText="1" readingOrder="1"/>
    </xf>
    <xf numFmtId="4" fontId="26" fillId="13" borderId="0" xfId="0" applyNumberFormat="1" applyFont="1" applyFill="1" applyAlignment="1">
      <alignment horizontal="center" vertical="center" readingOrder="1"/>
    </xf>
    <xf numFmtId="0" fontId="41" fillId="0" borderId="0" xfId="0" applyFont="1" applyAlignment="1">
      <alignment vertical="center"/>
    </xf>
    <xf numFmtId="0" fontId="26" fillId="0" borderId="0" xfId="0" applyFont="1" applyBorder="1" applyAlignment="1">
      <alignment horizontal="left" vertical="center" wrapText="1"/>
    </xf>
    <xf numFmtId="0" fontId="26" fillId="0" borderId="0" xfId="0" applyFont="1" applyBorder="1" applyAlignment="1">
      <alignment horizontal="left" vertical="center"/>
    </xf>
    <xf numFmtId="0" fontId="38" fillId="0" borderId="0" xfId="0" applyFont="1" applyBorder="1" applyAlignment="1">
      <alignment horizontal="right" vertical="center"/>
    </xf>
    <xf numFmtId="0" fontId="28" fillId="0" borderId="0" xfId="17" applyFont="1" applyAlignment="1" applyProtection="1"/>
    <xf numFmtId="0" fontId="28" fillId="0" borderId="0" xfId="17" applyFont="1" applyAlignment="1" applyProtection="1">
      <alignment horizontal="center"/>
    </xf>
    <xf numFmtId="0" fontId="28" fillId="0" borderId="0" xfId="17" applyFont="1" applyFill="1" applyAlignment="1" applyProtection="1"/>
    <xf numFmtId="0" fontId="21" fillId="8" borderId="0" xfId="17" applyFont="1" applyFill="1" applyAlignment="1" applyProtection="1">
      <protection locked="0"/>
    </xf>
    <xf numFmtId="0" fontId="21" fillId="0" borderId="0" xfId="17" applyFont="1" applyAlignment="1" applyProtection="1"/>
    <xf numFmtId="0" fontId="21" fillId="0" borderId="2" xfId="17" applyFont="1" applyBorder="1" applyAlignment="1" applyProtection="1">
      <alignment horizontal="justify" vertical="top" wrapText="1"/>
    </xf>
    <xf numFmtId="2" fontId="21" fillId="8" borderId="3" xfId="17" applyNumberFormat="1" applyFont="1" applyFill="1" applyBorder="1" applyAlignment="1" applyProtection="1">
      <alignment horizontal="center" vertical="top" wrapText="1"/>
      <protection locked="0"/>
    </xf>
    <xf numFmtId="0" fontId="21" fillId="0" borderId="4" xfId="17" applyFont="1" applyFill="1" applyBorder="1" applyAlignment="1" applyProtection="1">
      <alignment horizontal="center" vertical="top" wrapText="1"/>
    </xf>
    <xf numFmtId="0" fontId="42" fillId="0" borderId="5" xfId="17" applyFont="1" applyBorder="1" applyAlignment="1" applyProtection="1">
      <alignment horizontal="justify" vertical="top" wrapText="1"/>
    </xf>
    <xf numFmtId="2" fontId="21" fillId="0" borderId="5" xfId="17" applyNumberFormat="1" applyFont="1" applyFill="1" applyBorder="1" applyAlignment="1" applyProtection="1">
      <alignment horizontal="center" vertical="top" wrapText="1"/>
    </xf>
    <xf numFmtId="0" fontId="21" fillId="0" borderId="5" xfId="17" applyFont="1" applyFill="1" applyBorder="1" applyAlignment="1" applyProtection="1">
      <alignment horizontal="center" vertical="top" wrapText="1"/>
    </xf>
    <xf numFmtId="0" fontId="21" fillId="0" borderId="0" xfId="17" applyFont="1" applyBorder="1" applyAlignment="1" applyProtection="1">
      <alignment horizontal="center"/>
    </xf>
    <xf numFmtId="0" fontId="21" fillId="0" borderId="0" xfId="17" applyFont="1" applyFill="1" applyBorder="1" applyAlignment="1" applyProtection="1">
      <alignment horizontal="center"/>
    </xf>
    <xf numFmtId="0" fontId="28" fillId="0" borderId="2" xfId="17" applyFont="1" applyBorder="1" applyAlignment="1" applyProtection="1">
      <alignment horizontal="justify"/>
    </xf>
    <xf numFmtId="2" fontId="28" fillId="0" borderId="3" xfId="17" applyNumberFormat="1" applyFont="1" applyBorder="1" applyAlignment="1" applyProtection="1">
      <alignment horizontal="center"/>
    </xf>
    <xf numFmtId="0" fontId="28" fillId="0" borderId="4" xfId="17" applyFont="1" applyFill="1" applyBorder="1" applyAlignment="1" applyProtection="1">
      <alignment horizontal="center" vertical="top" wrapText="1"/>
    </xf>
    <xf numFmtId="0" fontId="42" fillId="0" borderId="2" xfId="17" applyFont="1" applyBorder="1" applyAlignment="1" applyProtection="1">
      <alignment horizontal="left" vertical="top" wrapText="1" indent="2"/>
    </xf>
    <xf numFmtId="0" fontId="28" fillId="0" borderId="0" xfId="17" applyFont="1" applyFill="1" applyBorder="1" applyAlignment="1" applyProtection="1">
      <alignment horizontal="center"/>
    </xf>
    <xf numFmtId="2" fontId="21" fillId="0" borderId="3" xfId="17" applyNumberFormat="1" applyFont="1" applyFill="1" applyBorder="1" applyAlignment="1" applyProtection="1">
      <alignment horizontal="center" vertical="top" wrapText="1"/>
    </xf>
    <xf numFmtId="2" fontId="21" fillId="0" borderId="4" xfId="17" applyNumberFormat="1" applyFont="1" applyFill="1" applyBorder="1" applyAlignment="1" applyProtection="1">
      <alignment horizontal="center" vertical="top" wrapText="1"/>
    </xf>
    <xf numFmtId="165" fontId="38" fillId="0" borderId="0" xfId="19" applyNumberFormat="1" applyFont="1" applyFill="1" applyBorder="1" applyAlignment="1" applyProtection="1">
      <alignment horizontal="center"/>
    </xf>
    <xf numFmtId="0" fontId="21" fillId="0" borderId="0" xfId="17" applyFont="1" applyAlignment="1" applyProtection="1">
      <alignment horizontal="left"/>
    </xf>
    <xf numFmtId="0" fontId="21" fillId="0" borderId="0" xfId="0" applyFont="1" applyFill="1" applyBorder="1" applyAlignment="1">
      <alignment vertical="center"/>
    </xf>
    <xf numFmtId="4" fontId="21" fillId="13" borderId="0" xfId="0" applyNumberFormat="1" applyFont="1" applyFill="1" applyAlignment="1">
      <alignment vertical="center"/>
    </xf>
    <xf numFmtId="4" fontId="21" fillId="13" borderId="0" xfId="0" applyNumberFormat="1" applyFont="1" applyFill="1" applyAlignment="1">
      <alignment horizontal="center" vertical="center"/>
    </xf>
    <xf numFmtId="4" fontId="21" fillId="13" borderId="0" xfId="1" applyNumberFormat="1" applyFont="1" applyFill="1" applyAlignment="1">
      <alignment horizontal="center" vertical="center"/>
    </xf>
    <xf numFmtId="4" fontId="21" fillId="13" borderId="0" xfId="30" applyNumberFormat="1" applyFont="1" applyFill="1" applyAlignment="1">
      <alignment horizontal="center" vertical="center"/>
    </xf>
    <xf numFmtId="4" fontId="21" fillId="0" borderId="0" xfId="0" applyNumberFormat="1" applyFont="1" applyAlignment="1">
      <alignment vertical="center"/>
    </xf>
    <xf numFmtId="4" fontId="28" fillId="13" borderId="7" xfId="0" applyNumberFormat="1" applyFont="1" applyFill="1" applyBorder="1" applyAlignment="1">
      <alignment horizontal="right" vertical="center" readingOrder="1"/>
    </xf>
    <xf numFmtId="4" fontId="45" fillId="24" borderId="7" xfId="0" applyNumberFormat="1" applyFont="1" applyFill="1" applyBorder="1" applyAlignment="1">
      <alignment horizontal="center" vertical="center"/>
    </xf>
    <xf numFmtId="4" fontId="41" fillId="0" borderId="0" xfId="0" applyNumberFormat="1" applyFont="1" applyAlignment="1">
      <alignment vertical="center"/>
    </xf>
    <xf numFmtId="4" fontId="33" fillId="25" borderId="7" xfId="0" applyNumberFormat="1" applyFont="1" applyFill="1" applyBorder="1" applyAlignment="1">
      <alignment horizontal="center" vertical="center"/>
    </xf>
    <xf numFmtId="4" fontId="45" fillId="25" borderId="7" xfId="27" applyNumberFormat="1" applyFont="1" applyFill="1" applyBorder="1" applyAlignment="1">
      <alignment horizontal="center" vertical="center"/>
    </xf>
    <xf numFmtId="4" fontId="41" fillId="21" borderId="0" xfId="0" applyNumberFormat="1" applyFont="1" applyFill="1" applyAlignment="1">
      <alignment vertical="center"/>
    </xf>
    <xf numFmtId="4" fontId="45" fillId="23" borderId="7" xfId="0" applyNumberFormat="1" applyFont="1" applyFill="1" applyBorder="1" applyAlignment="1">
      <alignment horizontal="center" vertical="center"/>
    </xf>
    <xf numFmtId="4" fontId="45" fillId="23" borderId="7" xfId="0" applyNumberFormat="1" applyFont="1" applyFill="1" applyBorder="1" applyAlignment="1">
      <alignment horizontal="center" vertical="center" wrapText="1"/>
    </xf>
    <xf numFmtId="4" fontId="45" fillId="23" borderId="7" xfId="27" applyNumberFormat="1" applyFont="1" applyFill="1" applyBorder="1" applyAlignment="1">
      <alignment horizontal="center" vertical="center"/>
    </xf>
    <xf numFmtId="4" fontId="33" fillId="0" borderId="7" xfId="0" applyNumberFormat="1" applyFont="1" applyFill="1" applyBorder="1" applyAlignment="1">
      <alignment horizontal="left" vertical="center"/>
    </xf>
    <xf numFmtId="4" fontId="33" fillId="0" borderId="7" xfId="27" applyNumberFormat="1" applyFont="1" applyFill="1" applyBorder="1" applyAlignment="1">
      <alignment horizontal="center" vertical="center"/>
    </xf>
    <xf numFmtId="4" fontId="41" fillId="0" borderId="8" xfId="0" applyNumberFormat="1" applyFont="1" applyBorder="1" applyAlignment="1">
      <alignment horizontal="center" vertical="center"/>
    </xf>
    <xf numFmtId="4" fontId="41" fillId="0" borderId="8" xfId="0" applyNumberFormat="1" applyFont="1" applyBorder="1" applyAlignment="1">
      <alignment horizontal="left" vertical="center"/>
    </xf>
    <xf numFmtId="4" fontId="41" fillId="0" borderId="8" xfId="0" applyNumberFormat="1" applyFont="1" applyBorder="1" applyAlignment="1">
      <alignment vertical="center"/>
    </xf>
    <xf numFmtId="4" fontId="41" fillId="0" borderId="8" xfId="27" applyNumberFormat="1" applyFont="1" applyBorder="1" applyAlignment="1">
      <alignment horizontal="center" vertical="center"/>
    </xf>
    <xf numFmtId="0" fontId="21" fillId="0" borderId="0" xfId="0" applyFont="1" applyAlignment="1">
      <alignment vertical="center" wrapText="1"/>
    </xf>
    <xf numFmtId="0" fontId="21" fillId="13" borderId="0" xfId="0" applyFont="1" applyFill="1" applyAlignment="1">
      <alignment vertical="center" wrapText="1"/>
    </xf>
    <xf numFmtId="4" fontId="21" fillId="13" borderId="0" xfId="0" applyNumberFormat="1" applyFont="1" applyFill="1" applyAlignment="1">
      <alignment horizontal="center" vertical="center" wrapText="1"/>
    </xf>
    <xf numFmtId="44" fontId="21" fillId="13" borderId="0" xfId="1" applyFont="1" applyFill="1" applyAlignment="1">
      <alignment horizontal="center" vertical="center" wrapText="1"/>
    </xf>
    <xf numFmtId="10" fontId="21" fillId="13" borderId="0" xfId="30" applyNumberFormat="1" applyFont="1" applyFill="1" applyAlignment="1">
      <alignment horizontal="center" vertical="center" wrapText="1"/>
    </xf>
    <xf numFmtId="0" fontId="46" fillId="34" borderId="7" xfId="0" applyFont="1" applyFill="1" applyBorder="1" applyAlignment="1">
      <alignment horizontal="center" vertical="center" wrapText="1"/>
    </xf>
    <xf numFmtId="2" fontId="46" fillId="34" borderId="7" xfId="0" applyNumberFormat="1" applyFont="1" applyFill="1" applyBorder="1" applyAlignment="1">
      <alignment horizontal="center" vertical="center" wrapText="1"/>
    </xf>
    <xf numFmtId="2" fontId="46" fillId="34" borderId="7" xfId="27" applyNumberFormat="1" applyFont="1" applyFill="1" applyBorder="1" applyAlignment="1">
      <alignment horizontal="center" vertical="center" wrapText="1"/>
    </xf>
    <xf numFmtId="0" fontId="47" fillId="21" borderId="0" xfId="0" applyFont="1" applyFill="1" applyAlignment="1">
      <alignment wrapText="1"/>
    </xf>
    <xf numFmtId="0" fontId="25" fillId="30" borderId="7" xfId="0" applyFont="1" applyFill="1" applyBorder="1" applyAlignment="1">
      <alignment horizontal="center" vertical="center" wrapText="1"/>
    </xf>
    <xf numFmtId="2" fontId="25" fillId="30" borderId="7" xfId="0" applyNumberFormat="1" applyFont="1" applyFill="1" applyBorder="1" applyAlignment="1">
      <alignment horizontal="center" vertical="center" wrapText="1"/>
    </xf>
    <xf numFmtId="0" fontId="41" fillId="0" borderId="0" xfId="0" applyFont="1" applyAlignment="1">
      <alignment wrapText="1"/>
    </xf>
    <xf numFmtId="0" fontId="25" fillId="20" borderId="7" xfId="0" applyFont="1" applyFill="1" applyBorder="1" applyAlignment="1">
      <alignment horizontal="center" vertical="center" wrapText="1"/>
    </xf>
    <xf numFmtId="2" fontId="25" fillId="20" borderId="7" xfId="0" applyNumberFormat="1" applyFont="1" applyFill="1" applyBorder="1" applyAlignment="1">
      <alignment horizontal="center" vertical="center" wrapText="1"/>
    </xf>
    <xf numFmtId="0" fontId="26" fillId="14" borderId="7" xfId="0" applyFont="1" applyFill="1" applyBorder="1" applyAlignment="1">
      <alignment horizontal="center" vertical="center" wrapText="1" readingOrder="1"/>
    </xf>
    <xf numFmtId="0" fontId="26" fillId="26" borderId="7" xfId="0" applyFont="1" applyFill="1" applyBorder="1" applyAlignment="1">
      <alignment horizontal="left" vertical="center" wrapText="1"/>
    </xf>
    <xf numFmtId="0" fontId="26" fillId="26" borderId="7" xfId="0" applyFont="1" applyFill="1" applyBorder="1" applyAlignment="1">
      <alignment horizontal="center" vertical="center" wrapText="1"/>
    </xf>
    <xf numFmtId="2" fontId="26" fillId="26" borderId="7" xfId="1" applyNumberFormat="1" applyFont="1" applyFill="1" applyBorder="1" applyAlignment="1">
      <alignment horizontal="center" vertical="center" wrapText="1"/>
    </xf>
    <xf numFmtId="0" fontId="26" fillId="0" borderId="0" xfId="0" applyFont="1" applyBorder="1" applyAlignment="1">
      <alignment horizontal="center" vertical="center" wrapText="1"/>
    </xf>
    <xf numFmtId="0" fontId="26" fillId="0" borderId="0" xfId="0" applyFont="1" applyBorder="1" applyAlignment="1">
      <alignment vertical="center" wrapText="1"/>
    </xf>
    <xf numFmtId="2" fontId="26" fillId="0" borderId="0" xfId="0" applyNumberFormat="1" applyFont="1" applyBorder="1" applyAlignment="1">
      <alignment horizontal="center" vertical="center" wrapText="1"/>
    </xf>
    <xf numFmtId="0" fontId="28" fillId="13" borderId="0" xfId="0" applyFont="1" applyFill="1" applyAlignment="1">
      <alignment vertical="center" readingOrder="1"/>
    </xf>
    <xf numFmtId="44" fontId="21" fillId="13" borderId="0" xfId="1" applyFont="1" applyFill="1" applyAlignment="1">
      <alignment horizontal="center" vertical="center"/>
    </xf>
    <xf numFmtId="0" fontId="21" fillId="18" borderId="15" xfId="0" applyFont="1" applyFill="1" applyBorder="1" applyAlignment="1">
      <alignment vertical="center" readingOrder="1"/>
    </xf>
    <xf numFmtId="0" fontId="28" fillId="18" borderId="9" xfId="0" applyFont="1" applyFill="1" applyBorder="1" applyAlignment="1">
      <alignment vertical="center" readingOrder="1"/>
    </xf>
    <xf numFmtId="0" fontId="28" fillId="27" borderId="7" xfId="0" applyFont="1" applyFill="1" applyBorder="1" applyAlignment="1">
      <alignment horizontal="center" vertical="center"/>
    </xf>
    <xf numFmtId="0" fontId="28" fillId="27" borderId="7" xfId="0" applyFont="1" applyFill="1" applyBorder="1" applyAlignment="1">
      <alignment horizontal="center" vertical="center" wrapText="1"/>
    </xf>
    <xf numFmtId="169" fontId="28" fillId="27" borderId="7" xfId="0" applyNumberFormat="1" applyFont="1" applyFill="1" applyBorder="1" applyAlignment="1">
      <alignment horizontal="center" vertical="center"/>
    </xf>
    <xf numFmtId="169" fontId="28" fillId="27" borderId="10" xfId="0" applyNumberFormat="1" applyFont="1" applyFill="1" applyBorder="1" applyAlignment="1">
      <alignment horizontal="center" vertical="center"/>
    </xf>
    <xf numFmtId="169" fontId="28" fillId="27" borderId="9" xfId="0" applyNumberFormat="1" applyFont="1" applyFill="1" applyBorder="1" applyAlignment="1">
      <alignment horizontal="center" vertical="center"/>
    </xf>
    <xf numFmtId="0" fontId="28" fillId="0" borderId="0" xfId="0" applyFont="1" applyAlignment="1">
      <alignment horizontal="center" vertical="center"/>
    </xf>
    <xf numFmtId="10" fontId="21" fillId="29" borderId="7" xfId="30" applyNumberFormat="1" applyFont="1" applyFill="1" applyBorder="1" applyAlignment="1">
      <alignment horizontal="center" vertical="center"/>
    </xf>
    <xf numFmtId="10" fontId="28" fillId="18" borderId="7" xfId="30" applyNumberFormat="1" applyFont="1" applyFill="1" applyBorder="1" applyAlignment="1">
      <alignment horizontal="center" vertical="center" readingOrder="1"/>
    </xf>
    <xf numFmtId="10" fontId="28" fillId="18" borderId="10" xfId="30" applyNumberFormat="1" applyFont="1" applyFill="1" applyBorder="1" applyAlignment="1">
      <alignment horizontal="center" vertical="center" readingOrder="1"/>
    </xf>
    <xf numFmtId="10" fontId="28" fillId="18" borderId="9" xfId="30" applyNumberFormat="1" applyFont="1" applyFill="1" applyBorder="1" applyAlignment="1">
      <alignment horizontal="center" vertical="center" readingOrder="1"/>
    </xf>
    <xf numFmtId="4" fontId="21" fillId="28" borderId="7" xfId="1" applyNumberFormat="1" applyFont="1" applyFill="1" applyBorder="1" applyAlignment="1">
      <alignment horizontal="center" vertical="center"/>
    </xf>
    <xf numFmtId="44" fontId="21" fillId="28" borderId="10" xfId="1" applyFont="1" applyFill="1" applyBorder="1" applyAlignment="1">
      <alignment horizontal="justify" vertical="center"/>
    </xf>
    <xf numFmtId="44" fontId="21" fillId="28" borderId="9" xfId="1" applyFont="1" applyFill="1" applyBorder="1" applyAlignment="1">
      <alignment horizontal="justify" vertical="center"/>
    </xf>
    <xf numFmtId="4" fontId="28" fillId="27" borderId="7" xfId="1" applyNumberFormat="1" applyFont="1" applyFill="1" applyBorder="1" applyAlignment="1">
      <alignment horizontal="center" vertical="center"/>
    </xf>
    <xf numFmtId="10" fontId="28" fillId="27" borderId="7" xfId="30" applyNumberFormat="1" applyFont="1" applyFill="1" applyBorder="1" applyAlignment="1">
      <alignment horizontal="center" vertical="center"/>
    </xf>
    <xf numFmtId="0" fontId="21" fillId="27" borderId="7" xfId="0" applyFont="1" applyFill="1" applyBorder="1" applyAlignment="1">
      <alignment horizontal="center" vertical="center"/>
    </xf>
    <xf numFmtId="10" fontId="28" fillId="27" borderId="7" xfId="0" applyNumberFormat="1" applyFont="1" applyFill="1" applyBorder="1" applyAlignment="1">
      <alignment horizontal="center" vertical="center"/>
    </xf>
    <xf numFmtId="10" fontId="21" fillId="27" borderId="10" xfId="0" applyNumberFormat="1" applyFont="1" applyFill="1" applyBorder="1" applyAlignment="1">
      <alignment horizontal="center" vertical="center"/>
    </xf>
    <xf numFmtId="10" fontId="21" fillId="27" borderId="9" xfId="0" applyNumberFormat="1" applyFont="1" applyFill="1" applyBorder="1" applyAlignment="1">
      <alignment horizontal="center" vertical="center"/>
    </xf>
    <xf numFmtId="10" fontId="28" fillId="21" borderId="9" xfId="0" applyNumberFormat="1" applyFont="1" applyFill="1" applyBorder="1" applyAlignment="1">
      <alignment horizontal="center" vertical="center"/>
    </xf>
    <xf numFmtId="0" fontId="40" fillId="0" borderId="0" xfId="0" applyFont="1" applyAlignment="1">
      <alignment vertical="center"/>
    </xf>
    <xf numFmtId="4" fontId="40" fillId="0" borderId="0" xfId="0" applyNumberFormat="1" applyFont="1" applyAlignment="1">
      <alignment horizontal="center" vertical="center"/>
    </xf>
    <xf numFmtId="4" fontId="21" fillId="17" borderId="5" xfId="1" applyNumberFormat="1" applyFont="1" applyFill="1" applyBorder="1" applyAlignment="1">
      <alignment horizontal="center" vertical="center"/>
    </xf>
    <xf numFmtId="4" fontId="21" fillId="0" borderId="0" xfId="0" applyNumberFormat="1" applyFont="1" applyAlignment="1">
      <alignment horizontal="center" vertical="center"/>
    </xf>
    <xf numFmtId="0" fontId="28" fillId="4" borderId="5" xfId="0" applyFont="1" applyFill="1" applyBorder="1" applyAlignment="1">
      <alignment horizontal="right" vertical="center"/>
    </xf>
    <xf numFmtId="4" fontId="21" fillId="4" borderId="5" xfId="0" applyNumberFormat="1" applyFont="1" applyFill="1" applyBorder="1" applyAlignment="1">
      <alignment horizontal="center" vertical="center"/>
    </xf>
    <xf numFmtId="43" fontId="31" fillId="0" borderId="0" xfId="27" applyFont="1" applyFill="1" applyBorder="1" applyAlignment="1">
      <alignment vertical="top"/>
    </xf>
    <xf numFmtId="43" fontId="32" fillId="0" borderId="0" xfId="27" applyFont="1" applyFill="1" applyBorder="1" applyAlignment="1"/>
    <xf numFmtId="43" fontId="31" fillId="0" borderId="0" xfId="27" applyFont="1" applyFill="1" applyBorder="1" applyAlignment="1">
      <alignment horizontal="center" wrapText="1"/>
    </xf>
    <xf numFmtId="43" fontId="32" fillId="0" borderId="0" xfId="27" applyFont="1" applyFill="1" applyBorder="1"/>
    <xf numFmtId="171" fontId="26" fillId="14" borderId="7" xfId="27" applyNumberFormat="1" applyFont="1" applyFill="1" applyBorder="1" applyAlignment="1">
      <alignment horizontal="center" vertical="center" wrapText="1" readingOrder="1"/>
    </xf>
    <xf numFmtId="171" fontId="25" fillId="20" borderId="7" xfId="27" applyNumberFormat="1" applyFont="1" applyFill="1" applyBorder="1" applyAlignment="1">
      <alignment horizontal="center" vertical="center" wrapText="1"/>
    </xf>
    <xf numFmtId="171" fontId="26" fillId="0" borderId="0" xfId="27" applyNumberFormat="1" applyFont="1" applyBorder="1" applyAlignment="1">
      <alignment horizontal="center" vertical="center" wrapText="1"/>
    </xf>
    <xf numFmtId="0" fontId="41" fillId="0" borderId="0" xfId="0" applyFont="1" applyAlignment="1">
      <alignment horizontal="center" vertical="center"/>
    </xf>
    <xf numFmtId="0" fontId="46" fillId="34" borderId="7" xfId="0" applyFont="1" applyFill="1" applyBorder="1" applyAlignment="1">
      <alignment horizontal="center" vertical="center" wrapText="1"/>
    </xf>
    <xf numFmtId="4" fontId="28" fillId="31" borderId="7" xfId="0" applyNumberFormat="1" applyFont="1" applyFill="1" applyBorder="1" applyAlignment="1">
      <alignment horizontal="center" vertical="center" readingOrder="1"/>
    </xf>
    <xf numFmtId="10" fontId="21" fillId="31" borderId="7" xfId="0" applyNumberFormat="1" applyFont="1" applyFill="1" applyBorder="1" applyAlignment="1">
      <alignment horizontal="center" vertical="center" wrapText="1" readingOrder="1"/>
    </xf>
    <xf numFmtId="0" fontId="41" fillId="0" borderId="0" xfId="0" applyFont="1" applyBorder="1" applyAlignment="1">
      <alignment vertical="center"/>
    </xf>
    <xf numFmtId="4" fontId="25" fillId="13" borderId="0" xfId="0" applyNumberFormat="1" applyFont="1" applyFill="1" applyBorder="1" applyAlignment="1">
      <alignment horizontal="center" vertical="center" readingOrder="1"/>
    </xf>
    <xf numFmtId="4" fontId="26" fillId="13" borderId="0" xfId="1" applyNumberFormat="1" applyFont="1" applyFill="1" applyAlignment="1">
      <alignment horizontal="center" vertical="center" readingOrder="1"/>
    </xf>
    <xf numFmtId="0" fontId="25" fillId="22" borderId="7" xfId="0" applyFont="1" applyFill="1" applyBorder="1" applyAlignment="1">
      <alignment horizontal="center" vertical="center" readingOrder="1"/>
    </xf>
    <xf numFmtId="0" fontId="25" fillId="22" borderId="7" xfId="0" applyFont="1" applyFill="1" applyBorder="1" applyAlignment="1">
      <alignment horizontal="center" vertical="center" wrapText="1" readingOrder="1"/>
    </xf>
    <xf numFmtId="4" fontId="25" fillId="22" borderId="7" xfId="0" applyNumberFormat="1" applyFont="1" applyFill="1" applyBorder="1" applyAlignment="1">
      <alignment horizontal="center" vertical="center" wrapText="1" readingOrder="1"/>
    </xf>
    <xf numFmtId="4" fontId="25" fillId="22" borderId="7" xfId="1" applyNumberFormat="1" applyFont="1" applyFill="1" applyBorder="1" applyAlignment="1">
      <alignment horizontal="center" vertical="center" wrapText="1" readingOrder="1"/>
    </xf>
    <xf numFmtId="0" fontId="26" fillId="14" borderId="7" xfId="0" applyFont="1" applyFill="1" applyBorder="1" applyAlignment="1">
      <alignment horizontal="center" vertical="center"/>
    </xf>
    <xf numFmtId="0" fontId="26" fillId="13" borderId="7" xfId="0" applyFont="1" applyFill="1" applyBorder="1" applyAlignment="1">
      <alignment horizontal="center" vertical="center" readingOrder="1"/>
    </xf>
    <xf numFmtId="0" fontId="26" fillId="32" borderId="7" xfId="0" applyFont="1" applyFill="1" applyBorder="1" applyAlignment="1">
      <alignment horizontal="center" vertical="center" readingOrder="1"/>
    </xf>
    <xf numFmtId="0" fontId="25" fillId="33" borderId="7" xfId="0" applyFont="1" applyFill="1" applyBorder="1" applyAlignment="1">
      <alignment horizontal="left" vertical="center" wrapText="1" readingOrder="1"/>
    </xf>
    <xf numFmtId="0" fontId="26" fillId="13" borderId="7" xfId="0" applyFont="1" applyFill="1" applyBorder="1" applyAlignment="1">
      <alignment horizontal="center" vertical="center" wrapText="1" readingOrder="1"/>
    </xf>
    <xf numFmtId="4" fontId="26" fillId="13" borderId="7" xfId="0" applyNumberFormat="1" applyFont="1" applyFill="1" applyBorder="1" applyAlignment="1">
      <alignment horizontal="center" vertical="center" readingOrder="1"/>
    </xf>
    <xf numFmtId="4" fontId="26" fillId="13" borderId="7" xfId="1" applyNumberFormat="1" applyFont="1" applyFill="1" applyBorder="1" applyAlignment="1">
      <alignment horizontal="center" vertical="center" wrapText="1" readingOrder="1"/>
    </xf>
    <xf numFmtId="4" fontId="25" fillId="13" borderId="7" xfId="1" applyNumberFormat="1" applyFont="1" applyFill="1" applyBorder="1" applyAlignment="1">
      <alignment horizontal="center" vertical="center" readingOrder="1"/>
    </xf>
    <xf numFmtId="0" fontId="26" fillId="26" borderId="7" xfId="0" applyFont="1" applyFill="1" applyBorder="1" applyAlignment="1">
      <alignment horizontal="center" vertical="center"/>
    </xf>
    <xf numFmtId="0" fontId="26" fillId="26" borderId="7" xfId="0" applyFont="1" applyFill="1" applyBorder="1" applyAlignment="1">
      <alignment horizontal="center" vertical="center" readingOrder="1"/>
    </xf>
    <xf numFmtId="0" fontId="26" fillId="26" borderId="7" xfId="0" applyFont="1" applyFill="1" applyBorder="1" applyAlignment="1">
      <alignment horizontal="center" vertical="center" wrapText="1" readingOrder="1"/>
    </xf>
    <xf numFmtId="0" fontId="26" fillId="13" borderId="7" xfId="0" applyFont="1" applyFill="1" applyBorder="1" applyAlignment="1">
      <alignment horizontal="left" vertical="center" wrapText="1" readingOrder="1"/>
    </xf>
    <xf numFmtId="4" fontId="26" fillId="26" borderId="7" xfId="0" applyNumberFormat="1" applyFont="1" applyFill="1" applyBorder="1" applyAlignment="1">
      <alignment horizontal="center" vertical="center" readingOrder="1"/>
    </xf>
    <xf numFmtId="4" fontId="26" fillId="13" borderId="7" xfId="1" applyNumberFormat="1" applyFont="1" applyFill="1" applyBorder="1" applyAlignment="1">
      <alignment horizontal="center" vertical="center" readingOrder="1"/>
    </xf>
    <xf numFmtId="4" fontId="25" fillId="15" borderId="7" xfId="1" applyNumberFormat="1" applyFont="1" applyFill="1" applyBorder="1" applyAlignment="1">
      <alignment horizontal="center" vertical="center" readingOrder="1"/>
    </xf>
    <xf numFmtId="4" fontId="25" fillId="35" borderId="7" xfId="1" applyNumberFormat="1" applyFont="1" applyFill="1" applyBorder="1" applyAlignment="1">
      <alignment horizontal="center" vertical="center" wrapText="1"/>
    </xf>
    <xf numFmtId="0" fontId="0" fillId="0" borderId="0" xfId="0" applyNumberFormat="1" applyAlignment="1">
      <alignment horizontal="right"/>
    </xf>
    <xf numFmtId="4" fontId="0" fillId="0" borderId="0" xfId="0" applyNumberFormat="1" applyAlignment="1">
      <alignment horizontal="right"/>
    </xf>
    <xf numFmtId="4" fontId="28" fillId="31" borderId="7" xfId="0" applyNumberFormat="1" applyFont="1" applyFill="1" applyBorder="1" applyAlignment="1">
      <alignment horizontal="center" vertical="center" wrapText="1" readingOrder="1"/>
    </xf>
    <xf numFmtId="4" fontId="26" fillId="0" borderId="0" xfId="0" applyNumberFormat="1" applyFont="1" applyBorder="1" applyAlignment="1">
      <alignment horizontal="center" vertical="center" readingOrder="1"/>
    </xf>
    <xf numFmtId="4" fontId="26" fillId="0" borderId="0" xfId="0" applyNumberFormat="1" applyFont="1" applyBorder="1" applyAlignment="1">
      <alignment horizontal="left" vertical="center"/>
    </xf>
    <xf numFmtId="4" fontId="26" fillId="13" borderId="0" xfId="1" applyNumberFormat="1" applyFont="1" applyFill="1" applyAlignment="1">
      <alignment horizontal="left" vertical="center" readingOrder="1"/>
    </xf>
    <xf numFmtId="0" fontId="28" fillId="36" borderId="5" xfId="0" applyFont="1" applyFill="1" applyBorder="1" applyAlignment="1">
      <alignment horizontal="center" vertical="center"/>
    </xf>
    <xf numFmtId="4" fontId="28" fillId="36" borderId="5" xfId="0" applyNumberFormat="1" applyFont="1" applyFill="1" applyBorder="1" applyAlignment="1">
      <alignment horizontal="center" vertical="center"/>
    </xf>
    <xf numFmtId="0" fontId="21" fillId="26" borderId="5" xfId="0" applyFont="1" applyFill="1" applyBorder="1" applyAlignment="1">
      <alignment horizontal="center" vertical="center" wrapText="1"/>
    </xf>
    <xf numFmtId="2" fontId="21" fillId="26" borderId="5" xfId="0" applyNumberFormat="1" applyFont="1" applyFill="1" applyBorder="1" applyAlignment="1">
      <alignment horizontal="center" vertical="center"/>
    </xf>
    <xf numFmtId="4" fontId="21" fillId="26" borderId="5" xfId="0" applyNumberFormat="1" applyFont="1" applyFill="1" applyBorder="1" applyAlignment="1">
      <alignment horizontal="center" vertical="center"/>
    </xf>
    <xf numFmtId="49" fontId="21" fillId="26" borderId="7" xfId="0" quotePrefix="1" applyNumberFormat="1" applyFont="1" applyFill="1" applyBorder="1" applyAlignment="1">
      <alignment horizontal="center" vertical="center" wrapText="1" readingOrder="1"/>
    </xf>
    <xf numFmtId="10" fontId="25" fillId="13" borderId="7" xfId="30" applyNumberFormat="1" applyFont="1" applyFill="1" applyBorder="1" applyAlignment="1">
      <alignment horizontal="center" vertical="center" readingOrder="1"/>
    </xf>
    <xf numFmtId="10" fontId="41" fillId="0" borderId="7" xfId="30" applyNumberFormat="1" applyFont="1" applyBorder="1" applyAlignment="1">
      <alignment horizontal="center" vertical="center"/>
    </xf>
    <xf numFmtId="17" fontId="52" fillId="19" borderId="0" xfId="0" quotePrefix="1" applyNumberFormat="1" applyFont="1" applyFill="1" applyBorder="1" applyAlignment="1">
      <alignment horizontal="center" vertical="center"/>
    </xf>
    <xf numFmtId="0" fontId="50"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2" xfId="0" applyBorder="1" applyAlignment="1">
      <alignment horizontal="left" vertical="top" wrapText="1"/>
    </xf>
    <xf numFmtId="4" fontId="0" fillId="0" borderId="2" xfId="0" applyNumberFormat="1" applyBorder="1" applyAlignment="1">
      <alignment horizontal="right" vertical="top" wrapText="1"/>
    </xf>
    <xf numFmtId="0" fontId="50" fillId="0" borderId="2" xfId="0" applyFont="1" applyBorder="1" applyAlignment="1">
      <alignment vertical="top" wrapText="1"/>
    </xf>
    <xf numFmtId="0" fontId="50" fillId="0" borderId="3" xfId="0" applyFont="1" applyBorder="1" applyAlignment="1">
      <alignment vertical="top" wrapText="1"/>
    </xf>
    <xf numFmtId="0" fontId="50" fillId="0" borderId="5" xfId="0" applyFont="1" applyBorder="1" applyAlignment="1">
      <alignment vertical="top" wrapText="1"/>
    </xf>
    <xf numFmtId="0" fontId="0" fillId="0" borderId="2" xfId="0" applyBorder="1" applyAlignment="1">
      <alignment vertical="top" wrapText="1"/>
    </xf>
    <xf numFmtId="0" fontId="0" fillId="0" borderId="3" xfId="0" applyBorder="1" applyAlignment="1">
      <alignment wrapText="1"/>
    </xf>
    <xf numFmtId="0" fontId="0" fillId="0" borderId="5" xfId="0" applyBorder="1" applyAlignment="1">
      <alignment wrapText="1"/>
    </xf>
    <xf numFmtId="0" fontId="50" fillId="37" borderId="2" xfId="0" applyFont="1" applyFill="1" applyBorder="1" applyAlignment="1">
      <alignment horizontal="left" wrapText="1"/>
    </xf>
    <xf numFmtId="0" fontId="50" fillId="37" borderId="2" xfId="0" applyFont="1" applyFill="1" applyBorder="1" applyAlignment="1">
      <alignment horizontal="center" wrapText="1"/>
    </xf>
    <xf numFmtId="4" fontId="33" fillId="0" borderId="7" xfId="0" applyNumberFormat="1" applyFont="1" applyFill="1" applyBorder="1" applyAlignment="1">
      <alignment horizontal="left" vertical="center" wrapText="1"/>
    </xf>
    <xf numFmtId="4" fontId="33" fillId="0" borderId="7" xfId="27" applyNumberFormat="1" applyFont="1" applyFill="1" applyBorder="1" applyAlignment="1">
      <alignment horizontal="left" vertical="center"/>
    </xf>
    <xf numFmtId="4" fontId="33" fillId="0" borderId="7" xfId="27" applyNumberFormat="1" applyFont="1" applyFill="1" applyBorder="1" applyAlignment="1">
      <alignment vertical="center"/>
    </xf>
    <xf numFmtId="4" fontId="33" fillId="0" borderId="12" xfId="27" applyNumberFormat="1" applyFont="1" applyFill="1" applyBorder="1" applyAlignment="1">
      <alignment horizontal="center" vertical="center"/>
    </xf>
    <xf numFmtId="4" fontId="33" fillId="0" borderId="17" xfId="27" applyNumberFormat="1" applyFont="1" applyFill="1" applyBorder="1" applyAlignment="1">
      <alignment horizontal="center" vertical="center"/>
    </xf>
    <xf numFmtId="4" fontId="33" fillId="0" borderId="17" xfId="27" applyNumberFormat="1" applyFont="1" applyFill="1" applyBorder="1" applyAlignment="1">
      <alignment horizontal="left" vertical="center"/>
    </xf>
    <xf numFmtId="4" fontId="33" fillId="0" borderId="14" xfId="27" applyNumberFormat="1" applyFont="1" applyFill="1" applyBorder="1" applyAlignment="1">
      <alignment horizontal="center" vertical="center"/>
    </xf>
    <xf numFmtId="4" fontId="33" fillId="0" borderId="7" xfId="27" applyNumberFormat="1" applyFont="1" applyFill="1" applyBorder="1" applyAlignment="1">
      <alignment vertical="center" wrapText="1"/>
    </xf>
    <xf numFmtId="4" fontId="33" fillId="0" borderId="7" xfId="27" applyNumberFormat="1" applyFont="1" applyFill="1" applyBorder="1" applyAlignment="1">
      <alignment horizontal="center" vertical="center" wrapText="1"/>
    </xf>
    <xf numFmtId="4" fontId="33" fillId="0" borderId="7" xfId="27" applyNumberFormat="1" applyFont="1" applyFill="1" applyBorder="1" applyAlignment="1">
      <alignment horizontal="left" vertical="center" wrapText="1"/>
    </xf>
    <xf numFmtId="4" fontId="33" fillId="0" borderId="17" xfId="27" applyNumberFormat="1" applyFont="1" applyFill="1" applyBorder="1" applyAlignment="1">
      <alignment horizontal="left" vertical="center" wrapText="1"/>
    </xf>
    <xf numFmtId="4" fontId="45" fillId="0" borderId="7" xfId="0" applyNumberFormat="1" applyFont="1" applyFill="1" applyBorder="1" applyAlignment="1">
      <alignment horizontal="left" vertical="center"/>
    </xf>
    <xf numFmtId="4" fontId="45" fillId="21" borderId="7" xfId="0" applyNumberFormat="1" applyFont="1" applyFill="1" applyBorder="1" applyAlignment="1">
      <alignment horizontal="center" vertical="center"/>
    </xf>
    <xf numFmtId="4" fontId="45" fillId="21" borderId="7" xfId="0" applyNumberFormat="1" applyFont="1" applyFill="1" applyBorder="1" applyAlignment="1">
      <alignment horizontal="center" vertical="center" wrapText="1"/>
    </xf>
    <xf numFmtId="4" fontId="45" fillId="21" borderId="7" xfId="27" applyNumberFormat="1" applyFont="1" applyFill="1" applyBorder="1" applyAlignment="1">
      <alignment horizontal="center" vertical="center"/>
    </xf>
    <xf numFmtId="4" fontId="45" fillId="21" borderId="7" xfId="0" applyNumberFormat="1" applyFont="1" applyFill="1" applyBorder="1" applyAlignment="1">
      <alignment horizontal="left" vertical="center"/>
    </xf>
    <xf numFmtId="4" fontId="45" fillId="0" borderId="7" xfId="0" applyNumberFormat="1" applyFont="1" applyFill="1" applyBorder="1" applyAlignment="1">
      <alignment horizontal="left" vertical="center" wrapText="1"/>
    </xf>
    <xf numFmtId="4" fontId="45" fillId="29" borderId="7" xfId="0" applyNumberFormat="1" applyFont="1" applyFill="1" applyBorder="1" applyAlignment="1">
      <alignment horizontal="center" vertical="center"/>
    </xf>
    <xf numFmtId="4" fontId="45" fillId="29" borderId="7" xfId="0" applyNumberFormat="1" applyFont="1" applyFill="1" applyBorder="1" applyAlignment="1">
      <alignment horizontal="center" vertical="center" wrapText="1"/>
    </xf>
    <xf numFmtId="4" fontId="45" fillId="29" borderId="7" xfId="27" applyNumberFormat="1" applyFont="1" applyFill="1" applyBorder="1" applyAlignment="1">
      <alignment horizontal="center" vertical="center"/>
    </xf>
    <xf numFmtId="4" fontId="45" fillId="29" borderId="7" xfId="0" applyNumberFormat="1" applyFont="1" applyFill="1" applyBorder="1" applyAlignment="1">
      <alignment horizontal="left" vertical="center"/>
    </xf>
    <xf numFmtId="0" fontId="41" fillId="0" borderId="0" xfId="0" applyFont="1" applyAlignment="1">
      <alignment horizontal="left" vertical="center"/>
    </xf>
    <xf numFmtId="4" fontId="33" fillId="0" borderId="16" xfId="27" applyNumberFormat="1" applyFont="1" applyFill="1" applyBorder="1" applyAlignment="1">
      <alignment horizontal="center" vertical="center"/>
    </xf>
    <xf numFmtId="0" fontId="47" fillId="21" borderId="0" xfId="0" applyFont="1" applyFill="1" applyAlignment="1">
      <alignment horizontal="center" wrapText="1"/>
    </xf>
    <xf numFmtId="0" fontId="41" fillId="0" borderId="0" xfId="0" applyFont="1" applyAlignment="1">
      <alignment horizontal="center" wrapText="1"/>
    </xf>
    <xf numFmtId="44" fontId="21" fillId="13" borderId="0" xfId="1" applyFont="1" applyFill="1" applyAlignment="1">
      <alignment horizontal="center" wrapText="1"/>
    </xf>
    <xf numFmtId="2" fontId="41" fillId="0" borderId="0" xfId="0" applyNumberFormat="1" applyFont="1" applyAlignment="1">
      <alignment wrapText="1"/>
    </xf>
    <xf numFmtId="0" fontId="26" fillId="0" borderId="0" xfId="0" applyFont="1" applyAlignment="1">
      <alignment horizontal="left" vertical="center"/>
    </xf>
    <xf numFmtId="172" fontId="33" fillId="0" borderId="7" xfId="27" applyNumberFormat="1" applyFont="1" applyFill="1" applyBorder="1" applyAlignment="1">
      <alignment horizontal="center" vertical="center"/>
    </xf>
    <xf numFmtId="4" fontId="33" fillId="0" borderId="16" xfId="0" applyNumberFormat="1" applyFont="1" applyFill="1" applyBorder="1" applyAlignment="1">
      <alignment horizontal="left" vertical="center" wrapText="1"/>
    </xf>
    <xf numFmtId="4" fontId="33" fillId="25" borderId="13" xfId="0" applyNumberFormat="1" applyFont="1" applyFill="1" applyBorder="1" applyAlignment="1">
      <alignment horizontal="center" vertical="center"/>
    </xf>
    <xf numFmtId="4" fontId="45" fillId="25" borderId="13" xfId="27" applyNumberFormat="1" applyFont="1" applyFill="1" applyBorder="1" applyAlignment="1">
      <alignment horizontal="center" vertical="center"/>
    </xf>
    <xf numFmtId="4" fontId="45" fillId="21" borderId="12" xfId="0" applyNumberFormat="1" applyFont="1" applyFill="1" applyBorder="1" applyAlignment="1">
      <alignment horizontal="left" vertical="center"/>
    </xf>
    <xf numFmtId="4" fontId="33" fillId="21" borderId="17" xfId="27" applyNumberFormat="1" applyFont="1" applyFill="1" applyBorder="1" applyAlignment="1">
      <alignment horizontal="center" vertical="center"/>
    </xf>
    <xf numFmtId="4" fontId="33" fillId="21" borderId="14" xfId="27" applyNumberFormat="1" applyFont="1" applyFill="1" applyBorder="1" applyAlignment="1">
      <alignment horizontal="center" vertical="center"/>
    </xf>
    <xf numFmtId="4" fontId="33" fillId="0" borderId="16" xfId="27" applyNumberFormat="1" applyFont="1" applyFill="1" applyBorder="1" applyAlignment="1">
      <alignment horizontal="center" vertical="center"/>
    </xf>
    <xf numFmtId="4" fontId="33" fillId="0" borderId="7" xfId="0" applyNumberFormat="1" applyFont="1" applyFill="1" applyBorder="1" applyAlignment="1">
      <alignment horizontal="left" vertical="top" wrapText="1"/>
    </xf>
    <xf numFmtId="2" fontId="41" fillId="0" borderId="0" xfId="0" applyNumberFormat="1" applyFont="1" applyAlignment="1">
      <alignment horizontal="center" wrapText="1"/>
    </xf>
    <xf numFmtId="171" fontId="41" fillId="0" borderId="0" xfId="0" applyNumberFormat="1" applyFont="1" applyAlignment="1">
      <alignment horizontal="center" wrapText="1"/>
    </xf>
    <xf numFmtId="4" fontId="53" fillId="0" borderId="0" xfId="0" applyNumberFormat="1" applyFont="1" applyAlignment="1">
      <alignment vertical="center"/>
    </xf>
    <xf numFmtId="4" fontId="33" fillId="0" borderId="7" xfId="0" applyNumberFormat="1" applyFont="1" applyFill="1" applyBorder="1" applyAlignment="1">
      <alignment horizontal="center" vertical="center"/>
    </xf>
    <xf numFmtId="4" fontId="53" fillId="21" borderId="0" xfId="0" applyNumberFormat="1" applyFont="1" applyFill="1" applyAlignment="1">
      <alignment vertical="center"/>
    </xf>
    <xf numFmtId="4" fontId="45" fillId="24" borderId="7" xfId="0" applyNumberFormat="1" applyFont="1" applyFill="1" applyBorder="1" applyAlignment="1">
      <alignment horizontal="left" vertical="center"/>
    </xf>
    <xf numFmtId="4" fontId="33" fillId="0" borderId="7" xfId="0" applyNumberFormat="1" applyFont="1" applyFill="1" applyBorder="1" applyAlignment="1">
      <alignment horizontal="center" vertical="center" wrapText="1"/>
    </xf>
    <xf numFmtId="4" fontId="26" fillId="26" borderId="7" xfId="1" applyNumberFormat="1" applyFont="1" applyFill="1" applyBorder="1" applyAlignment="1">
      <alignment horizontal="center" vertical="center" wrapText="1"/>
    </xf>
    <xf numFmtId="4" fontId="33" fillId="0" borderId="16" xfId="27" applyNumberFormat="1" applyFont="1" applyFill="1" applyBorder="1" applyAlignment="1">
      <alignment horizontal="center" vertical="center"/>
    </xf>
    <xf numFmtId="4" fontId="33" fillId="0" borderId="16" xfId="27" applyNumberFormat="1" applyFont="1" applyFill="1" applyBorder="1" applyAlignment="1">
      <alignment horizontal="center" vertical="center"/>
    </xf>
    <xf numFmtId="0" fontId="51" fillId="0" borderId="2" xfId="0" applyFont="1" applyBorder="1" applyAlignment="1">
      <alignment vertical="center" wrapText="1"/>
    </xf>
    <xf numFmtId="0" fontId="51" fillId="0" borderId="2" xfId="0" applyFont="1" applyBorder="1" applyAlignment="1">
      <alignment horizontal="center" vertical="center"/>
    </xf>
    <xf numFmtId="0" fontId="51" fillId="0" borderId="2" xfId="0" applyFont="1" applyBorder="1" applyAlignment="1">
      <alignment horizontal="left" vertical="center" wrapText="1"/>
    </xf>
    <xf numFmtId="0" fontId="51" fillId="0" borderId="5" xfId="0" applyFont="1" applyBorder="1" applyAlignment="1">
      <alignment vertical="center"/>
    </xf>
    <xf numFmtId="0" fontId="51" fillId="0" borderId="5" xfId="0" applyFont="1" applyBorder="1" applyAlignment="1">
      <alignment wrapText="1"/>
    </xf>
    <xf numFmtId="0" fontId="51" fillId="0" borderId="5" xfId="0" applyFont="1" applyBorder="1" applyAlignment="1"/>
    <xf numFmtId="0" fontId="51" fillId="0" borderId="5" xfId="0" applyFont="1" applyBorder="1" applyAlignment="1">
      <alignment vertical="center" wrapText="1"/>
    </xf>
    <xf numFmtId="4" fontId="31" fillId="0" borderId="0" xfId="1" applyNumberFormat="1" applyFont="1" applyBorder="1" applyAlignment="1">
      <alignment vertical="center"/>
    </xf>
    <xf numFmtId="4" fontId="31" fillId="0" borderId="0" xfId="27" applyNumberFormat="1" applyFont="1" applyBorder="1" applyAlignment="1">
      <alignment horizontal="center" vertical="center"/>
    </xf>
    <xf numFmtId="4" fontId="51" fillId="0" borderId="2" xfId="0" applyNumberFormat="1" applyFont="1" applyBorder="1" applyAlignment="1">
      <alignment vertical="center" wrapText="1"/>
    </xf>
    <xf numFmtId="4" fontId="51" fillId="0" borderId="2" xfId="0" applyNumberFormat="1" applyFont="1" applyBorder="1" applyAlignment="1">
      <alignment horizontal="center" vertical="center"/>
    </xf>
    <xf numFmtId="4" fontId="51" fillId="0" borderId="4" xfId="0" applyNumberFormat="1" applyFont="1" applyBorder="1" applyAlignment="1">
      <alignment vertical="center"/>
    </xf>
    <xf numFmtId="4" fontId="51" fillId="0" borderId="4" xfId="0" applyNumberFormat="1" applyFont="1" applyBorder="1" applyAlignment="1">
      <alignment wrapText="1"/>
    </xf>
    <xf numFmtId="4" fontId="51" fillId="0" borderId="4" xfId="0" applyNumberFormat="1" applyFont="1" applyBorder="1" applyAlignment="1"/>
    <xf numFmtId="4" fontId="51" fillId="0" borderId="4" xfId="0" applyNumberFormat="1" applyFont="1" applyBorder="1" applyAlignment="1">
      <alignment vertical="center" wrapText="1"/>
    </xf>
    <xf numFmtId="4" fontId="32" fillId="0" borderId="0" xfId="1" applyNumberFormat="1" applyFont="1" applyBorder="1" applyAlignment="1"/>
    <xf numFmtId="0" fontId="51" fillId="0" borderId="2" xfId="0" applyNumberFormat="1" applyFont="1" applyBorder="1" applyAlignment="1">
      <alignment horizontal="center" vertical="center"/>
    </xf>
    <xf numFmtId="4" fontId="54" fillId="23" borderId="7" xfId="0" applyNumberFormat="1" applyFont="1" applyFill="1" applyBorder="1" applyAlignment="1">
      <alignment horizontal="center" vertical="center" wrapText="1"/>
    </xf>
    <xf numFmtId="0" fontId="50" fillId="23" borderId="7" xfId="0" applyFont="1" applyFill="1" applyBorder="1" applyAlignment="1">
      <alignment horizontal="center" vertical="center"/>
    </xf>
    <xf numFmtId="0" fontId="50" fillId="23" borderId="7" xfId="0" applyFont="1" applyFill="1" applyBorder="1" applyAlignment="1">
      <alignment horizontal="center" vertical="center" wrapText="1"/>
    </xf>
    <xf numFmtId="0" fontId="6" fillId="0" borderId="0" xfId="0" applyFont="1" applyAlignment="1">
      <alignment horizontal="center" vertical="center"/>
    </xf>
    <xf numFmtId="0" fontId="6" fillId="0" borderId="7" xfId="0" applyFont="1" applyBorder="1" applyAlignment="1">
      <alignment horizontal="center" vertical="center"/>
    </xf>
    <xf numFmtId="0" fontId="6" fillId="0" borderId="7" xfId="0" applyFont="1" applyBorder="1" applyAlignment="1">
      <alignment horizontal="left" vertical="center"/>
    </xf>
    <xf numFmtId="2" fontId="6" fillId="0" borderId="7" xfId="0" applyNumberFormat="1" applyFont="1" applyBorder="1" applyAlignment="1">
      <alignment horizontal="center" vertical="center"/>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50" fillId="23" borderId="7" xfId="0" applyFont="1" applyFill="1" applyBorder="1" applyAlignment="1">
      <alignment horizontal="center" vertical="center"/>
    </xf>
    <xf numFmtId="0" fontId="6" fillId="0" borderId="0" xfId="0" applyFont="1" applyAlignment="1">
      <alignment horizontal="left" vertical="center"/>
    </xf>
    <xf numFmtId="0" fontId="50" fillId="23" borderId="7" xfId="0" applyFont="1" applyFill="1"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left" vertical="center" wrapText="1"/>
    </xf>
    <xf numFmtId="0" fontId="5" fillId="0" borderId="7" xfId="0" applyFont="1" applyBorder="1" applyAlignment="1">
      <alignment horizontal="left" vertical="center"/>
    </xf>
    <xf numFmtId="0" fontId="5" fillId="0" borderId="12" xfId="0" applyFont="1" applyBorder="1" applyAlignment="1">
      <alignment horizontal="left" vertical="center"/>
    </xf>
    <xf numFmtId="4" fontId="45" fillId="24" borderId="7" xfId="0" applyNumberFormat="1" applyFont="1" applyFill="1" applyBorder="1" applyAlignment="1">
      <alignment horizontal="left"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55" fillId="21" borderId="0" xfId="0" applyFont="1" applyFill="1" applyAlignment="1">
      <alignment vertical="center"/>
    </xf>
    <xf numFmtId="0" fontId="55" fillId="21" borderId="7" xfId="0" applyFont="1" applyFill="1" applyBorder="1" applyAlignment="1">
      <alignment vertical="center"/>
    </xf>
    <xf numFmtId="0" fontId="56" fillId="23" borderId="7" xfId="0" applyFont="1" applyFill="1" applyBorder="1" applyAlignment="1">
      <alignment horizontal="center" vertical="center"/>
    </xf>
    <xf numFmtId="49" fontId="56" fillId="23" borderId="7" xfId="0" applyNumberFormat="1" applyFont="1" applyFill="1" applyBorder="1" applyAlignment="1">
      <alignment horizontal="center" vertical="center"/>
    </xf>
    <xf numFmtId="49" fontId="55" fillId="21" borderId="7" xfId="0" applyNumberFormat="1" applyFont="1" applyFill="1" applyBorder="1" applyAlignment="1">
      <alignment horizontal="center" vertical="center"/>
    </xf>
    <xf numFmtId="49" fontId="55" fillId="21" borderId="0" xfId="0" applyNumberFormat="1" applyFont="1" applyFill="1" applyAlignment="1">
      <alignment horizontal="center" vertical="center"/>
    </xf>
    <xf numFmtId="0" fontId="3" fillId="0" borderId="7" xfId="0" applyFont="1" applyBorder="1" applyAlignment="1">
      <alignment horizontal="left" vertical="center"/>
    </xf>
    <xf numFmtId="0" fontId="4" fillId="21" borderId="7" xfId="0" applyFont="1" applyFill="1" applyBorder="1" applyAlignment="1">
      <alignment horizontal="center" vertical="center"/>
    </xf>
    <xf numFmtId="0" fontId="3" fillId="0" borderId="7" xfId="0" applyFont="1" applyBorder="1" applyAlignment="1">
      <alignment horizontal="center" vertical="center"/>
    </xf>
    <xf numFmtId="0" fontId="6" fillId="21" borderId="7" xfId="0" applyFont="1" applyFill="1" applyBorder="1" applyAlignment="1">
      <alignment horizontal="center" vertical="center"/>
    </xf>
    <xf numFmtId="0" fontId="4" fillId="21" borderId="7" xfId="0" applyFont="1" applyFill="1" applyBorder="1" applyAlignment="1">
      <alignment horizontal="left" vertical="center" wrapText="1"/>
    </xf>
    <xf numFmtId="0" fontId="4" fillId="21" borderId="7" xfId="0" applyFont="1" applyFill="1" applyBorder="1" applyAlignment="1">
      <alignment horizontal="left" vertical="center"/>
    </xf>
    <xf numFmtId="0" fontId="5" fillId="21" borderId="7" xfId="0" applyFont="1" applyFill="1" applyBorder="1" applyAlignment="1">
      <alignment horizontal="center" vertical="center"/>
    </xf>
    <xf numFmtId="0" fontId="3" fillId="21" borderId="7" xfId="0" applyFont="1" applyFill="1" applyBorder="1" applyAlignment="1">
      <alignment horizontal="left" vertical="center" wrapText="1"/>
    </xf>
    <xf numFmtId="0" fontId="3" fillId="21" borderId="7" xfId="0" applyFont="1" applyFill="1" applyBorder="1" applyAlignment="1">
      <alignment horizontal="left" vertical="center"/>
    </xf>
    <xf numFmtId="0" fontId="3" fillId="21" borderId="7" xfId="0" applyFont="1" applyFill="1" applyBorder="1" applyAlignment="1">
      <alignment horizontal="center" vertical="center"/>
    </xf>
    <xf numFmtId="4" fontId="45" fillId="24" borderId="12" xfId="0" applyNumberFormat="1" applyFont="1" applyFill="1" applyBorder="1" applyAlignment="1">
      <alignment horizontal="left" vertical="center"/>
    </xf>
    <xf numFmtId="4" fontId="45" fillId="24" borderId="17" xfId="0" applyNumberFormat="1" applyFont="1" applyFill="1" applyBorder="1" applyAlignment="1">
      <alignment horizontal="left" vertical="center"/>
    </xf>
    <xf numFmtId="4" fontId="45" fillId="24" borderId="14" xfId="0" applyNumberFormat="1" applyFont="1" applyFill="1" applyBorder="1" applyAlignment="1">
      <alignment horizontal="left" vertical="center"/>
    </xf>
    <xf numFmtId="0" fontId="2" fillId="0" borderId="0" xfId="0" applyFont="1"/>
    <xf numFmtId="0" fontId="2" fillId="0" borderId="0" xfId="0" applyFont="1" applyAlignment="1">
      <alignment horizontal="center" vertical="center"/>
    </xf>
    <xf numFmtId="173" fontId="2" fillId="0" borderId="0" xfId="0" applyNumberFormat="1" applyFont="1" applyAlignment="1">
      <alignment horizontal="center" vertical="center"/>
    </xf>
    <xf numFmtId="0" fontId="2" fillId="0" borderId="0" xfId="0" applyFont="1" applyAlignment="1">
      <alignment horizontal="left" vertical="center"/>
    </xf>
    <xf numFmtId="0" fontId="1" fillId="0" borderId="7" xfId="0" applyFont="1" applyBorder="1" applyAlignment="1">
      <alignment horizontal="center" vertical="center"/>
    </xf>
    <xf numFmtId="0" fontId="1" fillId="0" borderId="7" xfId="0" applyFont="1" applyBorder="1" applyAlignment="1">
      <alignment horizontal="left" vertical="center" wrapText="1"/>
    </xf>
    <xf numFmtId="0" fontId="21" fillId="18" borderId="27" xfId="0" applyFont="1" applyFill="1" applyBorder="1" applyAlignment="1">
      <alignment vertical="center" readingOrder="1"/>
    </xf>
    <xf numFmtId="0" fontId="28" fillId="18" borderId="10" xfId="0" applyFont="1" applyFill="1" applyBorder="1" applyAlignment="1">
      <alignment vertical="center" readingOrder="1"/>
    </xf>
    <xf numFmtId="0" fontId="55" fillId="21" borderId="7" xfId="0" applyFont="1" applyFill="1" applyBorder="1" applyAlignment="1">
      <alignment vertical="center" wrapText="1"/>
    </xf>
    <xf numFmtId="0" fontId="21" fillId="0" borderId="0" xfId="17" applyFont="1" applyAlignment="1" applyProtection="1">
      <alignment horizontal="left"/>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10" fontId="39" fillId="0" borderId="11" xfId="19" applyNumberFormat="1" applyFont="1" applyBorder="1" applyAlignment="1">
      <alignment horizontal="center" vertical="center" wrapText="1"/>
    </xf>
    <xf numFmtId="0" fontId="28" fillId="0" borderId="0" xfId="17" applyFont="1" applyFill="1" applyBorder="1" applyAlignment="1" applyProtection="1"/>
    <xf numFmtId="10" fontId="44" fillId="11" borderId="2" xfId="9" applyNumberFormat="1" applyFont="1" applyFill="1" applyBorder="1" applyAlignment="1">
      <alignment horizontal="center" vertical="center" wrapText="1"/>
    </xf>
    <xf numFmtId="0" fontId="49" fillId="0" borderId="0" xfId="0" applyFont="1" applyFill="1" applyBorder="1" applyAlignment="1">
      <alignment horizontal="center" vertical="center"/>
    </xf>
    <xf numFmtId="10" fontId="37" fillId="8" borderId="0" xfId="0" applyNumberFormat="1" applyFont="1" applyFill="1" applyBorder="1" applyAlignment="1" applyProtection="1">
      <alignment vertical="center" wrapText="1"/>
      <protection locked="0"/>
    </xf>
    <xf numFmtId="10" fontId="38" fillId="8" borderId="0" xfId="0" applyNumberFormat="1" applyFont="1" applyFill="1" applyBorder="1" applyAlignment="1" applyProtection="1">
      <alignment vertical="center" wrapText="1"/>
      <protection locked="0"/>
    </xf>
    <xf numFmtId="0" fontId="38" fillId="8" borderId="0" xfId="27" applyNumberFormat="1" applyFont="1" applyFill="1" applyBorder="1" applyAlignment="1" applyProtection="1">
      <alignment horizontal="left" vertical="center" wrapText="1"/>
      <protection locked="0"/>
    </xf>
    <xf numFmtId="10" fontId="30" fillId="0" borderId="2" xfId="19" applyNumberFormat="1" applyFont="1" applyFill="1" applyBorder="1" applyAlignment="1" applyProtection="1">
      <alignment horizontal="center" vertical="center" wrapText="1"/>
    </xf>
    <xf numFmtId="0" fontId="25" fillId="12" borderId="2" xfId="17" applyFont="1" applyFill="1" applyBorder="1" applyAlignment="1">
      <alignment horizontal="center" vertical="center" wrapText="1"/>
    </xf>
    <xf numFmtId="166" fontId="25" fillId="12" borderId="2" xfId="8" applyFont="1" applyFill="1" applyBorder="1" applyAlignment="1" applyProtection="1">
      <alignment horizontal="center" vertical="center" wrapText="1"/>
    </xf>
    <xf numFmtId="4" fontId="21" fillId="21" borderId="12" xfId="0" applyNumberFormat="1" applyFont="1" applyFill="1" applyBorder="1" applyAlignment="1">
      <alignment horizontal="center" vertical="center" wrapText="1" readingOrder="1"/>
    </xf>
    <xf numFmtId="4" fontId="21" fillId="21" borderId="14" xfId="0" applyNumberFormat="1" applyFont="1" applyFill="1" applyBorder="1" applyAlignment="1">
      <alignment horizontal="center" vertical="center" wrapText="1" readingOrder="1"/>
    </xf>
    <xf numFmtId="0" fontId="48" fillId="13" borderId="18" xfId="0" applyFont="1" applyFill="1" applyBorder="1" applyAlignment="1">
      <alignment horizontal="center" vertical="center" readingOrder="1"/>
    </xf>
    <xf numFmtId="4" fontId="26" fillId="15" borderId="12" xfId="0" applyNumberFormat="1" applyFont="1" applyFill="1" applyBorder="1" applyAlignment="1">
      <alignment horizontal="right" vertical="center"/>
    </xf>
    <xf numFmtId="4" fontId="26" fillId="15" borderId="17" xfId="0" applyNumberFormat="1" applyFont="1" applyFill="1" applyBorder="1" applyAlignment="1">
      <alignment horizontal="right" vertical="center"/>
    </xf>
    <xf numFmtId="4" fontId="26" fillId="15" borderId="14" xfId="0" applyNumberFormat="1" applyFont="1" applyFill="1" applyBorder="1" applyAlignment="1">
      <alignment horizontal="right" vertical="center"/>
    </xf>
    <xf numFmtId="4" fontId="28" fillId="31" borderId="12" xfId="0" applyNumberFormat="1" applyFont="1" applyFill="1" applyBorder="1" applyAlignment="1">
      <alignment horizontal="center" vertical="center" wrapText="1" readingOrder="1"/>
    </xf>
    <xf numFmtId="4" fontId="28" fillId="31" borderId="14" xfId="0" applyNumberFormat="1" applyFont="1" applyFill="1" applyBorder="1" applyAlignment="1">
      <alignment horizontal="center" vertical="center" wrapText="1" readingOrder="1"/>
    </xf>
    <xf numFmtId="0" fontId="28" fillId="13" borderId="7" xfId="0" applyFont="1" applyFill="1" applyBorder="1" applyAlignment="1">
      <alignment horizontal="center" vertical="center" readingOrder="1"/>
    </xf>
    <xf numFmtId="0" fontId="21" fillId="26" borderId="7" xfId="0" applyFont="1" applyFill="1" applyBorder="1" applyAlignment="1">
      <alignment horizontal="left" vertical="center" wrapText="1" readingOrder="1"/>
    </xf>
    <xf numFmtId="0" fontId="21" fillId="26" borderId="7" xfId="0" applyFont="1" applyFill="1" applyBorder="1" applyAlignment="1">
      <alignment horizontal="left" vertical="center" readingOrder="1"/>
    </xf>
    <xf numFmtId="4" fontId="33" fillId="25" borderId="12" xfId="0" applyNumberFormat="1" applyFont="1" applyFill="1" applyBorder="1" applyAlignment="1">
      <alignment horizontal="left" vertical="center" wrapText="1"/>
    </xf>
    <xf numFmtId="4" fontId="33" fillId="25" borderId="17" xfId="0" applyNumberFormat="1" applyFont="1" applyFill="1" applyBorder="1" applyAlignment="1">
      <alignment horizontal="left" vertical="center" wrapText="1"/>
    </xf>
    <xf numFmtId="4" fontId="33" fillId="25" borderId="14" xfId="0" applyNumberFormat="1" applyFont="1" applyFill="1" applyBorder="1" applyAlignment="1">
      <alignment horizontal="left" vertical="center" wrapText="1"/>
    </xf>
    <xf numFmtId="4" fontId="45" fillId="24" borderId="7" xfId="0" applyNumberFormat="1" applyFont="1" applyFill="1" applyBorder="1" applyAlignment="1">
      <alignment horizontal="left" vertical="center"/>
    </xf>
    <xf numFmtId="4" fontId="34" fillId="13" borderId="0" xfId="0" applyNumberFormat="1" applyFont="1" applyFill="1" applyAlignment="1">
      <alignment horizontal="center" vertical="center" readingOrder="1"/>
    </xf>
    <xf numFmtId="4" fontId="21" fillId="18" borderId="7" xfId="0" applyNumberFormat="1" applyFont="1" applyFill="1" applyBorder="1" applyAlignment="1">
      <alignment horizontal="left" vertical="center" readingOrder="1"/>
    </xf>
    <xf numFmtId="170" fontId="21" fillId="18" borderId="7" xfId="0" applyNumberFormat="1" applyFont="1" applyFill="1" applyBorder="1" applyAlignment="1">
      <alignment horizontal="left" vertical="center" readingOrder="1"/>
    </xf>
    <xf numFmtId="4" fontId="33" fillId="25" borderId="24" xfId="0" applyNumberFormat="1" applyFont="1" applyFill="1" applyBorder="1" applyAlignment="1">
      <alignment horizontal="left" vertical="center" wrapText="1"/>
    </xf>
    <xf numFmtId="4" fontId="33" fillId="25" borderId="18" xfId="0" applyNumberFormat="1" applyFont="1" applyFill="1" applyBorder="1" applyAlignment="1">
      <alignment horizontal="left" vertical="center" wrapText="1"/>
    </xf>
    <xf numFmtId="4" fontId="33" fillId="25" borderId="25" xfId="0" applyNumberFormat="1" applyFont="1" applyFill="1" applyBorder="1" applyAlignment="1">
      <alignment horizontal="left" vertical="center" wrapText="1"/>
    </xf>
    <xf numFmtId="4" fontId="33" fillId="0" borderId="20" xfId="27" applyNumberFormat="1" applyFont="1" applyFill="1" applyBorder="1" applyAlignment="1">
      <alignment horizontal="center" vertical="center"/>
    </xf>
    <xf numFmtId="4" fontId="33" fillId="0" borderId="22" xfId="27" applyNumberFormat="1" applyFont="1" applyFill="1" applyBorder="1" applyAlignment="1">
      <alignment horizontal="center" vertical="center"/>
    </xf>
    <xf numFmtId="4" fontId="33" fillId="0" borderId="19" xfId="27" applyNumberFormat="1" applyFont="1" applyFill="1" applyBorder="1" applyAlignment="1">
      <alignment horizontal="center" vertical="center"/>
    </xf>
    <xf numFmtId="4" fontId="33" fillId="0" borderId="23" xfId="27" applyNumberFormat="1" applyFont="1" applyFill="1" applyBorder="1" applyAlignment="1">
      <alignment horizontal="center" vertical="center"/>
    </xf>
    <xf numFmtId="4" fontId="33" fillId="0" borderId="20" xfId="27" applyNumberFormat="1" applyFont="1" applyFill="1" applyBorder="1" applyAlignment="1">
      <alignment horizontal="left" vertical="center" wrapText="1"/>
    </xf>
    <xf numFmtId="4" fontId="33" fillId="0" borderId="21" xfId="27" applyNumberFormat="1" applyFont="1" applyFill="1" applyBorder="1" applyAlignment="1">
      <alignment horizontal="left" vertical="center" wrapText="1"/>
    </xf>
    <xf numFmtId="4" fontId="33" fillId="0" borderId="22" xfId="27" applyNumberFormat="1" applyFont="1" applyFill="1" applyBorder="1" applyAlignment="1">
      <alignment horizontal="left" vertical="center" wrapText="1"/>
    </xf>
    <xf numFmtId="4" fontId="33" fillId="0" borderId="19" xfId="27" applyNumberFormat="1" applyFont="1" applyFill="1" applyBorder="1" applyAlignment="1">
      <alignment horizontal="left" vertical="center" wrapText="1"/>
    </xf>
    <xf numFmtId="4" fontId="33" fillId="0" borderId="0" xfId="27" applyNumberFormat="1" applyFont="1" applyFill="1" applyBorder="1" applyAlignment="1">
      <alignment horizontal="left" vertical="center" wrapText="1"/>
    </xf>
    <xf numFmtId="4" fontId="33" fillId="0" borderId="23" xfId="27" applyNumberFormat="1" applyFont="1" applyFill="1" applyBorder="1" applyAlignment="1">
      <alignment horizontal="left" vertical="center" wrapText="1"/>
    </xf>
    <xf numFmtId="4" fontId="33" fillId="0" borderId="20" xfId="0" applyNumberFormat="1" applyFont="1" applyFill="1" applyBorder="1" applyAlignment="1">
      <alignment horizontal="left" vertical="center" wrapText="1"/>
    </xf>
    <xf numFmtId="4" fontId="33" fillId="0" borderId="21" xfId="0" applyNumberFormat="1" applyFont="1" applyFill="1" applyBorder="1" applyAlignment="1">
      <alignment horizontal="left" vertical="center" wrapText="1"/>
    </xf>
    <xf numFmtId="4" fontId="33" fillId="0" borderId="22" xfId="0" applyNumberFormat="1" applyFont="1" applyFill="1" applyBorder="1" applyAlignment="1">
      <alignment horizontal="left" vertical="center" wrapText="1"/>
    </xf>
    <xf numFmtId="4" fontId="33" fillId="0" borderId="24" xfId="0" applyNumberFormat="1" applyFont="1" applyFill="1" applyBorder="1" applyAlignment="1">
      <alignment horizontal="left" vertical="center" wrapText="1"/>
    </xf>
    <xf numFmtId="4" fontId="33" fillId="0" borderId="18" xfId="0" applyNumberFormat="1" applyFont="1" applyFill="1" applyBorder="1" applyAlignment="1">
      <alignment horizontal="left" vertical="center" wrapText="1"/>
    </xf>
    <xf numFmtId="4" fontId="33" fillId="0" borderId="25" xfId="0" applyNumberFormat="1" applyFont="1" applyFill="1" applyBorder="1" applyAlignment="1">
      <alignment horizontal="left" vertical="center" wrapText="1"/>
    </xf>
    <xf numFmtId="4" fontId="33" fillId="0" borderId="16" xfId="27" applyNumberFormat="1" applyFont="1" applyFill="1" applyBorder="1" applyAlignment="1">
      <alignment horizontal="center" vertical="center"/>
    </xf>
    <xf numFmtId="4" fontId="33" fillId="0" borderId="26" xfId="27" applyNumberFormat="1" applyFont="1" applyFill="1" applyBorder="1" applyAlignment="1">
      <alignment horizontal="center" vertical="center"/>
    </xf>
    <xf numFmtId="4" fontId="33" fillId="0" borderId="13" xfId="27" applyNumberFormat="1" applyFont="1" applyFill="1" applyBorder="1" applyAlignment="1">
      <alignment horizontal="center" vertical="center"/>
    </xf>
    <xf numFmtId="0" fontId="26" fillId="0" borderId="21" xfId="0" applyFont="1" applyBorder="1" applyAlignment="1">
      <alignment horizontal="left" vertical="center" wrapText="1"/>
    </xf>
    <xf numFmtId="0" fontId="46" fillId="34" borderId="12" xfId="0" applyFont="1" applyFill="1" applyBorder="1" applyAlignment="1">
      <alignment horizontal="center" vertical="center" wrapText="1"/>
    </xf>
    <xf numFmtId="0" fontId="46" fillId="34" borderId="17" xfId="0" applyFont="1" applyFill="1" applyBorder="1" applyAlignment="1">
      <alignment horizontal="center" vertical="center" wrapText="1"/>
    </xf>
    <xf numFmtId="0" fontId="46" fillId="34" borderId="14" xfId="0" applyFont="1" applyFill="1" applyBorder="1" applyAlignment="1">
      <alignment horizontal="center" vertical="center" wrapText="1"/>
    </xf>
    <xf numFmtId="0" fontId="25" fillId="30" borderId="12" xfId="0" applyFont="1" applyFill="1" applyBorder="1" applyAlignment="1">
      <alignment horizontal="left" vertical="center" wrapText="1"/>
    </xf>
    <xf numFmtId="0" fontId="25" fillId="30" borderId="17" xfId="0" applyFont="1" applyFill="1" applyBorder="1" applyAlignment="1">
      <alignment horizontal="left" vertical="center" wrapText="1"/>
    </xf>
    <xf numFmtId="0" fontId="25" fillId="30" borderId="14" xfId="0" applyFont="1" applyFill="1" applyBorder="1" applyAlignment="1">
      <alignment horizontal="left" vertical="center" wrapText="1"/>
    </xf>
    <xf numFmtId="0" fontId="34" fillId="13" borderId="18" xfId="0" applyFont="1" applyFill="1" applyBorder="1" applyAlignment="1">
      <alignment horizontal="center" vertical="center" wrapText="1" readingOrder="1"/>
    </xf>
    <xf numFmtId="170" fontId="21" fillId="26" borderId="12" xfId="0" applyNumberFormat="1" applyFont="1" applyFill="1" applyBorder="1" applyAlignment="1">
      <alignment horizontal="left" vertical="center" wrapText="1" readingOrder="1"/>
    </xf>
    <xf numFmtId="170" fontId="21" fillId="26" borderId="17" xfId="0" applyNumberFormat="1" applyFont="1" applyFill="1" applyBorder="1" applyAlignment="1">
      <alignment horizontal="left" vertical="center" wrapText="1" readingOrder="1"/>
    </xf>
    <xf numFmtId="170" fontId="21" fillId="26" borderId="14" xfId="0" applyNumberFormat="1" applyFont="1" applyFill="1" applyBorder="1" applyAlignment="1">
      <alignment horizontal="left" vertical="center" wrapText="1" readingOrder="1"/>
    </xf>
    <xf numFmtId="0" fontId="28" fillId="13" borderId="7" xfId="0" applyFont="1" applyFill="1" applyBorder="1" applyAlignment="1">
      <alignment horizontal="center" vertical="center" wrapText="1" readingOrder="1"/>
    </xf>
    <xf numFmtId="0" fontId="28" fillId="13" borderId="12" xfId="0" applyFont="1" applyFill="1" applyBorder="1" applyAlignment="1">
      <alignment horizontal="center" vertical="center" wrapText="1" readingOrder="1"/>
    </xf>
    <xf numFmtId="0" fontId="28" fillId="13" borderId="14" xfId="0" applyFont="1" applyFill="1" applyBorder="1" applyAlignment="1">
      <alignment horizontal="center" vertical="center" wrapText="1" readingOrder="1"/>
    </xf>
    <xf numFmtId="0" fontId="28" fillId="23" borderId="16" xfId="0" applyFont="1" applyFill="1" applyBorder="1" applyAlignment="1">
      <alignment horizontal="center" vertical="center"/>
    </xf>
    <xf numFmtId="0" fontId="28" fillId="23" borderId="13" xfId="0" applyFont="1" applyFill="1" applyBorder="1" applyAlignment="1">
      <alignment horizontal="center" vertical="center"/>
    </xf>
    <xf numFmtId="0" fontId="28" fillId="23" borderId="16" xfId="0" applyFont="1" applyFill="1" applyBorder="1" applyAlignment="1">
      <alignment horizontal="left" vertical="center" wrapText="1"/>
    </xf>
    <xf numFmtId="0" fontId="28" fillId="23" borderId="13" xfId="0" applyFont="1" applyFill="1" applyBorder="1" applyAlignment="1">
      <alignment horizontal="left" vertical="center" wrapText="1"/>
    </xf>
    <xf numFmtId="0" fontId="28" fillId="13" borderId="7" xfId="0" applyFont="1" applyFill="1" applyBorder="1" applyAlignment="1">
      <alignment horizontal="left" vertical="center" readingOrder="1"/>
    </xf>
    <xf numFmtId="0" fontId="34" fillId="13" borderId="0" xfId="0" applyFont="1" applyFill="1" applyBorder="1" applyAlignment="1">
      <alignment horizontal="center" vertical="center" readingOrder="1"/>
    </xf>
    <xf numFmtId="0" fontId="21" fillId="18" borderId="7" xfId="0" applyFont="1" applyFill="1" applyBorder="1" applyAlignment="1">
      <alignment horizontal="left" vertical="center" readingOrder="1"/>
    </xf>
    <xf numFmtId="0" fontId="28" fillId="27" borderId="7" xfId="0" applyFont="1" applyFill="1" applyBorder="1" applyAlignment="1">
      <alignment horizontal="center" vertical="center"/>
    </xf>
    <xf numFmtId="170" fontId="21" fillId="18" borderId="12" xfId="0" applyNumberFormat="1" applyFont="1" applyFill="1" applyBorder="1" applyAlignment="1">
      <alignment horizontal="left" vertical="center" readingOrder="1"/>
    </xf>
    <xf numFmtId="170" fontId="21" fillId="18" borderId="17" xfId="0" applyNumberFormat="1" applyFont="1" applyFill="1" applyBorder="1" applyAlignment="1">
      <alignment horizontal="left" vertical="center" readingOrder="1"/>
    </xf>
    <xf numFmtId="170" fontId="21" fillId="18" borderId="14" xfId="0" applyNumberFormat="1" applyFont="1" applyFill="1" applyBorder="1" applyAlignment="1">
      <alignment horizontal="left" vertical="center" readingOrder="1"/>
    </xf>
    <xf numFmtId="0" fontId="21" fillId="17" borderId="5" xfId="0" applyFont="1" applyFill="1" applyBorder="1" applyAlignment="1">
      <alignment horizontal="left" vertical="center" wrapText="1"/>
    </xf>
    <xf numFmtId="0" fontId="50" fillId="23" borderId="12" xfId="0" applyFont="1" applyFill="1" applyBorder="1" applyAlignment="1">
      <alignment horizontal="center" vertical="center"/>
    </xf>
    <xf numFmtId="0" fontId="50" fillId="23" borderId="17" xfId="0" applyFont="1" applyFill="1" applyBorder="1" applyAlignment="1">
      <alignment horizontal="center" vertical="center"/>
    </xf>
    <xf numFmtId="0" fontId="50" fillId="23" borderId="14" xfId="0" applyFont="1" applyFill="1" applyBorder="1" applyAlignment="1">
      <alignment horizontal="center" vertical="center"/>
    </xf>
    <xf numFmtId="2" fontId="6" fillId="0" borderId="12" xfId="0" applyNumberFormat="1" applyFont="1" applyBorder="1" applyAlignment="1">
      <alignment horizontal="center" vertical="center"/>
    </xf>
    <xf numFmtId="2" fontId="6" fillId="0" borderId="14" xfId="0" applyNumberFormat="1" applyFont="1" applyBorder="1" applyAlignment="1">
      <alignment horizontal="center" vertical="center"/>
    </xf>
    <xf numFmtId="2" fontId="6" fillId="0" borderId="12" xfId="30" applyNumberFormat="1" applyFont="1" applyBorder="1" applyAlignment="1">
      <alignment horizontal="center" vertical="center"/>
    </xf>
    <xf numFmtId="2" fontId="6" fillId="0" borderId="14" xfId="30" applyNumberFormat="1" applyFont="1" applyBorder="1" applyAlignment="1">
      <alignment horizontal="center" vertical="center"/>
    </xf>
    <xf numFmtId="0" fontId="6" fillId="0" borderId="12" xfId="30" quotePrefix="1" applyNumberFormat="1" applyFont="1" applyBorder="1" applyAlignment="1">
      <alignment horizontal="center" vertical="center"/>
    </xf>
    <xf numFmtId="0" fontId="6" fillId="0" borderId="14" xfId="30" applyNumberFormat="1" applyFont="1" applyBorder="1" applyAlignment="1">
      <alignment horizontal="center" vertical="center"/>
    </xf>
    <xf numFmtId="0" fontId="50" fillId="23" borderId="7" xfId="0" applyFont="1" applyFill="1" applyBorder="1" applyAlignment="1">
      <alignment horizontal="center" vertical="center"/>
    </xf>
    <xf numFmtId="10" fontId="21" fillId="0" borderId="0" xfId="0" applyNumberFormat="1" applyFont="1" applyAlignment="1">
      <alignment vertical="center"/>
    </xf>
  </cellXfs>
  <cellStyles count="36">
    <cellStyle name="Accent" xfId="2"/>
    <cellStyle name="Accent 1" xfId="3"/>
    <cellStyle name="Accent 2" xfId="4"/>
    <cellStyle name="Accent 3" xfId="5"/>
    <cellStyle name="Bad" xfId="6"/>
    <cellStyle name="Error" xfId="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Moeda" xfId="1" builtinId="4"/>
    <cellStyle name="Moeda 2" xfId="29"/>
    <cellStyle name="Moeda 2 2" xfId="35"/>
    <cellStyle name="Moeda 3" xfId="32"/>
    <cellStyle name="Neutral" xfId="16"/>
    <cellStyle name="Normal" xfId="0" builtinId="0" customBuiltin="1"/>
    <cellStyle name="Normal 2" xfId="17"/>
    <cellStyle name="Note" xfId="18"/>
    <cellStyle name="Porcentagem" xfId="30" builtinId="5"/>
    <cellStyle name="Porcentagem 2" xfId="19"/>
    <cellStyle name="Sem título1" xfId="20"/>
    <cellStyle name="Sem título2" xfId="21"/>
    <cellStyle name="Sem título3" xfId="22"/>
    <cellStyle name="Sem título4" xfId="23"/>
    <cellStyle name="Status" xfId="24"/>
    <cellStyle name="Text" xfId="25"/>
    <cellStyle name="Vírgula" xfId="27" builtinId="3"/>
    <cellStyle name="Vírgula 2" xfId="28"/>
    <cellStyle name="Vírgula 2 2" xfId="34"/>
    <cellStyle name="Vírgula 3" xfId="33"/>
    <cellStyle name="Vírgula 4 2" xfId="31"/>
    <cellStyle name="Warning" xfId="26"/>
  </cellStyles>
  <dxfs count="3400">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rgb="FFFF0000"/>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rgb="FFFF0000"/>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rgb="FFFF0000"/>
      </font>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rgb="FFFF0000"/>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b/>
        <i val="0"/>
      </font>
      <fill>
        <patternFill>
          <bgColor theme="0" tint="-0.14996795556505021"/>
        </patternFill>
      </fill>
    </dxf>
    <dxf>
      <font>
        <b/>
        <i val="0"/>
        <color auto="1"/>
      </font>
      <fill>
        <patternFill>
          <bgColor theme="0" tint="-0.24994659260841701"/>
        </patternFill>
      </fill>
    </dxf>
    <dxf>
      <font>
        <b/>
        <i val="0"/>
        <color theme="8" tint="-0.24994659260841701"/>
      </font>
    </dxf>
    <dxf>
      <font>
        <b/>
        <i val="0"/>
        <color theme="8" tint="-0.24994659260841701"/>
      </font>
    </dxf>
    <dxf>
      <font>
        <b/>
        <i val="0"/>
        <color rgb="FFFF0000"/>
      </font>
    </dxf>
    <dxf>
      <font>
        <b/>
        <i val="0"/>
        <color theme="8" tint="-0.24994659260841701"/>
      </font>
    </dxf>
    <dxf>
      <font>
        <b/>
        <i val="0"/>
      </font>
      <fill>
        <patternFill>
          <bgColor theme="0" tint="-0.14996795556505021"/>
        </patternFill>
      </fill>
    </dxf>
    <dxf>
      <font>
        <b/>
        <i val="0"/>
        <color auto="1"/>
      </font>
      <fill>
        <patternFill>
          <bgColor theme="0" tint="-0.24994659260841701"/>
        </patternFill>
      </fill>
    </dxf>
    <dxf>
      <font>
        <color rgb="FF0000FF"/>
      </font>
    </dxf>
    <dxf>
      <font>
        <color rgb="FF0000FF"/>
      </font>
    </dxf>
    <dxf>
      <font>
        <color rgb="FF0000FF"/>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X7203"/>
  <sheetViews>
    <sheetView workbookViewId="0">
      <selection activeCell="B25" sqref="B25"/>
    </sheetView>
  </sheetViews>
  <sheetFormatPr defaultRowHeight="11.25"/>
  <cols>
    <col min="1" max="1" width="9.625" style="17" bestFit="1" customWidth="1"/>
    <col min="2" max="2" width="55.375" style="16" customWidth="1"/>
    <col min="3" max="3" width="14.125" style="18" customWidth="1"/>
    <col min="4" max="4" width="13.375" style="35" customWidth="1"/>
    <col min="5" max="1012" width="8.375" style="16" customWidth="1"/>
    <col min="1013" max="1013" width="8.375" style="19" customWidth="1"/>
    <col min="1014" max="16384" width="9" style="19"/>
  </cols>
  <sheetData>
    <row r="1" spans="1:1012">
      <c r="A1" s="15" t="s">
        <v>2175</v>
      </c>
      <c r="B1" s="47" t="s">
        <v>28171</v>
      </c>
    </row>
    <row r="2" spans="1:1012">
      <c r="A2" s="17">
        <v>1</v>
      </c>
      <c r="B2" s="16" t="s">
        <v>0</v>
      </c>
      <c r="C2" s="18" t="s">
        <v>1</v>
      </c>
      <c r="D2" s="35" t="s">
        <v>2</v>
      </c>
    </row>
    <row r="3" spans="1:1012" s="26" customFormat="1" ht="22.5">
      <c r="A3" s="22" t="s">
        <v>3</v>
      </c>
      <c r="B3" s="23" t="s">
        <v>4</v>
      </c>
      <c r="C3" s="24" t="s">
        <v>28766</v>
      </c>
      <c r="D3" s="36" t="s">
        <v>19758</v>
      </c>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row>
    <row r="5" spans="1:1012" ht="13.5">
      <c r="A5" s="49">
        <v>97141</v>
      </c>
      <c r="B5" s="48" t="s">
        <v>2551</v>
      </c>
      <c r="C5" s="48" t="s">
        <v>6</v>
      </c>
      <c r="D5" s="50">
        <v>8.3699999999999992</v>
      </c>
    </row>
    <row r="6" spans="1:1012" ht="13.5">
      <c r="A6" s="49">
        <v>97142</v>
      </c>
      <c r="B6" s="48" t="s">
        <v>2552</v>
      </c>
      <c r="C6" s="48" t="s">
        <v>6</v>
      </c>
      <c r="D6" s="50">
        <v>9.34</v>
      </c>
    </row>
    <row r="7" spans="1:1012" ht="13.5">
      <c r="A7" s="49">
        <v>97143</v>
      </c>
      <c r="B7" s="48" t="s">
        <v>2554</v>
      </c>
      <c r="C7" s="48" t="s">
        <v>6</v>
      </c>
      <c r="D7" s="50">
        <v>11.74</v>
      </c>
    </row>
    <row r="8" spans="1:1012" ht="13.5">
      <c r="A8" s="49">
        <v>97144</v>
      </c>
      <c r="B8" s="48" t="s">
        <v>2555</v>
      </c>
      <c r="C8" s="48" t="s">
        <v>6</v>
      </c>
      <c r="D8" s="50">
        <v>14.12</v>
      </c>
    </row>
    <row r="9" spans="1:1012" ht="13.5">
      <c r="A9" s="49">
        <v>97145</v>
      </c>
      <c r="B9" s="48" t="s">
        <v>2556</v>
      </c>
      <c r="C9" s="48" t="s">
        <v>6</v>
      </c>
      <c r="D9" s="50">
        <v>16.54</v>
      </c>
    </row>
    <row r="10" spans="1:1012" ht="13.5">
      <c r="A10" s="49">
        <v>97146</v>
      </c>
      <c r="B10" s="48" t="s">
        <v>2557</v>
      </c>
      <c r="C10" s="48" t="s">
        <v>6</v>
      </c>
      <c r="D10" s="50">
        <v>18.95</v>
      </c>
    </row>
    <row r="11" spans="1:1012" ht="13.5">
      <c r="A11" s="49">
        <v>97147</v>
      </c>
      <c r="B11" s="48" t="s">
        <v>2558</v>
      </c>
      <c r="C11" s="48" t="s">
        <v>6</v>
      </c>
      <c r="D11" s="50">
        <v>21.38</v>
      </c>
    </row>
    <row r="12" spans="1:1012" ht="13.5">
      <c r="A12" s="49">
        <v>97148</v>
      </c>
      <c r="B12" s="48" t="s">
        <v>2560</v>
      </c>
      <c r="C12" s="48" t="s">
        <v>6</v>
      </c>
      <c r="D12" s="50">
        <v>23.79</v>
      </c>
    </row>
    <row r="13" spans="1:1012" ht="13.5">
      <c r="A13" s="49">
        <v>97149</v>
      </c>
      <c r="B13" s="48" t="s">
        <v>2561</v>
      </c>
      <c r="C13" s="48" t="s">
        <v>6</v>
      </c>
      <c r="D13" s="50">
        <v>26.25</v>
      </c>
    </row>
    <row r="14" spans="1:1012" ht="13.5">
      <c r="A14" s="49">
        <v>97150</v>
      </c>
      <c r="B14" s="48" t="s">
        <v>2562</v>
      </c>
      <c r="C14" s="48" t="s">
        <v>6</v>
      </c>
      <c r="D14" s="50">
        <v>33.28</v>
      </c>
    </row>
    <row r="15" spans="1:1012" ht="13.5">
      <c r="A15" s="49">
        <v>97151</v>
      </c>
      <c r="B15" s="48" t="s">
        <v>2563</v>
      </c>
      <c r="C15" s="48" t="s">
        <v>6</v>
      </c>
      <c r="D15" s="50">
        <v>38.81</v>
      </c>
    </row>
    <row r="16" spans="1:1012" ht="13.5">
      <c r="A16" s="49">
        <v>97152</v>
      </c>
      <c r="B16" s="48" t="s">
        <v>2564</v>
      </c>
      <c r="C16" s="48" t="s">
        <v>6</v>
      </c>
      <c r="D16" s="50">
        <v>44.07</v>
      </c>
    </row>
    <row r="17" spans="1:4" ht="13.5">
      <c r="A17" s="49">
        <v>97153</v>
      </c>
      <c r="B17" s="48" t="s">
        <v>2565</v>
      </c>
      <c r="C17" s="48" t="s">
        <v>6</v>
      </c>
      <c r="D17" s="50">
        <v>49.51</v>
      </c>
    </row>
    <row r="18" spans="1:4" ht="13.5">
      <c r="A18" s="49">
        <v>97154</v>
      </c>
      <c r="B18" s="48" t="s">
        <v>2566</v>
      </c>
      <c r="C18" s="48" t="s">
        <v>6</v>
      </c>
      <c r="D18" s="50">
        <v>54.97</v>
      </c>
    </row>
    <row r="19" spans="1:4" ht="13.5">
      <c r="A19" s="49">
        <v>97155</v>
      </c>
      <c r="B19" s="48" t="s">
        <v>2567</v>
      </c>
      <c r="C19" s="48" t="s">
        <v>6</v>
      </c>
      <c r="D19" s="50">
        <v>60.44</v>
      </c>
    </row>
    <row r="20" spans="1:4" ht="13.5">
      <c r="A20" s="49">
        <v>97156</v>
      </c>
      <c r="B20" s="48" t="s">
        <v>2568</v>
      </c>
      <c r="C20" s="48" t="s">
        <v>6</v>
      </c>
      <c r="D20" s="50">
        <v>71.849999999999994</v>
      </c>
    </row>
    <row r="21" spans="1:4" ht="13.5">
      <c r="A21" s="49">
        <v>97157</v>
      </c>
      <c r="B21" s="48" t="s">
        <v>2569</v>
      </c>
      <c r="C21" s="48" t="s">
        <v>6</v>
      </c>
      <c r="D21" s="50">
        <v>5.07</v>
      </c>
    </row>
    <row r="22" spans="1:4" ht="13.5">
      <c r="A22" s="49">
        <v>97158</v>
      </c>
      <c r="B22" s="48" t="s">
        <v>2570</v>
      </c>
      <c r="C22" s="48" t="s">
        <v>6</v>
      </c>
      <c r="D22" s="50">
        <v>5.66</v>
      </c>
    </row>
    <row r="23" spans="1:4" ht="13.5">
      <c r="A23" s="49">
        <v>97159</v>
      </c>
      <c r="B23" s="48" t="s">
        <v>2571</v>
      </c>
      <c r="C23" s="48" t="s">
        <v>6</v>
      </c>
      <c r="D23" s="50">
        <v>7.13</v>
      </c>
    </row>
    <row r="24" spans="1:4" ht="13.5">
      <c r="A24" s="49">
        <v>97160</v>
      </c>
      <c r="B24" s="48" t="s">
        <v>2572</v>
      </c>
      <c r="C24" s="48" t="s">
        <v>6</v>
      </c>
      <c r="D24" s="50">
        <v>8.56</v>
      </c>
    </row>
    <row r="25" spans="1:4" ht="13.5">
      <c r="A25" s="49">
        <v>97161</v>
      </c>
      <c r="B25" s="48" t="s">
        <v>2573</v>
      </c>
      <c r="C25" s="48" t="s">
        <v>6</v>
      </c>
      <c r="D25" s="50">
        <v>10.06</v>
      </c>
    </row>
    <row r="26" spans="1:4" ht="13.5">
      <c r="A26" s="49">
        <v>97162</v>
      </c>
      <c r="B26" s="48" t="s">
        <v>2574</v>
      </c>
      <c r="C26" s="48" t="s">
        <v>6</v>
      </c>
      <c r="D26" s="50">
        <v>11.53</v>
      </c>
    </row>
    <row r="27" spans="1:4" ht="13.5">
      <c r="A27" s="49">
        <v>97163</v>
      </c>
      <c r="B27" s="48" t="s">
        <v>2575</v>
      </c>
      <c r="C27" s="48" t="s">
        <v>6</v>
      </c>
      <c r="D27" s="50">
        <v>13.03</v>
      </c>
    </row>
    <row r="28" spans="1:4" ht="13.5">
      <c r="A28" s="49">
        <v>97164</v>
      </c>
      <c r="B28" s="48" t="s">
        <v>2576</v>
      </c>
      <c r="C28" s="48" t="s">
        <v>6</v>
      </c>
      <c r="D28" s="50">
        <v>14.51</v>
      </c>
    </row>
    <row r="29" spans="1:4" ht="13.5">
      <c r="A29" s="49">
        <v>97165</v>
      </c>
      <c r="B29" s="48" t="s">
        <v>2577</v>
      </c>
      <c r="C29" s="48" t="s">
        <v>6</v>
      </c>
      <c r="D29" s="50">
        <v>16.010000000000002</v>
      </c>
    </row>
    <row r="30" spans="1:4" ht="13.5">
      <c r="A30" s="49">
        <v>97166</v>
      </c>
      <c r="B30" s="48" t="s">
        <v>2578</v>
      </c>
      <c r="C30" s="48" t="s">
        <v>6</v>
      </c>
      <c r="D30" s="50">
        <v>20.309999999999999</v>
      </c>
    </row>
    <row r="31" spans="1:4" ht="13.5">
      <c r="A31" s="49">
        <v>97167</v>
      </c>
      <c r="B31" s="48" t="s">
        <v>2579</v>
      </c>
      <c r="C31" s="48" t="s">
        <v>6</v>
      </c>
      <c r="D31" s="50">
        <v>23.72</v>
      </c>
    </row>
    <row r="32" spans="1:4" ht="13.5">
      <c r="A32" s="49">
        <v>97168</v>
      </c>
      <c r="B32" s="48" t="s">
        <v>2580</v>
      </c>
      <c r="C32" s="48" t="s">
        <v>6</v>
      </c>
      <c r="D32" s="50">
        <v>26.86</v>
      </c>
    </row>
    <row r="33" spans="1:4" ht="13.5">
      <c r="A33" s="49">
        <v>97169</v>
      </c>
      <c r="B33" s="48" t="s">
        <v>2581</v>
      </c>
      <c r="C33" s="48" t="s">
        <v>6</v>
      </c>
      <c r="D33" s="50">
        <v>30.16</v>
      </c>
    </row>
    <row r="34" spans="1:4" ht="13.5">
      <c r="A34" s="49">
        <v>97170</v>
      </c>
      <c r="B34" s="48" t="s">
        <v>2582</v>
      </c>
      <c r="C34" s="48" t="s">
        <v>6</v>
      </c>
      <c r="D34" s="50">
        <v>33.5</v>
      </c>
    </row>
    <row r="35" spans="1:4" ht="13.5">
      <c r="A35" s="49">
        <v>97171</v>
      </c>
      <c r="B35" s="48" t="s">
        <v>2583</v>
      </c>
      <c r="C35" s="48" t="s">
        <v>6</v>
      </c>
      <c r="D35" s="50">
        <v>36.85</v>
      </c>
    </row>
    <row r="36" spans="1:4" ht="13.5">
      <c r="A36" s="49">
        <v>97172</v>
      </c>
      <c r="B36" s="48" t="s">
        <v>2584</v>
      </c>
      <c r="C36" s="48" t="s">
        <v>6</v>
      </c>
      <c r="D36" s="50">
        <v>44.02</v>
      </c>
    </row>
    <row r="37" spans="1:4" ht="13.5">
      <c r="A37" s="49">
        <v>97173</v>
      </c>
      <c r="B37" s="48" t="s">
        <v>2585</v>
      </c>
      <c r="C37" s="48" t="s">
        <v>6</v>
      </c>
      <c r="D37" s="50">
        <v>37.119999999999997</v>
      </c>
    </row>
    <row r="38" spans="1:4" ht="13.5">
      <c r="A38" s="49">
        <v>97174</v>
      </c>
      <c r="B38" s="48" t="s">
        <v>2586</v>
      </c>
      <c r="C38" s="48" t="s">
        <v>6</v>
      </c>
      <c r="D38" s="50">
        <v>42.95</v>
      </c>
    </row>
    <row r="39" spans="1:4" ht="13.5">
      <c r="A39" s="49">
        <v>97175</v>
      </c>
      <c r="B39" s="48" t="s">
        <v>2587</v>
      </c>
      <c r="C39" s="48" t="s">
        <v>6</v>
      </c>
      <c r="D39" s="50">
        <v>48.8</v>
      </c>
    </row>
    <row r="40" spans="1:4" ht="13.5">
      <c r="A40" s="49">
        <v>97176</v>
      </c>
      <c r="B40" s="48" t="s">
        <v>2588</v>
      </c>
      <c r="C40" s="48" t="s">
        <v>6</v>
      </c>
      <c r="D40" s="50">
        <v>54.62</v>
      </c>
    </row>
    <row r="41" spans="1:4" ht="13.5">
      <c r="A41" s="49">
        <v>97177</v>
      </c>
      <c r="B41" s="48" t="s">
        <v>2589</v>
      </c>
      <c r="C41" s="48" t="s">
        <v>6</v>
      </c>
      <c r="D41" s="50">
        <v>66.31</v>
      </c>
    </row>
    <row r="42" spans="1:4" ht="13.5">
      <c r="A42" s="49">
        <v>97178</v>
      </c>
      <c r="B42" s="48" t="s">
        <v>2590</v>
      </c>
      <c r="C42" s="48" t="s">
        <v>6</v>
      </c>
      <c r="D42" s="50">
        <v>77.989999999999995</v>
      </c>
    </row>
    <row r="43" spans="1:4" ht="13.5">
      <c r="A43" s="49">
        <v>97179</v>
      </c>
      <c r="B43" s="48" t="s">
        <v>2591</v>
      </c>
      <c r="C43" s="48" t="s">
        <v>6</v>
      </c>
      <c r="D43" s="50">
        <v>89.66</v>
      </c>
    </row>
    <row r="44" spans="1:4" ht="13.5">
      <c r="A44" s="49">
        <v>97180</v>
      </c>
      <c r="B44" s="48" t="s">
        <v>2592</v>
      </c>
      <c r="C44" s="48" t="s">
        <v>6</v>
      </c>
      <c r="D44" s="50">
        <v>101.35</v>
      </c>
    </row>
    <row r="45" spans="1:4" ht="13.5">
      <c r="A45" s="49">
        <v>97181</v>
      </c>
      <c r="B45" s="48" t="s">
        <v>2593</v>
      </c>
      <c r="C45" s="48" t="s">
        <v>6</v>
      </c>
      <c r="D45" s="50">
        <v>117.22</v>
      </c>
    </row>
    <row r="46" spans="1:4" ht="13.5">
      <c r="A46" s="49">
        <v>97182</v>
      </c>
      <c r="B46" s="48" t="s">
        <v>2594</v>
      </c>
      <c r="C46" s="48" t="s">
        <v>6</v>
      </c>
      <c r="D46" s="50">
        <v>129.35</v>
      </c>
    </row>
    <row r="47" spans="1:4" ht="13.5">
      <c r="A47" s="49">
        <v>97183</v>
      </c>
      <c r="B47" s="48" t="s">
        <v>2595</v>
      </c>
      <c r="C47" s="48" t="s">
        <v>6</v>
      </c>
      <c r="D47" s="50">
        <v>30.05</v>
      </c>
    </row>
    <row r="48" spans="1:4" ht="13.5">
      <c r="A48" s="49">
        <v>97184</v>
      </c>
      <c r="B48" s="48" t="s">
        <v>2596</v>
      </c>
      <c r="C48" s="48" t="s">
        <v>6</v>
      </c>
      <c r="D48" s="50">
        <v>34.86</v>
      </c>
    </row>
    <row r="49" spans="1:4" ht="13.5">
      <c r="A49" s="49">
        <v>97185</v>
      </c>
      <c r="B49" s="48" t="s">
        <v>2598</v>
      </c>
      <c r="C49" s="48" t="s">
        <v>6</v>
      </c>
      <c r="D49" s="50">
        <v>39.659999999999997</v>
      </c>
    </row>
    <row r="50" spans="1:4" ht="13.5">
      <c r="A50" s="49">
        <v>97186</v>
      </c>
      <c r="B50" s="48" t="s">
        <v>2599</v>
      </c>
      <c r="C50" s="48" t="s">
        <v>6</v>
      </c>
      <c r="D50" s="50">
        <v>44.46</v>
      </c>
    </row>
    <row r="51" spans="1:4" ht="13.5">
      <c r="A51" s="49">
        <v>97187</v>
      </c>
      <c r="B51" s="48" t="s">
        <v>2600</v>
      </c>
      <c r="C51" s="48" t="s">
        <v>6</v>
      </c>
      <c r="D51" s="50">
        <v>54.06</v>
      </c>
    </row>
    <row r="52" spans="1:4" ht="13.5">
      <c r="A52" s="49">
        <v>97188</v>
      </c>
      <c r="B52" s="48" t="s">
        <v>2601</v>
      </c>
      <c r="C52" s="48" t="s">
        <v>6</v>
      </c>
      <c r="D52" s="50">
        <v>63.67</v>
      </c>
    </row>
    <row r="53" spans="1:4" ht="13.5">
      <c r="A53" s="49">
        <v>97189</v>
      </c>
      <c r="B53" s="48" t="s">
        <v>2602</v>
      </c>
      <c r="C53" s="48" t="s">
        <v>6</v>
      </c>
      <c r="D53" s="50">
        <v>73.28</v>
      </c>
    </row>
    <row r="54" spans="1:4" ht="13.5">
      <c r="A54" s="49">
        <v>97190</v>
      </c>
      <c r="B54" s="48" t="s">
        <v>2603</v>
      </c>
      <c r="C54" s="48" t="s">
        <v>6</v>
      </c>
      <c r="D54" s="50">
        <v>82.88</v>
      </c>
    </row>
    <row r="55" spans="1:4" ht="13.5">
      <c r="A55" s="49">
        <v>97191</v>
      </c>
      <c r="B55" s="48" t="s">
        <v>2604</v>
      </c>
      <c r="C55" s="48" t="s">
        <v>6</v>
      </c>
      <c r="D55" s="50">
        <v>95.53</v>
      </c>
    </row>
    <row r="56" spans="1:4" ht="13.5">
      <c r="A56" s="49">
        <v>97192</v>
      </c>
      <c r="B56" s="48" t="s">
        <v>2605</v>
      </c>
      <c r="C56" s="48" t="s">
        <v>6</v>
      </c>
      <c r="D56" s="50">
        <v>105.46</v>
      </c>
    </row>
    <row r="57" spans="1:4" ht="13.5">
      <c r="A57" s="49">
        <v>90694</v>
      </c>
      <c r="B57" s="48" t="s">
        <v>19770</v>
      </c>
      <c r="C57" s="48" t="s">
        <v>6</v>
      </c>
      <c r="D57" s="50">
        <v>47.01</v>
      </c>
    </row>
    <row r="58" spans="1:4" ht="13.5">
      <c r="A58" s="49">
        <v>90695</v>
      </c>
      <c r="B58" s="48" t="s">
        <v>19771</v>
      </c>
      <c r="C58" s="48" t="s">
        <v>6</v>
      </c>
      <c r="D58" s="50">
        <v>97.79</v>
      </c>
    </row>
    <row r="59" spans="1:4" ht="13.5">
      <c r="A59" s="49">
        <v>90696</v>
      </c>
      <c r="B59" s="48" t="s">
        <v>19772</v>
      </c>
      <c r="C59" s="48" t="s">
        <v>6</v>
      </c>
      <c r="D59" s="50">
        <v>145.22</v>
      </c>
    </row>
    <row r="60" spans="1:4" ht="13.5">
      <c r="A60" s="49">
        <v>90697</v>
      </c>
      <c r="B60" s="48" t="s">
        <v>19773</v>
      </c>
      <c r="C60" s="48" t="s">
        <v>6</v>
      </c>
      <c r="D60" s="50">
        <v>244.69</v>
      </c>
    </row>
    <row r="61" spans="1:4" ht="13.5">
      <c r="A61" s="49">
        <v>90698</v>
      </c>
      <c r="B61" s="48" t="s">
        <v>19774</v>
      </c>
      <c r="C61" s="48" t="s">
        <v>6</v>
      </c>
      <c r="D61" s="50">
        <v>392.28</v>
      </c>
    </row>
    <row r="62" spans="1:4" ht="13.5">
      <c r="A62" s="49">
        <v>90699</v>
      </c>
      <c r="B62" s="48" t="s">
        <v>19775</v>
      </c>
      <c r="C62" s="48" t="s">
        <v>6</v>
      </c>
      <c r="D62" s="50">
        <v>485</v>
      </c>
    </row>
    <row r="63" spans="1:4" ht="13.5">
      <c r="A63" s="49">
        <v>90700</v>
      </c>
      <c r="B63" s="48" t="s">
        <v>19776</v>
      </c>
      <c r="C63" s="48" t="s">
        <v>6</v>
      </c>
      <c r="D63" s="50">
        <v>628.20000000000005</v>
      </c>
    </row>
    <row r="64" spans="1:4" ht="13.5">
      <c r="A64" s="49">
        <v>90701</v>
      </c>
      <c r="B64" s="48" t="s">
        <v>19777</v>
      </c>
      <c r="C64" s="48" t="s">
        <v>6</v>
      </c>
      <c r="D64" s="50">
        <v>79.349999999999994</v>
      </c>
    </row>
    <row r="65" spans="1:4" ht="13.5">
      <c r="A65" s="49">
        <v>90702</v>
      </c>
      <c r="B65" s="48" t="s">
        <v>19778</v>
      </c>
      <c r="C65" s="48" t="s">
        <v>6</v>
      </c>
      <c r="D65" s="50">
        <v>127.12</v>
      </c>
    </row>
    <row r="66" spans="1:4" ht="13.5">
      <c r="A66" s="49">
        <v>90703</v>
      </c>
      <c r="B66" s="48" t="s">
        <v>19779</v>
      </c>
      <c r="C66" s="48" t="s">
        <v>6</v>
      </c>
      <c r="D66" s="50">
        <v>209.97</v>
      </c>
    </row>
    <row r="67" spans="1:4" ht="13.5">
      <c r="A67" s="49">
        <v>90704</v>
      </c>
      <c r="B67" s="48" t="s">
        <v>19780</v>
      </c>
      <c r="C67" s="48" t="s">
        <v>6</v>
      </c>
      <c r="D67" s="50">
        <v>297.36</v>
      </c>
    </row>
    <row r="68" spans="1:4" ht="13.5">
      <c r="A68" s="49">
        <v>90705</v>
      </c>
      <c r="B68" s="48" t="s">
        <v>19781</v>
      </c>
      <c r="C68" s="48" t="s">
        <v>6</v>
      </c>
      <c r="D68" s="50">
        <v>405.5</v>
      </c>
    </row>
    <row r="69" spans="1:4" ht="13.5">
      <c r="A69" s="49">
        <v>90706</v>
      </c>
      <c r="B69" s="48" t="s">
        <v>19782</v>
      </c>
      <c r="C69" s="48" t="s">
        <v>6</v>
      </c>
      <c r="D69" s="50">
        <v>474.58</v>
      </c>
    </row>
    <row r="70" spans="1:4" ht="13.5">
      <c r="A70" s="49">
        <v>90708</v>
      </c>
      <c r="B70" s="48" t="s">
        <v>19783</v>
      </c>
      <c r="C70" s="48" t="s">
        <v>6</v>
      </c>
      <c r="D70" s="51">
        <v>1332.87</v>
      </c>
    </row>
    <row r="71" spans="1:4" ht="13.5">
      <c r="A71" s="49">
        <v>90724</v>
      </c>
      <c r="B71" s="48" t="s">
        <v>19784</v>
      </c>
      <c r="C71" s="48" t="s">
        <v>32</v>
      </c>
      <c r="D71" s="50">
        <v>24.39</v>
      </c>
    </row>
    <row r="72" spans="1:4" ht="13.5">
      <c r="A72" s="49">
        <v>90725</v>
      </c>
      <c r="B72" s="48" t="s">
        <v>19785</v>
      </c>
      <c r="C72" s="48" t="s">
        <v>32</v>
      </c>
      <c r="D72" s="50">
        <v>29.95</v>
      </c>
    </row>
    <row r="73" spans="1:4" ht="13.5">
      <c r="A73" s="49">
        <v>90726</v>
      </c>
      <c r="B73" s="48" t="s">
        <v>19786</v>
      </c>
      <c r="C73" s="48" t="s">
        <v>32</v>
      </c>
      <c r="D73" s="50">
        <v>35.56</v>
      </c>
    </row>
    <row r="74" spans="1:4" ht="13.5">
      <c r="A74" s="49">
        <v>90727</v>
      </c>
      <c r="B74" s="48" t="s">
        <v>19787</v>
      </c>
      <c r="C74" s="48" t="s">
        <v>32</v>
      </c>
      <c r="D74" s="50">
        <v>41.14</v>
      </c>
    </row>
    <row r="75" spans="1:4" ht="13.5">
      <c r="A75" s="49">
        <v>90728</v>
      </c>
      <c r="B75" s="48" t="s">
        <v>19788</v>
      </c>
      <c r="C75" s="48" t="s">
        <v>32</v>
      </c>
      <c r="D75" s="50">
        <v>46.71</v>
      </c>
    </row>
    <row r="76" spans="1:4" ht="13.5">
      <c r="A76" s="49">
        <v>90729</v>
      </c>
      <c r="B76" s="48" t="s">
        <v>19789</v>
      </c>
      <c r="C76" s="48" t="s">
        <v>32</v>
      </c>
      <c r="D76" s="50">
        <v>52.28</v>
      </c>
    </row>
    <row r="77" spans="1:4" ht="13.5">
      <c r="A77" s="49">
        <v>90730</v>
      </c>
      <c r="B77" s="48" t="s">
        <v>19790</v>
      </c>
      <c r="C77" s="48" t="s">
        <v>32</v>
      </c>
      <c r="D77" s="50">
        <v>57.85</v>
      </c>
    </row>
    <row r="78" spans="1:4" ht="13.5">
      <c r="A78" s="49">
        <v>90731</v>
      </c>
      <c r="B78" s="48" t="s">
        <v>19791</v>
      </c>
      <c r="C78" s="48" t="s">
        <v>32</v>
      </c>
      <c r="D78" s="50">
        <v>63.4</v>
      </c>
    </row>
    <row r="79" spans="1:4" ht="13.5">
      <c r="A79" s="49">
        <v>90732</v>
      </c>
      <c r="B79" s="48" t="s">
        <v>19792</v>
      </c>
      <c r="C79" s="48" t="s">
        <v>32</v>
      </c>
      <c r="D79" s="50">
        <v>80.12</v>
      </c>
    </row>
    <row r="80" spans="1:4" ht="13.5">
      <c r="A80" s="49">
        <v>90733</v>
      </c>
      <c r="B80" s="48" t="s">
        <v>19793</v>
      </c>
      <c r="C80" s="48" t="s">
        <v>6</v>
      </c>
      <c r="D80" s="50">
        <v>3.48</v>
      </c>
    </row>
    <row r="81" spans="1:4" ht="13.5">
      <c r="A81" s="49">
        <v>90734</v>
      </c>
      <c r="B81" s="48" t="s">
        <v>19794</v>
      </c>
      <c r="C81" s="48" t="s">
        <v>6</v>
      </c>
      <c r="D81" s="50">
        <v>4.12</v>
      </c>
    </row>
    <row r="82" spans="1:4" ht="13.5">
      <c r="A82" s="49">
        <v>90735</v>
      </c>
      <c r="B82" s="48" t="s">
        <v>19795</v>
      </c>
      <c r="C82" s="48" t="s">
        <v>6</v>
      </c>
      <c r="D82" s="50">
        <v>4.76</v>
      </c>
    </row>
    <row r="83" spans="1:4" ht="13.5">
      <c r="A83" s="49">
        <v>90736</v>
      </c>
      <c r="B83" s="48" t="s">
        <v>19796</v>
      </c>
      <c r="C83" s="48" t="s">
        <v>6</v>
      </c>
      <c r="D83" s="50">
        <v>5.4</v>
      </c>
    </row>
    <row r="84" spans="1:4" ht="13.5">
      <c r="A84" s="49">
        <v>90737</v>
      </c>
      <c r="B84" s="48" t="s">
        <v>19797</v>
      </c>
      <c r="C84" s="48" t="s">
        <v>6</v>
      </c>
      <c r="D84" s="50">
        <v>6.04</v>
      </c>
    </row>
    <row r="85" spans="1:4" ht="13.5">
      <c r="A85" s="49">
        <v>90738</v>
      </c>
      <c r="B85" s="48" t="s">
        <v>19798</v>
      </c>
      <c r="C85" s="48" t="s">
        <v>6</v>
      </c>
      <c r="D85" s="50">
        <v>6.69</v>
      </c>
    </row>
    <row r="86" spans="1:4" ht="13.5">
      <c r="A86" s="49">
        <v>90739</v>
      </c>
      <c r="B86" s="48" t="s">
        <v>19799</v>
      </c>
      <c r="C86" s="48" t="s">
        <v>6</v>
      </c>
      <c r="D86" s="50">
        <v>8.81</v>
      </c>
    </row>
    <row r="87" spans="1:4" ht="13.5">
      <c r="A87" s="49">
        <v>90740</v>
      </c>
      <c r="B87" s="48" t="s">
        <v>19800</v>
      </c>
      <c r="C87" s="48" t="s">
        <v>6</v>
      </c>
      <c r="D87" s="50">
        <v>4.58</v>
      </c>
    </row>
    <row r="88" spans="1:4" ht="13.5">
      <c r="A88" s="49">
        <v>90741</v>
      </c>
      <c r="B88" s="48" t="s">
        <v>19801</v>
      </c>
      <c r="C88" s="48" t="s">
        <v>6</v>
      </c>
      <c r="D88" s="50">
        <v>5.23</v>
      </c>
    </row>
    <row r="89" spans="1:4" ht="13.5">
      <c r="A89" s="49">
        <v>90742</v>
      </c>
      <c r="B89" s="48" t="s">
        <v>19802</v>
      </c>
      <c r="C89" s="48" t="s">
        <v>6</v>
      </c>
      <c r="D89" s="50">
        <v>5.88</v>
      </c>
    </row>
    <row r="90" spans="1:4" ht="13.5">
      <c r="A90" s="49">
        <v>90743</v>
      </c>
      <c r="B90" s="48" t="s">
        <v>19803</v>
      </c>
      <c r="C90" s="48" t="s">
        <v>6</v>
      </c>
      <c r="D90" s="50">
        <v>6.52</v>
      </c>
    </row>
    <row r="91" spans="1:4" ht="13.5">
      <c r="A91" s="49">
        <v>90744</v>
      </c>
      <c r="B91" s="48" t="s">
        <v>19804</v>
      </c>
      <c r="C91" s="48" t="s">
        <v>6</v>
      </c>
      <c r="D91" s="50">
        <v>7.16</v>
      </c>
    </row>
    <row r="92" spans="1:4" ht="13.5">
      <c r="A92" s="49">
        <v>90745</v>
      </c>
      <c r="B92" s="48" t="s">
        <v>19805</v>
      </c>
      <c r="C92" s="48" t="s">
        <v>6</v>
      </c>
      <c r="D92" s="50">
        <v>9.83</v>
      </c>
    </row>
    <row r="93" spans="1:4" ht="13.5">
      <c r="A93" s="49">
        <v>90746</v>
      </c>
      <c r="B93" s="48" t="s">
        <v>19806</v>
      </c>
      <c r="C93" s="48" t="s">
        <v>6</v>
      </c>
      <c r="D93" s="50">
        <v>3.76</v>
      </c>
    </row>
    <row r="94" spans="1:4" ht="13.5">
      <c r="A94" s="49">
        <v>90747</v>
      </c>
      <c r="B94" s="48" t="s">
        <v>19807</v>
      </c>
      <c r="C94" s="48" t="s">
        <v>6</v>
      </c>
      <c r="D94" s="50">
        <v>16.54</v>
      </c>
    </row>
    <row r="95" spans="1:4" ht="13.5">
      <c r="A95" s="49">
        <v>94869</v>
      </c>
      <c r="B95" s="48" t="s">
        <v>19808</v>
      </c>
      <c r="C95" s="48" t="s">
        <v>6</v>
      </c>
      <c r="D95" s="50">
        <v>271.60000000000002</v>
      </c>
    </row>
    <row r="96" spans="1:4" ht="13.5">
      <c r="A96" s="49">
        <v>94870</v>
      </c>
      <c r="B96" s="48" t="s">
        <v>19809</v>
      </c>
      <c r="C96" s="48" t="s">
        <v>6</v>
      </c>
      <c r="D96" s="50">
        <v>2.04</v>
      </c>
    </row>
    <row r="97" spans="1:4" ht="13.5">
      <c r="A97" s="49">
        <v>94871</v>
      </c>
      <c r="B97" s="48" t="s">
        <v>19810</v>
      </c>
      <c r="C97" s="48" t="s">
        <v>6</v>
      </c>
      <c r="D97" s="50">
        <v>321.66000000000003</v>
      </c>
    </row>
    <row r="98" spans="1:4" ht="13.5">
      <c r="A98" s="49">
        <v>94872</v>
      </c>
      <c r="B98" s="48" t="s">
        <v>19811</v>
      </c>
      <c r="C98" s="48" t="s">
        <v>6</v>
      </c>
      <c r="D98" s="50">
        <v>2.84</v>
      </c>
    </row>
    <row r="99" spans="1:4" ht="13.5">
      <c r="A99" s="49">
        <v>94875</v>
      </c>
      <c r="B99" s="48" t="s">
        <v>19812</v>
      </c>
      <c r="C99" s="48" t="s">
        <v>6</v>
      </c>
      <c r="D99" s="51">
        <v>1882.84</v>
      </c>
    </row>
    <row r="100" spans="1:4" ht="13.5">
      <c r="A100" s="49">
        <v>94876</v>
      </c>
      <c r="B100" s="48" t="s">
        <v>19813</v>
      </c>
      <c r="C100" s="48" t="s">
        <v>6</v>
      </c>
      <c r="D100" s="50">
        <v>28.12</v>
      </c>
    </row>
    <row r="101" spans="1:4" ht="13.5">
      <c r="A101" s="49">
        <v>94878</v>
      </c>
      <c r="B101" s="48" t="s">
        <v>19814</v>
      </c>
      <c r="C101" s="48" t="s">
        <v>6</v>
      </c>
      <c r="D101" s="50">
        <v>32.49</v>
      </c>
    </row>
    <row r="102" spans="1:4" ht="13.5">
      <c r="A102" s="49">
        <v>94879</v>
      </c>
      <c r="B102" s="48" t="s">
        <v>19815</v>
      </c>
      <c r="C102" s="48" t="s">
        <v>6</v>
      </c>
      <c r="D102" s="51">
        <v>2507.4</v>
      </c>
    </row>
    <row r="103" spans="1:4" ht="13.5">
      <c r="A103" s="49">
        <v>94880</v>
      </c>
      <c r="B103" s="48" t="s">
        <v>19816</v>
      </c>
      <c r="C103" s="48" t="s">
        <v>6</v>
      </c>
      <c r="D103" s="50">
        <v>42.18</v>
      </c>
    </row>
    <row r="104" spans="1:4" ht="13.5">
      <c r="A104" s="49">
        <v>94881</v>
      </c>
      <c r="B104" s="48" t="s">
        <v>19817</v>
      </c>
      <c r="C104" s="48" t="s">
        <v>6</v>
      </c>
      <c r="D104" s="51">
        <v>3918.02</v>
      </c>
    </row>
    <row r="105" spans="1:4" ht="13.5">
      <c r="A105" s="49">
        <v>94882</v>
      </c>
      <c r="B105" s="48" t="s">
        <v>19818</v>
      </c>
      <c r="C105" s="48" t="s">
        <v>6</v>
      </c>
      <c r="D105" s="50">
        <v>48.87</v>
      </c>
    </row>
    <row r="106" spans="1:4" ht="13.5">
      <c r="A106" s="49">
        <v>94884</v>
      </c>
      <c r="B106" s="48" t="s">
        <v>19819</v>
      </c>
      <c r="C106" s="48" t="s">
        <v>6</v>
      </c>
      <c r="D106" s="50">
        <v>62.48</v>
      </c>
    </row>
    <row r="107" spans="1:4" ht="13.5">
      <c r="A107" s="49">
        <v>97121</v>
      </c>
      <c r="B107" s="48" t="s">
        <v>2609</v>
      </c>
      <c r="C107" s="48" t="s">
        <v>6</v>
      </c>
      <c r="D107" s="50">
        <v>2.09</v>
      </c>
    </row>
    <row r="108" spans="1:4" ht="13.5">
      <c r="A108" s="49">
        <v>97122</v>
      </c>
      <c r="B108" s="48" t="s">
        <v>2610</v>
      </c>
      <c r="C108" s="48" t="s">
        <v>6</v>
      </c>
      <c r="D108" s="50">
        <v>2.9</v>
      </c>
    </row>
    <row r="109" spans="1:4" ht="13.5">
      <c r="A109" s="49">
        <v>97123</v>
      </c>
      <c r="B109" s="48" t="s">
        <v>2611</v>
      </c>
      <c r="C109" s="48" t="s">
        <v>6</v>
      </c>
      <c r="D109" s="50">
        <v>3.68</v>
      </c>
    </row>
    <row r="110" spans="1:4" ht="13.5">
      <c r="A110" s="49">
        <v>97124</v>
      </c>
      <c r="B110" s="48" t="s">
        <v>2612</v>
      </c>
      <c r="C110" s="48" t="s">
        <v>6</v>
      </c>
      <c r="D110" s="50">
        <v>0.92</v>
      </c>
    </row>
    <row r="111" spans="1:4" ht="13.5">
      <c r="A111" s="49">
        <v>97125</v>
      </c>
      <c r="B111" s="48" t="s">
        <v>2613</v>
      </c>
      <c r="C111" s="48" t="s">
        <v>6</v>
      </c>
      <c r="D111" s="50">
        <v>1.32</v>
      </c>
    </row>
    <row r="112" spans="1:4" ht="13.5">
      <c r="A112" s="49">
        <v>97126</v>
      </c>
      <c r="B112" s="48" t="s">
        <v>2614</v>
      </c>
      <c r="C112" s="48" t="s">
        <v>6</v>
      </c>
      <c r="D112" s="50">
        <v>1.68</v>
      </c>
    </row>
    <row r="113" spans="1:4" ht="13.5">
      <c r="A113" s="49">
        <v>102264</v>
      </c>
      <c r="B113" s="48" t="s">
        <v>19820</v>
      </c>
      <c r="C113" s="48" t="s">
        <v>6</v>
      </c>
      <c r="D113" s="50">
        <v>28.05</v>
      </c>
    </row>
    <row r="114" spans="1:4" ht="13.5">
      <c r="A114" s="49">
        <v>102265</v>
      </c>
      <c r="B114" s="48" t="s">
        <v>19821</v>
      </c>
      <c r="C114" s="48" t="s">
        <v>32</v>
      </c>
      <c r="D114" s="50">
        <v>102.4</v>
      </c>
    </row>
    <row r="115" spans="1:4" ht="13.5">
      <c r="A115" s="49">
        <v>102266</v>
      </c>
      <c r="B115" s="48" t="s">
        <v>19822</v>
      </c>
      <c r="C115" s="48" t="s">
        <v>32</v>
      </c>
      <c r="D115" s="50">
        <v>113.54</v>
      </c>
    </row>
    <row r="116" spans="1:4" ht="13.5">
      <c r="A116" s="49">
        <v>102267</v>
      </c>
      <c r="B116" s="48" t="s">
        <v>19823</v>
      </c>
      <c r="C116" s="48" t="s">
        <v>32</v>
      </c>
      <c r="D116" s="50">
        <v>130.29</v>
      </c>
    </row>
    <row r="117" spans="1:4" ht="13.5">
      <c r="A117" s="49">
        <v>102268</v>
      </c>
      <c r="B117" s="48" t="s">
        <v>19824</v>
      </c>
      <c r="C117" s="48" t="s">
        <v>32</v>
      </c>
      <c r="D117" s="50">
        <v>146.99</v>
      </c>
    </row>
    <row r="118" spans="1:4" ht="13.5">
      <c r="A118" s="49">
        <v>102269</v>
      </c>
      <c r="B118" s="48" t="s">
        <v>19825</v>
      </c>
      <c r="C118" s="48" t="s">
        <v>32</v>
      </c>
      <c r="D118" s="50">
        <v>180.41</v>
      </c>
    </row>
    <row r="119" spans="1:4" ht="13.5">
      <c r="A119" s="49">
        <v>92833</v>
      </c>
      <c r="B119" s="48" t="s">
        <v>2615</v>
      </c>
      <c r="C119" s="48" t="s">
        <v>6</v>
      </c>
      <c r="D119" s="50">
        <v>135.56</v>
      </c>
    </row>
    <row r="120" spans="1:4" ht="13.5">
      <c r="A120" s="49">
        <v>92834</v>
      </c>
      <c r="B120" s="48" t="s">
        <v>2616</v>
      </c>
      <c r="C120" s="48" t="s">
        <v>6</v>
      </c>
      <c r="D120" s="50">
        <v>8.83</v>
      </c>
    </row>
    <row r="121" spans="1:4" ht="13.5">
      <c r="A121" s="49">
        <v>92835</v>
      </c>
      <c r="B121" s="48" t="s">
        <v>2617</v>
      </c>
      <c r="C121" s="48" t="s">
        <v>6</v>
      </c>
      <c r="D121" s="50">
        <v>143.41</v>
      </c>
    </row>
    <row r="122" spans="1:4" ht="13.5">
      <c r="A122" s="49">
        <v>92836</v>
      </c>
      <c r="B122" s="48" t="s">
        <v>2618</v>
      </c>
      <c r="C122" s="48" t="s">
        <v>6</v>
      </c>
      <c r="D122" s="50">
        <v>11.29</v>
      </c>
    </row>
    <row r="123" spans="1:4" ht="13.5">
      <c r="A123" s="49">
        <v>92837</v>
      </c>
      <c r="B123" s="48" t="s">
        <v>2619</v>
      </c>
      <c r="C123" s="48" t="s">
        <v>6</v>
      </c>
      <c r="D123" s="50">
        <v>247.93</v>
      </c>
    </row>
    <row r="124" spans="1:4" ht="13.5">
      <c r="A124" s="49">
        <v>92838</v>
      </c>
      <c r="B124" s="48" t="s">
        <v>2620</v>
      </c>
      <c r="C124" s="48" t="s">
        <v>6</v>
      </c>
      <c r="D124" s="50">
        <v>13.55</v>
      </c>
    </row>
    <row r="125" spans="1:4" ht="13.5">
      <c r="A125" s="49">
        <v>92839</v>
      </c>
      <c r="B125" s="48" t="s">
        <v>2621</v>
      </c>
      <c r="C125" s="48" t="s">
        <v>6</v>
      </c>
      <c r="D125" s="50">
        <v>302.92</v>
      </c>
    </row>
    <row r="126" spans="1:4" ht="13.5">
      <c r="A126" s="49">
        <v>92840</v>
      </c>
      <c r="B126" s="48" t="s">
        <v>2622</v>
      </c>
      <c r="C126" s="48" t="s">
        <v>6</v>
      </c>
      <c r="D126" s="50">
        <v>16.059999999999999</v>
      </c>
    </row>
    <row r="127" spans="1:4" ht="13.5">
      <c r="A127" s="49">
        <v>92841</v>
      </c>
      <c r="B127" s="48" t="s">
        <v>2623</v>
      </c>
      <c r="C127" s="48" t="s">
        <v>6</v>
      </c>
      <c r="D127" s="50">
        <v>394.32</v>
      </c>
    </row>
    <row r="128" spans="1:4" ht="13.5">
      <c r="A128" s="49">
        <v>92842</v>
      </c>
      <c r="B128" s="48" t="s">
        <v>2624</v>
      </c>
      <c r="C128" s="48" t="s">
        <v>6</v>
      </c>
      <c r="D128" s="50">
        <v>18.329999999999998</v>
      </c>
    </row>
    <row r="129" spans="1:4" ht="13.5">
      <c r="A129" s="49">
        <v>92843</v>
      </c>
      <c r="B129" s="48" t="s">
        <v>19826</v>
      </c>
      <c r="C129" s="48" t="s">
        <v>6</v>
      </c>
      <c r="D129" s="50">
        <v>411.75</v>
      </c>
    </row>
    <row r="130" spans="1:4" ht="13.5">
      <c r="A130" s="49">
        <v>92844</v>
      </c>
      <c r="B130" s="48" t="s">
        <v>2625</v>
      </c>
      <c r="C130" s="48" t="s">
        <v>6</v>
      </c>
      <c r="D130" s="50">
        <v>20.83</v>
      </c>
    </row>
    <row r="131" spans="1:4" ht="13.5">
      <c r="A131" s="49">
        <v>92845</v>
      </c>
      <c r="B131" s="48" t="s">
        <v>19827</v>
      </c>
      <c r="C131" s="48" t="s">
        <v>6</v>
      </c>
      <c r="D131" s="50">
        <v>602.72</v>
      </c>
    </row>
    <row r="132" spans="1:4" ht="13.5">
      <c r="A132" s="49">
        <v>92846</v>
      </c>
      <c r="B132" s="48" t="s">
        <v>2626</v>
      </c>
      <c r="C132" s="48" t="s">
        <v>6</v>
      </c>
      <c r="D132" s="50">
        <v>23.1</v>
      </c>
    </row>
    <row r="133" spans="1:4" ht="13.5">
      <c r="A133" s="49">
        <v>92847</v>
      </c>
      <c r="B133" s="48" t="s">
        <v>2627</v>
      </c>
      <c r="C133" s="48" t="s">
        <v>6</v>
      </c>
      <c r="D133" s="50">
        <v>623.30999999999995</v>
      </c>
    </row>
    <row r="134" spans="1:4" ht="13.5">
      <c r="A134" s="49">
        <v>92848</v>
      </c>
      <c r="B134" s="48" t="s">
        <v>2628</v>
      </c>
      <c r="C134" s="48" t="s">
        <v>6</v>
      </c>
      <c r="D134" s="50">
        <v>25.63</v>
      </c>
    </row>
    <row r="135" spans="1:4" ht="13.5">
      <c r="A135" s="49">
        <v>92849</v>
      </c>
      <c r="B135" s="48" t="s">
        <v>2630</v>
      </c>
      <c r="C135" s="48" t="s">
        <v>6</v>
      </c>
      <c r="D135" s="50">
        <v>143.31</v>
      </c>
    </row>
    <row r="136" spans="1:4" ht="13.5">
      <c r="A136" s="49">
        <v>92850</v>
      </c>
      <c r="B136" s="48" t="s">
        <v>2631</v>
      </c>
      <c r="C136" s="48" t="s">
        <v>6</v>
      </c>
      <c r="D136" s="50">
        <v>16.73</v>
      </c>
    </row>
    <row r="137" spans="1:4" ht="13.5">
      <c r="A137" s="49">
        <v>92851</v>
      </c>
      <c r="B137" s="48" t="s">
        <v>2632</v>
      </c>
      <c r="C137" s="48" t="s">
        <v>6</v>
      </c>
      <c r="D137" s="50">
        <v>153.05000000000001</v>
      </c>
    </row>
    <row r="138" spans="1:4" ht="13.5">
      <c r="A138" s="49">
        <v>92852</v>
      </c>
      <c r="B138" s="48" t="s">
        <v>2633</v>
      </c>
      <c r="C138" s="48" t="s">
        <v>6</v>
      </c>
      <c r="D138" s="50">
        <v>21.12</v>
      </c>
    </row>
    <row r="139" spans="1:4" ht="13.5">
      <c r="A139" s="49">
        <v>92853</v>
      </c>
      <c r="B139" s="48" t="s">
        <v>2634</v>
      </c>
      <c r="C139" s="48" t="s">
        <v>6</v>
      </c>
      <c r="D139" s="50">
        <v>259.87</v>
      </c>
    </row>
    <row r="140" spans="1:4" ht="13.5">
      <c r="A140" s="49">
        <v>92854</v>
      </c>
      <c r="B140" s="48" t="s">
        <v>2635</v>
      </c>
      <c r="C140" s="48" t="s">
        <v>6</v>
      </c>
      <c r="D140" s="50">
        <v>25.72</v>
      </c>
    </row>
    <row r="141" spans="1:4" ht="13.5">
      <c r="A141" s="49">
        <v>92855</v>
      </c>
      <c r="B141" s="48" t="s">
        <v>2636</v>
      </c>
      <c r="C141" s="48" t="s">
        <v>6</v>
      </c>
      <c r="D141" s="50">
        <v>316.91000000000003</v>
      </c>
    </row>
    <row r="142" spans="1:4" ht="13.5">
      <c r="A142" s="49">
        <v>92856</v>
      </c>
      <c r="B142" s="48" t="s">
        <v>2637</v>
      </c>
      <c r="C142" s="48" t="s">
        <v>6</v>
      </c>
      <c r="D142" s="50">
        <v>30.32</v>
      </c>
    </row>
    <row r="143" spans="1:4" ht="13.5">
      <c r="A143" s="49">
        <v>92857</v>
      </c>
      <c r="B143" s="48" t="s">
        <v>2638</v>
      </c>
      <c r="C143" s="48" t="s">
        <v>6</v>
      </c>
      <c r="D143" s="50">
        <v>410.37</v>
      </c>
    </row>
    <row r="144" spans="1:4" ht="13.5">
      <c r="A144" s="49">
        <v>92858</v>
      </c>
      <c r="B144" s="48" t="s">
        <v>2639</v>
      </c>
      <c r="C144" s="48" t="s">
        <v>6</v>
      </c>
      <c r="D144" s="50">
        <v>34.69</v>
      </c>
    </row>
    <row r="145" spans="1:4" ht="13.5">
      <c r="A145" s="49">
        <v>92859</v>
      </c>
      <c r="B145" s="48" t="s">
        <v>19828</v>
      </c>
      <c r="C145" s="48" t="s">
        <v>6</v>
      </c>
      <c r="D145" s="50">
        <v>430.3</v>
      </c>
    </row>
    <row r="146" spans="1:4" ht="13.5">
      <c r="A146" s="49">
        <v>92860</v>
      </c>
      <c r="B146" s="48" t="s">
        <v>2641</v>
      </c>
      <c r="C146" s="48" t="s">
        <v>6</v>
      </c>
      <c r="D146" s="50">
        <v>39.380000000000003</v>
      </c>
    </row>
    <row r="147" spans="1:4" ht="13.5">
      <c r="A147" s="49">
        <v>92861</v>
      </c>
      <c r="B147" s="48" t="s">
        <v>19829</v>
      </c>
      <c r="C147" s="48" t="s">
        <v>6</v>
      </c>
      <c r="D147" s="50">
        <v>623.58000000000004</v>
      </c>
    </row>
    <row r="148" spans="1:4" ht="13.5">
      <c r="A148" s="49">
        <v>92862</v>
      </c>
      <c r="B148" s="48" t="s">
        <v>2642</v>
      </c>
      <c r="C148" s="48" t="s">
        <v>6</v>
      </c>
      <c r="D148" s="50">
        <v>43.96</v>
      </c>
    </row>
    <row r="149" spans="1:4" ht="13.5">
      <c r="A149" s="49">
        <v>92863</v>
      </c>
      <c r="B149" s="48" t="s">
        <v>2643</v>
      </c>
      <c r="C149" s="48" t="s">
        <v>6</v>
      </c>
      <c r="D149" s="50">
        <v>645.79999999999995</v>
      </c>
    </row>
    <row r="150" spans="1:4" ht="13.5">
      <c r="A150" s="49">
        <v>92864</v>
      </c>
      <c r="B150" s="48" t="s">
        <v>2644</v>
      </c>
      <c r="C150" s="48" t="s">
        <v>6</v>
      </c>
      <c r="D150" s="50">
        <v>48.55</v>
      </c>
    </row>
    <row r="151" spans="1:4" ht="13.5">
      <c r="A151" s="49">
        <v>92210</v>
      </c>
      <c r="B151" s="48" t="s">
        <v>2645</v>
      </c>
      <c r="C151" s="48" t="s">
        <v>6</v>
      </c>
      <c r="D151" s="50">
        <v>122.66</v>
      </c>
    </row>
    <row r="152" spans="1:4" ht="13.5">
      <c r="A152" s="49">
        <v>92211</v>
      </c>
      <c r="B152" s="48" t="s">
        <v>2646</v>
      </c>
      <c r="C152" s="48" t="s">
        <v>6</v>
      </c>
      <c r="D152" s="50">
        <v>147.65</v>
      </c>
    </row>
    <row r="153" spans="1:4" ht="13.5">
      <c r="A153" s="49">
        <v>92212</v>
      </c>
      <c r="B153" s="48" t="s">
        <v>2647</v>
      </c>
      <c r="C153" s="48" t="s">
        <v>6</v>
      </c>
      <c r="D153" s="50">
        <v>212.4</v>
      </c>
    </row>
    <row r="154" spans="1:4" ht="13.5">
      <c r="A154" s="49">
        <v>92213</v>
      </c>
      <c r="B154" s="48" t="s">
        <v>2648</v>
      </c>
      <c r="C154" s="48" t="s">
        <v>6</v>
      </c>
      <c r="D154" s="50">
        <v>274.31</v>
      </c>
    </row>
    <row r="155" spans="1:4" ht="13.5">
      <c r="A155" s="49">
        <v>92214</v>
      </c>
      <c r="B155" s="48" t="s">
        <v>2649</v>
      </c>
      <c r="C155" s="48" t="s">
        <v>6</v>
      </c>
      <c r="D155" s="50">
        <v>329.18</v>
      </c>
    </row>
    <row r="156" spans="1:4" ht="13.5">
      <c r="A156" s="49">
        <v>92215</v>
      </c>
      <c r="B156" s="48" t="s">
        <v>2650</v>
      </c>
      <c r="C156" s="48" t="s">
        <v>6</v>
      </c>
      <c r="D156" s="50">
        <v>377.19</v>
      </c>
    </row>
    <row r="157" spans="1:4" ht="13.5">
      <c r="A157" s="49">
        <v>92216</v>
      </c>
      <c r="B157" s="48" t="s">
        <v>2651</v>
      </c>
      <c r="C157" s="48" t="s">
        <v>6</v>
      </c>
      <c r="D157" s="50">
        <v>397.58</v>
      </c>
    </row>
    <row r="158" spans="1:4" ht="13.5">
      <c r="A158" s="49">
        <v>92219</v>
      </c>
      <c r="B158" s="48" t="s">
        <v>2652</v>
      </c>
      <c r="C158" s="48" t="s">
        <v>6</v>
      </c>
      <c r="D158" s="50">
        <v>132.47999999999999</v>
      </c>
    </row>
    <row r="159" spans="1:4" ht="13.5">
      <c r="A159" s="49">
        <v>92220</v>
      </c>
      <c r="B159" s="48" t="s">
        <v>2653</v>
      </c>
      <c r="C159" s="48" t="s">
        <v>6</v>
      </c>
      <c r="D159" s="50">
        <v>159.81</v>
      </c>
    </row>
    <row r="160" spans="1:4" ht="13.5">
      <c r="A160" s="49">
        <v>92221</v>
      </c>
      <c r="B160" s="48" t="s">
        <v>2654</v>
      </c>
      <c r="C160" s="48" t="s">
        <v>6</v>
      </c>
      <c r="D160" s="50">
        <v>226.67</v>
      </c>
    </row>
    <row r="161" spans="1:4" ht="13.5">
      <c r="A161" s="49">
        <v>92222</v>
      </c>
      <c r="B161" s="48" t="s">
        <v>2655</v>
      </c>
      <c r="C161" s="48" t="s">
        <v>6</v>
      </c>
      <c r="D161" s="50">
        <v>290.88</v>
      </c>
    </row>
    <row r="162" spans="1:4" ht="13.5">
      <c r="A162" s="49">
        <v>92223</v>
      </c>
      <c r="B162" s="48" t="s">
        <v>2656</v>
      </c>
      <c r="C162" s="48" t="s">
        <v>6</v>
      </c>
      <c r="D162" s="50">
        <v>347.73</v>
      </c>
    </row>
    <row r="163" spans="1:4" ht="13.5">
      <c r="A163" s="49">
        <v>92224</v>
      </c>
      <c r="B163" s="48" t="s">
        <v>2657</v>
      </c>
      <c r="C163" s="48" t="s">
        <v>6</v>
      </c>
      <c r="D163" s="50">
        <v>397.76</v>
      </c>
    </row>
    <row r="164" spans="1:4" ht="13.5">
      <c r="A164" s="49">
        <v>92226</v>
      </c>
      <c r="B164" s="48" t="s">
        <v>2658</v>
      </c>
      <c r="C164" s="48" t="s">
        <v>6</v>
      </c>
      <c r="D164" s="50">
        <v>420.62</v>
      </c>
    </row>
    <row r="165" spans="1:4" ht="13.5">
      <c r="A165" s="49">
        <v>92808</v>
      </c>
      <c r="B165" s="48" t="s">
        <v>2659</v>
      </c>
      <c r="C165" s="48" t="s">
        <v>6</v>
      </c>
      <c r="D165" s="50">
        <v>39.68</v>
      </c>
    </row>
    <row r="166" spans="1:4" ht="13.5">
      <c r="A166" s="49">
        <v>92809</v>
      </c>
      <c r="B166" s="48" t="s">
        <v>2660</v>
      </c>
      <c r="C166" s="48" t="s">
        <v>6</v>
      </c>
      <c r="D166" s="50">
        <v>50.81</v>
      </c>
    </row>
    <row r="167" spans="1:4" ht="13.5">
      <c r="A167" s="49">
        <v>92810</v>
      </c>
      <c r="B167" s="48" t="s">
        <v>2661</v>
      </c>
      <c r="C167" s="48" t="s">
        <v>6</v>
      </c>
      <c r="D167" s="50">
        <v>61.77</v>
      </c>
    </row>
    <row r="168" spans="1:4" ht="13.5">
      <c r="A168" s="49">
        <v>92811</v>
      </c>
      <c r="B168" s="48" t="s">
        <v>2663</v>
      </c>
      <c r="C168" s="48" t="s">
        <v>6</v>
      </c>
      <c r="D168" s="50">
        <v>73.349999999999994</v>
      </c>
    </row>
    <row r="169" spans="1:4" ht="13.5">
      <c r="A169" s="49">
        <v>92812</v>
      </c>
      <c r="B169" s="48" t="s">
        <v>2664</v>
      </c>
      <c r="C169" s="48" t="s">
        <v>6</v>
      </c>
      <c r="D169" s="50">
        <v>84.79</v>
      </c>
    </row>
    <row r="170" spans="1:4" ht="13.5">
      <c r="A170" s="49">
        <v>92813</v>
      </c>
      <c r="B170" s="48" t="s">
        <v>2665</v>
      </c>
      <c r="C170" s="48" t="s">
        <v>6</v>
      </c>
      <c r="D170" s="50">
        <v>97.83</v>
      </c>
    </row>
    <row r="171" spans="1:4" ht="13.5">
      <c r="A171" s="49">
        <v>92814</v>
      </c>
      <c r="B171" s="48" t="s">
        <v>2667</v>
      </c>
      <c r="C171" s="48" t="s">
        <v>6</v>
      </c>
      <c r="D171" s="50">
        <v>111.37</v>
      </c>
    </row>
    <row r="172" spans="1:4" ht="13.5">
      <c r="A172" s="49">
        <v>92815</v>
      </c>
      <c r="B172" s="48" t="s">
        <v>2668</v>
      </c>
      <c r="C172" s="48" t="s">
        <v>6</v>
      </c>
      <c r="D172" s="50">
        <v>126.5</v>
      </c>
    </row>
    <row r="173" spans="1:4" ht="13.5">
      <c r="A173" s="49">
        <v>92816</v>
      </c>
      <c r="B173" s="48" t="s">
        <v>2669</v>
      </c>
      <c r="C173" s="48" t="s">
        <v>6</v>
      </c>
      <c r="D173" s="50">
        <v>563.17999999999995</v>
      </c>
    </row>
    <row r="174" spans="1:4" ht="13.5">
      <c r="A174" s="49">
        <v>92817</v>
      </c>
      <c r="B174" s="48" t="s">
        <v>2670</v>
      </c>
      <c r="C174" s="48" t="s">
        <v>6</v>
      </c>
      <c r="D174" s="50">
        <v>158.31</v>
      </c>
    </row>
    <row r="175" spans="1:4" ht="13.5">
      <c r="A175" s="49">
        <v>92818</v>
      </c>
      <c r="B175" s="48" t="s">
        <v>2671</v>
      </c>
      <c r="C175" s="48" t="s">
        <v>6</v>
      </c>
      <c r="D175" s="50">
        <v>799.65</v>
      </c>
    </row>
    <row r="176" spans="1:4" ht="13.5">
      <c r="A176" s="49">
        <v>92819</v>
      </c>
      <c r="B176" s="48" t="s">
        <v>2672</v>
      </c>
      <c r="C176" s="48" t="s">
        <v>6</v>
      </c>
      <c r="D176" s="50">
        <v>213.08</v>
      </c>
    </row>
    <row r="177" spans="1:4" ht="13.5">
      <c r="A177" s="49">
        <v>92820</v>
      </c>
      <c r="B177" s="48" t="s">
        <v>2673</v>
      </c>
      <c r="C177" s="48" t="s">
        <v>6</v>
      </c>
      <c r="D177" s="50">
        <v>47.37</v>
      </c>
    </row>
    <row r="178" spans="1:4" ht="13.5">
      <c r="A178" s="49">
        <v>92821</v>
      </c>
      <c r="B178" s="48" t="s">
        <v>2674</v>
      </c>
      <c r="C178" s="48" t="s">
        <v>6</v>
      </c>
      <c r="D178" s="50">
        <v>60.63</v>
      </c>
    </row>
    <row r="179" spans="1:4" ht="13.5">
      <c r="A179" s="49">
        <v>92822</v>
      </c>
      <c r="B179" s="48" t="s">
        <v>2675</v>
      </c>
      <c r="C179" s="48" t="s">
        <v>6</v>
      </c>
      <c r="D179" s="50">
        <v>73.930000000000007</v>
      </c>
    </row>
    <row r="180" spans="1:4" ht="13.5">
      <c r="A180" s="49">
        <v>92824</v>
      </c>
      <c r="B180" s="48" t="s">
        <v>2676</v>
      </c>
      <c r="C180" s="48" t="s">
        <v>6</v>
      </c>
      <c r="D180" s="50">
        <v>87.62</v>
      </c>
    </row>
    <row r="181" spans="1:4" ht="13.5">
      <c r="A181" s="49">
        <v>92825</v>
      </c>
      <c r="B181" s="48" t="s">
        <v>2677</v>
      </c>
      <c r="C181" s="48" t="s">
        <v>6</v>
      </c>
      <c r="D181" s="50">
        <v>101.36</v>
      </c>
    </row>
    <row r="182" spans="1:4" ht="13.5">
      <c r="A182" s="49">
        <v>92826</v>
      </c>
      <c r="B182" s="48" t="s">
        <v>2678</v>
      </c>
      <c r="C182" s="48" t="s">
        <v>6</v>
      </c>
      <c r="D182" s="50">
        <v>116.38</v>
      </c>
    </row>
    <row r="183" spans="1:4" ht="13.5">
      <c r="A183" s="49">
        <v>92827</v>
      </c>
      <c r="B183" s="48" t="s">
        <v>2679</v>
      </c>
      <c r="C183" s="48" t="s">
        <v>6</v>
      </c>
      <c r="D183" s="50">
        <v>131.94</v>
      </c>
    </row>
    <row r="184" spans="1:4" ht="13.5">
      <c r="A184" s="49">
        <v>92828</v>
      </c>
      <c r="B184" s="48" t="s">
        <v>2680</v>
      </c>
      <c r="C184" s="48" t="s">
        <v>6</v>
      </c>
      <c r="D184" s="50">
        <v>149.54</v>
      </c>
    </row>
    <row r="185" spans="1:4" ht="13.5">
      <c r="A185" s="49">
        <v>92829</v>
      </c>
      <c r="B185" s="48" t="s">
        <v>2681</v>
      </c>
      <c r="C185" s="48" t="s">
        <v>6</v>
      </c>
      <c r="D185" s="50">
        <v>590.38</v>
      </c>
    </row>
    <row r="186" spans="1:4" ht="13.5">
      <c r="A186" s="49">
        <v>92830</v>
      </c>
      <c r="B186" s="48" t="s">
        <v>2682</v>
      </c>
      <c r="C186" s="48" t="s">
        <v>6</v>
      </c>
      <c r="D186" s="50">
        <v>185.51</v>
      </c>
    </row>
    <row r="187" spans="1:4" ht="13.5">
      <c r="A187" s="49">
        <v>92831</v>
      </c>
      <c r="B187" s="48" t="s">
        <v>2683</v>
      </c>
      <c r="C187" s="48" t="s">
        <v>6</v>
      </c>
      <c r="D187" s="50">
        <v>833.15</v>
      </c>
    </row>
    <row r="188" spans="1:4" ht="13.5">
      <c r="A188" s="49">
        <v>92832</v>
      </c>
      <c r="B188" s="48" t="s">
        <v>2684</v>
      </c>
      <c r="C188" s="48" t="s">
        <v>6</v>
      </c>
      <c r="D188" s="50">
        <v>246.58</v>
      </c>
    </row>
    <row r="189" spans="1:4" ht="13.5">
      <c r="A189" s="49">
        <v>95565</v>
      </c>
      <c r="B189" s="48" t="s">
        <v>2685</v>
      </c>
      <c r="C189" s="48" t="s">
        <v>6</v>
      </c>
      <c r="D189" s="50">
        <v>102.61</v>
      </c>
    </row>
    <row r="190" spans="1:4" ht="13.5">
      <c r="A190" s="49">
        <v>95566</v>
      </c>
      <c r="B190" s="48" t="s">
        <v>2686</v>
      </c>
      <c r="C190" s="48" t="s">
        <v>6</v>
      </c>
      <c r="D190" s="50">
        <v>110.15</v>
      </c>
    </row>
    <row r="191" spans="1:4" ht="13.5">
      <c r="A191" s="49">
        <v>95567</v>
      </c>
      <c r="B191" s="48" t="s">
        <v>2687</v>
      </c>
      <c r="C191" s="48" t="s">
        <v>6</v>
      </c>
      <c r="D191" s="50">
        <v>82.18</v>
      </c>
    </row>
    <row r="192" spans="1:4" ht="13.5">
      <c r="A192" s="49">
        <v>95568</v>
      </c>
      <c r="B192" s="48" t="s">
        <v>2688</v>
      </c>
      <c r="C192" s="48" t="s">
        <v>6</v>
      </c>
      <c r="D192" s="50">
        <v>100.98</v>
      </c>
    </row>
    <row r="193" spans="1:4" ht="13.5">
      <c r="A193" s="49">
        <v>95569</v>
      </c>
      <c r="B193" s="48" t="s">
        <v>2689</v>
      </c>
      <c r="C193" s="48" t="s">
        <v>6</v>
      </c>
      <c r="D193" s="50">
        <v>136.69</v>
      </c>
    </row>
    <row r="194" spans="1:4" ht="13.5">
      <c r="A194" s="49">
        <v>95570</v>
      </c>
      <c r="B194" s="48" t="s">
        <v>2690</v>
      </c>
      <c r="C194" s="48" t="s">
        <v>6</v>
      </c>
      <c r="D194" s="50">
        <v>89.72</v>
      </c>
    </row>
    <row r="195" spans="1:4" ht="13.5">
      <c r="A195" s="49">
        <v>95571</v>
      </c>
      <c r="B195" s="48" t="s">
        <v>2691</v>
      </c>
      <c r="C195" s="48" t="s">
        <v>6</v>
      </c>
      <c r="D195" s="50">
        <v>110.61</v>
      </c>
    </row>
    <row r="196" spans="1:4" ht="13.5">
      <c r="A196" s="49">
        <v>95572</v>
      </c>
      <c r="B196" s="48" t="s">
        <v>2692</v>
      </c>
      <c r="C196" s="48" t="s">
        <v>6</v>
      </c>
      <c r="D196" s="50">
        <v>148.63</v>
      </c>
    </row>
    <row r="197" spans="1:4" ht="13.5">
      <c r="A197" s="49">
        <v>97127</v>
      </c>
      <c r="B197" s="48" t="s">
        <v>2693</v>
      </c>
      <c r="C197" s="48" t="s">
        <v>6</v>
      </c>
      <c r="D197" s="50">
        <v>5.28</v>
      </c>
    </row>
    <row r="198" spans="1:4" ht="13.5">
      <c r="A198" s="49">
        <v>97128</v>
      </c>
      <c r="B198" s="48" t="s">
        <v>2694</v>
      </c>
      <c r="C198" s="48" t="s">
        <v>6</v>
      </c>
      <c r="D198" s="50">
        <v>10.38</v>
      </c>
    </row>
    <row r="199" spans="1:4" ht="13.5">
      <c r="A199" s="49">
        <v>97129</v>
      </c>
      <c r="B199" s="48" t="s">
        <v>2695</v>
      </c>
      <c r="C199" s="48" t="s">
        <v>6</v>
      </c>
      <c r="D199" s="50">
        <v>12.78</v>
      </c>
    </row>
    <row r="200" spans="1:4" ht="13.5">
      <c r="A200" s="49">
        <v>97130</v>
      </c>
      <c r="B200" s="48" t="s">
        <v>2696</v>
      </c>
      <c r="C200" s="48" t="s">
        <v>6</v>
      </c>
      <c r="D200" s="50">
        <v>15.17</v>
      </c>
    </row>
    <row r="201" spans="1:4" ht="13.5">
      <c r="A201" s="49">
        <v>97131</v>
      </c>
      <c r="B201" s="48" t="s">
        <v>2697</v>
      </c>
      <c r="C201" s="48" t="s">
        <v>6</v>
      </c>
      <c r="D201" s="50">
        <v>17.54</v>
      </c>
    </row>
    <row r="202" spans="1:4" ht="13.5">
      <c r="A202" s="49">
        <v>97132</v>
      </c>
      <c r="B202" s="48" t="s">
        <v>2698</v>
      </c>
      <c r="C202" s="48" t="s">
        <v>6</v>
      </c>
      <c r="D202" s="50">
        <v>19.91</v>
      </c>
    </row>
    <row r="203" spans="1:4" ht="13.5">
      <c r="A203" s="49">
        <v>97133</v>
      </c>
      <c r="B203" s="48" t="s">
        <v>2699</v>
      </c>
      <c r="C203" s="48" t="s">
        <v>6</v>
      </c>
      <c r="D203" s="50">
        <v>24.68</v>
      </c>
    </row>
    <row r="204" spans="1:4" ht="13.5">
      <c r="A204" s="49">
        <v>97134</v>
      </c>
      <c r="B204" s="48" t="s">
        <v>2700</v>
      </c>
      <c r="C204" s="48" t="s">
        <v>6</v>
      </c>
      <c r="D204" s="50">
        <v>2.4300000000000002</v>
      </c>
    </row>
    <row r="205" spans="1:4" ht="13.5">
      <c r="A205" s="49">
        <v>97135</v>
      </c>
      <c r="B205" s="48" t="s">
        <v>2701</v>
      </c>
      <c r="C205" s="48" t="s">
        <v>6</v>
      </c>
      <c r="D205" s="50">
        <v>5.25</v>
      </c>
    </row>
    <row r="206" spans="1:4" ht="13.5">
      <c r="A206" s="49">
        <v>97136</v>
      </c>
      <c r="B206" s="48" t="s">
        <v>2702</v>
      </c>
      <c r="C206" s="48" t="s">
        <v>6</v>
      </c>
      <c r="D206" s="50">
        <v>6.46</v>
      </c>
    </row>
    <row r="207" spans="1:4" ht="13.5">
      <c r="A207" s="49">
        <v>97137</v>
      </c>
      <c r="B207" s="48" t="s">
        <v>2703</v>
      </c>
      <c r="C207" s="48" t="s">
        <v>6</v>
      </c>
      <c r="D207" s="50">
        <v>7.68</v>
      </c>
    </row>
    <row r="208" spans="1:4" ht="13.5">
      <c r="A208" s="49">
        <v>97138</v>
      </c>
      <c r="B208" s="48" t="s">
        <v>2704</v>
      </c>
      <c r="C208" s="48" t="s">
        <v>6</v>
      </c>
      <c r="D208" s="50">
        <v>8.89</v>
      </c>
    </row>
    <row r="209" spans="1:4" ht="13.5">
      <c r="A209" s="49">
        <v>97139</v>
      </c>
      <c r="B209" s="48" t="s">
        <v>2705</v>
      </c>
      <c r="C209" s="48" t="s">
        <v>6</v>
      </c>
      <c r="D209" s="50">
        <v>10.09</v>
      </c>
    </row>
    <row r="210" spans="1:4" ht="13.5">
      <c r="A210" s="49">
        <v>97140</v>
      </c>
      <c r="B210" s="48" t="s">
        <v>2706</v>
      </c>
      <c r="C210" s="48" t="s">
        <v>6</v>
      </c>
      <c r="D210" s="50">
        <v>12.51</v>
      </c>
    </row>
    <row r="211" spans="1:4" ht="13.5">
      <c r="A211" s="49">
        <v>103089</v>
      </c>
      <c r="B211" s="48" t="s">
        <v>26009</v>
      </c>
      <c r="C211" s="48" t="s">
        <v>6</v>
      </c>
      <c r="D211" s="50">
        <v>9.0399999999999991</v>
      </c>
    </row>
    <row r="212" spans="1:4" ht="13.5">
      <c r="A212" s="49">
        <v>103090</v>
      </c>
      <c r="B212" s="48" t="s">
        <v>26010</v>
      </c>
      <c r="C212" s="48" t="s">
        <v>6</v>
      </c>
      <c r="D212" s="50">
        <v>10.81</v>
      </c>
    </row>
    <row r="213" spans="1:4" ht="13.5">
      <c r="A213" s="49">
        <v>103091</v>
      </c>
      <c r="B213" s="48" t="s">
        <v>26011</v>
      </c>
      <c r="C213" s="48" t="s">
        <v>6</v>
      </c>
      <c r="D213" s="50">
        <v>15.21</v>
      </c>
    </row>
    <row r="214" spans="1:4" ht="13.5">
      <c r="A214" s="49">
        <v>103092</v>
      </c>
      <c r="B214" s="48" t="s">
        <v>26012</v>
      </c>
      <c r="C214" s="48" t="s">
        <v>6</v>
      </c>
      <c r="D214" s="50">
        <v>19.61</v>
      </c>
    </row>
    <row r="215" spans="1:4" ht="13.5">
      <c r="A215" s="49">
        <v>103093</v>
      </c>
      <c r="B215" s="48" t="s">
        <v>26013</v>
      </c>
      <c r="C215" s="48" t="s">
        <v>6</v>
      </c>
      <c r="D215" s="50">
        <v>29.98</v>
      </c>
    </row>
    <row r="216" spans="1:4" ht="13.5">
      <c r="A216" s="49">
        <v>103094</v>
      </c>
      <c r="B216" s="48" t="s">
        <v>26014</v>
      </c>
      <c r="C216" s="48" t="s">
        <v>6</v>
      </c>
      <c r="D216" s="50">
        <v>34.42</v>
      </c>
    </row>
    <row r="217" spans="1:4" ht="13.5">
      <c r="A217" s="49">
        <v>103095</v>
      </c>
      <c r="B217" s="48" t="s">
        <v>26015</v>
      </c>
      <c r="C217" s="48" t="s">
        <v>6</v>
      </c>
      <c r="D217" s="50">
        <v>44.77</v>
      </c>
    </row>
    <row r="218" spans="1:4" ht="13.5">
      <c r="A218" s="49">
        <v>103096</v>
      </c>
      <c r="B218" s="48" t="s">
        <v>26016</v>
      </c>
      <c r="C218" s="48" t="s">
        <v>6</v>
      </c>
      <c r="D218" s="50">
        <v>49.19</v>
      </c>
    </row>
    <row r="219" spans="1:4" ht="13.5">
      <c r="A219" s="49">
        <v>103097</v>
      </c>
      <c r="B219" s="48" t="s">
        <v>26017</v>
      </c>
      <c r="C219" s="48" t="s">
        <v>6</v>
      </c>
      <c r="D219" s="50">
        <v>59.55</v>
      </c>
    </row>
    <row r="220" spans="1:4" ht="13.5">
      <c r="A220" s="49">
        <v>103098</v>
      </c>
      <c r="B220" s="48" t="s">
        <v>26018</v>
      </c>
      <c r="C220" s="48" t="s">
        <v>6</v>
      </c>
      <c r="D220" s="50">
        <v>63.98</v>
      </c>
    </row>
    <row r="221" spans="1:4" ht="13.5">
      <c r="A221" s="49">
        <v>103099</v>
      </c>
      <c r="B221" s="48" t="s">
        <v>26019</v>
      </c>
      <c r="C221" s="48" t="s">
        <v>6</v>
      </c>
      <c r="D221" s="50">
        <v>72.78</v>
      </c>
    </row>
    <row r="222" spans="1:4" ht="13.5">
      <c r="A222" s="49">
        <v>103100</v>
      </c>
      <c r="B222" s="48" t="s">
        <v>26020</v>
      </c>
      <c r="C222" s="48" t="s">
        <v>6</v>
      </c>
      <c r="D222" s="50">
        <v>77.680000000000007</v>
      </c>
    </row>
    <row r="223" spans="1:4" ht="13.5">
      <c r="A223" s="49">
        <v>103101</v>
      </c>
      <c r="B223" s="48" t="s">
        <v>26021</v>
      </c>
      <c r="C223" s="48" t="s">
        <v>6</v>
      </c>
      <c r="D223" s="50">
        <v>85.55</v>
      </c>
    </row>
    <row r="224" spans="1:4" ht="13.5">
      <c r="A224" s="49">
        <v>103102</v>
      </c>
      <c r="B224" s="48" t="s">
        <v>26022</v>
      </c>
      <c r="C224" s="48" t="s">
        <v>6</v>
      </c>
      <c r="D224" s="50">
        <v>98.55</v>
      </c>
    </row>
    <row r="225" spans="1:4" ht="13.5">
      <c r="A225" s="49">
        <v>103103</v>
      </c>
      <c r="B225" s="48" t="s">
        <v>26023</v>
      </c>
      <c r="C225" s="48" t="s">
        <v>6</v>
      </c>
      <c r="D225" s="50">
        <v>106.42</v>
      </c>
    </row>
    <row r="226" spans="1:4" ht="13.5">
      <c r="A226" s="49">
        <v>103104</v>
      </c>
      <c r="B226" s="48" t="s">
        <v>26024</v>
      </c>
      <c r="C226" s="48" t="s">
        <v>6</v>
      </c>
      <c r="D226" s="50">
        <v>127.29</v>
      </c>
    </row>
    <row r="227" spans="1:4" ht="13.5">
      <c r="A227" s="49">
        <v>103105</v>
      </c>
      <c r="B227" s="48" t="s">
        <v>26025</v>
      </c>
      <c r="C227" s="48" t="s">
        <v>32</v>
      </c>
      <c r="D227" s="50">
        <v>37.840000000000003</v>
      </c>
    </row>
    <row r="228" spans="1:4" ht="13.5">
      <c r="A228" s="49">
        <v>103106</v>
      </c>
      <c r="B228" s="48" t="s">
        <v>26026</v>
      </c>
      <c r="C228" s="48" t="s">
        <v>32</v>
      </c>
      <c r="D228" s="50">
        <v>45.21</v>
      </c>
    </row>
    <row r="229" spans="1:4" ht="13.5">
      <c r="A229" s="49">
        <v>103107</v>
      </c>
      <c r="B229" s="48" t="s">
        <v>26027</v>
      </c>
      <c r="C229" s="48" t="s">
        <v>32</v>
      </c>
      <c r="D229" s="50">
        <v>63.62</v>
      </c>
    </row>
    <row r="230" spans="1:4" ht="13.5">
      <c r="A230" s="49">
        <v>103108</v>
      </c>
      <c r="B230" s="48" t="s">
        <v>26028</v>
      </c>
      <c r="C230" s="48" t="s">
        <v>32</v>
      </c>
      <c r="D230" s="50">
        <v>82.03</v>
      </c>
    </row>
    <row r="231" spans="1:4" ht="13.5">
      <c r="A231" s="49">
        <v>103109</v>
      </c>
      <c r="B231" s="48" t="s">
        <v>26029</v>
      </c>
      <c r="C231" s="48" t="s">
        <v>32</v>
      </c>
      <c r="D231" s="50">
        <v>135.05000000000001</v>
      </c>
    </row>
    <row r="232" spans="1:4" ht="13.5">
      <c r="A232" s="49">
        <v>103110</v>
      </c>
      <c r="B232" s="48" t="s">
        <v>26030</v>
      </c>
      <c r="C232" s="48" t="s">
        <v>32</v>
      </c>
      <c r="D232" s="50">
        <v>153.46</v>
      </c>
    </row>
    <row r="233" spans="1:4" ht="13.5">
      <c r="A233" s="49">
        <v>103111</v>
      </c>
      <c r="B233" s="48" t="s">
        <v>26031</v>
      </c>
      <c r="C233" s="48" t="s">
        <v>32</v>
      </c>
      <c r="D233" s="50">
        <v>206.47</v>
      </c>
    </row>
    <row r="234" spans="1:4" ht="13.5">
      <c r="A234" s="49">
        <v>103112</v>
      </c>
      <c r="B234" s="48" t="s">
        <v>26032</v>
      </c>
      <c r="C234" s="48" t="s">
        <v>32</v>
      </c>
      <c r="D234" s="50">
        <v>224.89</v>
      </c>
    </row>
    <row r="235" spans="1:4" ht="13.5">
      <c r="A235" s="49">
        <v>103113</v>
      </c>
      <c r="B235" s="48" t="s">
        <v>26033</v>
      </c>
      <c r="C235" s="48" t="s">
        <v>32</v>
      </c>
      <c r="D235" s="50">
        <v>277.89</v>
      </c>
    </row>
    <row r="236" spans="1:4" ht="13.5">
      <c r="A236" s="49">
        <v>103114</v>
      </c>
      <c r="B236" s="48" t="s">
        <v>26034</v>
      </c>
      <c r="C236" s="48" t="s">
        <v>32</v>
      </c>
      <c r="D236" s="50">
        <v>296.31</v>
      </c>
    </row>
    <row r="237" spans="1:4" ht="13.5">
      <c r="A237" s="49">
        <v>103115</v>
      </c>
      <c r="B237" s="48" t="s">
        <v>26035</v>
      </c>
      <c r="C237" s="48" t="s">
        <v>32</v>
      </c>
      <c r="D237" s="50">
        <v>333.13</v>
      </c>
    </row>
    <row r="238" spans="1:4" ht="13.5">
      <c r="A238" s="49">
        <v>103116</v>
      </c>
      <c r="B238" s="48" t="s">
        <v>26036</v>
      </c>
      <c r="C238" s="48" t="s">
        <v>32</v>
      </c>
      <c r="D238" s="50">
        <v>404.55</v>
      </c>
    </row>
    <row r="239" spans="1:4" ht="13.5">
      <c r="A239" s="49">
        <v>103117</v>
      </c>
      <c r="B239" s="48" t="s">
        <v>26037</v>
      </c>
      <c r="C239" s="48" t="s">
        <v>32</v>
      </c>
      <c r="D239" s="50">
        <v>441.38</v>
      </c>
    </row>
    <row r="240" spans="1:4" ht="13.5">
      <c r="A240" s="49">
        <v>103118</v>
      </c>
      <c r="B240" s="48" t="s">
        <v>26038</v>
      </c>
      <c r="C240" s="48" t="s">
        <v>32</v>
      </c>
      <c r="D240" s="50">
        <v>512.79999999999995</v>
      </c>
    </row>
    <row r="241" spans="1:4" ht="13.5">
      <c r="A241" s="49">
        <v>103119</v>
      </c>
      <c r="B241" s="48" t="s">
        <v>26039</v>
      </c>
      <c r="C241" s="48" t="s">
        <v>32</v>
      </c>
      <c r="D241" s="50">
        <v>549.63</v>
      </c>
    </row>
    <row r="242" spans="1:4" ht="13.5">
      <c r="A242" s="49">
        <v>103120</v>
      </c>
      <c r="B242" s="48" t="s">
        <v>26040</v>
      </c>
      <c r="C242" s="48" t="s">
        <v>32</v>
      </c>
      <c r="D242" s="50">
        <v>657.87</v>
      </c>
    </row>
    <row r="243" spans="1:4" ht="13.5">
      <c r="A243" s="49">
        <v>103121</v>
      </c>
      <c r="B243" s="48" t="s">
        <v>26041</v>
      </c>
      <c r="C243" s="48" t="s">
        <v>32</v>
      </c>
      <c r="D243" s="50">
        <v>49.77</v>
      </c>
    </row>
    <row r="244" spans="1:4" ht="13.5">
      <c r="A244" s="49">
        <v>103122</v>
      </c>
      <c r="B244" s="48" t="s">
        <v>26042</v>
      </c>
      <c r="C244" s="48" t="s">
        <v>32</v>
      </c>
      <c r="D244" s="50">
        <v>60.81</v>
      </c>
    </row>
    <row r="245" spans="1:4" ht="13.5">
      <c r="A245" s="49">
        <v>103123</v>
      </c>
      <c r="B245" s="48" t="s">
        <v>26043</v>
      </c>
      <c r="C245" s="48" t="s">
        <v>32</v>
      </c>
      <c r="D245" s="50">
        <v>88.43</v>
      </c>
    </row>
    <row r="246" spans="1:4" ht="13.5">
      <c r="A246" s="49">
        <v>103124</v>
      </c>
      <c r="B246" s="48" t="s">
        <v>26044</v>
      </c>
      <c r="C246" s="48" t="s">
        <v>32</v>
      </c>
      <c r="D246" s="50">
        <v>116.04</v>
      </c>
    </row>
    <row r="247" spans="1:4" ht="13.5">
      <c r="A247" s="49">
        <v>103125</v>
      </c>
      <c r="B247" s="48" t="s">
        <v>26045</v>
      </c>
      <c r="C247" s="48" t="s">
        <v>32</v>
      </c>
      <c r="D247" s="50">
        <v>195.58</v>
      </c>
    </row>
    <row r="248" spans="1:4" ht="13.5">
      <c r="A248" s="49">
        <v>103126</v>
      </c>
      <c r="B248" s="48" t="s">
        <v>26046</v>
      </c>
      <c r="C248" s="48" t="s">
        <v>32</v>
      </c>
      <c r="D248" s="50">
        <v>223.19</v>
      </c>
    </row>
    <row r="249" spans="1:4" ht="13.5">
      <c r="A249" s="49">
        <v>103127</v>
      </c>
      <c r="B249" s="48" t="s">
        <v>26047</v>
      </c>
      <c r="C249" s="48" t="s">
        <v>32</v>
      </c>
      <c r="D249" s="50">
        <v>302.70999999999998</v>
      </c>
    </row>
    <row r="250" spans="1:4" ht="13.5">
      <c r="A250" s="49">
        <v>103128</v>
      </c>
      <c r="B250" s="48" t="s">
        <v>26048</v>
      </c>
      <c r="C250" s="48" t="s">
        <v>32</v>
      </c>
      <c r="D250" s="50">
        <v>330.32</v>
      </c>
    </row>
    <row r="251" spans="1:4" ht="13.5">
      <c r="A251" s="49">
        <v>103129</v>
      </c>
      <c r="B251" s="48" t="s">
        <v>26049</v>
      </c>
      <c r="C251" s="48" t="s">
        <v>32</v>
      </c>
      <c r="D251" s="50">
        <v>409.84</v>
      </c>
    </row>
    <row r="252" spans="1:4" ht="13.5">
      <c r="A252" s="49">
        <v>103130</v>
      </c>
      <c r="B252" s="48" t="s">
        <v>26050</v>
      </c>
      <c r="C252" s="48" t="s">
        <v>32</v>
      </c>
      <c r="D252" s="50">
        <v>437.45</v>
      </c>
    </row>
    <row r="253" spans="1:4" ht="13.5">
      <c r="A253" s="49">
        <v>103131</v>
      </c>
      <c r="B253" s="48" t="s">
        <v>26051</v>
      </c>
      <c r="C253" s="48" t="s">
        <v>32</v>
      </c>
      <c r="D253" s="50">
        <v>492.69</v>
      </c>
    </row>
    <row r="254" spans="1:4" ht="13.5">
      <c r="A254" s="49">
        <v>103132</v>
      </c>
      <c r="B254" s="48" t="s">
        <v>26052</v>
      </c>
      <c r="C254" s="48" t="s">
        <v>32</v>
      </c>
      <c r="D254" s="50">
        <v>599.82000000000005</v>
      </c>
    </row>
    <row r="255" spans="1:4" ht="13.5">
      <c r="A255" s="49">
        <v>103133</v>
      </c>
      <c r="B255" s="48" t="s">
        <v>26053</v>
      </c>
      <c r="C255" s="48" t="s">
        <v>32</v>
      </c>
      <c r="D255" s="50">
        <v>655.05999999999995</v>
      </c>
    </row>
    <row r="256" spans="1:4" ht="13.5">
      <c r="A256" s="49">
        <v>103134</v>
      </c>
      <c r="B256" s="48" t="s">
        <v>26054</v>
      </c>
      <c r="C256" s="48" t="s">
        <v>32</v>
      </c>
      <c r="D256" s="50">
        <v>762.2</v>
      </c>
    </row>
    <row r="257" spans="1:4" ht="13.5">
      <c r="A257" s="49">
        <v>103135</v>
      </c>
      <c r="B257" s="48" t="s">
        <v>26055</v>
      </c>
      <c r="C257" s="48" t="s">
        <v>32</v>
      </c>
      <c r="D257" s="50">
        <v>817.43</v>
      </c>
    </row>
    <row r="258" spans="1:4" ht="13.5">
      <c r="A258" s="49">
        <v>103136</v>
      </c>
      <c r="B258" s="48" t="s">
        <v>26056</v>
      </c>
      <c r="C258" s="48" t="s">
        <v>32</v>
      </c>
      <c r="D258" s="50">
        <v>979.8</v>
      </c>
    </row>
    <row r="259" spans="1:4" ht="13.5">
      <c r="A259" s="49">
        <v>103137</v>
      </c>
      <c r="B259" s="48" t="s">
        <v>26057</v>
      </c>
      <c r="C259" s="48" t="s">
        <v>32</v>
      </c>
      <c r="D259" s="50">
        <v>25.94</v>
      </c>
    </row>
    <row r="260" spans="1:4" ht="13.5">
      <c r="A260" s="49">
        <v>103138</v>
      </c>
      <c r="B260" s="48" t="s">
        <v>26058</v>
      </c>
      <c r="C260" s="48" t="s">
        <v>32</v>
      </c>
      <c r="D260" s="50">
        <v>29.61</v>
      </c>
    </row>
    <row r="261" spans="1:4" ht="13.5">
      <c r="A261" s="49">
        <v>103139</v>
      </c>
      <c r="B261" s="48" t="s">
        <v>26059</v>
      </c>
      <c r="C261" s="48" t="s">
        <v>32</v>
      </c>
      <c r="D261" s="50">
        <v>38.83</v>
      </c>
    </row>
    <row r="262" spans="1:4" ht="13.5">
      <c r="A262" s="49">
        <v>103140</v>
      </c>
      <c r="B262" s="48" t="s">
        <v>26060</v>
      </c>
      <c r="C262" s="48" t="s">
        <v>32</v>
      </c>
      <c r="D262" s="50">
        <v>48.02</v>
      </c>
    </row>
    <row r="263" spans="1:4" ht="13.5">
      <c r="A263" s="49">
        <v>103141</v>
      </c>
      <c r="B263" s="48" t="s">
        <v>26061</v>
      </c>
      <c r="C263" s="48" t="s">
        <v>32</v>
      </c>
      <c r="D263" s="50">
        <v>74.540000000000006</v>
      </c>
    </row>
    <row r="264" spans="1:4" ht="13.5">
      <c r="A264" s="49">
        <v>103142</v>
      </c>
      <c r="B264" s="48" t="s">
        <v>26062</v>
      </c>
      <c r="C264" s="48" t="s">
        <v>32</v>
      </c>
      <c r="D264" s="50">
        <v>83.73</v>
      </c>
    </row>
    <row r="265" spans="1:4" ht="13.5">
      <c r="A265" s="49">
        <v>103143</v>
      </c>
      <c r="B265" s="48" t="s">
        <v>26063</v>
      </c>
      <c r="C265" s="48" t="s">
        <v>32</v>
      </c>
      <c r="D265" s="50">
        <v>110.24</v>
      </c>
    </row>
    <row r="266" spans="1:4" ht="13.5">
      <c r="A266" s="49">
        <v>103144</v>
      </c>
      <c r="B266" s="48" t="s">
        <v>26064</v>
      </c>
      <c r="C266" s="48" t="s">
        <v>32</v>
      </c>
      <c r="D266" s="50">
        <v>119.44</v>
      </c>
    </row>
    <row r="267" spans="1:4" ht="13.5">
      <c r="A267" s="49">
        <v>103145</v>
      </c>
      <c r="B267" s="48" t="s">
        <v>26065</v>
      </c>
      <c r="C267" s="48" t="s">
        <v>32</v>
      </c>
      <c r="D267" s="50">
        <v>145.97</v>
      </c>
    </row>
    <row r="268" spans="1:4" ht="13.5">
      <c r="A268" s="49">
        <v>103146</v>
      </c>
      <c r="B268" s="48" t="s">
        <v>26066</v>
      </c>
      <c r="C268" s="48" t="s">
        <v>32</v>
      </c>
      <c r="D268" s="50">
        <v>155.15</v>
      </c>
    </row>
    <row r="269" spans="1:4" ht="13.5">
      <c r="A269" s="49">
        <v>103147</v>
      </c>
      <c r="B269" s="48" t="s">
        <v>26067</v>
      </c>
      <c r="C269" s="48" t="s">
        <v>32</v>
      </c>
      <c r="D269" s="50">
        <v>173.57</v>
      </c>
    </row>
    <row r="270" spans="1:4" ht="13.5">
      <c r="A270" s="49">
        <v>103148</v>
      </c>
      <c r="B270" s="48" t="s">
        <v>26068</v>
      </c>
      <c r="C270" s="48" t="s">
        <v>32</v>
      </c>
      <c r="D270" s="50">
        <v>209.28</v>
      </c>
    </row>
    <row r="271" spans="1:4" ht="13.5">
      <c r="A271" s="49">
        <v>103149</v>
      </c>
      <c r="B271" s="48" t="s">
        <v>26069</v>
      </c>
      <c r="C271" s="48" t="s">
        <v>32</v>
      </c>
      <c r="D271" s="50">
        <v>227.69</v>
      </c>
    </row>
    <row r="272" spans="1:4" ht="13.5">
      <c r="A272" s="49">
        <v>103150</v>
      </c>
      <c r="B272" s="48" t="s">
        <v>26070</v>
      </c>
      <c r="C272" s="48" t="s">
        <v>32</v>
      </c>
      <c r="D272" s="50">
        <v>263.37</v>
      </c>
    </row>
    <row r="273" spans="1:4" ht="13.5">
      <c r="A273" s="49">
        <v>103151</v>
      </c>
      <c r="B273" s="48" t="s">
        <v>26071</v>
      </c>
      <c r="C273" s="48" t="s">
        <v>32</v>
      </c>
      <c r="D273" s="50">
        <v>281.82</v>
      </c>
    </row>
    <row r="274" spans="1:4" ht="13.5">
      <c r="A274" s="49">
        <v>103152</v>
      </c>
      <c r="B274" s="48" t="s">
        <v>26072</v>
      </c>
      <c r="C274" s="48" t="s">
        <v>32</v>
      </c>
      <c r="D274" s="50">
        <v>335.93</v>
      </c>
    </row>
    <row r="275" spans="1:4" ht="13.5">
      <c r="A275" s="49">
        <v>103372</v>
      </c>
      <c r="B275" s="48" t="s">
        <v>28172</v>
      </c>
      <c r="C275" s="48" t="s">
        <v>6</v>
      </c>
      <c r="D275" s="50">
        <v>5.71</v>
      </c>
    </row>
    <row r="276" spans="1:4" ht="13.5">
      <c r="A276" s="49">
        <v>103373</v>
      </c>
      <c r="B276" s="48" t="s">
        <v>28173</v>
      </c>
      <c r="C276" s="48" t="s">
        <v>6</v>
      </c>
      <c r="D276" s="50">
        <v>11.2</v>
      </c>
    </row>
    <row r="277" spans="1:4" ht="13.5">
      <c r="A277" s="49">
        <v>103376</v>
      </c>
      <c r="B277" s="48" t="s">
        <v>28174</v>
      </c>
      <c r="C277" s="48" t="s">
        <v>6</v>
      </c>
      <c r="D277" s="50">
        <v>133.65</v>
      </c>
    </row>
    <row r="278" spans="1:4" ht="13.5">
      <c r="A278" s="49">
        <v>103377</v>
      </c>
      <c r="B278" s="48" t="s">
        <v>28175</v>
      </c>
      <c r="C278" s="48" t="s">
        <v>6</v>
      </c>
      <c r="D278" s="51">
        <v>1271.56</v>
      </c>
    </row>
    <row r="279" spans="1:4" ht="13.5">
      <c r="A279" s="49">
        <v>103379</v>
      </c>
      <c r="B279" s="48" t="s">
        <v>28176</v>
      </c>
      <c r="C279" s="48" t="s">
        <v>6</v>
      </c>
      <c r="D279" s="50">
        <v>445.4</v>
      </c>
    </row>
    <row r="280" spans="1:4" ht="13.5">
      <c r="A280" s="49">
        <v>103383</v>
      </c>
      <c r="B280" s="48" t="s">
        <v>28177</v>
      </c>
      <c r="C280" s="48" t="s">
        <v>6</v>
      </c>
      <c r="D280" s="51">
        <v>1090.8900000000001</v>
      </c>
    </row>
    <row r="281" spans="1:4" ht="13.5">
      <c r="A281" s="49">
        <v>103385</v>
      </c>
      <c r="B281" s="48" t="s">
        <v>28178</v>
      </c>
      <c r="C281" s="48" t="s">
        <v>6</v>
      </c>
      <c r="D281" s="51">
        <v>1758.5</v>
      </c>
    </row>
    <row r="282" spans="1:4" ht="13.5">
      <c r="A282" s="49">
        <v>103387</v>
      </c>
      <c r="B282" s="48" t="s">
        <v>28179</v>
      </c>
      <c r="C282" s="48" t="s">
        <v>6</v>
      </c>
      <c r="D282" s="51">
        <v>3085.48</v>
      </c>
    </row>
    <row r="283" spans="1:4" ht="13.5">
      <c r="A283" s="49">
        <v>103389</v>
      </c>
      <c r="B283" s="48" t="s">
        <v>28180</v>
      </c>
      <c r="C283" s="48" t="s">
        <v>6</v>
      </c>
      <c r="D283" s="51">
        <v>4588.6899999999996</v>
      </c>
    </row>
    <row r="284" spans="1:4" ht="13.5">
      <c r="A284" s="49">
        <v>103391</v>
      </c>
      <c r="B284" s="48" t="s">
        <v>28181</v>
      </c>
      <c r="C284" s="48" t="s">
        <v>6</v>
      </c>
      <c r="D284" s="51">
        <v>3018.45</v>
      </c>
    </row>
    <row r="285" spans="1:4" ht="13.5">
      <c r="A285" s="49">
        <v>103392</v>
      </c>
      <c r="B285" s="48" t="s">
        <v>28182</v>
      </c>
      <c r="C285" s="48" t="s">
        <v>6</v>
      </c>
      <c r="D285" s="51">
        <v>4937.4399999999996</v>
      </c>
    </row>
    <row r="286" spans="1:4" ht="13.5">
      <c r="A286" s="49">
        <v>103393</v>
      </c>
      <c r="B286" s="48" t="s">
        <v>28183</v>
      </c>
      <c r="C286" s="48" t="s">
        <v>6</v>
      </c>
      <c r="D286" s="51">
        <v>5445.32</v>
      </c>
    </row>
    <row r="287" spans="1:4" ht="13.5">
      <c r="A287" s="49">
        <v>103394</v>
      </c>
      <c r="B287" s="48" t="s">
        <v>28184</v>
      </c>
      <c r="C287" s="48" t="s">
        <v>6</v>
      </c>
      <c r="D287" s="51">
        <v>4030.1</v>
      </c>
    </row>
    <row r="288" spans="1:4" ht="13.5">
      <c r="A288" s="49">
        <v>103395</v>
      </c>
      <c r="B288" s="48" t="s">
        <v>28185</v>
      </c>
      <c r="C288" s="48" t="s">
        <v>6</v>
      </c>
      <c r="D288" s="51">
        <v>1996</v>
      </c>
    </row>
    <row r="289" spans="1:4" ht="13.5">
      <c r="A289" s="49">
        <v>103396</v>
      </c>
      <c r="B289" s="48" t="s">
        <v>28186</v>
      </c>
      <c r="C289" s="48" t="s">
        <v>6</v>
      </c>
      <c r="D289" s="51">
        <v>1341.88</v>
      </c>
    </row>
    <row r="290" spans="1:4" ht="13.5">
      <c r="A290" s="49">
        <v>103397</v>
      </c>
      <c r="B290" s="48" t="s">
        <v>28187</v>
      </c>
      <c r="C290" s="48" t="s">
        <v>32</v>
      </c>
      <c r="D290" s="50">
        <v>3.71</v>
      </c>
    </row>
    <row r="291" spans="1:4" ht="13.5">
      <c r="A291" s="49">
        <v>103398</v>
      </c>
      <c r="B291" s="48" t="s">
        <v>28188</v>
      </c>
      <c r="C291" s="48" t="s">
        <v>32</v>
      </c>
      <c r="D291" s="50">
        <v>5.94</v>
      </c>
    </row>
    <row r="292" spans="1:4" ht="13.5">
      <c r="A292" s="49">
        <v>103399</v>
      </c>
      <c r="B292" s="48" t="s">
        <v>28189</v>
      </c>
      <c r="C292" s="48" t="s">
        <v>32</v>
      </c>
      <c r="D292" s="50">
        <v>11.7</v>
      </c>
    </row>
    <row r="293" spans="1:4" ht="13.5">
      <c r="A293" s="49">
        <v>103400</v>
      </c>
      <c r="B293" s="48" t="s">
        <v>28190</v>
      </c>
      <c r="C293" s="48" t="s">
        <v>32</v>
      </c>
      <c r="D293" s="50">
        <v>16.71</v>
      </c>
    </row>
    <row r="294" spans="1:4" ht="13.5">
      <c r="A294" s="49">
        <v>103401</v>
      </c>
      <c r="B294" s="48" t="s">
        <v>28191</v>
      </c>
      <c r="C294" s="48" t="s">
        <v>32</v>
      </c>
      <c r="D294" s="50">
        <v>20.440000000000001</v>
      </c>
    </row>
    <row r="295" spans="1:4" ht="13.5">
      <c r="A295" s="49">
        <v>103402</v>
      </c>
      <c r="B295" s="48" t="s">
        <v>28192</v>
      </c>
      <c r="C295" s="48" t="s">
        <v>32</v>
      </c>
      <c r="D295" s="50">
        <v>29.74</v>
      </c>
    </row>
    <row r="296" spans="1:4" ht="13.5">
      <c r="A296" s="49">
        <v>103403</v>
      </c>
      <c r="B296" s="48" t="s">
        <v>28193</v>
      </c>
      <c r="C296" s="48" t="s">
        <v>32</v>
      </c>
      <c r="D296" s="50">
        <v>33.450000000000003</v>
      </c>
    </row>
    <row r="297" spans="1:4" ht="13.5">
      <c r="A297" s="49">
        <v>103404</v>
      </c>
      <c r="B297" s="48" t="s">
        <v>28194</v>
      </c>
      <c r="C297" s="48" t="s">
        <v>32</v>
      </c>
      <c r="D297" s="50">
        <v>37.17</v>
      </c>
    </row>
    <row r="298" spans="1:4" ht="13.5">
      <c r="A298" s="49">
        <v>103405</v>
      </c>
      <c r="B298" s="48" t="s">
        <v>28195</v>
      </c>
      <c r="C298" s="48" t="s">
        <v>32</v>
      </c>
      <c r="D298" s="50">
        <v>41.81</v>
      </c>
    </row>
    <row r="299" spans="1:4" ht="13.5">
      <c r="A299" s="49">
        <v>103406</v>
      </c>
      <c r="B299" s="48" t="s">
        <v>28196</v>
      </c>
      <c r="C299" s="48" t="s">
        <v>32</v>
      </c>
      <c r="D299" s="50">
        <v>46.46</v>
      </c>
    </row>
    <row r="300" spans="1:4" ht="13.5">
      <c r="A300" s="49">
        <v>103407</v>
      </c>
      <c r="B300" s="48" t="s">
        <v>28197</v>
      </c>
      <c r="C300" s="48" t="s">
        <v>32</v>
      </c>
      <c r="D300" s="50">
        <v>52.03</v>
      </c>
    </row>
    <row r="301" spans="1:4" ht="13.5">
      <c r="A301" s="49">
        <v>103408</v>
      </c>
      <c r="B301" s="48" t="s">
        <v>28198</v>
      </c>
      <c r="C301" s="48" t="s">
        <v>32</v>
      </c>
      <c r="D301" s="50">
        <v>58.54</v>
      </c>
    </row>
    <row r="302" spans="1:4" ht="13.5">
      <c r="A302" s="49">
        <v>103409</v>
      </c>
      <c r="B302" s="48" t="s">
        <v>28199</v>
      </c>
      <c r="C302" s="48" t="s">
        <v>32</v>
      </c>
      <c r="D302" s="50">
        <v>65.98</v>
      </c>
    </row>
    <row r="303" spans="1:4" ht="13.5">
      <c r="A303" s="49">
        <v>103410</v>
      </c>
      <c r="B303" s="48" t="s">
        <v>28200</v>
      </c>
      <c r="C303" s="48" t="s">
        <v>32</v>
      </c>
      <c r="D303" s="50">
        <v>74.34</v>
      </c>
    </row>
    <row r="304" spans="1:4" ht="13.5">
      <c r="A304" s="49">
        <v>103411</v>
      </c>
      <c r="B304" s="48" t="s">
        <v>28201</v>
      </c>
      <c r="C304" s="48" t="s">
        <v>32</v>
      </c>
      <c r="D304" s="50">
        <v>7.43</v>
      </c>
    </row>
    <row r="305" spans="1:4" ht="13.5">
      <c r="A305" s="49">
        <v>103412</v>
      </c>
      <c r="B305" s="48" t="s">
        <v>28202</v>
      </c>
      <c r="C305" s="48" t="s">
        <v>32</v>
      </c>
      <c r="D305" s="50">
        <v>11.89</v>
      </c>
    </row>
    <row r="306" spans="1:4" ht="13.5">
      <c r="A306" s="49">
        <v>103413</v>
      </c>
      <c r="B306" s="48" t="s">
        <v>28203</v>
      </c>
      <c r="C306" s="48" t="s">
        <v>32</v>
      </c>
      <c r="D306" s="50">
        <v>23.41</v>
      </c>
    </row>
    <row r="307" spans="1:4" ht="13.5">
      <c r="A307" s="49">
        <v>103414</v>
      </c>
      <c r="B307" s="48" t="s">
        <v>28204</v>
      </c>
      <c r="C307" s="48" t="s">
        <v>32</v>
      </c>
      <c r="D307" s="50">
        <v>33.450000000000003</v>
      </c>
    </row>
    <row r="308" spans="1:4" ht="13.5">
      <c r="A308" s="49">
        <v>103415</v>
      </c>
      <c r="B308" s="48" t="s">
        <v>28205</v>
      </c>
      <c r="C308" s="48" t="s">
        <v>32</v>
      </c>
      <c r="D308" s="50">
        <v>40.89</v>
      </c>
    </row>
    <row r="309" spans="1:4" ht="13.5">
      <c r="A309" s="49">
        <v>103416</v>
      </c>
      <c r="B309" s="48" t="s">
        <v>28206</v>
      </c>
      <c r="C309" s="48" t="s">
        <v>32</v>
      </c>
      <c r="D309" s="50">
        <v>59.48</v>
      </c>
    </row>
    <row r="310" spans="1:4" ht="13.5">
      <c r="A310" s="49">
        <v>103417</v>
      </c>
      <c r="B310" s="48" t="s">
        <v>28207</v>
      </c>
      <c r="C310" s="48" t="s">
        <v>32</v>
      </c>
      <c r="D310" s="50">
        <v>66.91</v>
      </c>
    </row>
    <row r="311" spans="1:4" ht="13.5">
      <c r="A311" s="49">
        <v>103418</v>
      </c>
      <c r="B311" s="48" t="s">
        <v>28208</v>
      </c>
      <c r="C311" s="48" t="s">
        <v>32</v>
      </c>
      <c r="D311" s="50">
        <v>74.34</v>
      </c>
    </row>
    <row r="312" spans="1:4" ht="13.5">
      <c r="A312" s="49">
        <v>103419</v>
      </c>
      <c r="B312" s="48" t="s">
        <v>28209</v>
      </c>
      <c r="C312" s="48" t="s">
        <v>32</v>
      </c>
      <c r="D312" s="50">
        <v>83.64</v>
      </c>
    </row>
    <row r="313" spans="1:4" ht="13.5">
      <c r="A313" s="49">
        <v>103420</v>
      </c>
      <c r="B313" s="48" t="s">
        <v>28210</v>
      </c>
      <c r="C313" s="48" t="s">
        <v>32</v>
      </c>
      <c r="D313" s="50">
        <v>92.93</v>
      </c>
    </row>
    <row r="314" spans="1:4" ht="13.5">
      <c r="A314" s="49">
        <v>103421</v>
      </c>
      <c r="B314" s="48" t="s">
        <v>28211</v>
      </c>
      <c r="C314" s="48" t="s">
        <v>32</v>
      </c>
      <c r="D314" s="50">
        <v>104.08</v>
      </c>
    </row>
    <row r="315" spans="1:4" ht="13.5">
      <c r="A315" s="49">
        <v>103422</v>
      </c>
      <c r="B315" s="48" t="s">
        <v>28212</v>
      </c>
      <c r="C315" s="48" t="s">
        <v>32</v>
      </c>
      <c r="D315" s="50">
        <v>117.1</v>
      </c>
    </row>
    <row r="316" spans="1:4" ht="13.5">
      <c r="A316" s="49">
        <v>103423</v>
      </c>
      <c r="B316" s="48" t="s">
        <v>28213</v>
      </c>
      <c r="C316" s="48" t="s">
        <v>32</v>
      </c>
      <c r="D316" s="50">
        <v>131.97</v>
      </c>
    </row>
    <row r="317" spans="1:4" ht="13.5">
      <c r="A317" s="49">
        <v>103424</v>
      </c>
      <c r="B317" s="48" t="s">
        <v>28214</v>
      </c>
      <c r="C317" s="48" t="s">
        <v>32</v>
      </c>
      <c r="D317" s="50">
        <v>148.69</v>
      </c>
    </row>
    <row r="318" spans="1:4" ht="13.5">
      <c r="A318" s="49">
        <v>103425</v>
      </c>
      <c r="B318" s="48" t="s">
        <v>28215</v>
      </c>
      <c r="C318" s="48" t="s">
        <v>32</v>
      </c>
      <c r="D318" s="50">
        <v>16.170000000000002</v>
      </c>
    </row>
    <row r="319" spans="1:4" ht="13.5">
      <c r="A319" s="49">
        <v>103426</v>
      </c>
      <c r="B319" s="48" t="s">
        <v>28216</v>
      </c>
      <c r="C319" s="48" t="s">
        <v>32</v>
      </c>
      <c r="D319" s="50">
        <v>19.37</v>
      </c>
    </row>
    <row r="320" spans="1:4" ht="13.5">
      <c r="A320" s="49">
        <v>103427</v>
      </c>
      <c r="B320" s="48" t="s">
        <v>28217</v>
      </c>
      <c r="C320" s="48" t="s">
        <v>32</v>
      </c>
      <c r="D320" s="50">
        <v>38.82</v>
      </c>
    </row>
    <row r="321" spans="1:4" ht="13.5">
      <c r="A321" s="49">
        <v>103428</v>
      </c>
      <c r="B321" s="48" t="s">
        <v>28218</v>
      </c>
      <c r="C321" s="48" t="s">
        <v>32</v>
      </c>
      <c r="D321" s="50">
        <v>260.14999999999998</v>
      </c>
    </row>
    <row r="322" spans="1:4" ht="13.5">
      <c r="A322" s="49">
        <v>103429</v>
      </c>
      <c r="B322" s="48" t="s">
        <v>28219</v>
      </c>
      <c r="C322" s="48" t="s">
        <v>32</v>
      </c>
      <c r="D322" s="51">
        <v>2894.11</v>
      </c>
    </row>
    <row r="323" spans="1:4" ht="13.5">
      <c r="A323" s="49">
        <v>103430</v>
      </c>
      <c r="B323" s="48" t="s">
        <v>28220</v>
      </c>
      <c r="C323" s="48" t="s">
        <v>32</v>
      </c>
      <c r="D323" s="50">
        <v>34.799999999999997</v>
      </c>
    </row>
    <row r="324" spans="1:4" ht="13.5">
      <c r="A324" s="49">
        <v>103431</v>
      </c>
      <c r="B324" s="48" t="s">
        <v>28221</v>
      </c>
      <c r="C324" s="48" t="s">
        <v>32</v>
      </c>
      <c r="D324" s="50">
        <v>60.97</v>
      </c>
    </row>
    <row r="325" spans="1:4" ht="13.5">
      <c r="A325" s="49">
        <v>103432</v>
      </c>
      <c r="B325" s="48" t="s">
        <v>28222</v>
      </c>
      <c r="C325" s="48" t="s">
        <v>32</v>
      </c>
      <c r="D325" s="51">
        <v>1643.09</v>
      </c>
    </row>
    <row r="326" spans="1:4" ht="13.5">
      <c r="A326" s="49">
        <v>103433</v>
      </c>
      <c r="B326" s="48" t="s">
        <v>28223</v>
      </c>
      <c r="C326" s="48" t="s">
        <v>32</v>
      </c>
      <c r="D326" s="50">
        <v>34.49</v>
      </c>
    </row>
    <row r="327" spans="1:4" ht="13.5">
      <c r="A327" s="49">
        <v>103434</v>
      </c>
      <c r="B327" s="48" t="s">
        <v>28224</v>
      </c>
      <c r="C327" s="48" t="s">
        <v>32</v>
      </c>
      <c r="D327" s="50">
        <v>47.7</v>
      </c>
    </row>
    <row r="328" spans="1:4" ht="13.5">
      <c r="A328" s="49">
        <v>103435</v>
      </c>
      <c r="B328" s="48" t="s">
        <v>28225</v>
      </c>
      <c r="C328" s="48" t="s">
        <v>32</v>
      </c>
      <c r="D328" s="50">
        <v>88.72</v>
      </c>
    </row>
    <row r="329" spans="1:4" ht="13.5">
      <c r="A329" s="49">
        <v>103436</v>
      </c>
      <c r="B329" s="48" t="s">
        <v>28226</v>
      </c>
      <c r="C329" s="48" t="s">
        <v>32</v>
      </c>
      <c r="D329" s="51">
        <v>2327.4299999999998</v>
      </c>
    </row>
    <row r="330" spans="1:4" ht="13.5">
      <c r="A330" s="49">
        <v>103437</v>
      </c>
      <c r="B330" s="48" t="s">
        <v>28227</v>
      </c>
      <c r="C330" s="48" t="s">
        <v>32</v>
      </c>
      <c r="D330" s="50">
        <v>184.1</v>
      </c>
    </row>
    <row r="331" spans="1:4" ht="13.5">
      <c r="A331" s="49">
        <v>103438</v>
      </c>
      <c r="B331" s="48" t="s">
        <v>28228</v>
      </c>
      <c r="C331" s="48" t="s">
        <v>32</v>
      </c>
      <c r="D331" s="50">
        <v>184.1</v>
      </c>
    </row>
    <row r="332" spans="1:4" ht="13.5">
      <c r="A332" s="49">
        <v>103439</v>
      </c>
      <c r="B332" s="48" t="s">
        <v>28229</v>
      </c>
      <c r="C332" s="48" t="s">
        <v>32</v>
      </c>
      <c r="D332" s="50">
        <v>216.95</v>
      </c>
    </row>
    <row r="333" spans="1:4" ht="13.5">
      <c r="A333" s="49">
        <v>103440</v>
      </c>
      <c r="B333" s="48" t="s">
        <v>28230</v>
      </c>
      <c r="C333" s="48" t="s">
        <v>32</v>
      </c>
      <c r="D333" s="50">
        <v>414.54</v>
      </c>
    </row>
    <row r="334" spans="1:4" ht="13.5">
      <c r="A334" s="49">
        <v>103441</v>
      </c>
      <c r="B334" s="48" t="s">
        <v>28231</v>
      </c>
      <c r="C334" s="48" t="s">
        <v>32</v>
      </c>
      <c r="D334" s="50">
        <v>419.86</v>
      </c>
    </row>
    <row r="335" spans="1:4" ht="13.5">
      <c r="A335" s="49">
        <v>103442</v>
      </c>
      <c r="B335" s="48" t="s">
        <v>28232</v>
      </c>
      <c r="C335" s="48" t="s">
        <v>32</v>
      </c>
      <c r="D335" s="50">
        <v>548.28</v>
      </c>
    </row>
    <row r="336" spans="1:4" ht="13.5">
      <c r="A336" s="49">
        <v>93206</v>
      </c>
      <c r="B336" s="48" t="s">
        <v>2707</v>
      </c>
      <c r="C336" s="48" t="s">
        <v>26764</v>
      </c>
      <c r="D336" s="51">
        <v>1063.28</v>
      </c>
    </row>
    <row r="337" spans="1:4" ht="13.5">
      <c r="A337" s="49">
        <v>93207</v>
      </c>
      <c r="B337" s="48" t="s">
        <v>2708</v>
      </c>
      <c r="C337" s="48" t="s">
        <v>26764</v>
      </c>
      <c r="D337" s="51">
        <v>1115.1400000000001</v>
      </c>
    </row>
    <row r="338" spans="1:4" ht="13.5">
      <c r="A338" s="49">
        <v>93208</v>
      </c>
      <c r="B338" s="48" t="s">
        <v>2709</v>
      </c>
      <c r="C338" s="48" t="s">
        <v>26764</v>
      </c>
      <c r="D338" s="50">
        <v>916.23</v>
      </c>
    </row>
    <row r="339" spans="1:4" ht="13.5">
      <c r="A339" s="49">
        <v>93209</v>
      </c>
      <c r="B339" s="48" t="s">
        <v>2710</v>
      </c>
      <c r="C339" s="48" t="s">
        <v>26764</v>
      </c>
      <c r="D339" s="50">
        <v>893.56</v>
      </c>
    </row>
    <row r="340" spans="1:4" ht="13.5">
      <c r="A340" s="49">
        <v>93210</v>
      </c>
      <c r="B340" s="48" t="s">
        <v>2711</v>
      </c>
      <c r="C340" s="48" t="s">
        <v>26764</v>
      </c>
      <c r="D340" s="50">
        <v>584.28</v>
      </c>
    </row>
    <row r="341" spans="1:4" ht="13.5">
      <c r="A341" s="49">
        <v>93211</v>
      </c>
      <c r="B341" s="48" t="s">
        <v>2712</v>
      </c>
      <c r="C341" s="48" t="s">
        <v>26764</v>
      </c>
      <c r="D341" s="50">
        <v>557.92999999999995</v>
      </c>
    </row>
    <row r="342" spans="1:4" ht="13.5">
      <c r="A342" s="49">
        <v>93212</v>
      </c>
      <c r="B342" s="48" t="s">
        <v>2713</v>
      </c>
      <c r="C342" s="48" t="s">
        <v>26764</v>
      </c>
      <c r="D342" s="50">
        <v>968.28</v>
      </c>
    </row>
    <row r="343" spans="1:4" ht="13.5">
      <c r="A343" s="49">
        <v>93213</v>
      </c>
      <c r="B343" s="48" t="s">
        <v>2714</v>
      </c>
      <c r="C343" s="48" t="s">
        <v>26764</v>
      </c>
      <c r="D343" s="50">
        <v>936.14</v>
      </c>
    </row>
    <row r="344" spans="1:4" ht="13.5">
      <c r="A344" s="49">
        <v>93214</v>
      </c>
      <c r="B344" s="48" t="s">
        <v>2715</v>
      </c>
      <c r="C344" s="48" t="s">
        <v>32</v>
      </c>
      <c r="D344" s="51">
        <v>6091.74</v>
      </c>
    </row>
    <row r="345" spans="1:4" ht="13.5">
      <c r="A345" s="49">
        <v>93243</v>
      </c>
      <c r="B345" s="48" t="s">
        <v>2716</v>
      </c>
      <c r="C345" s="48" t="s">
        <v>32</v>
      </c>
      <c r="D345" s="51">
        <v>9454.89</v>
      </c>
    </row>
    <row r="346" spans="1:4" ht="13.5">
      <c r="A346" s="49">
        <v>93582</v>
      </c>
      <c r="B346" s="48" t="s">
        <v>2717</v>
      </c>
      <c r="C346" s="48" t="s">
        <v>26764</v>
      </c>
      <c r="D346" s="50">
        <v>282.68</v>
      </c>
    </row>
    <row r="347" spans="1:4" ht="13.5">
      <c r="A347" s="49">
        <v>93583</v>
      </c>
      <c r="B347" s="48" t="s">
        <v>2718</v>
      </c>
      <c r="C347" s="48" t="s">
        <v>26764</v>
      </c>
      <c r="D347" s="50">
        <v>454.22</v>
      </c>
    </row>
    <row r="348" spans="1:4" ht="13.5">
      <c r="A348" s="49">
        <v>93584</v>
      </c>
      <c r="B348" s="48" t="s">
        <v>2719</v>
      </c>
      <c r="C348" s="48" t="s">
        <v>26764</v>
      </c>
      <c r="D348" s="50">
        <v>932.78</v>
      </c>
    </row>
    <row r="349" spans="1:4" ht="13.5">
      <c r="A349" s="49">
        <v>93585</v>
      </c>
      <c r="B349" s="48" t="s">
        <v>2720</v>
      </c>
      <c r="C349" s="48" t="s">
        <v>26764</v>
      </c>
      <c r="D349" s="51">
        <v>1198.6199999999999</v>
      </c>
    </row>
    <row r="350" spans="1:4" ht="13.5">
      <c r="A350" s="49">
        <v>98441</v>
      </c>
      <c r="B350" s="48" t="s">
        <v>2721</v>
      </c>
      <c r="C350" s="48" t="s">
        <v>26764</v>
      </c>
      <c r="D350" s="50">
        <v>153.44999999999999</v>
      </c>
    </row>
    <row r="351" spans="1:4" ht="13.5">
      <c r="A351" s="49">
        <v>98442</v>
      </c>
      <c r="B351" s="48" t="s">
        <v>2722</v>
      </c>
      <c r="C351" s="48" t="s">
        <v>26764</v>
      </c>
      <c r="D351" s="50">
        <v>156.56</v>
      </c>
    </row>
    <row r="352" spans="1:4" ht="13.5">
      <c r="A352" s="49">
        <v>98443</v>
      </c>
      <c r="B352" s="48" t="s">
        <v>2723</v>
      </c>
      <c r="C352" s="48" t="s">
        <v>26764</v>
      </c>
      <c r="D352" s="50">
        <v>135.18</v>
      </c>
    </row>
    <row r="353" spans="1:4" ht="13.5">
      <c r="A353" s="49">
        <v>98444</v>
      </c>
      <c r="B353" s="48" t="s">
        <v>2724</v>
      </c>
      <c r="C353" s="48" t="s">
        <v>26764</v>
      </c>
      <c r="D353" s="50">
        <v>137.4</v>
      </c>
    </row>
    <row r="354" spans="1:4" ht="13.5">
      <c r="A354" s="49">
        <v>98445</v>
      </c>
      <c r="B354" s="48" t="s">
        <v>2725</v>
      </c>
      <c r="C354" s="48" t="s">
        <v>26764</v>
      </c>
      <c r="D354" s="50">
        <v>184.2</v>
      </c>
    </row>
    <row r="355" spans="1:4" ht="13.5">
      <c r="A355" s="49">
        <v>98446</v>
      </c>
      <c r="B355" s="48" t="s">
        <v>2726</v>
      </c>
      <c r="C355" s="48" t="s">
        <v>26764</v>
      </c>
      <c r="D355" s="50">
        <v>235.19</v>
      </c>
    </row>
    <row r="356" spans="1:4" ht="13.5">
      <c r="A356" s="49">
        <v>98447</v>
      </c>
      <c r="B356" s="48" t="s">
        <v>2727</v>
      </c>
      <c r="C356" s="48" t="s">
        <v>26764</v>
      </c>
      <c r="D356" s="50">
        <v>158.72999999999999</v>
      </c>
    </row>
    <row r="357" spans="1:4" ht="13.5">
      <c r="A357" s="49">
        <v>98448</v>
      </c>
      <c r="B357" s="48" t="s">
        <v>2728</v>
      </c>
      <c r="C357" s="48" t="s">
        <v>26764</v>
      </c>
      <c r="D357" s="50">
        <v>198.56</v>
      </c>
    </row>
    <row r="358" spans="1:4" ht="13.5">
      <c r="A358" s="49">
        <v>98449</v>
      </c>
      <c r="B358" s="48" t="s">
        <v>2729</v>
      </c>
      <c r="C358" s="48" t="s">
        <v>26764</v>
      </c>
      <c r="D358" s="50">
        <v>199.37</v>
      </c>
    </row>
    <row r="359" spans="1:4" ht="13.5">
      <c r="A359" s="49">
        <v>98450</v>
      </c>
      <c r="B359" s="48" t="s">
        <v>2730</v>
      </c>
      <c r="C359" s="48" t="s">
        <v>26764</v>
      </c>
      <c r="D359" s="50">
        <v>203.93</v>
      </c>
    </row>
    <row r="360" spans="1:4" ht="13.5">
      <c r="A360" s="49">
        <v>98451</v>
      </c>
      <c r="B360" s="48" t="s">
        <v>2731</v>
      </c>
      <c r="C360" s="48" t="s">
        <v>26764</v>
      </c>
      <c r="D360" s="50">
        <v>178.41</v>
      </c>
    </row>
    <row r="361" spans="1:4" ht="13.5">
      <c r="A361" s="49">
        <v>98452</v>
      </c>
      <c r="B361" s="48" t="s">
        <v>2732</v>
      </c>
      <c r="C361" s="48" t="s">
        <v>26764</v>
      </c>
      <c r="D361" s="50">
        <v>181.17</v>
      </c>
    </row>
    <row r="362" spans="1:4" ht="13.5">
      <c r="A362" s="49">
        <v>98453</v>
      </c>
      <c r="B362" s="48" t="s">
        <v>2733</v>
      </c>
      <c r="C362" s="48" t="s">
        <v>26764</v>
      </c>
      <c r="D362" s="50">
        <v>235.64</v>
      </c>
    </row>
    <row r="363" spans="1:4" ht="13.5">
      <c r="A363" s="49">
        <v>98454</v>
      </c>
      <c r="B363" s="48" t="s">
        <v>2734</v>
      </c>
      <c r="C363" s="48" t="s">
        <v>26764</v>
      </c>
      <c r="D363" s="50">
        <v>299.88</v>
      </c>
    </row>
    <row r="364" spans="1:4" ht="13.5">
      <c r="A364" s="49">
        <v>98455</v>
      </c>
      <c r="B364" s="48" t="s">
        <v>2735</v>
      </c>
      <c r="C364" s="48" t="s">
        <v>26764</v>
      </c>
      <c r="D364" s="50">
        <v>207.47</v>
      </c>
    </row>
    <row r="365" spans="1:4" ht="13.5">
      <c r="A365" s="49">
        <v>98456</v>
      </c>
      <c r="B365" s="48" t="s">
        <v>2736</v>
      </c>
      <c r="C365" s="48" t="s">
        <v>26764</v>
      </c>
      <c r="D365" s="50">
        <v>259.66000000000003</v>
      </c>
    </row>
    <row r="366" spans="1:4" ht="13.5">
      <c r="A366" s="49">
        <v>98458</v>
      </c>
      <c r="B366" s="48" t="s">
        <v>2737</v>
      </c>
      <c r="C366" s="48" t="s">
        <v>26764</v>
      </c>
      <c r="D366" s="50">
        <v>148</v>
      </c>
    </row>
    <row r="367" spans="1:4" ht="13.5">
      <c r="A367" s="49">
        <v>98459</v>
      </c>
      <c r="B367" s="48" t="s">
        <v>2738</v>
      </c>
      <c r="C367" s="48" t="s">
        <v>26764</v>
      </c>
      <c r="D367" s="50">
        <v>126.94</v>
      </c>
    </row>
    <row r="368" spans="1:4" ht="13.5">
      <c r="A368" s="49">
        <v>98460</v>
      </c>
      <c r="B368" s="48" t="s">
        <v>2739</v>
      </c>
      <c r="C368" s="48" t="s">
        <v>26764</v>
      </c>
      <c r="D368" s="50">
        <v>185.72</v>
      </c>
    </row>
    <row r="369" spans="1:4" ht="13.5">
      <c r="A369" s="49">
        <v>98461</v>
      </c>
      <c r="B369" s="48" t="s">
        <v>19830</v>
      </c>
      <c r="C369" s="48" t="s">
        <v>32</v>
      </c>
      <c r="D369" s="51">
        <v>5236.32</v>
      </c>
    </row>
    <row r="370" spans="1:4" ht="13.5">
      <c r="A370" s="49">
        <v>98462</v>
      </c>
      <c r="B370" s="48" t="s">
        <v>19831</v>
      </c>
      <c r="C370" s="48" t="s">
        <v>32</v>
      </c>
      <c r="D370" s="51">
        <v>7972.97</v>
      </c>
    </row>
    <row r="371" spans="1:4" ht="13.5">
      <c r="A371" s="49">
        <v>5631</v>
      </c>
      <c r="B371" s="48" t="s">
        <v>2740</v>
      </c>
      <c r="C371" s="48" t="s">
        <v>2741</v>
      </c>
      <c r="D371" s="50">
        <v>198.05</v>
      </c>
    </row>
    <row r="372" spans="1:4" ht="13.5">
      <c r="A372" s="49">
        <v>5678</v>
      </c>
      <c r="B372" s="48" t="s">
        <v>2742</v>
      </c>
      <c r="C372" s="48" t="s">
        <v>2741</v>
      </c>
      <c r="D372" s="50">
        <v>132.91999999999999</v>
      </c>
    </row>
    <row r="373" spans="1:4" ht="13.5">
      <c r="A373" s="49">
        <v>5680</v>
      </c>
      <c r="B373" s="48" t="s">
        <v>2743</v>
      </c>
      <c r="C373" s="48" t="s">
        <v>2741</v>
      </c>
      <c r="D373" s="50">
        <v>121.86</v>
      </c>
    </row>
    <row r="374" spans="1:4" ht="13.5">
      <c r="A374" s="49">
        <v>5684</v>
      </c>
      <c r="B374" s="48" t="s">
        <v>2744</v>
      </c>
      <c r="C374" s="48" t="s">
        <v>2741</v>
      </c>
      <c r="D374" s="50">
        <v>139.76</v>
      </c>
    </row>
    <row r="375" spans="1:4" ht="13.5">
      <c r="A375" s="49">
        <v>5689</v>
      </c>
      <c r="B375" s="48" t="s">
        <v>2745</v>
      </c>
      <c r="C375" s="48" t="s">
        <v>2741</v>
      </c>
      <c r="D375" s="50">
        <v>7.44</v>
      </c>
    </row>
    <row r="376" spans="1:4" ht="13.5">
      <c r="A376" s="49">
        <v>5795</v>
      </c>
      <c r="B376" s="48" t="s">
        <v>2746</v>
      </c>
      <c r="C376" s="48" t="s">
        <v>2741</v>
      </c>
      <c r="D376" s="50">
        <v>18.920000000000002</v>
      </c>
    </row>
    <row r="377" spans="1:4" ht="13.5">
      <c r="A377" s="49">
        <v>5811</v>
      </c>
      <c r="B377" s="48" t="s">
        <v>2747</v>
      </c>
      <c r="C377" s="48" t="s">
        <v>2741</v>
      </c>
      <c r="D377" s="50">
        <v>178.24</v>
      </c>
    </row>
    <row r="378" spans="1:4" ht="13.5">
      <c r="A378" s="49">
        <v>5823</v>
      </c>
      <c r="B378" s="48" t="s">
        <v>2748</v>
      </c>
      <c r="C378" s="48" t="s">
        <v>2741</v>
      </c>
      <c r="D378" s="50">
        <v>193.13</v>
      </c>
    </row>
    <row r="379" spans="1:4" ht="13.5">
      <c r="A379" s="49">
        <v>5824</v>
      </c>
      <c r="B379" s="48" t="s">
        <v>2749</v>
      </c>
      <c r="C379" s="48" t="s">
        <v>2741</v>
      </c>
      <c r="D379" s="50">
        <v>168.04</v>
      </c>
    </row>
    <row r="380" spans="1:4" ht="13.5">
      <c r="A380" s="49">
        <v>5835</v>
      </c>
      <c r="B380" s="48" t="s">
        <v>2750</v>
      </c>
      <c r="C380" s="48" t="s">
        <v>2741</v>
      </c>
      <c r="D380" s="50">
        <v>412.14</v>
      </c>
    </row>
    <row r="381" spans="1:4" ht="13.5">
      <c r="A381" s="49">
        <v>5839</v>
      </c>
      <c r="B381" s="48" t="s">
        <v>2751</v>
      </c>
      <c r="C381" s="48" t="s">
        <v>2741</v>
      </c>
      <c r="D381" s="50">
        <v>11.18</v>
      </c>
    </row>
    <row r="382" spans="1:4" ht="13.5">
      <c r="A382" s="49">
        <v>5843</v>
      </c>
      <c r="B382" s="48" t="s">
        <v>2752</v>
      </c>
      <c r="C382" s="48" t="s">
        <v>2741</v>
      </c>
      <c r="D382" s="50">
        <v>149.62</v>
      </c>
    </row>
    <row r="383" spans="1:4" ht="13.5">
      <c r="A383" s="49">
        <v>5847</v>
      </c>
      <c r="B383" s="48" t="s">
        <v>2753</v>
      </c>
      <c r="C383" s="48" t="s">
        <v>2741</v>
      </c>
      <c r="D383" s="50">
        <v>224.27</v>
      </c>
    </row>
    <row r="384" spans="1:4" ht="13.5">
      <c r="A384" s="49">
        <v>5851</v>
      </c>
      <c r="B384" s="48" t="s">
        <v>2754</v>
      </c>
      <c r="C384" s="48" t="s">
        <v>2741</v>
      </c>
      <c r="D384" s="50">
        <v>214.22</v>
      </c>
    </row>
    <row r="385" spans="1:4" ht="13.5">
      <c r="A385" s="49">
        <v>5855</v>
      </c>
      <c r="B385" s="48" t="s">
        <v>2755</v>
      </c>
      <c r="C385" s="48" t="s">
        <v>2741</v>
      </c>
      <c r="D385" s="50">
        <v>555.16999999999996</v>
      </c>
    </row>
    <row r="386" spans="1:4" ht="13.5">
      <c r="A386" s="49">
        <v>5863</v>
      </c>
      <c r="B386" s="48" t="s">
        <v>2756</v>
      </c>
      <c r="C386" s="48" t="s">
        <v>2741</v>
      </c>
      <c r="D386" s="50">
        <v>20.62</v>
      </c>
    </row>
    <row r="387" spans="1:4" ht="13.5">
      <c r="A387" s="49">
        <v>5867</v>
      </c>
      <c r="B387" s="48" t="s">
        <v>2757</v>
      </c>
      <c r="C387" s="48" t="s">
        <v>2741</v>
      </c>
      <c r="D387" s="50">
        <v>141.44</v>
      </c>
    </row>
    <row r="388" spans="1:4" ht="13.5">
      <c r="A388" s="49">
        <v>5875</v>
      </c>
      <c r="B388" s="48" t="s">
        <v>2758</v>
      </c>
      <c r="C388" s="48" t="s">
        <v>2741</v>
      </c>
      <c r="D388" s="50">
        <v>122.89</v>
      </c>
    </row>
    <row r="389" spans="1:4" ht="13.5">
      <c r="A389" s="49">
        <v>5879</v>
      </c>
      <c r="B389" s="48" t="s">
        <v>2759</v>
      </c>
      <c r="C389" s="48" t="s">
        <v>2741</v>
      </c>
      <c r="D389" s="50">
        <v>126.22</v>
      </c>
    </row>
    <row r="390" spans="1:4" ht="13.5">
      <c r="A390" s="49">
        <v>5882</v>
      </c>
      <c r="B390" s="48" t="s">
        <v>2760</v>
      </c>
      <c r="C390" s="48" t="s">
        <v>2741</v>
      </c>
      <c r="D390" s="50">
        <v>107.67</v>
      </c>
    </row>
    <row r="391" spans="1:4" ht="13.5">
      <c r="A391" s="49">
        <v>5890</v>
      </c>
      <c r="B391" s="48" t="s">
        <v>2761</v>
      </c>
      <c r="C391" s="48" t="s">
        <v>2741</v>
      </c>
      <c r="D391" s="50">
        <v>167.59</v>
      </c>
    </row>
    <row r="392" spans="1:4" ht="13.5">
      <c r="A392" s="49">
        <v>5894</v>
      </c>
      <c r="B392" s="48" t="s">
        <v>2762</v>
      </c>
      <c r="C392" s="48" t="s">
        <v>2741</v>
      </c>
      <c r="D392" s="50">
        <v>162.58000000000001</v>
      </c>
    </row>
    <row r="393" spans="1:4" ht="13.5">
      <c r="A393" s="49">
        <v>5901</v>
      </c>
      <c r="B393" s="48" t="s">
        <v>2763</v>
      </c>
      <c r="C393" s="48" t="s">
        <v>2741</v>
      </c>
      <c r="D393" s="50">
        <v>257.69</v>
      </c>
    </row>
    <row r="394" spans="1:4" ht="13.5">
      <c r="A394" s="49">
        <v>5909</v>
      </c>
      <c r="B394" s="48" t="s">
        <v>2764</v>
      </c>
      <c r="C394" s="48" t="s">
        <v>2741</v>
      </c>
      <c r="D394" s="50">
        <v>32.82</v>
      </c>
    </row>
    <row r="395" spans="1:4" ht="13.5">
      <c r="A395" s="49">
        <v>5921</v>
      </c>
      <c r="B395" s="48" t="s">
        <v>2765</v>
      </c>
      <c r="C395" s="48" t="s">
        <v>2741</v>
      </c>
      <c r="D395" s="50">
        <v>5.83</v>
      </c>
    </row>
    <row r="396" spans="1:4" ht="13.5">
      <c r="A396" s="49">
        <v>5928</v>
      </c>
      <c r="B396" s="48" t="s">
        <v>2766</v>
      </c>
      <c r="C396" s="48" t="s">
        <v>2741</v>
      </c>
      <c r="D396" s="50">
        <v>218.29</v>
      </c>
    </row>
    <row r="397" spans="1:4" ht="13.5">
      <c r="A397" s="49">
        <v>5932</v>
      </c>
      <c r="B397" s="48" t="s">
        <v>2767</v>
      </c>
      <c r="C397" s="48" t="s">
        <v>2741</v>
      </c>
      <c r="D397" s="50">
        <v>217.89</v>
      </c>
    </row>
    <row r="398" spans="1:4" ht="13.5">
      <c r="A398" s="49">
        <v>5940</v>
      </c>
      <c r="B398" s="48" t="s">
        <v>2768</v>
      </c>
      <c r="C398" s="48" t="s">
        <v>2741</v>
      </c>
      <c r="D398" s="50">
        <v>173.87</v>
      </c>
    </row>
    <row r="399" spans="1:4" ht="13.5">
      <c r="A399" s="49">
        <v>5944</v>
      </c>
      <c r="B399" s="48" t="s">
        <v>2769</v>
      </c>
      <c r="C399" s="48" t="s">
        <v>2741</v>
      </c>
      <c r="D399" s="50">
        <v>209.21</v>
      </c>
    </row>
    <row r="400" spans="1:4" ht="13.5">
      <c r="A400" s="49">
        <v>5953</v>
      </c>
      <c r="B400" s="48" t="s">
        <v>2770</v>
      </c>
      <c r="C400" s="48" t="s">
        <v>2741</v>
      </c>
      <c r="D400" s="50">
        <v>49.5</v>
      </c>
    </row>
    <row r="401" spans="1:4" ht="13.5">
      <c r="A401" s="49">
        <v>6259</v>
      </c>
      <c r="B401" s="48" t="s">
        <v>2771</v>
      </c>
      <c r="C401" s="48" t="s">
        <v>2741</v>
      </c>
      <c r="D401" s="50">
        <v>213.49</v>
      </c>
    </row>
    <row r="402" spans="1:4" ht="13.5">
      <c r="A402" s="49">
        <v>6879</v>
      </c>
      <c r="B402" s="48" t="s">
        <v>2772</v>
      </c>
      <c r="C402" s="48" t="s">
        <v>2741</v>
      </c>
      <c r="D402" s="50">
        <v>184.46</v>
      </c>
    </row>
    <row r="403" spans="1:4" ht="13.5">
      <c r="A403" s="49">
        <v>7030</v>
      </c>
      <c r="B403" s="48" t="s">
        <v>2773</v>
      </c>
      <c r="C403" s="48" t="s">
        <v>2741</v>
      </c>
      <c r="D403" s="50">
        <v>229.88</v>
      </c>
    </row>
    <row r="404" spans="1:4" ht="13.5">
      <c r="A404" s="49">
        <v>7042</v>
      </c>
      <c r="B404" s="48" t="s">
        <v>2774</v>
      </c>
      <c r="C404" s="48" t="s">
        <v>2741</v>
      </c>
      <c r="D404" s="50">
        <v>27.94</v>
      </c>
    </row>
    <row r="405" spans="1:4" ht="13.5">
      <c r="A405" s="49">
        <v>7049</v>
      </c>
      <c r="B405" s="48" t="s">
        <v>2775</v>
      </c>
      <c r="C405" s="48" t="s">
        <v>2741</v>
      </c>
      <c r="D405" s="50">
        <v>193.6</v>
      </c>
    </row>
    <row r="406" spans="1:4" ht="13.5">
      <c r="A406" s="49">
        <v>67826</v>
      </c>
      <c r="B406" s="48" t="s">
        <v>2776</v>
      </c>
      <c r="C406" s="48" t="s">
        <v>2741</v>
      </c>
      <c r="D406" s="50">
        <v>150.47999999999999</v>
      </c>
    </row>
    <row r="407" spans="1:4" ht="13.5">
      <c r="A407" s="49">
        <v>73417</v>
      </c>
      <c r="B407" s="48" t="s">
        <v>2777</v>
      </c>
      <c r="C407" s="48" t="s">
        <v>2741</v>
      </c>
      <c r="D407" s="50">
        <v>162.26</v>
      </c>
    </row>
    <row r="408" spans="1:4" ht="13.5">
      <c r="A408" s="49">
        <v>73436</v>
      </c>
      <c r="B408" s="48" t="s">
        <v>2778</v>
      </c>
      <c r="C408" s="48" t="s">
        <v>2741</v>
      </c>
      <c r="D408" s="50">
        <v>187.75</v>
      </c>
    </row>
    <row r="409" spans="1:4" ht="13.5">
      <c r="A409" s="49">
        <v>73467</v>
      </c>
      <c r="B409" s="48" t="s">
        <v>2779</v>
      </c>
      <c r="C409" s="48" t="s">
        <v>2741</v>
      </c>
      <c r="D409" s="50">
        <v>144.38</v>
      </c>
    </row>
    <row r="410" spans="1:4" ht="13.5">
      <c r="A410" s="49">
        <v>73536</v>
      </c>
      <c r="B410" s="48" t="s">
        <v>2780</v>
      </c>
      <c r="C410" s="48" t="s">
        <v>2741</v>
      </c>
      <c r="D410" s="50">
        <v>23.64</v>
      </c>
    </row>
    <row r="411" spans="1:4" ht="13.5">
      <c r="A411" s="49">
        <v>83362</v>
      </c>
      <c r="B411" s="48" t="s">
        <v>2781</v>
      </c>
      <c r="C411" s="48" t="s">
        <v>2741</v>
      </c>
      <c r="D411" s="50">
        <v>221.25</v>
      </c>
    </row>
    <row r="412" spans="1:4" ht="13.5">
      <c r="A412" s="49">
        <v>83765</v>
      </c>
      <c r="B412" s="48" t="s">
        <v>2782</v>
      </c>
      <c r="C412" s="48" t="s">
        <v>2741</v>
      </c>
      <c r="D412" s="50">
        <v>86.28</v>
      </c>
    </row>
    <row r="413" spans="1:4" ht="13.5">
      <c r="A413" s="49">
        <v>87445</v>
      </c>
      <c r="B413" s="48" t="s">
        <v>2783</v>
      </c>
      <c r="C413" s="48" t="s">
        <v>2741</v>
      </c>
      <c r="D413" s="50">
        <v>4.57</v>
      </c>
    </row>
    <row r="414" spans="1:4" ht="13.5">
      <c r="A414" s="49">
        <v>88386</v>
      </c>
      <c r="B414" s="48" t="s">
        <v>2784</v>
      </c>
      <c r="C414" s="48" t="s">
        <v>2741</v>
      </c>
      <c r="D414" s="50">
        <v>4.9000000000000004</v>
      </c>
    </row>
    <row r="415" spans="1:4" ht="13.5">
      <c r="A415" s="49">
        <v>88393</v>
      </c>
      <c r="B415" s="48" t="s">
        <v>2785</v>
      </c>
      <c r="C415" s="48" t="s">
        <v>2741</v>
      </c>
      <c r="D415" s="50">
        <v>6.8</v>
      </c>
    </row>
    <row r="416" spans="1:4" ht="13.5">
      <c r="A416" s="49">
        <v>88399</v>
      </c>
      <c r="B416" s="48" t="s">
        <v>2786</v>
      </c>
      <c r="C416" s="48" t="s">
        <v>2741</v>
      </c>
      <c r="D416" s="50">
        <v>3.58</v>
      </c>
    </row>
    <row r="417" spans="1:4" ht="13.5">
      <c r="A417" s="49">
        <v>88418</v>
      </c>
      <c r="B417" s="48" t="s">
        <v>2787</v>
      </c>
      <c r="C417" s="48" t="s">
        <v>2741</v>
      </c>
      <c r="D417" s="50">
        <v>13.07</v>
      </c>
    </row>
    <row r="418" spans="1:4" ht="13.5">
      <c r="A418" s="49">
        <v>88433</v>
      </c>
      <c r="B418" s="48" t="s">
        <v>2788</v>
      </c>
      <c r="C418" s="48" t="s">
        <v>2741</v>
      </c>
      <c r="D418" s="50">
        <v>16.989999999999998</v>
      </c>
    </row>
    <row r="419" spans="1:4" ht="13.5">
      <c r="A419" s="49">
        <v>88830</v>
      </c>
      <c r="B419" s="48" t="s">
        <v>2789</v>
      </c>
      <c r="C419" s="48" t="s">
        <v>2741</v>
      </c>
      <c r="D419" s="50">
        <v>1.91</v>
      </c>
    </row>
    <row r="420" spans="1:4" ht="13.5">
      <c r="A420" s="49">
        <v>88843</v>
      </c>
      <c r="B420" s="48" t="s">
        <v>2790</v>
      </c>
      <c r="C420" s="48" t="s">
        <v>2741</v>
      </c>
      <c r="D420" s="50">
        <v>180.92</v>
      </c>
    </row>
    <row r="421" spans="1:4" ht="13.5">
      <c r="A421" s="49">
        <v>88907</v>
      </c>
      <c r="B421" s="48" t="s">
        <v>2791</v>
      </c>
      <c r="C421" s="48" t="s">
        <v>2741</v>
      </c>
      <c r="D421" s="50">
        <v>232.58</v>
      </c>
    </row>
    <row r="422" spans="1:4" ht="13.5">
      <c r="A422" s="49">
        <v>89021</v>
      </c>
      <c r="B422" s="48" t="s">
        <v>2792</v>
      </c>
      <c r="C422" s="48" t="s">
        <v>2741</v>
      </c>
      <c r="D422" s="50">
        <v>2.4900000000000002</v>
      </c>
    </row>
    <row r="423" spans="1:4" ht="13.5">
      <c r="A423" s="49">
        <v>89028</v>
      </c>
      <c r="B423" s="48" t="s">
        <v>2793</v>
      </c>
      <c r="C423" s="48" t="s">
        <v>2741</v>
      </c>
      <c r="D423" s="50">
        <v>212.93</v>
      </c>
    </row>
    <row r="424" spans="1:4" ht="13.5">
      <c r="A424" s="49">
        <v>89032</v>
      </c>
      <c r="B424" s="48" t="s">
        <v>2794</v>
      </c>
      <c r="C424" s="48" t="s">
        <v>2741</v>
      </c>
      <c r="D424" s="50">
        <v>163.80000000000001</v>
      </c>
    </row>
    <row r="425" spans="1:4" ht="13.5">
      <c r="A425" s="49">
        <v>89035</v>
      </c>
      <c r="B425" s="48" t="s">
        <v>2795</v>
      </c>
      <c r="C425" s="48" t="s">
        <v>2741</v>
      </c>
      <c r="D425" s="50">
        <v>114.82</v>
      </c>
    </row>
    <row r="426" spans="1:4" ht="13.5">
      <c r="A426" s="49">
        <v>89225</v>
      </c>
      <c r="B426" s="48" t="s">
        <v>2796</v>
      </c>
      <c r="C426" s="48" t="s">
        <v>2741</v>
      </c>
      <c r="D426" s="50">
        <v>5.26</v>
      </c>
    </row>
    <row r="427" spans="1:4" ht="13.5">
      <c r="A427" s="49">
        <v>89234</v>
      </c>
      <c r="B427" s="48" t="s">
        <v>2797</v>
      </c>
      <c r="C427" s="48" t="s">
        <v>2741</v>
      </c>
      <c r="D427" s="50">
        <v>624.16999999999996</v>
      </c>
    </row>
    <row r="428" spans="1:4" ht="13.5">
      <c r="A428" s="49">
        <v>89242</v>
      </c>
      <c r="B428" s="48" t="s">
        <v>2798</v>
      </c>
      <c r="C428" s="48" t="s">
        <v>2741</v>
      </c>
      <c r="D428" s="51">
        <v>1464.19</v>
      </c>
    </row>
    <row r="429" spans="1:4" ht="13.5">
      <c r="A429" s="49">
        <v>89250</v>
      </c>
      <c r="B429" s="48" t="s">
        <v>2799</v>
      </c>
      <c r="C429" s="48" t="s">
        <v>2741</v>
      </c>
      <c r="D429" s="51">
        <v>1269.77</v>
      </c>
    </row>
    <row r="430" spans="1:4" ht="13.5">
      <c r="A430" s="49">
        <v>89257</v>
      </c>
      <c r="B430" s="48" t="s">
        <v>2800</v>
      </c>
      <c r="C430" s="48" t="s">
        <v>2741</v>
      </c>
      <c r="D430" s="50">
        <v>352.96</v>
      </c>
    </row>
    <row r="431" spans="1:4" ht="13.5">
      <c r="A431" s="49">
        <v>89272</v>
      </c>
      <c r="B431" s="48" t="s">
        <v>2801</v>
      </c>
      <c r="C431" s="48" t="s">
        <v>2741</v>
      </c>
      <c r="D431" s="50">
        <v>195.25</v>
      </c>
    </row>
    <row r="432" spans="1:4" ht="13.5">
      <c r="A432" s="49">
        <v>89278</v>
      </c>
      <c r="B432" s="48" t="s">
        <v>2802</v>
      </c>
      <c r="C432" s="48" t="s">
        <v>2741</v>
      </c>
      <c r="D432" s="50">
        <v>10.79</v>
      </c>
    </row>
    <row r="433" spans="1:4" ht="13.5">
      <c r="A433" s="49">
        <v>89843</v>
      </c>
      <c r="B433" s="48" t="s">
        <v>2804</v>
      </c>
      <c r="C433" s="48" t="s">
        <v>2741</v>
      </c>
      <c r="D433" s="50">
        <v>191.52</v>
      </c>
    </row>
    <row r="434" spans="1:4" ht="13.5">
      <c r="A434" s="49">
        <v>89876</v>
      </c>
      <c r="B434" s="48" t="s">
        <v>2805</v>
      </c>
      <c r="C434" s="48" t="s">
        <v>2741</v>
      </c>
      <c r="D434" s="50">
        <v>270.24</v>
      </c>
    </row>
    <row r="435" spans="1:4" ht="13.5">
      <c r="A435" s="49">
        <v>89883</v>
      </c>
      <c r="B435" s="48" t="s">
        <v>2806</v>
      </c>
      <c r="C435" s="48" t="s">
        <v>2741</v>
      </c>
      <c r="D435" s="50">
        <v>300.18</v>
      </c>
    </row>
    <row r="436" spans="1:4" ht="13.5">
      <c r="A436" s="49">
        <v>90586</v>
      </c>
      <c r="B436" s="48" t="s">
        <v>2807</v>
      </c>
      <c r="C436" s="48" t="s">
        <v>2741</v>
      </c>
      <c r="D436" s="50">
        <v>1.26</v>
      </c>
    </row>
    <row r="437" spans="1:4" ht="13.5">
      <c r="A437" s="49">
        <v>90625</v>
      </c>
      <c r="B437" s="48" t="s">
        <v>2809</v>
      </c>
      <c r="C437" s="48" t="s">
        <v>2741</v>
      </c>
      <c r="D437" s="50">
        <v>6.35</v>
      </c>
    </row>
    <row r="438" spans="1:4" ht="13.5">
      <c r="A438" s="49">
        <v>90631</v>
      </c>
      <c r="B438" s="48" t="s">
        <v>2810</v>
      </c>
      <c r="C438" s="48" t="s">
        <v>2741</v>
      </c>
      <c r="D438" s="50">
        <v>145.32</v>
      </c>
    </row>
    <row r="439" spans="1:4" ht="13.5">
      <c r="A439" s="49">
        <v>90637</v>
      </c>
      <c r="B439" s="48" t="s">
        <v>2811</v>
      </c>
      <c r="C439" s="48" t="s">
        <v>2741</v>
      </c>
      <c r="D439" s="50">
        <v>14.83</v>
      </c>
    </row>
    <row r="440" spans="1:4" ht="13.5">
      <c r="A440" s="49">
        <v>90643</v>
      </c>
      <c r="B440" s="48" t="s">
        <v>2812</v>
      </c>
      <c r="C440" s="48" t="s">
        <v>2741</v>
      </c>
      <c r="D440" s="50">
        <v>23.63</v>
      </c>
    </row>
    <row r="441" spans="1:4" ht="13.5">
      <c r="A441" s="49">
        <v>90650</v>
      </c>
      <c r="B441" s="48" t="s">
        <v>2813</v>
      </c>
      <c r="C441" s="48" t="s">
        <v>2741</v>
      </c>
      <c r="D441" s="50">
        <v>11.25</v>
      </c>
    </row>
    <row r="442" spans="1:4" ht="13.5">
      <c r="A442" s="49">
        <v>90656</v>
      </c>
      <c r="B442" s="48" t="s">
        <v>2814</v>
      </c>
      <c r="C442" s="48" t="s">
        <v>2741</v>
      </c>
      <c r="D442" s="50">
        <v>14.72</v>
      </c>
    </row>
    <row r="443" spans="1:4" ht="13.5">
      <c r="A443" s="49">
        <v>90662</v>
      </c>
      <c r="B443" s="48" t="s">
        <v>2815</v>
      </c>
      <c r="C443" s="48" t="s">
        <v>2741</v>
      </c>
      <c r="D443" s="50">
        <v>15.32</v>
      </c>
    </row>
    <row r="444" spans="1:4" ht="13.5">
      <c r="A444" s="49">
        <v>90668</v>
      </c>
      <c r="B444" s="48" t="s">
        <v>2817</v>
      </c>
      <c r="C444" s="48" t="s">
        <v>2741</v>
      </c>
      <c r="D444" s="50">
        <v>25.18</v>
      </c>
    </row>
    <row r="445" spans="1:4" ht="13.5">
      <c r="A445" s="49">
        <v>90674</v>
      </c>
      <c r="B445" s="48" t="s">
        <v>2818</v>
      </c>
      <c r="C445" s="48" t="s">
        <v>2741</v>
      </c>
      <c r="D445" s="50">
        <v>661.75</v>
      </c>
    </row>
    <row r="446" spans="1:4" ht="13.5">
      <c r="A446" s="49">
        <v>90680</v>
      </c>
      <c r="B446" s="48" t="s">
        <v>2819</v>
      </c>
      <c r="C446" s="48" t="s">
        <v>2741</v>
      </c>
      <c r="D446" s="50">
        <v>373.19</v>
      </c>
    </row>
    <row r="447" spans="1:4" ht="13.5">
      <c r="A447" s="49">
        <v>90686</v>
      </c>
      <c r="B447" s="48" t="s">
        <v>2820</v>
      </c>
      <c r="C447" s="48" t="s">
        <v>2741</v>
      </c>
      <c r="D447" s="50">
        <v>140.78</v>
      </c>
    </row>
    <row r="448" spans="1:4" ht="13.5">
      <c r="A448" s="49">
        <v>90692</v>
      </c>
      <c r="B448" s="48" t="s">
        <v>2821</v>
      </c>
      <c r="C448" s="48" t="s">
        <v>2741</v>
      </c>
      <c r="D448" s="50">
        <v>96.57</v>
      </c>
    </row>
    <row r="449" spans="1:4" ht="13.5">
      <c r="A449" s="49">
        <v>90964</v>
      </c>
      <c r="B449" s="48" t="s">
        <v>2822</v>
      </c>
      <c r="C449" s="48" t="s">
        <v>2741</v>
      </c>
      <c r="D449" s="50">
        <v>25.11</v>
      </c>
    </row>
    <row r="450" spans="1:4" ht="13.5">
      <c r="A450" s="49">
        <v>90972</v>
      </c>
      <c r="B450" s="48" t="s">
        <v>2823</v>
      </c>
      <c r="C450" s="48" t="s">
        <v>2741</v>
      </c>
      <c r="D450" s="50">
        <v>64.13</v>
      </c>
    </row>
    <row r="451" spans="1:4" ht="13.5">
      <c r="A451" s="49">
        <v>90979</v>
      </c>
      <c r="B451" s="48" t="s">
        <v>2824</v>
      </c>
      <c r="C451" s="48" t="s">
        <v>2741</v>
      </c>
      <c r="D451" s="50">
        <v>165.74</v>
      </c>
    </row>
    <row r="452" spans="1:4" ht="13.5">
      <c r="A452" s="49">
        <v>90991</v>
      </c>
      <c r="B452" s="48" t="s">
        <v>2825</v>
      </c>
      <c r="C452" s="48" t="s">
        <v>2741</v>
      </c>
      <c r="D452" s="50">
        <v>192.32</v>
      </c>
    </row>
    <row r="453" spans="1:4" ht="13.5">
      <c r="A453" s="49">
        <v>90999</v>
      </c>
      <c r="B453" s="48" t="s">
        <v>2826</v>
      </c>
      <c r="C453" s="48" t="s">
        <v>2741</v>
      </c>
      <c r="D453" s="50">
        <v>84.99</v>
      </c>
    </row>
    <row r="454" spans="1:4" ht="13.5">
      <c r="A454" s="49">
        <v>91031</v>
      </c>
      <c r="B454" s="48" t="s">
        <v>2827</v>
      </c>
      <c r="C454" s="48" t="s">
        <v>2741</v>
      </c>
      <c r="D454" s="50">
        <v>209.38</v>
      </c>
    </row>
    <row r="455" spans="1:4" ht="13.5">
      <c r="A455" s="49">
        <v>91277</v>
      </c>
      <c r="B455" s="48" t="s">
        <v>2828</v>
      </c>
      <c r="C455" s="48" t="s">
        <v>2741</v>
      </c>
      <c r="D455" s="50">
        <v>10.84</v>
      </c>
    </row>
    <row r="456" spans="1:4" ht="13.5">
      <c r="A456" s="49">
        <v>91283</v>
      </c>
      <c r="B456" s="48" t="s">
        <v>2829</v>
      </c>
      <c r="C456" s="48" t="s">
        <v>2741</v>
      </c>
      <c r="D456" s="50">
        <v>12.33</v>
      </c>
    </row>
    <row r="457" spans="1:4" ht="13.5">
      <c r="A457" s="49">
        <v>91386</v>
      </c>
      <c r="B457" s="48" t="s">
        <v>2830</v>
      </c>
      <c r="C457" s="48" t="s">
        <v>2741</v>
      </c>
      <c r="D457" s="50">
        <v>178.3</v>
      </c>
    </row>
    <row r="458" spans="1:4" ht="13.5">
      <c r="A458" s="49">
        <v>91533</v>
      </c>
      <c r="B458" s="48" t="s">
        <v>2831</v>
      </c>
      <c r="C458" s="48" t="s">
        <v>2741</v>
      </c>
      <c r="D458" s="50">
        <v>36.78</v>
      </c>
    </row>
    <row r="459" spans="1:4" ht="13.5">
      <c r="A459" s="49">
        <v>91634</v>
      </c>
      <c r="B459" s="48" t="s">
        <v>2832</v>
      </c>
      <c r="C459" s="48" t="s">
        <v>2741</v>
      </c>
      <c r="D459" s="50">
        <v>192.7</v>
      </c>
    </row>
    <row r="460" spans="1:4" ht="13.5">
      <c r="A460" s="49">
        <v>91645</v>
      </c>
      <c r="B460" s="48" t="s">
        <v>2833</v>
      </c>
      <c r="C460" s="48" t="s">
        <v>2741</v>
      </c>
      <c r="D460" s="50">
        <v>388.07</v>
      </c>
    </row>
    <row r="461" spans="1:4" ht="13.5">
      <c r="A461" s="49">
        <v>91692</v>
      </c>
      <c r="B461" s="48" t="s">
        <v>2834</v>
      </c>
      <c r="C461" s="48" t="s">
        <v>2741</v>
      </c>
      <c r="D461" s="50">
        <v>29.71</v>
      </c>
    </row>
    <row r="462" spans="1:4" ht="13.5">
      <c r="A462" s="49">
        <v>92043</v>
      </c>
      <c r="B462" s="48" t="s">
        <v>2835</v>
      </c>
      <c r="C462" s="48" t="s">
        <v>2741</v>
      </c>
      <c r="D462" s="50">
        <v>11.77</v>
      </c>
    </row>
    <row r="463" spans="1:4" ht="13.5">
      <c r="A463" s="49">
        <v>92106</v>
      </c>
      <c r="B463" s="48" t="s">
        <v>2836</v>
      </c>
      <c r="C463" s="48" t="s">
        <v>2741</v>
      </c>
      <c r="D463" s="50">
        <v>275.2</v>
      </c>
    </row>
    <row r="464" spans="1:4" ht="13.5">
      <c r="A464" s="49">
        <v>92112</v>
      </c>
      <c r="B464" s="48" t="s">
        <v>2837</v>
      </c>
      <c r="C464" s="48" t="s">
        <v>2741</v>
      </c>
      <c r="D464" s="50">
        <v>2.95</v>
      </c>
    </row>
    <row r="465" spans="1:4" ht="13.5">
      <c r="A465" s="49">
        <v>92118</v>
      </c>
      <c r="B465" s="48" t="s">
        <v>2838</v>
      </c>
      <c r="C465" s="48" t="s">
        <v>2741</v>
      </c>
      <c r="D465" s="50">
        <v>0.23</v>
      </c>
    </row>
    <row r="466" spans="1:4" ht="13.5">
      <c r="A466" s="49">
        <v>92138</v>
      </c>
      <c r="B466" s="48" t="s">
        <v>2839</v>
      </c>
      <c r="C466" s="48" t="s">
        <v>2741</v>
      </c>
      <c r="D466" s="50">
        <v>82.99</v>
      </c>
    </row>
    <row r="467" spans="1:4" ht="13.5">
      <c r="A467" s="49">
        <v>92145</v>
      </c>
      <c r="B467" s="48" t="s">
        <v>2840</v>
      </c>
      <c r="C467" s="48" t="s">
        <v>2741</v>
      </c>
      <c r="D467" s="50">
        <v>78.13</v>
      </c>
    </row>
    <row r="468" spans="1:4" ht="13.5">
      <c r="A468" s="49">
        <v>92242</v>
      </c>
      <c r="B468" s="48" t="s">
        <v>2842</v>
      </c>
      <c r="C468" s="48" t="s">
        <v>2741</v>
      </c>
      <c r="D468" s="50">
        <v>339.82</v>
      </c>
    </row>
    <row r="469" spans="1:4" ht="13.5">
      <c r="A469" s="49">
        <v>92716</v>
      </c>
      <c r="B469" s="48" t="s">
        <v>2843</v>
      </c>
      <c r="C469" s="48" t="s">
        <v>2741</v>
      </c>
      <c r="D469" s="50">
        <v>20.49</v>
      </c>
    </row>
    <row r="470" spans="1:4" ht="13.5">
      <c r="A470" s="49">
        <v>92960</v>
      </c>
      <c r="B470" s="48" t="s">
        <v>2844</v>
      </c>
      <c r="C470" s="48" t="s">
        <v>2741</v>
      </c>
      <c r="D470" s="50">
        <v>17.89</v>
      </c>
    </row>
    <row r="471" spans="1:4" ht="13.5">
      <c r="A471" s="49">
        <v>92966</v>
      </c>
      <c r="B471" s="48" t="s">
        <v>2845</v>
      </c>
      <c r="C471" s="48" t="s">
        <v>2741</v>
      </c>
      <c r="D471" s="50">
        <v>18.989999999999998</v>
      </c>
    </row>
    <row r="472" spans="1:4" ht="13.5">
      <c r="A472" s="49">
        <v>93224</v>
      </c>
      <c r="B472" s="48" t="s">
        <v>2846</v>
      </c>
      <c r="C472" s="48" t="s">
        <v>2741</v>
      </c>
      <c r="D472" s="50">
        <v>987.97</v>
      </c>
    </row>
    <row r="473" spans="1:4" ht="13.5">
      <c r="A473" s="49">
        <v>93233</v>
      </c>
      <c r="B473" s="48" t="s">
        <v>2847</v>
      </c>
      <c r="C473" s="48" t="s">
        <v>2741</v>
      </c>
      <c r="D473" s="50">
        <v>10.48</v>
      </c>
    </row>
    <row r="474" spans="1:4" ht="13.5">
      <c r="A474" s="49">
        <v>93272</v>
      </c>
      <c r="B474" s="48" t="s">
        <v>2848</v>
      </c>
      <c r="C474" s="48" t="s">
        <v>2741</v>
      </c>
      <c r="D474" s="50">
        <v>139.78</v>
      </c>
    </row>
    <row r="475" spans="1:4" ht="13.5">
      <c r="A475" s="49">
        <v>93281</v>
      </c>
      <c r="B475" s="48" t="s">
        <v>2849</v>
      </c>
      <c r="C475" s="48" t="s">
        <v>2741</v>
      </c>
      <c r="D475" s="50">
        <v>25.91</v>
      </c>
    </row>
    <row r="476" spans="1:4" ht="13.5">
      <c r="A476" s="49">
        <v>93287</v>
      </c>
      <c r="B476" s="48" t="s">
        <v>2850</v>
      </c>
      <c r="C476" s="48" t="s">
        <v>2741</v>
      </c>
      <c r="D476" s="50">
        <v>302.68</v>
      </c>
    </row>
    <row r="477" spans="1:4" ht="13.5">
      <c r="A477" s="49">
        <v>93402</v>
      </c>
      <c r="B477" s="48" t="s">
        <v>2851</v>
      </c>
      <c r="C477" s="48" t="s">
        <v>2741</v>
      </c>
      <c r="D477" s="50">
        <v>213.44</v>
      </c>
    </row>
    <row r="478" spans="1:4" ht="13.5">
      <c r="A478" s="49">
        <v>93408</v>
      </c>
      <c r="B478" s="48" t="s">
        <v>2852</v>
      </c>
      <c r="C478" s="48" t="s">
        <v>2741</v>
      </c>
      <c r="D478" s="50">
        <v>80.05</v>
      </c>
    </row>
    <row r="479" spans="1:4" ht="13.5">
      <c r="A479" s="49">
        <v>93415</v>
      </c>
      <c r="B479" s="48" t="s">
        <v>2853</v>
      </c>
      <c r="C479" s="48" t="s">
        <v>2741</v>
      </c>
      <c r="D479" s="50">
        <v>17.3</v>
      </c>
    </row>
    <row r="480" spans="1:4" ht="13.5">
      <c r="A480" s="49">
        <v>93421</v>
      </c>
      <c r="B480" s="48" t="s">
        <v>2854</v>
      </c>
      <c r="C480" s="48" t="s">
        <v>2741</v>
      </c>
      <c r="D480" s="50">
        <v>64.260000000000005</v>
      </c>
    </row>
    <row r="481" spans="1:4" ht="13.5">
      <c r="A481" s="49">
        <v>93427</v>
      </c>
      <c r="B481" s="48" t="s">
        <v>2855</v>
      </c>
      <c r="C481" s="48" t="s">
        <v>2741</v>
      </c>
      <c r="D481" s="50">
        <v>146.78</v>
      </c>
    </row>
    <row r="482" spans="1:4" ht="13.5">
      <c r="A482" s="49">
        <v>93433</v>
      </c>
      <c r="B482" s="48" t="s">
        <v>2856</v>
      </c>
      <c r="C482" s="48" t="s">
        <v>2741</v>
      </c>
      <c r="D482" s="51">
        <v>1528.71</v>
      </c>
    </row>
    <row r="483" spans="1:4" ht="13.5">
      <c r="A483" s="49">
        <v>93439</v>
      </c>
      <c r="B483" s="48" t="s">
        <v>2857</v>
      </c>
      <c r="C483" s="48" t="s">
        <v>2741</v>
      </c>
      <c r="D483" s="50">
        <v>137.08000000000001</v>
      </c>
    </row>
    <row r="484" spans="1:4" ht="13.5">
      <c r="A484" s="49">
        <v>95121</v>
      </c>
      <c r="B484" s="48" t="s">
        <v>2858</v>
      </c>
      <c r="C484" s="48" t="s">
        <v>2741</v>
      </c>
      <c r="D484" s="50">
        <v>304.35000000000002</v>
      </c>
    </row>
    <row r="485" spans="1:4" ht="13.5">
      <c r="A485" s="49">
        <v>95127</v>
      </c>
      <c r="B485" s="48" t="s">
        <v>2859</v>
      </c>
      <c r="C485" s="48" t="s">
        <v>2741</v>
      </c>
      <c r="D485" s="50">
        <v>191.64</v>
      </c>
    </row>
    <row r="486" spans="1:4" ht="13.5">
      <c r="A486" s="49">
        <v>95133</v>
      </c>
      <c r="B486" s="48" t="s">
        <v>2860</v>
      </c>
      <c r="C486" s="48" t="s">
        <v>2741</v>
      </c>
      <c r="D486" s="50">
        <v>133.34</v>
      </c>
    </row>
    <row r="487" spans="1:4" ht="13.5">
      <c r="A487" s="49">
        <v>95139</v>
      </c>
      <c r="B487" s="48" t="s">
        <v>2861</v>
      </c>
      <c r="C487" s="48" t="s">
        <v>2741</v>
      </c>
      <c r="D487" s="50">
        <v>0.05</v>
      </c>
    </row>
    <row r="488" spans="1:4" ht="13.5">
      <c r="A488" s="49">
        <v>95212</v>
      </c>
      <c r="B488" s="48" t="s">
        <v>2862</v>
      </c>
      <c r="C488" s="48" t="s">
        <v>2741</v>
      </c>
      <c r="D488" s="50">
        <v>151.66</v>
      </c>
    </row>
    <row r="489" spans="1:4" ht="13.5">
      <c r="A489" s="49">
        <v>95258</v>
      </c>
      <c r="B489" s="48" t="s">
        <v>2863</v>
      </c>
      <c r="C489" s="48" t="s">
        <v>2741</v>
      </c>
      <c r="D489" s="50">
        <v>18.649999999999999</v>
      </c>
    </row>
    <row r="490" spans="1:4" ht="13.5">
      <c r="A490" s="49">
        <v>95264</v>
      </c>
      <c r="B490" s="48" t="s">
        <v>2864</v>
      </c>
      <c r="C490" s="48" t="s">
        <v>2741</v>
      </c>
      <c r="D490" s="50">
        <v>6.88</v>
      </c>
    </row>
    <row r="491" spans="1:4" ht="13.5">
      <c r="A491" s="49">
        <v>95270</v>
      </c>
      <c r="B491" s="48" t="s">
        <v>2865</v>
      </c>
      <c r="C491" s="48" t="s">
        <v>2741</v>
      </c>
      <c r="D491" s="50">
        <v>10.53</v>
      </c>
    </row>
    <row r="492" spans="1:4" ht="13.5">
      <c r="A492" s="49">
        <v>95276</v>
      </c>
      <c r="B492" s="48" t="s">
        <v>2866</v>
      </c>
      <c r="C492" s="48" t="s">
        <v>2741</v>
      </c>
      <c r="D492" s="50">
        <v>3.24</v>
      </c>
    </row>
    <row r="493" spans="1:4" ht="13.5">
      <c r="A493" s="49">
        <v>95282</v>
      </c>
      <c r="B493" s="48" t="s">
        <v>2867</v>
      </c>
      <c r="C493" s="48" t="s">
        <v>2741</v>
      </c>
      <c r="D493" s="50">
        <v>10.7</v>
      </c>
    </row>
    <row r="494" spans="1:4" ht="13.5">
      <c r="A494" s="49">
        <v>95620</v>
      </c>
      <c r="B494" s="48" t="s">
        <v>2868</v>
      </c>
      <c r="C494" s="48" t="s">
        <v>2741</v>
      </c>
      <c r="D494" s="50">
        <v>18.25</v>
      </c>
    </row>
    <row r="495" spans="1:4" ht="13.5">
      <c r="A495" s="49">
        <v>95631</v>
      </c>
      <c r="B495" s="48" t="s">
        <v>2869</v>
      </c>
      <c r="C495" s="48" t="s">
        <v>2741</v>
      </c>
      <c r="D495" s="50">
        <v>201.09</v>
      </c>
    </row>
    <row r="496" spans="1:4" ht="13.5">
      <c r="A496" s="49">
        <v>95702</v>
      </c>
      <c r="B496" s="48" t="s">
        <v>2870</v>
      </c>
      <c r="C496" s="48" t="s">
        <v>2741</v>
      </c>
      <c r="D496" s="50">
        <v>38.47</v>
      </c>
    </row>
    <row r="497" spans="1:4" ht="13.5">
      <c r="A497" s="49">
        <v>95708</v>
      </c>
      <c r="B497" s="48" t="s">
        <v>2871</v>
      </c>
      <c r="C497" s="48" t="s">
        <v>2741</v>
      </c>
      <c r="D497" s="50">
        <v>143.09</v>
      </c>
    </row>
    <row r="498" spans="1:4" ht="13.5">
      <c r="A498" s="49">
        <v>95714</v>
      </c>
      <c r="B498" s="48" t="s">
        <v>2872</v>
      </c>
      <c r="C498" s="48" t="s">
        <v>2741</v>
      </c>
      <c r="D498" s="50">
        <v>239.4</v>
      </c>
    </row>
    <row r="499" spans="1:4" ht="13.5">
      <c r="A499" s="49">
        <v>95720</v>
      </c>
      <c r="B499" s="48" t="s">
        <v>2873</v>
      </c>
      <c r="C499" s="48" t="s">
        <v>2741</v>
      </c>
      <c r="D499" s="50">
        <v>234.43</v>
      </c>
    </row>
    <row r="500" spans="1:4" ht="13.5">
      <c r="A500" s="49">
        <v>95872</v>
      </c>
      <c r="B500" s="48" t="s">
        <v>2874</v>
      </c>
      <c r="C500" s="48" t="s">
        <v>2741</v>
      </c>
      <c r="D500" s="50">
        <v>249.03</v>
      </c>
    </row>
    <row r="501" spans="1:4" ht="13.5">
      <c r="A501" s="49">
        <v>96013</v>
      </c>
      <c r="B501" s="48" t="s">
        <v>2875</v>
      </c>
      <c r="C501" s="48" t="s">
        <v>2741</v>
      </c>
      <c r="D501" s="50">
        <v>159.58000000000001</v>
      </c>
    </row>
    <row r="502" spans="1:4" ht="13.5">
      <c r="A502" s="49">
        <v>96020</v>
      </c>
      <c r="B502" s="48" t="s">
        <v>2876</v>
      </c>
      <c r="C502" s="48" t="s">
        <v>2741</v>
      </c>
      <c r="D502" s="50">
        <v>223.26</v>
      </c>
    </row>
    <row r="503" spans="1:4" ht="13.5">
      <c r="A503" s="49">
        <v>96028</v>
      </c>
      <c r="B503" s="48" t="s">
        <v>2877</v>
      </c>
      <c r="C503" s="48" t="s">
        <v>2741</v>
      </c>
      <c r="D503" s="50">
        <v>168.99</v>
      </c>
    </row>
    <row r="504" spans="1:4" ht="13.5">
      <c r="A504" s="49">
        <v>96035</v>
      </c>
      <c r="B504" s="48" t="s">
        <v>2878</v>
      </c>
      <c r="C504" s="48" t="s">
        <v>2741</v>
      </c>
      <c r="D504" s="50">
        <v>222.04</v>
      </c>
    </row>
    <row r="505" spans="1:4" ht="13.5">
      <c r="A505" s="49">
        <v>96157</v>
      </c>
      <c r="B505" s="48" t="s">
        <v>2879</v>
      </c>
      <c r="C505" s="48" t="s">
        <v>2741</v>
      </c>
      <c r="D505" s="50">
        <v>124.78</v>
      </c>
    </row>
    <row r="506" spans="1:4" ht="13.5">
      <c r="A506" s="49">
        <v>96158</v>
      </c>
      <c r="B506" s="48" t="s">
        <v>2881</v>
      </c>
      <c r="C506" s="48" t="s">
        <v>2741</v>
      </c>
      <c r="D506" s="50">
        <v>112.32</v>
      </c>
    </row>
    <row r="507" spans="1:4" ht="13.5">
      <c r="A507" s="49">
        <v>96245</v>
      </c>
      <c r="B507" s="48" t="s">
        <v>2882</v>
      </c>
      <c r="C507" s="48" t="s">
        <v>2741</v>
      </c>
      <c r="D507" s="50">
        <v>82.8</v>
      </c>
    </row>
    <row r="508" spans="1:4" ht="13.5">
      <c r="A508" s="49">
        <v>96463</v>
      </c>
      <c r="B508" s="48" t="s">
        <v>2883</v>
      </c>
      <c r="C508" s="48" t="s">
        <v>2741</v>
      </c>
      <c r="D508" s="50">
        <v>190.52</v>
      </c>
    </row>
    <row r="509" spans="1:4" ht="13.5">
      <c r="A509" s="49">
        <v>98764</v>
      </c>
      <c r="B509" s="48" t="s">
        <v>2884</v>
      </c>
      <c r="C509" s="48" t="s">
        <v>2741</v>
      </c>
      <c r="D509" s="50">
        <v>4.75</v>
      </c>
    </row>
    <row r="510" spans="1:4" ht="13.5">
      <c r="A510" s="49">
        <v>99833</v>
      </c>
      <c r="B510" s="48" t="s">
        <v>2885</v>
      </c>
      <c r="C510" s="48" t="s">
        <v>2741</v>
      </c>
      <c r="D510" s="50">
        <v>4.76</v>
      </c>
    </row>
    <row r="511" spans="1:4" ht="13.5">
      <c r="A511" s="49">
        <v>100641</v>
      </c>
      <c r="B511" s="48" t="s">
        <v>2886</v>
      </c>
      <c r="C511" s="48" t="s">
        <v>2741</v>
      </c>
      <c r="D511" s="50">
        <v>631.51</v>
      </c>
    </row>
    <row r="512" spans="1:4" ht="13.5">
      <c r="A512" s="49">
        <v>100647</v>
      </c>
      <c r="B512" s="48" t="s">
        <v>2887</v>
      </c>
      <c r="C512" s="48" t="s">
        <v>2741</v>
      </c>
      <c r="D512" s="51">
        <v>1338</v>
      </c>
    </row>
    <row r="513" spans="1:4" ht="13.5">
      <c r="A513" s="49">
        <v>102275</v>
      </c>
      <c r="B513" s="48" t="s">
        <v>19832</v>
      </c>
      <c r="C513" s="48" t="s">
        <v>2741</v>
      </c>
      <c r="D513" s="50">
        <v>19.22</v>
      </c>
    </row>
    <row r="514" spans="1:4" ht="13.5">
      <c r="A514" s="49">
        <v>5632</v>
      </c>
      <c r="B514" s="48" t="s">
        <v>2888</v>
      </c>
      <c r="C514" s="48" t="s">
        <v>2889</v>
      </c>
      <c r="D514" s="50">
        <v>83.52</v>
      </c>
    </row>
    <row r="515" spans="1:4" ht="13.5">
      <c r="A515" s="49">
        <v>5679</v>
      </c>
      <c r="B515" s="48" t="s">
        <v>2890</v>
      </c>
      <c r="C515" s="48" t="s">
        <v>2889</v>
      </c>
      <c r="D515" s="50">
        <v>57.96</v>
      </c>
    </row>
    <row r="516" spans="1:4" ht="13.5">
      <c r="A516" s="49">
        <v>5681</v>
      </c>
      <c r="B516" s="48" t="s">
        <v>2891</v>
      </c>
      <c r="C516" s="48" t="s">
        <v>2889</v>
      </c>
      <c r="D516" s="50">
        <v>54.81</v>
      </c>
    </row>
    <row r="517" spans="1:4" ht="13.5">
      <c r="A517" s="49">
        <v>5685</v>
      </c>
      <c r="B517" s="48" t="s">
        <v>2892</v>
      </c>
      <c r="C517" s="48" t="s">
        <v>2889</v>
      </c>
      <c r="D517" s="50">
        <v>55.19</v>
      </c>
    </row>
    <row r="518" spans="1:4" ht="13.5">
      <c r="A518" s="49">
        <v>5690</v>
      </c>
      <c r="B518" s="48" t="s">
        <v>2893</v>
      </c>
      <c r="C518" s="48" t="s">
        <v>2889</v>
      </c>
      <c r="D518" s="50">
        <v>4.62</v>
      </c>
    </row>
    <row r="519" spans="1:4" ht="13.5">
      <c r="A519" s="49">
        <v>5806</v>
      </c>
      <c r="B519" s="48" t="s">
        <v>2894</v>
      </c>
      <c r="C519" s="48" t="s">
        <v>2889</v>
      </c>
      <c r="D519" s="50">
        <v>0.23</v>
      </c>
    </row>
    <row r="520" spans="1:4" ht="13.5">
      <c r="A520" s="49">
        <v>5826</v>
      </c>
      <c r="B520" s="48" t="s">
        <v>2895</v>
      </c>
      <c r="C520" s="48" t="s">
        <v>2889</v>
      </c>
      <c r="D520" s="50">
        <v>43.14</v>
      </c>
    </row>
    <row r="521" spans="1:4" ht="13.5">
      <c r="A521" s="49">
        <v>5829</v>
      </c>
      <c r="B521" s="48" t="s">
        <v>2896</v>
      </c>
      <c r="C521" s="48" t="s">
        <v>2889</v>
      </c>
      <c r="D521" s="50">
        <v>134.57</v>
      </c>
    </row>
    <row r="522" spans="1:4" ht="13.5">
      <c r="A522" s="49">
        <v>5837</v>
      </c>
      <c r="B522" s="48" t="s">
        <v>2897</v>
      </c>
      <c r="C522" s="48" t="s">
        <v>2889</v>
      </c>
      <c r="D522" s="50">
        <v>158.65</v>
      </c>
    </row>
    <row r="523" spans="1:4" ht="13.5">
      <c r="A523" s="49">
        <v>5841</v>
      </c>
      <c r="B523" s="48" t="s">
        <v>2898</v>
      </c>
      <c r="C523" s="48" t="s">
        <v>2889</v>
      </c>
      <c r="D523" s="50">
        <v>5.32</v>
      </c>
    </row>
    <row r="524" spans="1:4" ht="13.5">
      <c r="A524" s="49">
        <v>5845</v>
      </c>
      <c r="B524" s="48" t="s">
        <v>2899</v>
      </c>
      <c r="C524" s="48" t="s">
        <v>2889</v>
      </c>
      <c r="D524" s="50">
        <v>49.16</v>
      </c>
    </row>
    <row r="525" spans="1:4" ht="13.5">
      <c r="A525" s="49">
        <v>5849</v>
      </c>
      <c r="B525" s="48" t="s">
        <v>2900</v>
      </c>
      <c r="C525" s="48" t="s">
        <v>2889</v>
      </c>
      <c r="D525" s="50">
        <v>72.400000000000006</v>
      </c>
    </row>
    <row r="526" spans="1:4" ht="13.5">
      <c r="A526" s="49">
        <v>5853</v>
      </c>
      <c r="B526" s="48" t="s">
        <v>2901</v>
      </c>
      <c r="C526" s="48" t="s">
        <v>2889</v>
      </c>
      <c r="D526" s="50">
        <v>72.66</v>
      </c>
    </row>
    <row r="527" spans="1:4" ht="13.5">
      <c r="A527" s="49">
        <v>5857</v>
      </c>
      <c r="B527" s="48" t="s">
        <v>2902</v>
      </c>
      <c r="C527" s="48" t="s">
        <v>2889</v>
      </c>
      <c r="D527" s="50">
        <v>168.56</v>
      </c>
    </row>
    <row r="528" spans="1:4" ht="13.5">
      <c r="A528" s="49">
        <v>5865</v>
      </c>
      <c r="B528" s="48" t="s">
        <v>2903</v>
      </c>
      <c r="C528" s="48" t="s">
        <v>2889</v>
      </c>
      <c r="D528" s="50">
        <v>9.82</v>
      </c>
    </row>
    <row r="529" spans="1:4" ht="13.5">
      <c r="A529" s="49">
        <v>5869</v>
      </c>
      <c r="B529" s="48" t="s">
        <v>2904</v>
      </c>
      <c r="C529" s="48" t="s">
        <v>2889</v>
      </c>
      <c r="D529" s="50">
        <v>62.61</v>
      </c>
    </row>
    <row r="530" spans="1:4" ht="13.5">
      <c r="A530" s="49">
        <v>5877</v>
      </c>
      <c r="B530" s="48" t="s">
        <v>2905</v>
      </c>
      <c r="C530" s="48" t="s">
        <v>2889</v>
      </c>
      <c r="D530" s="50">
        <v>56.96</v>
      </c>
    </row>
    <row r="531" spans="1:4" ht="13.5">
      <c r="A531" s="49">
        <v>5881</v>
      </c>
      <c r="B531" s="48" t="s">
        <v>2906</v>
      </c>
      <c r="C531" s="48" t="s">
        <v>2889</v>
      </c>
      <c r="D531" s="50">
        <v>67.12</v>
      </c>
    </row>
    <row r="532" spans="1:4" ht="13.5">
      <c r="A532" s="49">
        <v>5884</v>
      </c>
      <c r="B532" s="48" t="s">
        <v>2907</v>
      </c>
      <c r="C532" s="48" t="s">
        <v>2889</v>
      </c>
      <c r="D532" s="50">
        <v>44</v>
      </c>
    </row>
    <row r="533" spans="1:4" ht="13.5">
      <c r="A533" s="49">
        <v>5892</v>
      </c>
      <c r="B533" s="48" t="s">
        <v>2908</v>
      </c>
      <c r="C533" s="48" t="s">
        <v>2889</v>
      </c>
      <c r="D533" s="50">
        <v>44.15</v>
      </c>
    </row>
    <row r="534" spans="1:4" ht="13.5">
      <c r="A534" s="49">
        <v>5896</v>
      </c>
      <c r="B534" s="48" t="s">
        <v>2909</v>
      </c>
      <c r="C534" s="48" t="s">
        <v>2889</v>
      </c>
      <c r="D534" s="50">
        <v>41.14</v>
      </c>
    </row>
    <row r="535" spans="1:4" ht="13.5">
      <c r="A535" s="49">
        <v>5903</v>
      </c>
      <c r="B535" s="48" t="s">
        <v>2910</v>
      </c>
      <c r="C535" s="48" t="s">
        <v>2889</v>
      </c>
      <c r="D535" s="50">
        <v>54.86</v>
      </c>
    </row>
    <row r="536" spans="1:4" ht="13.5">
      <c r="A536" s="49">
        <v>5911</v>
      </c>
      <c r="B536" s="48" t="s">
        <v>2911</v>
      </c>
      <c r="C536" s="48" t="s">
        <v>2889</v>
      </c>
      <c r="D536" s="50">
        <v>22.61</v>
      </c>
    </row>
    <row r="537" spans="1:4" ht="13.5">
      <c r="A537" s="49">
        <v>5923</v>
      </c>
      <c r="B537" s="48" t="s">
        <v>2912</v>
      </c>
      <c r="C537" s="48" t="s">
        <v>2889</v>
      </c>
      <c r="D537" s="50">
        <v>3.62</v>
      </c>
    </row>
    <row r="538" spans="1:4" ht="13.5">
      <c r="A538" s="49">
        <v>5930</v>
      </c>
      <c r="B538" s="48" t="s">
        <v>2913</v>
      </c>
      <c r="C538" s="48" t="s">
        <v>2889</v>
      </c>
      <c r="D538" s="50">
        <v>52.86</v>
      </c>
    </row>
    <row r="539" spans="1:4" ht="13.5">
      <c r="A539" s="49">
        <v>5934</v>
      </c>
      <c r="B539" s="48" t="s">
        <v>2914</v>
      </c>
      <c r="C539" s="48" t="s">
        <v>2889</v>
      </c>
      <c r="D539" s="50">
        <v>80.86</v>
      </c>
    </row>
    <row r="540" spans="1:4" ht="13.5">
      <c r="A540" s="49">
        <v>5942</v>
      </c>
      <c r="B540" s="48" t="s">
        <v>2915</v>
      </c>
      <c r="C540" s="48" t="s">
        <v>2889</v>
      </c>
      <c r="D540" s="50">
        <v>68.83</v>
      </c>
    </row>
    <row r="541" spans="1:4" ht="13.5">
      <c r="A541" s="49">
        <v>5946</v>
      </c>
      <c r="B541" s="48" t="s">
        <v>2916</v>
      </c>
      <c r="C541" s="48" t="s">
        <v>2889</v>
      </c>
      <c r="D541" s="50">
        <v>85.06</v>
      </c>
    </row>
    <row r="542" spans="1:4" ht="13.5">
      <c r="A542" s="49">
        <v>5952</v>
      </c>
      <c r="B542" s="48" t="s">
        <v>2917</v>
      </c>
      <c r="C542" s="48" t="s">
        <v>2889</v>
      </c>
      <c r="D542" s="50">
        <v>17.63</v>
      </c>
    </row>
    <row r="543" spans="1:4" ht="13.5">
      <c r="A543" s="49">
        <v>5954</v>
      </c>
      <c r="B543" s="48" t="s">
        <v>2918</v>
      </c>
      <c r="C543" s="48" t="s">
        <v>2889</v>
      </c>
      <c r="D543" s="50">
        <v>4.4000000000000004</v>
      </c>
    </row>
    <row r="544" spans="1:4" ht="13.5">
      <c r="A544" s="49">
        <v>5961</v>
      </c>
      <c r="B544" s="48" t="s">
        <v>2919</v>
      </c>
      <c r="C544" s="48" t="s">
        <v>2889</v>
      </c>
      <c r="D544" s="50">
        <v>49.47</v>
      </c>
    </row>
    <row r="545" spans="1:4" ht="13.5">
      <c r="A545" s="49">
        <v>6260</v>
      </c>
      <c r="B545" s="48" t="s">
        <v>2920</v>
      </c>
      <c r="C545" s="48" t="s">
        <v>2889</v>
      </c>
      <c r="D545" s="50">
        <v>48.39</v>
      </c>
    </row>
    <row r="546" spans="1:4" ht="13.5">
      <c r="A546" s="49">
        <v>6880</v>
      </c>
      <c r="B546" s="48" t="s">
        <v>2921</v>
      </c>
      <c r="C546" s="48" t="s">
        <v>2889</v>
      </c>
      <c r="D546" s="50">
        <v>73.52</v>
      </c>
    </row>
    <row r="547" spans="1:4" ht="13.5">
      <c r="A547" s="49">
        <v>7031</v>
      </c>
      <c r="B547" s="48" t="s">
        <v>2922</v>
      </c>
      <c r="C547" s="48" t="s">
        <v>2889</v>
      </c>
      <c r="D547" s="50">
        <v>6.32</v>
      </c>
    </row>
    <row r="548" spans="1:4" ht="13.5">
      <c r="A548" s="49">
        <v>7043</v>
      </c>
      <c r="B548" s="48" t="s">
        <v>2923</v>
      </c>
      <c r="C548" s="48" t="s">
        <v>2889</v>
      </c>
      <c r="D548" s="50">
        <v>0.28999999999999998</v>
      </c>
    </row>
    <row r="549" spans="1:4" ht="13.5">
      <c r="A549" s="49">
        <v>7050</v>
      </c>
      <c r="B549" s="48" t="s">
        <v>2924</v>
      </c>
      <c r="C549" s="48" t="s">
        <v>2889</v>
      </c>
      <c r="D549" s="50">
        <v>67.77</v>
      </c>
    </row>
    <row r="550" spans="1:4" ht="13.5">
      <c r="A550" s="49">
        <v>67827</v>
      </c>
      <c r="B550" s="48" t="s">
        <v>2925</v>
      </c>
      <c r="C550" s="48" t="s">
        <v>2889</v>
      </c>
      <c r="D550" s="50">
        <v>48.38</v>
      </c>
    </row>
    <row r="551" spans="1:4" ht="13.5">
      <c r="A551" s="49">
        <v>73395</v>
      </c>
      <c r="B551" s="48" t="s">
        <v>2926</v>
      </c>
      <c r="C551" s="48" t="s">
        <v>2889</v>
      </c>
      <c r="D551" s="50">
        <v>6.32</v>
      </c>
    </row>
    <row r="552" spans="1:4" ht="13.5">
      <c r="A552" s="49">
        <v>83766</v>
      </c>
      <c r="B552" s="48" t="s">
        <v>2927</v>
      </c>
      <c r="C552" s="48" t="s">
        <v>2889</v>
      </c>
      <c r="D552" s="50">
        <v>37.03</v>
      </c>
    </row>
    <row r="553" spans="1:4" ht="13.5">
      <c r="A553" s="49">
        <v>84013</v>
      </c>
      <c r="B553" s="48" t="s">
        <v>2928</v>
      </c>
      <c r="C553" s="48" t="s">
        <v>2889</v>
      </c>
      <c r="D553" s="50">
        <v>81.03</v>
      </c>
    </row>
    <row r="554" spans="1:4" ht="13.5">
      <c r="A554" s="49">
        <v>87446</v>
      </c>
      <c r="B554" s="48" t="s">
        <v>2929</v>
      </c>
      <c r="C554" s="48" t="s">
        <v>2889</v>
      </c>
      <c r="D554" s="50">
        <v>0.47</v>
      </c>
    </row>
    <row r="555" spans="1:4" ht="13.5">
      <c r="A555" s="49">
        <v>88392</v>
      </c>
      <c r="B555" s="48" t="s">
        <v>2930</v>
      </c>
      <c r="C555" s="48" t="s">
        <v>2889</v>
      </c>
      <c r="D555" s="50">
        <v>0.91</v>
      </c>
    </row>
    <row r="556" spans="1:4" ht="13.5">
      <c r="A556" s="49">
        <v>88398</v>
      </c>
      <c r="B556" s="48" t="s">
        <v>2931</v>
      </c>
      <c r="C556" s="48" t="s">
        <v>2889</v>
      </c>
      <c r="D556" s="50">
        <v>1.0900000000000001</v>
      </c>
    </row>
    <row r="557" spans="1:4" ht="13.5">
      <c r="A557" s="49">
        <v>88404</v>
      </c>
      <c r="B557" s="48" t="s">
        <v>2932</v>
      </c>
      <c r="C557" s="48" t="s">
        <v>2889</v>
      </c>
      <c r="D557" s="50">
        <v>0.87</v>
      </c>
    </row>
    <row r="558" spans="1:4" ht="13.5">
      <c r="A558" s="49">
        <v>88430</v>
      </c>
      <c r="B558" s="48" t="s">
        <v>2933</v>
      </c>
      <c r="C558" s="48" t="s">
        <v>2889</v>
      </c>
      <c r="D558" s="50">
        <v>5.68</v>
      </c>
    </row>
    <row r="559" spans="1:4" ht="13.5">
      <c r="A559" s="49">
        <v>88438</v>
      </c>
      <c r="B559" s="48" t="s">
        <v>2934</v>
      </c>
      <c r="C559" s="48" t="s">
        <v>2889</v>
      </c>
      <c r="D559" s="50">
        <v>7.53</v>
      </c>
    </row>
    <row r="560" spans="1:4" ht="13.5">
      <c r="A560" s="49">
        <v>88831</v>
      </c>
      <c r="B560" s="48" t="s">
        <v>2935</v>
      </c>
      <c r="C560" s="48" t="s">
        <v>2889</v>
      </c>
      <c r="D560" s="50">
        <v>0.34</v>
      </c>
    </row>
    <row r="561" spans="1:4" ht="13.5">
      <c r="A561" s="49">
        <v>88844</v>
      </c>
      <c r="B561" s="48" t="s">
        <v>2936</v>
      </c>
      <c r="C561" s="48" t="s">
        <v>2889</v>
      </c>
      <c r="D561" s="50">
        <v>64.55</v>
      </c>
    </row>
    <row r="562" spans="1:4" ht="13.5">
      <c r="A562" s="49">
        <v>88908</v>
      </c>
      <c r="B562" s="48" t="s">
        <v>2937</v>
      </c>
      <c r="C562" s="48" t="s">
        <v>2889</v>
      </c>
      <c r="D562" s="50">
        <v>89.59</v>
      </c>
    </row>
    <row r="563" spans="1:4" ht="13.5">
      <c r="A563" s="49">
        <v>89022</v>
      </c>
      <c r="B563" s="48" t="s">
        <v>2938</v>
      </c>
      <c r="C563" s="48" t="s">
        <v>2889</v>
      </c>
      <c r="D563" s="50">
        <v>0.3</v>
      </c>
    </row>
    <row r="564" spans="1:4" ht="13.5">
      <c r="A564" s="49">
        <v>89027</v>
      </c>
      <c r="B564" s="48" t="s">
        <v>2939</v>
      </c>
      <c r="C564" s="48" t="s">
        <v>2889</v>
      </c>
      <c r="D564" s="50">
        <v>5.14</v>
      </c>
    </row>
    <row r="565" spans="1:4" ht="13.5">
      <c r="A565" s="49">
        <v>89031</v>
      </c>
      <c r="B565" s="48" t="s">
        <v>2940</v>
      </c>
      <c r="C565" s="48" t="s">
        <v>2889</v>
      </c>
      <c r="D565" s="50">
        <v>63.03</v>
      </c>
    </row>
    <row r="566" spans="1:4" ht="13.5">
      <c r="A566" s="49">
        <v>89036</v>
      </c>
      <c r="B566" s="48" t="s">
        <v>2941</v>
      </c>
      <c r="C566" s="48" t="s">
        <v>2889</v>
      </c>
      <c r="D566" s="50">
        <v>44.18</v>
      </c>
    </row>
    <row r="567" spans="1:4" ht="13.5">
      <c r="A567" s="49">
        <v>89218</v>
      </c>
      <c r="B567" s="48" t="s">
        <v>2942</v>
      </c>
      <c r="C567" s="48" t="s">
        <v>2889</v>
      </c>
      <c r="D567" s="50">
        <v>88.43</v>
      </c>
    </row>
    <row r="568" spans="1:4" ht="13.5">
      <c r="A568" s="49">
        <v>89226</v>
      </c>
      <c r="B568" s="48" t="s">
        <v>2943</v>
      </c>
      <c r="C568" s="48" t="s">
        <v>2889</v>
      </c>
      <c r="D568" s="50">
        <v>1.41</v>
      </c>
    </row>
    <row r="569" spans="1:4" ht="13.5">
      <c r="A569" s="49">
        <v>89235</v>
      </c>
      <c r="B569" s="48" t="s">
        <v>2944</v>
      </c>
      <c r="C569" s="48" t="s">
        <v>2889</v>
      </c>
      <c r="D569" s="50">
        <v>206.77</v>
      </c>
    </row>
    <row r="570" spans="1:4" ht="13.5">
      <c r="A570" s="49">
        <v>89243</v>
      </c>
      <c r="B570" s="48" t="s">
        <v>2945</v>
      </c>
      <c r="C570" s="48" t="s">
        <v>2889</v>
      </c>
      <c r="D570" s="50">
        <v>445.11</v>
      </c>
    </row>
    <row r="571" spans="1:4" ht="13.5">
      <c r="A571" s="49">
        <v>89251</v>
      </c>
      <c r="B571" s="48" t="s">
        <v>2946</v>
      </c>
      <c r="C571" s="48" t="s">
        <v>2889</v>
      </c>
      <c r="D571" s="50">
        <v>390.49</v>
      </c>
    </row>
    <row r="572" spans="1:4" ht="13.5">
      <c r="A572" s="49">
        <v>89258</v>
      </c>
      <c r="B572" s="48" t="s">
        <v>2947</v>
      </c>
      <c r="C572" s="48" t="s">
        <v>2889</v>
      </c>
      <c r="D572" s="50">
        <v>135.13</v>
      </c>
    </row>
    <row r="573" spans="1:4" ht="13.5">
      <c r="A573" s="49">
        <v>89273</v>
      </c>
      <c r="B573" s="48" t="s">
        <v>2948</v>
      </c>
      <c r="C573" s="48" t="s">
        <v>2889</v>
      </c>
      <c r="D573" s="50">
        <v>99.56</v>
      </c>
    </row>
    <row r="574" spans="1:4" ht="13.5">
      <c r="A574" s="49">
        <v>89279</v>
      </c>
      <c r="B574" s="48" t="s">
        <v>2949</v>
      </c>
      <c r="C574" s="48" t="s">
        <v>2889</v>
      </c>
      <c r="D574" s="50">
        <v>1.72</v>
      </c>
    </row>
    <row r="575" spans="1:4" ht="13.5">
      <c r="A575" s="49">
        <v>89877</v>
      </c>
      <c r="B575" s="48" t="s">
        <v>2950</v>
      </c>
      <c r="C575" s="48" t="s">
        <v>2889</v>
      </c>
      <c r="D575" s="50">
        <v>65.84</v>
      </c>
    </row>
    <row r="576" spans="1:4" ht="13.5">
      <c r="A576" s="49">
        <v>89884</v>
      </c>
      <c r="B576" s="48" t="s">
        <v>2951</v>
      </c>
      <c r="C576" s="48" t="s">
        <v>2889</v>
      </c>
      <c r="D576" s="50">
        <v>68.959999999999994</v>
      </c>
    </row>
    <row r="577" spans="1:4" ht="13.5">
      <c r="A577" s="49">
        <v>90587</v>
      </c>
      <c r="B577" s="48" t="s">
        <v>2952</v>
      </c>
      <c r="C577" s="48" t="s">
        <v>2889</v>
      </c>
      <c r="D577" s="50">
        <v>0.44</v>
      </c>
    </row>
    <row r="578" spans="1:4" ht="13.5">
      <c r="A578" s="49">
        <v>90626</v>
      </c>
      <c r="B578" s="48" t="s">
        <v>2953</v>
      </c>
      <c r="C578" s="48" t="s">
        <v>2889</v>
      </c>
      <c r="D578" s="50">
        <v>1.54</v>
      </c>
    </row>
    <row r="579" spans="1:4" ht="13.5">
      <c r="A579" s="49">
        <v>90632</v>
      </c>
      <c r="B579" s="48" t="s">
        <v>2954</v>
      </c>
      <c r="C579" s="48" t="s">
        <v>2889</v>
      </c>
      <c r="D579" s="50">
        <v>83.22</v>
      </c>
    </row>
    <row r="580" spans="1:4" ht="13.5">
      <c r="A580" s="49">
        <v>90638</v>
      </c>
      <c r="B580" s="48" t="s">
        <v>2955</v>
      </c>
      <c r="C580" s="48" t="s">
        <v>2889</v>
      </c>
      <c r="D580" s="50">
        <v>4.37</v>
      </c>
    </row>
    <row r="581" spans="1:4" ht="13.5">
      <c r="A581" s="49">
        <v>90644</v>
      </c>
      <c r="B581" s="48" t="s">
        <v>2956</v>
      </c>
      <c r="C581" s="48" t="s">
        <v>2889</v>
      </c>
      <c r="D581" s="50">
        <v>6.52</v>
      </c>
    </row>
    <row r="582" spans="1:4" ht="13.5">
      <c r="A582" s="49">
        <v>90651</v>
      </c>
      <c r="B582" s="48" t="s">
        <v>2957</v>
      </c>
      <c r="C582" s="48" t="s">
        <v>2889</v>
      </c>
      <c r="D582" s="50">
        <v>0.83</v>
      </c>
    </row>
    <row r="583" spans="1:4" ht="13.5">
      <c r="A583" s="49">
        <v>90657</v>
      </c>
      <c r="B583" s="48" t="s">
        <v>2958</v>
      </c>
      <c r="C583" s="48" t="s">
        <v>2889</v>
      </c>
      <c r="D583" s="50">
        <v>4.25</v>
      </c>
    </row>
    <row r="584" spans="1:4" ht="13.5">
      <c r="A584" s="49">
        <v>90663</v>
      </c>
      <c r="B584" s="48" t="s">
        <v>2959</v>
      </c>
      <c r="C584" s="48" t="s">
        <v>2889</v>
      </c>
      <c r="D584" s="50">
        <v>4.55</v>
      </c>
    </row>
    <row r="585" spans="1:4" ht="13.5">
      <c r="A585" s="49">
        <v>90669</v>
      </c>
      <c r="B585" s="48" t="s">
        <v>2960</v>
      </c>
      <c r="C585" s="48" t="s">
        <v>2889</v>
      </c>
      <c r="D585" s="50">
        <v>5.91</v>
      </c>
    </row>
    <row r="586" spans="1:4" ht="13.5">
      <c r="A586" s="49">
        <v>90675</v>
      </c>
      <c r="B586" s="48" t="s">
        <v>2961</v>
      </c>
      <c r="C586" s="48" t="s">
        <v>2889</v>
      </c>
      <c r="D586" s="50">
        <v>281.36</v>
      </c>
    </row>
    <row r="587" spans="1:4" ht="13.5">
      <c r="A587" s="49">
        <v>90681</v>
      </c>
      <c r="B587" s="48" t="s">
        <v>2962</v>
      </c>
      <c r="C587" s="48" t="s">
        <v>2889</v>
      </c>
      <c r="D587" s="50">
        <v>157.09</v>
      </c>
    </row>
    <row r="588" spans="1:4" ht="13.5">
      <c r="A588" s="49">
        <v>90687</v>
      </c>
      <c r="B588" s="48" t="s">
        <v>2963</v>
      </c>
      <c r="C588" s="48" t="s">
        <v>2889</v>
      </c>
      <c r="D588" s="50">
        <v>59.89</v>
      </c>
    </row>
    <row r="589" spans="1:4" ht="13.5">
      <c r="A589" s="49">
        <v>90693</v>
      </c>
      <c r="B589" s="48" t="s">
        <v>2964</v>
      </c>
      <c r="C589" s="48" t="s">
        <v>2889</v>
      </c>
      <c r="D589" s="50">
        <v>43.57</v>
      </c>
    </row>
    <row r="590" spans="1:4" ht="13.5">
      <c r="A590" s="49">
        <v>90965</v>
      </c>
      <c r="B590" s="48" t="s">
        <v>2965</v>
      </c>
      <c r="C590" s="48" t="s">
        <v>2889</v>
      </c>
      <c r="D590" s="50">
        <v>5.88</v>
      </c>
    </row>
    <row r="591" spans="1:4" ht="13.5">
      <c r="A591" s="49">
        <v>90973</v>
      </c>
      <c r="B591" s="48" t="s">
        <v>2966</v>
      </c>
      <c r="C591" s="48" t="s">
        <v>2889</v>
      </c>
      <c r="D591" s="50">
        <v>5.89</v>
      </c>
    </row>
    <row r="592" spans="1:4" ht="13.5">
      <c r="A592" s="49">
        <v>90982</v>
      </c>
      <c r="B592" s="48" t="s">
        <v>2967</v>
      </c>
      <c r="C592" s="48" t="s">
        <v>2889</v>
      </c>
      <c r="D592" s="50">
        <v>14.98</v>
      </c>
    </row>
    <row r="593" spans="1:4" ht="13.5">
      <c r="A593" s="49">
        <v>91001</v>
      </c>
      <c r="B593" s="48" t="s">
        <v>2968</v>
      </c>
      <c r="C593" s="48" t="s">
        <v>2889</v>
      </c>
      <c r="D593" s="50">
        <v>6.99</v>
      </c>
    </row>
    <row r="594" spans="1:4" ht="13.5">
      <c r="A594" s="49">
        <v>91032</v>
      </c>
      <c r="B594" s="48" t="s">
        <v>2969</v>
      </c>
      <c r="C594" s="48" t="s">
        <v>2889</v>
      </c>
      <c r="D594" s="50">
        <v>50.31</v>
      </c>
    </row>
    <row r="595" spans="1:4" ht="13.5">
      <c r="A595" s="49">
        <v>91278</v>
      </c>
      <c r="B595" s="48" t="s">
        <v>2970</v>
      </c>
      <c r="C595" s="48" t="s">
        <v>2889</v>
      </c>
      <c r="D595" s="50">
        <v>0.54</v>
      </c>
    </row>
    <row r="596" spans="1:4" ht="13.5">
      <c r="A596" s="49">
        <v>91285</v>
      </c>
      <c r="B596" s="48" t="s">
        <v>2971</v>
      </c>
      <c r="C596" s="48" t="s">
        <v>2889</v>
      </c>
      <c r="D596" s="50">
        <v>1.2</v>
      </c>
    </row>
    <row r="597" spans="1:4" ht="13.5">
      <c r="A597" s="49">
        <v>91387</v>
      </c>
      <c r="B597" s="48" t="s">
        <v>2972</v>
      </c>
      <c r="C597" s="48" t="s">
        <v>2889</v>
      </c>
      <c r="D597" s="50">
        <v>53.12</v>
      </c>
    </row>
    <row r="598" spans="1:4" ht="13.5">
      <c r="A598" s="49">
        <v>91395</v>
      </c>
      <c r="B598" s="48" t="s">
        <v>2973</v>
      </c>
      <c r="C598" s="48" t="s">
        <v>2889</v>
      </c>
      <c r="D598" s="50">
        <v>46.38</v>
      </c>
    </row>
    <row r="599" spans="1:4" ht="13.5">
      <c r="A599" s="49">
        <v>91486</v>
      </c>
      <c r="B599" s="48" t="s">
        <v>2974</v>
      </c>
      <c r="C599" s="48" t="s">
        <v>2889</v>
      </c>
      <c r="D599" s="50">
        <v>53.82</v>
      </c>
    </row>
    <row r="600" spans="1:4" ht="13.5">
      <c r="A600" s="49">
        <v>91534</v>
      </c>
      <c r="B600" s="48" t="s">
        <v>2975</v>
      </c>
      <c r="C600" s="48" t="s">
        <v>2889</v>
      </c>
      <c r="D600" s="50">
        <v>28.94</v>
      </c>
    </row>
    <row r="601" spans="1:4" ht="13.5">
      <c r="A601" s="49">
        <v>91635</v>
      </c>
      <c r="B601" s="48" t="s">
        <v>2976</v>
      </c>
      <c r="C601" s="48" t="s">
        <v>2889</v>
      </c>
      <c r="D601" s="50">
        <v>50.45</v>
      </c>
    </row>
    <row r="602" spans="1:4" ht="13.5">
      <c r="A602" s="49">
        <v>91646</v>
      </c>
      <c r="B602" s="48" t="s">
        <v>2977</v>
      </c>
      <c r="C602" s="48" t="s">
        <v>2889</v>
      </c>
      <c r="D602" s="50">
        <v>74.77</v>
      </c>
    </row>
    <row r="603" spans="1:4" ht="13.5">
      <c r="A603" s="49">
        <v>91693</v>
      </c>
      <c r="B603" s="48" t="s">
        <v>2978</v>
      </c>
      <c r="C603" s="48" t="s">
        <v>2889</v>
      </c>
      <c r="D603" s="50">
        <v>28.28</v>
      </c>
    </row>
    <row r="604" spans="1:4" ht="13.5">
      <c r="A604" s="49">
        <v>92044</v>
      </c>
      <c r="B604" s="48" t="s">
        <v>2979</v>
      </c>
      <c r="C604" s="48" t="s">
        <v>2889</v>
      </c>
      <c r="D604" s="50">
        <v>6.71</v>
      </c>
    </row>
    <row r="605" spans="1:4" ht="13.5">
      <c r="A605" s="49">
        <v>92107</v>
      </c>
      <c r="B605" s="48" t="s">
        <v>2980</v>
      </c>
      <c r="C605" s="48" t="s">
        <v>2889</v>
      </c>
      <c r="D605" s="50">
        <v>63.57</v>
      </c>
    </row>
    <row r="606" spans="1:4" ht="13.5">
      <c r="A606" s="49">
        <v>92113</v>
      </c>
      <c r="B606" s="48" t="s">
        <v>2981</v>
      </c>
      <c r="C606" s="48" t="s">
        <v>2889</v>
      </c>
      <c r="D606" s="50">
        <v>1.01</v>
      </c>
    </row>
    <row r="607" spans="1:4" ht="13.5">
      <c r="A607" s="49">
        <v>92119</v>
      </c>
      <c r="B607" s="48" t="s">
        <v>2982</v>
      </c>
      <c r="C607" s="48" t="s">
        <v>2889</v>
      </c>
      <c r="D607" s="50">
        <v>0.11</v>
      </c>
    </row>
    <row r="608" spans="1:4" ht="13.5">
      <c r="A608" s="49">
        <v>92139</v>
      </c>
      <c r="B608" s="48" t="s">
        <v>2983</v>
      </c>
      <c r="C608" s="48" t="s">
        <v>2889</v>
      </c>
      <c r="D608" s="50">
        <v>38.799999999999997</v>
      </c>
    </row>
    <row r="609" spans="1:4" ht="13.5">
      <c r="A609" s="49">
        <v>92146</v>
      </c>
      <c r="B609" s="48" t="s">
        <v>2984</v>
      </c>
      <c r="C609" s="48" t="s">
        <v>2889</v>
      </c>
      <c r="D609" s="50">
        <v>28.74</v>
      </c>
    </row>
    <row r="610" spans="1:4" ht="13.5">
      <c r="A610" s="49">
        <v>92243</v>
      </c>
      <c r="B610" s="48" t="s">
        <v>2985</v>
      </c>
      <c r="C610" s="48" t="s">
        <v>2889</v>
      </c>
      <c r="D610" s="50">
        <v>63.2</v>
      </c>
    </row>
    <row r="611" spans="1:4" ht="13.5">
      <c r="A611" s="49">
        <v>92717</v>
      </c>
      <c r="B611" s="48" t="s">
        <v>2986</v>
      </c>
      <c r="C611" s="48" t="s">
        <v>2889</v>
      </c>
      <c r="D611" s="50">
        <v>0.27</v>
      </c>
    </row>
    <row r="612" spans="1:4" ht="13.5">
      <c r="A612" s="49">
        <v>92961</v>
      </c>
      <c r="B612" s="48" t="s">
        <v>2987</v>
      </c>
      <c r="C612" s="48" t="s">
        <v>2889</v>
      </c>
      <c r="D612" s="50">
        <v>5.04</v>
      </c>
    </row>
    <row r="613" spans="1:4" ht="13.5">
      <c r="A613" s="49">
        <v>92967</v>
      </c>
      <c r="B613" s="48" t="s">
        <v>2988</v>
      </c>
      <c r="C613" s="48" t="s">
        <v>2889</v>
      </c>
      <c r="D613" s="50">
        <v>17.66</v>
      </c>
    </row>
    <row r="614" spans="1:4" ht="13.5">
      <c r="A614" s="49">
        <v>93225</v>
      </c>
      <c r="B614" s="48" t="s">
        <v>2989</v>
      </c>
      <c r="C614" s="48" t="s">
        <v>2889</v>
      </c>
      <c r="D614" s="50">
        <v>421.88</v>
      </c>
    </row>
    <row r="615" spans="1:4" ht="13.5">
      <c r="A615" s="49">
        <v>93234</v>
      </c>
      <c r="B615" s="48" t="s">
        <v>2990</v>
      </c>
      <c r="C615" s="48" t="s">
        <v>2889</v>
      </c>
      <c r="D615" s="50">
        <v>0.42</v>
      </c>
    </row>
    <row r="616" spans="1:4" ht="13.5">
      <c r="A616" s="49">
        <v>93244</v>
      </c>
      <c r="B616" s="48" t="s">
        <v>2991</v>
      </c>
      <c r="C616" s="48" t="s">
        <v>2889</v>
      </c>
      <c r="D616" s="50">
        <v>56.48</v>
      </c>
    </row>
    <row r="617" spans="1:4" ht="13.5">
      <c r="A617" s="49">
        <v>93274</v>
      </c>
      <c r="B617" s="48" t="s">
        <v>2992</v>
      </c>
      <c r="C617" s="48" t="s">
        <v>2889</v>
      </c>
      <c r="D617" s="50">
        <v>86.38</v>
      </c>
    </row>
    <row r="618" spans="1:4" ht="13.5">
      <c r="A618" s="49">
        <v>93282</v>
      </c>
      <c r="B618" s="48" t="s">
        <v>2993</v>
      </c>
      <c r="C618" s="48" t="s">
        <v>2889</v>
      </c>
      <c r="D618" s="50">
        <v>24.85</v>
      </c>
    </row>
    <row r="619" spans="1:4" ht="13.5">
      <c r="A619" s="49">
        <v>93288</v>
      </c>
      <c r="B619" s="48" t="s">
        <v>2994</v>
      </c>
      <c r="C619" s="48" t="s">
        <v>2889</v>
      </c>
      <c r="D619" s="50">
        <v>153.43</v>
      </c>
    </row>
    <row r="620" spans="1:4" ht="13.5">
      <c r="A620" s="49">
        <v>93403</v>
      </c>
      <c r="B620" s="48" t="s">
        <v>2995</v>
      </c>
      <c r="C620" s="48" t="s">
        <v>2889</v>
      </c>
      <c r="D620" s="50">
        <v>50.45</v>
      </c>
    </row>
    <row r="621" spans="1:4" ht="13.5">
      <c r="A621" s="49">
        <v>93409</v>
      </c>
      <c r="B621" s="48" t="s">
        <v>2996</v>
      </c>
      <c r="C621" s="48" t="s">
        <v>2889</v>
      </c>
      <c r="D621" s="50">
        <v>33.049999999999997</v>
      </c>
    </row>
    <row r="622" spans="1:4" ht="13.5">
      <c r="A622" s="49">
        <v>93416</v>
      </c>
      <c r="B622" s="48" t="s">
        <v>2997</v>
      </c>
      <c r="C622" s="48" t="s">
        <v>2889</v>
      </c>
      <c r="D622" s="50">
        <v>0.28999999999999998</v>
      </c>
    </row>
    <row r="623" spans="1:4" ht="13.5">
      <c r="A623" s="49">
        <v>93422</v>
      </c>
      <c r="B623" s="48" t="s">
        <v>2998</v>
      </c>
      <c r="C623" s="48" t="s">
        <v>2889</v>
      </c>
      <c r="D623" s="50">
        <v>3.97</v>
      </c>
    </row>
    <row r="624" spans="1:4" ht="13.5">
      <c r="A624" s="49">
        <v>93428</v>
      </c>
      <c r="B624" s="48" t="s">
        <v>2999</v>
      </c>
      <c r="C624" s="48" t="s">
        <v>2889</v>
      </c>
      <c r="D624" s="50">
        <v>5.63</v>
      </c>
    </row>
    <row r="625" spans="1:4" ht="13.5">
      <c r="A625" s="49">
        <v>93434</v>
      </c>
      <c r="B625" s="48" t="s">
        <v>3000</v>
      </c>
      <c r="C625" s="48" t="s">
        <v>2889</v>
      </c>
      <c r="D625" s="50">
        <v>225.32</v>
      </c>
    </row>
    <row r="626" spans="1:4" ht="13.5">
      <c r="A626" s="49">
        <v>93440</v>
      </c>
      <c r="B626" s="48" t="s">
        <v>3001</v>
      </c>
      <c r="C626" s="48" t="s">
        <v>2889</v>
      </c>
      <c r="D626" s="50">
        <v>104.63</v>
      </c>
    </row>
    <row r="627" spans="1:4" ht="13.5">
      <c r="A627" s="49">
        <v>95122</v>
      </c>
      <c r="B627" s="48" t="s">
        <v>3002</v>
      </c>
      <c r="C627" s="48" t="s">
        <v>2889</v>
      </c>
      <c r="D627" s="50">
        <v>171.41</v>
      </c>
    </row>
    <row r="628" spans="1:4" ht="13.5">
      <c r="A628" s="49">
        <v>95128</v>
      </c>
      <c r="B628" s="48" t="s">
        <v>3003</v>
      </c>
      <c r="C628" s="48" t="s">
        <v>2889</v>
      </c>
      <c r="D628" s="50">
        <v>47.55</v>
      </c>
    </row>
    <row r="629" spans="1:4" ht="13.5">
      <c r="A629" s="49">
        <v>95140</v>
      </c>
      <c r="B629" s="48" t="s">
        <v>3004</v>
      </c>
      <c r="C629" s="48" t="s">
        <v>2889</v>
      </c>
      <c r="D629" s="50">
        <v>0.03</v>
      </c>
    </row>
    <row r="630" spans="1:4" ht="13.5">
      <c r="A630" s="49">
        <v>95213</v>
      </c>
      <c r="B630" s="48" t="s">
        <v>3005</v>
      </c>
      <c r="C630" s="48" t="s">
        <v>2889</v>
      </c>
      <c r="D630" s="50">
        <v>92.39</v>
      </c>
    </row>
    <row r="631" spans="1:4" ht="13.5">
      <c r="A631" s="49">
        <v>95259</v>
      </c>
      <c r="B631" s="48" t="s">
        <v>3006</v>
      </c>
      <c r="C631" s="48" t="s">
        <v>2889</v>
      </c>
      <c r="D631" s="50">
        <v>17.5</v>
      </c>
    </row>
    <row r="632" spans="1:4" ht="13.5">
      <c r="A632" s="49">
        <v>95265</v>
      </c>
      <c r="B632" s="48" t="s">
        <v>3007</v>
      </c>
      <c r="C632" s="48" t="s">
        <v>2889</v>
      </c>
      <c r="D632" s="50">
        <v>0.68</v>
      </c>
    </row>
    <row r="633" spans="1:4" ht="13.5">
      <c r="A633" s="49">
        <v>95271</v>
      </c>
      <c r="B633" s="48" t="s">
        <v>3008</v>
      </c>
      <c r="C633" s="48" t="s">
        <v>2889</v>
      </c>
      <c r="D633" s="50">
        <v>0.44</v>
      </c>
    </row>
    <row r="634" spans="1:4" ht="13.5">
      <c r="A634" s="49">
        <v>95277</v>
      </c>
      <c r="B634" s="48" t="s">
        <v>3009</v>
      </c>
      <c r="C634" s="48" t="s">
        <v>2889</v>
      </c>
      <c r="D634" s="50">
        <v>0.43</v>
      </c>
    </row>
    <row r="635" spans="1:4" ht="13.5">
      <c r="A635" s="49">
        <v>95283</v>
      </c>
      <c r="B635" s="48" t="s">
        <v>3010</v>
      </c>
      <c r="C635" s="48" t="s">
        <v>2889</v>
      </c>
      <c r="D635" s="50">
        <v>0.53</v>
      </c>
    </row>
    <row r="636" spans="1:4" ht="13.5">
      <c r="A636" s="49">
        <v>95621</v>
      </c>
      <c r="B636" s="48" t="s">
        <v>3011</v>
      </c>
      <c r="C636" s="48" t="s">
        <v>2889</v>
      </c>
      <c r="D636" s="50">
        <v>17.309999999999999</v>
      </c>
    </row>
    <row r="637" spans="1:4" ht="13.5">
      <c r="A637" s="49">
        <v>95632</v>
      </c>
      <c r="B637" s="48" t="s">
        <v>3012</v>
      </c>
      <c r="C637" s="48" t="s">
        <v>2889</v>
      </c>
      <c r="D637" s="50">
        <v>71.33</v>
      </c>
    </row>
    <row r="638" spans="1:4" ht="13.5">
      <c r="A638" s="49">
        <v>95703</v>
      </c>
      <c r="B638" s="48" t="s">
        <v>3013</v>
      </c>
      <c r="C638" s="48" t="s">
        <v>2889</v>
      </c>
      <c r="D638" s="50">
        <v>31.56</v>
      </c>
    </row>
    <row r="639" spans="1:4" ht="13.5">
      <c r="A639" s="49">
        <v>95709</v>
      </c>
      <c r="B639" s="48" t="s">
        <v>3014</v>
      </c>
      <c r="C639" s="48" t="s">
        <v>2889</v>
      </c>
      <c r="D639" s="50">
        <v>80.930000000000007</v>
      </c>
    </row>
    <row r="640" spans="1:4" ht="13.5">
      <c r="A640" s="49">
        <v>95715</v>
      </c>
      <c r="B640" s="48" t="s">
        <v>3015</v>
      </c>
      <c r="C640" s="48" t="s">
        <v>2889</v>
      </c>
      <c r="D640" s="50">
        <v>92.84</v>
      </c>
    </row>
    <row r="641" spans="1:4" ht="13.5">
      <c r="A641" s="49">
        <v>95721</v>
      </c>
      <c r="B641" s="48" t="s">
        <v>3016</v>
      </c>
      <c r="C641" s="48" t="s">
        <v>2889</v>
      </c>
      <c r="D641" s="50">
        <v>90.47</v>
      </c>
    </row>
    <row r="642" spans="1:4" ht="13.5">
      <c r="A642" s="49">
        <v>95873</v>
      </c>
      <c r="B642" s="48" t="s">
        <v>3017</v>
      </c>
      <c r="C642" s="48" t="s">
        <v>2889</v>
      </c>
      <c r="D642" s="50">
        <v>9</v>
      </c>
    </row>
    <row r="643" spans="1:4" ht="13.5">
      <c r="A643" s="49">
        <v>96014</v>
      </c>
      <c r="B643" s="48" t="s">
        <v>3018</v>
      </c>
      <c r="C643" s="48" t="s">
        <v>2889</v>
      </c>
      <c r="D643" s="50">
        <v>54.24</v>
      </c>
    </row>
    <row r="644" spans="1:4" ht="13.5">
      <c r="A644" s="49">
        <v>96021</v>
      </c>
      <c r="B644" s="48" t="s">
        <v>3019</v>
      </c>
      <c r="C644" s="48" t="s">
        <v>2889</v>
      </c>
      <c r="D644" s="50">
        <v>53.95</v>
      </c>
    </row>
    <row r="645" spans="1:4" ht="13.5">
      <c r="A645" s="49">
        <v>96029</v>
      </c>
      <c r="B645" s="48" t="s">
        <v>3020</v>
      </c>
      <c r="C645" s="48" t="s">
        <v>2889</v>
      </c>
      <c r="D645" s="50">
        <v>48.97</v>
      </c>
    </row>
    <row r="646" spans="1:4" ht="13.5">
      <c r="A646" s="49">
        <v>96036</v>
      </c>
      <c r="B646" s="48" t="s">
        <v>3021</v>
      </c>
      <c r="C646" s="48" t="s">
        <v>2889</v>
      </c>
      <c r="D646" s="50">
        <v>58.05</v>
      </c>
    </row>
    <row r="647" spans="1:4" ht="13.5">
      <c r="A647" s="49">
        <v>96155</v>
      </c>
      <c r="B647" s="48" t="s">
        <v>3022</v>
      </c>
      <c r="C647" s="48" t="s">
        <v>2889</v>
      </c>
      <c r="D647" s="50">
        <v>49.26</v>
      </c>
    </row>
    <row r="648" spans="1:4" ht="13.5">
      <c r="A648" s="49">
        <v>96156</v>
      </c>
      <c r="B648" s="48" t="s">
        <v>3023</v>
      </c>
      <c r="C648" s="48" t="s">
        <v>2889</v>
      </c>
      <c r="D648" s="50">
        <v>50.94</v>
      </c>
    </row>
    <row r="649" spans="1:4" ht="13.5">
      <c r="A649" s="49">
        <v>96159</v>
      </c>
      <c r="B649" s="48" t="s">
        <v>3024</v>
      </c>
      <c r="C649" s="48" t="s">
        <v>2889</v>
      </c>
      <c r="D649" s="50">
        <v>58.05</v>
      </c>
    </row>
    <row r="650" spans="1:4" ht="13.5">
      <c r="A650" s="49">
        <v>96246</v>
      </c>
      <c r="B650" s="48" t="s">
        <v>3025</v>
      </c>
      <c r="C650" s="48" t="s">
        <v>2889</v>
      </c>
      <c r="D650" s="50">
        <v>47.77</v>
      </c>
    </row>
    <row r="651" spans="1:4" ht="13.5">
      <c r="A651" s="49">
        <v>96464</v>
      </c>
      <c r="B651" s="48" t="s">
        <v>3026</v>
      </c>
      <c r="C651" s="48" t="s">
        <v>2889</v>
      </c>
      <c r="D651" s="50">
        <v>76.650000000000006</v>
      </c>
    </row>
    <row r="652" spans="1:4" ht="13.5">
      <c r="A652" s="49">
        <v>98765</v>
      </c>
      <c r="B652" s="48" t="s">
        <v>3027</v>
      </c>
      <c r="C652" s="48" t="s">
        <v>2889</v>
      </c>
      <c r="D652" s="50">
        <v>0.1</v>
      </c>
    </row>
    <row r="653" spans="1:4" ht="13.5">
      <c r="A653" s="49">
        <v>99834</v>
      </c>
      <c r="B653" s="48" t="s">
        <v>3028</v>
      </c>
      <c r="C653" s="48" t="s">
        <v>2889</v>
      </c>
      <c r="D653" s="50">
        <v>0.18</v>
      </c>
    </row>
    <row r="654" spans="1:4" ht="13.5">
      <c r="A654" s="49">
        <v>100642</v>
      </c>
      <c r="B654" s="48" t="s">
        <v>3029</v>
      </c>
      <c r="C654" s="48" t="s">
        <v>2889</v>
      </c>
      <c r="D654" s="50">
        <v>182.06</v>
      </c>
    </row>
    <row r="655" spans="1:4" ht="13.5">
      <c r="A655" s="49">
        <v>100648</v>
      </c>
      <c r="B655" s="48" t="s">
        <v>3030</v>
      </c>
      <c r="C655" s="48" t="s">
        <v>2889</v>
      </c>
      <c r="D655" s="50">
        <v>438.38</v>
      </c>
    </row>
    <row r="656" spans="1:4" ht="13.5">
      <c r="A656" s="49">
        <v>102274</v>
      </c>
      <c r="B656" s="48" t="s">
        <v>19833</v>
      </c>
      <c r="C656" s="48" t="s">
        <v>2889</v>
      </c>
      <c r="D656" s="50">
        <v>16.98</v>
      </c>
    </row>
    <row r="657" spans="1:4" ht="13.5">
      <c r="A657" s="49">
        <v>5089</v>
      </c>
      <c r="B657" s="48" t="s">
        <v>3031</v>
      </c>
      <c r="C657" s="48" t="s">
        <v>10</v>
      </c>
      <c r="D657" s="50">
        <v>37.19</v>
      </c>
    </row>
    <row r="658" spans="1:4" ht="13.5">
      <c r="A658" s="49">
        <v>5627</v>
      </c>
      <c r="B658" s="48" t="s">
        <v>3032</v>
      </c>
      <c r="C658" s="48" t="s">
        <v>10</v>
      </c>
      <c r="D658" s="50">
        <v>47.6</v>
      </c>
    </row>
    <row r="659" spans="1:4" ht="13.5">
      <c r="A659" s="49">
        <v>5628</v>
      </c>
      <c r="B659" s="48" t="s">
        <v>3033</v>
      </c>
      <c r="C659" s="48" t="s">
        <v>10</v>
      </c>
      <c r="D659" s="50">
        <v>6.46</v>
      </c>
    </row>
    <row r="660" spans="1:4" ht="13.5">
      <c r="A660" s="49">
        <v>5629</v>
      </c>
      <c r="B660" s="48" t="s">
        <v>3034</v>
      </c>
      <c r="C660" s="48" t="s">
        <v>10</v>
      </c>
      <c r="D660" s="50">
        <v>59.5</v>
      </c>
    </row>
    <row r="661" spans="1:4" ht="13.5">
      <c r="A661" s="49">
        <v>5630</v>
      </c>
      <c r="B661" s="48" t="s">
        <v>3035</v>
      </c>
      <c r="C661" s="48" t="s">
        <v>10</v>
      </c>
      <c r="D661" s="50">
        <v>55.03</v>
      </c>
    </row>
    <row r="662" spans="1:4" ht="13.5">
      <c r="A662" s="49">
        <v>5658</v>
      </c>
      <c r="B662" s="48" t="s">
        <v>3036</v>
      </c>
      <c r="C662" s="48" t="s">
        <v>10</v>
      </c>
      <c r="D662" s="50">
        <v>2.82</v>
      </c>
    </row>
    <row r="663" spans="1:4" ht="13.5">
      <c r="A663" s="49">
        <v>5664</v>
      </c>
      <c r="B663" s="48" t="s">
        <v>3037</v>
      </c>
      <c r="C663" s="48" t="s">
        <v>10</v>
      </c>
      <c r="D663" s="50">
        <v>31.38</v>
      </c>
    </row>
    <row r="664" spans="1:4" ht="13.5">
      <c r="A664" s="49">
        <v>5667</v>
      </c>
      <c r="B664" s="48" t="s">
        <v>3038</v>
      </c>
      <c r="C664" s="48" t="s">
        <v>10</v>
      </c>
      <c r="D664" s="50">
        <v>27.91</v>
      </c>
    </row>
    <row r="665" spans="1:4" ht="13.5">
      <c r="A665" s="49">
        <v>5668</v>
      </c>
      <c r="B665" s="48" t="s">
        <v>3039</v>
      </c>
      <c r="C665" s="48" t="s">
        <v>10</v>
      </c>
      <c r="D665" s="50">
        <v>39.14</v>
      </c>
    </row>
    <row r="666" spans="1:4" ht="13.5">
      <c r="A666" s="49">
        <v>5674</v>
      </c>
      <c r="B666" s="48" t="s">
        <v>3040</v>
      </c>
      <c r="C666" s="48" t="s">
        <v>10</v>
      </c>
      <c r="D666" s="50">
        <v>35.770000000000003</v>
      </c>
    </row>
    <row r="667" spans="1:4" ht="13.5">
      <c r="A667" s="49">
        <v>5692</v>
      </c>
      <c r="B667" s="48" t="s">
        <v>3041</v>
      </c>
      <c r="C667" s="48" t="s">
        <v>10</v>
      </c>
      <c r="D667" s="50">
        <v>0.23</v>
      </c>
    </row>
    <row r="668" spans="1:4" ht="13.5">
      <c r="A668" s="49">
        <v>5693</v>
      </c>
      <c r="B668" s="48" t="s">
        <v>3042</v>
      </c>
      <c r="C668" s="48" t="s">
        <v>10</v>
      </c>
      <c r="D668" s="50">
        <v>23.18</v>
      </c>
    </row>
    <row r="669" spans="1:4" ht="13.5">
      <c r="A669" s="49">
        <v>5695</v>
      </c>
      <c r="B669" s="48" t="s">
        <v>3043</v>
      </c>
      <c r="C669" s="48" t="s">
        <v>10</v>
      </c>
      <c r="D669" s="50">
        <v>42.26</v>
      </c>
    </row>
    <row r="670" spans="1:4" ht="13.5">
      <c r="A670" s="49">
        <v>5703</v>
      </c>
      <c r="B670" s="48" t="s">
        <v>3044</v>
      </c>
      <c r="C670" s="48" t="s">
        <v>10</v>
      </c>
      <c r="D670" s="50">
        <v>23.56</v>
      </c>
    </row>
    <row r="671" spans="1:4" ht="13.5">
      <c r="A671" s="49">
        <v>5705</v>
      </c>
      <c r="B671" s="48" t="s">
        <v>3045</v>
      </c>
      <c r="C671" s="48" t="s">
        <v>10</v>
      </c>
      <c r="D671" s="50">
        <v>25.41</v>
      </c>
    </row>
    <row r="672" spans="1:4" ht="13.5">
      <c r="A672" s="49">
        <v>5707</v>
      </c>
      <c r="B672" s="48" t="s">
        <v>3046</v>
      </c>
      <c r="C672" s="48" t="s">
        <v>10</v>
      </c>
      <c r="D672" s="50">
        <v>69.83</v>
      </c>
    </row>
    <row r="673" spans="1:4" ht="13.5">
      <c r="A673" s="49">
        <v>5710</v>
      </c>
      <c r="B673" s="48" t="s">
        <v>3047</v>
      </c>
      <c r="C673" s="48" t="s">
        <v>10</v>
      </c>
      <c r="D673" s="50">
        <v>177.46</v>
      </c>
    </row>
    <row r="674" spans="1:4" ht="13.5">
      <c r="A674" s="49">
        <v>5711</v>
      </c>
      <c r="B674" s="48" t="s">
        <v>3048</v>
      </c>
      <c r="C674" s="48" t="s">
        <v>10</v>
      </c>
      <c r="D674" s="50">
        <v>76.03</v>
      </c>
    </row>
    <row r="675" spans="1:4" ht="13.5">
      <c r="A675" s="49">
        <v>5714</v>
      </c>
      <c r="B675" s="48" t="s">
        <v>3049</v>
      </c>
      <c r="C675" s="48" t="s">
        <v>10</v>
      </c>
      <c r="D675" s="50">
        <v>13.11</v>
      </c>
    </row>
    <row r="676" spans="1:4" ht="13.5">
      <c r="A676" s="49">
        <v>5715</v>
      </c>
      <c r="B676" s="48" t="s">
        <v>3050</v>
      </c>
      <c r="C676" s="48" t="s">
        <v>10</v>
      </c>
      <c r="D676" s="50">
        <v>57.53</v>
      </c>
    </row>
    <row r="677" spans="1:4" ht="13.5">
      <c r="A677" s="49">
        <v>5718</v>
      </c>
      <c r="B677" s="48" t="s">
        <v>3051</v>
      </c>
      <c r="C677" s="48" t="s">
        <v>10</v>
      </c>
      <c r="D677" s="50">
        <v>90.75</v>
      </c>
    </row>
    <row r="678" spans="1:4" ht="13.5">
      <c r="A678" s="49">
        <v>5721</v>
      </c>
      <c r="B678" s="48" t="s">
        <v>3052</v>
      </c>
      <c r="C678" s="48" t="s">
        <v>10</v>
      </c>
      <c r="D678" s="50">
        <v>80.069999999999993</v>
      </c>
    </row>
    <row r="679" spans="1:4" ht="13.5">
      <c r="A679" s="49">
        <v>5722</v>
      </c>
      <c r="B679" s="48" t="s">
        <v>3053</v>
      </c>
      <c r="C679" s="48" t="s">
        <v>10</v>
      </c>
      <c r="D679" s="50">
        <v>185.18</v>
      </c>
    </row>
    <row r="680" spans="1:4" ht="13.5">
      <c r="A680" s="49">
        <v>5724</v>
      </c>
      <c r="B680" s="48" t="s">
        <v>3054</v>
      </c>
      <c r="C680" s="48" t="s">
        <v>10</v>
      </c>
      <c r="D680" s="50">
        <v>47.43</v>
      </c>
    </row>
    <row r="681" spans="1:4" ht="13.5">
      <c r="A681" s="49">
        <v>5727</v>
      </c>
      <c r="B681" s="48" t="s">
        <v>3055</v>
      </c>
      <c r="C681" s="48" t="s">
        <v>10</v>
      </c>
      <c r="D681" s="50">
        <v>10.8</v>
      </c>
    </row>
    <row r="682" spans="1:4" ht="13.5">
      <c r="A682" s="49">
        <v>5729</v>
      </c>
      <c r="B682" s="48" t="s">
        <v>3057</v>
      </c>
      <c r="C682" s="48" t="s">
        <v>10</v>
      </c>
      <c r="D682" s="50">
        <v>43.93</v>
      </c>
    </row>
    <row r="683" spans="1:4" ht="13.5">
      <c r="A683" s="49">
        <v>5730</v>
      </c>
      <c r="B683" s="48" t="s">
        <v>3059</v>
      </c>
      <c r="C683" s="48" t="s">
        <v>10</v>
      </c>
      <c r="D683" s="50">
        <v>34.9</v>
      </c>
    </row>
    <row r="684" spans="1:4" ht="13.5">
      <c r="A684" s="49">
        <v>5735</v>
      </c>
      <c r="B684" s="48" t="s">
        <v>3060</v>
      </c>
      <c r="C684" s="48" t="s">
        <v>10</v>
      </c>
      <c r="D684" s="50">
        <v>30.27</v>
      </c>
    </row>
    <row r="685" spans="1:4" ht="13.5">
      <c r="A685" s="49">
        <v>5736</v>
      </c>
      <c r="B685" s="48" t="s">
        <v>3061</v>
      </c>
      <c r="C685" s="48" t="s">
        <v>10</v>
      </c>
      <c r="D685" s="50">
        <v>35.659999999999997</v>
      </c>
    </row>
    <row r="686" spans="1:4" ht="13.5">
      <c r="A686" s="49">
        <v>5738</v>
      </c>
      <c r="B686" s="48" t="s">
        <v>3062</v>
      </c>
      <c r="C686" s="48" t="s">
        <v>10</v>
      </c>
      <c r="D686" s="50">
        <v>39.06</v>
      </c>
    </row>
    <row r="687" spans="1:4" ht="13.5">
      <c r="A687" s="49">
        <v>5739</v>
      </c>
      <c r="B687" s="48" t="s">
        <v>3063</v>
      </c>
      <c r="C687" s="48" t="s">
        <v>10</v>
      </c>
      <c r="D687" s="50">
        <v>48.88</v>
      </c>
    </row>
    <row r="688" spans="1:4" ht="13.5">
      <c r="A688" s="49">
        <v>5741</v>
      </c>
      <c r="B688" s="48" t="s">
        <v>3064</v>
      </c>
      <c r="C688" s="48" t="s">
        <v>10</v>
      </c>
      <c r="D688" s="50">
        <v>40.119999999999997</v>
      </c>
    </row>
    <row r="689" spans="1:4" ht="13.5">
      <c r="A689" s="49">
        <v>5742</v>
      </c>
      <c r="B689" s="48" t="s">
        <v>3065</v>
      </c>
      <c r="C689" s="48" t="s">
        <v>10</v>
      </c>
      <c r="D689" s="50">
        <v>23.55</v>
      </c>
    </row>
    <row r="690" spans="1:4" ht="13.5">
      <c r="A690" s="49">
        <v>5747</v>
      </c>
      <c r="B690" s="48" t="s">
        <v>3066</v>
      </c>
      <c r="C690" s="48" t="s">
        <v>10</v>
      </c>
      <c r="D690" s="50">
        <v>135.05000000000001</v>
      </c>
    </row>
    <row r="691" spans="1:4" ht="13.5">
      <c r="A691" s="49">
        <v>5751</v>
      </c>
      <c r="B691" s="48" t="s">
        <v>3067</v>
      </c>
      <c r="C691" s="48" t="s">
        <v>10</v>
      </c>
      <c r="D691" s="50">
        <v>26.05</v>
      </c>
    </row>
    <row r="692" spans="1:4" ht="13.5">
      <c r="A692" s="49">
        <v>5754</v>
      </c>
      <c r="B692" s="48" t="s">
        <v>3068</v>
      </c>
      <c r="C692" s="48" t="s">
        <v>10</v>
      </c>
      <c r="D692" s="50">
        <v>21.95</v>
      </c>
    </row>
    <row r="693" spans="1:4" ht="13.5">
      <c r="A693" s="49">
        <v>5763</v>
      </c>
      <c r="B693" s="48" t="s">
        <v>3069</v>
      </c>
      <c r="C693" s="48" t="s">
        <v>10</v>
      </c>
      <c r="D693" s="50">
        <v>38.5</v>
      </c>
    </row>
    <row r="694" spans="1:4" ht="13.5">
      <c r="A694" s="49">
        <v>5765</v>
      </c>
      <c r="B694" s="48" t="s">
        <v>3070</v>
      </c>
      <c r="C694" s="48" t="s">
        <v>10</v>
      </c>
      <c r="D694" s="50">
        <v>6.98</v>
      </c>
    </row>
    <row r="695" spans="1:4" ht="13.5">
      <c r="A695" s="49">
        <v>5766</v>
      </c>
      <c r="B695" s="48" t="s">
        <v>3071</v>
      </c>
      <c r="C695" s="48" t="s">
        <v>10</v>
      </c>
      <c r="D695" s="50">
        <v>3.23</v>
      </c>
    </row>
    <row r="696" spans="1:4" ht="13.5">
      <c r="A696" s="49">
        <v>5779</v>
      </c>
      <c r="B696" s="48" t="s">
        <v>3072</v>
      </c>
      <c r="C696" s="48" t="s">
        <v>10</v>
      </c>
      <c r="D696" s="50">
        <v>65.55</v>
      </c>
    </row>
    <row r="697" spans="1:4" ht="13.5">
      <c r="A697" s="49">
        <v>5787</v>
      </c>
      <c r="B697" s="48" t="s">
        <v>3073</v>
      </c>
      <c r="C697" s="48" t="s">
        <v>10</v>
      </c>
      <c r="D697" s="50">
        <v>60.09</v>
      </c>
    </row>
    <row r="698" spans="1:4" ht="13.5">
      <c r="A698" s="49">
        <v>5797</v>
      </c>
      <c r="B698" s="48" t="s">
        <v>3074</v>
      </c>
      <c r="C698" s="48" t="s">
        <v>10</v>
      </c>
      <c r="D698" s="50">
        <v>4.84</v>
      </c>
    </row>
    <row r="699" spans="1:4" ht="13.5">
      <c r="A699" s="49">
        <v>5800</v>
      </c>
      <c r="B699" s="48" t="s">
        <v>3075</v>
      </c>
      <c r="C699" s="48" t="s">
        <v>10</v>
      </c>
      <c r="D699" s="50">
        <v>0.3</v>
      </c>
    </row>
    <row r="700" spans="1:4" ht="13.5">
      <c r="A700" s="49">
        <v>7032</v>
      </c>
      <c r="B700" s="48" t="s">
        <v>3076</v>
      </c>
      <c r="C700" s="48" t="s">
        <v>10</v>
      </c>
      <c r="D700" s="50">
        <v>5.46</v>
      </c>
    </row>
    <row r="701" spans="1:4" ht="13.5">
      <c r="A701" s="49">
        <v>7033</v>
      </c>
      <c r="B701" s="48" t="s">
        <v>3077</v>
      </c>
      <c r="C701" s="48" t="s">
        <v>10</v>
      </c>
      <c r="D701" s="50">
        <v>0.86</v>
      </c>
    </row>
    <row r="702" spans="1:4" ht="13.5">
      <c r="A702" s="49">
        <v>7034</v>
      </c>
      <c r="B702" s="48" t="s">
        <v>3078</v>
      </c>
      <c r="C702" s="48" t="s">
        <v>10</v>
      </c>
      <c r="D702" s="50">
        <v>4.55</v>
      </c>
    </row>
    <row r="703" spans="1:4" ht="13.5">
      <c r="A703" s="49">
        <v>7035</v>
      </c>
      <c r="B703" s="48" t="s">
        <v>3079</v>
      </c>
      <c r="C703" s="48" t="s">
        <v>10</v>
      </c>
      <c r="D703" s="50">
        <v>219.01</v>
      </c>
    </row>
    <row r="704" spans="1:4" ht="13.5">
      <c r="A704" s="49">
        <v>7038</v>
      </c>
      <c r="B704" s="48" t="s">
        <v>3080</v>
      </c>
      <c r="C704" s="48" t="s">
        <v>10</v>
      </c>
      <c r="D704" s="50">
        <v>44.68</v>
      </c>
    </row>
    <row r="705" spans="1:4" ht="13.5">
      <c r="A705" s="49">
        <v>7039</v>
      </c>
      <c r="B705" s="48" t="s">
        <v>3081</v>
      </c>
      <c r="C705" s="48" t="s">
        <v>10</v>
      </c>
      <c r="D705" s="50">
        <v>6.2</v>
      </c>
    </row>
    <row r="706" spans="1:4" ht="13.5">
      <c r="A706" s="49">
        <v>7040</v>
      </c>
      <c r="B706" s="48" t="s">
        <v>3082</v>
      </c>
      <c r="C706" s="48" t="s">
        <v>10</v>
      </c>
      <c r="D706" s="50">
        <v>55.91</v>
      </c>
    </row>
    <row r="707" spans="1:4" ht="13.5">
      <c r="A707" s="49">
        <v>7044</v>
      </c>
      <c r="B707" s="48" t="s">
        <v>3083</v>
      </c>
      <c r="C707" s="48" t="s">
        <v>10</v>
      </c>
      <c r="D707" s="50">
        <v>0.26</v>
      </c>
    </row>
    <row r="708" spans="1:4" ht="13.5">
      <c r="A708" s="49">
        <v>7045</v>
      </c>
      <c r="B708" s="48" t="s">
        <v>3084</v>
      </c>
      <c r="C708" s="48" t="s">
        <v>10</v>
      </c>
      <c r="D708" s="50">
        <v>0.03</v>
      </c>
    </row>
    <row r="709" spans="1:4" ht="13.5">
      <c r="A709" s="49">
        <v>7046</v>
      </c>
      <c r="B709" s="48" t="s">
        <v>3085</v>
      </c>
      <c r="C709" s="48" t="s">
        <v>10</v>
      </c>
      <c r="D709" s="50">
        <v>0.28999999999999998</v>
      </c>
    </row>
    <row r="710" spans="1:4" ht="13.5">
      <c r="A710" s="49">
        <v>7047</v>
      </c>
      <c r="B710" s="48" t="s">
        <v>3086</v>
      </c>
      <c r="C710" s="48" t="s">
        <v>10</v>
      </c>
      <c r="D710" s="50">
        <v>27.36</v>
      </c>
    </row>
    <row r="711" spans="1:4" ht="13.5">
      <c r="A711" s="49">
        <v>7051</v>
      </c>
      <c r="B711" s="48" t="s">
        <v>3087</v>
      </c>
      <c r="C711" s="48" t="s">
        <v>10</v>
      </c>
      <c r="D711" s="50">
        <v>39.630000000000003</v>
      </c>
    </row>
    <row r="712" spans="1:4" ht="13.5">
      <c r="A712" s="49">
        <v>7052</v>
      </c>
      <c r="B712" s="48" t="s">
        <v>3088</v>
      </c>
      <c r="C712" s="48" t="s">
        <v>10</v>
      </c>
      <c r="D712" s="50">
        <v>5.5</v>
      </c>
    </row>
    <row r="713" spans="1:4" ht="13.5">
      <c r="A713" s="49">
        <v>7053</v>
      </c>
      <c r="B713" s="48" t="s">
        <v>3089</v>
      </c>
      <c r="C713" s="48" t="s">
        <v>10</v>
      </c>
      <c r="D713" s="50">
        <v>49.59</v>
      </c>
    </row>
    <row r="714" spans="1:4" ht="13.5">
      <c r="A714" s="49">
        <v>7054</v>
      </c>
      <c r="B714" s="48" t="s">
        <v>3090</v>
      </c>
      <c r="C714" s="48" t="s">
        <v>10</v>
      </c>
      <c r="D714" s="50">
        <v>76.239999999999995</v>
      </c>
    </row>
    <row r="715" spans="1:4" ht="13.5">
      <c r="A715" s="49">
        <v>7058</v>
      </c>
      <c r="B715" s="48" t="s">
        <v>3091</v>
      </c>
      <c r="C715" s="48" t="s">
        <v>10</v>
      </c>
      <c r="D715" s="50">
        <v>18.16</v>
      </c>
    </row>
    <row r="716" spans="1:4" ht="13.5">
      <c r="A716" s="49">
        <v>7059</v>
      </c>
      <c r="B716" s="48" t="s">
        <v>3092</v>
      </c>
      <c r="C716" s="48" t="s">
        <v>10</v>
      </c>
      <c r="D716" s="50">
        <v>3.52</v>
      </c>
    </row>
    <row r="717" spans="1:4" ht="13.5">
      <c r="A717" s="49">
        <v>7060</v>
      </c>
      <c r="B717" s="48" t="s">
        <v>3093</v>
      </c>
      <c r="C717" s="48" t="s">
        <v>10</v>
      </c>
      <c r="D717" s="50">
        <v>32.51</v>
      </c>
    </row>
    <row r="718" spans="1:4" ht="13.5">
      <c r="A718" s="49">
        <v>7061</v>
      </c>
      <c r="B718" s="48" t="s">
        <v>3094</v>
      </c>
      <c r="C718" s="48" t="s">
        <v>10</v>
      </c>
      <c r="D718" s="50">
        <v>69.59</v>
      </c>
    </row>
    <row r="719" spans="1:4" ht="13.5">
      <c r="A719" s="49">
        <v>7063</v>
      </c>
      <c r="B719" s="48" t="s">
        <v>3095</v>
      </c>
      <c r="C719" s="48" t="s">
        <v>10</v>
      </c>
      <c r="D719" s="50">
        <v>16.36</v>
      </c>
    </row>
    <row r="720" spans="1:4" ht="13.5">
      <c r="A720" s="49">
        <v>7064</v>
      </c>
      <c r="B720" s="48" t="s">
        <v>3096</v>
      </c>
      <c r="C720" s="48" t="s">
        <v>10</v>
      </c>
      <c r="D720" s="50">
        <v>2.27</v>
      </c>
    </row>
    <row r="721" spans="1:4" ht="13.5">
      <c r="A721" s="49">
        <v>7065</v>
      </c>
      <c r="B721" s="48" t="s">
        <v>3097</v>
      </c>
      <c r="C721" s="48" t="s">
        <v>10</v>
      </c>
      <c r="D721" s="50">
        <v>17.89</v>
      </c>
    </row>
    <row r="722" spans="1:4" ht="13.5">
      <c r="A722" s="49">
        <v>7066</v>
      </c>
      <c r="B722" s="48" t="s">
        <v>3098</v>
      </c>
      <c r="C722" s="48" t="s">
        <v>10</v>
      </c>
      <c r="D722" s="50">
        <v>82.57</v>
      </c>
    </row>
    <row r="723" spans="1:4" ht="13.5">
      <c r="A723" s="49">
        <v>53786</v>
      </c>
      <c r="B723" s="48" t="s">
        <v>3099</v>
      </c>
      <c r="C723" s="48" t="s">
        <v>10</v>
      </c>
      <c r="D723" s="50">
        <v>43.58</v>
      </c>
    </row>
    <row r="724" spans="1:4" ht="13.5">
      <c r="A724" s="49">
        <v>53788</v>
      </c>
      <c r="B724" s="48" t="s">
        <v>3100</v>
      </c>
      <c r="C724" s="48" t="s">
        <v>10</v>
      </c>
      <c r="D724" s="50">
        <v>48.8</v>
      </c>
    </row>
    <row r="725" spans="1:4" ht="13.5">
      <c r="A725" s="49">
        <v>53792</v>
      </c>
      <c r="B725" s="48" t="s">
        <v>3102</v>
      </c>
      <c r="C725" s="48" t="s">
        <v>10</v>
      </c>
      <c r="D725" s="50">
        <v>86.51</v>
      </c>
    </row>
    <row r="726" spans="1:4" ht="13.5">
      <c r="A726" s="49">
        <v>53794</v>
      </c>
      <c r="B726" s="48" t="s">
        <v>3103</v>
      </c>
      <c r="C726" s="48" t="s">
        <v>10</v>
      </c>
      <c r="D726" s="50">
        <v>35</v>
      </c>
    </row>
    <row r="727" spans="1:4" ht="13.5">
      <c r="A727" s="49">
        <v>53797</v>
      </c>
      <c r="B727" s="48" t="s">
        <v>3104</v>
      </c>
      <c r="C727" s="48" t="s">
        <v>10</v>
      </c>
      <c r="D727" s="50">
        <v>99.49</v>
      </c>
    </row>
    <row r="728" spans="1:4" ht="13.5">
      <c r="A728" s="49">
        <v>53804</v>
      </c>
      <c r="B728" s="48" t="s">
        <v>3105</v>
      </c>
      <c r="C728" s="48" t="s">
        <v>10</v>
      </c>
      <c r="D728" s="50">
        <v>5.86</v>
      </c>
    </row>
    <row r="729" spans="1:4" ht="13.5">
      <c r="A729" s="49">
        <v>53806</v>
      </c>
      <c r="B729" s="48" t="s">
        <v>3106</v>
      </c>
      <c r="C729" s="48" t="s">
        <v>10</v>
      </c>
      <c r="D729" s="50">
        <v>61.12</v>
      </c>
    </row>
    <row r="730" spans="1:4" ht="13.5">
      <c r="A730" s="49">
        <v>53810</v>
      </c>
      <c r="B730" s="48" t="s">
        <v>3108</v>
      </c>
      <c r="C730" s="48" t="s">
        <v>10</v>
      </c>
      <c r="D730" s="50">
        <v>61.49</v>
      </c>
    </row>
    <row r="731" spans="1:4" ht="13.5">
      <c r="A731" s="49">
        <v>53814</v>
      </c>
      <c r="B731" s="48" t="s">
        <v>3109</v>
      </c>
      <c r="C731" s="48" t="s">
        <v>10</v>
      </c>
      <c r="D731" s="50">
        <v>201.43</v>
      </c>
    </row>
    <row r="732" spans="1:4" ht="13.5">
      <c r="A732" s="49">
        <v>53817</v>
      </c>
      <c r="B732" s="48" t="s">
        <v>3110</v>
      </c>
      <c r="C732" s="48" t="s">
        <v>10</v>
      </c>
      <c r="D732" s="50">
        <v>53.34</v>
      </c>
    </row>
    <row r="733" spans="1:4" ht="13.5">
      <c r="A733" s="49">
        <v>53818</v>
      </c>
      <c r="B733" s="48" t="s">
        <v>3111</v>
      </c>
      <c r="C733" s="48" t="s">
        <v>10</v>
      </c>
      <c r="D733" s="50">
        <v>8.6300000000000008</v>
      </c>
    </row>
    <row r="734" spans="1:4" ht="13.5">
      <c r="A734" s="49">
        <v>53827</v>
      </c>
      <c r="B734" s="48" t="s">
        <v>3112</v>
      </c>
      <c r="C734" s="48" t="s">
        <v>10</v>
      </c>
      <c r="D734" s="50">
        <v>97.39</v>
      </c>
    </row>
    <row r="735" spans="1:4" ht="13.5">
      <c r="A735" s="49">
        <v>53829</v>
      </c>
      <c r="B735" s="48" t="s">
        <v>3113</v>
      </c>
      <c r="C735" s="48" t="s">
        <v>10</v>
      </c>
      <c r="D735" s="50">
        <v>99.49</v>
      </c>
    </row>
    <row r="736" spans="1:4" ht="13.5">
      <c r="A736" s="49">
        <v>53831</v>
      </c>
      <c r="B736" s="48" t="s">
        <v>3114</v>
      </c>
      <c r="C736" s="48" t="s">
        <v>10</v>
      </c>
      <c r="D736" s="50">
        <v>164.33</v>
      </c>
    </row>
    <row r="737" spans="1:4" ht="13.5">
      <c r="A737" s="49">
        <v>53840</v>
      </c>
      <c r="B737" s="48" t="s">
        <v>3115</v>
      </c>
      <c r="C737" s="48" t="s">
        <v>10</v>
      </c>
      <c r="D737" s="50">
        <v>3.18</v>
      </c>
    </row>
    <row r="738" spans="1:4" ht="13.5">
      <c r="A738" s="49">
        <v>53841</v>
      </c>
      <c r="B738" s="48" t="s">
        <v>3116</v>
      </c>
      <c r="C738" s="48" t="s">
        <v>10</v>
      </c>
      <c r="D738" s="50">
        <v>2.21</v>
      </c>
    </row>
    <row r="739" spans="1:4" ht="13.5">
      <c r="A739" s="49">
        <v>53849</v>
      </c>
      <c r="B739" s="48" t="s">
        <v>3117</v>
      </c>
      <c r="C739" s="48" t="s">
        <v>10</v>
      </c>
      <c r="D739" s="50">
        <v>71.48</v>
      </c>
    </row>
    <row r="740" spans="1:4" ht="13.5">
      <c r="A740" s="49">
        <v>53857</v>
      </c>
      <c r="B740" s="48" t="s">
        <v>3118</v>
      </c>
      <c r="C740" s="48" t="s">
        <v>10</v>
      </c>
      <c r="D740" s="50">
        <v>66</v>
      </c>
    </row>
    <row r="741" spans="1:4" ht="13.5">
      <c r="A741" s="49">
        <v>53858</v>
      </c>
      <c r="B741" s="48" t="s">
        <v>3119</v>
      </c>
      <c r="C741" s="48" t="s">
        <v>10</v>
      </c>
      <c r="D741" s="50">
        <v>39.04</v>
      </c>
    </row>
    <row r="742" spans="1:4" ht="13.5">
      <c r="A742" s="49">
        <v>53861</v>
      </c>
      <c r="B742" s="48" t="s">
        <v>3120</v>
      </c>
      <c r="C742" s="48" t="s">
        <v>10</v>
      </c>
      <c r="D742" s="50">
        <v>64.06</v>
      </c>
    </row>
    <row r="743" spans="1:4" ht="13.5">
      <c r="A743" s="49">
        <v>53863</v>
      </c>
      <c r="B743" s="48" t="s">
        <v>3121</v>
      </c>
      <c r="C743" s="48" t="s">
        <v>10</v>
      </c>
      <c r="D743" s="50">
        <v>1.29</v>
      </c>
    </row>
    <row r="744" spans="1:4" ht="13.5">
      <c r="A744" s="49">
        <v>53865</v>
      </c>
      <c r="B744" s="48" t="s">
        <v>3122</v>
      </c>
      <c r="C744" s="48" t="s">
        <v>10</v>
      </c>
      <c r="D744" s="50">
        <v>40.26</v>
      </c>
    </row>
    <row r="745" spans="1:4" ht="13.5">
      <c r="A745" s="49">
        <v>53866</v>
      </c>
      <c r="B745" s="48" t="s">
        <v>3123</v>
      </c>
      <c r="C745" s="48" t="s">
        <v>10</v>
      </c>
      <c r="D745" s="50">
        <v>1.89</v>
      </c>
    </row>
    <row r="746" spans="1:4" ht="13.5">
      <c r="A746" s="49">
        <v>53882</v>
      </c>
      <c r="B746" s="48" t="s">
        <v>3124</v>
      </c>
      <c r="C746" s="48" t="s">
        <v>10</v>
      </c>
      <c r="D746" s="50">
        <v>30.05</v>
      </c>
    </row>
    <row r="747" spans="1:4" ht="13.5">
      <c r="A747" s="49">
        <v>55263</v>
      </c>
      <c r="B747" s="48" t="s">
        <v>3125</v>
      </c>
      <c r="C747" s="48" t="s">
        <v>10</v>
      </c>
      <c r="D747" s="50">
        <v>55.03</v>
      </c>
    </row>
    <row r="748" spans="1:4" ht="13.5">
      <c r="A748" s="49">
        <v>73303</v>
      </c>
      <c r="B748" s="48" t="s">
        <v>3126</v>
      </c>
      <c r="C748" s="48" t="s">
        <v>10</v>
      </c>
      <c r="D748" s="50">
        <v>5.36</v>
      </c>
    </row>
    <row r="749" spans="1:4" ht="13.5">
      <c r="A749" s="49">
        <v>73307</v>
      </c>
      <c r="B749" s="48" t="s">
        <v>3127</v>
      </c>
      <c r="C749" s="48" t="s">
        <v>10</v>
      </c>
      <c r="D749" s="50">
        <v>4.78</v>
      </c>
    </row>
    <row r="750" spans="1:4" ht="13.5">
      <c r="A750" s="49">
        <v>73309</v>
      </c>
      <c r="B750" s="48" t="s">
        <v>3128</v>
      </c>
      <c r="C750" s="48" t="s">
        <v>10</v>
      </c>
      <c r="D750" s="50">
        <v>29.72</v>
      </c>
    </row>
    <row r="751" spans="1:4" ht="13.5">
      <c r="A751" s="49">
        <v>73311</v>
      </c>
      <c r="B751" s="48" t="s">
        <v>3129</v>
      </c>
      <c r="C751" s="48" t="s">
        <v>10</v>
      </c>
      <c r="D751" s="50">
        <v>152.12</v>
      </c>
    </row>
    <row r="752" spans="1:4" ht="13.5">
      <c r="A752" s="49">
        <v>73313</v>
      </c>
      <c r="B752" s="48" t="s">
        <v>3130</v>
      </c>
      <c r="C752" s="48" t="s">
        <v>10</v>
      </c>
      <c r="D752" s="50">
        <v>4.12</v>
      </c>
    </row>
    <row r="753" spans="1:4" ht="13.5">
      <c r="A753" s="49">
        <v>73315</v>
      </c>
      <c r="B753" s="48" t="s">
        <v>3131</v>
      </c>
      <c r="C753" s="48" t="s">
        <v>10</v>
      </c>
      <c r="D753" s="50">
        <v>48.8</v>
      </c>
    </row>
    <row r="754" spans="1:4" ht="13.5">
      <c r="A754" s="49">
        <v>73335</v>
      </c>
      <c r="B754" s="48" t="s">
        <v>3132</v>
      </c>
      <c r="C754" s="48" t="s">
        <v>10</v>
      </c>
      <c r="D754" s="50">
        <v>28.41</v>
      </c>
    </row>
    <row r="755" spans="1:4" ht="13.5">
      <c r="A755" s="49">
        <v>73340</v>
      </c>
      <c r="B755" s="48" t="s">
        <v>3133</v>
      </c>
      <c r="C755" s="48" t="s">
        <v>10</v>
      </c>
      <c r="D755" s="50">
        <v>69.59</v>
      </c>
    </row>
    <row r="756" spans="1:4" ht="13.5">
      <c r="A756" s="49">
        <v>83361</v>
      </c>
      <c r="B756" s="48" t="s">
        <v>3134</v>
      </c>
      <c r="C756" s="48" t="s">
        <v>10</v>
      </c>
      <c r="D756" s="50">
        <v>35.24</v>
      </c>
    </row>
    <row r="757" spans="1:4" ht="13.5">
      <c r="A757" s="49">
        <v>83761</v>
      </c>
      <c r="B757" s="48" t="s">
        <v>3135</v>
      </c>
      <c r="C757" s="48" t="s">
        <v>10</v>
      </c>
      <c r="D757" s="50">
        <v>7.15</v>
      </c>
    </row>
    <row r="758" spans="1:4" ht="13.5">
      <c r="A758" s="49">
        <v>83762</v>
      </c>
      <c r="B758" s="48" t="s">
        <v>3137</v>
      </c>
      <c r="C758" s="48" t="s">
        <v>10</v>
      </c>
      <c r="D758" s="50">
        <v>6.38</v>
      </c>
    </row>
    <row r="759" spans="1:4" ht="13.5">
      <c r="A759" s="49">
        <v>83763</v>
      </c>
      <c r="B759" s="48" t="s">
        <v>3139</v>
      </c>
      <c r="C759" s="48" t="s">
        <v>10</v>
      </c>
      <c r="D759" s="50">
        <v>42.87</v>
      </c>
    </row>
    <row r="760" spans="1:4" ht="13.5">
      <c r="A760" s="49">
        <v>83764</v>
      </c>
      <c r="B760" s="48" t="s">
        <v>3140</v>
      </c>
      <c r="C760" s="48" t="s">
        <v>10</v>
      </c>
      <c r="D760" s="50">
        <v>1.28</v>
      </c>
    </row>
    <row r="761" spans="1:4" ht="13.5">
      <c r="A761" s="49">
        <v>87026</v>
      </c>
      <c r="B761" s="48" t="s">
        <v>3141</v>
      </c>
      <c r="C761" s="48" t="s">
        <v>10</v>
      </c>
      <c r="D761" s="50">
        <v>0.44</v>
      </c>
    </row>
    <row r="762" spans="1:4" ht="13.5">
      <c r="A762" s="49">
        <v>87441</v>
      </c>
      <c r="B762" s="48" t="s">
        <v>28233</v>
      </c>
      <c r="C762" s="48" t="s">
        <v>10</v>
      </c>
      <c r="D762" s="50">
        <v>0.42</v>
      </c>
    </row>
    <row r="763" spans="1:4" ht="13.5">
      <c r="A763" s="49">
        <v>87442</v>
      </c>
      <c r="B763" s="48" t="s">
        <v>28234</v>
      </c>
      <c r="C763" s="48" t="s">
        <v>10</v>
      </c>
      <c r="D763" s="50">
        <v>0.05</v>
      </c>
    </row>
    <row r="764" spans="1:4" ht="13.5">
      <c r="A764" s="49">
        <v>87443</v>
      </c>
      <c r="B764" s="48" t="s">
        <v>28235</v>
      </c>
      <c r="C764" s="48" t="s">
        <v>10</v>
      </c>
      <c r="D764" s="50">
        <v>0.53</v>
      </c>
    </row>
    <row r="765" spans="1:4" ht="13.5">
      <c r="A765" s="49">
        <v>87444</v>
      </c>
      <c r="B765" s="48" t="s">
        <v>28236</v>
      </c>
      <c r="C765" s="48" t="s">
        <v>10</v>
      </c>
      <c r="D765" s="50">
        <v>3.57</v>
      </c>
    </row>
    <row r="766" spans="1:4" ht="13.5">
      <c r="A766" s="49">
        <v>88387</v>
      </c>
      <c r="B766" s="48" t="s">
        <v>3142</v>
      </c>
      <c r="C766" s="48" t="s">
        <v>10</v>
      </c>
      <c r="D766" s="50">
        <v>0.82</v>
      </c>
    </row>
    <row r="767" spans="1:4" ht="13.5">
      <c r="A767" s="49">
        <v>88389</v>
      </c>
      <c r="B767" s="48" t="s">
        <v>3143</v>
      </c>
      <c r="C767" s="48" t="s">
        <v>10</v>
      </c>
      <c r="D767" s="50">
        <v>0.09</v>
      </c>
    </row>
    <row r="768" spans="1:4" ht="13.5">
      <c r="A768" s="49">
        <v>88390</v>
      </c>
      <c r="B768" s="48" t="s">
        <v>3144</v>
      </c>
      <c r="C768" s="48" t="s">
        <v>10</v>
      </c>
      <c r="D768" s="50">
        <v>0.9</v>
      </c>
    </row>
    <row r="769" spans="1:4" ht="13.5">
      <c r="A769" s="49">
        <v>88391</v>
      </c>
      <c r="B769" s="48" t="s">
        <v>3145</v>
      </c>
      <c r="C769" s="48" t="s">
        <v>10</v>
      </c>
      <c r="D769" s="50">
        <v>3.09</v>
      </c>
    </row>
    <row r="770" spans="1:4" ht="13.5">
      <c r="A770" s="49">
        <v>88394</v>
      </c>
      <c r="B770" s="48" t="s">
        <v>3146</v>
      </c>
      <c r="C770" s="48" t="s">
        <v>10</v>
      </c>
      <c r="D770" s="50">
        <v>0.98</v>
      </c>
    </row>
    <row r="771" spans="1:4" ht="13.5">
      <c r="A771" s="49">
        <v>88395</v>
      </c>
      <c r="B771" s="48" t="s">
        <v>3147</v>
      </c>
      <c r="C771" s="48" t="s">
        <v>10</v>
      </c>
      <c r="D771" s="50">
        <v>0.11</v>
      </c>
    </row>
    <row r="772" spans="1:4" ht="13.5">
      <c r="A772" s="49">
        <v>88396</v>
      </c>
      <c r="B772" s="48" t="s">
        <v>3148</v>
      </c>
      <c r="C772" s="48" t="s">
        <v>10</v>
      </c>
      <c r="D772" s="50">
        <v>1.07</v>
      </c>
    </row>
    <row r="773" spans="1:4" ht="13.5">
      <c r="A773" s="49">
        <v>88397</v>
      </c>
      <c r="B773" s="48" t="s">
        <v>3149</v>
      </c>
      <c r="C773" s="48" t="s">
        <v>10</v>
      </c>
      <c r="D773" s="50">
        <v>4.6399999999999997</v>
      </c>
    </row>
    <row r="774" spans="1:4" ht="13.5">
      <c r="A774" s="49">
        <v>88400</v>
      </c>
      <c r="B774" s="48" t="s">
        <v>3150</v>
      </c>
      <c r="C774" s="48" t="s">
        <v>10</v>
      </c>
      <c r="D774" s="50">
        <v>0.78</v>
      </c>
    </row>
    <row r="775" spans="1:4" ht="13.5">
      <c r="A775" s="49">
        <v>88401</v>
      </c>
      <c r="B775" s="48" t="s">
        <v>3151</v>
      </c>
      <c r="C775" s="48" t="s">
        <v>10</v>
      </c>
      <c r="D775" s="50">
        <v>0.09</v>
      </c>
    </row>
    <row r="776" spans="1:4" ht="13.5">
      <c r="A776" s="49">
        <v>88402</v>
      </c>
      <c r="B776" s="48" t="s">
        <v>3152</v>
      </c>
      <c r="C776" s="48" t="s">
        <v>10</v>
      </c>
      <c r="D776" s="50">
        <v>0.85</v>
      </c>
    </row>
    <row r="777" spans="1:4" ht="13.5">
      <c r="A777" s="49">
        <v>88403</v>
      </c>
      <c r="B777" s="48" t="s">
        <v>3153</v>
      </c>
      <c r="C777" s="48" t="s">
        <v>10</v>
      </c>
      <c r="D777" s="50">
        <v>1.86</v>
      </c>
    </row>
    <row r="778" spans="1:4" ht="13.5">
      <c r="A778" s="49">
        <v>88419</v>
      </c>
      <c r="B778" s="48" t="s">
        <v>3154</v>
      </c>
      <c r="C778" s="48" t="s">
        <v>10</v>
      </c>
      <c r="D778" s="50">
        <v>5.08</v>
      </c>
    </row>
    <row r="779" spans="1:4" ht="13.5">
      <c r="A779" s="49">
        <v>88422</v>
      </c>
      <c r="B779" s="48" t="s">
        <v>3155</v>
      </c>
      <c r="C779" s="48" t="s">
        <v>10</v>
      </c>
      <c r="D779" s="50">
        <v>0.6</v>
      </c>
    </row>
    <row r="780" spans="1:4" ht="13.5">
      <c r="A780" s="49">
        <v>88425</v>
      </c>
      <c r="B780" s="48" t="s">
        <v>3156</v>
      </c>
      <c r="C780" s="48" t="s">
        <v>10</v>
      </c>
      <c r="D780" s="50">
        <v>6.35</v>
      </c>
    </row>
    <row r="781" spans="1:4" ht="13.5">
      <c r="A781" s="49">
        <v>88427</v>
      </c>
      <c r="B781" s="48" t="s">
        <v>3157</v>
      </c>
      <c r="C781" s="48" t="s">
        <v>10</v>
      </c>
      <c r="D781" s="50">
        <v>1.04</v>
      </c>
    </row>
    <row r="782" spans="1:4" ht="13.5">
      <c r="A782" s="49">
        <v>88434</v>
      </c>
      <c r="B782" s="48" t="s">
        <v>3158</v>
      </c>
      <c r="C782" s="48" t="s">
        <v>10</v>
      </c>
      <c r="D782" s="50">
        <v>6.73</v>
      </c>
    </row>
    <row r="783" spans="1:4" ht="13.5">
      <c r="A783" s="49">
        <v>88435</v>
      </c>
      <c r="B783" s="48" t="s">
        <v>3159</v>
      </c>
      <c r="C783" s="48" t="s">
        <v>10</v>
      </c>
      <c r="D783" s="50">
        <v>0.8</v>
      </c>
    </row>
    <row r="784" spans="1:4" ht="13.5">
      <c r="A784" s="49">
        <v>88436</v>
      </c>
      <c r="B784" s="48" t="s">
        <v>3160</v>
      </c>
      <c r="C784" s="48" t="s">
        <v>10</v>
      </c>
      <c r="D784" s="50">
        <v>8.42</v>
      </c>
    </row>
    <row r="785" spans="1:4" ht="13.5">
      <c r="A785" s="49">
        <v>88437</v>
      </c>
      <c r="B785" s="48" t="s">
        <v>3161</v>
      </c>
      <c r="C785" s="48" t="s">
        <v>10</v>
      </c>
      <c r="D785" s="50">
        <v>1.04</v>
      </c>
    </row>
    <row r="786" spans="1:4" ht="13.5">
      <c r="A786" s="49">
        <v>88569</v>
      </c>
      <c r="B786" s="48" t="s">
        <v>3162</v>
      </c>
      <c r="C786" s="48" t="s">
        <v>10</v>
      </c>
      <c r="D786" s="50">
        <v>3.72</v>
      </c>
    </row>
    <row r="787" spans="1:4" ht="13.5">
      <c r="A787" s="49">
        <v>88570</v>
      </c>
      <c r="B787" s="48" t="s">
        <v>3163</v>
      </c>
      <c r="C787" s="48" t="s">
        <v>10</v>
      </c>
      <c r="D787" s="50">
        <v>0.78</v>
      </c>
    </row>
    <row r="788" spans="1:4" ht="13.5">
      <c r="A788" s="49">
        <v>88826</v>
      </c>
      <c r="B788" s="48" t="s">
        <v>3164</v>
      </c>
      <c r="C788" s="48" t="s">
        <v>10</v>
      </c>
      <c r="D788" s="50">
        <v>0.31</v>
      </c>
    </row>
    <row r="789" spans="1:4" ht="13.5">
      <c r="A789" s="49">
        <v>88827</v>
      </c>
      <c r="B789" s="48" t="s">
        <v>3165</v>
      </c>
      <c r="C789" s="48" t="s">
        <v>10</v>
      </c>
      <c r="D789" s="50">
        <v>0.03</v>
      </c>
    </row>
    <row r="790" spans="1:4" ht="13.5">
      <c r="A790" s="49">
        <v>88828</v>
      </c>
      <c r="B790" s="48" t="s">
        <v>3166</v>
      </c>
      <c r="C790" s="48" t="s">
        <v>10</v>
      </c>
      <c r="D790" s="50">
        <v>0.34</v>
      </c>
    </row>
    <row r="791" spans="1:4" ht="13.5">
      <c r="A791" s="49">
        <v>88829</v>
      </c>
      <c r="B791" s="48" t="s">
        <v>3167</v>
      </c>
      <c r="C791" s="48" t="s">
        <v>10</v>
      </c>
      <c r="D791" s="50">
        <v>1.23</v>
      </c>
    </row>
    <row r="792" spans="1:4" ht="13.5">
      <c r="A792" s="49">
        <v>88832</v>
      </c>
      <c r="B792" s="48" t="s">
        <v>3168</v>
      </c>
      <c r="C792" s="48" t="s">
        <v>10</v>
      </c>
      <c r="D792" s="50">
        <v>45.41</v>
      </c>
    </row>
    <row r="793" spans="1:4" ht="13.5">
      <c r="A793" s="49">
        <v>88834</v>
      </c>
      <c r="B793" s="48" t="s">
        <v>3169</v>
      </c>
      <c r="C793" s="48" t="s">
        <v>10</v>
      </c>
      <c r="D793" s="50">
        <v>6.16</v>
      </c>
    </row>
    <row r="794" spans="1:4" ht="13.5">
      <c r="A794" s="49">
        <v>88835</v>
      </c>
      <c r="B794" s="48" t="s">
        <v>3170</v>
      </c>
      <c r="C794" s="48" t="s">
        <v>10</v>
      </c>
      <c r="D794" s="50">
        <v>56.77</v>
      </c>
    </row>
    <row r="795" spans="1:4" ht="13.5">
      <c r="A795" s="49">
        <v>88836</v>
      </c>
      <c r="B795" s="48" t="s">
        <v>3171</v>
      </c>
      <c r="C795" s="48" t="s">
        <v>10</v>
      </c>
      <c r="D795" s="50">
        <v>54.52</v>
      </c>
    </row>
    <row r="796" spans="1:4" ht="13.5">
      <c r="A796" s="49">
        <v>88839</v>
      </c>
      <c r="B796" s="48" t="s">
        <v>3172</v>
      </c>
      <c r="C796" s="48" t="s">
        <v>10</v>
      </c>
      <c r="D796" s="50">
        <v>27.77</v>
      </c>
    </row>
    <row r="797" spans="1:4" ht="13.5">
      <c r="A797" s="49">
        <v>88840</v>
      </c>
      <c r="B797" s="48" t="s">
        <v>3173</v>
      </c>
      <c r="C797" s="48" t="s">
        <v>10</v>
      </c>
      <c r="D797" s="50">
        <v>6.25</v>
      </c>
    </row>
    <row r="798" spans="1:4" ht="13.5">
      <c r="A798" s="49">
        <v>88841</v>
      </c>
      <c r="B798" s="48" t="s">
        <v>3174</v>
      </c>
      <c r="C798" s="48" t="s">
        <v>10</v>
      </c>
      <c r="D798" s="50">
        <v>49.64</v>
      </c>
    </row>
    <row r="799" spans="1:4" ht="13.5">
      <c r="A799" s="49">
        <v>88842</v>
      </c>
      <c r="B799" s="48" t="s">
        <v>3175</v>
      </c>
      <c r="C799" s="48" t="s">
        <v>10</v>
      </c>
      <c r="D799" s="50">
        <v>66.73</v>
      </c>
    </row>
    <row r="800" spans="1:4" ht="13.5">
      <c r="A800" s="49">
        <v>88847</v>
      </c>
      <c r="B800" s="48" t="s">
        <v>3176</v>
      </c>
      <c r="C800" s="48" t="s">
        <v>10</v>
      </c>
      <c r="D800" s="50">
        <v>21.4</v>
      </c>
    </row>
    <row r="801" spans="1:4" ht="13.5">
      <c r="A801" s="49">
        <v>88848</v>
      </c>
      <c r="B801" s="48" t="s">
        <v>3177</v>
      </c>
      <c r="C801" s="48" t="s">
        <v>10</v>
      </c>
      <c r="D801" s="50">
        <v>4.49</v>
      </c>
    </row>
    <row r="802" spans="1:4" ht="13.5">
      <c r="A802" s="49">
        <v>88853</v>
      </c>
      <c r="B802" s="48" t="s">
        <v>3179</v>
      </c>
      <c r="C802" s="48" t="s">
        <v>10</v>
      </c>
      <c r="D802" s="50">
        <v>0.21</v>
      </c>
    </row>
    <row r="803" spans="1:4" ht="13.5">
      <c r="A803" s="49">
        <v>88854</v>
      </c>
      <c r="B803" s="48" t="s">
        <v>3180</v>
      </c>
      <c r="C803" s="48" t="s">
        <v>10</v>
      </c>
      <c r="D803" s="50">
        <v>0.02</v>
      </c>
    </row>
    <row r="804" spans="1:4" ht="13.5">
      <c r="A804" s="49">
        <v>88855</v>
      </c>
      <c r="B804" s="48" t="s">
        <v>3181</v>
      </c>
      <c r="C804" s="48" t="s">
        <v>10</v>
      </c>
      <c r="D804" s="50">
        <v>4.0599999999999996</v>
      </c>
    </row>
    <row r="805" spans="1:4" ht="13.5">
      <c r="A805" s="49">
        <v>88856</v>
      </c>
      <c r="B805" s="48" t="s">
        <v>3182</v>
      </c>
      <c r="C805" s="48" t="s">
        <v>10</v>
      </c>
      <c r="D805" s="50">
        <v>0.56000000000000005</v>
      </c>
    </row>
    <row r="806" spans="1:4" ht="13.5">
      <c r="A806" s="49">
        <v>88857</v>
      </c>
      <c r="B806" s="48" t="s">
        <v>3183</v>
      </c>
      <c r="C806" s="48" t="s">
        <v>10</v>
      </c>
      <c r="D806" s="50">
        <v>25.1</v>
      </c>
    </row>
    <row r="807" spans="1:4" ht="13.5">
      <c r="A807" s="49">
        <v>88858</v>
      </c>
      <c r="B807" s="48" t="s">
        <v>3184</v>
      </c>
      <c r="C807" s="48" t="s">
        <v>10</v>
      </c>
      <c r="D807" s="50">
        <v>3.4</v>
      </c>
    </row>
    <row r="808" spans="1:4" ht="13.5">
      <c r="A808" s="49">
        <v>88859</v>
      </c>
      <c r="B808" s="48" t="s">
        <v>3185</v>
      </c>
      <c r="C808" s="48" t="s">
        <v>10</v>
      </c>
      <c r="D808" s="50">
        <v>22.32</v>
      </c>
    </row>
    <row r="809" spans="1:4" ht="13.5">
      <c r="A809" s="49">
        <v>88860</v>
      </c>
      <c r="B809" s="48" t="s">
        <v>3186</v>
      </c>
      <c r="C809" s="48" t="s">
        <v>10</v>
      </c>
      <c r="D809" s="50">
        <v>3.03</v>
      </c>
    </row>
    <row r="810" spans="1:4" ht="13.5">
      <c r="A810" s="49">
        <v>88900</v>
      </c>
      <c r="B810" s="48" t="s">
        <v>3187</v>
      </c>
      <c r="C810" s="48" t="s">
        <v>10</v>
      </c>
      <c r="D810" s="50">
        <v>52.95</v>
      </c>
    </row>
    <row r="811" spans="1:4" ht="13.5">
      <c r="A811" s="49">
        <v>88902</v>
      </c>
      <c r="B811" s="48" t="s">
        <v>3188</v>
      </c>
      <c r="C811" s="48" t="s">
        <v>10</v>
      </c>
      <c r="D811" s="50">
        <v>7.18</v>
      </c>
    </row>
    <row r="812" spans="1:4" ht="13.5">
      <c r="A812" s="49">
        <v>88903</v>
      </c>
      <c r="B812" s="48" t="s">
        <v>3189</v>
      </c>
      <c r="C812" s="48" t="s">
        <v>10</v>
      </c>
      <c r="D812" s="50">
        <v>66.19</v>
      </c>
    </row>
    <row r="813" spans="1:4" ht="13.5">
      <c r="A813" s="49">
        <v>88904</v>
      </c>
      <c r="B813" s="48" t="s">
        <v>3190</v>
      </c>
      <c r="C813" s="48" t="s">
        <v>10</v>
      </c>
      <c r="D813" s="50">
        <v>76.8</v>
      </c>
    </row>
    <row r="814" spans="1:4" ht="13.5">
      <c r="A814" s="49">
        <v>89009</v>
      </c>
      <c r="B814" s="48" t="s">
        <v>3191</v>
      </c>
      <c r="C814" s="48" t="s">
        <v>10</v>
      </c>
      <c r="D814" s="50">
        <v>34.39</v>
      </c>
    </row>
    <row r="815" spans="1:4" ht="13.5">
      <c r="A815" s="49">
        <v>89010</v>
      </c>
      <c r="B815" s="48" t="s">
        <v>3192</v>
      </c>
      <c r="C815" s="48" t="s">
        <v>10</v>
      </c>
      <c r="D815" s="50">
        <v>7.74</v>
      </c>
    </row>
    <row r="816" spans="1:4" ht="13.5">
      <c r="A816" s="49">
        <v>89011</v>
      </c>
      <c r="B816" s="48" t="s">
        <v>3193</v>
      </c>
      <c r="C816" s="48" t="s">
        <v>10</v>
      </c>
      <c r="D816" s="50">
        <v>24.22</v>
      </c>
    </row>
    <row r="817" spans="1:4" ht="13.5">
      <c r="A817" s="49">
        <v>89012</v>
      </c>
      <c r="B817" s="48" t="s">
        <v>3194</v>
      </c>
      <c r="C817" s="48" t="s">
        <v>10</v>
      </c>
      <c r="D817" s="50">
        <v>3.28</v>
      </c>
    </row>
    <row r="818" spans="1:4" ht="13.5">
      <c r="A818" s="49">
        <v>89013</v>
      </c>
      <c r="B818" s="48" t="s">
        <v>3195</v>
      </c>
      <c r="C818" s="48" t="s">
        <v>10</v>
      </c>
      <c r="D818" s="50">
        <v>112.67</v>
      </c>
    </row>
    <row r="819" spans="1:4" ht="13.5">
      <c r="A819" s="49">
        <v>89014</v>
      </c>
      <c r="B819" s="48" t="s">
        <v>3196</v>
      </c>
      <c r="C819" s="48" t="s">
        <v>10</v>
      </c>
      <c r="D819" s="50">
        <v>25.36</v>
      </c>
    </row>
    <row r="820" spans="1:4" ht="13.5">
      <c r="A820" s="49">
        <v>89015</v>
      </c>
      <c r="B820" s="48" t="s">
        <v>3197</v>
      </c>
      <c r="C820" s="48" t="s">
        <v>10</v>
      </c>
      <c r="D820" s="50">
        <v>4.6900000000000004</v>
      </c>
    </row>
    <row r="821" spans="1:4" ht="13.5">
      <c r="A821" s="49">
        <v>89016</v>
      </c>
      <c r="B821" s="48" t="s">
        <v>3198</v>
      </c>
      <c r="C821" s="48" t="s">
        <v>10</v>
      </c>
      <c r="D821" s="50">
        <v>0.63</v>
      </c>
    </row>
    <row r="822" spans="1:4" ht="13.5">
      <c r="A822" s="49">
        <v>89017</v>
      </c>
      <c r="B822" s="48" t="s">
        <v>3199</v>
      </c>
      <c r="C822" s="48" t="s">
        <v>10</v>
      </c>
      <c r="D822" s="50">
        <v>34.18</v>
      </c>
    </row>
    <row r="823" spans="1:4" ht="13.5">
      <c r="A823" s="49">
        <v>89018</v>
      </c>
      <c r="B823" s="48" t="s">
        <v>3200</v>
      </c>
      <c r="C823" s="48" t="s">
        <v>10</v>
      </c>
      <c r="D823" s="50">
        <v>7.69</v>
      </c>
    </row>
    <row r="824" spans="1:4" ht="13.5">
      <c r="A824" s="49">
        <v>89019</v>
      </c>
      <c r="B824" s="48" t="s">
        <v>3202</v>
      </c>
      <c r="C824" s="48" t="s">
        <v>10</v>
      </c>
      <c r="D824" s="50">
        <v>0.27</v>
      </c>
    </row>
    <row r="825" spans="1:4" ht="13.5">
      <c r="A825" s="49">
        <v>89020</v>
      </c>
      <c r="B825" s="48" t="s">
        <v>3203</v>
      </c>
      <c r="C825" s="48" t="s">
        <v>10</v>
      </c>
      <c r="D825" s="50">
        <v>0.03</v>
      </c>
    </row>
    <row r="826" spans="1:4" ht="13.5">
      <c r="A826" s="49">
        <v>89023</v>
      </c>
      <c r="B826" s="48" t="s">
        <v>3204</v>
      </c>
      <c r="C826" s="48" t="s">
        <v>10</v>
      </c>
      <c r="D826" s="50">
        <v>4.4400000000000004</v>
      </c>
    </row>
    <row r="827" spans="1:4" ht="13.5">
      <c r="A827" s="49">
        <v>89024</v>
      </c>
      <c r="B827" s="48" t="s">
        <v>3205</v>
      </c>
      <c r="C827" s="48" t="s">
        <v>10</v>
      </c>
      <c r="D827" s="50">
        <v>0.7</v>
      </c>
    </row>
    <row r="828" spans="1:4" ht="13.5">
      <c r="A828" s="49">
        <v>89025</v>
      </c>
      <c r="B828" s="48" t="s">
        <v>3206</v>
      </c>
      <c r="C828" s="48" t="s">
        <v>10</v>
      </c>
      <c r="D828" s="50">
        <v>3.7</v>
      </c>
    </row>
    <row r="829" spans="1:4" ht="13.5">
      <c r="A829" s="49">
        <v>89026</v>
      </c>
      <c r="B829" s="48" t="s">
        <v>3207</v>
      </c>
      <c r="C829" s="48" t="s">
        <v>10</v>
      </c>
      <c r="D829" s="50">
        <v>204.09</v>
      </c>
    </row>
    <row r="830" spans="1:4" ht="13.5">
      <c r="A830" s="49">
        <v>89029</v>
      </c>
      <c r="B830" s="48" t="s">
        <v>3208</v>
      </c>
      <c r="C830" s="48" t="s">
        <v>10</v>
      </c>
      <c r="D830" s="50">
        <v>26.53</v>
      </c>
    </row>
    <row r="831" spans="1:4" ht="13.5">
      <c r="A831" s="49">
        <v>89030</v>
      </c>
      <c r="B831" s="48" t="s">
        <v>3209</v>
      </c>
      <c r="C831" s="48" t="s">
        <v>10</v>
      </c>
      <c r="D831" s="50">
        <v>5.97</v>
      </c>
    </row>
    <row r="832" spans="1:4" ht="13.5">
      <c r="A832" s="49">
        <v>89033</v>
      </c>
      <c r="B832" s="48" t="s">
        <v>3210</v>
      </c>
      <c r="C832" s="48" t="s">
        <v>10</v>
      </c>
      <c r="D832" s="50">
        <v>11.99</v>
      </c>
    </row>
    <row r="833" spans="1:4" ht="13.5">
      <c r="A833" s="49">
        <v>89034</v>
      </c>
      <c r="B833" s="48" t="s">
        <v>3211</v>
      </c>
      <c r="C833" s="48" t="s">
        <v>10</v>
      </c>
      <c r="D833" s="50">
        <v>1.66</v>
      </c>
    </row>
    <row r="834" spans="1:4" ht="13.5">
      <c r="A834" s="49">
        <v>89128</v>
      </c>
      <c r="B834" s="48" t="s">
        <v>3212</v>
      </c>
      <c r="C834" s="48" t="s">
        <v>10</v>
      </c>
      <c r="D834" s="50">
        <v>36.96</v>
      </c>
    </row>
    <row r="835" spans="1:4" ht="13.5">
      <c r="A835" s="49">
        <v>89129</v>
      </c>
      <c r="B835" s="48" t="s">
        <v>3213</v>
      </c>
      <c r="C835" s="48" t="s">
        <v>10</v>
      </c>
      <c r="D835" s="50">
        <v>5.01</v>
      </c>
    </row>
    <row r="836" spans="1:4" ht="13.5">
      <c r="A836" s="49">
        <v>89130</v>
      </c>
      <c r="B836" s="48" t="s">
        <v>3214</v>
      </c>
      <c r="C836" s="48" t="s">
        <v>10</v>
      </c>
      <c r="D836" s="50">
        <v>51.25</v>
      </c>
    </row>
    <row r="837" spans="1:4" ht="13.5">
      <c r="A837" s="49">
        <v>89131</v>
      </c>
      <c r="B837" s="48" t="s">
        <v>3215</v>
      </c>
      <c r="C837" s="48" t="s">
        <v>10</v>
      </c>
      <c r="D837" s="50">
        <v>6.95</v>
      </c>
    </row>
    <row r="838" spans="1:4" ht="13.5">
      <c r="A838" s="49">
        <v>89210</v>
      </c>
      <c r="B838" s="48" t="s">
        <v>3216</v>
      </c>
      <c r="C838" s="48" t="s">
        <v>10</v>
      </c>
      <c r="D838" s="50">
        <v>28.59</v>
      </c>
    </row>
    <row r="839" spans="1:4" ht="13.5">
      <c r="A839" s="49">
        <v>89211</v>
      </c>
      <c r="B839" s="48" t="s">
        <v>3217</v>
      </c>
      <c r="C839" s="48" t="s">
        <v>10</v>
      </c>
      <c r="D839" s="50">
        <v>3.96</v>
      </c>
    </row>
    <row r="840" spans="1:4" ht="13.5">
      <c r="A840" s="49">
        <v>89212</v>
      </c>
      <c r="B840" s="48" t="s">
        <v>3218</v>
      </c>
      <c r="C840" s="48" t="s">
        <v>10</v>
      </c>
      <c r="D840" s="50">
        <v>25.34</v>
      </c>
    </row>
    <row r="841" spans="1:4" ht="13.5">
      <c r="A841" s="49">
        <v>89213</v>
      </c>
      <c r="B841" s="48" t="s">
        <v>3219</v>
      </c>
      <c r="C841" s="48" t="s">
        <v>10</v>
      </c>
      <c r="D841" s="50">
        <v>3.99</v>
      </c>
    </row>
    <row r="842" spans="1:4" ht="13.5">
      <c r="A842" s="49">
        <v>89214</v>
      </c>
      <c r="B842" s="48" t="s">
        <v>3220</v>
      </c>
      <c r="C842" s="48" t="s">
        <v>10</v>
      </c>
      <c r="D842" s="50">
        <v>23.79</v>
      </c>
    </row>
    <row r="843" spans="1:4" ht="13.5">
      <c r="A843" s="49">
        <v>89215</v>
      </c>
      <c r="B843" s="48" t="s">
        <v>3221</v>
      </c>
      <c r="C843" s="48" t="s">
        <v>10</v>
      </c>
      <c r="D843" s="50">
        <v>79.3</v>
      </c>
    </row>
    <row r="844" spans="1:4" ht="13.5">
      <c r="A844" s="49">
        <v>89221</v>
      </c>
      <c r="B844" s="48" t="s">
        <v>3222</v>
      </c>
      <c r="C844" s="48" t="s">
        <v>10</v>
      </c>
      <c r="D844" s="50">
        <v>1.26</v>
      </c>
    </row>
    <row r="845" spans="1:4" ht="13.5">
      <c r="A845" s="49">
        <v>89222</v>
      </c>
      <c r="B845" s="48" t="s">
        <v>3223</v>
      </c>
      <c r="C845" s="48" t="s">
        <v>10</v>
      </c>
      <c r="D845" s="50">
        <v>0.15</v>
      </c>
    </row>
    <row r="846" spans="1:4" ht="13.5">
      <c r="A846" s="49">
        <v>89223</v>
      </c>
      <c r="B846" s="48" t="s">
        <v>3224</v>
      </c>
      <c r="C846" s="48" t="s">
        <v>10</v>
      </c>
      <c r="D846" s="50">
        <v>1.38</v>
      </c>
    </row>
    <row r="847" spans="1:4" ht="13.5">
      <c r="A847" s="49">
        <v>89224</v>
      </c>
      <c r="B847" s="48" t="s">
        <v>3225</v>
      </c>
      <c r="C847" s="48" t="s">
        <v>10</v>
      </c>
      <c r="D847" s="50">
        <v>2.4700000000000002</v>
      </c>
    </row>
    <row r="848" spans="1:4" ht="13.5">
      <c r="A848" s="49">
        <v>89228</v>
      </c>
      <c r="B848" s="48" t="s">
        <v>3226</v>
      </c>
      <c r="C848" s="48" t="s">
        <v>10</v>
      </c>
      <c r="D848" s="50">
        <v>40.78</v>
      </c>
    </row>
    <row r="849" spans="1:4" ht="13.5">
      <c r="A849" s="49">
        <v>89229</v>
      </c>
      <c r="B849" s="48" t="s">
        <v>3227</v>
      </c>
      <c r="C849" s="48" t="s">
        <v>10</v>
      </c>
      <c r="D849" s="50">
        <v>7.34</v>
      </c>
    </row>
    <row r="850" spans="1:4" ht="13.5">
      <c r="A850" s="49">
        <v>89230</v>
      </c>
      <c r="B850" s="48" t="s">
        <v>3228</v>
      </c>
      <c r="C850" s="48" t="s">
        <v>10</v>
      </c>
      <c r="D850" s="50">
        <v>153.99</v>
      </c>
    </row>
    <row r="851" spans="1:4" ht="13.5">
      <c r="A851" s="49">
        <v>89231</v>
      </c>
      <c r="B851" s="48" t="s">
        <v>3229</v>
      </c>
      <c r="C851" s="48" t="s">
        <v>10</v>
      </c>
      <c r="D851" s="50">
        <v>24.4</v>
      </c>
    </row>
    <row r="852" spans="1:4" ht="13.5">
      <c r="A852" s="49">
        <v>89232</v>
      </c>
      <c r="B852" s="48" t="s">
        <v>3230</v>
      </c>
      <c r="C852" s="48" t="s">
        <v>10</v>
      </c>
      <c r="D852" s="50">
        <v>274.68</v>
      </c>
    </row>
    <row r="853" spans="1:4" ht="13.5">
      <c r="A853" s="49">
        <v>89233</v>
      </c>
      <c r="B853" s="48" t="s">
        <v>3231</v>
      </c>
      <c r="C853" s="48" t="s">
        <v>10</v>
      </c>
      <c r="D853" s="50">
        <v>142.72</v>
      </c>
    </row>
    <row r="854" spans="1:4" ht="13.5">
      <c r="A854" s="49">
        <v>89236</v>
      </c>
      <c r="B854" s="48" t="s">
        <v>3232</v>
      </c>
      <c r="C854" s="48" t="s">
        <v>10</v>
      </c>
      <c r="D854" s="50">
        <v>359.73</v>
      </c>
    </row>
    <row r="855" spans="1:4" ht="13.5">
      <c r="A855" s="49">
        <v>89237</v>
      </c>
      <c r="B855" s="48" t="s">
        <v>3233</v>
      </c>
      <c r="C855" s="48" t="s">
        <v>10</v>
      </c>
      <c r="D855" s="50">
        <v>57</v>
      </c>
    </row>
    <row r="856" spans="1:4" ht="13.5">
      <c r="A856" s="49">
        <v>89238</v>
      </c>
      <c r="B856" s="48" t="s">
        <v>3234</v>
      </c>
      <c r="C856" s="48" t="s">
        <v>10</v>
      </c>
      <c r="D856" s="50">
        <v>641.66</v>
      </c>
    </row>
    <row r="857" spans="1:4" ht="13.5">
      <c r="A857" s="49">
        <v>89239</v>
      </c>
      <c r="B857" s="48" t="s">
        <v>3235</v>
      </c>
      <c r="C857" s="48" t="s">
        <v>10</v>
      </c>
      <c r="D857" s="50">
        <v>377.42</v>
      </c>
    </row>
    <row r="858" spans="1:4" ht="13.5">
      <c r="A858" s="49">
        <v>89240</v>
      </c>
      <c r="B858" s="48" t="s">
        <v>3236</v>
      </c>
      <c r="C858" s="48" t="s">
        <v>10</v>
      </c>
      <c r="D858" s="50">
        <v>110.4</v>
      </c>
    </row>
    <row r="859" spans="1:4" ht="13.5">
      <c r="A859" s="49">
        <v>89241</v>
      </c>
      <c r="B859" s="48" t="s">
        <v>3237</v>
      </c>
      <c r="C859" s="48" t="s">
        <v>10</v>
      </c>
      <c r="D859" s="50">
        <v>19.87</v>
      </c>
    </row>
    <row r="860" spans="1:4" ht="13.5">
      <c r="A860" s="49">
        <v>89246</v>
      </c>
      <c r="B860" s="48" t="s">
        <v>3238</v>
      </c>
      <c r="C860" s="48" t="s">
        <v>10</v>
      </c>
      <c r="D860" s="50">
        <v>312.58</v>
      </c>
    </row>
    <row r="861" spans="1:4" ht="13.5">
      <c r="A861" s="49">
        <v>89247</v>
      </c>
      <c r="B861" s="48" t="s">
        <v>3239</v>
      </c>
      <c r="C861" s="48" t="s">
        <v>10</v>
      </c>
      <c r="D861" s="50">
        <v>49.53</v>
      </c>
    </row>
    <row r="862" spans="1:4" ht="13.5">
      <c r="A862" s="49">
        <v>89248</v>
      </c>
      <c r="B862" s="48" t="s">
        <v>3240</v>
      </c>
      <c r="C862" s="48" t="s">
        <v>10</v>
      </c>
      <c r="D862" s="50">
        <v>557.55999999999995</v>
      </c>
    </row>
    <row r="863" spans="1:4" ht="13.5">
      <c r="A863" s="49">
        <v>89249</v>
      </c>
      <c r="B863" s="48" t="s">
        <v>3241</v>
      </c>
      <c r="C863" s="48" t="s">
        <v>10</v>
      </c>
      <c r="D863" s="50">
        <v>321.72000000000003</v>
      </c>
    </row>
    <row r="864" spans="1:4" ht="13.5">
      <c r="A864" s="49">
        <v>89253</v>
      </c>
      <c r="B864" s="48" t="s">
        <v>3242</v>
      </c>
      <c r="C864" s="48" t="s">
        <v>10</v>
      </c>
      <c r="D864" s="50">
        <v>90.47</v>
      </c>
    </row>
    <row r="865" spans="1:4" ht="13.5">
      <c r="A865" s="49">
        <v>89254</v>
      </c>
      <c r="B865" s="48" t="s">
        <v>3243</v>
      </c>
      <c r="C865" s="48" t="s">
        <v>10</v>
      </c>
      <c r="D865" s="50">
        <v>16.28</v>
      </c>
    </row>
    <row r="866" spans="1:4" ht="13.5">
      <c r="A866" s="49">
        <v>89255</v>
      </c>
      <c r="B866" s="48" t="s">
        <v>3244</v>
      </c>
      <c r="C866" s="48" t="s">
        <v>10</v>
      </c>
      <c r="D866" s="50">
        <v>145.43</v>
      </c>
    </row>
    <row r="867" spans="1:4" ht="13.5">
      <c r="A867" s="49">
        <v>89256</v>
      </c>
      <c r="B867" s="48" t="s">
        <v>3245</v>
      </c>
      <c r="C867" s="48" t="s">
        <v>10</v>
      </c>
      <c r="D867" s="50">
        <v>72.400000000000006</v>
      </c>
    </row>
    <row r="868" spans="1:4" ht="13.5">
      <c r="A868" s="49">
        <v>89259</v>
      </c>
      <c r="B868" s="48" t="s">
        <v>3246</v>
      </c>
      <c r="C868" s="48" t="s">
        <v>10</v>
      </c>
      <c r="D868" s="50">
        <v>18.440000000000001</v>
      </c>
    </row>
    <row r="869" spans="1:4" ht="13.5">
      <c r="A869" s="49">
        <v>89260</v>
      </c>
      <c r="B869" s="48" t="s">
        <v>3247</v>
      </c>
      <c r="C869" s="48" t="s">
        <v>10</v>
      </c>
      <c r="D869" s="50">
        <v>3.34</v>
      </c>
    </row>
    <row r="870" spans="1:4" ht="13.5">
      <c r="A870" s="49">
        <v>89262</v>
      </c>
      <c r="B870" s="48" t="s">
        <v>3248</v>
      </c>
      <c r="C870" s="48" t="s">
        <v>10</v>
      </c>
      <c r="D870" s="50">
        <v>30.38</v>
      </c>
    </row>
    <row r="871" spans="1:4" ht="13.5">
      <c r="A871" s="49">
        <v>89264</v>
      </c>
      <c r="B871" s="48" t="s">
        <v>3249</v>
      </c>
      <c r="C871" s="48" t="s">
        <v>10</v>
      </c>
      <c r="D871" s="50">
        <v>13.32</v>
      </c>
    </row>
    <row r="872" spans="1:4" ht="13.5">
      <c r="A872" s="49">
        <v>89265</v>
      </c>
      <c r="B872" s="48" t="s">
        <v>3250</v>
      </c>
      <c r="C872" s="48" t="s">
        <v>10</v>
      </c>
      <c r="D872" s="50">
        <v>2.66</v>
      </c>
    </row>
    <row r="873" spans="1:4" ht="13.5">
      <c r="A873" s="49">
        <v>89266</v>
      </c>
      <c r="B873" s="48" t="s">
        <v>3251</v>
      </c>
      <c r="C873" s="48" t="s">
        <v>10</v>
      </c>
      <c r="D873" s="50">
        <v>2.11</v>
      </c>
    </row>
    <row r="874" spans="1:4" ht="13.5">
      <c r="A874" s="49">
        <v>89267</v>
      </c>
      <c r="B874" s="48" t="s">
        <v>3252</v>
      </c>
      <c r="C874" s="48" t="s">
        <v>10</v>
      </c>
      <c r="D874" s="50">
        <v>44.11</v>
      </c>
    </row>
    <row r="875" spans="1:4" ht="13.5">
      <c r="A875" s="49">
        <v>89268</v>
      </c>
      <c r="B875" s="48" t="s">
        <v>3253</v>
      </c>
      <c r="C875" s="48" t="s">
        <v>10</v>
      </c>
      <c r="D875" s="50">
        <v>7.94</v>
      </c>
    </row>
    <row r="876" spans="1:4" ht="13.5">
      <c r="A876" s="49">
        <v>89269</v>
      </c>
      <c r="B876" s="48" t="s">
        <v>3254</v>
      </c>
      <c r="C876" s="48" t="s">
        <v>10</v>
      </c>
      <c r="D876" s="50">
        <v>6.28</v>
      </c>
    </row>
    <row r="877" spans="1:4" ht="13.5">
      <c r="A877" s="49">
        <v>89270</v>
      </c>
      <c r="B877" s="48" t="s">
        <v>3255</v>
      </c>
      <c r="C877" s="48" t="s">
        <v>10</v>
      </c>
      <c r="D877" s="50">
        <v>70.91</v>
      </c>
    </row>
    <row r="878" spans="1:4" ht="13.5">
      <c r="A878" s="49">
        <v>89271</v>
      </c>
      <c r="B878" s="48" t="s">
        <v>3256</v>
      </c>
      <c r="C878" s="48" t="s">
        <v>10</v>
      </c>
      <c r="D878" s="50">
        <v>24.78</v>
      </c>
    </row>
    <row r="879" spans="1:4" ht="13.5">
      <c r="A879" s="49">
        <v>89274</v>
      </c>
      <c r="B879" s="48" t="s">
        <v>28237</v>
      </c>
      <c r="C879" s="48" t="s">
        <v>10</v>
      </c>
      <c r="D879" s="50">
        <v>1.54</v>
      </c>
    </row>
    <row r="880" spans="1:4" ht="13.5">
      <c r="A880" s="49">
        <v>89275</v>
      </c>
      <c r="B880" s="48" t="s">
        <v>28238</v>
      </c>
      <c r="C880" s="48" t="s">
        <v>10</v>
      </c>
      <c r="D880" s="50">
        <v>0.18</v>
      </c>
    </row>
    <row r="881" spans="1:4" ht="13.5">
      <c r="A881" s="49">
        <v>89276</v>
      </c>
      <c r="B881" s="48" t="s">
        <v>28239</v>
      </c>
      <c r="C881" s="48" t="s">
        <v>10</v>
      </c>
      <c r="D881" s="50">
        <v>1.92</v>
      </c>
    </row>
    <row r="882" spans="1:4" ht="13.5">
      <c r="A882" s="49">
        <v>89277</v>
      </c>
      <c r="B882" s="48" t="s">
        <v>28240</v>
      </c>
      <c r="C882" s="48" t="s">
        <v>10</v>
      </c>
      <c r="D882" s="50">
        <v>7.15</v>
      </c>
    </row>
    <row r="883" spans="1:4" ht="13.5">
      <c r="A883" s="49">
        <v>89280</v>
      </c>
      <c r="B883" s="48" t="s">
        <v>3257</v>
      </c>
      <c r="C883" s="48" t="s">
        <v>10</v>
      </c>
      <c r="D883" s="50">
        <v>35.1</v>
      </c>
    </row>
    <row r="884" spans="1:4" ht="13.5">
      <c r="A884" s="49">
        <v>89281</v>
      </c>
      <c r="B884" s="48" t="s">
        <v>3258</v>
      </c>
      <c r="C884" s="48" t="s">
        <v>10</v>
      </c>
      <c r="D884" s="50">
        <v>4.87</v>
      </c>
    </row>
    <row r="885" spans="1:4" ht="13.5">
      <c r="A885" s="49">
        <v>89870</v>
      </c>
      <c r="B885" s="48" t="s">
        <v>3259</v>
      </c>
      <c r="C885" s="48" t="s">
        <v>10</v>
      </c>
      <c r="D885" s="50">
        <v>31.94</v>
      </c>
    </row>
    <row r="886" spans="1:4" ht="13.5">
      <c r="A886" s="49">
        <v>89871</v>
      </c>
      <c r="B886" s="48" t="s">
        <v>3260</v>
      </c>
      <c r="C886" s="48" t="s">
        <v>10</v>
      </c>
      <c r="D886" s="50">
        <v>5.56</v>
      </c>
    </row>
    <row r="887" spans="1:4" ht="13.5">
      <c r="A887" s="49">
        <v>89872</v>
      </c>
      <c r="B887" s="48" t="s">
        <v>3261</v>
      </c>
      <c r="C887" s="48" t="s">
        <v>10</v>
      </c>
      <c r="D887" s="50">
        <v>4.42</v>
      </c>
    </row>
    <row r="888" spans="1:4" ht="13.5">
      <c r="A888" s="49">
        <v>89873</v>
      </c>
      <c r="B888" s="48" t="s">
        <v>3262</v>
      </c>
      <c r="C888" s="48" t="s">
        <v>10</v>
      </c>
      <c r="D888" s="50">
        <v>53.81</v>
      </c>
    </row>
    <row r="889" spans="1:4" ht="13.5">
      <c r="A889" s="49">
        <v>89874</v>
      </c>
      <c r="B889" s="48" t="s">
        <v>3263</v>
      </c>
      <c r="C889" s="48" t="s">
        <v>10</v>
      </c>
      <c r="D889" s="50">
        <v>150.59</v>
      </c>
    </row>
    <row r="890" spans="1:4" ht="13.5">
      <c r="A890" s="49">
        <v>89878</v>
      </c>
      <c r="B890" s="48" t="s">
        <v>3264</v>
      </c>
      <c r="C890" s="48" t="s">
        <v>10</v>
      </c>
      <c r="D890" s="50">
        <v>34.47</v>
      </c>
    </row>
    <row r="891" spans="1:4" ht="13.5">
      <c r="A891" s="49">
        <v>89879</v>
      </c>
      <c r="B891" s="48" t="s">
        <v>3266</v>
      </c>
      <c r="C891" s="48" t="s">
        <v>10</v>
      </c>
      <c r="D891" s="50">
        <v>5.89</v>
      </c>
    </row>
    <row r="892" spans="1:4" ht="13.5">
      <c r="A892" s="49">
        <v>89880</v>
      </c>
      <c r="B892" s="48" t="s">
        <v>3267</v>
      </c>
      <c r="C892" s="48" t="s">
        <v>10</v>
      </c>
      <c r="D892" s="50">
        <v>4.68</v>
      </c>
    </row>
    <row r="893" spans="1:4" ht="13.5">
      <c r="A893" s="49">
        <v>89881</v>
      </c>
      <c r="B893" s="48" t="s">
        <v>3268</v>
      </c>
      <c r="C893" s="48" t="s">
        <v>10</v>
      </c>
      <c r="D893" s="50">
        <v>57.48</v>
      </c>
    </row>
    <row r="894" spans="1:4" ht="13.5">
      <c r="A894" s="49">
        <v>89882</v>
      </c>
      <c r="B894" s="48" t="s">
        <v>3269</v>
      </c>
      <c r="C894" s="48" t="s">
        <v>10</v>
      </c>
      <c r="D894" s="50">
        <v>173.74</v>
      </c>
    </row>
    <row r="895" spans="1:4" ht="13.5">
      <c r="A895" s="49">
        <v>90582</v>
      </c>
      <c r="B895" s="48" t="s">
        <v>3270</v>
      </c>
      <c r="C895" s="48" t="s">
        <v>10</v>
      </c>
      <c r="D895" s="50">
        <v>0.4</v>
      </c>
    </row>
    <row r="896" spans="1:4" ht="13.5">
      <c r="A896" s="49">
        <v>90583</v>
      </c>
      <c r="B896" s="48" t="s">
        <v>3271</v>
      </c>
      <c r="C896" s="48" t="s">
        <v>10</v>
      </c>
      <c r="D896" s="50">
        <v>0.04</v>
      </c>
    </row>
    <row r="897" spans="1:4" ht="13.5">
      <c r="A897" s="49">
        <v>90584</v>
      </c>
      <c r="B897" s="48" t="s">
        <v>3272</v>
      </c>
      <c r="C897" s="48" t="s">
        <v>10</v>
      </c>
      <c r="D897" s="50">
        <v>0.31</v>
      </c>
    </row>
    <row r="898" spans="1:4" ht="13.5">
      <c r="A898" s="49">
        <v>90585</v>
      </c>
      <c r="B898" s="48" t="s">
        <v>3273</v>
      </c>
      <c r="C898" s="48" t="s">
        <v>10</v>
      </c>
      <c r="D898" s="50">
        <v>0.51</v>
      </c>
    </row>
    <row r="899" spans="1:4" ht="13.5">
      <c r="A899" s="49">
        <v>90621</v>
      </c>
      <c r="B899" s="48" t="s">
        <v>3274</v>
      </c>
      <c r="C899" s="48" t="s">
        <v>10</v>
      </c>
      <c r="D899" s="50">
        <v>1.38</v>
      </c>
    </row>
    <row r="900" spans="1:4" ht="13.5">
      <c r="A900" s="49">
        <v>90622</v>
      </c>
      <c r="B900" s="48" t="s">
        <v>3275</v>
      </c>
      <c r="C900" s="48" t="s">
        <v>10</v>
      </c>
      <c r="D900" s="50">
        <v>0.16</v>
      </c>
    </row>
    <row r="901" spans="1:4" ht="13.5">
      <c r="A901" s="49">
        <v>90623</v>
      </c>
      <c r="B901" s="48" t="s">
        <v>3276</v>
      </c>
      <c r="C901" s="48" t="s">
        <v>10</v>
      </c>
      <c r="D901" s="50">
        <v>1.72</v>
      </c>
    </row>
    <row r="902" spans="1:4" ht="13.5">
      <c r="A902" s="49">
        <v>90624</v>
      </c>
      <c r="B902" s="48" t="s">
        <v>3277</v>
      </c>
      <c r="C902" s="48" t="s">
        <v>10</v>
      </c>
      <c r="D902" s="50">
        <v>3.09</v>
      </c>
    </row>
    <row r="903" spans="1:4" ht="13.5">
      <c r="A903" s="49">
        <v>90627</v>
      </c>
      <c r="B903" s="48" t="s">
        <v>3278</v>
      </c>
      <c r="C903" s="48" t="s">
        <v>10</v>
      </c>
      <c r="D903" s="50">
        <v>48.45</v>
      </c>
    </row>
    <row r="904" spans="1:4" ht="13.5">
      <c r="A904" s="49">
        <v>90628</v>
      </c>
      <c r="B904" s="48" t="s">
        <v>3279</v>
      </c>
      <c r="C904" s="48" t="s">
        <v>10</v>
      </c>
      <c r="D904" s="50">
        <v>6.63</v>
      </c>
    </row>
    <row r="905" spans="1:4" ht="13.5">
      <c r="A905" s="49">
        <v>90629</v>
      </c>
      <c r="B905" s="48" t="s">
        <v>3280</v>
      </c>
      <c r="C905" s="48" t="s">
        <v>10</v>
      </c>
      <c r="D905" s="50">
        <v>60.63</v>
      </c>
    </row>
    <row r="906" spans="1:4" ht="13.5">
      <c r="A906" s="49">
        <v>90630</v>
      </c>
      <c r="B906" s="48" t="s">
        <v>3281</v>
      </c>
      <c r="C906" s="48" t="s">
        <v>10</v>
      </c>
      <c r="D906" s="50">
        <v>1.47</v>
      </c>
    </row>
    <row r="907" spans="1:4" ht="13.5">
      <c r="A907" s="49">
        <v>90633</v>
      </c>
      <c r="B907" s="48" t="s">
        <v>3282</v>
      </c>
      <c r="C907" s="48" t="s">
        <v>10</v>
      </c>
      <c r="D907" s="50">
        <v>3.91</v>
      </c>
    </row>
    <row r="908" spans="1:4" ht="13.5">
      <c r="A908" s="49">
        <v>90634</v>
      </c>
      <c r="B908" s="48" t="s">
        <v>3283</v>
      </c>
      <c r="C908" s="48" t="s">
        <v>10</v>
      </c>
      <c r="D908" s="50">
        <v>0.46</v>
      </c>
    </row>
    <row r="909" spans="1:4" ht="13.5">
      <c r="A909" s="49">
        <v>90635</v>
      </c>
      <c r="B909" s="48" t="s">
        <v>3284</v>
      </c>
      <c r="C909" s="48" t="s">
        <v>10</v>
      </c>
      <c r="D909" s="50">
        <v>4.2699999999999996</v>
      </c>
    </row>
    <row r="910" spans="1:4" ht="13.5">
      <c r="A910" s="49">
        <v>90636</v>
      </c>
      <c r="B910" s="48" t="s">
        <v>3285</v>
      </c>
      <c r="C910" s="48" t="s">
        <v>10</v>
      </c>
      <c r="D910" s="50">
        <v>6.19</v>
      </c>
    </row>
    <row r="911" spans="1:4" ht="13.5">
      <c r="A911" s="49">
        <v>90639</v>
      </c>
      <c r="B911" s="48" t="s">
        <v>3286</v>
      </c>
      <c r="C911" s="48" t="s">
        <v>10</v>
      </c>
      <c r="D911" s="50">
        <v>5.83</v>
      </c>
    </row>
    <row r="912" spans="1:4" ht="13.5">
      <c r="A912" s="49">
        <v>90640</v>
      </c>
      <c r="B912" s="48" t="s">
        <v>3287</v>
      </c>
      <c r="C912" s="48" t="s">
        <v>10</v>
      </c>
      <c r="D912" s="50">
        <v>0.69</v>
      </c>
    </row>
    <row r="913" spans="1:4" ht="13.5">
      <c r="A913" s="49">
        <v>90641</v>
      </c>
      <c r="B913" s="48" t="s">
        <v>3288</v>
      </c>
      <c r="C913" s="48" t="s">
        <v>10</v>
      </c>
      <c r="D913" s="50">
        <v>6.38</v>
      </c>
    </row>
    <row r="914" spans="1:4" ht="13.5">
      <c r="A914" s="49">
        <v>90642</v>
      </c>
      <c r="B914" s="48" t="s">
        <v>3289</v>
      </c>
      <c r="C914" s="48" t="s">
        <v>10</v>
      </c>
      <c r="D914" s="50">
        <v>10.73</v>
      </c>
    </row>
    <row r="915" spans="1:4" ht="13.5">
      <c r="A915" s="49">
        <v>90646</v>
      </c>
      <c r="B915" s="48" t="s">
        <v>3290</v>
      </c>
      <c r="C915" s="48" t="s">
        <v>10</v>
      </c>
      <c r="D915" s="50">
        <v>0.75</v>
      </c>
    </row>
    <row r="916" spans="1:4" ht="13.5">
      <c r="A916" s="49">
        <v>90647</v>
      </c>
      <c r="B916" s="48" t="s">
        <v>3291</v>
      </c>
      <c r="C916" s="48" t="s">
        <v>10</v>
      </c>
      <c r="D916" s="50">
        <v>0.08</v>
      </c>
    </row>
    <row r="917" spans="1:4" ht="13.5">
      <c r="A917" s="49">
        <v>90648</v>
      </c>
      <c r="B917" s="48" t="s">
        <v>3292</v>
      </c>
      <c r="C917" s="48" t="s">
        <v>10</v>
      </c>
      <c r="D917" s="50">
        <v>0.82</v>
      </c>
    </row>
    <row r="918" spans="1:4" ht="13.5">
      <c r="A918" s="49">
        <v>90649</v>
      </c>
      <c r="B918" s="48" t="s">
        <v>3293</v>
      </c>
      <c r="C918" s="48" t="s">
        <v>10</v>
      </c>
      <c r="D918" s="50">
        <v>9.6</v>
      </c>
    </row>
    <row r="919" spans="1:4" ht="13.5">
      <c r="A919" s="49">
        <v>90652</v>
      </c>
      <c r="B919" s="48" t="s">
        <v>3294</v>
      </c>
      <c r="C919" s="48" t="s">
        <v>10</v>
      </c>
      <c r="D919" s="50">
        <v>3.8</v>
      </c>
    </row>
    <row r="920" spans="1:4" ht="13.5">
      <c r="A920" s="49">
        <v>90653</v>
      </c>
      <c r="B920" s="48" t="s">
        <v>3295</v>
      </c>
      <c r="C920" s="48" t="s">
        <v>10</v>
      </c>
      <c r="D920" s="50">
        <v>0.45</v>
      </c>
    </row>
    <row r="921" spans="1:4" ht="13.5">
      <c r="A921" s="49">
        <v>90654</v>
      </c>
      <c r="B921" s="48" t="s">
        <v>3296</v>
      </c>
      <c r="C921" s="48" t="s">
        <v>10</v>
      </c>
      <c r="D921" s="50">
        <v>4.1500000000000004</v>
      </c>
    </row>
    <row r="922" spans="1:4" ht="13.5">
      <c r="A922" s="49">
        <v>90655</v>
      </c>
      <c r="B922" s="48" t="s">
        <v>3297</v>
      </c>
      <c r="C922" s="48" t="s">
        <v>10</v>
      </c>
      <c r="D922" s="50">
        <v>6.32</v>
      </c>
    </row>
    <row r="923" spans="1:4" ht="13.5">
      <c r="A923" s="49">
        <v>90658</v>
      </c>
      <c r="B923" s="48" t="s">
        <v>3298</v>
      </c>
      <c r="C923" s="48" t="s">
        <v>10</v>
      </c>
      <c r="D923" s="50">
        <v>4.07</v>
      </c>
    </row>
    <row r="924" spans="1:4" ht="13.5">
      <c r="A924" s="49">
        <v>90659</v>
      </c>
      <c r="B924" s="48" t="s">
        <v>3299</v>
      </c>
      <c r="C924" s="48" t="s">
        <v>10</v>
      </c>
      <c r="D924" s="50">
        <v>0.48</v>
      </c>
    </row>
    <row r="925" spans="1:4" ht="13.5">
      <c r="A925" s="49">
        <v>90660</v>
      </c>
      <c r="B925" s="48" t="s">
        <v>3301</v>
      </c>
      <c r="C925" s="48" t="s">
        <v>10</v>
      </c>
      <c r="D925" s="50">
        <v>4.45</v>
      </c>
    </row>
    <row r="926" spans="1:4" ht="13.5">
      <c r="A926" s="49">
        <v>90661</v>
      </c>
      <c r="B926" s="48" t="s">
        <v>3302</v>
      </c>
      <c r="C926" s="48" t="s">
        <v>10</v>
      </c>
      <c r="D926" s="50">
        <v>6.32</v>
      </c>
    </row>
    <row r="927" spans="1:4" ht="13.5">
      <c r="A927" s="49">
        <v>90664</v>
      </c>
      <c r="B927" s="48" t="s">
        <v>3303</v>
      </c>
      <c r="C927" s="48" t="s">
        <v>10</v>
      </c>
      <c r="D927" s="50">
        <v>5.2</v>
      </c>
    </row>
    <row r="928" spans="1:4" ht="13.5">
      <c r="A928" s="49">
        <v>90665</v>
      </c>
      <c r="B928" s="48" t="s">
        <v>3305</v>
      </c>
      <c r="C928" s="48" t="s">
        <v>10</v>
      </c>
      <c r="D928" s="50">
        <v>0.71</v>
      </c>
    </row>
    <row r="929" spans="1:4" ht="13.5">
      <c r="A929" s="49">
        <v>90666</v>
      </c>
      <c r="B929" s="48" t="s">
        <v>3306</v>
      </c>
      <c r="C929" s="48" t="s">
        <v>10</v>
      </c>
      <c r="D929" s="50">
        <v>6.5</v>
      </c>
    </row>
    <row r="930" spans="1:4" ht="13.5">
      <c r="A930" s="49">
        <v>90667</v>
      </c>
      <c r="B930" s="48" t="s">
        <v>3307</v>
      </c>
      <c r="C930" s="48" t="s">
        <v>10</v>
      </c>
      <c r="D930" s="50">
        <v>12.77</v>
      </c>
    </row>
    <row r="931" spans="1:4" ht="13.5">
      <c r="A931" s="49">
        <v>90670</v>
      </c>
      <c r="B931" s="48" t="s">
        <v>3308</v>
      </c>
      <c r="C931" s="48" t="s">
        <v>10</v>
      </c>
      <c r="D931" s="50">
        <v>222.35</v>
      </c>
    </row>
    <row r="932" spans="1:4" ht="13.5">
      <c r="A932" s="49">
        <v>90671</v>
      </c>
      <c r="B932" s="48" t="s">
        <v>3309</v>
      </c>
      <c r="C932" s="48" t="s">
        <v>10</v>
      </c>
      <c r="D932" s="50">
        <v>30.87</v>
      </c>
    </row>
    <row r="933" spans="1:4" ht="13.5">
      <c r="A933" s="49">
        <v>90672</v>
      </c>
      <c r="B933" s="48" t="s">
        <v>3310</v>
      </c>
      <c r="C933" s="48" t="s">
        <v>10</v>
      </c>
      <c r="D933" s="50">
        <v>278.25</v>
      </c>
    </row>
    <row r="934" spans="1:4" ht="13.5">
      <c r="A934" s="49">
        <v>90673</v>
      </c>
      <c r="B934" s="48" t="s">
        <v>3311</v>
      </c>
      <c r="C934" s="48" t="s">
        <v>10</v>
      </c>
      <c r="D934" s="50">
        <v>102.14</v>
      </c>
    </row>
    <row r="935" spans="1:4" ht="13.5">
      <c r="A935" s="49">
        <v>90676</v>
      </c>
      <c r="B935" s="48" t="s">
        <v>3312</v>
      </c>
      <c r="C935" s="48" t="s">
        <v>10</v>
      </c>
      <c r="D935" s="50">
        <v>101.6</v>
      </c>
    </row>
    <row r="936" spans="1:4" ht="13.5">
      <c r="A936" s="49">
        <v>90677</v>
      </c>
      <c r="B936" s="48" t="s">
        <v>3313</v>
      </c>
      <c r="C936" s="48" t="s">
        <v>10</v>
      </c>
      <c r="D936" s="50">
        <v>15.32</v>
      </c>
    </row>
    <row r="937" spans="1:4" ht="13.5">
      <c r="A937" s="49">
        <v>90678</v>
      </c>
      <c r="B937" s="48" t="s">
        <v>3314</v>
      </c>
      <c r="C937" s="48" t="s">
        <v>10</v>
      </c>
      <c r="D937" s="50">
        <v>137.77000000000001</v>
      </c>
    </row>
    <row r="938" spans="1:4" ht="13.5">
      <c r="A938" s="49">
        <v>90679</v>
      </c>
      <c r="B938" s="48" t="s">
        <v>3315</v>
      </c>
      <c r="C938" s="48" t="s">
        <v>10</v>
      </c>
      <c r="D938" s="50">
        <v>78.33</v>
      </c>
    </row>
    <row r="939" spans="1:4" ht="13.5">
      <c r="A939" s="49">
        <v>90682</v>
      </c>
      <c r="B939" s="48" t="s">
        <v>3316</v>
      </c>
      <c r="C939" s="48" t="s">
        <v>10</v>
      </c>
      <c r="D939" s="50">
        <v>29.53</v>
      </c>
    </row>
    <row r="940" spans="1:4" ht="13.5">
      <c r="A940" s="49">
        <v>90683</v>
      </c>
      <c r="B940" s="48" t="s">
        <v>3317</v>
      </c>
      <c r="C940" s="48" t="s">
        <v>10</v>
      </c>
      <c r="D940" s="50">
        <v>3.5</v>
      </c>
    </row>
    <row r="941" spans="1:4" ht="13.5">
      <c r="A941" s="49">
        <v>90684</v>
      </c>
      <c r="B941" s="48" t="s">
        <v>3318</v>
      </c>
      <c r="C941" s="48" t="s">
        <v>10</v>
      </c>
      <c r="D941" s="50">
        <v>32.299999999999997</v>
      </c>
    </row>
    <row r="942" spans="1:4" ht="13.5">
      <c r="A942" s="49">
        <v>90685</v>
      </c>
      <c r="B942" s="48" t="s">
        <v>3319</v>
      </c>
      <c r="C942" s="48" t="s">
        <v>10</v>
      </c>
      <c r="D942" s="50">
        <v>48.59</v>
      </c>
    </row>
    <row r="943" spans="1:4" ht="13.5">
      <c r="A943" s="49">
        <v>90688</v>
      </c>
      <c r="B943" s="48" t="s">
        <v>3320</v>
      </c>
      <c r="C943" s="48" t="s">
        <v>10</v>
      </c>
      <c r="D943" s="50">
        <v>15.18</v>
      </c>
    </row>
    <row r="944" spans="1:4" ht="13.5">
      <c r="A944" s="49">
        <v>90689</v>
      </c>
      <c r="B944" s="48" t="s">
        <v>3321</v>
      </c>
      <c r="C944" s="48" t="s">
        <v>10</v>
      </c>
      <c r="D944" s="50">
        <v>1.53</v>
      </c>
    </row>
    <row r="945" spans="1:4" ht="13.5">
      <c r="A945" s="49">
        <v>90690</v>
      </c>
      <c r="B945" s="48" t="s">
        <v>3322</v>
      </c>
      <c r="C945" s="48" t="s">
        <v>10</v>
      </c>
      <c r="D945" s="50">
        <v>18.97</v>
      </c>
    </row>
    <row r="946" spans="1:4" ht="13.5">
      <c r="A946" s="49">
        <v>90691</v>
      </c>
      <c r="B946" s="48" t="s">
        <v>3323</v>
      </c>
      <c r="C946" s="48" t="s">
        <v>10</v>
      </c>
      <c r="D946" s="50">
        <v>34.03</v>
      </c>
    </row>
    <row r="947" spans="1:4" ht="13.5">
      <c r="A947" s="49">
        <v>90957</v>
      </c>
      <c r="B947" s="48" t="s">
        <v>3324</v>
      </c>
      <c r="C947" s="48" t="s">
        <v>10</v>
      </c>
      <c r="D947" s="50">
        <v>3.87</v>
      </c>
    </row>
    <row r="948" spans="1:4" ht="13.5">
      <c r="A948" s="49">
        <v>90958</v>
      </c>
      <c r="B948" s="48" t="s">
        <v>3325</v>
      </c>
      <c r="C948" s="48" t="s">
        <v>10</v>
      </c>
      <c r="D948" s="50">
        <v>0.53</v>
      </c>
    </row>
    <row r="949" spans="1:4" ht="13.5">
      <c r="A949" s="49">
        <v>90960</v>
      </c>
      <c r="B949" s="48" t="s">
        <v>3326</v>
      </c>
      <c r="C949" s="48" t="s">
        <v>10</v>
      </c>
      <c r="D949" s="50">
        <v>5.17</v>
      </c>
    </row>
    <row r="950" spans="1:4" ht="13.5">
      <c r="A950" s="49">
        <v>90961</v>
      </c>
      <c r="B950" s="48" t="s">
        <v>3327</v>
      </c>
      <c r="C950" s="48" t="s">
        <v>10</v>
      </c>
      <c r="D950" s="50">
        <v>0.71</v>
      </c>
    </row>
    <row r="951" spans="1:4" ht="13.5">
      <c r="A951" s="49">
        <v>90962</v>
      </c>
      <c r="B951" s="48" t="s">
        <v>3328</v>
      </c>
      <c r="C951" s="48" t="s">
        <v>10</v>
      </c>
      <c r="D951" s="50">
        <v>6.46</v>
      </c>
    </row>
    <row r="952" spans="1:4" ht="13.5">
      <c r="A952" s="49">
        <v>90963</v>
      </c>
      <c r="B952" s="48" t="s">
        <v>3329</v>
      </c>
      <c r="C952" s="48" t="s">
        <v>10</v>
      </c>
      <c r="D952" s="50">
        <v>12.77</v>
      </c>
    </row>
    <row r="953" spans="1:4" ht="13.5">
      <c r="A953" s="49">
        <v>90968</v>
      </c>
      <c r="B953" s="48" t="s">
        <v>3330</v>
      </c>
      <c r="C953" s="48" t="s">
        <v>10</v>
      </c>
      <c r="D953" s="50">
        <v>5.18</v>
      </c>
    </row>
    <row r="954" spans="1:4" ht="13.5">
      <c r="A954" s="49">
        <v>90969</v>
      </c>
      <c r="B954" s="48" t="s">
        <v>3331</v>
      </c>
      <c r="C954" s="48" t="s">
        <v>10</v>
      </c>
      <c r="D954" s="50">
        <v>0.71</v>
      </c>
    </row>
    <row r="955" spans="1:4" ht="13.5">
      <c r="A955" s="49">
        <v>90970</v>
      </c>
      <c r="B955" s="48" t="s">
        <v>3332</v>
      </c>
      <c r="C955" s="48" t="s">
        <v>10</v>
      </c>
      <c r="D955" s="50">
        <v>6.48</v>
      </c>
    </row>
    <row r="956" spans="1:4" ht="13.5">
      <c r="A956" s="49">
        <v>90971</v>
      </c>
      <c r="B956" s="48" t="s">
        <v>3333</v>
      </c>
      <c r="C956" s="48" t="s">
        <v>10</v>
      </c>
      <c r="D956" s="50">
        <v>51.76</v>
      </c>
    </row>
    <row r="957" spans="1:4" ht="13.5">
      <c r="A957" s="49">
        <v>90975</v>
      </c>
      <c r="B957" s="48" t="s">
        <v>3334</v>
      </c>
      <c r="C957" s="48" t="s">
        <v>10</v>
      </c>
      <c r="D957" s="50">
        <v>13.16</v>
      </c>
    </row>
    <row r="958" spans="1:4" ht="13.5">
      <c r="A958" s="49">
        <v>90976</v>
      </c>
      <c r="B958" s="48" t="s">
        <v>3335</v>
      </c>
      <c r="C958" s="48" t="s">
        <v>10</v>
      </c>
      <c r="D958" s="50">
        <v>1.82</v>
      </c>
    </row>
    <row r="959" spans="1:4" ht="13.5">
      <c r="A959" s="49">
        <v>90977</v>
      </c>
      <c r="B959" s="48" t="s">
        <v>3336</v>
      </c>
      <c r="C959" s="48" t="s">
        <v>10</v>
      </c>
      <c r="D959" s="50">
        <v>16.47</v>
      </c>
    </row>
    <row r="960" spans="1:4" ht="13.5">
      <c r="A960" s="49">
        <v>90978</v>
      </c>
      <c r="B960" s="48" t="s">
        <v>3337</v>
      </c>
      <c r="C960" s="48" t="s">
        <v>10</v>
      </c>
      <c r="D960" s="50">
        <v>134.29</v>
      </c>
    </row>
    <row r="961" spans="1:4" ht="13.5">
      <c r="A961" s="49">
        <v>90992</v>
      </c>
      <c r="B961" s="48" t="s">
        <v>3338</v>
      </c>
      <c r="C961" s="48" t="s">
        <v>10</v>
      </c>
      <c r="D961" s="50">
        <v>6.14</v>
      </c>
    </row>
    <row r="962" spans="1:4" ht="13.5">
      <c r="A962" s="49">
        <v>90993</v>
      </c>
      <c r="B962" s="48" t="s">
        <v>3339</v>
      </c>
      <c r="C962" s="48" t="s">
        <v>10</v>
      </c>
      <c r="D962" s="50">
        <v>0.85</v>
      </c>
    </row>
    <row r="963" spans="1:4" ht="13.5">
      <c r="A963" s="49">
        <v>90994</v>
      </c>
      <c r="B963" s="48" t="s">
        <v>3340</v>
      </c>
      <c r="C963" s="48" t="s">
        <v>10</v>
      </c>
      <c r="D963" s="50">
        <v>7.69</v>
      </c>
    </row>
    <row r="964" spans="1:4" ht="13.5">
      <c r="A964" s="49">
        <v>90995</v>
      </c>
      <c r="B964" s="48" t="s">
        <v>3341</v>
      </c>
      <c r="C964" s="48" t="s">
        <v>10</v>
      </c>
      <c r="D964" s="50">
        <v>70.31</v>
      </c>
    </row>
    <row r="965" spans="1:4" ht="13.5">
      <c r="A965" s="49">
        <v>91021</v>
      </c>
      <c r="B965" s="48" t="s">
        <v>3342</v>
      </c>
      <c r="C965" s="48" t="s">
        <v>10</v>
      </c>
      <c r="D965" s="50">
        <v>12.03</v>
      </c>
    </row>
    <row r="966" spans="1:4" ht="13.5">
      <c r="A966" s="49">
        <v>91026</v>
      </c>
      <c r="B966" s="48" t="s">
        <v>3343</v>
      </c>
      <c r="C966" s="48" t="s">
        <v>10</v>
      </c>
      <c r="D966" s="50">
        <v>18.52</v>
      </c>
    </row>
    <row r="967" spans="1:4" ht="13.5">
      <c r="A967" s="49">
        <v>91027</v>
      </c>
      <c r="B967" s="48" t="s">
        <v>3344</v>
      </c>
      <c r="C967" s="48" t="s">
        <v>10</v>
      </c>
      <c r="D967" s="50">
        <v>3.77</v>
      </c>
    </row>
    <row r="968" spans="1:4" ht="13.5">
      <c r="A968" s="49">
        <v>91028</v>
      </c>
      <c r="B968" s="48" t="s">
        <v>3345</v>
      </c>
      <c r="C968" s="48" t="s">
        <v>10</v>
      </c>
      <c r="D968" s="50">
        <v>2.97</v>
      </c>
    </row>
    <row r="969" spans="1:4" ht="13.5">
      <c r="A969" s="49">
        <v>91029</v>
      </c>
      <c r="B969" s="48" t="s">
        <v>3346</v>
      </c>
      <c r="C969" s="48" t="s">
        <v>10</v>
      </c>
      <c r="D969" s="50">
        <v>33.78</v>
      </c>
    </row>
    <row r="970" spans="1:4" ht="13.5">
      <c r="A970" s="49">
        <v>91030</v>
      </c>
      <c r="B970" s="48" t="s">
        <v>3347</v>
      </c>
      <c r="C970" s="48" t="s">
        <v>10</v>
      </c>
      <c r="D970" s="50">
        <v>125.29</v>
      </c>
    </row>
    <row r="971" spans="1:4" ht="13.5">
      <c r="A971" s="49">
        <v>91273</v>
      </c>
      <c r="B971" s="48" t="s">
        <v>3348</v>
      </c>
      <c r="C971" s="48" t="s">
        <v>10</v>
      </c>
      <c r="D971" s="50">
        <v>0.48</v>
      </c>
    </row>
    <row r="972" spans="1:4" ht="13.5">
      <c r="A972" s="49">
        <v>91274</v>
      </c>
      <c r="B972" s="48" t="s">
        <v>3349</v>
      </c>
      <c r="C972" s="48" t="s">
        <v>10</v>
      </c>
      <c r="D972" s="50">
        <v>0.06</v>
      </c>
    </row>
    <row r="973" spans="1:4" ht="13.5">
      <c r="A973" s="49">
        <v>91275</v>
      </c>
      <c r="B973" s="48" t="s">
        <v>3350</v>
      </c>
      <c r="C973" s="48" t="s">
        <v>10</v>
      </c>
      <c r="D973" s="50">
        <v>0.6</v>
      </c>
    </row>
    <row r="974" spans="1:4" ht="13.5">
      <c r="A974" s="49">
        <v>91276</v>
      </c>
      <c r="B974" s="48" t="s">
        <v>3351</v>
      </c>
      <c r="C974" s="48" t="s">
        <v>10</v>
      </c>
      <c r="D974" s="50">
        <v>9.6999999999999993</v>
      </c>
    </row>
    <row r="975" spans="1:4" ht="13.5">
      <c r="A975" s="49">
        <v>91279</v>
      </c>
      <c r="B975" s="48" t="s">
        <v>3352</v>
      </c>
      <c r="C975" s="48" t="s">
        <v>10</v>
      </c>
      <c r="D975" s="50">
        <v>1.08</v>
      </c>
    </row>
    <row r="976" spans="1:4" ht="13.5">
      <c r="A976" s="49">
        <v>91280</v>
      </c>
      <c r="B976" s="48" t="s">
        <v>3353</v>
      </c>
      <c r="C976" s="48" t="s">
        <v>10</v>
      </c>
      <c r="D976" s="50">
        <v>0.12</v>
      </c>
    </row>
    <row r="977" spans="1:4" ht="13.5">
      <c r="A977" s="49">
        <v>91281</v>
      </c>
      <c r="B977" s="48" t="s">
        <v>3354</v>
      </c>
      <c r="C977" s="48" t="s">
        <v>10</v>
      </c>
      <c r="D977" s="50">
        <v>1.36</v>
      </c>
    </row>
    <row r="978" spans="1:4" ht="13.5">
      <c r="A978" s="49">
        <v>91282</v>
      </c>
      <c r="B978" s="48" t="s">
        <v>3355</v>
      </c>
      <c r="C978" s="48" t="s">
        <v>10</v>
      </c>
      <c r="D978" s="50">
        <v>9.77</v>
      </c>
    </row>
    <row r="979" spans="1:4" ht="13.5">
      <c r="A979" s="49">
        <v>91354</v>
      </c>
      <c r="B979" s="48" t="s">
        <v>3356</v>
      </c>
      <c r="C979" s="48" t="s">
        <v>10</v>
      </c>
      <c r="D979" s="50">
        <v>13.89</v>
      </c>
    </row>
    <row r="980" spans="1:4" ht="13.5">
      <c r="A980" s="49">
        <v>91355</v>
      </c>
      <c r="B980" s="48" t="s">
        <v>3357</v>
      </c>
      <c r="C980" s="48" t="s">
        <v>10</v>
      </c>
      <c r="D980" s="50">
        <v>2.91</v>
      </c>
    </row>
    <row r="981" spans="1:4" ht="13.5">
      <c r="A981" s="49">
        <v>91356</v>
      </c>
      <c r="B981" s="48" t="s">
        <v>3358</v>
      </c>
      <c r="C981" s="48" t="s">
        <v>10</v>
      </c>
      <c r="D981" s="50">
        <v>2.2999999999999998</v>
      </c>
    </row>
    <row r="982" spans="1:4" ht="13.5">
      <c r="A982" s="49">
        <v>91359</v>
      </c>
      <c r="B982" s="48" t="s">
        <v>3359</v>
      </c>
      <c r="C982" s="48" t="s">
        <v>10</v>
      </c>
      <c r="D982" s="50">
        <v>17.38</v>
      </c>
    </row>
    <row r="983" spans="1:4" ht="13.5">
      <c r="A983" s="49">
        <v>91360</v>
      </c>
      <c r="B983" s="48" t="s">
        <v>3360</v>
      </c>
      <c r="C983" s="48" t="s">
        <v>10</v>
      </c>
      <c r="D983" s="50">
        <v>3.33</v>
      </c>
    </row>
    <row r="984" spans="1:4" ht="13.5">
      <c r="A984" s="49">
        <v>91361</v>
      </c>
      <c r="B984" s="48" t="s">
        <v>3361</v>
      </c>
      <c r="C984" s="48" t="s">
        <v>10</v>
      </c>
      <c r="D984" s="50">
        <v>2.63</v>
      </c>
    </row>
    <row r="985" spans="1:4" ht="13.5">
      <c r="A985" s="49">
        <v>91367</v>
      </c>
      <c r="B985" s="48" t="s">
        <v>3362</v>
      </c>
      <c r="C985" s="48" t="s">
        <v>10</v>
      </c>
      <c r="D985" s="50">
        <v>18.95</v>
      </c>
    </row>
    <row r="986" spans="1:4" ht="13.5">
      <c r="A986" s="49">
        <v>91368</v>
      </c>
      <c r="B986" s="48" t="s">
        <v>3363</v>
      </c>
      <c r="C986" s="48" t="s">
        <v>10</v>
      </c>
      <c r="D986" s="50">
        <v>3.69</v>
      </c>
    </row>
    <row r="987" spans="1:4" ht="13.5">
      <c r="A987" s="49">
        <v>91369</v>
      </c>
      <c r="B987" s="48" t="s">
        <v>3364</v>
      </c>
      <c r="C987" s="48" t="s">
        <v>10</v>
      </c>
      <c r="D987" s="50">
        <v>2.91</v>
      </c>
    </row>
    <row r="988" spans="1:4" ht="13.5">
      <c r="A988" s="49">
        <v>91375</v>
      </c>
      <c r="B988" s="48" t="s">
        <v>3365</v>
      </c>
      <c r="C988" s="48" t="s">
        <v>10</v>
      </c>
      <c r="D988" s="50">
        <v>11.7</v>
      </c>
    </row>
    <row r="989" spans="1:4" ht="13.5">
      <c r="A989" s="49">
        <v>91376</v>
      </c>
      <c r="B989" s="48" t="s">
        <v>3366</v>
      </c>
      <c r="C989" s="48" t="s">
        <v>10</v>
      </c>
      <c r="D989" s="50">
        <v>2.4500000000000002</v>
      </c>
    </row>
    <row r="990" spans="1:4" ht="13.5">
      <c r="A990" s="49">
        <v>91377</v>
      </c>
      <c r="B990" s="48" t="s">
        <v>3367</v>
      </c>
      <c r="C990" s="48" t="s">
        <v>10</v>
      </c>
      <c r="D990" s="50">
        <v>1.94</v>
      </c>
    </row>
    <row r="991" spans="1:4" ht="13.5">
      <c r="A991" s="49">
        <v>91380</v>
      </c>
      <c r="B991" s="48" t="s">
        <v>3368</v>
      </c>
      <c r="C991" s="48" t="s">
        <v>10</v>
      </c>
      <c r="D991" s="50">
        <v>21.72</v>
      </c>
    </row>
    <row r="992" spans="1:4" ht="13.5">
      <c r="A992" s="49">
        <v>91381</v>
      </c>
      <c r="B992" s="48" t="s">
        <v>3369</v>
      </c>
      <c r="C992" s="48" t="s">
        <v>10</v>
      </c>
      <c r="D992" s="50">
        <v>4.17</v>
      </c>
    </row>
    <row r="993" spans="1:4" ht="13.5">
      <c r="A993" s="49">
        <v>91382</v>
      </c>
      <c r="B993" s="48" t="s">
        <v>3370</v>
      </c>
      <c r="C993" s="48" t="s">
        <v>10</v>
      </c>
      <c r="D993" s="50">
        <v>3.31</v>
      </c>
    </row>
    <row r="994" spans="1:4" ht="13.5">
      <c r="A994" s="49">
        <v>91383</v>
      </c>
      <c r="B994" s="48" t="s">
        <v>3371</v>
      </c>
      <c r="C994" s="48" t="s">
        <v>10</v>
      </c>
      <c r="D994" s="50">
        <v>38.67</v>
      </c>
    </row>
    <row r="995" spans="1:4" ht="13.5">
      <c r="A995" s="49">
        <v>91384</v>
      </c>
      <c r="B995" s="48" t="s">
        <v>3372</v>
      </c>
      <c r="C995" s="48" t="s">
        <v>10</v>
      </c>
      <c r="D995" s="50">
        <v>86.51</v>
      </c>
    </row>
    <row r="996" spans="1:4" ht="13.5">
      <c r="A996" s="49">
        <v>91390</v>
      </c>
      <c r="B996" s="48" t="s">
        <v>3373</v>
      </c>
      <c r="C996" s="48" t="s">
        <v>10</v>
      </c>
      <c r="D996" s="50">
        <v>15.66</v>
      </c>
    </row>
    <row r="997" spans="1:4" ht="13.5">
      <c r="A997" s="49">
        <v>91391</v>
      </c>
      <c r="B997" s="48" t="s">
        <v>3374</v>
      </c>
      <c r="C997" s="48" t="s">
        <v>10</v>
      </c>
      <c r="D997" s="50">
        <v>3.17</v>
      </c>
    </row>
    <row r="998" spans="1:4" ht="13.5">
      <c r="A998" s="49">
        <v>91392</v>
      </c>
      <c r="B998" s="48" t="s">
        <v>3375</v>
      </c>
      <c r="C998" s="48" t="s">
        <v>10</v>
      </c>
      <c r="D998" s="50">
        <v>2.5</v>
      </c>
    </row>
    <row r="999" spans="1:4" ht="13.5">
      <c r="A999" s="49">
        <v>91396</v>
      </c>
      <c r="B999" s="48" t="s">
        <v>3376</v>
      </c>
      <c r="C999" s="48" t="s">
        <v>10</v>
      </c>
      <c r="D999" s="50">
        <v>22.17</v>
      </c>
    </row>
    <row r="1000" spans="1:4" ht="13.5">
      <c r="A1000" s="49">
        <v>91397</v>
      </c>
      <c r="B1000" s="48" t="s">
        <v>3378</v>
      </c>
      <c r="C1000" s="48" t="s">
        <v>10</v>
      </c>
      <c r="D1000" s="50">
        <v>4.26</v>
      </c>
    </row>
    <row r="1001" spans="1:4" ht="13.5">
      <c r="A1001" s="49">
        <v>91398</v>
      </c>
      <c r="B1001" s="48" t="s">
        <v>3379</v>
      </c>
      <c r="C1001" s="48" t="s">
        <v>10</v>
      </c>
      <c r="D1001" s="50">
        <v>3.38</v>
      </c>
    </row>
    <row r="1002" spans="1:4" ht="13.5">
      <c r="A1002" s="49">
        <v>91402</v>
      </c>
      <c r="B1002" s="48" t="s">
        <v>3380</v>
      </c>
      <c r="C1002" s="48" t="s">
        <v>10</v>
      </c>
      <c r="D1002" s="50">
        <v>2.78</v>
      </c>
    </row>
    <row r="1003" spans="1:4" ht="13.5">
      <c r="A1003" s="49">
        <v>91466</v>
      </c>
      <c r="B1003" s="48" t="s">
        <v>3381</v>
      </c>
      <c r="C1003" s="48" t="s">
        <v>10</v>
      </c>
      <c r="D1003" s="50">
        <v>2.64</v>
      </c>
    </row>
    <row r="1004" spans="1:4" ht="13.5">
      <c r="A1004" s="49">
        <v>91467</v>
      </c>
      <c r="B1004" s="48" t="s">
        <v>3382</v>
      </c>
      <c r="C1004" s="48" t="s">
        <v>10</v>
      </c>
      <c r="D1004" s="50">
        <v>135.05000000000001</v>
      </c>
    </row>
    <row r="1005" spans="1:4" ht="13.5">
      <c r="A1005" s="49">
        <v>91468</v>
      </c>
      <c r="B1005" s="48" t="s">
        <v>3383</v>
      </c>
      <c r="C1005" s="48" t="s">
        <v>10</v>
      </c>
      <c r="D1005" s="50">
        <v>21.24</v>
      </c>
    </row>
    <row r="1006" spans="1:4" ht="13.5">
      <c r="A1006" s="49">
        <v>91469</v>
      </c>
      <c r="B1006" s="48" t="s">
        <v>3385</v>
      </c>
      <c r="C1006" s="48" t="s">
        <v>10</v>
      </c>
      <c r="D1006" s="50">
        <v>4.2</v>
      </c>
    </row>
    <row r="1007" spans="1:4" ht="13.5">
      <c r="A1007" s="49">
        <v>91484</v>
      </c>
      <c r="B1007" s="48" t="s">
        <v>3386</v>
      </c>
      <c r="C1007" s="48" t="s">
        <v>10</v>
      </c>
      <c r="D1007" s="50">
        <v>3.33</v>
      </c>
    </row>
    <row r="1008" spans="1:4" ht="13.5">
      <c r="A1008" s="49">
        <v>91485</v>
      </c>
      <c r="B1008" s="48" t="s">
        <v>3387</v>
      </c>
      <c r="C1008" s="48" t="s">
        <v>10</v>
      </c>
      <c r="D1008" s="50">
        <v>132.19</v>
      </c>
    </row>
    <row r="1009" spans="1:4" ht="13.5">
      <c r="A1009" s="49">
        <v>91529</v>
      </c>
      <c r="B1009" s="48" t="s">
        <v>3388</v>
      </c>
      <c r="C1009" s="48" t="s">
        <v>10</v>
      </c>
      <c r="D1009" s="50">
        <v>0.71</v>
      </c>
    </row>
    <row r="1010" spans="1:4" ht="13.5">
      <c r="A1010" s="49">
        <v>91530</v>
      </c>
      <c r="B1010" s="48" t="s">
        <v>3389</v>
      </c>
      <c r="C1010" s="48" t="s">
        <v>10</v>
      </c>
      <c r="D1010" s="50">
        <v>0.09</v>
      </c>
    </row>
    <row r="1011" spans="1:4" ht="13.5">
      <c r="A1011" s="49">
        <v>91531</v>
      </c>
      <c r="B1011" s="48" t="s">
        <v>3390</v>
      </c>
      <c r="C1011" s="48" t="s">
        <v>10</v>
      </c>
      <c r="D1011" s="50">
        <v>0.9</v>
      </c>
    </row>
    <row r="1012" spans="1:4" ht="13.5">
      <c r="A1012" s="49">
        <v>91532</v>
      </c>
      <c r="B1012" s="48" t="s">
        <v>3391</v>
      </c>
      <c r="C1012" s="48" t="s">
        <v>10</v>
      </c>
      <c r="D1012" s="50">
        <v>6.94</v>
      </c>
    </row>
    <row r="1013" spans="1:4" ht="13.5">
      <c r="A1013" s="49">
        <v>91629</v>
      </c>
      <c r="B1013" s="48" t="s">
        <v>3392</v>
      </c>
      <c r="C1013" s="48" t="s">
        <v>10</v>
      </c>
      <c r="D1013" s="50">
        <v>16.489999999999998</v>
      </c>
    </row>
    <row r="1014" spans="1:4" ht="13.5">
      <c r="A1014" s="49">
        <v>91630</v>
      </c>
      <c r="B1014" s="48" t="s">
        <v>3393</v>
      </c>
      <c r="C1014" s="48" t="s">
        <v>10</v>
      </c>
      <c r="D1014" s="50">
        <v>3.08</v>
      </c>
    </row>
    <row r="1015" spans="1:4" ht="13.5">
      <c r="A1015" s="49">
        <v>91631</v>
      </c>
      <c r="B1015" s="48" t="s">
        <v>3394</v>
      </c>
      <c r="C1015" s="48" t="s">
        <v>10</v>
      </c>
      <c r="D1015" s="50">
        <v>2.44</v>
      </c>
    </row>
    <row r="1016" spans="1:4" ht="13.5">
      <c r="A1016" s="49">
        <v>91632</v>
      </c>
      <c r="B1016" s="48" t="s">
        <v>3395</v>
      </c>
      <c r="C1016" s="48" t="s">
        <v>10</v>
      </c>
      <c r="D1016" s="50">
        <v>27.94</v>
      </c>
    </row>
    <row r="1017" spans="1:4" ht="13.5">
      <c r="A1017" s="49">
        <v>91633</v>
      </c>
      <c r="B1017" s="48" t="s">
        <v>3396</v>
      </c>
      <c r="C1017" s="48" t="s">
        <v>10</v>
      </c>
      <c r="D1017" s="50">
        <v>114.31</v>
      </c>
    </row>
    <row r="1018" spans="1:4" ht="13.5">
      <c r="A1018" s="49">
        <v>91640</v>
      </c>
      <c r="B1018" s="48" t="s">
        <v>3397</v>
      </c>
      <c r="C1018" s="48" t="s">
        <v>10</v>
      </c>
      <c r="D1018" s="50">
        <v>31.53</v>
      </c>
    </row>
    <row r="1019" spans="1:4" ht="13.5">
      <c r="A1019" s="49">
        <v>91641</v>
      </c>
      <c r="B1019" s="48" t="s">
        <v>3398</v>
      </c>
      <c r="C1019" s="48" t="s">
        <v>10</v>
      </c>
      <c r="D1019" s="50">
        <v>6.44</v>
      </c>
    </row>
    <row r="1020" spans="1:4" ht="13.5">
      <c r="A1020" s="49">
        <v>91642</v>
      </c>
      <c r="B1020" s="48" t="s">
        <v>3399</v>
      </c>
      <c r="C1020" s="48" t="s">
        <v>10</v>
      </c>
      <c r="D1020" s="50">
        <v>5.1100000000000003</v>
      </c>
    </row>
    <row r="1021" spans="1:4" ht="13.5">
      <c r="A1021" s="49">
        <v>91643</v>
      </c>
      <c r="B1021" s="48" t="s">
        <v>3400</v>
      </c>
      <c r="C1021" s="48" t="s">
        <v>10</v>
      </c>
      <c r="D1021" s="50">
        <v>56.07</v>
      </c>
    </row>
    <row r="1022" spans="1:4" ht="13.5">
      <c r="A1022" s="49">
        <v>91644</v>
      </c>
      <c r="B1022" s="48" t="s">
        <v>3401</v>
      </c>
      <c r="C1022" s="48" t="s">
        <v>10</v>
      </c>
      <c r="D1022" s="50">
        <v>257.23</v>
      </c>
    </row>
    <row r="1023" spans="1:4" ht="13.5">
      <c r="A1023" s="49">
        <v>91688</v>
      </c>
      <c r="B1023" s="48" t="s">
        <v>3402</v>
      </c>
      <c r="C1023" s="48" t="s">
        <v>10</v>
      </c>
      <c r="D1023" s="50">
        <v>0.13</v>
      </c>
    </row>
    <row r="1024" spans="1:4" ht="13.5">
      <c r="A1024" s="49">
        <v>91689</v>
      </c>
      <c r="B1024" s="48" t="s">
        <v>3403</v>
      </c>
      <c r="C1024" s="48" t="s">
        <v>10</v>
      </c>
      <c r="D1024" s="50">
        <v>0.01</v>
      </c>
    </row>
    <row r="1025" spans="1:4" ht="13.5">
      <c r="A1025" s="49">
        <v>91690</v>
      </c>
      <c r="B1025" s="48" t="s">
        <v>3404</v>
      </c>
      <c r="C1025" s="48" t="s">
        <v>10</v>
      </c>
      <c r="D1025" s="50">
        <v>0.09</v>
      </c>
    </row>
    <row r="1026" spans="1:4" ht="13.5">
      <c r="A1026" s="49">
        <v>91691</v>
      </c>
      <c r="B1026" s="48" t="s">
        <v>3405</v>
      </c>
      <c r="C1026" s="48" t="s">
        <v>10</v>
      </c>
      <c r="D1026" s="50">
        <v>1.34</v>
      </c>
    </row>
    <row r="1027" spans="1:4" ht="13.5">
      <c r="A1027" s="49">
        <v>92040</v>
      </c>
      <c r="B1027" s="48" t="s">
        <v>3406</v>
      </c>
      <c r="C1027" s="48" t="s">
        <v>10</v>
      </c>
      <c r="D1027" s="50">
        <v>6.07</v>
      </c>
    </row>
    <row r="1028" spans="1:4" ht="13.5">
      <c r="A1028" s="49">
        <v>92041</v>
      </c>
      <c r="B1028" s="48" t="s">
        <v>3407</v>
      </c>
      <c r="C1028" s="48" t="s">
        <v>10</v>
      </c>
      <c r="D1028" s="50">
        <v>0.64</v>
      </c>
    </row>
    <row r="1029" spans="1:4" ht="13.5">
      <c r="A1029" s="49">
        <v>92042</v>
      </c>
      <c r="B1029" s="48" t="s">
        <v>3408</v>
      </c>
      <c r="C1029" s="48" t="s">
        <v>10</v>
      </c>
      <c r="D1029" s="50">
        <v>5.0599999999999996</v>
      </c>
    </row>
    <row r="1030" spans="1:4" ht="13.5">
      <c r="A1030" s="49">
        <v>92101</v>
      </c>
      <c r="B1030" s="48" t="s">
        <v>3409</v>
      </c>
      <c r="C1030" s="48" t="s">
        <v>10</v>
      </c>
      <c r="D1030" s="50">
        <v>29.2</v>
      </c>
    </row>
    <row r="1031" spans="1:4" ht="13.5">
      <c r="A1031" s="49">
        <v>92102</v>
      </c>
      <c r="B1031" s="48" t="s">
        <v>3410</v>
      </c>
      <c r="C1031" s="48" t="s">
        <v>10</v>
      </c>
      <c r="D1031" s="50">
        <v>5.2</v>
      </c>
    </row>
    <row r="1032" spans="1:4" ht="13.5">
      <c r="A1032" s="49">
        <v>92103</v>
      </c>
      <c r="B1032" s="48" t="s">
        <v>3411</v>
      </c>
      <c r="C1032" s="48" t="s">
        <v>10</v>
      </c>
      <c r="D1032" s="50">
        <v>4.12</v>
      </c>
    </row>
    <row r="1033" spans="1:4" ht="13.5">
      <c r="A1033" s="49">
        <v>92104</v>
      </c>
      <c r="B1033" s="48" t="s">
        <v>3412</v>
      </c>
      <c r="C1033" s="48" t="s">
        <v>10</v>
      </c>
      <c r="D1033" s="50">
        <v>47.3</v>
      </c>
    </row>
    <row r="1034" spans="1:4" ht="13.5">
      <c r="A1034" s="49">
        <v>92105</v>
      </c>
      <c r="B1034" s="48" t="s">
        <v>3413</v>
      </c>
      <c r="C1034" s="48" t="s">
        <v>10</v>
      </c>
      <c r="D1034" s="50">
        <v>164.33</v>
      </c>
    </row>
    <row r="1035" spans="1:4" ht="13.5">
      <c r="A1035" s="49">
        <v>92108</v>
      </c>
      <c r="B1035" s="48" t="s">
        <v>3414</v>
      </c>
      <c r="C1035" s="48" t="s">
        <v>10</v>
      </c>
      <c r="D1035" s="50">
        <v>0.91</v>
      </c>
    </row>
    <row r="1036" spans="1:4" ht="13.5">
      <c r="A1036" s="49">
        <v>92109</v>
      </c>
      <c r="B1036" s="48" t="s">
        <v>3415</v>
      </c>
      <c r="C1036" s="48" t="s">
        <v>10</v>
      </c>
      <c r="D1036" s="50">
        <v>0.1</v>
      </c>
    </row>
    <row r="1037" spans="1:4" ht="13.5">
      <c r="A1037" s="49">
        <v>92110</v>
      </c>
      <c r="B1037" s="48" t="s">
        <v>3416</v>
      </c>
      <c r="C1037" s="48" t="s">
        <v>10</v>
      </c>
      <c r="D1037" s="50">
        <v>0.71</v>
      </c>
    </row>
    <row r="1038" spans="1:4" ht="13.5">
      <c r="A1038" s="49">
        <v>92111</v>
      </c>
      <c r="B1038" s="48" t="s">
        <v>3417</v>
      </c>
      <c r="C1038" s="48" t="s">
        <v>10</v>
      </c>
      <c r="D1038" s="50">
        <v>1.23</v>
      </c>
    </row>
    <row r="1039" spans="1:4" ht="13.5">
      <c r="A1039" s="49">
        <v>92114</v>
      </c>
      <c r="B1039" s="48" t="s">
        <v>3418</v>
      </c>
      <c r="C1039" s="48" t="s">
        <v>10</v>
      </c>
      <c r="D1039" s="50">
        <v>0.1</v>
      </c>
    </row>
    <row r="1040" spans="1:4" ht="13.5">
      <c r="A1040" s="49">
        <v>92115</v>
      </c>
      <c r="B1040" s="48" t="s">
        <v>3419</v>
      </c>
      <c r="C1040" s="48" t="s">
        <v>10</v>
      </c>
      <c r="D1040" s="50">
        <v>0.01</v>
      </c>
    </row>
    <row r="1041" spans="1:4" ht="13.5">
      <c r="A1041" s="49">
        <v>92116</v>
      </c>
      <c r="B1041" s="48" t="s">
        <v>3420</v>
      </c>
      <c r="C1041" s="48" t="s">
        <v>10</v>
      </c>
      <c r="D1041" s="50">
        <v>0.12</v>
      </c>
    </row>
    <row r="1042" spans="1:4" ht="13.5">
      <c r="A1042" s="49">
        <v>92133</v>
      </c>
      <c r="B1042" s="48" t="s">
        <v>3421</v>
      </c>
      <c r="C1042" s="48" t="s">
        <v>10</v>
      </c>
      <c r="D1042" s="50">
        <v>11.28</v>
      </c>
    </row>
    <row r="1043" spans="1:4" ht="13.5">
      <c r="A1043" s="49">
        <v>92134</v>
      </c>
      <c r="B1043" s="48" t="s">
        <v>3422</v>
      </c>
      <c r="C1043" s="48" t="s">
        <v>10</v>
      </c>
      <c r="D1043" s="50">
        <v>1.78</v>
      </c>
    </row>
    <row r="1044" spans="1:4" ht="13.5">
      <c r="A1044" s="49">
        <v>92135</v>
      </c>
      <c r="B1044" s="48" t="s">
        <v>3423</v>
      </c>
      <c r="C1044" s="48" t="s">
        <v>10</v>
      </c>
      <c r="D1044" s="50">
        <v>1.41</v>
      </c>
    </row>
    <row r="1045" spans="1:4" ht="13.5">
      <c r="A1045" s="49">
        <v>92136</v>
      </c>
      <c r="B1045" s="48" t="s">
        <v>3424</v>
      </c>
      <c r="C1045" s="48" t="s">
        <v>10</v>
      </c>
      <c r="D1045" s="50">
        <v>14.1</v>
      </c>
    </row>
    <row r="1046" spans="1:4" ht="13.5">
      <c r="A1046" s="49">
        <v>92137</v>
      </c>
      <c r="B1046" s="48" t="s">
        <v>3425</v>
      </c>
      <c r="C1046" s="48" t="s">
        <v>10</v>
      </c>
      <c r="D1046" s="50">
        <v>30.09</v>
      </c>
    </row>
    <row r="1047" spans="1:4" ht="13.5">
      <c r="A1047" s="49">
        <v>92140</v>
      </c>
      <c r="B1047" s="48" t="s">
        <v>3426</v>
      </c>
      <c r="C1047" s="48" t="s">
        <v>10</v>
      </c>
      <c r="D1047" s="50">
        <v>3.44</v>
      </c>
    </row>
    <row r="1048" spans="1:4" ht="13.5">
      <c r="A1048" s="49">
        <v>92141</v>
      </c>
      <c r="B1048" s="48" t="s">
        <v>3427</v>
      </c>
      <c r="C1048" s="48" t="s">
        <v>10</v>
      </c>
      <c r="D1048" s="50">
        <v>0.54</v>
      </c>
    </row>
    <row r="1049" spans="1:4" ht="13.5">
      <c r="A1049" s="49">
        <v>92142</v>
      </c>
      <c r="B1049" s="48" t="s">
        <v>3428</v>
      </c>
      <c r="C1049" s="48" t="s">
        <v>10</v>
      </c>
      <c r="D1049" s="50">
        <v>0.43</v>
      </c>
    </row>
    <row r="1050" spans="1:4" ht="13.5">
      <c r="A1050" s="49">
        <v>92143</v>
      </c>
      <c r="B1050" s="48" t="s">
        <v>3429</v>
      </c>
      <c r="C1050" s="48" t="s">
        <v>10</v>
      </c>
      <c r="D1050" s="50">
        <v>4.3</v>
      </c>
    </row>
    <row r="1051" spans="1:4" ht="13.5">
      <c r="A1051" s="49">
        <v>92144</v>
      </c>
      <c r="B1051" s="48" t="s">
        <v>3430</v>
      </c>
      <c r="C1051" s="48" t="s">
        <v>10</v>
      </c>
      <c r="D1051" s="50">
        <v>45.09</v>
      </c>
    </row>
    <row r="1052" spans="1:4" ht="13.5">
      <c r="A1052" s="49">
        <v>92237</v>
      </c>
      <c r="B1052" s="48" t="s">
        <v>3431</v>
      </c>
      <c r="C1052" s="48" t="s">
        <v>10</v>
      </c>
      <c r="D1052" s="50">
        <v>23.08</v>
      </c>
    </row>
    <row r="1053" spans="1:4" ht="13.5">
      <c r="A1053" s="49">
        <v>92238</v>
      </c>
      <c r="B1053" s="48" t="s">
        <v>3432</v>
      </c>
      <c r="C1053" s="48" t="s">
        <v>10</v>
      </c>
      <c r="D1053" s="50">
        <v>4.7</v>
      </c>
    </row>
    <row r="1054" spans="1:4" ht="13.5">
      <c r="A1054" s="49">
        <v>92239</v>
      </c>
      <c r="B1054" s="48" t="s">
        <v>3433</v>
      </c>
      <c r="C1054" s="48" t="s">
        <v>10</v>
      </c>
      <c r="D1054" s="50">
        <v>3.73</v>
      </c>
    </row>
    <row r="1055" spans="1:4" ht="13.5">
      <c r="A1055" s="49">
        <v>92240</v>
      </c>
      <c r="B1055" s="48" t="s">
        <v>3434</v>
      </c>
      <c r="C1055" s="48" t="s">
        <v>10</v>
      </c>
      <c r="D1055" s="50">
        <v>40.799999999999997</v>
      </c>
    </row>
    <row r="1056" spans="1:4" ht="13.5">
      <c r="A1056" s="49">
        <v>92241</v>
      </c>
      <c r="B1056" s="48" t="s">
        <v>3435</v>
      </c>
      <c r="C1056" s="48" t="s">
        <v>10</v>
      </c>
      <c r="D1056" s="50">
        <v>235.82</v>
      </c>
    </row>
    <row r="1057" spans="1:4" ht="13.5">
      <c r="A1057" s="49">
        <v>92712</v>
      </c>
      <c r="B1057" s="48" t="s">
        <v>3436</v>
      </c>
      <c r="C1057" s="48" t="s">
        <v>10</v>
      </c>
      <c r="D1057" s="50">
        <v>0.25</v>
      </c>
    </row>
    <row r="1058" spans="1:4" ht="13.5">
      <c r="A1058" s="49">
        <v>92713</v>
      </c>
      <c r="B1058" s="48" t="s">
        <v>3437</v>
      </c>
      <c r="C1058" s="48" t="s">
        <v>10</v>
      </c>
      <c r="D1058" s="50">
        <v>0.02</v>
      </c>
    </row>
    <row r="1059" spans="1:4" ht="13.5">
      <c r="A1059" s="49">
        <v>92714</v>
      </c>
      <c r="B1059" s="48" t="s">
        <v>3438</v>
      </c>
      <c r="C1059" s="48" t="s">
        <v>10</v>
      </c>
      <c r="D1059" s="50">
        <v>0.31</v>
      </c>
    </row>
    <row r="1060" spans="1:4" ht="13.5">
      <c r="A1060" s="49">
        <v>92715</v>
      </c>
      <c r="B1060" s="48" t="s">
        <v>3439</v>
      </c>
      <c r="C1060" s="48" t="s">
        <v>10</v>
      </c>
      <c r="D1060" s="50">
        <v>19.91</v>
      </c>
    </row>
    <row r="1061" spans="1:4" ht="13.5">
      <c r="A1061" s="49">
        <v>92956</v>
      </c>
      <c r="B1061" s="48" t="s">
        <v>3440</v>
      </c>
      <c r="C1061" s="48" t="s">
        <v>10</v>
      </c>
      <c r="D1061" s="50">
        <v>4.51</v>
      </c>
    </row>
    <row r="1062" spans="1:4" ht="13.5">
      <c r="A1062" s="49">
        <v>92957</v>
      </c>
      <c r="B1062" s="48" t="s">
        <v>3441</v>
      </c>
      <c r="C1062" s="48" t="s">
        <v>10</v>
      </c>
      <c r="D1062" s="50">
        <v>0.53</v>
      </c>
    </row>
    <row r="1063" spans="1:4" ht="13.5">
      <c r="A1063" s="49">
        <v>92958</v>
      </c>
      <c r="B1063" s="48" t="s">
        <v>3442</v>
      </c>
      <c r="C1063" s="48" t="s">
        <v>10</v>
      </c>
      <c r="D1063" s="50">
        <v>4.93</v>
      </c>
    </row>
    <row r="1064" spans="1:4" ht="13.5">
      <c r="A1064" s="49">
        <v>92959</v>
      </c>
      <c r="B1064" s="48" t="s">
        <v>3443</v>
      </c>
      <c r="C1064" s="48" t="s">
        <v>10</v>
      </c>
      <c r="D1064" s="50">
        <v>7.92</v>
      </c>
    </row>
    <row r="1065" spans="1:4" ht="13.5">
      <c r="A1065" s="49">
        <v>92963</v>
      </c>
      <c r="B1065" s="48" t="s">
        <v>3445</v>
      </c>
      <c r="C1065" s="48" t="s">
        <v>10</v>
      </c>
      <c r="D1065" s="50">
        <v>1.06</v>
      </c>
    </row>
    <row r="1066" spans="1:4" ht="13.5">
      <c r="A1066" s="49">
        <v>92964</v>
      </c>
      <c r="B1066" s="48" t="s">
        <v>3446</v>
      </c>
      <c r="C1066" s="48" t="s">
        <v>10</v>
      </c>
      <c r="D1066" s="50">
        <v>0.12</v>
      </c>
    </row>
    <row r="1067" spans="1:4" ht="13.5">
      <c r="A1067" s="49">
        <v>92965</v>
      </c>
      <c r="B1067" s="48" t="s">
        <v>3447</v>
      </c>
      <c r="C1067" s="48" t="s">
        <v>10</v>
      </c>
      <c r="D1067" s="50">
        <v>1.33</v>
      </c>
    </row>
    <row r="1068" spans="1:4" ht="13.5">
      <c r="A1068" s="49">
        <v>93220</v>
      </c>
      <c r="B1068" s="48" t="s">
        <v>3448</v>
      </c>
      <c r="C1068" s="48" t="s">
        <v>10</v>
      </c>
      <c r="D1068" s="50">
        <v>345.74</v>
      </c>
    </row>
    <row r="1069" spans="1:4" ht="13.5">
      <c r="A1069" s="49">
        <v>93221</v>
      </c>
      <c r="B1069" s="48" t="s">
        <v>3450</v>
      </c>
      <c r="C1069" s="48" t="s">
        <v>10</v>
      </c>
      <c r="D1069" s="50">
        <v>48</v>
      </c>
    </row>
    <row r="1070" spans="1:4" ht="13.5">
      <c r="A1070" s="49">
        <v>93222</v>
      </c>
      <c r="B1070" s="48" t="s">
        <v>3451</v>
      </c>
      <c r="C1070" s="48" t="s">
        <v>10</v>
      </c>
      <c r="D1070" s="50">
        <v>432.67</v>
      </c>
    </row>
    <row r="1071" spans="1:4" ht="13.5">
      <c r="A1071" s="49">
        <v>93223</v>
      </c>
      <c r="B1071" s="48" t="s">
        <v>3452</v>
      </c>
      <c r="C1071" s="48" t="s">
        <v>10</v>
      </c>
      <c r="D1071" s="50">
        <v>133.41999999999999</v>
      </c>
    </row>
    <row r="1072" spans="1:4" ht="13.5">
      <c r="A1072" s="49">
        <v>93229</v>
      </c>
      <c r="B1072" s="48" t="s">
        <v>28241</v>
      </c>
      <c r="C1072" s="48" t="s">
        <v>10</v>
      </c>
      <c r="D1072" s="50">
        <v>0.38</v>
      </c>
    </row>
    <row r="1073" spans="1:4" ht="13.5">
      <c r="A1073" s="49">
        <v>93230</v>
      </c>
      <c r="B1073" s="48" t="s">
        <v>28242</v>
      </c>
      <c r="C1073" s="48" t="s">
        <v>10</v>
      </c>
      <c r="D1073" s="50">
        <v>0.04</v>
      </c>
    </row>
    <row r="1074" spans="1:4" ht="13.5">
      <c r="A1074" s="49">
        <v>93231</v>
      </c>
      <c r="B1074" s="48" t="s">
        <v>28243</v>
      </c>
      <c r="C1074" s="48" t="s">
        <v>10</v>
      </c>
      <c r="D1074" s="50">
        <v>0.36</v>
      </c>
    </row>
    <row r="1075" spans="1:4" ht="13.5">
      <c r="A1075" s="49">
        <v>93232</v>
      </c>
      <c r="B1075" s="48" t="s">
        <v>28244</v>
      </c>
      <c r="C1075" s="48" t="s">
        <v>10</v>
      </c>
      <c r="D1075" s="50">
        <v>9.6999999999999993</v>
      </c>
    </row>
    <row r="1076" spans="1:4" ht="13.5">
      <c r="A1076" s="49">
        <v>93235</v>
      </c>
      <c r="B1076" s="48" t="s">
        <v>3453</v>
      </c>
      <c r="C1076" s="48" t="s">
        <v>10</v>
      </c>
      <c r="D1076" s="50">
        <v>0.96</v>
      </c>
    </row>
    <row r="1077" spans="1:4" ht="13.5">
      <c r="A1077" s="49">
        <v>93238</v>
      </c>
      <c r="B1077" s="48" t="s">
        <v>3454</v>
      </c>
      <c r="C1077" s="48" t="s">
        <v>10</v>
      </c>
      <c r="D1077" s="50">
        <v>1.19</v>
      </c>
    </row>
    <row r="1078" spans="1:4" ht="13.5">
      <c r="A1078" s="49">
        <v>93239</v>
      </c>
      <c r="B1078" s="48" t="s">
        <v>3455</v>
      </c>
      <c r="C1078" s="48" t="s">
        <v>10</v>
      </c>
      <c r="D1078" s="50">
        <v>5.42</v>
      </c>
    </row>
    <row r="1079" spans="1:4" ht="13.5">
      <c r="A1079" s="49">
        <v>93240</v>
      </c>
      <c r="B1079" s="48" t="s">
        <v>3456</v>
      </c>
      <c r="C1079" s="48" t="s">
        <v>10</v>
      </c>
      <c r="D1079" s="50">
        <v>10.220000000000001</v>
      </c>
    </row>
    <row r="1080" spans="1:4" ht="13.5">
      <c r="A1080" s="49">
        <v>93267</v>
      </c>
      <c r="B1080" s="48" t="s">
        <v>3457</v>
      </c>
      <c r="C1080" s="48" t="s">
        <v>10</v>
      </c>
      <c r="D1080" s="50">
        <v>40.36</v>
      </c>
    </row>
    <row r="1081" spans="1:4" ht="13.5">
      <c r="A1081" s="49">
        <v>93269</v>
      </c>
      <c r="B1081" s="48" t="s">
        <v>3458</v>
      </c>
      <c r="C1081" s="48" t="s">
        <v>10</v>
      </c>
      <c r="D1081" s="50">
        <v>4.79</v>
      </c>
    </row>
    <row r="1082" spans="1:4" ht="13.5">
      <c r="A1082" s="49">
        <v>93270</v>
      </c>
      <c r="B1082" s="48" t="s">
        <v>3459</v>
      </c>
      <c r="C1082" s="48" t="s">
        <v>10</v>
      </c>
      <c r="D1082" s="50">
        <v>44.15</v>
      </c>
    </row>
    <row r="1083" spans="1:4" ht="13.5">
      <c r="A1083" s="49">
        <v>93271</v>
      </c>
      <c r="B1083" s="48" t="s">
        <v>3460</v>
      </c>
      <c r="C1083" s="48" t="s">
        <v>10</v>
      </c>
      <c r="D1083" s="50">
        <v>9.25</v>
      </c>
    </row>
    <row r="1084" spans="1:4" ht="13.5">
      <c r="A1084" s="49">
        <v>93277</v>
      </c>
      <c r="B1084" s="48" t="s">
        <v>3461</v>
      </c>
      <c r="C1084" s="48" t="s">
        <v>10</v>
      </c>
      <c r="D1084" s="50">
        <v>0.31</v>
      </c>
    </row>
    <row r="1085" spans="1:4" ht="13.5">
      <c r="A1085" s="49">
        <v>93278</v>
      </c>
      <c r="B1085" s="48" t="s">
        <v>3462</v>
      </c>
      <c r="C1085" s="48" t="s">
        <v>10</v>
      </c>
      <c r="D1085" s="50">
        <v>0.03</v>
      </c>
    </row>
    <row r="1086" spans="1:4" ht="13.5">
      <c r="A1086" s="49">
        <v>93279</v>
      </c>
      <c r="B1086" s="48" t="s">
        <v>3463</v>
      </c>
      <c r="C1086" s="48" t="s">
        <v>10</v>
      </c>
      <c r="D1086" s="50">
        <v>0.28999999999999998</v>
      </c>
    </row>
    <row r="1087" spans="1:4" ht="13.5">
      <c r="A1087" s="49">
        <v>93280</v>
      </c>
      <c r="B1087" s="48" t="s">
        <v>3464</v>
      </c>
      <c r="C1087" s="48" t="s">
        <v>10</v>
      </c>
      <c r="D1087" s="50">
        <v>0.77</v>
      </c>
    </row>
    <row r="1088" spans="1:4" ht="13.5">
      <c r="A1088" s="49">
        <v>93283</v>
      </c>
      <c r="B1088" s="48" t="s">
        <v>3465</v>
      </c>
      <c r="C1088" s="48" t="s">
        <v>10</v>
      </c>
      <c r="D1088" s="50">
        <v>84.84</v>
      </c>
    </row>
    <row r="1089" spans="1:4" ht="13.5">
      <c r="A1089" s="49">
        <v>93284</v>
      </c>
      <c r="B1089" s="48" t="s">
        <v>3466</v>
      </c>
      <c r="C1089" s="48" t="s">
        <v>10</v>
      </c>
      <c r="D1089" s="50">
        <v>15.27</v>
      </c>
    </row>
    <row r="1090" spans="1:4" ht="13.5">
      <c r="A1090" s="49">
        <v>93285</v>
      </c>
      <c r="B1090" s="48" t="s">
        <v>3467</v>
      </c>
      <c r="C1090" s="48" t="s">
        <v>10</v>
      </c>
      <c r="D1090" s="50">
        <v>136.38</v>
      </c>
    </row>
    <row r="1091" spans="1:4" ht="13.5">
      <c r="A1091" s="49">
        <v>93286</v>
      </c>
      <c r="B1091" s="48" t="s">
        <v>3468</v>
      </c>
      <c r="C1091" s="48" t="s">
        <v>10</v>
      </c>
      <c r="D1091" s="50">
        <v>12.87</v>
      </c>
    </row>
    <row r="1092" spans="1:4" ht="13.5">
      <c r="A1092" s="49">
        <v>93296</v>
      </c>
      <c r="B1092" s="48" t="s">
        <v>3469</v>
      </c>
      <c r="C1092" s="48" t="s">
        <v>10</v>
      </c>
      <c r="D1092" s="50">
        <v>12.09</v>
      </c>
    </row>
    <row r="1093" spans="1:4" ht="13.5">
      <c r="A1093" s="49">
        <v>93397</v>
      </c>
      <c r="B1093" s="48" t="s">
        <v>3470</v>
      </c>
      <c r="C1093" s="48" t="s">
        <v>10</v>
      </c>
      <c r="D1093" s="50">
        <v>16.489999999999998</v>
      </c>
    </row>
    <row r="1094" spans="1:4" ht="13.5">
      <c r="A1094" s="49">
        <v>93398</v>
      </c>
      <c r="B1094" s="48" t="s">
        <v>3471</v>
      </c>
      <c r="C1094" s="48" t="s">
        <v>10</v>
      </c>
      <c r="D1094" s="50">
        <v>3.08</v>
      </c>
    </row>
    <row r="1095" spans="1:4" ht="13.5">
      <c r="A1095" s="49">
        <v>93399</v>
      </c>
      <c r="B1095" s="48" t="s">
        <v>3472</v>
      </c>
      <c r="C1095" s="48" t="s">
        <v>10</v>
      </c>
      <c r="D1095" s="50">
        <v>2.44</v>
      </c>
    </row>
    <row r="1096" spans="1:4" ht="13.5">
      <c r="A1096" s="49">
        <v>93400</v>
      </c>
      <c r="B1096" s="48" t="s">
        <v>3473</v>
      </c>
      <c r="C1096" s="48" t="s">
        <v>10</v>
      </c>
      <c r="D1096" s="50">
        <v>27.94</v>
      </c>
    </row>
    <row r="1097" spans="1:4" ht="13.5">
      <c r="A1097" s="49">
        <v>93401</v>
      </c>
      <c r="B1097" s="48" t="s">
        <v>3474</v>
      </c>
      <c r="C1097" s="48" t="s">
        <v>10</v>
      </c>
      <c r="D1097" s="50">
        <v>135.05000000000001</v>
      </c>
    </row>
    <row r="1098" spans="1:4" ht="13.5">
      <c r="A1098" s="49">
        <v>93404</v>
      </c>
      <c r="B1098" s="48" t="s">
        <v>3475</v>
      </c>
      <c r="C1098" s="48" t="s">
        <v>10</v>
      </c>
      <c r="D1098" s="50">
        <v>5.39</v>
      </c>
    </row>
    <row r="1099" spans="1:4" ht="13.5">
      <c r="A1099" s="49">
        <v>93405</v>
      </c>
      <c r="B1099" s="48" t="s">
        <v>3476</v>
      </c>
      <c r="C1099" s="48" t="s">
        <v>10</v>
      </c>
      <c r="D1099" s="50">
        <v>0.74</v>
      </c>
    </row>
    <row r="1100" spans="1:4" ht="13.5">
      <c r="A1100" s="49">
        <v>93406</v>
      </c>
      <c r="B1100" s="48" t="s">
        <v>3477</v>
      </c>
      <c r="C1100" s="48" t="s">
        <v>10</v>
      </c>
      <c r="D1100" s="50">
        <v>6.74</v>
      </c>
    </row>
    <row r="1101" spans="1:4" ht="13.5">
      <c r="A1101" s="49">
        <v>93407</v>
      </c>
      <c r="B1101" s="48" t="s">
        <v>3478</v>
      </c>
      <c r="C1101" s="48" t="s">
        <v>10</v>
      </c>
      <c r="D1101" s="50">
        <v>40.26</v>
      </c>
    </row>
    <row r="1102" spans="1:4" ht="13.5">
      <c r="A1102" s="49">
        <v>93411</v>
      </c>
      <c r="B1102" s="48" t="s">
        <v>3479</v>
      </c>
      <c r="C1102" s="48" t="s">
        <v>10</v>
      </c>
      <c r="D1102" s="50">
        <v>0.25</v>
      </c>
    </row>
    <row r="1103" spans="1:4" ht="13.5">
      <c r="A1103" s="49">
        <v>93412</v>
      </c>
      <c r="B1103" s="48" t="s">
        <v>3480</v>
      </c>
      <c r="C1103" s="48" t="s">
        <v>10</v>
      </c>
      <c r="D1103" s="50">
        <v>0.04</v>
      </c>
    </row>
    <row r="1104" spans="1:4" ht="13.5">
      <c r="A1104" s="49">
        <v>93413</v>
      </c>
      <c r="B1104" s="48" t="s">
        <v>3481</v>
      </c>
      <c r="C1104" s="48" t="s">
        <v>10</v>
      </c>
      <c r="D1104" s="50">
        <v>0.23</v>
      </c>
    </row>
    <row r="1105" spans="1:4" ht="13.5">
      <c r="A1105" s="49">
        <v>93414</v>
      </c>
      <c r="B1105" s="48" t="s">
        <v>3482</v>
      </c>
      <c r="C1105" s="48" t="s">
        <v>10</v>
      </c>
      <c r="D1105" s="50">
        <v>16.78</v>
      </c>
    </row>
    <row r="1106" spans="1:4" ht="13.5">
      <c r="A1106" s="49">
        <v>93417</v>
      </c>
      <c r="B1106" s="48" t="s">
        <v>3483</v>
      </c>
      <c r="C1106" s="48" t="s">
        <v>10</v>
      </c>
      <c r="D1106" s="50">
        <v>3.37</v>
      </c>
    </row>
    <row r="1107" spans="1:4" ht="13.5">
      <c r="A1107" s="49">
        <v>93418</v>
      </c>
      <c r="B1107" s="48" t="s">
        <v>3484</v>
      </c>
      <c r="C1107" s="48" t="s">
        <v>10</v>
      </c>
      <c r="D1107" s="50">
        <v>0.6</v>
      </c>
    </row>
    <row r="1108" spans="1:4" ht="13.5">
      <c r="A1108" s="49">
        <v>93419</v>
      </c>
      <c r="B1108" s="48" t="s">
        <v>3485</v>
      </c>
      <c r="C1108" s="48" t="s">
        <v>10</v>
      </c>
      <c r="D1108" s="50">
        <v>3.01</v>
      </c>
    </row>
    <row r="1109" spans="1:4" ht="13.5">
      <c r="A1109" s="49">
        <v>93420</v>
      </c>
      <c r="B1109" s="48" t="s">
        <v>3486</v>
      </c>
      <c r="C1109" s="48" t="s">
        <v>10</v>
      </c>
      <c r="D1109" s="50">
        <v>57.28</v>
      </c>
    </row>
    <row r="1110" spans="1:4" ht="13.5">
      <c r="A1110" s="49">
        <v>93423</v>
      </c>
      <c r="B1110" s="48" t="s">
        <v>3487</v>
      </c>
      <c r="C1110" s="48" t="s">
        <v>10</v>
      </c>
      <c r="D1110" s="50">
        <v>4.7699999999999996</v>
      </c>
    </row>
    <row r="1111" spans="1:4" ht="13.5">
      <c r="A1111" s="49">
        <v>93424</v>
      </c>
      <c r="B1111" s="48" t="s">
        <v>3488</v>
      </c>
      <c r="C1111" s="48" t="s">
        <v>10</v>
      </c>
      <c r="D1111" s="50">
        <v>0.86</v>
      </c>
    </row>
    <row r="1112" spans="1:4" ht="13.5">
      <c r="A1112" s="49">
        <v>93425</v>
      </c>
      <c r="B1112" s="48" t="s">
        <v>3489</v>
      </c>
      <c r="C1112" s="48" t="s">
        <v>10</v>
      </c>
      <c r="D1112" s="50">
        <v>4.26</v>
      </c>
    </row>
    <row r="1113" spans="1:4" ht="13.5">
      <c r="A1113" s="49">
        <v>93426</v>
      </c>
      <c r="B1113" s="48" t="s">
        <v>3490</v>
      </c>
      <c r="C1113" s="48" t="s">
        <v>10</v>
      </c>
      <c r="D1113" s="50">
        <v>136.88999999999999</v>
      </c>
    </row>
    <row r="1114" spans="1:4" ht="13.5">
      <c r="A1114" s="49">
        <v>93429</v>
      </c>
      <c r="B1114" s="48" t="s">
        <v>3491</v>
      </c>
      <c r="C1114" s="48" t="s">
        <v>10</v>
      </c>
      <c r="D1114" s="50">
        <v>108.29</v>
      </c>
    </row>
    <row r="1115" spans="1:4" ht="13.5">
      <c r="A1115" s="49">
        <v>93430</v>
      </c>
      <c r="B1115" s="48" t="s">
        <v>3492</v>
      </c>
      <c r="C1115" s="48" t="s">
        <v>10</v>
      </c>
      <c r="D1115" s="50">
        <v>19.489999999999998</v>
      </c>
    </row>
    <row r="1116" spans="1:4" ht="13.5">
      <c r="A1116" s="49">
        <v>93431</v>
      </c>
      <c r="B1116" s="48" t="s">
        <v>3493</v>
      </c>
      <c r="C1116" s="48" t="s">
        <v>10</v>
      </c>
      <c r="D1116" s="50">
        <v>174.08</v>
      </c>
    </row>
    <row r="1117" spans="1:4" ht="13.5">
      <c r="A1117" s="49">
        <v>93432</v>
      </c>
      <c r="B1117" s="48" t="s">
        <v>3494</v>
      </c>
      <c r="C1117" s="48" t="s">
        <v>10</v>
      </c>
      <c r="D1117" s="51">
        <v>1129.31</v>
      </c>
    </row>
    <row r="1118" spans="1:4" ht="13.5">
      <c r="A1118" s="49">
        <v>93435</v>
      </c>
      <c r="B1118" s="48" t="s">
        <v>3495</v>
      </c>
      <c r="C1118" s="48" t="s">
        <v>10</v>
      </c>
      <c r="D1118" s="50">
        <v>5.86</v>
      </c>
    </row>
    <row r="1119" spans="1:4" ht="13.5">
      <c r="A1119" s="49">
        <v>93436</v>
      </c>
      <c r="B1119" s="48" t="s">
        <v>3496</v>
      </c>
      <c r="C1119" s="48" t="s">
        <v>10</v>
      </c>
      <c r="D1119" s="50">
        <v>1.23</v>
      </c>
    </row>
    <row r="1120" spans="1:4" ht="13.5">
      <c r="A1120" s="49">
        <v>93437</v>
      </c>
      <c r="B1120" s="48" t="s">
        <v>3497</v>
      </c>
      <c r="C1120" s="48" t="s">
        <v>10</v>
      </c>
      <c r="D1120" s="50">
        <v>10.99</v>
      </c>
    </row>
    <row r="1121" spans="1:4" ht="13.5">
      <c r="A1121" s="49">
        <v>93438</v>
      </c>
      <c r="B1121" s="48" t="s">
        <v>3498</v>
      </c>
      <c r="C1121" s="48" t="s">
        <v>10</v>
      </c>
      <c r="D1121" s="50">
        <v>21.46</v>
      </c>
    </row>
    <row r="1122" spans="1:4" ht="13.5">
      <c r="A1122" s="49">
        <v>95114</v>
      </c>
      <c r="B1122" s="48" t="s">
        <v>3499</v>
      </c>
      <c r="C1122" s="48" t="s">
        <v>10</v>
      </c>
      <c r="D1122" s="50">
        <v>1.03</v>
      </c>
    </row>
    <row r="1123" spans="1:4" ht="13.5">
      <c r="A1123" s="49">
        <v>95115</v>
      </c>
      <c r="B1123" s="48" t="s">
        <v>3500</v>
      </c>
      <c r="C1123" s="48" t="s">
        <v>10</v>
      </c>
      <c r="D1123" s="50">
        <v>0.12</v>
      </c>
    </row>
    <row r="1124" spans="1:4" ht="13.5">
      <c r="A1124" s="49">
        <v>95116</v>
      </c>
      <c r="B1124" s="48" t="s">
        <v>3501</v>
      </c>
      <c r="C1124" s="48" t="s">
        <v>10</v>
      </c>
      <c r="D1124" s="50">
        <v>31.99</v>
      </c>
    </row>
    <row r="1125" spans="1:4" ht="13.5">
      <c r="A1125" s="49">
        <v>95117</v>
      </c>
      <c r="B1125" s="48" t="s">
        <v>3502</v>
      </c>
      <c r="C1125" s="48" t="s">
        <v>10</v>
      </c>
      <c r="D1125" s="50">
        <v>5.04</v>
      </c>
    </row>
    <row r="1126" spans="1:4" ht="13.5">
      <c r="A1126" s="49">
        <v>95118</v>
      </c>
      <c r="B1126" s="48" t="s">
        <v>3503</v>
      </c>
      <c r="C1126" s="48" t="s">
        <v>10</v>
      </c>
      <c r="D1126" s="50">
        <v>63.82</v>
      </c>
    </row>
    <row r="1127" spans="1:4" ht="13.5">
      <c r="A1127" s="49">
        <v>95119</v>
      </c>
      <c r="B1127" s="48" t="s">
        <v>3504</v>
      </c>
      <c r="C1127" s="48" t="s">
        <v>10</v>
      </c>
      <c r="D1127" s="50">
        <v>10.050000000000001</v>
      </c>
    </row>
    <row r="1128" spans="1:4" ht="13.5">
      <c r="A1128" s="49">
        <v>95120</v>
      </c>
      <c r="B1128" s="48" t="s">
        <v>3505</v>
      </c>
      <c r="C1128" s="48" t="s">
        <v>10</v>
      </c>
      <c r="D1128" s="50">
        <v>63.11</v>
      </c>
    </row>
    <row r="1129" spans="1:4" ht="13.5">
      <c r="A1129" s="49">
        <v>95123</v>
      </c>
      <c r="B1129" s="48" t="s">
        <v>3506</v>
      </c>
      <c r="C1129" s="48" t="s">
        <v>10</v>
      </c>
      <c r="D1129" s="50">
        <v>16.77</v>
      </c>
    </row>
    <row r="1130" spans="1:4" ht="13.5">
      <c r="A1130" s="49">
        <v>95124</v>
      </c>
      <c r="B1130" s="48" t="s">
        <v>3507</v>
      </c>
      <c r="C1130" s="48" t="s">
        <v>10</v>
      </c>
      <c r="D1130" s="50">
        <v>2.64</v>
      </c>
    </row>
    <row r="1131" spans="1:4" ht="13.5">
      <c r="A1131" s="49">
        <v>95125</v>
      </c>
      <c r="B1131" s="48" t="s">
        <v>3508</v>
      </c>
      <c r="C1131" s="48" t="s">
        <v>10</v>
      </c>
      <c r="D1131" s="50">
        <v>18.34</v>
      </c>
    </row>
    <row r="1132" spans="1:4" ht="13.5">
      <c r="A1132" s="49">
        <v>95126</v>
      </c>
      <c r="B1132" s="48" t="s">
        <v>3509</v>
      </c>
      <c r="C1132" s="48" t="s">
        <v>10</v>
      </c>
      <c r="D1132" s="50">
        <v>125.75</v>
      </c>
    </row>
    <row r="1133" spans="1:4" ht="13.5">
      <c r="A1133" s="49">
        <v>95129</v>
      </c>
      <c r="B1133" s="48" t="s">
        <v>3510</v>
      </c>
      <c r="C1133" s="48" t="s">
        <v>10</v>
      </c>
      <c r="D1133" s="50">
        <v>25.43</v>
      </c>
    </row>
    <row r="1134" spans="1:4" ht="13.5">
      <c r="A1134" s="49">
        <v>95130</v>
      </c>
      <c r="B1134" s="48" t="s">
        <v>3511</v>
      </c>
      <c r="C1134" s="48" t="s">
        <v>10</v>
      </c>
      <c r="D1134" s="50">
        <v>5.35</v>
      </c>
    </row>
    <row r="1135" spans="1:4" ht="13.5">
      <c r="A1135" s="49">
        <v>95131</v>
      </c>
      <c r="B1135" s="48" t="s">
        <v>3512</v>
      </c>
      <c r="C1135" s="48" t="s">
        <v>10</v>
      </c>
      <c r="D1135" s="50">
        <v>47.75</v>
      </c>
    </row>
    <row r="1136" spans="1:4" ht="13.5">
      <c r="A1136" s="49">
        <v>95132</v>
      </c>
      <c r="B1136" s="48" t="s">
        <v>3513</v>
      </c>
      <c r="C1136" s="48" t="s">
        <v>10</v>
      </c>
      <c r="D1136" s="50">
        <v>27.54</v>
      </c>
    </row>
    <row r="1137" spans="1:4" ht="13.5">
      <c r="A1137" s="49">
        <v>95136</v>
      </c>
      <c r="B1137" s="48" t="s">
        <v>3514</v>
      </c>
      <c r="C1137" s="48" t="s">
        <v>10</v>
      </c>
      <c r="D1137" s="50">
        <v>0.03</v>
      </c>
    </row>
    <row r="1138" spans="1:4" ht="13.5">
      <c r="A1138" s="49">
        <v>95137</v>
      </c>
      <c r="B1138" s="48" t="s">
        <v>3515</v>
      </c>
      <c r="C1138" s="48" t="s">
        <v>10</v>
      </c>
      <c r="D1138" s="50">
        <v>0</v>
      </c>
    </row>
    <row r="1139" spans="1:4" ht="13.5">
      <c r="A1139" s="49">
        <v>95138</v>
      </c>
      <c r="B1139" s="48" t="s">
        <v>3516</v>
      </c>
      <c r="C1139" s="48" t="s">
        <v>10</v>
      </c>
      <c r="D1139" s="50">
        <v>0.02</v>
      </c>
    </row>
    <row r="1140" spans="1:4" ht="13.5">
      <c r="A1140" s="49">
        <v>95208</v>
      </c>
      <c r="B1140" s="48" t="s">
        <v>3517</v>
      </c>
      <c r="C1140" s="48" t="s">
        <v>10</v>
      </c>
      <c r="D1140" s="50">
        <v>45.73</v>
      </c>
    </row>
    <row r="1141" spans="1:4" ht="13.5">
      <c r="A1141" s="49">
        <v>95209</v>
      </c>
      <c r="B1141" s="48" t="s">
        <v>3518</v>
      </c>
      <c r="C1141" s="48" t="s">
        <v>10</v>
      </c>
      <c r="D1141" s="50">
        <v>5.43</v>
      </c>
    </row>
    <row r="1142" spans="1:4" ht="13.5">
      <c r="A1142" s="49">
        <v>95210</v>
      </c>
      <c r="B1142" s="48" t="s">
        <v>3519</v>
      </c>
      <c r="C1142" s="48" t="s">
        <v>10</v>
      </c>
      <c r="D1142" s="50">
        <v>50.02</v>
      </c>
    </row>
    <row r="1143" spans="1:4" ht="13.5">
      <c r="A1143" s="49">
        <v>95211</v>
      </c>
      <c r="B1143" s="48" t="s">
        <v>3520</v>
      </c>
      <c r="C1143" s="48" t="s">
        <v>10</v>
      </c>
      <c r="D1143" s="50">
        <v>9.25</v>
      </c>
    </row>
    <row r="1144" spans="1:4" ht="13.5">
      <c r="A1144" s="49">
        <v>95217</v>
      </c>
      <c r="B1144" s="48" t="s">
        <v>3521</v>
      </c>
      <c r="C1144" s="48" t="s">
        <v>10</v>
      </c>
      <c r="D1144" s="50">
        <v>0.62</v>
      </c>
    </row>
    <row r="1145" spans="1:4" ht="13.5">
      <c r="A1145" s="49">
        <v>95255</v>
      </c>
      <c r="B1145" s="48" t="s">
        <v>3522</v>
      </c>
      <c r="C1145" s="48" t="s">
        <v>10</v>
      </c>
      <c r="D1145" s="50">
        <v>0.92</v>
      </c>
    </row>
    <row r="1146" spans="1:4" ht="13.5">
      <c r="A1146" s="49">
        <v>95256</v>
      </c>
      <c r="B1146" s="48" t="s">
        <v>3523</v>
      </c>
      <c r="C1146" s="48" t="s">
        <v>10</v>
      </c>
      <c r="D1146" s="50">
        <v>0.1</v>
      </c>
    </row>
    <row r="1147" spans="1:4" ht="13.5">
      <c r="A1147" s="49">
        <v>95257</v>
      </c>
      <c r="B1147" s="48" t="s">
        <v>3524</v>
      </c>
      <c r="C1147" s="48" t="s">
        <v>10</v>
      </c>
      <c r="D1147" s="50">
        <v>1.1499999999999999</v>
      </c>
    </row>
    <row r="1148" spans="1:4" ht="13.5">
      <c r="A1148" s="49">
        <v>95260</v>
      </c>
      <c r="B1148" s="48" t="s">
        <v>3525</v>
      </c>
      <c r="C1148" s="48" t="s">
        <v>10</v>
      </c>
      <c r="D1148" s="50">
        <v>0.57999999999999996</v>
      </c>
    </row>
    <row r="1149" spans="1:4" ht="13.5">
      <c r="A1149" s="49">
        <v>95261</v>
      </c>
      <c r="B1149" s="48" t="s">
        <v>3526</v>
      </c>
      <c r="C1149" s="48" t="s">
        <v>10</v>
      </c>
      <c r="D1149" s="50">
        <v>0.1</v>
      </c>
    </row>
    <row r="1150" spans="1:4" ht="13.5">
      <c r="A1150" s="49">
        <v>95262</v>
      </c>
      <c r="B1150" s="48" t="s">
        <v>3527</v>
      </c>
      <c r="C1150" s="48" t="s">
        <v>10</v>
      </c>
      <c r="D1150" s="50">
        <v>0.95</v>
      </c>
    </row>
    <row r="1151" spans="1:4" ht="13.5">
      <c r="A1151" s="49">
        <v>95263</v>
      </c>
      <c r="B1151" s="48" t="s">
        <v>3528</v>
      </c>
      <c r="C1151" s="48" t="s">
        <v>10</v>
      </c>
      <c r="D1151" s="50">
        <v>5.25</v>
      </c>
    </row>
    <row r="1152" spans="1:4" ht="13.5">
      <c r="A1152" s="49">
        <v>95266</v>
      </c>
      <c r="B1152" s="48" t="s">
        <v>3529</v>
      </c>
      <c r="C1152" s="48" t="s">
        <v>10</v>
      </c>
      <c r="D1152" s="50">
        <v>0.4</v>
      </c>
    </row>
    <row r="1153" spans="1:4" ht="13.5">
      <c r="A1153" s="49">
        <v>95267</v>
      </c>
      <c r="B1153" s="48" t="s">
        <v>3530</v>
      </c>
      <c r="C1153" s="48" t="s">
        <v>10</v>
      </c>
      <c r="D1153" s="50">
        <v>0.04</v>
      </c>
    </row>
    <row r="1154" spans="1:4" ht="13.5">
      <c r="A1154" s="49">
        <v>95268</v>
      </c>
      <c r="B1154" s="48" t="s">
        <v>3531</v>
      </c>
      <c r="C1154" s="48" t="s">
        <v>10</v>
      </c>
      <c r="D1154" s="50">
        <v>0.39</v>
      </c>
    </row>
    <row r="1155" spans="1:4" ht="13.5">
      <c r="A1155" s="49">
        <v>95269</v>
      </c>
      <c r="B1155" s="48" t="s">
        <v>3532</v>
      </c>
      <c r="C1155" s="48" t="s">
        <v>10</v>
      </c>
      <c r="D1155" s="50">
        <v>9.6999999999999993</v>
      </c>
    </row>
    <row r="1156" spans="1:4" ht="13.5">
      <c r="A1156" s="49">
        <v>95272</v>
      </c>
      <c r="B1156" s="48" t="s">
        <v>3533</v>
      </c>
      <c r="C1156" s="48" t="s">
        <v>10</v>
      </c>
      <c r="D1156" s="50">
        <v>0.39</v>
      </c>
    </row>
    <row r="1157" spans="1:4" ht="13.5">
      <c r="A1157" s="49">
        <v>95273</v>
      </c>
      <c r="B1157" s="48" t="s">
        <v>3534</v>
      </c>
      <c r="C1157" s="48" t="s">
        <v>10</v>
      </c>
      <c r="D1157" s="50">
        <v>0.04</v>
      </c>
    </row>
    <row r="1158" spans="1:4" ht="13.5">
      <c r="A1158" s="49">
        <v>95274</v>
      </c>
      <c r="B1158" s="48" t="s">
        <v>3535</v>
      </c>
      <c r="C1158" s="48" t="s">
        <v>10</v>
      </c>
      <c r="D1158" s="50">
        <v>0.3</v>
      </c>
    </row>
    <row r="1159" spans="1:4" ht="13.5">
      <c r="A1159" s="49">
        <v>95275</v>
      </c>
      <c r="B1159" s="48" t="s">
        <v>3536</v>
      </c>
      <c r="C1159" s="48" t="s">
        <v>10</v>
      </c>
      <c r="D1159" s="50">
        <v>2.5099999999999998</v>
      </c>
    </row>
    <row r="1160" spans="1:4" ht="13.5">
      <c r="A1160" s="49">
        <v>95278</v>
      </c>
      <c r="B1160" s="48" t="s">
        <v>3537</v>
      </c>
      <c r="C1160" s="48" t="s">
        <v>10</v>
      </c>
      <c r="D1160" s="50">
        <v>0.48</v>
      </c>
    </row>
    <row r="1161" spans="1:4" ht="13.5">
      <c r="A1161" s="49">
        <v>95279</v>
      </c>
      <c r="B1161" s="48" t="s">
        <v>3538</v>
      </c>
      <c r="C1161" s="48" t="s">
        <v>10</v>
      </c>
      <c r="D1161" s="50">
        <v>0.05</v>
      </c>
    </row>
    <row r="1162" spans="1:4" ht="13.5">
      <c r="A1162" s="49">
        <v>95280</v>
      </c>
      <c r="B1162" s="48" t="s">
        <v>3539</v>
      </c>
      <c r="C1162" s="48" t="s">
        <v>10</v>
      </c>
      <c r="D1162" s="50">
        <v>0.47</v>
      </c>
    </row>
    <row r="1163" spans="1:4" ht="13.5">
      <c r="A1163" s="49">
        <v>95281</v>
      </c>
      <c r="B1163" s="48" t="s">
        <v>3540</v>
      </c>
      <c r="C1163" s="48" t="s">
        <v>10</v>
      </c>
      <c r="D1163" s="50">
        <v>9.6999999999999993</v>
      </c>
    </row>
    <row r="1164" spans="1:4" ht="13.5">
      <c r="A1164" s="49">
        <v>95617</v>
      </c>
      <c r="B1164" s="48" t="s">
        <v>3541</v>
      </c>
      <c r="C1164" s="48" t="s">
        <v>10</v>
      </c>
      <c r="D1164" s="50">
        <v>0.75</v>
      </c>
    </row>
    <row r="1165" spans="1:4" ht="13.5">
      <c r="A1165" s="49">
        <v>95618</v>
      </c>
      <c r="B1165" s="48" t="s">
        <v>3542</v>
      </c>
      <c r="C1165" s="48" t="s">
        <v>10</v>
      </c>
      <c r="D1165" s="50">
        <v>0.08</v>
      </c>
    </row>
    <row r="1166" spans="1:4" ht="13.5">
      <c r="A1166" s="49">
        <v>95619</v>
      </c>
      <c r="B1166" s="48" t="s">
        <v>3543</v>
      </c>
      <c r="C1166" s="48" t="s">
        <v>10</v>
      </c>
      <c r="D1166" s="50">
        <v>0.94</v>
      </c>
    </row>
    <row r="1167" spans="1:4" ht="13.5">
      <c r="A1167" s="49">
        <v>95627</v>
      </c>
      <c r="B1167" s="48" t="s">
        <v>3544</v>
      </c>
      <c r="C1167" s="48" t="s">
        <v>10</v>
      </c>
      <c r="D1167" s="50">
        <v>42.76</v>
      </c>
    </row>
    <row r="1168" spans="1:4" ht="13.5">
      <c r="A1168" s="49">
        <v>95628</v>
      </c>
      <c r="B1168" s="48" t="s">
        <v>3545</v>
      </c>
      <c r="C1168" s="48" t="s">
        <v>10</v>
      </c>
      <c r="D1168" s="50">
        <v>5.93</v>
      </c>
    </row>
    <row r="1169" spans="1:4" ht="13.5">
      <c r="A1169" s="49">
        <v>95629</v>
      </c>
      <c r="B1169" s="48" t="s">
        <v>3546</v>
      </c>
      <c r="C1169" s="48" t="s">
        <v>10</v>
      </c>
      <c r="D1169" s="50">
        <v>53.52</v>
      </c>
    </row>
    <row r="1170" spans="1:4" ht="13.5">
      <c r="A1170" s="49">
        <v>95630</v>
      </c>
      <c r="B1170" s="48" t="s">
        <v>3547</v>
      </c>
      <c r="C1170" s="48" t="s">
        <v>10</v>
      </c>
      <c r="D1170" s="50">
        <v>76.239999999999995</v>
      </c>
    </row>
    <row r="1171" spans="1:4" ht="13.5">
      <c r="A1171" s="49">
        <v>95698</v>
      </c>
      <c r="B1171" s="48" t="s">
        <v>3548</v>
      </c>
      <c r="C1171" s="48" t="s">
        <v>10</v>
      </c>
      <c r="D1171" s="50">
        <v>3.06</v>
      </c>
    </row>
    <row r="1172" spans="1:4" ht="13.5">
      <c r="A1172" s="49">
        <v>95699</v>
      </c>
      <c r="B1172" s="48" t="s">
        <v>3549</v>
      </c>
      <c r="C1172" s="48" t="s">
        <v>10</v>
      </c>
      <c r="D1172" s="50">
        <v>0.36</v>
      </c>
    </row>
    <row r="1173" spans="1:4" ht="13.5">
      <c r="A1173" s="49">
        <v>95700</v>
      </c>
      <c r="B1173" s="48" t="s">
        <v>3550</v>
      </c>
      <c r="C1173" s="48" t="s">
        <v>10</v>
      </c>
      <c r="D1173" s="50">
        <v>3.82</v>
      </c>
    </row>
    <row r="1174" spans="1:4" ht="13.5">
      <c r="A1174" s="49">
        <v>95701</v>
      </c>
      <c r="B1174" s="48" t="s">
        <v>3551</v>
      </c>
      <c r="C1174" s="48" t="s">
        <v>10</v>
      </c>
      <c r="D1174" s="50">
        <v>3.09</v>
      </c>
    </row>
    <row r="1175" spans="1:4" ht="13.5">
      <c r="A1175" s="49">
        <v>95704</v>
      </c>
      <c r="B1175" s="48" t="s">
        <v>3552</v>
      </c>
      <c r="C1175" s="48" t="s">
        <v>10</v>
      </c>
      <c r="D1175" s="50">
        <v>46.43</v>
      </c>
    </row>
    <row r="1176" spans="1:4" ht="13.5">
      <c r="A1176" s="49">
        <v>95705</v>
      </c>
      <c r="B1176" s="48" t="s">
        <v>3553</v>
      </c>
      <c r="C1176" s="48" t="s">
        <v>10</v>
      </c>
      <c r="D1176" s="50">
        <v>6.36</v>
      </c>
    </row>
    <row r="1177" spans="1:4" ht="13.5">
      <c r="A1177" s="49">
        <v>95706</v>
      </c>
      <c r="B1177" s="48" t="s">
        <v>3554</v>
      </c>
      <c r="C1177" s="48" t="s">
        <v>10</v>
      </c>
      <c r="D1177" s="50">
        <v>58.11</v>
      </c>
    </row>
    <row r="1178" spans="1:4" ht="13.5">
      <c r="A1178" s="49">
        <v>95707</v>
      </c>
      <c r="B1178" s="48" t="s">
        <v>3555</v>
      </c>
      <c r="C1178" s="48" t="s">
        <v>10</v>
      </c>
      <c r="D1178" s="50">
        <v>4.05</v>
      </c>
    </row>
    <row r="1179" spans="1:4" ht="13.5">
      <c r="A1179" s="49">
        <v>95710</v>
      </c>
      <c r="B1179" s="48" t="s">
        <v>3556</v>
      </c>
      <c r="C1179" s="48" t="s">
        <v>10</v>
      </c>
      <c r="D1179" s="50">
        <v>55.81</v>
      </c>
    </row>
    <row r="1180" spans="1:4" ht="13.5">
      <c r="A1180" s="49">
        <v>95711</v>
      </c>
      <c r="B1180" s="48" t="s">
        <v>3557</v>
      </c>
      <c r="C1180" s="48" t="s">
        <v>10</v>
      </c>
      <c r="D1180" s="50">
        <v>7.57</v>
      </c>
    </row>
    <row r="1181" spans="1:4" ht="13.5">
      <c r="A1181" s="49">
        <v>95712</v>
      </c>
      <c r="B1181" s="48" t="s">
        <v>3558</v>
      </c>
      <c r="C1181" s="48" t="s">
        <v>10</v>
      </c>
      <c r="D1181" s="50">
        <v>69.760000000000005</v>
      </c>
    </row>
    <row r="1182" spans="1:4" ht="13.5">
      <c r="A1182" s="49">
        <v>95713</v>
      </c>
      <c r="B1182" s="48" t="s">
        <v>3559</v>
      </c>
      <c r="C1182" s="48" t="s">
        <v>10</v>
      </c>
      <c r="D1182" s="50">
        <v>76.8</v>
      </c>
    </row>
    <row r="1183" spans="1:4" ht="13.5">
      <c r="A1183" s="49">
        <v>95716</v>
      </c>
      <c r="B1183" s="48" t="s">
        <v>3560</v>
      </c>
      <c r="C1183" s="48" t="s">
        <v>10</v>
      </c>
      <c r="D1183" s="50">
        <v>53.72</v>
      </c>
    </row>
    <row r="1184" spans="1:4" ht="13.5">
      <c r="A1184" s="49">
        <v>95717</v>
      </c>
      <c r="B1184" s="48" t="s">
        <v>3561</v>
      </c>
      <c r="C1184" s="48" t="s">
        <v>10</v>
      </c>
      <c r="D1184" s="50">
        <v>7.29</v>
      </c>
    </row>
    <row r="1185" spans="1:4" ht="13.5">
      <c r="A1185" s="49">
        <v>95718</v>
      </c>
      <c r="B1185" s="48" t="s">
        <v>3562</v>
      </c>
      <c r="C1185" s="48" t="s">
        <v>10</v>
      </c>
      <c r="D1185" s="50">
        <v>67.16</v>
      </c>
    </row>
    <row r="1186" spans="1:4" ht="13.5">
      <c r="A1186" s="49">
        <v>95719</v>
      </c>
      <c r="B1186" s="48" t="s">
        <v>3563</v>
      </c>
      <c r="C1186" s="48" t="s">
        <v>10</v>
      </c>
      <c r="D1186" s="50">
        <v>76.8</v>
      </c>
    </row>
    <row r="1187" spans="1:4" ht="13.5">
      <c r="A1187" s="49">
        <v>95869</v>
      </c>
      <c r="B1187" s="48" t="s">
        <v>3564</v>
      </c>
      <c r="C1187" s="48" t="s">
        <v>10</v>
      </c>
      <c r="D1187" s="50">
        <v>1.37</v>
      </c>
    </row>
    <row r="1188" spans="1:4" ht="13.5">
      <c r="A1188" s="49">
        <v>95870</v>
      </c>
      <c r="B1188" s="48" t="s">
        <v>3565</v>
      </c>
      <c r="C1188" s="48" t="s">
        <v>10</v>
      </c>
      <c r="D1188" s="50">
        <v>6.81</v>
      </c>
    </row>
    <row r="1189" spans="1:4" ht="13.5">
      <c r="A1189" s="49">
        <v>95871</v>
      </c>
      <c r="B1189" s="48" t="s">
        <v>3566</v>
      </c>
      <c r="C1189" s="48" t="s">
        <v>10</v>
      </c>
      <c r="D1189" s="50">
        <v>233.22</v>
      </c>
    </row>
    <row r="1190" spans="1:4" ht="13.5">
      <c r="A1190" s="49">
        <v>95874</v>
      </c>
      <c r="B1190" s="48" t="s">
        <v>3567</v>
      </c>
      <c r="C1190" s="48" t="s">
        <v>10</v>
      </c>
      <c r="D1190" s="50">
        <v>7.63</v>
      </c>
    </row>
    <row r="1191" spans="1:4" ht="13.5">
      <c r="A1191" s="49">
        <v>96008</v>
      </c>
      <c r="B1191" s="48" t="s">
        <v>3568</v>
      </c>
      <c r="C1191" s="48" t="s">
        <v>10</v>
      </c>
      <c r="D1191" s="50">
        <v>20.82</v>
      </c>
    </row>
    <row r="1192" spans="1:4" ht="13.5">
      <c r="A1192" s="49">
        <v>96009</v>
      </c>
      <c r="B1192" s="48" t="s">
        <v>3569</v>
      </c>
      <c r="C1192" s="48" t="s">
        <v>10</v>
      </c>
      <c r="D1192" s="50">
        <v>2.89</v>
      </c>
    </row>
    <row r="1193" spans="1:4" ht="13.5">
      <c r="A1193" s="49">
        <v>96011</v>
      </c>
      <c r="B1193" s="48" t="s">
        <v>3570</v>
      </c>
      <c r="C1193" s="48" t="s">
        <v>10</v>
      </c>
      <c r="D1193" s="50">
        <v>22.77</v>
      </c>
    </row>
    <row r="1194" spans="1:4" ht="13.5">
      <c r="A1194" s="49">
        <v>96012</v>
      </c>
      <c r="B1194" s="48" t="s">
        <v>3571</v>
      </c>
      <c r="C1194" s="48" t="s">
        <v>10</v>
      </c>
      <c r="D1194" s="50">
        <v>82.57</v>
      </c>
    </row>
    <row r="1195" spans="1:4" ht="13.5">
      <c r="A1195" s="49">
        <v>96015</v>
      </c>
      <c r="B1195" s="48" t="s">
        <v>3572</v>
      </c>
      <c r="C1195" s="48" t="s">
        <v>10</v>
      </c>
      <c r="D1195" s="50">
        <v>20.57</v>
      </c>
    </row>
    <row r="1196" spans="1:4" ht="13.5">
      <c r="A1196" s="49">
        <v>96016</v>
      </c>
      <c r="B1196" s="48" t="s">
        <v>3573</v>
      </c>
      <c r="C1196" s="48" t="s">
        <v>10</v>
      </c>
      <c r="D1196" s="50">
        <v>2.85</v>
      </c>
    </row>
    <row r="1197" spans="1:4" ht="13.5">
      <c r="A1197" s="49">
        <v>96018</v>
      </c>
      <c r="B1197" s="48" t="s">
        <v>3574</v>
      </c>
      <c r="C1197" s="48" t="s">
        <v>10</v>
      </c>
      <c r="D1197" s="50">
        <v>22.5</v>
      </c>
    </row>
    <row r="1198" spans="1:4" ht="13.5">
      <c r="A1198" s="49">
        <v>96019</v>
      </c>
      <c r="B1198" s="48" t="s">
        <v>3575</v>
      </c>
      <c r="C1198" s="48" t="s">
        <v>10</v>
      </c>
      <c r="D1198" s="50">
        <v>146.81</v>
      </c>
    </row>
    <row r="1199" spans="1:4" ht="13.5">
      <c r="A1199" s="49">
        <v>96023</v>
      </c>
      <c r="B1199" s="48" t="s">
        <v>3576</v>
      </c>
      <c r="C1199" s="48" t="s">
        <v>10</v>
      </c>
      <c r="D1199" s="50">
        <v>16.2</v>
      </c>
    </row>
    <row r="1200" spans="1:4" ht="13.5">
      <c r="A1200" s="49">
        <v>96024</v>
      </c>
      <c r="B1200" s="48" t="s">
        <v>3577</v>
      </c>
      <c r="C1200" s="48" t="s">
        <v>10</v>
      </c>
      <c r="D1200" s="50">
        <v>2.2400000000000002</v>
      </c>
    </row>
    <row r="1201" spans="1:4" ht="13.5">
      <c r="A1201" s="49">
        <v>96026</v>
      </c>
      <c r="B1201" s="48" t="s">
        <v>3578</v>
      </c>
      <c r="C1201" s="48" t="s">
        <v>10</v>
      </c>
      <c r="D1201" s="50">
        <v>17.72</v>
      </c>
    </row>
    <row r="1202" spans="1:4" ht="13.5">
      <c r="A1202" s="49">
        <v>96027</v>
      </c>
      <c r="B1202" s="48" t="s">
        <v>3579</v>
      </c>
      <c r="C1202" s="48" t="s">
        <v>10</v>
      </c>
      <c r="D1202" s="50">
        <v>102.3</v>
      </c>
    </row>
    <row r="1203" spans="1:4" ht="13.5">
      <c r="A1203" s="49">
        <v>96030</v>
      </c>
      <c r="B1203" s="48" t="s">
        <v>3580</v>
      </c>
      <c r="C1203" s="48" t="s">
        <v>10</v>
      </c>
      <c r="D1203" s="50">
        <v>25.57</v>
      </c>
    </row>
    <row r="1204" spans="1:4" ht="13.5">
      <c r="A1204" s="49">
        <v>96031</v>
      </c>
      <c r="B1204" s="48" t="s">
        <v>3581</v>
      </c>
      <c r="C1204" s="48" t="s">
        <v>10</v>
      </c>
      <c r="D1204" s="50">
        <v>4.7699999999999996</v>
      </c>
    </row>
    <row r="1205" spans="1:4" ht="13.5">
      <c r="A1205" s="49">
        <v>96032</v>
      </c>
      <c r="B1205" s="48" t="s">
        <v>3582</v>
      </c>
      <c r="C1205" s="48" t="s">
        <v>10</v>
      </c>
      <c r="D1205" s="50">
        <v>3.79</v>
      </c>
    </row>
    <row r="1206" spans="1:4" ht="13.5">
      <c r="A1206" s="49">
        <v>96033</v>
      </c>
      <c r="B1206" s="48" t="s">
        <v>3583</v>
      </c>
      <c r="C1206" s="48" t="s">
        <v>10</v>
      </c>
      <c r="D1206" s="50">
        <v>42.89</v>
      </c>
    </row>
    <row r="1207" spans="1:4" ht="13.5">
      <c r="A1207" s="49">
        <v>96034</v>
      </c>
      <c r="B1207" s="48" t="s">
        <v>3584</v>
      </c>
      <c r="C1207" s="48" t="s">
        <v>10</v>
      </c>
      <c r="D1207" s="50">
        <v>121.1</v>
      </c>
    </row>
    <row r="1208" spans="1:4" ht="13.5">
      <c r="A1208" s="49">
        <v>96053</v>
      </c>
      <c r="B1208" s="48" t="s">
        <v>3585</v>
      </c>
      <c r="C1208" s="48" t="s">
        <v>10</v>
      </c>
      <c r="D1208" s="50">
        <v>16.45</v>
      </c>
    </row>
    <row r="1209" spans="1:4" ht="13.5">
      <c r="A1209" s="49">
        <v>96054</v>
      </c>
      <c r="B1209" s="48" t="s">
        <v>3586</v>
      </c>
      <c r="C1209" s="48" t="s">
        <v>10</v>
      </c>
      <c r="D1209" s="50">
        <v>21.88</v>
      </c>
    </row>
    <row r="1210" spans="1:4" ht="13.5">
      <c r="A1210" s="49">
        <v>96055</v>
      </c>
      <c r="B1210" s="48" t="s">
        <v>3587</v>
      </c>
      <c r="C1210" s="48" t="s">
        <v>10</v>
      </c>
      <c r="D1210" s="50">
        <v>2.2799999999999998</v>
      </c>
    </row>
    <row r="1211" spans="1:4" ht="13.5">
      <c r="A1211" s="49">
        <v>96056</v>
      </c>
      <c r="B1211" s="48" t="s">
        <v>3588</v>
      </c>
      <c r="C1211" s="48" t="s">
        <v>10</v>
      </c>
      <c r="D1211" s="50">
        <v>17.989999999999998</v>
      </c>
    </row>
    <row r="1212" spans="1:4" ht="13.5">
      <c r="A1212" s="49">
        <v>96057</v>
      </c>
      <c r="B1212" s="48" t="s">
        <v>3589</v>
      </c>
      <c r="C1212" s="48" t="s">
        <v>10</v>
      </c>
      <c r="D1212" s="50">
        <v>57.53</v>
      </c>
    </row>
    <row r="1213" spans="1:4" ht="13.5">
      <c r="A1213" s="49">
        <v>96060</v>
      </c>
      <c r="B1213" s="48" t="s">
        <v>3590</v>
      </c>
      <c r="C1213" s="48" t="s">
        <v>10</v>
      </c>
      <c r="D1213" s="50">
        <v>2.2000000000000002</v>
      </c>
    </row>
    <row r="1214" spans="1:4" ht="13.5">
      <c r="A1214" s="49">
        <v>96061</v>
      </c>
      <c r="B1214" s="48" t="s">
        <v>3591</v>
      </c>
      <c r="C1214" s="48" t="s">
        <v>10</v>
      </c>
      <c r="D1214" s="50">
        <v>27.35</v>
      </c>
    </row>
    <row r="1215" spans="1:4" ht="13.5">
      <c r="A1215" s="49">
        <v>96062</v>
      </c>
      <c r="B1215" s="48" t="s">
        <v>3592</v>
      </c>
      <c r="C1215" s="48" t="s">
        <v>10</v>
      </c>
      <c r="D1215" s="50">
        <v>34.03</v>
      </c>
    </row>
    <row r="1216" spans="1:4" ht="13.5">
      <c r="A1216" s="49">
        <v>96241</v>
      </c>
      <c r="B1216" s="48" t="s">
        <v>3593</v>
      </c>
      <c r="C1216" s="48" t="s">
        <v>10</v>
      </c>
      <c r="D1216" s="50">
        <v>16.13</v>
      </c>
    </row>
    <row r="1217" spans="1:4" ht="13.5">
      <c r="A1217" s="49">
        <v>96242</v>
      </c>
      <c r="B1217" s="48" t="s">
        <v>3594</v>
      </c>
      <c r="C1217" s="48" t="s">
        <v>10</v>
      </c>
      <c r="D1217" s="50">
        <v>2.1800000000000002</v>
      </c>
    </row>
    <row r="1218" spans="1:4" ht="13.5">
      <c r="A1218" s="49">
        <v>96243</v>
      </c>
      <c r="B1218" s="48" t="s">
        <v>3595</v>
      </c>
      <c r="C1218" s="48" t="s">
        <v>10</v>
      </c>
      <c r="D1218" s="50">
        <v>20.16</v>
      </c>
    </row>
    <row r="1219" spans="1:4" ht="13.5">
      <c r="A1219" s="49">
        <v>96244</v>
      </c>
      <c r="B1219" s="48" t="s">
        <v>3596</v>
      </c>
      <c r="C1219" s="48" t="s">
        <v>10</v>
      </c>
      <c r="D1219" s="50">
        <v>14.87</v>
      </c>
    </row>
    <row r="1220" spans="1:4" ht="13.5">
      <c r="A1220" s="49">
        <v>96301</v>
      </c>
      <c r="B1220" s="48" t="s">
        <v>3597</v>
      </c>
      <c r="C1220" s="48" t="s">
        <v>10</v>
      </c>
      <c r="D1220" s="50">
        <v>41.95</v>
      </c>
    </row>
    <row r="1221" spans="1:4" ht="13.5">
      <c r="A1221" s="49">
        <v>96457</v>
      </c>
      <c r="B1221" s="48" t="s">
        <v>3598</v>
      </c>
      <c r="C1221" s="48" t="s">
        <v>10</v>
      </c>
      <c r="D1221" s="50">
        <v>54.52</v>
      </c>
    </row>
    <row r="1222" spans="1:4" ht="13.5">
      <c r="A1222" s="49">
        <v>96458</v>
      </c>
      <c r="B1222" s="48" t="s">
        <v>3599</v>
      </c>
      <c r="C1222" s="48" t="s">
        <v>10</v>
      </c>
      <c r="D1222" s="50">
        <v>59.35</v>
      </c>
    </row>
    <row r="1223" spans="1:4" ht="13.5">
      <c r="A1223" s="49">
        <v>96459</v>
      </c>
      <c r="B1223" s="48" t="s">
        <v>3600</v>
      </c>
      <c r="C1223" s="48" t="s">
        <v>10</v>
      </c>
      <c r="D1223" s="50">
        <v>6.58</v>
      </c>
    </row>
    <row r="1224" spans="1:4" ht="13.5">
      <c r="A1224" s="49">
        <v>96460</v>
      </c>
      <c r="B1224" s="48" t="s">
        <v>3601</v>
      </c>
      <c r="C1224" s="48" t="s">
        <v>10</v>
      </c>
      <c r="D1224" s="50">
        <v>47.43</v>
      </c>
    </row>
    <row r="1225" spans="1:4" ht="13.5">
      <c r="A1225" s="49">
        <v>98760</v>
      </c>
      <c r="B1225" s="48" t="s">
        <v>3602</v>
      </c>
      <c r="C1225" s="48" t="s">
        <v>10</v>
      </c>
      <c r="D1225" s="50">
        <v>0.09</v>
      </c>
    </row>
    <row r="1226" spans="1:4" ht="13.5">
      <c r="A1226" s="49">
        <v>98761</v>
      </c>
      <c r="B1226" s="48" t="s">
        <v>3603</v>
      </c>
      <c r="C1226" s="48" t="s">
        <v>10</v>
      </c>
      <c r="D1226" s="50">
        <v>0.01</v>
      </c>
    </row>
    <row r="1227" spans="1:4" ht="13.5">
      <c r="A1227" s="49">
        <v>98762</v>
      </c>
      <c r="B1227" s="48" t="s">
        <v>3604</v>
      </c>
      <c r="C1227" s="48" t="s">
        <v>10</v>
      </c>
      <c r="D1227" s="50">
        <v>0.11</v>
      </c>
    </row>
    <row r="1228" spans="1:4" ht="13.5">
      <c r="A1228" s="49">
        <v>98763</v>
      </c>
      <c r="B1228" s="48" t="s">
        <v>3605</v>
      </c>
      <c r="C1228" s="48" t="s">
        <v>10</v>
      </c>
      <c r="D1228" s="50">
        <v>4.54</v>
      </c>
    </row>
    <row r="1229" spans="1:4" ht="13.5">
      <c r="A1229" s="49">
        <v>99829</v>
      </c>
      <c r="B1229" s="48" t="s">
        <v>3607</v>
      </c>
      <c r="C1229" s="48" t="s">
        <v>10</v>
      </c>
      <c r="D1229" s="50">
        <v>0.17</v>
      </c>
    </row>
    <row r="1230" spans="1:4" ht="13.5">
      <c r="A1230" s="49">
        <v>99830</v>
      </c>
      <c r="B1230" s="48" t="s">
        <v>3608</v>
      </c>
      <c r="C1230" s="48" t="s">
        <v>10</v>
      </c>
      <c r="D1230" s="50">
        <v>0.01</v>
      </c>
    </row>
    <row r="1231" spans="1:4" ht="13.5">
      <c r="A1231" s="49">
        <v>99831</v>
      </c>
      <c r="B1231" s="48" t="s">
        <v>3609</v>
      </c>
      <c r="C1231" s="48" t="s">
        <v>10</v>
      </c>
      <c r="D1231" s="50">
        <v>0.21</v>
      </c>
    </row>
    <row r="1232" spans="1:4" ht="13.5">
      <c r="A1232" s="49">
        <v>99832</v>
      </c>
      <c r="B1232" s="48" t="s">
        <v>3610</v>
      </c>
      <c r="C1232" s="48" t="s">
        <v>10</v>
      </c>
      <c r="D1232" s="50">
        <v>4.37</v>
      </c>
    </row>
    <row r="1233" spans="1:4" ht="13.5">
      <c r="A1233" s="49">
        <v>100637</v>
      </c>
      <c r="B1233" s="48" t="s">
        <v>3611</v>
      </c>
      <c r="C1233" s="48" t="s">
        <v>10</v>
      </c>
      <c r="D1233" s="50">
        <v>133.02000000000001</v>
      </c>
    </row>
    <row r="1234" spans="1:4" ht="13.5">
      <c r="A1234" s="49">
        <v>100638</v>
      </c>
      <c r="B1234" s="48" t="s">
        <v>3612</v>
      </c>
      <c r="C1234" s="48" t="s">
        <v>10</v>
      </c>
      <c r="D1234" s="50">
        <v>23.94</v>
      </c>
    </row>
    <row r="1235" spans="1:4" ht="13.5">
      <c r="A1235" s="49">
        <v>100639</v>
      </c>
      <c r="B1235" s="48" t="s">
        <v>3613</v>
      </c>
      <c r="C1235" s="48" t="s">
        <v>10</v>
      </c>
      <c r="D1235" s="50">
        <v>213.83</v>
      </c>
    </row>
    <row r="1236" spans="1:4" ht="13.5">
      <c r="A1236" s="49">
        <v>100640</v>
      </c>
      <c r="B1236" s="48" t="s">
        <v>3614</v>
      </c>
      <c r="C1236" s="48" t="s">
        <v>10</v>
      </c>
      <c r="D1236" s="50">
        <v>235.62</v>
      </c>
    </row>
    <row r="1237" spans="1:4" ht="13.5">
      <c r="A1237" s="49">
        <v>100643</v>
      </c>
      <c r="B1237" s="48" t="s">
        <v>3615</v>
      </c>
      <c r="C1237" s="48" t="s">
        <v>10</v>
      </c>
      <c r="D1237" s="50">
        <v>350.24</v>
      </c>
    </row>
    <row r="1238" spans="1:4" ht="13.5">
      <c r="A1238" s="49">
        <v>100644</v>
      </c>
      <c r="B1238" s="48" t="s">
        <v>3616</v>
      </c>
      <c r="C1238" s="48" t="s">
        <v>10</v>
      </c>
      <c r="D1238" s="50">
        <v>63.04</v>
      </c>
    </row>
    <row r="1239" spans="1:4" ht="13.5">
      <c r="A1239" s="49">
        <v>100645</v>
      </c>
      <c r="B1239" s="48" t="s">
        <v>3617</v>
      </c>
      <c r="C1239" s="48" t="s">
        <v>10</v>
      </c>
      <c r="D1239" s="50">
        <v>563.02</v>
      </c>
    </row>
    <row r="1240" spans="1:4" ht="13.5">
      <c r="A1240" s="49">
        <v>100646</v>
      </c>
      <c r="B1240" s="48" t="s">
        <v>3618</v>
      </c>
      <c r="C1240" s="48" t="s">
        <v>10</v>
      </c>
      <c r="D1240" s="50">
        <v>336.6</v>
      </c>
    </row>
    <row r="1241" spans="1:4" ht="13.5">
      <c r="A1241" s="49">
        <v>102270</v>
      </c>
      <c r="B1241" s="48" t="s">
        <v>19834</v>
      </c>
      <c r="C1241" s="48" t="s">
        <v>10</v>
      </c>
      <c r="D1241" s="50">
        <v>0.45</v>
      </c>
    </row>
    <row r="1242" spans="1:4" ht="13.5">
      <c r="A1242" s="49">
        <v>102271</v>
      </c>
      <c r="B1242" s="48" t="s">
        <v>19835</v>
      </c>
      <c r="C1242" s="48" t="s">
        <v>10</v>
      </c>
      <c r="D1242" s="50">
        <v>0.05</v>
      </c>
    </row>
    <row r="1243" spans="1:4" ht="13.5">
      <c r="A1243" s="49">
        <v>102272</v>
      </c>
      <c r="B1243" s="48" t="s">
        <v>19836</v>
      </c>
      <c r="C1243" s="48" t="s">
        <v>10</v>
      </c>
      <c r="D1243" s="50">
        <v>0.56000000000000005</v>
      </c>
    </row>
    <row r="1244" spans="1:4" ht="13.5">
      <c r="A1244" s="49">
        <v>102273</v>
      </c>
      <c r="B1244" s="48" t="s">
        <v>19837</v>
      </c>
      <c r="C1244" s="48" t="s">
        <v>10</v>
      </c>
      <c r="D1244" s="50">
        <v>1.68</v>
      </c>
    </row>
    <row r="1245" spans="1:4" ht="13.5">
      <c r="A1245" s="49">
        <v>102809</v>
      </c>
      <c r="B1245" s="48" t="s">
        <v>28245</v>
      </c>
      <c r="C1245" s="48" t="s">
        <v>10</v>
      </c>
      <c r="D1245" s="50">
        <v>15.93</v>
      </c>
    </row>
    <row r="1246" spans="1:4" ht="13.5">
      <c r="A1246" s="49">
        <v>102815</v>
      </c>
      <c r="B1246" s="48" t="s">
        <v>28246</v>
      </c>
      <c r="C1246" s="48" t="s">
        <v>10</v>
      </c>
      <c r="D1246" s="50">
        <v>3.36</v>
      </c>
    </row>
    <row r="1247" spans="1:4" ht="13.5">
      <c r="A1247" s="49">
        <v>102826</v>
      </c>
      <c r="B1247" s="48" t="s">
        <v>28247</v>
      </c>
      <c r="C1247" s="48" t="s">
        <v>10</v>
      </c>
      <c r="D1247" s="50">
        <v>6.31</v>
      </c>
    </row>
    <row r="1248" spans="1:4" ht="13.5">
      <c r="A1248" s="49">
        <v>102832</v>
      </c>
      <c r="B1248" s="48" t="s">
        <v>28248</v>
      </c>
      <c r="C1248" s="48" t="s">
        <v>10</v>
      </c>
      <c r="D1248" s="50">
        <v>8.41</v>
      </c>
    </row>
    <row r="1249" spans="1:4" ht="13.5">
      <c r="A1249" s="49">
        <v>102843</v>
      </c>
      <c r="B1249" s="48" t="s">
        <v>28249</v>
      </c>
      <c r="C1249" s="48" t="s">
        <v>10</v>
      </c>
      <c r="D1249" s="50">
        <v>114.97</v>
      </c>
    </row>
    <row r="1250" spans="1:4" ht="13.5">
      <c r="A1250" s="49">
        <v>102849</v>
      </c>
      <c r="B1250" s="48" t="s">
        <v>28250</v>
      </c>
      <c r="C1250" s="48" t="s">
        <v>10</v>
      </c>
      <c r="D1250" s="50">
        <v>56.21</v>
      </c>
    </row>
    <row r="1251" spans="1:4" ht="13.5">
      <c r="A1251" s="49">
        <v>102855</v>
      </c>
      <c r="B1251" s="48" t="s">
        <v>28251</v>
      </c>
      <c r="C1251" s="48" t="s">
        <v>10</v>
      </c>
      <c r="D1251" s="50">
        <v>56.21</v>
      </c>
    </row>
    <row r="1252" spans="1:4" ht="13.5">
      <c r="A1252" s="49">
        <v>102861</v>
      </c>
      <c r="B1252" s="48" t="s">
        <v>28252</v>
      </c>
      <c r="C1252" s="48" t="s">
        <v>10</v>
      </c>
      <c r="D1252" s="50">
        <v>1.23</v>
      </c>
    </row>
    <row r="1253" spans="1:4" ht="13.5">
      <c r="A1253" s="49">
        <v>102867</v>
      </c>
      <c r="B1253" s="48" t="s">
        <v>28253</v>
      </c>
      <c r="C1253" s="48" t="s">
        <v>10</v>
      </c>
      <c r="D1253" s="50">
        <v>0.67</v>
      </c>
    </row>
    <row r="1254" spans="1:4" ht="13.5">
      <c r="A1254" s="49">
        <v>102873</v>
      </c>
      <c r="B1254" s="48" t="s">
        <v>28254</v>
      </c>
      <c r="C1254" s="48" t="s">
        <v>10</v>
      </c>
      <c r="D1254" s="50">
        <v>102.14</v>
      </c>
    </row>
    <row r="1255" spans="1:4" ht="13.5">
      <c r="A1255" s="49">
        <v>102879</v>
      </c>
      <c r="B1255" s="48" t="s">
        <v>28255</v>
      </c>
      <c r="C1255" s="48" t="s">
        <v>10</v>
      </c>
      <c r="D1255" s="50">
        <v>153.30000000000001</v>
      </c>
    </row>
    <row r="1256" spans="1:4" ht="13.5">
      <c r="A1256" s="49">
        <v>102885</v>
      </c>
      <c r="B1256" s="48" t="s">
        <v>28256</v>
      </c>
      <c r="C1256" s="48" t="s">
        <v>10</v>
      </c>
      <c r="D1256" s="50">
        <v>1.26</v>
      </c>
    </row>
    <row r="1257" spans="1:4" ht="13.5">
      <c r="A1257" s="49">
        <v>102891</v>
      </c>
      <c r="B1257" s="48" t="s">
        <v>28257</v>
      </c>
      <c r="C1257" s="48" t="s">
        <v>10</v>
      </c>
      <c r="D1257" s="50">
        <v>1.26</v>
      </c>
    </row>
    <row r="1258" spans="1:4" ht="13.5">
      <c r="A1258" s="49">
        <v>102897</v>
      </c>
      <c r="B1258" s="48" t="s">
        <v>28258</v>
      </c>
      <c r="C1258" s="48" t="s">
        <v>10</v>
      </c>
      <c r="D1258" s="50">
        <v>76.8</v>
      </c>
    </row>
    <row r="1259" spans="1:4" ht="13.5">
      <c r="A1259" s="49">
        <v>102903</v>
      </c>
      <c r="B1259" s="48" t="s">
        <v>28259</v>
      </c>
      <c r="C1259" s="48" t="s">
        <v>10</v>
      </c>
      <c r="D1259" s="50">
        <v>9.9600000000000009</v>
      </c>
    </row>
    <row r="1260" spans="1:4" ht="13.5">
      <c r="A1260" s="49">
        <v>102909</v>
      </c>
      <c r="B1260" s="48" t="s">
        <v>28260</v>
      </c>
      <c r="C1260" s="48" t="s">
        <v>10</v>
      </c>
      <c r="D1260" s="50">
        <v>96.77</v>
      </c>
    </row>
    <row r="1261" spans="1:4" ht="13.5">
      <c r="A1261" s="49">
        <v>102915</v>
      </c>
      <c r="B1261" s="48" t="s">
        <v>28261</v>
      </c>
      <c r="C1261" s="48" t="s">
        <v>10</v>
      </c>
      <c r="D1261" s="50">
        <v>0.62</v>
      </c>
    </row>
    <row r="1262" spans="1:4" ht="13.5">
      <c r="A1262" s="49">
        <v>102927</v>
      </c>
      <c r="B1262" s="48" t="s">
        <v>28262</v>
      </c>
      <c r="C1262" s="48" t="s">
        <v>10</v>
      </c>
      <c r="D1262" s="50">
        <v>0.93</v>
      </c>
    </row>
    <row r="1263" spans="1:4" ht="13.5">
      <c r="A1263" s="49">
        <v>102933</v>
      </c>
      <c r="B1263" s="48" t="s">
        <v>28263</v>
      </c>
      <c r="C1263" s="48" t="s">
        <v>10</v>
      </c>
      <c r="D1263" s="50">
        <v>0.93</v>
      </c>
    </row>
    <row r="1264" spans="1:4" ht="13.5">
      <c r="A1264" s="49">
        <v>102939</v>
      </c>
      <c r="B1264" s="48" t="s">
        <v>28264</v>
      </c>
      <c r="C1264" s="48" t="s">
        <v>10</v>
      </c>
      <c r="D1264" s="50">
        <v>9.25</v>
      </c>
    </row>
    <row r="1265" spans="1:4" ht="13.5">
      <c r="A1265" s="49">
        <v>102945</v>
      </c>
      <c r="B1265" s="48" t="s">
        <v>28265</v>
      </c>
      <c r="C1265" s="48" t="s">
        <v>10</v>
      </c>
      <c r="D1265" s="50">
        <v>0.01</v>
      </c>
    </row>
    <row r="1266" spans="1:4" ht="13.5">
      <c r="A1266" s="49">
        <v>102951</v>
      </c>
      <c r="B1266" s="48" t="s">
        <v>28266</v>
      </c>
      <c r="C1266" s="48" t="s">
        <v>10</v>
      </c>
      <c r="D1266" s="50">
        <v>0.62</v>
      </c>
    </row>
    <row r="1267" spans="1:4" ht="13.5">
      <c r="A1267" s="49">
        <v>102957</v>
      </c>
      <c r="B1267" s="48" t="s">
        <v>28267</v>
      </c>
      <c r="C1267" s="48" t="s">
        <v>10</v>
      </c>
      <c r="D1267" s="50">
        <v>43.58</v>
      </c>
    </row>
    <row r="1268" spans="1:4" ht="13.5">
      <c r="A1268" s="49">
        <v>102963</v>
      </c>
      <c r="B1268" s="48" t="s">
        <v>28268</v>
      </c>
      <c r="C1268" s="48" t="s">
        <v>10</v>
      </c>
      <c r="D1268" s="50">
        <v>72.400000000000006</v>
      </c>
    </row>
    <row r="1269" spans="1:4" ht="13.5">
      <c r="A1269" s="49">
        <v>102969</v>
      </c>
      <c r="B1269" s="48" t="s">
        <v>28269</v>
      </c>
      <c r="C1269" s="48" t="s">
        <v>10</v>
      </c>
      <c r="D1269" s="50">
        <v>1.25</v>
      </c>
    </row>
    <row r="1270" spans="1:4" ht="13.5">
      <c r="A1270" s="49">
        <v>102985</v>
      </c>
      <c r="B1270" s="48" t="s">
        <v>28270</v>
      </c>
      <c r="C1270" s="48" t="s">
        <v>10</v>
      </c>
      <c r="D1270" s="50">
        <v>2.86</v>
      </c>
    </row>
    <row r="1271" spans="1:4" ht="13.5">
      <c r="A1271" s="49">
        <v>103156</v>
      </c>
      <c r="B1271" s="48" t="s">
        <v>28271</v>
      </c>
      <c r="C1271" s="48" t="s">
        <v>10</v>
      </c>
      <c r="D1271" s="50">
        <v>2.35</v>
      </c>
    </row>
    <row r="1272" spans="1:4" ht="13.5">
      <c r="A1272" s="49">
        <v>103162</v>
      </c>
      <c r="B1272" s="48" t="s">
        <v>28272</v>
      </c>
      <c r="C1272" s="48" t="s">
        <v>10</v>
      </c>
      <c r="D1272" s="50">
        <v>2.95</v>
      </c>
    </row>
    <row r="1273" spans="1:4" ht="13.5">
      <c r="A1273" s="49">
        <v>103168</v>
      </c>
      <c r="B1273" s="48" t="s">
        <v>28273</v>
      </c>
      <c r="C1273" s="48" t="s">
        <v>10</v>
      </c>
      <c r="D1273" s="50">
        <v>3.36</v>
      </c>
    </row>
    <row r="1274" spans="1:4" ht="13.5">
      <c r="A1274" s="49">
        <v>103174</v>
      </c>
      <c r="B1274" s="48" t="s">
        <v>28274</v>
      </c>
      <c r="C1274" s="48" t="s">
        <v>10</v>
      </c>
      <c r="D1274" s="50">
        <v>8.41</v>
      </c>
    </row>
    <row r="1275" spans="1:4" ht="13.5">
      <c r="A1275" s="49">
        <v>103180</v>
      </c>
      <c r="B1275" s="48" t="s">
        <v>28275</v>
      </c>
      <c r="C1275" s="48" t="s">
        <v>10</v>
      </c>
      <c r="D1275" s="50">
        <v>19.350000000000001</v>
      </c>
    </row>
    <row r="1276" spans="1:4" ht="13.5">
      <c r="A1276" s="49">
        <v>103223</v>
      </c>
      <c r="B1276" s="48" t="s">
        <v>28276</v>
      </c>
      <c r="C1276" s="48" t="s">
        <v>10</v>
      </c>
      <c r="D1276" s="50">
        <v>29.94</v>
      </c>
    </row>
    <row r="1277" spans="1:4" ht="13.5">
      <c r="A1277" s="49">
        <v>103229</v>
      </c>
      <c r="B1277" s="48" t="s">
        <v>28277</v>
      </c>
      <c r="C1277" s="48" t="s">
        <v>10</v>
      </c>
      <c r="D1277" s="50">
        <v>74.349999999999994</v>
      </c>
    </row>
    <row r="1278" spans="1:4" ht="13.5">
      <c r="A1278" s="49">
        <v>103235</v>
      </c>
      <c r="B1278" s="48" t="s">
        <v>28278</v>
      </c>
      <c r="C1278" s="48" t="s">
        <v>10</v>
      </c>
      <c r="D1278" s="50">
        <v>131.53</v>
      </c>
    </row>
    <row r="1279" spans="1:4" ht="13.5">
      <c r="A1279" s="49">
        <v>103241</v>
      </c>
      <c r="B1279" s="48" t="s">
        <v>28279</v>
      </c>
      <c r="C1279" s="48" t="s">
        <v>10</v>
      </c>
      <c r="D1279" s="50">
        <v>8.9600000000000009</v>
      </c>
    </row>
    <row r="1280" spans="1:4" ht="13.5">
      <c r="A1280" s="49">
        <v>92259</v>
      </c>
      <c r="B1280" s="48" t="s">
        <v>3619</v>
      </c>
      <c r="C1280" s="48" t="s">
        <v>32</v>
      </c>
      <c r="D1280" s="50">
        <v>467.73</v>
      </c>
    </row>
    <row r="1281" spans="1:4" ht="13.5">
      <c r="A1281" s="49">
        <v>92260</v>
      </c>
      <c r="B1281" s="48" t="s">
        <v>3620</v>
      </c>
      <c r="C1281" s="48" t="s">
        <v>32</v>
      </c>
      <c r="D1281" s="50">
        <v>527.82000000000005</v>
      </c>
    </row>
    <row r="1282" spans="1:4" ht="13.5">
      <c r="A1282" s="49">
        <v>92261</v>
      </c>
      <c r="B1282" s="48" t="s">
        <v>3621</v>
      </c>
      <c r="C1282" s="48" t="s">
        <v>32</v>
      </c>
      <c r="D1282" s="50">
        <v>586.07000000000005</v>
      </c>
    </row>
    <row r="1283" spans="1:4" ht="13.5">
      <c r="A1283" s="49">
        <v>92262</v>
      </c>
      <c r="B1283" s="48" t="s">
        <v>3622</v>
      </c>
      <c r="C1283" s="48" t="s">
        <v>32</v>
      </c>
      <c r="D1283" s="50">
        <v>679.87</v>
      </c>
    </row>
    <row r="1284" spans="1:4" ht="13.5">
      <c r="A1284" s="49">
        <v>92539</v>
      </c>
      <c r="B1284" s="48" t="s">
        <v>3623</v>
      </c>
      <c r="C1284" s="48" t="s">
        <v>26764</v>
      </c>
      <c r="D1284" s="50">
        <v>78.81</v>
      </c>
    </row>
    <row r="1285" spans="1:4" ht="13.5">
      <c r="A1285" s="49">
        <v>92540</v>
      </c>
      <c r="B1285" s="48" t="s">
        <v>3624</v>
      </c>
      <c r="C1285" s="48" t="s">
        <v>26764</v>
      </c>
      <c r="D1285" s="50">
        <v>87.83</v>
      </c>
    </row>
    <row r="1286" spans="1:4" ht="13.5">
      <c r="A1286" s="49">
        <v>92541</v>
      </c>
      <c r="B1286" s="48" t="s">
        <v>3625</v>
      </c>
      <c r="C1286" s="48" t="s">
        <v>26764</v>
      </c>
      <c r="D1286" s="50">
        <v>84.92</v>
      </c>
    </row>
    <row r="1287" spans="1:4" ht="13.5">
      <c r="A1287" s="49">
        <v>92542</v>
      </c>
      <c r="B1287" s="48" t="s">
        <v>3626</v>
      </c>
      <c r="C1287" s="48" t="s">
        <v>26764</v>
      </c>
      <c r="D1287" s="50">
        <v>102.45</v>
      </c>
    </row>
    <row r="1288" spans="1:4" ht="13.5">
      <c r="A1288" s="49">
        <v>92543</v>
      </c>
      <c r="B1288" s="48" t="s">
        <v>3627</v>
      </c>
      <c r="C1288" s="48" t="s">
        <v>26764</v>
      </c>
      <c r="D1288" s="50">
        <v>23.66</v>
      </c>
    </row>
    <row r="1289" spans="1:4" ht="13.5">
      <c r="A1289" s="49">
        <v>92544</v>
      </c>
      <c r="B1289" s="48" t="s">
        <v>3628</v>
      </c>
      <c r="C1289" s="48" t="s">
        <v>26764</v>
      </c>
      <c r="D1289" s="50">
        <v>18.8</v>
      </c>
    </row>
    <row r="1290" spans="1:4" ht="13.5">
      <c r="A1290" s="49">
        <v>92545</v>
      </c>
      <c r="B1290" s="48" t="s">
        <v>3629</v>
      </c>
      <c r="C1290" s="48" t="s">
        <v>32</v>
      </c>
      <c r="D1290" s="51">
        <v>1030.1199999999999</v>
      </c>
    </row>
    <row r="1291" spans="1:4" ht="13.5">
      <c r="A1291" s="49">
        <v>92546</v>
      </c>
      <c r="B1291" s="48" t="s">
        <v>3630</v>
      </c>
      <c r="C1291" s="48" t="s">
        <v>32</v>
      </c>
      <c r="D1291" s="51">
        <v>1261.97</v>
      </c>
    </row>
    <row r="1292" spans="1:4" ht="13.5">
      <c r="A1292" s="49">
        <v>92547</v>
      </c>
      <c r="B1292" s="48" t="s">
        <v>3631</v>
      </c>
      <c r="C1292" s="48" t="s">
        <v>32</v>
      </c>
      <c r="D1292" s="51">
        <v>1337.9</v>
      </c>
    </row>
    <row r="1293" spans="1:4" ht="13.5">
      <c r="A1293" s="49">
        <v>92548</v>
      </c>
      <c r="B1293" s="48" t="s">
        <v>3632</v>
      </c>
      <c r="C1293" s="48" t="s">
        <v>32</v>
      </c>
      <c r="D1293" s="51">
        <v>1488.29</v>
      </c>
    </row>
    <row r="1294" spans="1:4" ht="13.5">
      <c r="A1294" s="49">
        <v>92549</v>
      </c>
      <c r="B1294" s="48" t="s">
        <v>3633</v>
      </c>
      <c r="C1294" s="48" t="s">
        <v>32</v>
      </c>
      <c r="D1294" s="51">
        <v>1850.78</v>
      </c>
    </row>
    <row r="1295" spans="1:4" ht="13.5">
      <c r="A1295" s="49">
        <v>92550</v>
      </c>
      <c r="B1295" s="48" t="s">
        <v>3634</v>
      </c>
      <c r="C1295" s="48" t="s">
        <v>32</v>
      </c>
      <c r="D1295" s="51">
        <v>2309.64</v>
      </c>
    </row>
    <row r="1296" spans="1:4" ht="13.5">
      <c r="A1296" s="49">
        <v>92551</v>
      </c>
      <c r="B1296" s="48" t="s">
        <v>3635</v>
      </c>
      <c r="C1296" s="48" t="s">
        <v>32</v>
      </c>
      <c r="D1296" s="51">
        <v>2406.81</v>
      </c>
    </row>
    <row r="1297" spans="1:4" ht="13.5">
      <c r="A1297" s="49">
        <v>92552</v>
      </c>
      <c r="B1297" s="48" t="s">
        <v>3636</v>
      </c>
      <c r="C1297" s="48" t="s">
        <v>32</v>
      </c>
      <c r="D1297" s="51">
        <v>2612.17</v>
      </c>
    </row>
    <row r="1298" spans="1:4" ht="13.5">
      <c r="A1298" s="49">
        <v>92553</v>
      </c>
      <c r="B1298" s="48" t="s">
        <v>3637</v>
      </c>
      <c r="C1298" s="48" t="s">
        <v>32</v>
      </c>
      <c r="D1298" s="51">
        <v>2987</v>
      </c>
    </row>
    <row r="1299" spans="1:4" ht="13.5">
      <c r="A1299" s="49">
        <v>92554</v>
      </c>
      <c r="B1299" s="48" t="s">
        <v>3638</v>
      </c>
      <c r="C1299" s="48" t="s">
        <v>32</v>
      </c>
      <c r="D1299" s="51">
        <v>3098.26</v>
      </c>
    </row>
    <row r="1300" spans="1:4" ht="13.5">
      <c r="A1300" s="49">
        <v>92555</v>
      </c>
      <c r="B1300" s="48" t="s">
        <v>3639</v>
      </c>
      <c r="C1300" s="48" t="s">
        <v>32</v>
      </c>
      <c r="D1300" s="51">
        <v>1015.74</v>
      </c>
    </row>
    <row r="1301" spans="1:4" ht="13.5">
      <c r="A1301" s="49">
        <v>92556</v>
      </c>
      <c r="B1301" s="48" t="s">
        <v>3640</v>
      </c>
      <c r="C1301" s="48" t="s">
        <v>32</v>
      </c>
      <c r="D1301" s="51">
        <v>1236.77</v>
      </c>
    </row>
    <row r="1302" spans="1:4" ht="13.5">
      <c r="A1302" s="49">
        <v>92557</v>
      </c>
      <c r="B1302" s="48" t="s">
        <v>3641</v>
      </c>
      <c r="C1302" s="48" t="s">
        <v>32</v>
      </c>
      <c r="D1302" s="51">
        <v>1312.7</v>
      </c>
    </row>
    <row r="1303" spans="1:4" ht="13.5">
      <c r="A1303" s="49">
        <v>92558</v>
      </c>
      <c r="B1303" s="48" t="s">
        <v>3642</v>
      </c>
      <c r="C1303" s="48" t="s">
        <v>32</v>
      </c>
      <c r="D1303" s="51">
        <v>1473.91</v>
      </c>
    </row>
    <row r="1304" spans="1:4" ht="13.5">
      <c r="A1304" s="49">
        <v>92559</v>
      </c>
      <c r="B1304" s="48" t="s">
        <v>3643</v>
      </c>
      <c r="C1304" s="48" t="s">
        <v>32</v>
      </c>
      <c r="D1304" s="51">
        <v>1824</v>
      </c>
    </row>
    <row r="1305" spans="1:4" ht="13.5">
      <c r="A1305" s="49">
        <v>92560</v>
      </c>
      <c r="B1305" s="48" t="s">
        <v>3644</v>
      </c>
      <c r="C1305" s="48" t="s">
        <v>32</v>
      </c>
      <c r="D1305" s="51">
        <v>2273.17</v>
      </c>
    </row>
    <row r="1306" spans="1:4" ht="13.5">
      <c r="A1306" s="49">
        <v>92561</v>
      </c>
      <c r="B1306" s="48" t="s">
        <v>3645</v>
      </c>
      <c r="C1306" s="48" t="s">
        <v>32</v>
      </c>
      <c r="D1306" s="51">
        <v>2371.33</v>
      </c>
    </row>
    <row r="1307" spans="1:4" ht="13.5">
      <c r="A1307" s="49">
        <v>92562</v>
      </c>
      <c r="B1307" s="48" t="s">
        <v>3646</v>
      </c>
      <c r="C1307" s="48" t="s">
        <v>32</v>
      </c>
      <c r="D1307" s="51">
        <v>2551.4899999999998</v>
      </c>
    </row>
    <row r="1308" spans="1:4" ht="13.5">
      <c r="A1308" s="49">
        <v>92563</v>
      </c>
      <c r="B1308" s="48" t="s">
        <v>3647</v>
      </c>
      <c r="C1308" s="48" t="s">
        <v>32</v>
      </c>
      <c r="D1308" s="51">
        <v>2916.04</v>
      </c>
    </row>
    <row r="1309" spans="1:4" ht="13.5">
      <c r="A1309" s="49">
        <v>92564</v>
      </c>
      <c r="B1309" s="48" t="s">
        <v>3648</v>
      </c>
      <c r="C1309" s="48" t="s">
        <v>32</v>
      </c>
      <c r="D1309" s="51">
        <v>3011.34</v>
      </c>
    </row>
    <row r="1310" spans="1:4" ht="13.5">
      <c r="A1310" s="49">
        <v>92565</v>
      </c>
      <c r="B1310" s="48" t="s">
        <v>3649</v>
      </c>
      <c r="C1310" s="48" t="s">
        <v>26764</v>
      </c>
      <c r="D1310" s="50">
        <v>39.94</v>
      </c>
    </row>
    <row r="1311" spans="1:4" ht="13.5">
      <c r="A1311" s="49">
        <v>92566</v>
      </c>
      <c r="B1311" s="48" t="s">
        <v>3650</v>
      </c>
      <c r="C1311" s="48" t="s">
        <v>26764</v>
      </c>
      <c r="D1311" s="50">
        <v>24.74</v>
      </c>
    </row>
    <row r="1312" spans="1:4" ht="13.5">
      <c r="A1312" s="49">
        <v>92567</v>
      </c>
      <c r="B1312" s="48" t="s">
        <v>3651</v>
      </c>
      <c r="C1312" s="48" t="s">
        <v>26764</v>
      </c>
      <c r="D1312" s="50">
        <v>36.19</v>
      </c>
    </row>
    <row r="1313" spans="1:4" ht="13.5">
      <c r="A1313" s="49">
        <v>100379</v>
      </c>
      <c r="B1313" s="48" t="s">
        <v>3652</v>
      </c>
      <c r="C1313" s="48" t="s">
        <v>26764</v>
      </c>
      <c r="D1313" s="50">
        <v>39.94</v>
      </c>
    </row>
    <row r="1314" spans="1:4" ht="13.5">
      <c r="A1314" s="49">
        <v>100380</v>
      </c>
      <c r="B1314" s="48" t="s">
        <v>3653</v>
      </c>
      <c r="C1314" s="48" t="s">
        <v>26764</v>
      </c>
      <c r="D1314" s="50">
        <v>52.01</v>
      </c>
    </row>
    <row r="1315" spans="1:4" ht="13.5">
      <c r="A1315" s="49">
        <v>100381</v>
      </c>
      <c r="B1315" s="48" t="s">
        <v>3654</v>
      </c>
      <c r="C1315" s="48" t="s">
        <v>26764</v>
      </c>
      <c r="D1315" s="50">
        <v>57.67</v>
      </c>
    </row>
    <row r="1316" spans="1:4" ht="13.5">
      <c r="A1316" s="49">
        <v>100383</v>
      </c>
      <c r="B1316" s="48" t="s">
        <v>3655</v>
      </c>
      <c r="C1316" s="48" t="s">
        <v>26764</v>
      </c>
      <c r="D1316" s="50">
        <v>26.84</v>
      </c>
    </row>
    <row r="1317" spans="1:4" ht="13.5">
      <c r="A1317" s="49">
        <v>100384</v>
      </c>
      <c r="B1317" s="48" t="s">
        <v>3656</v>
      </c>
      <c r="C1317" s="48" t="s">
        <v>26764</v>
      </c>
      <c r="D1317" s="50">
        <v>27.92</v>
      </c>
    </row>
    <row r="1318" spans="1:4" ht="13.5">
      <c r="A1318" s="49">
        <v>100385</v>
      </c>
      <c r="B1318" s="48" t="s">
        <v>3657</v>
      </c>
      <c r="C1318" s="48" t="s">
        <v>26764</v>
      </c>
      <c r="D1318" s="50">
        <v>36.19</v>
      </c>
    </row>
    <row r="1319" spans="1:4" ht="13.5">
      <c r="A1319" s="49">
        <v>100386</v>
      </c>
      <c r="B1319" s="48" t="s">
        <v>3658</v>
      </c>
      <c r="C1319" s="48" t="s">
        <v>26764</v>
      </c>
      <c r="D1319" s="50">
        <v>45.88</v>
      </c>
    </row>
    <row r="1320" spans="1:4" ht="13.5">
      <c r="A1320" s="49">
        <v>100387</v>
      </c>
      <c r="B1320" s="48" t="s">
        <v>3659</v>
      </c>
      <c r="C1320" s="48" t="s">
        <v>26764</v>
      </c>
      <c r="D1320" s="50">
        <v>55.36</v>
      </c>
    </row>
    <row r="1321" spans="1:4" ht="13.5">
      <c r="A1321" s="49">
        <v>100388</v>
      </c>
      <c r="B1321" s="48" t="s">
        <v>3660</v>
      </c>
      <c r="C1321" s="48" t="s">
        <v>26764</v>
      </c>
      <c r="D1321" s="50">
        <v>19.440000000000001</v>
      </c>
    </row>
    <row r="1322" spans="1:4" ht="13.5">
      <c r="A1322" s="49">
        <v>100389</v>
      </c>
      <c r="B1322" s="48" t="s">
        <v>3661</v>
      </c>
      <c r="C1322" s="48" t="s">
        <v>26764</v>
      </c>
      <c r="D1322" s="50">
        <v>17.32</v>
      </c>
    </row>
    <row r="1323" spans="1:4" ht="13.5">
      <c r="A1323" s="49">
        <v>100390</v>
      </c>
      <c r="B1323" s="48" t="s">
        <v>3662</v>
      </c>
      <c r="C1323" s="48" t="s">
        <v>26764</v>
      </c>
      <c r="D1323" s="50">
        <v>22.99</v>
      </c>
    </row>
    <row r="1324" spans="1:4" ht="13.5">
      <c r="A1324" s="49">
        <v>100391</v>
      </c>
      <c r="B1324" s="48" t="s">
        <v>3663</v>
      </c>
      <c r="C1324" s="48" t="s">
        <v>26764</v>
      </c>
      <c r="D1324" s="50">
        <v>19.63</v>
      </c>
    </row>
    <row r="1325" spans="1:4" ht="13.5">
      <c r="A1325" s="49">
        <v>100392</v>
      </c>
      <c r="B1325" s="48" t="s">
        <v>3664</v>
      </c>
      <c r="C1325" s="48" t="s">
        <v>26764</v>
      </c>
      <c r="D1325" s="50">
        <v>15.38</v>
      </c>
    </row>
    <row r="1326" spans="1:4" ht="13.5">
      <c r="A1326" s="49">
        <v>100393</v>
      </c>
      <c r="B1326" s="48" t="s">
        <v>3665</v>
      </c>
      <c r="C1326" s="48" t="s">
        <v>26764</v>
      </c>
      <c r="D1326" s="50">
        <v>19.739999999999998</v>
      </c>
    </row>
    <row r="1327" spans="1:4" ht="13.5">
      <c r="A1327" s="49">
        <v>100394</v>
      </c>
      <c r="B1327" s="48" t="s">
        <v>3666</v>
      </c>
      <c r="C1327" s="48" t="s">
        <v>26764</v>
      </c>
      <c r="D1327" s="50">
        <v>18.16</v>
      </c>
    </row>
    <row r="1328" spans="1:4" ht="13.5">
      <c r="A1328" s="49">
        <v>100395</v>
      </c>
      <c r="B1328" s="48" t="s">
        <v>3667</v>
      </c>
      <c r="C1328" s="48" t="s">
        <v>26764</v>
      </c>
      <c r="D1328" s="50">
        <v>23.3</v>
      </c>
    </row>
    <row r="1329" spans="1:4" ht="13.5">
      <c r="A1329" s="49">
        <v>94189</v>
      </c>
      <c r="B1329" s="48" t="s">
        <v>3668</v>
      </c>
      <c r="C1329" s="48" t="s">
        <v>26764</v>
      </c>
      <c r="D1329" s="50">
        <v>29</v>
      </c>
    </row>
    <row r="1330" spans="1:4" ht="13.5">
      <c r="A1330" s="49">
        <v>94192</v>
      </c>
      <c r="B1330" s="48" t="s">
        <v>3669</v>
      </c>
      <c r="C1330" s="48" t="s">
        <v>26764</v>
      </c>
      <c r="D1330" s="50">
        <v>31.21</v>
      </c>
    </row>
    <row r="1331" spans="1:4" ht="13.5">
      <c r="A1331" s="49">
        <v>94195</v>
      </c>
      <c r="B1331" s="48" t="s">
        <v>3670</v>
      </c>
      <c r="C1331" s="48" t="s">
        <v>26764</v>
      </c>
      <c r="D1331" s="50">
        <v>23.34</v>
      </c>
    </row>
    <row r="1332" spans="1:4" ht="13.5">
      <c r="A1332" s="49">
        <v>94198</v>
      </c>
      <c r="B1332" s="48" t="s">
        <v>3671</v>
      </c>
      <c r="C1332" s="48" t="s">
        <v>26764</v>
      </c>
      <c r="D1332" s="50">
        <v>26.26</v>
      </c>
    </row>
    <row r="1333" spans="1:4" ht="13.5">
      <c r="A1333" s="49">
        <v>94201</v>
      </c>
      <c r="B1333" s="48" t="s">
        <v>3672</v>
      </c>
      <c r="C1333" s="48" t="s">
        <v>26764</v>
      </c>
      <c r="D1333" s="50">
        <v>33.81</v>
      </c>
    </row>
    <row r="1334" spans="1:4" ht="13.5">
      <c r="A1334" s="49">
        <v>94204</v>
      </c>
      <c r="B1334" s="48" t="s">
        <v>3673</v>
      </c>
      <c r="C1334" s="48" t="s">
        <v>26764</v>
      </c>
      <c r="D1334" s="50">
        <v>38.799999999999997</v>
      </c>
    </row>
    <row r="1335" spans="1:4" ht="13.5">
      <c r="A1335" s="49">
        <v>94224</v>
      </c>
      <c r="B1335" s="48" t="s">
        <v>3674</v>
      </c>
      <c r="C1335" s="48" t="s">
        <v>6</v>
      </c>
      <c r="D1335" s="50">
        <v>21.77</v>
      </c>
    </row>
    <row r="1336" spans="1:4" ht="13.5">
      <c r="A1336" s="49">
        <v>94226</v>
      </c>
      <c r="B1336" s="48" t="s">
        <v>3675</v>
      </c>
      <c r="C1336" s="48" t="s">
        <v>26764</v>
      </c>
      <c r="D1336" s="50">
        <v>17.190000000000001</v>
      </c>
    </row>
    <row r="1337" spans="1:4" ht="13.5">
      <c r="A1337" s="49">
        <v>94232</v>
      </c>
      <c r="B1337" s="48" t="s">
        <v>3676</v>
      </c>
      <c r="C1337" s="48" t="s">
        <v>32</v>
      </c>
      <c r="D1337" s="50">
        <v>2.54</v>
      </c>
    </row>
    <row r="1338" spans="1:4" ht="13.5">
      <c r="A1338" s="49">
        <v>94440</v>
      </c>
      <c r="B1338" s="48" t="s">
        <v>3677</v>
      </c>
      <c r="C1338" s="48" t="s">
        <v>26764</v>
      </c>
      <c r="D1338" s="50">
        <v>23.34</v>
      </c>
    </row>
    <row r="1339" spans="1:4" ht="13.5">
      <c r="A1339" s="49">
        <v>94441</v>
      </c>
      <c r="B1339" s="48" t="s">
        <v>3678</v>
      </c>
      <c r="C1339" s="48" t="s">
        <v>26764</v>
      </c>
      <c r="D1339" s="50">
        <v>26.26</v>
      </c>
    </row>
    <row r="1340" spans="1:4" ht="13.5">
      <c r="A1340" s="49">
        <v>94442</v>
      </c>
      <c r="B1340" s="48" t="s">
        <v>3679</v>
      </c>
      <c r="C1340" s="48" t="s">
        <v>26764</v>
      </c>
      <c r="D1340" s="50">
        <v>23.34</v>
      </c>
    </row>
    <row r="1341" spans="1:4" ht="13.5">
      <c r="A1341" s="49">
        <v>94443</v>
      </c>
      <c r="B1341" s="48" t="s">
        <v>3680</v>
      </c>
      <c r="C1341" s="48" t="s">
        <v>26764</v>
      </c>
      <c r="D1341" s="50">
        <v>26.26</v>
      </c>
    </row>
    <row r="1342" spans="1:4" ht="13.5">
      <c r="A1342" s="49">
        <v>94445</v>
      </c>
      <c r="B1342" s="48" t="s">
        <v>3681</v>
      </c>
      <c r="C1342" s="48" t="s">
        <v>26764</v>
      </c>
      <c r="D1342" s="50">
        <v>33.81</v>
      </c>
    </row>
    <row r="1343" spans="1:4" ht="13.5">
      <c r="A1343" s="49">
        <v>94446</v>
      </c>
      <c r="B1343" s="48" t="s">
        <v>3682</v>
      </c>
      <c r="C1343" s="48" t="s">
        <v>26764</v>
      </c>
      <c r="D1343" s="50">
        <v>38.799999999999997</v>
      </c>
    </row>
    <row r="1344" spans="1:4" ht="13.5">
      <c r="A1344" s="49">
        <v>94447</v>
      </c>
      <c r="B1344" s="48" t="s">
        <v>3683</v>
      </c>
      <c r="C1344" s="48" t="s">
        <v>26764</v>
      </c>
      <c r="D1344" s="50">
        <v>33.81</v>
      </c>
    </row>
    <row r="1345" spans="1:4" ht="13.5">
      <c r="A1345" s="49">
        <v>94448</v>
      </c>
      <c r="B1345" s="48" t="s">
        <v>3684</v>
      </c>
      <c r="C1345" s="48" t="s">
        <v>26764</v>
      </c>
      <c r="D1345" s="50">
        <v>38.799999999999997</v>
      </c>
    </row>
    <row r="1346" spans="1:4" ht="13.5">
      <c r="A1346" s="49">
        <v>94207</v>
      </c>
      <c r="B1346" s="48" t="s">
        <v>3685</v>
      </c>
      <c r="C1346" s="48" t="s">
        <v>26764</v>
      </c>
      <c r="D1346" s="50">
        <v>49.45</v>
      </c>
    </row>
    <row r="1347" spans="1:4" ht="13.5">
      <c r="A1347" s="49">
        <v>94210</v>
      </c>
      <c r="B1347" s="48" t="s">
        <v>3686</v>
      </c>
      <c r="C1347" s="48" t="s">
        <v>26764</v>
      </c>
      <c r="D1347" s="50">
        <v>52.39</v>
      </c>
    </row>
    <row r="1348" spans="1:4" ht="13.5">
      <c r="A1348" s="49">
        <v>94218</v>
      </c>
      <c r="B1348" s="48" t="s">
        <v>19838</v>
      </c>
      <c r="C1348" s="48" t="s">
        <v>26764</v>
      </c>
      <c r="D1348" s="50">
        <v>127.21</v>
      </c>
    </row>
    <row r="1349" spans="1:4" ht="13.5">
      <c r="A1349" s="49">
        <v>94213</v>
      </c>
      <c r="B1349" s="48" t="s">
        <v>3687</v>
      </c>
      <c r="C1349" s="48" t="s">
        <v>26764</v>
      </c>
      <c r="D1349" s="50">
        <v>98.1</v>
      </c>
    </row>
    <row r="1350" spans="1:4" ht="13.5">
      <c r="A1350" s="49">
        <v>94216</v>
      </c>
      <c r="B1350" s="48" t="s">
        <v>3688</v>
      </c>
      <c r="C1350" s="48" t="s">
        <v>26764</v>
      </c>
      <c r="D1350" s="50">
        <v>288.93</v>
      </c>
    </row>
    <row r="1351" spans="1:4" ht="13.5">
      <c r="A1351" s="49">
        <v>94219</v>
      </c>
      <c r="B1351" s="48" t="s">
        <v>3689</v>
      </c>
      <c r="C1351" s="48" t="s">
        <v>6</v>
      </c>
      <c r="D1351" s="50">
        <v>24.63</v>
      </c>
    </row>
    <row r="1352" spans="1:4" ht="13.5">
      <c r="A1352" s="49">
        <v>94220</v>
      </c>
      <c r="B1352" s="48" t="s">
        <v>3690</v>
      </c>
      <c r="C1352" s="48" t="s">
        <v>6</v>
      </c>
      <c r="D1352" s="50">
        <v>41.64</v>
      </c>
    </row>
    <row r="1353" spans="1:4" ht="13.5">
      <c r="A1353" s="49">
        <v>94221</v>
      </c>
      <c r="B1353" s="48" t="s">
        <v>3691</v>
      </c>
      <c r="C1353" s="48" t="s">
        <v>6</v>
      </c>
      <c r="D1353" s="50">
        <v>18.850000000000001</v>
      </c>
    </row>
    <row r="1354" spans="1:4" ht="13.5">
      <c r="A1354" s="49">
        <v>94222</v>
      </c>
      <c r="B1354" s="48" t="s">
        <v>3692</v>
      </c>
      <c r="C1354" s="48" t="s">
        <v>6</v>
      </c>
      <c r="D1354" s="50">
        <v>35.86</v>
      </c>
    </row>
    <row r="1355" spans="1:4" ht="13.5">
      <c r="A1355" s="49">
        <v>94223</v>
      </c>
      <c r="B1355" s="48" t="s">
        <v>3693</v>
      </c>
      <c r="C1355" s="48" t="s">
        <v>6</v>
      </c>
      <c r="D1355" s="50">
        <v>88.36</v>
      </c>
    </row>
    <row r="1356" spans="1:4" ht="13.5">
      <c r="A1356" s="49">
        <v>94451</v>
      </c>
      <c r="B1356" s="48" t="s">
        <v>3694</v>
      </c>
      <c r="C1356" s="48" t="s">
        <v>6</v>
      </c>
      <c r="D1356" s="50">
        <v>98.2</v>
      </c>
    </row>
    <row r="1357" spans="1:4" ht="13.5">
      <c r="A1357" s="49">
        <v>100325</v>
      </c>
      <c r="B1357" s="48" t="s">
        <v>3695</v>
      </c>
      <c r="C1357" s="48" t="s">
        <v>6</v>
      </c>
      <c r="D1357" s="50">
        <v>95.67</v>
      </c>
    </row>
    <row r="1358" spans="1:4" ht="13.5">
      <c r="A1358" s="49">
        <v>100327</v>
      </c>
      <c r="B1358" s="48" t="s">
        <v>3696</v>
      </c>
      <c r="C1358" s="48" t="s">
        <v>6</v>
      </c>
      <c r="D1358" s="50">
        <v>69.31</v>
      </c>
    </row>
    <row r="1359" spans="1:4" ht="13.5">
      <c r="A1359" s="49">
        <v>100328</v>
      </c>
      <c r="B1359" s="48" t="s">
        <v>3697</v>
      </c>
      <c r="C1359" s="48" t="s">
        <v>26764</v>
      </c>
      <c r="D1359" s="50">
        <v>10.34</v>
      </c>
    </row>
    <row r="1360" spans="1:4" ht="13.5">
      <c r="A1360" s="49">
        <v>100329</v>
      </c>
      <c r="B1360" s="48" t="s">
        <v>3699</v>
      </c>
      <c r="C1360" s="48" t="s">
        <v>26764</v>
      </c>
      <c r="D1360" s="50">
        <v>13.29</v>
      </c>
    </row>
    <row r="1361" spans="1:4" ht="13.5">
      <c r="A1361" s="49">
        <v>100330</v>
      </c>
      <c r="B1361" s="48" t="s">
        <v>3700</v>
      </c>
      <c r="C1361" s="48" t="s">
        <v>26764</v>
      </c>
      <c r="D1361" s="50">
        <v>14.05</v>
      </c>
    </row>
    <row r="1362" spans="1:4" ht="13.5">
      <c r="A1362" s="49">
        <v>100331</v>
      </c>
      <c r="B1362" s="48" t="s">
        <v>3701</v>
      </c>
      <c r="C1362" s="48" t="s">
        <v>26764</v>
      </c>
      <c r="D1362" s="50">
        <v>19.059999999999999</v>
      </c>
    </row>
    <row r="1363" spans="1:4" ht="13.5">
      <c r="A1363" s="49">
        <v>100434</v>
      </c>
      <c r="B1363" s="48" t="s">
        <v>3702</v>
      </c>
      <c r="C1363" s="48" t="s">
        <v>6</v>
      </c>
      <c r="D1363" s="50">
        <v>69.59</v>
      </c>
    </row>
    <row r="1364" spans="1:4" ht="13.5">
      <c r="A1364" s="49">
        <v>100435</v>
      </c>
      <c r="B1364" s="48" t="s">
        <v>3703</v>
      </c>
      <c r="C1364" s="48" t="s">
        <v>6</v>
      </c>
      <c r="D1364" s="50">
        <v>63.93</v>
      </c>
    </row>
    <row r="1365" spans="1:4" ht="13.5">
      <c r="A1365" s="49">
        <v>94227</v>
      </c>
      <c r="B1365" s="48" t="s">
        <v>3704</v>
      </c>
      <c r="C1365" s="48" t="s">
        <v>6</v>
      </c>
      <c r="D1365" s="50">
        <v>79.39</v>
      </c>
    </row>
    <row r="1366" spans="1:4" ht="13.5">
      <c r="A1366" s="49">
        <v>94228</v>
      </c>
      <c r="B1366" s="48" t="s">
        <v>3705</v>
      </c>
      <c r="C1366" s="48" t="s">
        <v>6</v>
      </c>
      <c r="D1366" s="50">
        <v>106.42</v>
      </c>
    </row>
    <row r="1367" spans="1:4" ht="13.5">
      <c r="A1367" s="49">
        <v>94229</v>
      </c>
      <c r="B1367" s="48" t="s">
        <v>3706</v>
      </c>
      <c r="C1367" s="48" t="s">
        <v>6</v>
      </c>
      <c r="D1367" s="50">
        <v>206.4</v>
      </c>
    </row>
    <row r="1368" spans="1:4" ht="13.5">
      <c r="A1368" s="49">
        <v>94231</v>
      </c>
      <c r="B1368" s="48" t="s">
        <v>3707</v>
      </c>
      <c r="C1368" s="48" t="s">
        <v>6</v>
      </c>
      <c r="D1368" s="50">
        <v>62.31</v>
      </c>
    </row>
    <row r="1369" spans="1:4" ht="13.5">
      <c r="A1369" s="49">
        <v>94449</v>
      </c>
      <c r="B1369" s="48" t="s">
        <v>3708</v>
      </c>
      <c r="C1369" s="48" t="s">
        <v>26764</v>
      </c>
      <c r="D1369" s="50">
        <v>59.38</v>
      </c>
    </row>
    <row r="1370" spans="1:4" ht="13.5">
      <c r="A1370" s="49">
        <v>92255</v>
      </c>
      <c r="B1370" s="48" t="s">
        <v>3709</v>
      </c>
      <c r="C1370" s="48" t="s">
        <v>32</v>
      </c>
      <c r="D1370" s="50">
        <v>178.16</v>
      </c>
    </row>
    <row r="1371" spans="1:4" ht="13.5">
      <c r="A1371" s="49">
        <v>92256</v>
      </c>
      <c r="B1371" s="48" t="s">
        <v>3710</v>
      </c>
      <c r="C1371" s="48" t="s">
        <v>32</v>
      </c>
      <c r="D1371" s="50">
        <v>223.63</v>
      </c>
    </row>
    <row r="1372" spans="1:4" ht="13.5">
      <c r="A1372" s="49">
        <v>92257</v>
      </c>
      <c r="B1372" s="48" t="s">
        <v>3711</v>
      </c>
      <c r="C1372" s="48" t="s">
        <v>32</v>
      </c>
      <c r="D1372" s="50">
        <v>268.44</v>
      </c>
    </row>
    <row r="1373" spans="1:4" ht="13.5">
      <c r="A1373" s="49">
        <v>92258</v>
      </c>
      <c r="B1373" s="48" t="s">
        <v>3712</v>
      </c>
      <c r="C1373" s="48" t="s">
        <v>32</v>
      </c>
      <c r="D1373" s="50">
        <v>340.5</v>
      </c>
    </row>
    <row r="1374" spans="1:4" ht="13.5">
      <c r="A1374" s="49">
        <v>92568</v>
      </c>
      <c r="B1374" s="48" t="s">
        <v>3713</v>
      </c>
      <c r="C1374" s="48" t="s">
        <v>26764</v>
      </c>
      <c r="D1374" s="50">
        <v>174.16</v>
      </c>
    </row>
    <row r="1375" spans="1:4" ht="13.5">
      <c r="A1375" s="49">
        <v>92569</v>
      </c>
      <c r="B1375" s="48" t="s">
        <v>3714</v>
      </c>
      <c r="C1375" s="48" t="s">
        <v>26764</v>
      </c>
      <c r="D1375" s="50">
        <v>97.47</v>
      </c>
    </row>
    <row r="1376" spans="1:4" ht="13.5">
      <c r="A1376" s="49">
        <v>92570</v>
      </c>
      <c r="B1376" s="48" t="s">
        <v>3715</v>
      </c>
      <c r="C1376" s="48" t="s">
        <v>26764</v>
      </c>
      <c r="D1376" s="50">
        <v>61.94</v>
      </c>
    </row>
    <row r="1377" spans="1:4" ht="13.5">
      <c r="A1377" s="49">
        <v>92571</v>
      </c>
      <c r="B1377" s="48" t="s">
        <v>3716</v>
      </c>
      <c r="C1377" s="48" t="s">
        <v>26764</v>
      </c>
      <c r="D1377" s="50">
        <v>183.27</v>
      </c>
    </row>
    <row r="1378" spans="1:4" ht="13.5">
      <c r="A1378" s="49">
        <v>92572</v>
      </c>
      <c r="B1378" s="48" t="s">
        <v>3717</v>
      </c>
      <c r="C1378" s="48" t="s">
        <v>26764</v>
      </c>
      <c r="D1378" s="50">
        <v>110.54</v>
      </c>
    </row>
    <row r="1379" spans="1:4" ht="13.5">
      <c r="A1379" s="49">
        <v>92573</v>
      </c>
      <c r="B1379" s="48" t="s">
        <v>3718</v>
      </c>
      <c r="C1379" s="48" t="s">
        <v>26764</v>
      </c>
      <c r="D1379" s="50">
        <v>65.77</v>
      </c>
    </row>
    <row r="1380" spans="1:4" ht="13.5">
      <c r="A1380" s="49">
        <v>92574</v>
      </c>
      <c r="B1380" s="48" t="s">
        <v>3719</v>
      </c>
      <c r="C1380" s="48" t="s">
        <v>26764</v>
      </c>
      <c r="D1380" s="50">
        <v>176.74</v>
      </c>
    </row>
    <row r="1381" spans="1:4" ht="13.5">
      <c r="A1381" s="49">
        <v>92575</v>
      </c>
      <c r="B1381" s="48" t="s">
        <v>3721</v>
      </c>
      <c r="C1381" s="48" t="s">
        <v>26764</v>
      </c>
      <c r="D1381" s="50">
        <v>88.97</v>
      </c>
    </row>
    <row r="1382" spans="1:4" ht="13.5">
      <c r="A1382" s="49">
        <v>92576</v>
      </c>
      <c r="B1382" s="48" t="s">
        <v>3722</v>
      </c>
      <c r="C1382" s="48" t="s">
        <v>26764</v>
      </c>
      <c r="D1382" s="50">
        <v>48.78</v>
      </c>
    </row>
    <row r="1383" spans="1:4" ht="13.5">
      <c r="A1383" s="49">
        <v>92577</v>
      </c>
      <c r="B1383" s="48" t="s">
        <v>3723</v>
      </c>
      <c r="C1383" s="48" t="s">
        <v>26764</v>
      </c>
      <c r="D1383" s="50">
        <v>186.48</v>
      </c>
    </row>
    <row r="1384" spans="1:4" ht="13.5">
      <c r="A1384" s="49">
        <v>92578</v>
      </c>
      <c r="B1384" s="48" t="s">
        <v>3724</v>
      </c>
      <c r="C1384" s="48" t="s">
        <v>26764</v>
      </c>
      <c r="D1384" s="50">
        <v>94.36</v>
      </c>
    </row>
    <row r="1385" spans="1:4" ht="13.5">
      <c r="A1385" s="49">
        <v>92579</v>
      </c>
      <c r="B1385" s="48" t="s">
        <v>3725</v>
      </c>
      <c r="C1385" s="48" t="s">
        <v>26764</v>
      </c>
      <c r="D1385" s="50">
        <v>51.83</v>
      </c>
    </row>
    <row r="1386" spans="1:4" ht="13.5">
      <c r="A1386" s="49">
        <v>92580</v>
      </c>
      <c r="B1386" s="48" t="s">
        <v>3726</v>
      </c>
      <c r="C1386" s="48" t="s">
        <v>26764</v>
      </c>
      <c r="D1386" s="50">
        <v>64.41</v>
      </c>
    </row>
    <row r="1387" spans="1:4" ht="13.5">
      <c r="A1387" s="49">
        <v>92581</v>
      </c>
      <c r="B1387" s="48" t="s">
        <v>3727</v>
      </c>
      <c r="C1387" s="48" t="s">
        <v>26764</v>
      </c>
      <c r="D1387" s="50">
        <v>67.52</v>
      </c>
    </row>
    <row r="1388" spans="1:4" ht="13.5">
      <c r="A1388" s="49">
        <v>92582</v>
      </c>
      <c r="B1388" s="48" t="s">
        <v>3728</v>
      </c>
      <c r="C1388" s="48" t="s">
        <v>32</v>
      </c>
      <c r="D1388" s="50">
        <v>892.92</v>
      </c>
    </row>
    <row r="1389" spans="1:4" ht="13.5">
      <c r="A1389" s="49">
        <v>92584</v>
      </c>
      <c r="B1389" s="48" t="s">
        <v>3729</v>
      </c>
      <c r="C1389" s="48" t="s">
        <v>32</v>
      </c>
      <c r="D1389" s="51">
        <v>1063.96</v>
      </c>
    </row>
    <row r="1390" spans="1:4" ht="13.5">
      <c r="A1390" s="49">
        <v>92586</v>
      </c>
      <c r="B1390" s="48" t="s">
        <v>3730</v>
      </c>
      <c r="C1390" s="48" t="s">
        <v>32</v>
      </c>
      <c r="D1390" s="51">
        <v>1234.99</v>
      </c>
    </row>
    <row r="1391" spans="1:4" ht="13.5">
      <c r="A1391" s="49">
        <v>92588</v>
      </c>
      <c r="B1391" s="48" t="s">
        <v>3731</v>
      </c>
      <c r="C1391" s="48" t="s">
        <v>32</v>
      </c>
      <c r="D1391" s="51">
        <v>1564.08</v>
      </c>
    </row>
    <row r="1392" spans="1:4" ht="13.5">
      <c r="A1392" s="49">
        <v>92590</v>
      </c>
      <c r="B1392" s="48" t="s">
        <v>3732</v>
      </c>
      <c r="C1392" s="48" t="s">
        <v>32</v>
      </c>
      <c r="D1392" s="51">
        <v>1735.12</v>
      </c>
    </row>
    <row r="1393" spans="1:4" ht="13.5">
      <c r="A1393" s="49">
        <v>92592</v>
      </c>
      <c r="B1393" s="48" t="s">
        <v>3733</v>
      </c>
      <c r="C1393" s="48" t="s">
        <v>32</v>
      </c>
      <c r="D1393" s="51">
        <v>1950.96</v>
      </c>
    </row>
    <row r="1394" spans="1:4" ht="13.5">
      <c r="A1394" s="49">
        <v>92593</v>
      </c>
      <c r="B1394" s="48" t="s">
        <v>3734</v>
      </c>
      <c r="C1394" s="48" t="s">
        <v>8</v>
      </c>
      <c r="D1394" s="50">
        <v>14.81</v>
      </c>
    </row>
    <row r="1395" spans="1:4" ht="13.5">
      <c r="A1395" s="49">
        <v>92594</v>
      </c>
      <c r="B1395" s="48" t="s">
        <v>3735</v>
      </c>
      <c r="C1395" s="48" t="s">
        <v>32</v>
      </c>
      <c r="D1395" s="51">
        <v>2277.87</v>
      </c>
    </row>
    <row r="1396" spans="1:4" ht="13.5">
      <c r="A1396" s="49">
        <v>92596</v>
      </c>
      <c r="B1396" s="48" t="s">
        <v>3736</v>
      </c>
      <c r="C1396" s="48" t="s">
        <v>32</v>
      </c>
      <c r="D1396" s="51">
        <v>2528.3000000000002</v>
      </c>
    </row>
    <row r="1397" spans="1:4" ht="13.5">
      <c r="A1397" s="49">
        <v>92598</v>
      </c>
      <c r="B1397" s="48" t="s">
        <v>3737</v>
      </c>
      <c r="C1397" s="48" t="s">
        <v>32</v>
      </c>
      <c r="D1397" s="51">
        <v>2699.33</v>
      </c>
    </row>
    <row r="1398" spans="1:4" ht="13.5">
      <c r="A1398" s="49">
        <v>92600</v>
      </c>
      <c r="B1398" s="48" t="s">
        <v>3738</v>
      </c>
      <c r="C1398" s="48" t="s">
        <v>32</v>
      </c>
      <c r="D1398" s="51">
        <v>2913.67</v>
      </c>
    </row>
    <row r="1399" spans="1:4" ht="13.5">
      <c r="A1399" s="49">
        <v>92602</v>
      </c>
      <c r="B1399" s="48" t="s">
        <v>3739</v>
      </c>
      <c r="C1399" s="48" t="s">
        <v>32</v>
      </c>
      <c r="D1399" s="50">
        <v>892.92</v>
      </c>
    </row>
    <row r="1400" spans="1:4" ht="13.5">
      <c r="A1400" s="49">
        <v>92604</v>
      </c>
      <c r="B1400" s="48" t="s">
        <v>3740</v>
      </c>
      <c r="C1400" s="48" t="s">
        <v>32</v>
      </c>
      <c r="D1400" s="51">
        <v>1020.66</v>
      </c>
    </row>
    <row r="1401" spans="1:4" ht="13.5">
      <c r="A1401" s="49">
        <v>92606</v>
      </c>
      <c r="B1401" s="48" t="s">
        <v>3741</v>
      </c>
      <c r="C1401" s="48" t="s">
        <v>32</v>
      </c>
      <c r="D1401" s="51">
        <v>1191.7</v>
      </c>
    </row>
    <row r="1402" spans="1:4" ht="13.5">
      <c r="A1402" s="49">
        <v>92608</v>
      </c>
      <c r="B1402" s="48" t="s">
        <v>3742</v>
      </c>
      <c r="C1402" s="48" t="s">
        <v>32</v>
      </c>
      <c r="D1402" s="51">
        <v>1477.48</v>
      </c>
    </row>
    <row r="1403" spans="1:4" ht="13.5">
      <c r="A1403" s="49">
        <v>92610</v>
      </c>
      <c r="B1403" s="48" t="s">
        <v>3743</v>
      </c>
      <c r="C1403" s="48" t="s">
        <v>32</v>
      </c>
      <c r="D1403" s="51">
        <v>1648.52</v>
      </c>
    </row>
    <row r="1404" spans="1:4" ht="13.5">
      <c r="A1404" s="49">
        <v>92612</v>
      </c>
      <c r="B1404" s="48" t="s">
        <v>3744</v>
      </c>
      <c r="C1404" s="48" t="s">
        <v>32</v>
      </c>
      <c r="D1404" s="51">
        <v>1864.37</v>
      </c>
    </row>
    <row r="1405" spans="1:4" ht="13.5">
      <c r="A1405" s="49">
        <v>92614</v>
      </c>
      <c r="B1405" s="48" t="s">
        <v>3745</v>
      </c>
      <c r="C1405" s="48" t="s">
        <v>32</v>
      </c>
      <c r="D1405" s="51">
        <v>2104.6799999999998</v>
      </c>
    </row>
    <row r="1406" spans="1:4" ht="13.5">
      <c r="A1406" s="49">
        <v>92616</v>
      </c>
      <c r="B1406" s="48" t="s">
        <v>3746</v>
      </c>
      <c r="C1406" s="48" t="s">
        <v>32</v>
      </c>
      <c r="D1406" s="51">
        <v>2398.4</v>
      </c>
    </row>
    <row r="1407" spans="1:4" ht="13.5">
      <c r="A1407" s="49">
        <v>92618</v>
      </c>
      <c r="B1407" s="48" t="s">
        <v>3747</v>
      </c>
      <c r="C1407" s="48" t="s">
        <v>32</v>
      </c>
      <c r="D1407" s="51">
        <v>2569.44</v>
      </c>
    </row>
    <row r="1408" spans="1:4" ht="13.5">
      <c r="A1408" s="49">
        <v>92620</v>
      </c>
      <c r="B1408" s="48" t="s">
        <v>3748</v>
      </c>
      <c r="C1408" s="48" t="s">
        <v>32</v>
      </c>
      <c r="D1408" s="51">
        <v>2740.48</v>
      </c>
    </row>
    <row r="1409" spans="1:4" ht="13.5">
      <c r="A1409" s="49">
        <v>100357</v>
      </c>
      <c r="B1409" s="48" t="s">
        <v>3749</v>
      </c>
      <c r="C1409" s="48" t="s">
        <v>32</v>
      </c>
      <c r="D1409" s="51">
        <v>1069.26</v>
      </c>
    </row>
    <row r="1410" spans="1:4" ht="13.5">
      <c r="A1410" s="49">
        <v>100358</v>
      </c>
      <c r="B1410" s="48" t="s">
        <v>3750</v>
      </c>
      <c r="C1410" s="48" t="s">
        <v>32</v>
      </c>
      <c r="D1410" s="51">
        <v>1436.52</v>
      </c>
    </row>
    <row r="1411" spans="1:4" ht="13.5">
      <c r="A1411" s="49">
        <v>100359</v>
      </c>
      <c r="B1411" s="48" t="s">
        <v>3751</v>
      </c>
      <c r="C1411" s="48" t="s">
        <v>32</v>
      </c>
      <c r="D1411" s="51">
        <v>1513.63</v>
      </c>
    </row>
    <row r="1412" spans="1:4" ht="13.5">
      <c r="A1412" s="49">
        <v>100360</v>
      </c>
      <c r="B1412" s="48" t="s">
        <v>3752</v>
      </c>
      <c r="C1412" s="48" t="s">
        <v>32</v>
      </c>
      <c r="D1412" s="51">
        <v>1678.61</v>
      </c>
    </row>
    <row r="1413" spans="1:4" ht="13.5">
      <c r="A1413" s="49">
        <v>100361</v>
      </c>
      <c r="B1413" s="48" t="s">
        <v>3753</v>
      </c>
      <c r="C1413" s="48" t="s">
        <v>32</v>
      </c>
      <c r="D1413" s="51">
        <v>2077.75</v>
      </c>
    </row>
    <row r="1414" spans="1:4" ht="13.5">
      <c r="A1414" s="49">
        <v>100362</v>
      </c>
      <c r="B1414" s="48" t="s">
        <v>3754</v>
      </c>
      <c r="C1414" s="48" t="s">
        <v>32</v>
      </c>
      <c r="D1414" s="51">
        <v>2832.28</v>
      </c>
    </row>
    <row r="1415" spans="1:4" ht="13.5">
      <c r="A1415" s="49">
        <v>100363</v>
      </c>
      <c r="B1415" s="48" t="s">
        <v>3755</v>
      </c>
      <c r="C1415" s="48" t="s">
        <v>32</v>
      </c>
      <c r="D1415" s="51">
        <v>2928.65</v>
      </c>
    </row>
    <row r="1416" spans="1:4" ht="13.5">
      <c r="A1416" s="49">
        <v>100364</v>
      </c>
      <c r="B1416" s="48" t="s">
        <v>3756</v>
      </c>
      <c r="C1416" s="48" t="s">
        <v>32</v>
      </c>
      <c r="D1416" s="51">
        <v>3175.05</v>
      </c>
    </row>
    <row r="1417" spans="1:4" ht="13.5">
      <c r="A1417" s="49">
        <v>100365</v>
      </c>
      <c r="B1417" s="48" t="s">
        <v>3757</v>
      </c>
      <c r="C1417" s="48" t="s">
        <v>32</v>
      </c>
      <c r="D1417" s="51">
        <v>3632.87</v>
      </c>
    </row>
    <row r="1418" spans="1:4" ht="13.5">
      <c r="A1418" s="49">
        <v>100366</v>
      </c>
      <c r="B1418" s="48" t="s">
        <v>3758</v>
      </c>
      <c r="C1418" s="48" t="s">
        <v>32</v>
      </c>
      <c r="D1418" s="51">
        <v>3884.5</v>
      </c>
    </row>
    <row r="1419" spans="1:4" ht="13.5">
      <c r="A1419" s="49">
        <v>100367</v>
      </c>
      <c r="B1419" s="48" t="s">
        <v>3759</v>
      </c>
      <c r="C1419" s="48" t="s">
        <v>32</v>
      </c>
      <c r="D1419" s="51">
        <v>1040.5</v>
      </c>
    </row>
    <row r="1420" spans="1:4" ht="13.5">
      <c r="A1420" s="49">
        <v>100368</v>
      </c>
      <c r="B1420" s="48" t="s">
        <v>3760</v>
      </c>
      <c r="C1420" s="48" t="s">
        <v>32</v>
      </c>
      <c r="D1420" s="51">
        <v>1401.04</v>
      </c>
    </row>
    <row r="1421" spans="1:4" ht="13.5">
      <c r="A1421" s="49">
        <v>100369</v>
      </c>
      <c r="B1421" s="48" t="s">
        <v>3761</v>
      </c>
      <c r="C1421" s="48" t="s">
        <v>32</v>
      </c>
      <c r="D1421" s="51">
        <v>1478.15</v>
      </c>
    </row>
    <row r="1422" spans="1:4" ht="13.5">
      <c r="A1422" s="49">
        <v>100370</v>
      </c>
      <c r="B1422" s="48" t="s">
        <v>3762</v>
      </c>
      <c r="C1422" s="48" t="s">
        <v>32</v>
      </c>
      <c r="D1422" s="51">
        <v>1753.03</v>
      </c>
    </row>
    <row r="1423" spans="1:4" ht="13.5">
      <c r="A1423" s="49">
        <v>100371</v>
      </c>
      <c r="B1423" s="48" t="s">
        <v>3763</v>
      </c>
      <c r="C1423" s="48" t="s">
        <v>32</v>
      </c>
      <c r="D1423" s="51">
        <v>1983.12</v>
      </c>
    </row>
    <row r="1424" spans="1:4" ht="13.5">
      <c r="A1424" s="49">
        <v>100372</v>
      </c>
      <c r="B1424" s="48" t="s">
        <v>3764</v>
      </c>
      <c r="C1424" s="48" t="s">
        <v>32</v>
      </c>
      <c r="D1424" s="51">
        <v>2670.16</v>
      </c>
    </row>
    <row r="1425" spans="1:4" ht="13.5">
      <c r="A1425" s="49">
        <v>100373</v>
      </c>
      <c r="B1425" s="48" t="s">
        <v>3765</v>
      </c>
      <c r="C1425" s="48" t="s">
        <v>32</v>
      </c>
      <c r="D1425" s="51">
        <v>2763.38</v>
      </c>
    </row>
    <row r="1426" spans="1:4" ht="13.5">
      <c r="A1426" s="49">
        <v>100374</v>
      </c>
      <c r="B1426" s="48" t="s">
        <v>3766</v>
      </c>
      <c r="C1426" s="48" t="s">
        <v>32</v>
      </c>
      <c r="D1426" s="51">
        <v>2955.55</v>
      </c>
    </row>
    <row r="1427" spans="1:4" ht="13.5">
      <c r="A1427" s="49">
        <v>100375</v>
      </c>
      <c r="B1427" s="48" t="s">
        <v>3767</v>
      </c>
      <c r="C1427" s="48" t="s">
        <v>32</v>
      </c>
      <c r="D1427" s="51">
        <v>3307.9</v>
      </c>
    </row>
    <row r="1428" spans="1:4" ht="13.5">
      <c r="A1428" s="49">
        <v>100376</v>
      </c>
      <c r="B1428" s="48" t="s">
        <v>3768</v>
      </c>
      <c r="C1428" s="48" t="s">
        <v>32</v>
      </c>
      <c r="D1428" s="51">
        <v>3240.81</v>
      </c>
    </row>
    <row r="1429" spans="1:4" ht="13.5">
      <c r="A1429" s="49">
        <v>100377</v>
      </c>
      <c r="B1429" s="48" t="s">
        <v>3769</v>
      </c>
      <c r="C1429" s="48" t="s">
        <v>8</v>
      </c>
      <c r="D1429" s="50">
        <v>15.23</v>
      </c>
    </row>
    <row r="1430" spans="1:4" ht="13.5">
      <c r="A1430" s="49">
        <v>100378</v>
      </c>
      <c r="B1430" s="48" t="s">
        <v>3770</v>
      </c>
      <c r="C1430" s="48" t="s">
        <v>8</v>
      </c>
      <c r="D1430" s="50">
        <v>14.48</v>
      </c>
    </row>
    <row r="1431" spans="1:4" ht="13.5">
      <c r="A1431" s="49">
        <v>100382</v>
      </c>
      <c r="B1431" s="48" t="s">
        <v>3771</v>
      </c>
      <c r="C1431" s="48" t="s">
        <v>26764</v>
      </c>
      <c r="D1431" s="50">
        <v>24.74</v>
      </c>
    </row>
    <row r="1432" spans="1:4" ht="13.5">
      <c r="A1432" s="49">
        <v>94444</v>
      </c>
      <c r="B1432" s="48" t="s">
        <v>3772</v>
      </c>
      <c r="C1432" s="48" t="s">
        <v>26764</v>
      </c>
      <c r="D1432" s="50">
        <v>641.89</v>
      </c>
    </row>
    <row r="1433" spans="1:4" ht="13.5">
      <c r="A1433" s="49">
        <v>102661</v>
      </c>
      <c r="B1433" s="48" t="s">
        <v>19839</v>
      </c>
      <c r="C1433" s="48" t="s">
        <v>6</v>
      </c>
      <c r="D1433" s="50">
        <v>30.07</v>
      </c>
    </row>
    <row r="1434" spans="1:4" ht="13.5">
      <c r="A1434" s="49">
        <v>102663</v>
      </c>
      <c r="B1434" s="48" t="s">
        <v>19840</v>
      </c>
      <c r="C1434" s="48" t="s">
        <v>6</v>
      </c>
      <c r="D1434" s="50">
        <v>46.89</v>
      </c>
    </row>
    <row r="1435" spans="1:4" ht="13.5">
      <c r="A1435" s="49">
        <v>102664</v>
      </c>
      <c r="B1435" s="48" t="s">
        <v>19841</v>
      </c>
      <c r="C1435" s="48" t="s">
        <v>6</v>
      </c>
      <c r="D1435" s="50">
        <v>47.99</v>
      </c>
    </row>
    <row r="1436" spans="1:4" ht="13.5">
      <c r="A1436" s="49">
        <v>102665</v>
      </c>
      <c r="B1436" s="48" t="s">
        <v>19842</v>
      </c>
      <c r="C1436" s="48" t="s">
        <v>6</v>
      </c>
      <c r="D1436" s="50">
        <v>22.23</v>
      </c>
    </row>
    <row r="1437" spans="1:4" ht="13.5">
      <c r="A1437" s="49">
        <v>102666</v>
      </c>
      <c r="B1437" s="48" t="s">
        <v>19843</v>
      </c>
      <c r="C1437" s="48" t="s">
        <v>6</v>
      </c>
      <c r="D1437" s="50">
        <v>59.1</v>
      </c>
    </row>
    <row r="1438" spans="1:4" ht="13.5">
      <c r="A1438" s="49">
        <v>102669</v>
      </c>
      <c r="B1438" s="48" t="s">
        <v>19844</v>
      </c>
      <c r="C1438" s="48" t="s">
        <v>6</v>
      </c>
      <c r="D1438" s="50">
        <v>75.400000000000006</v>
      </c>
    </row>
    <row r="1439" spans="1:4" ht="13.5">
      <c r="A1439" s="49">
        <v>102670</v>
      </c>
      <c r="B1439" s="48" t="s">
        <v>19845</v>
      </c>
      <c r="C1439" s="48" t="s">
        <v>6</v>
      </c>
      <c r="D1439" s="50">
        <v>85.48</v>
      </c>
    </row>
    <row r="1440" spans="1:4" ht="13.5">
      <c r="A1440" s="49">
        <v>102673</v>
      </c>
      <c r="B1440" s="48" t="s">
        <v>19846</v>
      </c>
      <c r="C1440" s="48" t="s">
        <v>6</v>
      </c>
      <c r="D1440" s="50">
        <v>126.46</v>
      </c>
    </row>
    <row r="1441" spans="1:4" ht="13.5">
      <c r="A1441" s="49">
        <v>102674</v>
      </c>
      <c r="B1441" s="48" t="s">
        <v>19847</v>
      </c>
      <c r="C1441" s="48" t="s">
        <v>6</v>
      </c>
      <c r="D1441" s="50">
        <v>90.94</v>
      </c>
    </row>
    <row r="1442" spans="1:4" ht="13.5">
      <c r="A1442" s="49">
        <v>102677</v>
      </c>
      <c r="B1442" s="48" t="s">
        <v>19848</v>
      </c>
      <c r="C1442" s="48" t="s">
        <v>6</v>
      </c>
      <c r="D1442" s="50">
        <v>113.32</v>
      </c>
    </row>
    <row r="1443" spans="1:4" ht="13.5">
      <c r="A1443" s="49">
        <v>102678</v>
      </c>
      <c r="B1443" s="48" t="s">
        <v>19849</v>
      </c>
      <c r="C1443" s="48" t="s">
        <v>6</v>
      </c>
      <c r="D1443" s="50">
        <v>136.80000000000001</v>
      </c>
    </row>
    <row r="1444" spans="1:4" ht="13.5">
      <c r="A1444" s="49">
        <v>102679</v>
      </c>
      <c r="B1444" s="48" t="s">
        <v>19850</v>
      </c>
      <c r="C1444" s="48" t="s">
        <v>6</v>
      </c>
      <c r="D1444" s="50">
        <v>146.33000000000001</v>
      </c>
    </row>
    <row r="1445" spans="1:4" ht="13.5">
      <c r="A1445" s="49">
        <v>102680</v>
      </c>
      <c r="B1445" s="48" t="s">
        <v>19851</v>
      </c>
      <c r="C1445" s="48" t="s">
        <v>6</v>
      </c>
      <c r="D1445" s="50">
        <v>149.03</v>
      </c>
    </row>
    <row r="1446" spans="1:4" ht="13.5">
      <c r="A1446" s="49">
        <v>102683</v>
      </c>
      <c r="B1446" s="48" t="s">
        <v>19852</v>
      </c>
      <c r="C1446" s="48" t="s">
        <v>6</v>
      </c>
      <c r="D1446" s="50">
        <v>174.34</v>
      </c>
    </row>
    <row r="1447" spans="1:4" ht="13.5">
      <c r="A1447" s="49">
        <v>102684</v>
      </c>
      <c r="B1447" s="48" t="s">
        <v>19853</v>
      </c>
      <c r="C1447" s="48" t="s">
        <v>6</v>
      </c>
      <c r="D1447" s="50">
        <v>158.57</v>
      </c>
    </row>
    <row r="1448" spans="1:4" ht="13.5">
      <c r="A1448" s="49">
        <v>102687</v>
      </c>
      <c r="B1448" s="48" t="s">
        <v>19854</v>
      </c>
      <c r="C1448" s="48" t="s">
        <v>6</v>
      </c>
      <c r="D1448" s="50">
        <v>180.43</v>
      </c>
    </row>
    <row r="1449" spans="1:4" ht="13.5">
      <c r="A1449" s="49">
        <v>102688</v>
      </c>
      <c r="B1449" s="48" t="s">
        <v>19855</v>
      </c>
      <c r="C1449" s="48" t="s">
        <v>6</v>
      </c>
      <c r="D1449" s="50">
        <v>36.590000000000003</v>
      </c>
    </row>
    <row r="1450" spans="1:4" ht="13.5">
      <c r="A1450" s="49">
        <v>102690</v>
      </c>
      <c r="B1450" s="48" t="s">
        <v>19856</v>
      </c>
      <c r="C1450" s="48" t="s">
        <v>6</v>
      </c>
      <c r="D1450" s="50">
        <v>65.599999999999994</v>
      </c>
    </row>
    <row r="1451" spans="1:4" ht="13.5">
      <c r="A1451" s="49">
        <v>102694</v>
      </c>
      <c r="B1451" s="48" t="s">
        <v>19857</v>
      </c>
      <c r="C1451" s="48" t="s">
        <v>6</v>
      </c>
      <c r="D1451" s="50">
        <v>65.09</v>
      </c>
    </row>
    <row r="1452" spans="1:4" ht="13.5">
      <c r="A1452" s="49">
        <v>102697</v>
      </c>
      <c r="B1452" s="48" t="s">
        <v>19858</v>
      </c>
      <c r="C1452" s="48" t="s">
        <v>6</v>
      </c>
      <c r="D1452" s="50">
        <v>108.77</v>
      </c>
    </row>
    <row r="1453" spans="1:4" ht="13.5">
      <c r="A1453" s="49">
        <v>102704</v>
      </c>
      <c r="B1453" s="48" t="s">
        <v>19859</v>
      </c>
      <c r="C1453" s="48" t="s">
        <v>6</v>
      </c>
      <c r="D1453" s="50">
        <v>11.82</v>
      </c>
    </row>
    <row r="1454" spans="1:4" ht="13.5">
      <c r="A1454" s="49">
        <v>102706</v>
      </c>
      <c r="B1454" s="48" t="s">
        <v>19860</v>
      </c>
      <c r="C1454" s="48" t="s">
        <v>6</v>
      </c>
      <c r="D1454" s="50">
        <v>13.66</v>
      </c>
    </row>
    <row r="1455" spans="1:4" ht="13.5">
      <c r="A1455" s="49">
        <v>102707</v>
      </c>
      <c r="B1455" s="48" t="s">
        <v>19861</v>
      </c>
      <c r="C1455" s="48" t="s">
        <v>6</v>
      </c>
      <c r="D1455" s="50">
        <v>31.56</v>
      </c>
    </row>
    <row r="1456" spans="1:4" ht="13.5">
      <c r="A1456" s="49">
        <v>102708</v>
      </c>
      <c r="B1456" s="48" t="s">
        <v>19862</v>
      </c>
      <c r="C1456" s="48" t="s">
        <v>32</v>
      </c>
      <c r="D1456" s="50">
        <v>24.95</v>
      </c>
    </row>
    <row r="1457" spans="1:4" ht="13.5">
      <c r="A1457" s="49">
        <v>102710</v>
      </c>
      <c r="B1457" s="48" t="s">
        <v>19863</v>
      </c>
      <c r="C1457" s="48" t="s">
        <v>32</v>
      </c>
      <c r="D1457" s="50">
        <v>63.69</v>
      </c>
    </row>
    <row r="1458" spans="1:4" ht="13.5">
      <c r="A1458" s="49">
        <v>102711</v>
      </c>
      <c r="B1458" s="48" t="s">
        <v>19864</v>
      </c>
      <c r="C1458" s="48" t="s">
        <v>32</v>
      </c>
      <c r="D1458" s="50">
        <v>91.04</v>
      </c>
    </row>
    <row r="1459" spans="1:4" ht="13.5">
      <c r="A1459" s="49">
        <v>102712</v>
      </c>
      <c r="B1459" s="48" t="s">
        <v>19865</v>
      </c>
      <c r="C1459" s="48" t="s">
        <v>26764</v>
      </c>
      <c r="D1459" s="50">
        <v>9.9600000000000009</v>
      </c>
    </row>
    <row r="1460" spans="1:4" ht="13.5">
      <c r="A1460" s="49">
        <v>102713</v>
      </c>
      <c r="B1460" s="48" t="s">
        <v>19866</v>
      </c>
      <c r="C1460" s="48" t="s">
        <v>26764</v>
      </c>
      <c r="D1460" s="50">
        <v>13.73</v>
      </c>
    </row>
    <row r="1461" spans="1:4" ht="13.5">
      <c r="A1461" s="49">
        <v>102715</v>
      </c>
      <c r="B1461" s="48" t="s">
        <v>19867</v>
      </c>
      <c r="C1461" s="48" t="s">
        <v>26764</v>
      </c>
      <c r="D1461" s="50">
        <v>32.6</v>
      </c>
    </row>
    <row r="1462" spans="1:4" ht="13.5">
      <c r="A1462" s="49">
        <v>102716</v>
      </c>
      <c r="B1462" s="48" t="s">
        <v>19868</v>
      </c>
      <c r="C1462" s="48" t="s">
        <v>28764</v>
      </c>
      <c r="D1462" s="50">
        <v>103.67</v>
      </c>
    </row>
    <row r="1463" spans="1:4" ht="13.5">
      <c r="A1463" s="49">
        <v>102717</v>
      </c>
      <c r="B1463" s="48" t="s">
        <v>19869</v>
      </c>
      <c r="C1463" s="48" t="s">
        <v>28764</v>
      </c>
      <c r="D1463" s="50">
        <v>125.12</v>
      </c>
    </row>
    <row r="1464" spans="1:4" ht="13.5">
      <c r="A1464" s="49">
        <v>102718</v>
      </c>
      <c r="B1464" s="48" t="s">
        <v>19870</v>
      </c>
      <c r="C1464" s="48" t="s">
        <v>28764</v>
      </c>
      <c r="D1464" s="50">
        <v>110.93</v>
      </c>
    </row>
    <row r="1465" spans="1:4" ht="13.5">
      <c r="A1465" s="49">
        <v>102719</v>
      </c>
      <c r="B1465" s="48" t="s">
        <v>19871</v>
      </c>
      <c r="C1465" s="48" t="s">
        <v>28764</v>
      </c>
      <c r="D1465" s="50">
        <v>132.38</v>
      </c>
    </row>
    <row r="1466" spans="1:4" ht="13.5">
      <c r="A1466" s="49">
        <v>102722</v>
      </c>
      <c r="B1466" s="48" t="s">
        <v>19872</v>
      </c>
      <c r="C1466" s="48" t="s">
        <v>6</v>
      </c>
      <c r="D1466" s="50">
        <v>54.12</v>
      </c>
    </row>
    <row r="1467" spans="1:4" ht="13.5">
      <c r="A1467" s="49">
        <v>102723</v>
      </c>
      <c r="B1467" s="48" t="s">
        <v>19873</v>
      </c>
      <c r="C1467" s="48" t="s">
        <v>6</v>
      </c>
      <c r="D1467" s="50">
        <v>54.66</v>
      </c>
    </row>
    <row r="1468" spans="1:4" ht="13.5">
      <c r="A1468" s="49">
        <v>102724</v>
      </c>
      <c r="B1468" s="48" t="s">
        <v>19874</v>
      </c>
      <c r="C1468" s="48" t="s">
        <v>32</v>
      </c>
      <c r="D1468" s="50">
        <v>32.39</v>
      </c>
    </row>
    <row r="1469" spans="1:4" ht="13.5">
      <c r="A1469" s="49">
        <v>102725</v>
      </c>
      <c r="B1469" s="48" t="s">
        <v>19875</v>
      </c>
      <c r="C1469" s="48" t="s">
        <v>32</v>
      </c>
      <c r="D1469" s="50">
        <v>30.8</v>
      </c>
    </row>
    <row r="1470" spans="1:4" ht="13.5">
      <c r="A1470" s="49">
        <v>102726</v>
      </c>
      <c r="B1470" s="48" t="s">
        <v>19876</v>
      </c>
      <c r="C1470" s="48" t="s">
        <v>32</v>
      </c>
      <c r="D1470" s="50">
        <v>27.4</v>
      </c>
    </row>
    <row r="1471" spans="1:4" ht="13.5">
      <c r="A1471" s="49">
        <v>92743</v>
      </c>
      <c r="B1471" s="48" t="s">
        <v>3773</v>
      </c>
      <c r="C1471" s="48" t="s">
        <v>28764</v>
      </c>
      <c r="D1471" s="50">
        <v>603.26</v>
      </c>
    </row>
    <row r="1472" spans="1:4" ht="13.5">
      <c r="A1472" s="49">
        <v>92744</v>
      </c>
      <c r="B1472" s="48" t="s">
        <v>3774</v>
      </c>
      <c r="C1472" s="48" t="s">
        <v>28764</v>
      </c>
      <c r="D1472" s="50">
        <v>566.92999999999995</v>
      </c>
    </row>
    <row r="1473" spans="1:4" ht="13.5">
      <c r="A1473" s="49">
        <v>92745</v>
      </c>
      <c r="B1473" s="48" t="s">
        <v>3775</v>
      </c>
      <c r="C1473" s="48" t="s">
        <v>28764</v>
      </c>
      <c r="D1473" s="50">
        <v>743.6</v>
      </c>
    </row>
    <row r="1474" spans="1:4" ht="13.5">
      <c r="A1474" s="49">
        <v>92746</v>
      </c>
      <c r="B1474" s="48" t="s">
        <v>3776</v>
      </c>
      <c r="C1474" s="48" t="s">
        <v>28764</v>
      </c>
      <c r="D1474" s="50">
        <v>672.04</v>
      </c>
    </row>
    <row r="1475" spans="1:4" ht="13.5">
      <c r="A1475" s="49">
        <v>92747</v>
      </c>
      <c r="B1475" s="48" t="s">
        <v>3777</v>
      </c>
      <c r="C1475" s="48" t="s">
        <v>28764</v>
      </c>
      <c r="D1475" s="50">
        <v>823.17</v>
      </c>
    </row>
    <row r="1476" spans="1:4" ht="13.5">
      <c r="A1476" s="49">
        <v>92748</v>
      </c>
      <c r="B1476" s="48" t="s">
        <v>3778</v>
      </c>
      <c r="C1476" s="48" t="s">
        <v>28764</v>
      </c>
      <c r="D1476" s="50">
        <v>731.96</v>
      </c>
    </row>
    <row r="1477" spans="1:4" ht="13.5">
      <c r="A1477" s="49">
        <v>92749</v>
      </c>
      <c r="B1477" s="48" t="s">
        <v>3779</v>
      </c>
      <c r="C1477" s="48" t="s">
        <v>28764</v>
      </c>
      <c r="D1477" s="50">
        <v>849.8</v>
      </c>
    </row>
    <row r="1478" spans="1:4" ht="13.5">
      <c r="A1478" s="49">
        <v>92750</v>
      </c>
      <c r="B1478" s="48" t="s">
        <v>3780</v>
      </c>
      <c r="C1478" s="48" t="s">
        <v>28764</v>
      </c>
      <c r="D1478" s="51">
        <v>1442.11</v>
      </c>
    </row>
    <row r="1479" spans="1:4" ht="13.5">
      <c r="A1479" s="49">
        <v>92751</v>
      </c>
      <c r="B1479" s="48" t="s">
        <v>3781</v>
      </c>
      <c r="C1479" s="48" t="s">
        <v>28764</v>
      </c>
      <c r="D1479" s="51">
        <v>1785.61</v>
      </c>
    </row>
    <row r="1480" spans="1:4" ht="13.5">
      <c r="A1480" s="49">
        <v>92752</v>
      </c>
      <c r="B1480" s="48" t="s">
        <v>3782</v>
      </c>
      <c r="C1480" s="48" t="s">
        <v>28764</v>
      </c>
      <c r="D1480" s="51">
        <v>2127.61</v>
      </c>
    </row>
    <row r="1481" spans="1:4" ht="13.5">
      <c r="A1481" s="49">
        <v>92753</v>
      </c>
      <c r="B1481" s="48" t="s">
        <v>3783</v>
      </c>
      <c r="C1481" s="48" t="s">
        <v>28764</v>
      </c>
      <c r="D1481" s="50">
        <v>553.72</v>
      </c>
    </row>
    <row r="1482" spans="1:4" ht="13.5">
      <c r="A1482" s="49">
        <v>92754</v>
      </c>
      <c r="B1482" s="48" t="s">
        <v>3784</v>
      </c>
      <c r="C1482" s="48" t="s">
        <v>28764</v>
      </c>
      <c r="D1482" s="50">
        <v>503.79</v>
      </c>
    </row>
    <row r="1483" spans="1:4" ht="13.5">
      <c r="A1483" s="49">
        <v>92755</v>
      </c>
      <c r="B1483" s="48" t="s">
        <v>3785</v>
      </c>
      <c r="C1483" s="48" t="s">
        <v>26764</v>
      </c>
      <c r="D1483" s="50">
        <v>219.46</v>
      </c>
    </row>
    <row r="1484" spans="1:4" ht="13.5">
      <c r="A1484" s="49">
        <v>92756</v>
      </c>
      <c r="B1484" s="48" t="s">
        <v>3786</v>
      </c>
      <c r="C1484" s="48" t="s">
        <v>26764</v>
      </c>
      <c r="D1484" s="50">
        <v>249.64</v>
      </c>
    </row>
    <row r="1485" spans="1:4" ht="13.5">
      <c r="A1485" s="49">
        <v>92757</v>
      </c>
      <c r="B1485" s="48" t="s">
        <v>3787</v>
      </c>
      <c r="C1485" s="48" t="s">
        <v>26764</v>
      </c>
      <c r="D1485" s="50">
        <v>286.23</v>
      </c>
    </row>
    <row r="1486" spans="1:4" ht="13.5">
      <c r="A1486" s="49">
        <v>92758</v>
      </c>
      <c r="B1486" s="48" t="s">
        <v>3788</v>
      </c>
      <c r="C1486" s="48" t="s">
        <v>28764</v>
      </c>
      <c r="D1486" s="50">
        <v>658.05</v>
      </c>
    </row>
    <row r="1487" spans="1:4" ht="13.5">
      <c r="A1487" s="49">
        <v>91069</v>
      </c>
      <c r="B1487" s="48" t="s">
        <v>3789</v>
      </c>
      <c r="C1487" s="48" t="s">
        <v>26764</v>
      </c>
      <c r="D1487" s="50">
        <v>122.67</v>
      </c>
    </row>
    <row r="1488" spans="1:4" ht="13.5">
      <c r="A1488" s="49">
        <v>91070</v>
      </c>
      <c r="B1488" s="48" t="s">
        <v>3790</v>
      </c>
      <c r="C1488" s="48" t="s">
        <v>26764</v>
      </c>
      <c r="D1488" s="50">
        <v>132.84</v>
      </c>
    </row>
    <row r="1489" spans="1:4" ht="13.5">
      <c r="A1489" s="49">
        <v>91071</v>
      </c>
      <c r="B1489" s="48" t="s">
        <v>3791</v>
      </c>
      <c r="C1489" s="48" t="s">
        <v>26764</v>
      </c>
      <c r="D1489" s="50">
        <v>165.2</v>
      </c>
    </row>
    <row r="1490" spans="1:4" ht="13.5">
      <c r="A1490" s="49">
        <v>91072</v>
      </c>
      <c r="B1490" s="48" t="s">
        <v>3792</v>
      </c>
      <c r="C1490" s="48" t="s">
        <v>26764</v>
      </c>
      <c r="D1490" s="50">
        <v>175.32</v>
      </c>
    </row>
    <row r="1491" spans="1:4" ht="13.5">
      <c r="A1491" s="49">
        <v>91073</v>
      </c>
      <c r="B1491" s="48" t="s">
        <v>3793</v>
      </c>
      <c r="C1491" s="48" t="s">
        <v>26764</v>
      </c>
      <c r="D1491" s="50">
        <v>137.69</v>
      </c>
    </row>
    <row r="1492" spans="1:4" ht="13.5">
      <c r="A1492" s="49">
        <v>91074</v>
      </c>
      <c r="B1492" s="48" t="s">
        <v>3794</v>
      </c>
      <c r="C1492" s="48" t="s">
        <v>26764</v>
      </c>
      <c r="D1492" s="50">
        <v>149.38999999999999</v>
      </c>
    </row>
    <row r="1493" spans="1:4" ht="13.5">
      <c r="A1493" s="49">
        <v>91075</v>
      </c>
      <c r="B1493" s="48" t="s">
        <v>3795</v>
      </c>
      <c r="C1493" s="48" t="s">
        <v>26764</v>
      </c>
      <c r="D1493" s="50">
        <v>182.68</v>
      </c>
    </row>
    <row r="1494" spans="1:4" ht="13.5">
      <c r="A1494" s="49">
        <v>91076</v>
      </c>
      <c r="B1494" s="48" t="s">
        <v>3796</v>
      </c>
      <c r="C1494" s="48" t="s">
        <v>26764</v>
      </c>
      <c r="D1494" s="50">
        <v>194.42</v>
      </c>
    </row>
    <row r="1495" spans="1:4" ht="13.5">
      <c r="A1495" s="49">
        <v>91077</v>
      </c>
      <c r="B1495" s="48" t="s">
        <v>3797</v>
      </c>
      <c r="C1495" s="48" t="s">
        <v>26764</v>
      </c>
      <c r="D1495" s="50">
        <v>116.23</v>
      </c>
    </row>
    <row r="1496" spans="1:4" ht="13.5">
      <c r="A1496" s="49">
        <v>91078</v>
      </c>
      <c r="B1496" s="48" t="s">
        <v>3798</v>
      </c>
      <c r="C1496" s="48" t="s">
        <v>26764</v>
      </c>
      <c r="D1496" s="50">
        <v>135.79</v>
      </c>
    </row>
    <row r="1497" spans="1:4" ht="13.5">
      <c r="A1497" s="49">
        <v>91079</v>
      </c>
      <c r="B1497" s="48" t="s">
        <v>3799</v>
      </c>
      <c r="C1497" s="48" t="s">
        <v>26764</v>
      </c>
      <c r="D1497" s="50">
        <v>122.17</v>
      </c>
    </row>
    <row r="1498" spans="1:4" ht="13.5">
      <c r="A1498" s="49">
        <v>91080</v>
      </c>
      <c r="B1498" s="48" t="s">
        <v>3800</v>
      </c>
      <c r="C1498" s="48" t="s">
        <v>26764</v>
      </c>
      <c r="D1498" s="50">
        <v>141.55000000000001</v>
      </c>
    </row>
    <row r="1499" spans="1:4" ht="13.5">
      <c r="A1499" s="49">
        <v>91081</v>
      </c>
      <c r="B1499" s="48" t="s">
        <v>3801</v>
      </c>
      <c r="C1499" s="48" t="s">
        <v>26764</v>
      </c>
      <c r="D1499" s="50">
        <v>132.97999999999999</v>
      </c>
    </row>
    <row r="1500" spans="1:4" ht="13.5">
      <c r="A1500" s="49">
        <v>91082</v>
      </c>
      <c r="B1500" s="48" t="s">
        <v>3802</v>
      </c>
      <c r="C1500" s="48" t="s">
        <v>26764</v>
      </c>
      <c r="D1500" s="50">
        <v>153.91999999999999</v>
      </c>
    </row>
    <row r="1501" spans="1:4" ht="13.5">
      <c r="A1501" s="49">
        <v>91083</v>
      </c>
      <c r="B1501" s="48" t="s">
        <v>3803</v>
      </c>
      <c r="C1501" s="48" t="s">
        <v>26764</v>
      </c>
      <c r="D1501" s="50">
        <v>143.47999999999999</v>
      </c>
    </row>
    <row r="1502" spans="1:4" ht="13.5">
      <c r="A1502" s="49">
        <v>91084</v>
      </c>
      <c r="B1502" s="48" t="s">
        <v>3804</v>
      </c>
      <c r="C1502" s="48" t="s">
        <v>26764</v>
      </c>
      <c r="D1502" s="50">
        <v>164.12</v>
      </c>
    </row>
    <row r="1503" spans="1:4" ht="13.5">
      <c r="A1503" s="49">
        <v>91086</v>
      </c>
      <c r="B1503" s="48" t="s">
        <v>3805</v>
      </c>
      <c r="C1503" s="48" t="s">
        <v>26764</v>
      </c>
      <c r="D1503" s="50">
        <v>134.41</v>
      </c>
    </row>
    <row r="1504" spans="1:4" ht="13.5">
      <c r="A1504" s="49">
        <v>91087</v>
      </c>
      <c r="B1504" s="48" t="s">
        <v>3806</v>
      </c>
      <c r="C1504" s="48" t="s">
        <v>26764</v>
      </c>
      <c r="D1504" s="50">
        <v>144.93</v>
      </c>
    </row>
    <row r="1505" spans="1:4" ht="13.5">
      <c r="A1505" s="49">
        <v>91088</v>
      </c>
      <c r="B1505" s="48" t="s">
        <v>3807</v>
      </c>
      <c r="C1505" s="48" t="s">
        <v>26764</v>
      </c>
      <c r="D1505" s="50">
        <v>178.39</v>
      </c>
    </row>
    <row r="1506" spans="1:4" ht="13.5">
      <c r="A1506" s="49">
        <v>91089</v>
      </c>
      <c r="B1506" s="48" t="s">
        <v>3808</v>
      </c>
      <c r="C1506" s="48" t="s">
        <v>26764</v>
      </c>
      <c r="D1506" s="50">
        <v>189.03</v>
      </c>
    </row>
    <row r="1507" spans="1:4" ht="13.5">
      <c r="A1507" s="49">
        <v>91090</v>
      </c>
      <c r="B1507" s="48" t="s">
        <v>3809</v>
      </c>
      <c r="C1507" s="48" t="s">
        <v>26764</v>
      </c>
      <c r="D1507" s="50">
        <v>147.30000000000001</v>
      </c>
    </row>
    <row r="1508" spans="1:4" ht="13.5">
      <c r="A1508" s="49">
        <v>91091</v>
      </c>
      <c r="B1508" s="48" t="s">
        <v>3810</v>
      </c>
      <c r="C1508" s="48" t="s">
        <v>26764</v>
      </c>
      <c r="D1508" s="50">
        <v>159.56</v>
      </c>
    </row>
    <row r="1509" spans="1:4" ht="13.5">
      <c r="A1509" s="49">
        <v>91092</v>
      </c>
      <c r="B1509" s="48" t="s">
        <v>3811</v>
      </c>
      <c r="C1509" s="48" t="s">
        <v>26764</v>
      </c>
      <c r="D1509" s="50">
        <v>193.26</v>
      </c>
    </row>
    <row r="1510" spans="1:4" ht="13.5">
      <c r="A1510" s="49">
        <v>91093</v>
      </c>
      <c r="B1510" s="48" t="s">
        <v>3812</v>
      </c>
      <c r="C1510" s="48" t="s">
        <v>26764</v>
      </c>
      <c r="D1510" s="50">
        <v>205.82</v>
      </c>
    </row>
    <row r="1511" spans="1:4" ht="13.5">
      <c r="A1511" s="49">
        <v>91094</v>
      </c>
      <c r="B1511" s="48" t="s">
        <v>3813</v>
      </c>
      <c r="C1511" s="48" t="s">
        <v>26764</v>
      </c>
      <c r="D1511" s="50">
        <v>122.98</v>
      </c>
    </row>
    <row r="1512" spans="1:4" ht="13.5">
      <c r="A1512" s="49">
        <v>91095</v>
      </c>
      <c r="B1512" s="48" t="s">
        <v>3814</v>
      </c>
      <c r="C1512" s="48" t="s">
        <v>26764</v>
      </c>
      <c r="D1512" s="50">
        <v>142.97999999999999</v>
      </c>
    </row>
    <row r="1513" spans="1:4" ht="13.5">
      <c r="A1513" s="49">
        <v>91096</v>
      </c>
      <c r="B1513" s="48" t="s">
        <v>3815</v>
      </c>
      <c r="C1513" s="48" t="s">
        <v>26764</v>
      </c>
      <c r="D1513" s="50">
        <v>125.84</v>
      </c>
    </row>
    <row r="1514" spans="1:4" ht="13.5">
      <c r="A1514" s="49">
        <v>91097</v>
      </c>
      <c r="B1514" s="48" t="s">
        <v>3816</v>
      </c>
      <c r="C1514" s="48" t="s">
        <v>26764</v>
      </c>
      <c r="D1514" s="50">
        <v>145.66</v>
      </c>
    </row>
    <row r="1515" spans="1:4" ht="13.5">
      <c r="A1515" s="49">
        <v>91098</v>
      </c>
      <c r="B1515" s="48" t="s">
        <v>3817</v>
      </c>
      <c r="C1515" s="48" t="s">
        <v>26764</v>
      </c>
      <c r="D1515" s="50">
        <v>139.56</v>
      </c>
    </row>
    <row r="1516" spans="1:4" ht="13.5">
      <c r="A1516" s="49">
        <v>91099</v>
      </c>
      <c r="B1516" s="48" t="s">
        <v>3818</v>
      </c>
      <c r="C1516" s="48" t="s">
        <v>26764</v>
      </c>
      <c r="D1516" s="50">
        <v>161.03</v>
      </c>
    </row>
    <row r="1517" spans="1:4" ht="13.5">
      <c r="A1517" s="49">
        <v>91100</v>
      </c>
      <c r="B1517" s="48" t="s">
        <v>3819</v>
      </c>
      <c r="C1517" s="48" t="s">
        <v>26764</v>
      </c>
      <c r="D1517" s="50">
        <v>147.79</v>
      </c>
    </row>
    <row r="1518" spans="1:4" ht="13.5">
      <c r="A1518" s="49">
        <v>91101</v>
      </c>
      <c r="B1518" s="48" t="s">
        <v>3820</v>
      </c>
      <c r="C1518" s="48" t="s">
        <v>26764</v>
      </c>
      <c r="D1518" s="50">
        <v>169.11</v>
      </c>
    </row>
    <row r="1519" spans="1:4" ht="13.5">
      <c r="A1519" s="49">
        <v>93952</v>
      </c>
      <c r="B1519" s="48" t="s">
        <v>3821</v>
      </c>
      <c r="C1519" s="48" t="s">
        <v>6</v>
      </c>
      <c r="D1519" s="50">
        <v>219.15</v>
      </c>
    </row>
    <row r="1520" spans="1:4" ht="13.5">
      <c r="A1520" s="49">
        <v>93953</v>
      </c>
      <c r="B1520" s="48" t="s">
        <v>3822</v>
      </c>
      <c r="C1520" s="48" t="s">
        <v>6</v>
      </c>
      <c r="D1520" s="50">
        <v>203.71</v>
      </c>
    </row>
    <row r="1521" spans="1:4" ht="13.5">
      <c r="A1521" s="49">
        <v>93954</v>
      </c>
      <c r="B1521" s="48" t="s">
        <v>3823</v>
      </c>
      <c r="C1521" s="48" t="s">
        <v>6</v>
      </c>
      <c r="D1521" s="50">
        <v>194.45</v>
      </c>
    </row>
    <row r="1522" spans="1:4" ht="13.5">
      <c r="A1522" s="49">
        <v>93955</v>
      </c>
      <c r="B1522" s="48" t="s">
        <v>3824</v>
      </c>
      <c r="C1522" s="48" t="s">
        <v>6</v>
      </c>
      <c r="D1522" s="50">
        <v>187.9</v>
      </c>
    </row>
    <row r="1523" spans="1:4" ht="13.5">
      <c r="A1523" s="49">
        <v>93956</v>
      </c>
      <c r="B1523" s="48" t="s">
        <v>3825</v>
      </c>
      <c r="C1523" s="48" t="s">
        <v>6</v>
      </c>
      <c r="D1523" s="50">
        <v>182.74</v>
      </c>
    </row>
    <row r="1524" spans="1:4" ht="13.5">
      <c r="A1524" s="49">
        <v>93957</v>
      </c>
      <c r="B1524" s="48" t="s">
        <v>3826</v>
      </c>
      <c r="C1524" s="48" t="s">
        <v>6</v>
      </c>
      <c r="D1524" s="50">
        <v>237.18</v>
      </c>
    </row>
    <row r="1525" spans="1:4" ht="13.5">
      <c r="A1525" s="49">
        <v>93958</v>
      </c>
      <c r="B1525" s="48" t="s">
        <v>3827</v>
      </c>
      <c r="C1525" s="48" t="s">
        <v>6</v>
      </c>
      <c r="D1525" s="50">
        <v>220.76</v>
      </c>
    </row>
    <row r="1526" spans="1:4" ht="13.5">
      <c r="A1526" s="49">
        <v>93959</v>
      </c>
      <c r="B1526" s="48" t="s">
        <v>3828</v>
      </c>
      <c r="C1526" s="48" t="s">
        <v>6</v>
      </c>
      <c r="D1526" s="50">
        <v>211.03</v>
      </c>
    </row>
    <row r="1527" spans="1:4" ht="13.5">
      <c r="A1527" s="49">
        <v>93960</v>
      </c>
      <c r="B1527" s="48" t="s">
        <v>3829</v>
      </c>
      <c r="C1527" s="48" t="s">
        <v>6</v>
      </c>
      <c r="D1527" s="50">
        <v>204.18</v>
      </c>
    </row>
    <row r="1528" spans="1:4" ht="13.5">
      <c r="A1528" s="49">
        <v>93961</v>
      </c>
      <c r="B1528" s="48" t="s">
        <v>3830</v>
      </c>
      <c r="C1528" s="48" t="s">
        <v>6</v>
      </c>
      <c r="D1528" s="50">
        <v>198.83</v>
      </c>
    </row>
    <row r="1529" spans="1:4" ht="13.5">
      <c r="A1529" s="49">
        <v>93962</v>
      </c>
      <c r="B1529" s="48" t="s">
        <v>3831</v>
      </c>
      <c r="C1529" s="48" t="s">
        <v>6</v>
      </c>
      <c r="D1529" s="50">
        <v>207.89</v>
      </c>
    </row>
    <row r="1530" spans="1:4" ht="13.5">
      <c r="A1530" s="49">
        <v>93963</v>
      </c>
      <c r="B1530" s="48" t="s">
        <v>3832</v>
      </c>
      <c r="C1530" s="48" t="s">
        <v>6</v>
      </c>
      <c r="D1530" s="50">
        <v>192.46</v>
      </c>
    </row>
    <row r="1531" spans="1:4" ht="13.5">
      <c r="A1531" s="49">
        <v>93964</v>
      </c>
      <c r="B1531" s="48" t="s">
        <v>3833</v>
      </c>
      <c r="C1531" s="48" t="s">
        <v>6</v>
      </c>
      <c r="D1531" s="50">
        <v>183.25</v>
      </c>
    </row>
    <row r="1532" spans="1:4" ht="13.5">
      <c r="A1532" s="49">
        <v>93965</v>
      </c>
      <c r="B1532" s="48" t="s">
        <v>3834</v>
      </c>
      <c r="C1532" s="48" t="s">
        <v>6</v>
      </c>
      <c r="D1532" s="50">
        <v>173.93</v>
      </c>
    </row>
    <row r="1533" spans="1:4" ht="13.5">
      <c r="A1533" s="49">
        <v>93966</v>
      </c>
      <c r="B1533" s="48" t="s">
        <v>3835</v>
      </c>
      <c r="C1533" s="48" t="s">
        <v>6</v>
      </c>
      <c r="D1533" s="50">
        <v>171.61</v>
      </c>
    </row>
    <row r="1534" spans="1:4" ht="13.5">
      <c r="A1534" s="49">
        <v>93967</v>
      </c>
      <c r="B1534" s="48" t="s">
        <v>3836</v>
      </c>
      <c r="C1534" s="48" t="s">
        <v>6</v>
      </c>
      <c r="D1534" s="50">
        <v>225.94</v>
      </c>
    </row>
    <row r="1535" spans="1:4" ht="13.5">
      <c r="A1535" s="49">
        <v>93968</v>
      </c>
      <c r="B1535" s="48" t="s">
        <v>3837</v>
      </c>
      <c r="C1535" s="48" t="s">
        <v>6</v>
      </c>
      <c r="D1535" s="50">
        <v>209.52</v>
      </c>
    </row>
    <row r="1536" spans="1:4" ht="13.5">
      <c r="A1536" s="49">
        <v>93969</v>
      </c>
      <c r="B1536" s="48" t="s">
        <v>3838</v>
      </c>
      <c r="C1536" s="48" t="s">
        <v>6</v>
      </c>
      <c r="D1536" s="50">
        <v>199.82</v>
      </c>
    </row>
    <row r="1537" spans="1:4" ht="13.5">
      <c r="A1537" s="49">
        <v>93970</v>
      </c>
      <c r="B1537" s="48" t="s">
        <v>3839</v>
      </c>
      <c r="C1537" s="48" t="s">
        <v>6</v>
      </c>
      <c r="D1537" s="50">
        <v>193.04</v>
      </c>
    </row>
    <row r="1538" spans="1:4" ht="13.5">
      <c r="A1538" s="49">
        <v>93971</v>
      </c>
      <c r="B1538" s="48" t="s">
        <v>3840</v>
      </c>
      <c r="C1538" s="48" t="s">
        <v>6</v>
      </c>
      <c r="D1538" s="50">
        <v>181.76</v>
      </c>
    </row>
    <row r="1539" spans="1:4" ht="13.5">
      <c r="A1539" s="49">
        <v>95108</v>
      </c>
      <c r="B1539" s="48" t="s">
        <v>3841</v>
      </c>
      <c r="C1539" s="48" t="s">
        <v>32</v>
      </c>
      <c r="D1539" s="50">
        <v>28.12</v>
      </c>
    </row>
    <row r="1540" spans="1:4" ht="13.5">
      <c r="A1540" s="49">
        <v>100332</v>
      </c>
      <c r="B1540" s="48" t="s">
        <v>3843</v>
      </c>
      <c r="C1540" s="48" t="s">
        <v>26764</v>
      </c>
      <c r="D1540" s="51">
        <v>1102.55</v>
      </c>
    </row>
    <row r="1541" spans="1:4" ht="13.5">
      <c r="A1541" s="49">
        <v>100333</v>
      </c>
      <c r="B1541" s="48" t="s">
        <v>3844</v>
      </c>
      <c r="C1541" s="48" t="s">
        <v>26764</v>
      </c>
      <c r="D1541" s="50">
        <v>654.91999999999996</v>
      </c>
    </row>
    <row r="1542" spans="1:4" ht="13.5">
      <c r="A1542" s="49">
        <v>100334</v>
      </c>
      <c r="B1542" s="48" t="s">
        <v>3845</v>
      </c>
      <c r="C1542" s="48" t="s">
        <v>26764</v>
      </c>
      <c r="D1542" s="50">
        <v>860.61</v>
      </c>
    </row>
    <row r="1543" spans="1:4" ht="13.5">
      <c r="A1543" s="49">
        <v>100335</v>
      </c>
      <c r="B1543" s="48" t="s">
        <v>3846</v>
      </c>
      <c r="C1543" s="48" t="s">
        <v>26764</v>
      </c>
      <c r="D1543" s="50">
        <v>524.89</v>
      </c>
    </row>
    <row r="1544" spans="1:4" ht="13.5">
      <c r="A1544" s="49">
        <v>100341</v>
      </c>
      <c r="B1544" s="48" t="s">
        <v>3848</v>
      </c>
      <c r="C1544" s="48" t="s">
        <v>26764</v>
      </c>
      <c r="D1544" s="50">
        <v>35.57</v>
      </c>
    </row>
    <row r="1545" spans="1:4" ht="13.5">
      <c r="A1545" s="49">
        <v>100342</v>
      </c>
      <c r="B1545" s="48" t="s">
        <v>3849</v>
      </c>
      <c r="C1545" s="48" t="s">
        <v>8</v>
      </c>
      <c r="D1545" s="50">
        <v>18.91</v>
      </c>
    </row>
    <row r="1546" spans="1:4" ht="13.5">
      <c r="A1546" s="49">
        <v>100343</v>
      </c>
      <c r="B1546" s="48" t="s">
        <v>3850</v>
      </c>
      <c r="C1546" s="48" t="s">
        <v>8</v>
      </c>
      <c r="D1546" s="50">
        <v>18.149999999999999</v>
      </c>
    </row>
    <row r="1547" spans="1:4" ht="13.5">
      <c r="A1547" s="49">
        <v>100344</v>
      </c>
      <c r="B1547" s="48" t="s">
        <v>3851</v>
      </c>
      <c r="C1547" s="48" t="s">
        <v>8</v>
      </c>
      <c r="D1547" s="50">
        <v>16.420000000000002</v>
      </c>
    </row>
    <row r="1548" spans="1:4" ht="13.5">
      <c r="A1548" s="49">
        <v>100345</v>
      </c>
      <c r="B1548" s="48" t="s">
        <v>3852</v>
      </c>
      <c r="C1548" s="48" t="s">
        <v>8</v>
      </c>
      <c r="D1548" s="50">
        <v>13.98</v>
      </c>
    </row>
    <row r="1549" spans="1:4" ht="13.5">
      <c r="A1549" s="49">
        <v>100346</v>
      </c>
      <c r="B1549" s="48" t="s">
        <v>3853</v>
      </c>
      <c r="C1549" s="48" t="s">
        <v>8</v>
      </c>
      <c r="D1549" s="50">
        <v>13.45</v>
      </c>
    </row>
    <row r="1550" spans="1:4" ht="13.5">
      <c r="A1550" s="49">
        <v>100347</v>
      </c>
      <c r="B1550" s="48" t="s">
        <v>3854</v>
      </c>
      <c r="C1550" s="48" t="s">
        <v>8</v>
      </c>
      <c r="D1550" s="50">
        <v>15.26</v>
      </c>
    </row>
    <row r="1551" spans="1:4" ht="13.5">
      <c r="A1551" s="49">
        <v>100348</v>
      </c>
      <c r="B1551" s="48" t="s">
        <v>3855</v>
      </c>
      <c r="C1551" s="48" t="s">
        <v>8</v>
      </c>
      <c r="D1551" s="50">
        <v>14.99</v>
      </c>
    </row>
    <row r="1552" spans="1:4" ht="13.5">
      <c r="A1552" s="49">
        <v>100349</v>
      </c>
      <c r="B1552" s="48" t="s">
        <v>3856</v>
      </c>
      <c r="C1552" s="48" t="s">
        <v>28764</v>
      </c>
      <c r="D1552" s="50">
        <v>453.09</v>
      </c>
    </row>
    <row r="1553" spans="1:4" ht="13.5">
      <c r="A1553" s="49">
        <v>102989</v>
      </c>
      <c r="B1553" s="48" t="s">
        <v>19877</v>
      </c>
      <c r="C1553" s="48" t="s">
        <v>6</v>
      </c>
      <c r="D1553" s="50">
        <v>28.52</v>
      </c>
    </row>
    <row r="1554" spans="1:4" ht="13.5">
      <c r="A1554" s="49">
        <v>102990</v>
      </c>
      <c r="B1554" s="48" t="s">
        <v>19878</v>
      </c>
      <c r="C1554" s="48" t="s">
        <v>6</v>
      </c>
      <c r="D1554" s="50">
        <v>34.56</v>
      </c>
    </row>
    <row r="1555" spans="1:4" ht="13.5">
      <c r="A1555" s="49">
        <v>102991</v>
      </c>
      <c r="B1555" s="48" t="s">
        <v>19879</v>
      </c>
      <c r="C1555" s="48" t="s">
        <v>6</v>
      </c>
      <c r="D1555" s="50">
        <v>44.66</v>
      </c>
    </row>
    <row r="1556" spans="1:4" ht="13.5">
      <c r="A1556" s="49">
        <v>102992</v>
      </c>
      <c r="B1556" s="48" t="s">
        <v>19880</v>
      </c>
      <c r="C1556" s="48" t="s">
        <v>6</v>
      </c>
      <c r="D1556" s="50">
        <v>64.39</v>
      </c>
    </row>
    <row r="1557" spans="1:4" ht="13.5">
      <c r="A1557" s="49">
        <v>102993</v>
      </c>
      <c r="B1557" s="48" t="s">
        <v>19881</v>
      </c>
      <c r="C1557" s="48" t="s">
        <v>6</v>
      </c>
      <c r="D1557" s="50">
        <v>84</v>
      </c>
    </row>
    <row r="1558" spans="1:4" ht="13.5">
      <c r="A1558" s="49">
        <v>102994</v>
      </c>
      <c r="B1558" s="48" t="s">
        <v>19882</v>
      </c>
      <c r="C1558" s="48" t="s">
        <v>6</v>
      </c>
      <c r="D1558" s="50">
        <v>140.16</v>
      </c>
    </row>
    <row r="1559" spans="1:4" ht="13.5">
      <c r="A1559" s="49">
        <v>102995</v>
      </c>
      <c r="B1559" s="48" t="s">
        <v>19883</v>
      </c>
      <c r="C1559" s="48" t="s">
        <v>6</v>
      </c>
      <c r="D1559" s="50">
        <v>41.61</v>
      </c>
    </row>
    <row r="1560" spans="1:4" ht="13.5">
      <c r="A1560" s="49">
        <v>102996</v>
      </c>
      <c r="B1560" s="48" t="s">
        <v>19884</v>
      </c>
      <c r="C1560" s="48" t="s">
        <v>6</v>
      </c>
      <c r="D1560" s="50">
        <v>58.74</v>
      </c>
    </row>
    <row r="1561" spans="1:4" ht="13.5">
      <c r="A1561" s="49">
        <v>102997</v>
      </c>
      <c r="B1561" s="48" t="s">
        <v>19885</v>
      </c>
      <c r="C1561" s="48" t="s">
        <v>6</v>
      </c>
      <c r="D1561" s="50">
        <v>77.900000000000006</v>
      </c>
    </row>
    <row r="1562" spans="1:4" ht="13.5">
      <c r="A1562" s="49">
        <v>102998</v>
      </c>
      <c r="B1562" s="48" t="s">
        <v>19886</v>
      </c>
      <c r="C1562" s="48" t="s">
        <v>6</v>
      </c>
      <c r="D1562" s="50">
        <v>74.7</v>
      </c>
    </row>
    <row r="1563" spans="1:4" ht="13.5">
      <c r="A1563" s="49">
        <v>102999</v>
      </c>
      <c r="B1563" s="48" t="s">
        <v>19887</v>
      </c>
      <c r="C1563" s="48" t="s">
        <v>6</v>
      </c>
      <c r="D1563" s="50">
        <v>94.44</v>
      </c>
    </row>
    <row r="1564" spans="1:4" ht="13.5">
      <c r="A1564" s="49">
        <v>103000</v>
      </c>
      <c r="B1564" s="48" t="s">
        <v>19888</v>
      </c>
      <c r="C1564" s="48" t="s">
        <v>6</v>
      </c>
      <c r="D1564" s="50">
        <v>94.83</v>
      </c>
    </row>
    <row r="1565" spans="1:4" ht="13.5">
      <c r="A1565" s="49">
        <v>103001</v>
      </c>
      <c r="B1565" s="48" t="s">
        <v>19889</v>
      </c>
      <c r="C1565" s="48" t="s">
        <v>32</v>
      </c>
      <c r="D1565" s="50">
        <v>245.46</v>
      </c>
    </row>
    <row r="1566" spans="1:4" ht="13.5">
      <c r="A1566" s="49">
        <v>103002</v>
      </c>
      <c r="B1566" s="48" t="s">
        <v>19890</v>
      </c>
      <c r="C1566" s="48" t="s">
        <v>32</v>
      </c>
      <c r="D1566" s="50">
        <v>306.86</v>
      </c>
    </row>
    <row r="1567" spans="1:4" ht="13.5">
      <c r="A1567" s="49">
        <v>103003</v>
      </c>
      <c r="B1567" s="48" t="s">
        <v>19891</v>
      </c>
      <c r="C1567" s="48" t="s">
        <v>32</v>
      </c>
      <c r="D1567" s="50">
        <v>429.71</v>
      </c>
    </row>
    <row r="1568" spans="1:4" ht="13.5">
      <c r="A1568" s="49">
        <v>103005</v>
      </c>
      <c r="B1568" s="48" t="s">
        <v>19892</v>
      </c>
      <c r="C1568" s="48" t="s">
        <v>32</v>
      </c>
      <c r="D1568" s="50">
        <v>550.91</v>
      </c>
    </row>
    <row r="1569" spans="1:4" ht="13.5">
      <c r="A1569" s="49">
        <v>103006</v>
      </c>
      <c r="B1569" s="48" t="s">
        <v>19893</v>
      </c>
      <c r="C1569" s="48" t="s">
        <v>32</v>
      </c>
      <c r="D1569" s="50">
        <v>742.15</v>
      </c>
    </row>
    <row r="1570" spans="1:4" ht="13.5">
      <c r="A1570" s="49">
        <v>103007</v>
      </c>
      <c r="B1570" s="48" t="s">
        <v>19894</v>
      </c>
      <c r="C1570" s="48" t="s">
        <v>32</v>
      </c>
      <c r="D1570" s="50">
        <v>982.04</v>
      </c>
    </row>
    <row r="1571" spans="1:4" ht="13.5">
      <c r="A1571" s="49">
        <v>97933</v>
      </c>
      <c r="B1571" s="48" t="s">
        <v>19895</v>
      </c>
      <c r="C1571" s="48" t="s">
        <v>32</v>
      </c>
      <c r="D1571" s="50">
        <v>655.54</v>
      </c>
    </row>
    <row r="1572" spans="1:4" ht="13.5">
      <c r="A1572" s="49">
        <v>97934</v>
      </c>
      <c r="B1572" s="48" t="s">
        <v>19896</v>
      </c>
      <c r="C1572" s="48" t="s">
        <v>32</v>
      </c>
      <c r="D1572" s="51">
        <v>1771.9</v>
      </c>
    </row>
    <row r="1573" spans="1:4" ht="13.5">
      <c r="A1573" s="49">
        <v>97935</v>
      </c>
      <c r="B1573" s="48" t="s">
        <v>19897</v>
      </c>
      <c r="C1573" s="48" t="s">
        <v>32</v>
      </c>
      <c r="D1573" s="50">
        <v>604.02</v>
      </c>
    </row>
    <row r="1574" spans="1:4" ht="13.5">
      <c r="A1574" s="49">
        <v>97936</v>
      </c>
      <c r="B1574" s="48" t="s">
        <v>19898</v>
      </c>
      <c r="C1574" s="48" t="s">
        <v>32</v>
      </c>
      <c r="D1574" s="51">
        <v>1746.69</v>
      </c>
    </row>
    <row r="1575" spans="1:4" ht="13.5">
      <c r="A1575" s="49">
        <v>97947</v>
      </c>
      <c r="B1575" s="48" t="s">
        <v>19899</v>
      </c>
      <c r="C1575" s="48" t="s">
        <v>32</v>
      </c>
      <c r="D1575" s="51">
        <v>1327.73</v>
      </c>
    </row>
    <row r="1576" spans="1:4" ht="13.5">
      <c r="A1576" s="49">
        <v>97948</v>
      </c>
      <c r="B1576" s="48" t="s">
        <v>19900</v>
      </c>
      <c r="C1576" s="48" t="s">
        <v>32</v>
      </c>
      <c r="D1576" s="51">
        <v>2466.14</v>
      </c>
    </row>
    <row r="1577" spans="1:4" ht="13.5">
      <c r="A1577" s="49">
        <v>97949</v>
      </c>
      <c r="B1577" s="48" t="s">
        <v>19901</v>
      </c>
      <c r="C1577" s="48" t="s">
        <v>32</v>
      </c>
      <c r="D1577" s="51">
        <v>1441.18</v>
      </c>
    </row>
    <row r="1578" spans="1:4" ht="13.5">
      <c r="A1578" s="49">
        <v>97950</v>
      </c>
      <c r="B1578" s="48" t="s">
        <v>19902</v>
      </c>
      <c r="C1578" s="48" t="s">
        <v>32</v>
      </c>
      <c r="D1578" s="51">
        <v>2577.66</v>
      </c>
    </row>
    <row r="1579" spans="1:4" ht="13.5">
      <c r="A1579" s="49">
        <v>97951</v>
      </c>
      <c r="B1579" s="48" t="s">
        <v>19903</v>
      </c>
      <c r="C1579" s="48" t="s">
        <v>32</v>
      </c>
      <c r="D1579" s="51">
        <v>2215.73</v>
      </c>
    </row>
    <row r="1580" spans="1:4" ht="13.5">
      <c r="A1580" s="49">
        <v>97952</v>
      </c>
      <c r="B1580" s="48" t="s">
        <v>19904</v>
      </c>
      <c r="C1580" s="48" t="s">
        <v>32</v>
      </c>
      <c r="D1580" s="51">
        <v>3870.06</v>
      </c>
    </row>
    <row r="1581" spans="1:4" ht="13.5">
      <c r="A1581" s="49">
        <v>97953</v>
      </c>
      <c r="B1581" s="48" t="s">
        <v>19905</v>
      </c>
      <c r="C1581" s="48" t="s">
        <v>32</v>
      </c>
      <c r="D1581" s="50">
        <v>994.3</v>
      </c>
    </row>
    <row r="1582" spans="1:4" ht="13.5">
      <c r="A1582" s="49">
        <v>97955</v>
      </c>
      <c r="B1582" s="48" t="s">
        <v>19906</v>
      </c>
      <c r="C1582" s="48" t="s">
        <v>32</v>
      </c>
      <c r="D1582" s="51">
        <v>2191.19</v>
      </c>
    </row>
    <row r="1583" spans="1:4" ht="13.5">
      <c r="A1583" s="49">
        <v>97956</v>
      </c>
      <c r="B1583" s="48" t="s">
        <v>19907</v>
      </c>
      <c r="C1583" s="48" t="s">
        <v>32</v>
      </c>
      <c r="D1583" s="51">
        <v>1185.3900000000001</v>
      </c>
    </row>
    <row r="1584" spans="1:4" ht="13.5">
      <c r="A1584" s="49">
        <v>97957</v>
      </c>
      <c r="B1584" s="48" t="s">
        <v>19908</v>
      </c>
      <c r="C1584" s="48" t="s">
        <v>32</v>
      </c>
      <c r="D1584" s="51">
        <v>2154.91</v>
      </c>
    </row>
    <row r="1585" spans="1:4" ht="13.5">
      <c r="A1585" s="49">
        <v>97961</v>
      </c>
      <c r="B1585" s="48" t="s">
        <v>19909</v>
      </c>
      <c r="C1585" s="48" t="s">
        <v>32</v>
      </c>
      <c r="D1585" s="51">
        <v>1825.57</v>
      </c>
    </row>
    <row r="1586" spans="1:4" ht="13.5">
      <c r="A1586" s="49">
        <v>97973</v>
      </c>
      <c r="B1586" s="48" t="s">
        <v>19910</v>
      </c>
      <c r="C1586" s="48" t="s">
        <v>32</v>
      </c>
      <c r="D1586" s="51">
        <v>3454.16</v>
      </c>
    </row>
    <row r="1587" spans="1:4" ht="13.5">
      <c r="A1587" s="49">
        <v>97974</v>
      </c>
      <c r="B1587" s="48" t="s">
        <v>19911</v>
      </c>
      <c r="C1587" s="48" t="s">
        <v>32</v>
      </c>
      <c r="D1587" s="50">
        <v>349.05</v>
      </c>
    </row>
    <row r="1588" spans="1:4" ht="13.5">
      <c r="A1588" s="49">
        <v>97975</v>
      </c>
      <c r="B1588" s="48" t="s">
        <v>19912</v>
      </c>
      <c r="C1588" s="48" t="s">
        <v>32</v>
      </c>
      <c r="D1588" s="50">
        <v>369.1</v>
      </c>
    </row>
    <row r="1589" spans="1:4" ht="13.5">
      <c r="A1589" s="49">
        <v>97976</v>
      </c>
      <c r="B1589" s="48" t="s">
        <v>19913</v>
      </c>
      <c r="C1589" s="48" t="s">
        <v>32</v>
      </c>
      <c r="D1589" s="50">
        <v>965.7</v>
      </c>
    </row>
    <row r="1590" spans="1:4" ht="13.5">
      <c r="A1590" s="49">
        <v>97977</v>
      </c>
      <c r="B1590" s="48" t="s">
        <v>19914</v>
      </c>
      <c r="C1590" s="48" t="s">
        <v>32</v>
      </c>
      <c r="D1590" s="51">
        <v>1330.15</v>
      </c>
    </row>
    <row r="1591" spans="1:4" ht="13.5">
      <c r="A1591" s="49">
        <v>97978</v>
      </c>
      <c r="B1591" s="48" t="s">
        <v>19915</v>
      </c>
      <c r="C1591" s="48" t="s">
        <v>32</v>
      </c>
      <c r="D1591" s="50">
        <v>722.41</v>
      </c>
    </row>
    <row r="1592" spans="1:4" ht="13.5">
      <c r="A1592" s="49">
        <v>97980</v>
      </c>
      <c r="B1592" s="48" t="s">
        <v>19916</v>
      </c>
      <c r="C1592" s="48" t="s">
        <v>32</v>
      </c>
      <c r="D1592" s="51">
        <v>1790.07</v>
      </c>
    </row>
    <row r="1593" spans="1:4" ht="13.5">
      <c r="A1593" s="49">
        <v>97981</v>
      </c>
      <c r="B1593" s="48" t="s">
        <v>19917</v>
      </c>
      <c r="C1593" s="48" t="s">
        <v>6</v>
      </c>
      <c r="D1593" s="50">
        <v>958.32</v>
      </c>
    </row>
    <row r="1594" spans="1:4" ht="13.5">
      <c r="A1594" s="49">
        <v>97983</v>
      </c>
      <c r="B1594" s="48" t="s">
        <v>19918</v>
      </c>
      <c r="C1594" s="48" t="s">
        <v>6</v>
      </c>
      <c r="D1594" s="50">
        <v>329.23</v>
      </c>
    </row>
    <row r="1595" spans="1:4" ht="13.5">
      <c r="A1595" s="49">
        <v>97985</v>
      </c>
      <c r="B1595" s="48" t="s">
        <v>19919</v>
      </c>
      <c r="C1595" s="48" t="s">
        <v>6</v>
      </c>
      <c r="D1595" s="51">
        <v>1156.1400000000001</v>
      </c>
    </row>
    <row r="1596" spans="1:4" ht="13.5">
      <c r="A1596" s="49">
        <v>97987</v>
      </c>
      <c r="B1596" s="48" t="s">
        <v>19920</v>
      </c>
      <c r="C1596" s="48" t="s">
        <v>6</v>
      </c>
      <c r="D1596" s="50">
        <v>434.51</v>
      </c>
    </row>
    <row r="1597" spans="1:4" ht="13.5">
      <c r="A1597" s="49">
        <v>97988</v>
      </c>
      <c r="B1597" s="48" t="s">
        <v>19921</v>
      </c>
      <c r="C1597" s="48" t="s">
        <v>32</v>
      </c>
      <c r="D1597" s="51">
        <v>2643.8</v>
      </c>
    </row>
    <row r="1598" spans="1:4" ht="13.5">
      <c r="A1598" s="49">
        <v>97989</v>
      </c>
      <c r="B1598" s="48" t="s">
        <v>19922</v>
      </c>
      <c r="C1598" s="48" t="s">
        <v>6</v>
      </c>
      <c r="D1598" s="51">
        <v>1353.99</v>
      </c>
    </row>
    <row r="1599" spans="1:4" ht="13.5">
      <c r="A1599" s="49">
        <v>97991</v>
      </c>
      <c r="B1599" s="48" t="s">
        <v>19923</v>
      </c>
      <c r="C1599" s="48" t="s">
        <v>6</v>
      </c>
      <c r="D1599" s="50">
        <v>630.37</v>
      </c>
    </row>
    <row r="1600" spans="1:4" ht="13.5">
      <c r="A1600" s="49">
        <v>97992</v>
      </c>
      <c r="B1600" s="48" t="s">
        <v>19924</v>
      </c>
      <c r="C1600" s="48" t="s">
        <v>32</v>
      </c>
      <c r="D1600" s="51">
        <v>3398.56</v>
      </c>
    </row>
    <row r="1601" spans="1:4" ht="13.5">
      <c r="A1601" s="49">
        <v>97993</v>
      </c>
      <c r="B1601" s="48" t="s">
        <v>19925</v>
      </c>
      <c r="C1601" s="48" t="s">
        <v>6</v>
      </c>
      <c r="D1601" s="51">
        <v>1650.73</v>
      </c>
    </row>
    <row r="1602" spans="1:4" ht="13.5">
      <c r="A1602" s="49">
        <v>97994</v>
      </c>
      <c r="B1602" s="48" t="s">
        <v>19926</v>
      </c>
      <c r="C1602" s="48" t="s">
        <v>32</v>
      </c>
      <c r="D1602" s="51">
        <v>2282.7800000000002</v>
      </c>
    </row>
    <row r="1603" spans="1:4" ht="13.5">
      <c r="A1603" s="49">
        <v>97995</v>
      </c>
      <c r="B1603" s="48" t="s">
        <v>19927</v>
      </c>
      <c r="C1603" s="48" t="s">
        <v>6</v>
      </c>
      <c r="D1603" s="51">
        <v>1067.3900000000001</v>
      </c>
    </row>
    <row r="1604" spans="1:4" ht="13.5">
      <c r="A1604" s="49">
        <v>97996</v>
      </c>
      <c r="B1604" s="48" t="s">
        <v>19928</v>
      </c>
      <c r="C1604" s="48" t="s">
        <v>32</v>
      </c>
      <c r="D1604" s="51">
        <v>2889.61</v>
      </c>
    </row>
    <row r="1605" spans="1:4" ht="13.5">
      <c r="A1605" s="49">
        <v>97997</v>
      </c>
      <c r="B1605" s="48" t="s">
        <v>19929</v>
      </c>
      <c r="C1605" s="48" t="s">
        <v>6</v>
      </c>
      <c r="D1605" s="51">
        <v>1273.3599999999999</v>
      </c>
    </row>
    <row r="1606" spans="1:4" ht="13.5">
      <c r="A1606" s="49">
        <v>97999</v>
      </c>
      <c r="B1606" s="48" t="s">
        <v>19930</v>
      </c>
      <c r="C1606" s="48" t="s">
        <v>6</v>
      </c>
      <c r="D1606" s="51">
        <v>1479.32</v>
      </c>
    </row>
    <row r="1607" spans="1:4" ht="13.5">
      <c r="A1607" s="49">
        <v>98001</v>
      </c>
      <c r="B1607" s="48" t="s">
        <v>19931</v>
      </c>
      <c r="C1607" s="48" t="s">
        <v>6</v>
      </c>
      <c r="D1607" s="51">
        <v>1685.29</v>
      </c>
    </row>
    <row r="1608" spans="1:4" ht="13.5">
      <c r="A1608" s="49">
        <v>98002</v>
      </c>
      <c r="B1608" s="48" t="s">
        <v>19932</v>
      </c>
      <c r="C1608" s="48" t="s">
        <v>32</v>
      </c>
      <c r="D1608" s="51">
        <v>4742.95</v>
      </c>
    </row>
    <row r="1609" spans="1:4" ht="13.5">
      <c r="A1609" s="49">
        <v>98003</v>
      </c>
      <c r="B1609" s="48" t="s">
        <v>19933</v>
      </c>
      <c r="C1609" s="48" t="s">
        <v>6</v>
      </c>
      <c r="D1609" s="51">
        <v>1891.31</v>
      </c>
    </row>
    <row r="1610" spans="1:4" ht="13.5">
      <c r="A1610" s="49">
        <v>98005</v>
      </c>
      <c r="B1610" s="48" t="s">
        <v>19934</v>
      </c>
      <c r="C1610" s="48" t="s">
        <v>6</v>
      </c>
      <c r="D1610" s="51">
        <v>2097.3000000000002</v>
      </c>
    </row>
    <row r="1611" spans="1:4" ht="13.5">
      <c r="A1611" s="49">
        <v>98006</v>
      </c>
      <c r="B1611" s="48" t="s">
        <v>19935</v>
      </c>
      <c r="C1611" s="48" t="s">
        <v>32</v>
      </c>
      <c r="D1611" s="51">
        <v>5960.1</v>
      </c>
    </row>
    <row r="1612" spans="1:4" ht="13.5">
      <c r="A1612" s="49">
        <v>98007</v>
      </c>
      <c r="B1612" s="48" t="s">
        <v>19936</v>
      </c>
      <c r="C1612" s="48" t="s">
        <v>6</v>
      </c>
      <c r="D1612" s="51">
        <v>2303.2600000000002</v>
      </c>
    </row>
    <row r="1613" spans="1:4" ht="13.5">
      <c r="A1613" s="49">
        <v>98008</v>
      </c>
      <c r="B1613" s="48" t="s">
        <v>19937</v>
      </c>
      <c r="C1613" s="48" t="s">
        <v>32</v>
      </c>
      <c r="D1613" s="51">
        <v>3584.21</v>
      </c>
    </row>
    <row r="1614" spans="1:4" ht="13.5">
      <c r="A1614" s="49">
        <v>98009</v>
      </c>
      <c r="B1614" s="48" t="s">
        <v>19938</v>
      </c>
      <c r="C1614" s="48" t="s">
        <v>6</v>
      </c>
      <c r="D1614" s="51">
        <v>1479.32</v>
      </c>
    </row>
    <row r="1615" spans="1:4" ht="13.5">
      <c r="A1615" s="49">
        <v>98010</v>
      </c>
      <c r="B1615" s="48" t="s">
        <v>19939</v>
      </c>
      <c r="C1615" s="48" t="s">
        <v>32</v>
      </c>
      <c r="D1615" s="51">
        <v>4378.42</v>
      </c>
    </row>
    <row r="1616" spans="1:4" ht="13.5">
      <c r="A1616" s="49">
        <v>98011</v>
      </c>
      <c r="B1616" s="48" t="s">
        <v>19940</v>
      </c>
      <c r="C1616" s="48" t="s">
        <v>6</v>
      </c>
      <c r="D1616" s="51">
        <v>1685.29</v>
      </c>
    </row>
    <row r="1617" spans="1:4" ht="13.5">
      <c r="A1617" s="49">
        <v>98012</v>
      </c>
      <c r="B1617" s="48" t="s">
        <v>19941</v>
      </c>
      <c r="C1617" s="48" t="s">
        <v>32</v>
      </c>
      <c r="D1617" s="51">
        <v>5146.3100000000004</v>
      </c>
    </row>
    <row r="1618" spans="1:4" ht="13.5">
      <c r="A1618" s="49">
        <v>98013</v>
      </c>
      <c r="B1618" s="48" t="s">
        <v>19942</v>
      </c>
      <c r="C1618" s="48" t="s">
        <v>6</v>
      </c>
      <c r="D1618" s="51">
        <v>1891.31</v>
      </c>
    </row>
    <row r="1619" spans="1:4" ht="13.5">
      <c r="A1619" s="49">
        <v>98014</v>
      </c>
      <c r="B1619" s="48" t="s">
        <v>19943</v>
      </c>
      <c r="C1619" s="48" t="s">
        <v>32</v>
      </c>
      <c r="D1619" s="51">
        <v>5914.15</v>
      </c>
    </row>
    <row r="1620" spans="1:4" ht="13.5">
      <c r="A1620" s="49">
        <v>98015</v>
      </c>
      <c r="B1620" s="48" t="s">
        <v>19944</v>
      </c>
      <c r="C1620" s="48" t="s">
        <v>6</v>
      </c>
      <c r="D1620" s="51">
        <v>2097.3000000000002</v>
      </c>
    </row>
    <row r="1621" spans="1:4" ht="13.5">
      <c r="A1621" s="49">
        <v>98016</v>
      </c>
      <c r="B1621" s="48" t="s">
        <v>19945</v>
      </c>
      <c r="C1621" s="48" t="s">
        <v>32</v>
      </c>
      <c r="D1621" s="51">
        <v>6685.36</v>
      </c>
    </row>
    <row r="1622" spans="1:4" ht="13.5">
      <c r="A1622" s="49">
        <v>98017</v>
      </c>
      <c r="B1622" s="48" t="s">
        <v>19946</v>
      </c>
      <c r="C1622" s="48" t="s">
        <v>6</v>
      </c>
      <c r="D1622" s="51">
        <v>2303.2600000000002</v>
      </c>
    </row>
    <row r="1623" spans="1:4" ht="13.5">
      <c r="A1623" s="49">
        <v>98018</v>
      </c>
      <c r="B1623" s="48" t="s">
        <v>19947</v>
      </c>
      <c r="C1623" s="48" t="s">
        <v>32</v>
      </c>
      <c r="D1623" s="51">
        <v>7449.94</v>
      </c>
    </row>
    <row r="1624" spans="1:4" ht="13.5">
      <c r="A1624" s="49">
        <v>98019</v>
      </c>
      <c r="B1624" s="48" t="s">
        <v>19948</v>
      </c>
      <c r="C1624" s="48" t="s">
        <v>6</v>
      </c>
      <c r="D1624" s="51">
        <v>2528.1999999999998</v>
      </c>
    </row>
    <row r="1625" spans="1:4" ht="13.5">
      <c r="A1625" s="49">
        <v>98020</v>
      </c>
      <c r="B1625" s="48" t="s">
        <v>19949</v>
      </c>
      <c r="C1625" s="48" t="s">
        <v>32</v>
      </c>
      <c r="D1625" s="51">
        <v>5279.88</v>
      </c>
    </row>
    <row r="1626" spans="1:4" ht="13.5">
      <c r="A1626" s="49">
        <v>98021</v>
      </c>
      <c r="B1626" s="48" t="s">
        <v>19950</v>
      </c>
      <c r="C1626" s="48" t="s">
        <v>6</v>
      </c>
      <c r="D1626" s="51">
        <v>1910.32</v>
      </c>
    </row>
    <row r="1627" spans="1:4" ht="13.5">
      <c r="A1627" s="49">
        <v>98022</v>
      </c>
      <c r="B1627" s="48" t="s">
        <v>19951</v>
      </c>
      <c r="C1627" s="48" t="s">
        <v>32</v>
      </c>
      <c r="D1627" s="51">
        <v>6199.24</v>
      </c>
    </row>
    <row r="1628" spans="1:4" ht="13.5">
      <c r="A1628" s="49">
        <v>98023</v>
      </c>
      <c r="B1628" s="48" t="s">
        <v>19952</v>
      </c>
      <c r="C1628" s="48" t="s">
        <v>6</v>
      </c>
      <c r="D1628" s="51">
        <v>2116.2600000000002</v>
      </c>
    </row>
    <row r="1629" spans="1:4" ht="13.5">
      <c r="A1629" s="49">
        <v>98024</v>
      </c>
      <c r="B1629" s="48" t="s">
        <v>19953</v>
      </c>
      <c r="C1629" s="48" t="s">
        <v>32</v>
      </c>
      <c r="D1629" s="51">
        <v>7170.99</v>
      </c>
    </row>
    <row r="1630" spans="1:4" ht="13.5">
      <c r="A1630" s="49">
        <v>98025</v>
      </c>
      <c r="B1630" s="48" t="s">
        <v>19954</v>
      </c>
      <c r="C1630" s="48" t="s">
        <v>6</v>
      </c>
      <c r="D1630" s="51">
        <v>2322.2800000000002</v>
      </c>
    </row>
    <row r="1631" spans="1:4" ht="13.5">
      <c r="A1631" s="49">
        <v>98026</v>
      </c>
      <c r="B1631" s="48" t="s">
        <v>19955</v>
      </c>
      <c r="C1631" s="48" t="s">
        <v>32</v>
      </c>
      <c r="D1631" s="51">
        <v>8091.92</v>
      </c>
    </row>
    <row r="1632" spans="1:4" ht="13.5">
      <c r="A1632" s="49">
        <v>98027</v>
      </c>
      <c r="B1632" s="48" t="s">
        <v>19956</v>
      </c>
      <c r="C1632" s="48" t="s">
        <v>6</v>
      </c>
      <c r="D1632" s="51">
        <v>2528.1999999999998</v>
      </c>
    </row>
    <row r="1633" spans="1:4" ht="13.5">
      <c r="A1633" s="49">
        <v>98028</v>
      </c>
      <c r="B1633" s="48" t="s">
        <v>19957</v>
      </c>
      <c r="C1633" s="48" t="s">
        <v>32</v>
      </c>
      <c r="D1633" s="51">
        <v>9012.9</v>
      </c>
    </row>
    <row r="1634" spans="1:4" ht="13.5">
      <c r="A1634" s="49">
        <v>98029</v>
      </c>
      <c r="B1634" s="48" t="s">
        <v>19958</v>
      </c>
      <c r="C1634" s="48" t="s">
        <v>6</v>
      </c>
      <c r="D1634" s="51">
        <v>2738.11</v>
      </c>
    </row>
    <row r="1635" spans="1:4" ht="13.5">
      <c r="A1635" s="49">
        <v>98030</v>
      </c>
      <c r="B1635" s="48" t="s">
        <v>19959</v>
      </c>
      <c r="C1635" s="48" t="s">
        <v>32</v>
      </c>
      <c r="D1635" s="51">
        <v>7327.46</v>
      </c>
    </row>
    <row r="1636" spans="1:4" ht="13.5">
      <c r="A1636" s="49">
        <v>98031</v>
      </c>
      <c r="B1636" s="48" t="s">
        <v>19960</v>
      </c>
      <c r="C1636" s="48" t="s">
        <v>6</v>
      </c>
      <c r="D1636" s="51">
        <v>2326.2399999999998</v>
      </c>
    </row>
    <row r="1637" spans="1:4" ht="13.5">
      <c r="A1637" s="49">
        <v>98032</v>
      </c>
      <c r="B1637" s="48" t="s">
        <v>19961</v>
      </c>
      <c r="C1637" s="48" t="s">
        <v>32</v>
      </c>
      <c r="D1637" s="51">
        <v>8432.32</v>
      </c>
    </row>
    <row r="1638" spans="1:4" ht="13.5">
      <c r="A1638" s="49">
        <v>98033</v>
      </c>
      <c r="B1638" s="48" t="s">
        <v>19962</v>
      </c>
      <c r="C1638" s="48" t="s">
        <v>6</v>
      </c>
      <c r="D1638" s="51">
        <v>2532.16</v>
      </c>
    </row>
    <row r="1639" spans="1:4" ht="13.5">
      <c r="A1639" s="49">
        <v>98034</v>
      </c>
      <c r="B1639" s="48" t="s">
        <v>19963</v>
      </c>
      <c r="C1639" s="48" t="s">
        <v>32</v>
      </c>
      <c r="D1639" s="51">
        <v>9537.09</v>
      </c>
    </row>
    <row r="1640" spans="1:4" ht="13.5">
      <c r="A1640" s="49">
        <v>98035</v>
      </c>
      <c r="B1640" s="48" t="s">
        <v>19964</v>
      </c>
      <c r="C1640" s="48" t="s">
        <v>6</v>
      </c>
      <c r="D1640" s="51">
        <v>2738.11</v>
      </c>
    </row>
    <row r="1641" spans="1:4" ht="13.5">
      <c r="A1641" s="49">
        <v>98036</v>
      </c>
      <c r="B1641" s="48" t="s">
        <v>19965</v>
      </c>
      <c r="C1641" s="48" t="s">
        <v>32</v>
      </c>
      <c r="D1641" s="51">
        <v>10641.97</v>
      </c>
    </row>
    <row r="1642" spans="1:4" ht="13.5">
      <c r="A1642" s="49">
        <v>98037</v>
      </c>
      <c r="B1642" s="48" t="s">
        <v>19966</v>
      </c>
      <c r="C1642" s="48" t="s">
        <v>6</v>
      </c>
      <c r="D1642" s="51">
        <v>2948.03</v>
      </c>
    </row>
    <row r="1643" spans="1:4" ht="13.5">
      <c r="A1643" s="49">
        <v>98038</v>
      </c>
      <c r="B1643" s="48" t="s">
        <v>19967</v>
      </c>
      <c r="C1643" s="48" t="s">
        <v>32</v>
      </c>
      <c r="D1643" s="51">
        <v>9732.5</v>
      </c>
    </row>
    <row r="1644" spans="1:4" ht="13.5">
      <c r="A1644" s="49">
        <v>98039</v>
      </c>
      <c r="B1644" s="48" t="s">
        <v>19968</v>
      </c>
      <c r="C1644" s="48" t="s">
        <v>6</v>
      </c>
      <c r="D1644" s="51">
        <v>2742.08</v>
      </c>
    </row>
    <row r="1645" spans="1:4" ht="13.5">
      <c r="A1645" s="49">
        <v>98040</v>
      </c>
      <c r="B1645" s="48" t="s">
        <v>19969</v>
      </c>
      <c r="C1645" s="48" t="s">
        <v>32</v>
      </c>
      <c r="D1645" s="51">
        <v>11002.03</v>
      </c>
    </row>
    <row r="1646" spans="1:4" ht="13.5">
      <c r="A1646" s="49">
        <v>98041</v>
      </c>
      <c r="B1646" s="48" t="s">
        <v>19970</v>
      </c>
      <c r="C1646" s="48" t="s">
        <v>6</v>
      </c>
      <c r="D1646" s="51">
        <v>2948.03</v>
      </c>
    </row>
    <row r="1647" spans="1:4" ht="13.5">
      <c r="A1647" s="49">
        <v>98042</v>
      </c>
      <c r="B1647" s="48" t="s">
        <v>19971</v>
      </c>
      <c r="C1647" s="48" t="s">
        <v>32</v>
      </c>
      <c r="D1647" s="51">
        <v>12271.54</v>
      </c>
    </row>
    <row r="1648" spans="1:4" ht="13.5">
      <c r="A1648" s="49">
        <v>98043</v>
      </c>
      <c r="B1648" s="48" t="s">
        <v>19972</v>
      </c>
      <c r="C1648" s="48" t="s">
        <v>6</v>
      </c>
      <c r="D1648" s="51">
        <v>3157.96</v>
      </c>
    </row>
    <row r="1649" spans="1:4" ht="13.5">
      <c r="A1649" s="49">
        <v>98044</v>
      </c>
      <c r="B1649" s="48" t="s">
        <v>19973</v>
      </c>
      <c r="C1649" s="48" t="s">
        <v>32</v>
      </c>
      <c r="D1649" s="51">
        <v>12455.86</v>
      </c>
    </row>
    <row r="1650" spans="1:4" ht="13.5">
      <c r="A1650" s="49">
        <v>98045</v>
      </c>
      <c r="B1650" s="48" t="s">
        <v>19974</v>
      </c>
      <c r="C1650" s="48" t="s">
        <v>6</v>
      </c>
      <c r="D1650" s="51">
        <v>3157.96</v>
      </c>
    </row>
    <row r="1651" spans="1:4" ht="13.5">
      <c r="A1651" s="49">
        <v>98046</v>
      </c>
      <c r="B1651" s="48" t="s">
        <v>19975</v>
      </c>
      <c r="C1651" s="48" t="s">
        <v>32</v>
      </c>
      <c r="D1651" s="51">
        <v>13901.07</v>
      </c>
    </row>
    <row r="1652" spans="1:4" ht="13.5">
      <c r="A1652" s="49">
        <v>98047</v>
      </c>
      <c r="B1652" s="48" t="s">
        <v>19976</v>
      </c>
      <c r="C1652" s="48" t="s">
        <v>6</v>
      </c>
      <c r="D1652" s="51">
        <v>3367.9</v>
      </c>
    </row>
    <row r="1653" spans="1:4" ht="13.5">
      <c r="A1653" s="49">
        <v>98048</v>
      </c>
      <c r="B1653" s="48" t="s">
        <v>19977</v>
      </c>
      <c r="C1653" s="48" t="s">
        <v>32</v>
      </c>
      <c r="D1653" s="51">
        <v>16144.1</v>
      </c>
    </row>
    <row r="1654" spans="1:4" ht="13.5">
      <c r="A1654" s="49">
        <v>98049</v>
      </c>
      <c r="B1654" s="48" t="s">
        <v>19978</v>
      </c>
      <c r="C1654" s="48" t="s">
        <v>6</v>
      </c>
      <c r="D1654" s="51">
        <v>3539.05</v>
      </c>
    </row>
    <row r="1655" spans="1:4" ht="13.5">
      <c r="A1655" s="49">
        <v>98050</v>
      </c>
      <c r="B1655" s="48" t="s">
        <v>19979</v>
      </c>
      <c r="C1655" s="48" t="s">
        <v>6</v>
      </c>
      <c r="D1655" s="50">
        <v>180.72</v>
      </c>
    </row>
    <row r="1656" spans="1:4" ht="13.5">
      <c r="A1656" s="49">
        <v>98051</v>
      </c>
      <c r="B1656" s="48" t="s">
        <v>19980</v>
      </c>
      <c r="C1656" s="48" t="s">
        <v>6</v>
      </c>
      <c r="D1656" s="50">
        <v>772.66</v>
      </c>
    </row>
    <row r="1657" spans="1:4" ht="13.5">
      <c r="A1657" s="49">
        <v>98405</v>
      </c>
      <c r="B1657" s="48" t="s">
        <v>19981</v>
      </c>
      <c r="C1657" s="48" t="s">
        <v>32</v>
      </c>
      <c r="D1657" s="51">
        <v>2214.42</v>
      </c>
    </row>
    <row r="1658" spans="1:4" ht="13.5">
      <c r="A1658" s="49">
        <v>98406</v>
      </c>
      <c r="B1658" s="48" t="s">
        <v>19982</v>
      </c>
      <c r="C1658" s="48" t="s">
        <v>32</v>
      </c>
      <c r="D1658" s="51">
        <v>5353.87</v>
      </c>
    </row>
    <row r="1659" spans="1:4" ht="13.5">
      <c r="A1659" s="49">
        <v>98407</v>
      </c>
      <c r="B1659" s="48" t="s">
        <v>19983</v>
      </c>
      <c r="C1659" s="48" t="s">
        <v>32</v>
      </c>
      <c r="D1659" s="51">
        <v>3496.29</v>
      </c>
    </row>
    <row r="1660" spans="1:4" ht="13.5">
      <c r="A1660" s="49">
        <v>98408</v>
      </c>
      <c r="B1660" s="48" t="s">
        <v>19984</v>
      </c>
      <c r="C1660" s="48" t="s">
        <v>32</v>
      </c>
      <c r="D1660" s="51">
        <v>4103.0600000000004</v>
      </c>
    </row>
    <row r="1661" spans="1:4" ht="13.5">
      <c r="A1661" s="49">
        <v>98409</v>
      </c>
      <c r="B1661" s="48" t="s">
        <v>19985</v>
      </c>
      <c r="C1661" s="48" t="s">
        <v>6</v>
      </c>
      <c r="D1661" s="50">
        <v>251.33</v>
      </c>
    </row>
    <row r="1662" spans="1:4" ht="13.5">
      <c r="A1662" s="49">
        <v>98410</v>
      </c>
      <c r="B1662" s="48" t="s">
        <v>19986</v>
      </c>
      <c r="C1662" s="48" t="s">
        <v>32</v>
      </c>
      <c r="D1662" s="50">
        <v>936.29</v>
      </c>
    </row>
    <row r="1663" spans="1:4" ht="13.5">
      <c r="A1663" s="49">
        <v>98414</v>
      </c>
      <c r="B1663" s="48" t="s">
        <v>19987</v>
      </c>
      <c r="C1663" s="48" t="s">
        <v>32</v>
      </c>
      <c r="D1663" s="50">
        <v>923.1</v>
      </c>
    </row>
    <row r="1664" spans="1:4" ht="13.5">
      <c r="A1664" s="49">
        <v>98415</v>
      </c>
      <c r="B1664" s="48" t="s">
        <v>3857</v>
      </c>
      <c r="C1664" s="48" t="s">
        <v>32</v>
      </c>
      <c r="D1664" s="51">
        <v>1108.75</v>
      </c>
    </row>
    <row r="1665" spans="1:4" ht="13.5">
      <c r="A1665" s="49">
        <v>98416</v>
      </c>
      <c r="B1665" s="48" t="s">
        <v>3858</v>
      </c>
      <c r="C1665" s="48" t="s">
        <v>32</v>
      </c>
      <c r="D1665" s="51">
        <v>1087.71</v>
      </c>
    </row>
    <row r="1666" spans="1:4" ht="13.5">
      <c r="A1666" s="49">
        <v>98417</v>
      </c>
      <c r="B1666" s="48" t="s">
        <v>3859</v>
      </c>
      <c r="C1666" s="48" t="s">
        <v>32</v>
      </c>
      <c r="D1666" s="51">
        <v>1252.33</v>
      </c>
    </row>
    <row r="1667" spans="1:4" ht="13.5">
      <c r="A1667" s="49">
        <v>98418</v>
      </c>
      <c r="B1667" s="48" t="s">
        <v>3860</v>
      </c>
      <c r="C1667" s="48" t="s">
        <v>32</v>
      </c>
      <c r="D1667" s="51">
        <v>1342.69</v>
      </c>
    </row>
    <row r="1668" spans="1:4" ht="13.5">
      <c r="A1668" s="49">
        <v>98419</v>
      </c>
      <c r="B1668" s="48" t="s">
        <v>3861</v>
      </c>
      <c r="C1668" s="48" t="s">
        <v>32</v>
      </c>
      <c r="D1668" s="51">
        <v>1433.05</v>
      </c>
    </row>
    <row r="1669" spans="1:4" ht="13.5">
      <c r="A1669" s="49">
        <v>98420</v>
      </c>
      <c r="B1669" s="48" t="s">
        <v>3862</v>
      </c>
      <c r="C1669" s="48" t="s">
        <v>32</v>
      </c>
      <c r="D1669" s="51">
        <v>1654.12</v>
      </c>
    </row>
    <row r="1670" spans="1:4" ht="13.5">
      <c r="A1670" s="49">
        <v>98421</v>
      </c>
      <c r="B1670" s="48" t="s">
        <v>3863</v>
      </c>
      <c r="C1670" s="48" t="s">
        <v>32</v>
      </c>
      <c r="D1670" s="51">
        <v>1818.73</v>
      </c>
    </row>
    <row r="1671" spans="1:4" ht="13.5">
      <c r="A1671" s="49">
        <v>98422</v>
      </c>
      <c r="B1671" s="48" t="s">
        <v>3864</v>
      </c>
      <c r="C1671" s="48" t="s">
        <v>32</v>
      </c>
      <c r="D1671" s="51">
        <v>1983.35</v>
      </c>
    </row>
    <row r="1672" spans="1:4" ht="13.5">
      <c r="A1672" s="49">
        <v>98423</v>
      </c>
      <c r="B1672" s="48" t="s">
        <v>3865</v>
      </c>
      <c r="C1672" s="48" t="s">
        <v>32</v>
      </c>
      <c r="D1672" s="51">
        <v>2073.71</v>
      </c>
    </row>
    <row r="1673" spans="1:4" ht="13.5">
      <c r="A1673" s="49">
        <v>98424</v>
      </c>
      <c r="B1673" s="48" t="s">
        <v>3866</v>
      </c>
      <c r="C1673" s="48" t="s">
        <v>32</v>
      </c>
      <c r="D1673" s="51">
        <v>2164.0700000000002</v>
      </c>
    </row>
    <row r="1674" spans="1:4" ht="13.5">
      <c r="A1674" s="49">
        <v>98425</v>
      </c>
      <c r="B1674" s="48" t="s">
        <v>3867</v>
      </c>
      <c r="C1674" s="48" t="s">
        <v>32</v>
      </c>
      <c r="D1674" s="51">
        <v>2643.8</v>
      </c>
    </row>
    <row r="1675" spans="1:4" ht="13.5">
      <c r="A1675" s="49">
        <v>98426</v>
      </c>
      <c r="B1675" s="48" t="s">
        <v>3868</v>
      </c>
      <c r="C1675" s="48" t="s">
        <v>32</v>
      </c>
      <c r="D1675" s="51">
        <v>3320.79</v>
      </c>
    </row>
    <row r="1676" spans="1:4" ht="13.5">
      <c r="A1676" s="49">
        <v>98427</v>
      </c>
      <c r="B1676" s="48" t="s">
        <v>3869</v>
      </c>
      <c r="C1676" s="48" t="s">
        <v>32</v>
      </c>
      <c r="D1676" s="51">
        <v>3997.79</v>
      </c>
    </row>
    <row r="1677" spans="1:4" ht="13.5">
      <c r="A1677" s="49">
        <v>98428</v>
      </c>
      <c r="B1677" s="48" t="s">
        <v>3870</v>
      </c>
      <c r="C1677" s="48" t="s">
        <v>32</v>
      </c>
      <c r="D1677" s="51">
        <v>4384.12</v>
      </c>
    </row>
    <row r="1678" spans="1:4" ht="13.5">
      <c r="A1678" s="49">
        <v>98429</v>
      </c>
      <c r="B1678" s="48" t="s">
        <v>3871</v>
      </c>
      <c r="C1678" s="48" t="s">
        <v>32</v>
      </c>
      <c r="D1678" s="51">
        <v>4770.45</v>
      </c>
    </row>
    <row r="1679" spans="1:4" ht="13.5">
      <c r="A1679" s="49">
        <v>98430</v>
      </c>
      <c r="B1679" s="48" t="s">
        <v>3872</v>
      </c>
      <c r="C1679" s="48" t="s">
        <v>32</v>
      </c>
      <c r="D1679" s="51">
        <v>3374.82</v>
      </c>
    </row>
    <row r="1680" spans="1:4" ht="13.5">
      <c r="A1680" s="49">
        <v>98431</v>
      </c>
      <c r="B1680" s="48" t="s">
        <v>3873</v>
      </c>
      <c r="C1680" s="48" t="s">
        <v>32</v>
      </c>
      <c r="D1680" s="51">
        <v>4051.81</v>
      </c>
    </row>
    <row r="1681" spans="1:4" ht="13.5">
      <c r="A1681" s="49">
        <v>98432</v>
      </c>
      <c r="B1681" s="48" t="s">
        <v>3874</v>
      </c>
      <c r="C1681" s="48" t="s">
        <v>32</v>
      </c>
      <c r="D1681" s="51">
        <v>4728.8100000000004</v>
      </c>
    </row>
    <row r="1682" spans="1:4" ht="13.5">
      <c r="A1682" s="49">
        <v>98433</v>
      </c>
      <c r="B1682" s="48" t="s">
        <v>3875</v>
      </c>
      <c r="C1682" s="48" t="s">
        <v>32</v>
      </c>
      <c r="D1682" s="51">
        <v>5115.1400000000003</v>
      </c>
    </row>
    <row r="1683" spans="1:4" ht="13.5">
      <c r="A1683" s="49">
        <v>98434</v>
      </c>
      <c r="B1683" s="48" t="s">
        <v>3876</v>
      </c>
      <c r="C1683" s="48" t="s">
        <v>32</v>
      </c>
      <c r="D1683" s="51">
        <v>5501.47</v>
      </c>
    </row>
    <row r="1684" spans="1:4" ht="13.5">
      <c r="A1684" s="49">
        <v>99240</v>
      </c>
      <c r="B1684" s="48" t="s">
        <v>19988</v>
      </c>
      <c r="C1684" s="48" t="s">
        <v>6</v>
      </c>
      <c r="D1684" s="50">
        <v>431.5</v>
      </c>
    </row>
    <row r="1685" spans="1:4" ht="13.5">
      <c r="A1685" s="49">
        <v>99241</v>
      </c>
      <c r="B1685" s="48" t="s">
        <v>19989</v>
      </c>
      <c r="C1685" s="48" t="s">
        <v>6</v>
      </c>
      <c r="D1685" s="51">
        <v>1416.2</v>
      </c>
    </row>
    <row r="1686" spans="1:4" ht="13.5">
      <c r="A1686" s="49">
        <v>99242</v>
      </c>
      <c r="B1686" s="48" t="s">
        <v>19990</v>
      </c>
      <c r="C1686" s="48" t="s">
        <v>32</v>
      </c>
      <c r="D1686" s="51">
        <v>2557.9699999999998</v>
      </c>
    </row>
    <row r="1687" spans="1:4" ht="13.5">
      <c r="A1687" s="49">
        <v>99243</v>
      </c>
      <c r="B1687" s="48" t="s">
        <v>19991</v>
      </c>
      <c r="C1687" s="48" t="s">
        <v>6</v>
      </c>
      <c r="D1687" s="51">
        <v>1272.7</v>
      </c>
    </row>
    <row r="1688" spans="1:4" ht="13.5">
      <c r="A1688" s="49">
        <v>99244</v>
      </c>
      <c r="B1688" s="48" t="s">
        <v>19992</v>
      </c>
      <c r="C1688" s="48" t="s">
        <v>32</v>
      </c>
      <c r="D1688" s="51">
        <v>4275.29</v>
      </c>
    </row>
    <row r="1689" spans="1:4" ht="13.5">
      <c r="A1689" s="49">
        <v>99246</v>
      </c>
      <c r="B1689" s="48" t="s">
        <v>19993</v>
      </c>
      <c r="C1689" s="48" t="s">
        <v>6</v>
      </c>
      <c r="D1689" s="50">
        <v>626.26</v>
      </c>
    </row>
    <row r="1690" spans="1:4" ht="13.5">
      <c r="A1690" s="49">
        <v>99247</v>
      </c>
      <c r="B1690" s="48" t="s">
        <v>19994</v>
      </c>
      <c r="C1690" s="48" t="s">
        <v>6</v>
      </c>
      <c r="D1690" s="51">
        <v>1612.9</v>
      </c>
    </row>
    <row r="1691" spans="1:4" ht="13.5">
      <c r="A1691" s="49">
        <v>99248</v>
      </c>
      <c r="B1691" s="48" t="s">
        <v>19995</v>
      </c>
      <c r="C1691" s="48" t="s">
        <v>32</v>
      </c>
      <c r="D1691" s="51">
        <v>3912.27</v>
      </c>
    </row>
    <row r="1692" spans="1:4" ht="13.5">
      <c r="A1692" s="49">
        <v>99249</v>
      </c>
      <c r="B1692" s="48" t="s">
        <v>19996</v>
      </c>
      <c r="C1692" s="48" t="s">
        <v>6</v>
      </c>
      <c r="D1692" s="51">
        <v>1556.79</v>
      </c>
    </row>
    <row r="1693" spans="1:4" ht="13.5">
      <c r="A1693" s="49">
        <v>99252</v>
      </c>
      <c r="B1693" s="48" t="s">
        <v>19997</v>
      </c>
      <c r="C1693" s="48" t="s">
        <v>32</v>
      </c>
      <c r="D1693" s="51">
        <v>2229.0300000000002</v>
      </c>
    </row>
    <row r="1694" spans="1:4" ht="13.5">
      <c r="A1694" s="49">
        <v>99254</v>
      </c>
      <c r="B1694" s="48" t="s">
        <v>19998</v>
      </c>
      <c r="C1694" s="48" t="s">
        <v>6</v>
      </c>
      <c r="D1694" s="51">
        <v>1022.83</v>
      </c>
    </row>
    <row r="1695" spans="1:4" ht="13.5">
      <c r="A1695" s="49">
        <v>99256</v>
      </c>
      <c r="B1695" s="48" t="s">
        <v>19999</v>
      </c>
      <c r="C1695" s="48" t="s">
        <v>32</v>
      </c>
      <c r="D1695" s="51">
        <v>5038.93</v>
      </c>
    </row>
    <row r="1696" spans="1:4" ht="13.5">
      <c r="A1696" s="49">
        <v>99259</v>
      </c>
      <c r="B1696" s="48" t="s">
        <v>20000</v>
      </c>
      <c r="C1696" s="48" t="s">
        <v>32</v>
      </c>
      <c r="D1696" s="51">
        <v>2821.01</v>
      </c>
    </row>
    <row r="1697" spans="1:4" ht="13.5">
      <c r="A1697" s="49">
        <v>99261</v>
      </c>
      <c r="B1697" s="48" t="s">
        <v>20001</v>
      </c>
      <c r="C1697" s="48" t="s">
        <v>6</v>
      </c>
      <c r="D1697" s="51">
        <v>1219.53</v>
      </c>
    </row>
    <row r="1698" spans="1:4" ht="13.5">
      <c r="A1698" s="49">
        <v>99263</v>
      </c>
      <c r="B1698" s="48" t="s">
        <v>20002</v>
      </c>
      <c r="C1698" s="48" t="s">
        <v>6</v>
      </c>
      <c r="D1698" s="51">
        <v>1809.62</v>
      </c>
    </row>
    <row r="1699" spans="1:4" ht="13.5">
      <c r="A1699" s="49">
        <v>99265</v>
      </c>
      <c r="B1699" s="48" t="s">
        <v>20003</v>
      </c>
      <c r="C1699" s="48" t="s">
        <v>32</v>
      </c>
      <c r="D1699" s="51">
        <v>3412.83</v>
      </c>
    </row>
    <row r="1700" spans="1:4" ht="13.5">
      <c r="A1700" s="49">
        <v>99266</v>
      </c>
      <c r="B1700" s="48" t="s">
        <v>20004</v>
      </c>
      <c r="C1700" s="48" t="s">
        <v>6</v>
      </c>
      <c r="D1700" s="51">
        <v>1416.2</v>
      </c>
    </row>
    <row r="1701" spans="1:4" ht="13.5">
      <c r="A1701" s="49">
        <v>99267</v>
      </c>
      <c r="B1701" s="48" t="s">
        <v>20005</v>
      </c>
      <c r="C1701" s="48" t="s">
        <v>32</v>
      </c>
      <c r="D1701" s="51">
        <v>4006.84</v>
      </c>
    </row>
    <row r="1702" spans="1:4" ht="13.5">
      <c r="A1702" s="49">
        <v>99268</v>
      </c>
      <c r="B1702" s="48" t="s">
        <v>20006</v>
      </c>
      <c r="C1702" s="48" t="s">
        <v>32</v>
      </c>
      <c r="D1702" s="50">
        <v>345.21</v>
      </c>
    </row>
    <row r="1703" spans="1:4" ht="13.5">
      <c r="A1703" s="49">
        <v>99269</v>
      </c>
      <c r="B1703" s="48" t="s">
        <v>20007</v>
      </c>
      <c r="C1703" s="48" t="s">
        <v>6</v>
      </c>
      <c r="D1703" s="51">
        <v>1612.9</v>
      </c>
    </row>
    <row r="1704" spans="1:4" ht="13.5">
      <c r="A1704" s="49">
        <v>99270</v>
      </c>
      <c r="B1704" s="48" t="s">
        <v>20008</v>
      </c>
      <c r="C1704" s="48" t="s">
        <v>32</v>
      </c>
      <c r="D1704" s="50">
        <v>451.85</v>
      </c>
    </row>
    <row r="1705" spans="1:4" ht="13.5">
      <c r="A1705" s="49">
        <v>99271</v>
      </c>
      <c r="B1705" s="48" t="s">
        <v>20009</v>
      </c>
      <c r="C1705" s="48" t="s">
        <v>32</v>
      </c>
      <c r="D1705" s="51">
        <v>5773.83</v>
      </c>
    </row>
    <row r="1706" spans="1:4" ht="13.5">
      <c r="A1706" s="49">
        <v>99272</v>
      </c>
      <c r="B1706" s="48" t="s">
        <v>20010</v>
      </c>
      <c r="C1706" s="48" t="s">
        <v>32</v>
      </c>
      <c r="D1706" s="50">
        <v>927.06</v>
      </c>
    </row>
    <row r="1707" spans="1:4" ht="13.5">
      <c r="A1707" s="49">
        <v>99273</v>
      </c>
      <c r="B1707" s="48" t="s">
        <v>20011</v>
      </c>
      <c r="C1707" s="48" t="s">
        <v>32</v>
      </c>
      <c r="D1707" s="51">
        <v>1281.07</v>
      </c>
    </row>
    <row r="1708" spans="1:4" ht="13.5">
      <c r="A1708" s="49">
        <v>99274</v>
      </c>
      <c r="B1708" s="48" t="s">
        <v>20012</v>
      </c>
      <c r="C1708" s="48" t="s">
        <v>32</v>
      </c>
      <c r="D1708" s="51">
        <v>4629.8599999999997</v>
      </c>
    </row>
    <row r="1709" spans="1:4" ht="13.5">
      <c r="A1709" s="49">
        <v>99275</v>
      </c>
      <c r="B1709" s="48" t="s">
        <v>20013</v>
      </c>
      <c r="C1709" s="48" t="s">
        <v>32</v>
      </c>
      <c r="D1709" s="50">
        <v>714.87</v>
      </c>
    </row>
    <row r="1710" spans="1:4" ht="13.5">
      <c r="A1710" s="49">
        <v>99276</v>
      </c>
      <c r="B1710" s="48" t="s">
        <v>20014</v>
      </c>
      <c r="C1710" s="48" t="s">
        <v>6</v>
      </c>
      <c r="D1710" s="51">
        <v>2006.32</v>
      </c>
    </row>
    <row r="1711" spans="1:4" ht="13.5">
      <c r="A1711" s="49">
        <v>99277</v>
      </c>
      <c r="B1711" s="48" t="s">
        <v>20015</v>
      </c>
      <c r="C1711" s="48" t="s">
        <v>6</v>
      </c>
      <c r="D1711" s="51">
        <v>1809.62</v>
      </c>
    </row>
    <row r="1712" spans="1:4" ht="13.5">
      <c r="A1712" s="49">
        <v>99278</v>
      </c>
      <c r="B1712" s="48" t="s">
        <v>20016</v>
      </c>
      <c r="C1712" s="48" t="s">
        <v>6</v>
      </c>
      <c r="D1712" s="50">
        <v>249.5</v>
      </c>
    </row>
    <row r="1713" spans="1:4" ht="13.5">
      <c r="A1713" s="49">
        <v>99279</v>
      </c>
      <c r="B1713" s="48" t="s">
        <v>20017</v>
      </c>
      <c r="C1713" s="48" t="s">
        <v>32</v>
      </c>
      <c r="D1713" s="51">
        <v>5225.9399999999996</v>
      </c>
    </row>
    <row r="1714" spans="1:4" ht="13.5">
      <c r="A1714" s="49">
        <v>99280</v>
      </c>
      <c r="B1714" s="48" t="s">
        <v>20018</v>
      </c>
      <c r="C1714" s="48" t="s">
        <v>32</v>
      </c>
      <c r="D1714" s="51">
        <v>1722.38</v>
      </c>
    </row>
    <row r="1715" spans="1:4" ht="13.5">
      <c r="A1715" s="49">
        <v>99281</v>
      </c>
      <c r="B1715" s="48" t="s">
        <v>20019</v>
      </c>
      <c r="C1715" s="48" t="s">
        <v>6</v>
      </c>
      <c r="D1715" s="51">
        <v>2006.32</v>
      </c>
    </row>
    <row r="1716" spans="1:4" ht="13.5">
      <c r="A1716" s="49">
        <v>99282</v>
      </c>
      <c r="B1716" s="48" t="s">
        <v>20020</v>
      </c>
      <c r="C1716" s="48" t="s">
        <v>6</v>
      </c>
      <c r="D1716" s="51">
        <v>2222.61</v>
      </c>
    </row>
    <row r="1717" spans="1:4" ht="13.5">
      <c r="A1717" s="49">
        <v>99283</v>
      </c>
      <c r="B1717" s="48" t="s">
        <v>20021</v>
      </c>
      <c r="C1717" s="48" t="s">
        <v>6</v>
      </c>
      <c r="D1717" s="50">
        <v>893.89</v>
      </c>
    </row>
    <row r="1718" spans="1:4" ht="13.5">
      <c r="A1718" s="49">
        <v>99284</v>
      </c>
      <c r="B1718" s="48" t="s">
        <v>20022</v>
      </c>
      <c r="C1718" s="48" t="s">
        <v>32</v>
      </c>
      <c r="D1718" s="51">
        <v>6523.19</v>
      </c>
    </row>
    <row r="1719" spans="1:4" ht="13.5">
      <c r="A1719" s="49">
        <v>99285</v>
      </c>
      <c r="B1719" s="48" t="s">
        <v>20023</v>
      </c>
      <c r="C1719" s="48" t="s">
        <v>32</v>
      </c>
      <c r="D1719" s="51">
        <v>1013.01</v>
      </c>
    </row>
    <row r="1720" spans="1:4" ht="13.5">
      <c r="A1720" s="49">
        <v>99286</v>
      </c>
      <c r="B1720" s="48" t="s">
        <v>20024</v>
      </c>
      <c r="C1720" s="48" t="s">
        <v>32</v>
      </c>
      <c r="D1720" s="51">
        <v>5817.35</v>
      </c>
    </row>
    <row r="1721" spans="1:4" ht="13.5">
      <c r="A1721" s="49">
        <v>99287</v>
      </c>
      <c r="B1721" s="48" t="s">
        <v>20025</v>
      </c>
      <c r="C1721" s="48" t="s">
        <v>32</v>
      </c>
      <c r="D1721" s="51">
        <v>8230.2099999999991</v>
      </c>
    </row>
    <row r="1722" spans="1:4" ht="13.5">
      <c r="A1722" s="49">
        <v>99288</v>
      </c>
      <c r="B1722" s="48" t="s">
        <v>20026</v>
      </c>
      <c r="C1722" s="48" t="s">
        <v>6</v>
      </c>
      <c r="D1722" s="50">
        <v>398.06</v>
      </c>
    </row>
    <row r="1723" spans="1:4" ht="13.5">
      <c r="A1723" s="49">
        <v>99289</v>
      </c>
      <c r="B1723" s="48" t="s">
        <v>20027</v>
      </c>
      <c r="C1723" s="48" t="s">
        <v>6</v>
      </c>
      <c r="D1723" s="51">
        <v>2157.62</v>
      </c>
    </row>
    <row r="1724" spans="1:4" ht="13.5">
      <c r="A1724" s="49">
        <v>99290</v>
      </c>
      <c r="B1724" s="48" t="s">
        <v>20028</v>
      </c>
      <c r="C1724" s="48" t="s">
        <v>32</v>
      </c>
      <c r="D1724" s="51">
        <v>3499.68</v>
      </c>
    </row>
    <row r="1725" spans="1:4" ht="13.5">
      <c r="A1725" s="49">
        <v>99291</v>
      </c>
      <c r="B1725" s="48" t="s">
        <v>20029</v>
      </c>
      <c r="C1725" s="48" t="s">
        <v>6</v>
      </c>
      <c r="D1725" s="51">
        <v>2203.0100000000002</v>
      </c>
    </row>
    <row r="1726" spans="1:4" ht="13.5">
      <c r="A1726" s="49">
        <v>99292</v>
      </c>
      <c r="B1726" s="48" t="s">
        <v>20030</v>
      </c>
      <c r="C1726" s="48" t="s">
        <v>32</v>
      </c>
      <c r="D1726" s="51">
        <v>2137.2399999999998</v>
      </c>
    </row>
    <row r="1727" spans="1:4" ht="13.5">
      <c r="A1727" s="49">
        <v>99293</v>
      </c>
      <c r="B1727" s="48" t="s">
        <v>20031</v>
      </c>
      <c r="C1727" s="48" t="s">
        <v>6</v>
      </c>
      <c r="D1727" s="51">
        <v>1083.27</v>
      </c>
    </row>
    <row r="1728" spans="1:4" ht="13.5">
      <c r="A1728" s="49">
        <v>99294</v>
      </c>
      <c r="B1728" s="48" t="s">
        <v>20032</v>
      </c>
      <c r="C1728" s="48" t="s">
        <v>32</v>
      </c>
      <c r="D1728" s="51">
        <v>7212.49</v>
      </c>
    </row>
    <row r="1729" spans="1:4" ht="13.5">
      <c r="A1729" s="49">
        <v>99296</v>
      </c>
      <c r="B1729" s="48" t="s">
        <v>20033</v>
      </c>
      <c r="C1729" s="48" t="s">
        <v>6</v>
      </c>
      <c r="D1729" s="51">
        <v>2419.2600000000002</v>
      </c>
    </row>
    <row r="1730" spans="1:4" ht="13.5">
      <c r="A1730" s="49">
        <v>99297</v>
      </c>
      <c r="B1730" s="48" t="s">
        <v>20034</v>
      </c>
      <c r="C1730" s="48" t="s">
        <v>6</v>
      </c>
      <c r="D1730" s="51">
        <v>2415.88</v>
      </c>
    </row>
    <row r="1731" spans="1:4" ht="13.5">
      <c r="A1731" s="49">
        <v>99298</v>
      </c>
      <c r="B1731" s="48" t="s">
        <v>20035</v>
      </c>
      <c r="C1731" s="48" t="s">
        <v>32</v>
      </c>
      <c r="D1731" s="51">
        <v>9307.66</v>
      </c>
    </row>
    <row r="1732" spans="1:4" ht="13.5">
      <c r="A1732" s="49">
        <v>99299</v>
      </c>
      <c r="B1732" s="48" t="s">
        <v>20036</v>
      </c>
      <c r="C1732" s="48" t="s">
        <v>6</v>
      </c>
      <c r="D1732" s="51">
        <v>2615.92</v>
      </c>
    </row>
    <row r="1733" spans="1:4" ht="13.5">
      <c r="A1733" s="49">
        <v>99300</v>
      </c>
      <c r="B1733" s="48" t="s">
        <v>20037</v>
      </c>
      <c r="C1733" s="48" t="s">
        <v>32</v>
      </c>
      <c r="D1733" s="51">
        <v>10385.36</v>
      </c>
    </row>
    <row r="1734" spans="1:4" ht="13.5">
      <c r="A1734" s="49">
        <v>99301</v>
      </c>
      <c r="B1734" s="48" t="s">
        <v>20038</v>
      </c>
      <c r="C1734" s="48" t="s">
        <v>32</v>
      </c>
      <c r="D1734" s="51">
        <v>5160.0200000000004</v>
      </c>
    </row>
    <row r="1735" spans="1:4" ht="13.5">
      <c r="A1735" s="49">
        <v>99302</v>
      </c>
      <c r="B1735" s="48" t="s">
        <v>20039</v>
      </c>
      <c r="C1735" s="48" t="s">
        <v>6</v>
      </c>
      <c r="D1735" s="51">
        <v>2815.98</v>
      </c>
    </row>
    <row r="1736" spans="1:4" ht="13.5">
      <c r="A1736" s="49">
        <v>99303</v>
      </c>
      <c r="B1736" s="48" t="s">
        <v>20040</v>
      </c>
      <c r="C1736" s="48" t="s">
        <v>32</v>
      </c>
      <c r="D1736" s="51">
        <v>9497.86</v>
      </c>
    </row>
    <row r="1737" spans="1:4" ht="13.5">
      <c r="A1737" s="49">
        <v>99304</v>
      </c>
      <c r="B1737" s="48" t="s">
        <v>20041</v>
      </c>
      <c r="C1737" s="48" t="s">
        <v>6</v>
      </c>
      <c r="D1737" s="51">
        <v>2619.3000000000002</v>
      </c>
    </row>
    <row r="1738" spans="1:4" ht="13.5">
      <c r="A1738" s="49">
        <v>99305</v>
      </c>
      <c r="B1738" s="48" t="s">
        <v>20042</v>
      </c>
      <c r="C1738" s="48" t="s">
        <v>32</v>
      </c>
      <c r="D1738" s="51">
        <v>10736.26</v>
      </c>
    </row>
    <row r="1739" spans="1:4" ht="13.5">
      <c r="A1739" s="49">
        <v>99306</v>
      </c>
      <c r="B1739" s="48" t="s">
        <v>20043</v>
      </c>
      <c r="C1739" s="48" t="s">
        <v>6</v>
      </c>
      <c r="D1739" s="51">
        <v>2815.98</v>
      </c>
    </row>
    <row r="1740" spans="1:4" ht="13.5">
      <c r="A1740" s="49">
        <v>99307</v>
      </c>
      <c r="B1740" s="48" t="s">
        <v>20044</v>
      </c>
      <c r="C1740" s="48" t="s">
        <v>6</v>
      </c>
      <c r="D1740" s="51">
        <v>1897.4</v>
      </c>
    </row>
    <row r="1741" spans="1:4" ht="13.5">
      <c r="A1741" s="49">
        <v>99308</v>
      </c>
      <c r="B1741" s="48" t="s">
        <v>20045</v>
      </c>
      <c r="C1741" s="48" t="s">
        <v>32</v>
      </c>
      <c r="D1741" s="51">
        <v>11970.67</v>
      </c>
    </row>
    <row r="1742" spans="1:4" ht="13.5">
      <c r="A1742" s="49">
        <v>99309</v>
      </c>
      <c r="B1742" s="48" t="s">
        <v>20046</v>
      </c>
      <c r="C1742" s="48" t="s">
        <v>6</v>
      </c>
      <c r="D1742" s="51">
        <v>3016.04</v>
      </c>
    </row>
    <row r="1743" spans="1:4" ht="13.5">
      <c r="A1743" s="49">
        <v>99310</v>
      </c>
      <c r="B1743" s="48" t="s">
        <v>20047</v>
      </c>
      <c r="C1743" s="48" t="s">
        <v>32</v>
      </c>
      <c r="D1743" s="51">
        <v>12167.04</v>
      </c>
    </row>
    <row r="1744" spans="1:4" ht="13.5">
      <c r="A1744" s="49">
        <v>99311</v>
      </c>
      <c r="B1744" s="48" t="s">
        <v>20048</v>
      </c>
      <c r="C1744" s="48" t="s">
        <v>6</v>
      </c>
      <c r="D1744" s="51">
        <v>3016.04</v>
      </c>
    </row>
    <row r="1745" spans="1:4" ht="13.5">
      <c r="A1745" s="49">
        <v>99312</v>
      </c>
      <c r="B1745" s="48" t="s">
        <v>20049</v>
      </c>
      <c r="C1745" s="48" t="s">
        <v>32</v>
      </c>
      <c r="D1745" s="51">
        <v>6051.72</v>
      </c>
    </row>
    <row r="1746" spans="1:4" ht="13.5">
      <c r="A1746" s="49">
        <v>99313</v>
      </c>
      <c r="B1746" s="48" t="s">
        <v>20050</v>
      </c>
      <c r="C1746" s="48" t="s">
        <v>32</v>
      </c>
      <c r="D1746" s="51">
        <v>13563.87</v>
      </c>
    </row>
    <row r="1747" spans="1:4" ht="13.5">
      <c r="A1747" s="49">
        <v>99314</v>
      </c>
      <c r="B1747" s="48" t="s">
        <v>20051</v>
      </c>
      <c r="C1747" s="48" t="s">
        <v>6</v>
      </c>
      <c r="D1747" s="51">
        <v>3216.12</v>
      </c>
    </row>
    <row r="1748" spans="1:4" ht="13.5">
      <c r="A1748" s="49">
        <v>99315</v>
      </c>
      <c r="B1748" s="48" t="s">
        <v>20052</v>
      </c>
      <c r="C1748" s="48" t="s">
        <v>32</v>
      </c>
      <c r="D1748" s="51">
        <v>15153.19</v>
      </c>
    </row>
    <row r="1749" spans="1:4" ht="13.5">
      <c r="A1749" s="49">
        <v>99317</v>
      </c>
      <c r="B1749" s="48" t="s">
        <v>20053</v>
      </c>
      <c r="C1749" s="48" t="s">
        <v>6</v>
      </c>
      <c r="D1749" s="51">
        <v>2022.51</v>
      </c>
    </row>
    <row r="1750" spans="1:4" ht="13.5">
      <c r="A1750" s="49">
        <v>99318</v>
      </c>
      <c r="B1750" s="48" t="s">
        <v>20054</v>
      </c>
      <c r="C1750" s="48" t="s">
        <v>6</v>
      </c>
      <c r="D1750" s="50">
        <v>179.9</v>
      </c>
    </row>
    <row r="1751" spans="1:4" ht="13.5">
      <c r="A1751" s="49">
        <v>99319</v>
      </c>
      <c r="B1751" s="48" t="s">
        <v>20055</v>
      </c>
      <c r="C1751" s="48" t="s">
        <v>6</v>
      </c>
      <c r="D1751" s="50">
        <v>718.76</v>
      </c>
    </row>
    <row r="1752" spans="1:4" ht="13.5">
      <c r="A1752" s="49">
        <v>99320</v>
      </c>
      <c r="B1752" s="48" t="s">
        <v>20056</v>
      </c>
      <c r="C1752" s="48" t="s">
        <v>32</v>
      </c>
      <c r="D1752" s="51">
        <v>7001.55</v>
      </c>
    </row>
    <row r="1753" spans="1:4" ht="13.5">
      <c r="A1753" s="49">
        <v>99321</v>
      </c>
      <c r="B1753" s="48" t="s">
        <v>20057</v>
      </c>
      <c r="C1753" s="48" t="s">
        <v>6</v>
      </c>
      <c r="D1753" s="51">
        <v>2219.23</v>
      </c>
    </row>
    <row r="1754" spans="1:4" ht="13.5">
      <c r="A1754" s="49">
        <v>99322</v>
      </c>
      <c r="B1754" s="48" t="s">
        <v>20058</v>
      </c>
      <c r="C1754" s="48" t="s">
        <v>32</v>
      </c>
      <c r="D1754" s="51">
        <v>7900.58</v>
      </c>
    </row>
    <row r="1755" spans="1:4" ht="13.5">
      <c r="A1755" s="49">
        <v>99323</v>
      </c>
      <c r="B1755" s="48" t="s">
        <v>20059</v>
      </c>
      <c r="C1755" s="48" t="s">
        <v>6</v>
      </c>
      <c r="D1755" s="51">
        <v>2415.88</v>
      </c>
    </row>
    <row r="1756" spans="1:4" ht="13.5">
      <c r="A1756" s="49">
        <v>99324</v>
      </c>
      <c r="B1756" s="48" t="s">
        <v>20060</v>
      </c>
      <c r="C1756" s="48" t="s">
        <v>32</v>
      </c>
      <c r="D1756" s="51">
        <v>8799.64</v>
      </c>
    </row>
    <row r="1757" spans="1:4" ht="13.5">
      <c r="A1757" s="49">
        <v>99325</v>
      </c>
      <c r="B1757" s="48" t="s">
        <v>20061</v>
      </c>
      <c r="C1757" s="48" t="s">
        <v>6</v>
      </c>
      <c r="D1757" s="51">
        <v>2615.92</v>
      </c>
    </row>
    <row r="1758" spans="1:4" ht="13.5">
      <c r="A1758" s="49">
        <v>99326</v>
      </c>
      <c r="B1758" s="48" t="s">
        <v>20062</v>
      </c>
      <c r="C1758" s="48" t="s">
        <v>32</v>
      </c>
      <c r="D1758" s="51">
        <v>7152.38</v>
      </c>
    </row>
    <row r="1759" spans="1:4" ht="13.5">
      <c r="A1759" s="49">
        <v>99327</v>
      </c>
      <c r="B1759" s="48" t="s">
        <v>20063</v>
      </c>
      <c r="C1759" s="48" t="s">
        <v>6</v>
      </c>
      <c r="D1759" s="51">
        <v>3383.1</v>
      </c>
    </row>
    <row r="1760" spans="1:4" ht="13.5">
      <c r="A1760" s="49">
        <v>101800</v>
      </c>
      <c r="B1760" s="48" t="s">
        <v>20064</v>
      </c>
      <c r="C1760" s="48" t="s">
        <v>32</v>
      </c>
      <c r="D1760" s="51">
        <v>1230.75</v>
      </c>
    </row>
    <row r="1761" spans="1:4" ht="13.5">
      <c r="A1761" s="49">
        <v>101801</v>
      </c>
      <c r="B1761" s="48" t="s">
        <v>20065</v>
      </c>
      <c r="C1761" s="48" t="s">
        <v>32</v>
      </c>
      <c r="D1761" s="51">
        <v>1015.54</v>
      </c>
    </row>
    <row r="1762" spans="1:4" ht="13.5">
      <c r="A1762" s="49">
        <v>101806</v>
      </c>
      <c r="B1762" s="48" t="s">
        <v>20066</v>
      </c>
      <c r="C1762" s="48" t="s">
        <v>32</v>
      </c>
      <c r="D1762" s="50">
        <v>444.96</v>
      </c>
    </row>
    <row r="1763" spans="1:4" ht="13.5">
      <c r="A1763" s="49">
        <v>101807</v>
      </c>
      <c r="B1763" s="48" t="s">
        <v>20067</v>
      </c>
      <c r="C1763" s="48" t="s">
        <v>32</v>
      </c>
      <c r="D1763" s="50">
        <v>408.77</v>
      </c>
    </row>
    <row r="1764" spans="1:4" ht="13.5">
      <c r="A1764" s="49">
        <v>101808</v>
      </c>
      <c r="B1764" s="48" t="s">
        <v>20068</v>
      </c>
      <c r="C1764" s="48" t="s">
        <v>32</v>
      </c>
      <c r="D1764" s="50">
        <v>336.11</v>
      </c>
    </row>
    <row r="1765" spans="1:4" ht="13.5">
      <c r="A1765" s="49">
        <v>101809</v>
      </c>
      <c r="B1765" s="48" t="s">
        <v>20069</v>
      </c>
      <c r="C1765" s="48" t="s">
        <v>32</v>
      </c>
      <c r="D1765" s="51">
        <v>2657.47</v>
      </c>
    </row>
    <row r="1766" spans="1:4" ht="13.5">
      <c r="A1766" s="49">
        <v>102139</v>
      </c>
      <c r="B1766" s="48" t="s">
        <v>20070</v>
      </c>
      <c r="C1766" s="48" t="s">
        <v>32</v>
      </c>
      <c r="D1766" s="51">
        <v>1285.44</v>
      </c>
    </row>
    <row r="1767" spans="1:4" ht="13.5">
      <c r="A1767" s="49">
        <v>102141</v>
      </c>
      <c r="B1767" s="48" t="s">
        <v>20071</v>
      </c>
      <c r="C1767" s="48" t="s">
        <v>32</v>
      </c>
      <c r="D1767" s="51">
        <v>2046.61</v>
      </c>
    </row>
    <row r="1768" spans="1:4" ht="13.5">
      <c r="A1768" s="49">
        <v>102142</v>
      </c>
      <c r="B1768" s="48" t="s">
        <v>20072</v>
      </c>
      <c r="C1768" s="48" t="s">
        <v>32</v>
      </c>
      <c r="D1768" s="51">
        <v>2012.55</v>
      </c>
    </row>
    <row r="1769" spans="1:4" ht="13.5">
      <c r="A1769" s="49">
        <v>102457</v>
      </c>
      <c r="B1769" s="48" t="s">
        <v>20073</v>
      </c>
      <c r="C1769" s="48" t="s">
        <v>32</v>
      </c>
      <c r="D1769" s="51">
        <v>1265.24</v>
      </c>
    </row>
    <row r="1770" spans="1:4" ht="13.5">
      <c r="A1770" s="49">
        <v>94263</v>
      </c>
      <c r="B1770" s="48" t="s">
        <v>3877</v>
      </c>
      <c r="C1770" s="48" t="s">
        <v>6</v>
      </c>
      <c r="D1770" s="50">
        <v>27.36</v>
      </c>
    </row>
    <row r="1771" spans="1:4" ht="13.5">
      <c r="A1771" s="49">
        <v>94264</v>
      </c>
      <c r="B1771" s="48" t="s">
        <v>3878</v>
      </c>
      <c r="C1771" s="48" t="s">
        <v>6</v>
      </c>
      <c r="D1771" s="50">
        <v>30.7</v>
      </c>
    </row>
    <row r="1772" spans="1:4" ht="13.5">
      <c r="A1772" s="49">
        <v>94265</v>
      </c>
      <c r="B1772" s="48" t="s">
        <v>3879</v>
      </c>
      <c r="C1772" s="48" t="s">
        <v>6</v>
      </c>
      <c r="D1772" s="50">
        <v>35.21</v>
      </c>
    </row>
    <row r="1773" spans="1:4" ht="13.5">
      <c r="A1773" s="49">
        <v>94266</v>
      </c>
      <c r="B1773" s="48" t="s">
        <v>3880</v>
      </c>
      <c r="C1773" s="48" t="s">
        <v>6</v>
      </c>
      <c r="D1773" s="50">
        <v>39.03</v>
      </c>
    </row>
    <row r="1774" spans="1:4" ht="13.5">
      <c r="A1774" s="49">
        <v>94267</v>
      </c>
      <c r="B1774" s="48" t="s">
        <v>3881</v>
      </c>
      <c r="C1774" s="48" t="s">
        <v>6</v>
      </c>
      <c r="D1774" s="50">
        <v>41.31</v>
      </c>
    </row>
    <row r="1775" spans="1:4" ht="13.5">
      <c r="A1775" s="49">
        <v>94268</v>
      </c>
      <c r="B1775" s="48" t="s">
        <v>3882</v>
      </c>
      <c r="C1775" s="48" t="s">
        <v>6</v>
      </c>
      <c r="D1775" s="50">
        <v>45.54</v>
      </c>
    </row>
    <row r="1776" spans="1:4" ht="13.5">
      <c r="A1776" s="49">
        <v>94269</v>
      </c>
      <c r="B1776" s="48" t="s">
        <v>3883</v>
      </c>
      <c r="C1776" s="48" t="s">
        <v>6</v>
      </c>
      <c r="D1776" s="50">
        <v>58.3</v>
      </c>
    </row>
    <row r="1777" spans="1:4" ht="13.5">
      <c r="A1777" s="49">
        <v>94270</v>
      </c>
      <c r="B1777" s="48" t="s">
        <v>3884</v>
      </c>
      <c r="C1777" s="48" t="s">
        <v>6</v>
      </c>
      <c r="D1777" s="50">
        <v>64.19</v>
      </c>
    </row>
    <row r="1778" spans="1:4" ht="13.5">
      <c r="A1778" s="49">
        <v>94271</v>
      </c>
      <c r="B1778" s="48" t="s">
        <v>3885</v>
      </c>
      <c r="C1778" s="48" t="s">
        <v>6</v>
      </c>
      <c r="D1778" s="50">
        <v>71.099999999999994</v>
      </c>
    </row>
    <row r="1779" spans="1:4" ht="13.5">
      <c r="A1779" s="49">
        <v>94272</v>
      </c>
      <c r="B1779" s="48" t="s">
        <v>3886</v>
      </c>
      <c r="C1779" s="48" t="s">
        <v>6</v>
      </c>
      <c r="D1779" s="50">
        <v>78.930000000000007</v>
      </c>
    </row>
    <row r="1780" spans="1:4" ht="13.5">
      <c r="A1780" s="49">
        <v>94273</v>
      </c>
      <c r="B1780" s="48" t="s">
        <v>3887</v>
      </c>
      <c r="C1780" s="48" t="s">
        <v>6</v>
      </c>
      <c r="D1780" s="50">
        <v>48.8</v>
      </c>
    </row>
    <row r="1781" spans="1:4" ht="13.5">
      <c r="A1781" s="49">
        <v>94274</v>
      </c>
      <c r="B1781" s="48" t="s">
        <v>3888</v>
      </c>
      <c r="C1781" s="48" t="s">
        <v>6</v>
      </c>
      <c r="D1781" s="50">
        <v>52.66</v>
      </c>
    </row>
    <row r="1782" spans="1:4" ht="13.5">
      <c r="A1782" s="49">
        <v>94275</v>
      </c>
      <c r="B1782" s="48" t="s">
        <v>3889</v>
      </c>
      <c r="C1782" s="48" t="s">
        <v>6</v>
      </c>
      <c r="D1782" s="50">
        <v>46.85</v>
      </c>
    </row>
    <row r="1783" spans="1:4" ht="13.5">
      <c r="A1783" s="49">
        <v>94276</v>
      </c>
      <c r="B1783" s="48" t="s">
        <v>3890</v>
      </c>
      <c r="C1783" s="48" t="s">
        <v>6</v>
      </c>
      <c r="D1783" s="50">
        <v>50.71</v>
      </c>
    </row>
    <row r="1784" spans="1:4" ht="13.5">
      <c r="A1784" s="49">
        <v>94277</v>
      </c>
      <c r="B1784" s="48" t="s">
        <v>20074</v>
      </c>
      <c r="C1784" s="48" t="s">
        <v>6</v>
      </c>
      <c r="D1784" s="50">
        <v>38.78</v>
      </c>
    </row>
    <row r="1785" spans="1:4" ht="13.5">
      <c r="A1785" s="49">
        <v>94278</v>
      </c>
      <c r="B1785" s="48" t="s">
        <v>20075</v>
      </c>
      <c r="C1785" s="48" t="s">
        <v>6</v>
      </c>
      <c r="D1785" s="50">
        <v>42.64</v>
      </c>
    </row>
    <row r="1786" spans="1:4" ht="13.5">
      <c r="A1786" s="49">
        <v>94279</v>
      </c>
      <c r="B1786" s="48" t="s">
        <v>20076</v>
      </c>
      <c r="C1786" s="48" t="s">
        <v>6</v>
      </c>
      <c r="D1786" s="50">
        <v>44.95</v>
      </c>
    </row>
    <row r="1787" spans="1:4" ht="13.5">
      <c r="A1787" s="49">
        <v>94280</v>
      </c>
      <c r="B1787" s="48" t="s">
        <v>20077</v>
      </c>
      <c r="C1787" s="48" t="s">
        <v>6</v>
      </c>
      <c r="D1787" s="50">
        <v>48.8</v>
      </c>
    </row>
    <row r="1788" spans="1:4" ht="13.5">
      <c r="A1788" s="49">
        <v>94281</v>
      </c>
      <c r="B1788" s="48" t="s">
        <v>3891</v>
      </c>
      <c r="C1788" s="48" t="s">
        <v>6</v>
      </c>
      <c r="D1788" s="50">
        <v>44.95</v>
      </c>
    </row>
    <row r="1789" spans="1:4" ht="13.5">
      <c r="A1789" s="49">
        <v>94282</v>
      </c>
      <c r="B1789" s="48" t="s">
        <v>3892</v>
      </c>
      <c r="C1789" s="48" t="s">
        <v>6</v>
      </c>
      <c r="D1789" s="50">
        <v>56.7</v>
      </c>
    </row>
    <row r="1790" spans="1:4" ht="13.5">
      <c r="A1790" s="49">
        <v>94283</v>
      </c>
      <c r="B1790" s="48" t="s">
        <v>3893</v>
      </c>
      <c r="C1790" s="48" t="s">
        <v>6</v>
      </c>
      <c r="D1790" s="50">
        <v>56.59</v>
      </c>
    </row>
    <row r="1791" spans="1:4" ht="13.5">
      <c r="A1791" s="49">
        <v>94284</v>
      </c>
      <c r="B1791" s="48" t="s">
        <v>3894</v>
      </c>
      <c r="C1791" s="48" t="s">
        <v>6</v>
      </c>
      <c r="D1791" s="50">
        <v>68.34</v>
      </c>
    </row>
    <row r="1792" spans="1:4" ht="13.5">
      <c r="A1792" s="49">
        <v>94285</v>
      </c>
      <c r="B1792" s="48" t="s">
        <v>3895</v>
      </c>
      <c r="C1792" s="48" t="s">
        <v>6</v>
      </c>
      <c r="D1792" s="50">
        <v>67.64</v>
      </c>
    </row>
    <row r="1793" spans="1:4" ht="13.5">
      <c r="A1793" s="49">
        <v>94286</v>
      </c>
      <c r="B1793" s="48" t="s">
        <v>3896</v>
      </c>
      <c r="C1793" s="48" t="s">
        <v>6</v>
      </c>
      <c r="D1793" s="50">
        <v>79.400000000000006</v>
      </c>
    </row>
    <row r="1794" spans="1:4" ht="13.5">
      <c r="A1794" s="49">
        <v>94287</v>
      </c>
      <c r="B1794" s="48" t="s">
        <v>3897</v>
      </c>
      <c r="C1794" s="48" t="s">
        <v>6</v>
      </c>
      <c r="D1794" s="50">
        <v>35.49</v>
      </c>
    </row>
    <row r="1795" spans="1:4" ht="13.5">
      <c r="A1795" s="49">
        <v>94288</v>
      </c>
      <c r="B1795" s="48" t="s">
        <v>3898</v>
      </c>
      <c r="C1795" s="48" t="s">
        <v>6</v>
      </c>
      <c r="D1795" s="50">
        <v>45.76</v>
      </c>
    </row>
    <row r="1796" spans="1:4" ht="13.5">
      <c r="A1796" s="49">
        <v>94289</v>
      </c>
      <c r="B1796" s="48" t="s">
        <v>3899</v>
      </c>
      <c r="C1796" s="48" t="s">
        <v>6</v>
      </c>
      <c r="D1796" s="50">
        <v>43.87</v>
      </c>
    </row>
    <row r="1797" spans="1:4" ht="13.5">
      <c r="A1797" s="49">
        <v>94290</v>
      </c>
      <c r="B1797" s="48" t="s">
        <v>3900</v>
      </c>
      <c r="C1797" s="48" t="s">
        <v>6</v>
      </c>
      <c r="D1797" s="50">
        <v>54.14</v>
      </c>
    </row>
    <row r="1798" spans="1:4" ht="13.5">
      <c r="A1798" s="49">
        <v>94291</v>
      </c>
      <c r="B1798" s="48" t="s">
        <v>3901</v>
      </c>
      <c r="C1798" s="48" t="s">
        <v>6</v>
      </c>
      <c r="D1798" s="50">
        <v>51.74</v>
      </c>
    </row>
    <row r="1799" spans="1:4" ht="13.5">
      <c r="A1799" s="49">
        <v>94292</v>
      </c>
      <c r="B1799" s="48" t="s">
        <v>3902</v>
      </c>
      <c r="C1799" s="48" t="s">
        <v>6</v>
      </c>
      <c r="D1799" s="50">
        <v>62.01</v>
      </c>
    </row>
    <row r="1800" spans="1:4" ht="13.5">
      <c r="A1800" s="49">
        <v>94293</v>
      </c>
      <c r="B1800" s="48" t="s">
        <v>3903</v>
      </c>
      <c r="C1800" s="48" t="s">
        <v>6</v>
      </c>
      <c r="D1800" s="50">
        <v>132.71</v>
      </c>
    </row>
    <row r="1801" spans="1:4" ht="13.5">
      <c r="A1801" s="49">
        <v>94294</v>
      </c>
      <c r="B1801" s="48" t="s">
        <v>3904</v>
      </c>
      <c r="C1801" s="48" t="s">
        <v>6</v>
      </c>
      <c r="D1801" s="50">
        <v>7.15</v>
      </c>
    </row>
    <row r="1802" spans="1:4" ht="13.5">
      <c r="A1802" s="49">
        <v>102727</v>
      </c>
      <c r="B1802" s="48" t="s">
        <v>20078</v>
      </c>
      <c r="C1802" s="48" t="s">
        <v>26764</v>
      </c>
      <c r="D1802" s="50">
        <v>94.22</v>
      </c>
    </row>
    <row r="1803" spans="1:4" ht="13.5">
      <c r="A1803" s="49">
        <v>102728</v>
      </c>
      <c r="B1803" s="48" t="s">
        <v>20079</v>
      </c>
      <c r="C1803" s="48" t="s">
        <v>8</v>
      </c>
      <c r="D1803" s="50">
        <v>19.27</v>
      </c>
    </row>
    <row r="1804" spans="1:4" ht="13.5">
      <c r="A1804" s="49">
        <v>102729</v>
      </c>
      <c r="B1804" s="48" t="s">
        <v>20080</v>
      </c>
      <c r="C1804" s="48" t="s">
        <v>8</v>
      </c>
      <c r="D1804" s="50">
        <v>18.41</v>
      </c>
    </row>
    <row r="1805" spans="1:4" ht="13.5">
      <c r="A1805" s="49">
        <v>102730</v>
      </c>
      <c r="B1805" s="48" t="s">
        <v>20081</v>
      </c>
      <c r="C1805" s="48" t="s">
        <v>8</v>
      </c>
      <c r="D1805" s="50">
        <v>16.62</v>
      </c>
    </row>
    <row r="1806" spans="1:4" ht="13.5">
      <c r="A1806" s="49">
        <v>102731</v>
      </c>
      <c r="B1806" s="48" t="s">
        <v>20082</v>
      </c>
      <c r="C1806" s="48" t="s">
        <v>8</v>
      </c>
      <c r="D1806" s="50">
        <v>14.11</v>
      </c>
    </row>
    <row r="1807" spans="1:4" ht="13.5">
      <c r="A1807" s="49">
        <v>102732</v>
      </c>
      <c r="B1807" s="48" t="s">
        <v>20083</v>
      </c>
      <c r="C1807" s="48" t="s">
        <v>8</v>
      </c>
      <c r="D1807" s="50">
        <v>13.54</v>
      </c>
    </row>
    <row r="1808" spans="1:4" ht="13.5">
      <c r="A1808" s="49">
        <v>102733</v>
      </c>
      <c r="B1808" s="48" t="s">
        <v>20084</v>
      </c>
      <c r="C1808" s="48" t="s">
        <v>8</v>
      </c>
      <c r="D1808" s="50">
        <v>15.31</v>
      </c>
    </row>
    <row r="1809" spans="1:4" ht="13.5">
      <c r="A1809" s="49">
        <v>102734</v>
      </c>
      <c r="B1809" s="48" t="s">
        <v>20085</v>
      </c>
      <c r="C1809" s="48" t="s">
        <v>8</v>
      </c>
      <c r="D1809" s="50">
        <v>18.100000000000001</v>
      </c>
    </row>
    <row r="1810" spans="1:4" ht="13.5">
      <c r="A1810" s="49">
        <v>102735</v>
      </c>
      <c r="B1810" s="48" t="s">
        <v>20086</v>
      </c>
      <c r="C1810" s="48" t="s">
        <v>8</v>
      </c>
      <c r="D1810" s="50">
        <v>17.489999999999998</v>
      </c>
    </row>
    <row r="1811" spans="1:4" ht="13.5">
      <c r="A1811" s="49">
        <v>102736</v>
      </c>
      <c r="B1811" s="48" t="s">
        <v>20087</v>
      </c>
      <c r="C1811" s="48" t="s">
        <v>28764</v>
      </c>
      <c r="D1811" s="50">
        <v>440.65</v>
      </c>
    </row>
    <row r="1812" spans="1:4" ht="13.5">
      <c r="A1812" s="49">
        <v>102737</v>
      </c>
      <c r="B1812" s="48" t="s">
        <v>20088</v>
      </c>
      <c r="C1812" s="48" t="s">
        <v>32</v>
      </c>
      <c r="D1812" s="51">
        <v>1098.8900000000001</v>
      </c>
    </row>
    <row r="1813" spans="1:4" ht="13.5">
      <c r="A1813" s="49">
        <v>102738</v>
      </c>
      <c r="B1813" s="48" t="s">
        <v>20089</v>
      </c>
      <c r="C1813" s="48" t="s">
        <v>32</v>
      </c>
      <c r="D1813" s="51">
        <v>2263.34</v>
      </c>
    </row>
    <row r="1814" spans="1:4" ht="13.5">
      <c r="A1814" s="49">
        <v>102739</v>
      </c>
      <c r="B1814" s="48" t="s">
        <v>20090</v>
      </c>
      <c r="C1814" s="48" t="s">
        <v>32</v>
      </c>
      <c r="D1814" s="51">
        <v>3808.07</v>
      </c>
    </row>
    <row r="1815" spans="1:4" ht="13.5">
      <c r="A1815" s="49">
        <v>102740</v>
      </c>
      <c r="B1815" s="48" t="s">
        <v>20091</v>
      </c>
      <c r="C1815" s="48" t="s">
        <v>32</v>
      </c>
      <c r="D1815" s="51">
        <v>5728.7</v>
      </c>
    </row>
    <row r="1816" spans="1:4" ht="13.5">
      <c r="A1816" s="49">
        <v>102741</v>
      </c>
      <c r="B1816" s="48" t="s">
        <v>20092</v>
      </c>
      <c r="C1816" s="48" t="s">
        <v>32</v>
      </c>
      <c r="D1816" s="51">
        <v>8065.63</v>
      </c>
    </row>
    <row r="1817" spans="1:4" ht="13.5">
      <c r="A1817" s="49">
        <v>102742</v>
      </c>
      <c r="B1817" s="48" t="s">
        <v>20093</v>
      </c>
      <c r="C1817" s="48" t="s">
        <v>32</v>
      </c>
      <c r="D1817" s="51">
        <v>14006.06</v>
      </c>
    </row>
    <row r="1818" spans="1:4" ht="13.5">
      <c r="A1818" s="49">
        <v>102743</v>
      </c>
      <c r="B1818" s="48" t="s">
        <v>20094</v>
      </c>
      <c r="C1818" s="48" t="s">
        <v>32</v>
      </c>
      <c r="D1818" s="51">
        <v>4593.57</v>
      </c>
    </row>
    <row r="1819" spans="1:4" ht="13.5">
      <c r="A1819" s="49">
        <v>102744</v>
      </c>
      <c r="B1819" s="48" t="s">
        <v>20095</v>
      </c>
      <c r="C1819" s="48" t="s">
        <v>32</v>
      </c>
      <c r="D1819" s="51">
        <v>6909.29</v>
      </c>
    </row>
    <row r="1820" spans="1:4" ht="13.5">
      <c r="A1820" s="49">
        <v>102745</v>
      </c>
      <c r="B1820" s="48" t="s">
        <v>20096</v>
      </c>
      <c r="C1820" s="48" t="s">
        <v>32</v>
      </c>
      <c r="D1820" s="51">
        <v>9744.39</v>
      </c>
    </row>
    <row r="1821" spans="1:4" ht="13.5">
      <c r="A1821" s="49">
        <v>102746</v>
      </c>
      <c r="B1821" s="48" t="s">
        <v>20097</v>
      </c>
      <c r="C1821" s="48" t="s">
        <v>32</v>
      </c>
      <c r="D1821" s="51">
        <v>16944.29</v>
      </c>
    </row>
    <row r="1822" spans="1:4" ht="13.5">
      <c r="A1822" s="49">
        <v>102747</v>
      </c>
      <c r="B1822" s="48" t="s">
        <v>20098</v>
      </c>
      <c r="C1822" s="48" t="s">
        <v>32</v>
      </c>
      <c r="D1822" s="51">
        <v>8570.7199999999993</v>
      </c>
    </row>
    <row r="1823" spans="1:4" ht="13.5">
      <c r="A1823" s="49">
        <v>102748</v>
      </c>
      <c r="B1823" s="48" t="s">
        <v>20099</v>
      </c>
      <c r="C1823" s="48" t="s">
        <v>32</v>
      </c>
      <c r="D1823" s="51">
        <v>12034.1</v>
      </c>
    </row>
    <row r="1824" spans="1:4" ht="13.5">
      <c r="A1824" s="49">
        <v>102749</v>
      </c>
      <c r="B1824" s="48" t="s">
        <v>20100</v>
      </c>
      <c r="C1824" s="48" t="s">
        <v>32</v>
      </c>
      <c r="D1824" s="51">
        <v>20720.84</v>
      </c>
    </row>
    <row r="1825" spans="1:4" ht="13.5">
      <c r="A1825" s="49">
        <v>102750</v>
      </c>
      <c r="B1825" s="48" t="s">
        <v>20101</v>
      </c>
      <c r="C1825" s="48" t="s">
        <v>32</v>
      </c>
      <c r="D1825" s="51">
        <v>2766.27</v>
      </c>
    </row>
    <row r="1826" spans="1:4" ht="13.5">
      <c r="A1826" s="49">
        <v>102751</v>
      </c>
      <c r="B1826" s="48" t="s">
        <v>20102</v>
      </c>
      <c r="C1826" s="48" t="s">
        <v>32</v>
      </c>
      <c r="D1826" s="51">
        <v>4842.12</v>
      </c>
    </row>
    <row r="1827" spans="1:4" ht="13.5">
      <c r="A1827" s="49">
        <v>102752</v>
      </c>
      <c r="B1827" s="48" t="s">
        <v>20103</v>
      </c>
      <c r="C1827" s="48" t="s">
        <v>32</v>
      </c>
      <c r="D1827" s="51">
        <v>7755.32</v>
      </c>
    </row>
    <row r="1828" spans="1:4" ht="13.5">
      <c r="A1828" s="49">
        <v>102753</v>
      </c>
      <c r="B1828" s="48" t="s">
        <v>20104</v>
      </c>
      <c r="C1828" s="48" t="s">
        <v>32</v>
      </c>
      <c r="D1828" s="51">
        <v>11533.5</v>
      </c>
    </row>
    <row r="1829" spans="1:4" ht="13.5">
      <c r="A1829" s="49">
        <v>102754</v>
      </c>
      <c r="B1829" s="48" t="s">
        <v>20105</v>
      </c>
      <c r="C1829" s="48" t="s">
        <v>32</v>
      </c>
      <c r="D1829" s="51">
        <v>21988.16</v>
      </c>
    </row>
    <row r="1830" spans="1:4" ht="13.5">
      <c r="A1830" s="49">
        <v>102755</v>
      </c>
      <c r="B1830" s="48" t="s">
        <v>20106</v>
      </c>
      <c r="C1830" s="48" t="s">
        <v>32</v>
      </c>
      <c r="D1830" s="51">
        <v>10836.16</v>
      </c>
    </row>
    <row r="1831" spans="1:4" ht="13.5">
      <c r="A1831" s="49">
        <v>102756</v>
      </c>
      <c r="B1831" s="48" t="s">
        <v>20107</v>
      </c>
      <c r="C1831" s="48" t="s">
        <v>32</v>
      </c>
      <c r="D1831" s="51">
        <v>16168.73</v>
      </c>
    </row>
    <row r="1832" spans="1:4" ht="13.5">
      <c r="A1832" s="49">
        <v>102757</v>
      </c>
      <c r="B1832" s="48" t="s">
        <v>20108</v>
      </c>
      <c r="C1832" s="48" t="s">
        <v>32</v>
      </c>
      <c r="D1832" s="51">
        <v>30162.91</v>
      </c>
    </row>
    <row r="1833" spans="1:4" ht="13.5">
      <c r="A1833" s="49">
        <v>102758</v>
      </c>
      <c r="B1833" s="48" t="s">
        <v>20109</v>
      </c>
      <c r="C1833" s="48" t="s">
        <v>32</v>
      </c>
      <c r="D1833" s="51">
        <v>13933.07</v>
      </c>
    </row>
    <row r="1834" spans="1:4" ht="13.5">
      <c r="A1834" s="49">
        <v>102759</v>
      </c>
      <c r="B1834" s="48" t="s">
        <v>20110</v>
      </c>
      <c r="C1834" s="48" t="s">
        <v>32</v>
      </c>
      <c r="D1834" s="51">
        <v>20828.45</v>
      </c>
    </row>
    <row r="1835" spans="1:4" ht="13.5">
      <c r="A1835" s="49">
        <v>102760</v>
      </c>
      <c r="B1835" s="48" t="s">
        <v>20111</v>
      </c>
      <c r="C1835" s="48" t="s">
        <v>32</v>
      </c>
      <c r="D1835" s="51">
        <v>38496.589999999997</v>
      </c>
    </row>
    <row r="1836" spans="1:4" ht="13.5">
      <c r="A1836" s="49">
        <v>102761</v>
      </c>
      <c r="B1836" s="48" t="s">
        <v>20112</v>
      </c>
      <c r="C1836" s="48" t="s">
        <v>32</v>
      </c>
      <c r="D1836" s="51">
        <v>13134.26</v>
      </c>
    </row>
    <row r="1837" spans="1:4" ht="13.5">
      <c r="A1837" s="49">
        <v>102762</v>
      </c>
      <c r="B1837" s="48" t="s">
        <v>20113</v>
      </c>
      <c r="C1837" s="48" t="s">
        <v>32</v>
      </c>
      <c r="D1837" s="51">
        <v>20362.63</v>
      </c>
    </row>
    <row r="1838" spans="1:4" ht="13.5">
      <c r="A1838" s="49">
        <v>102763</v>
      </c>
      <c r="B1838" s="48" t="s">
        <v>20114</v>
      </c>
      <c r="C1838" s="48" t="s">
        <v>32</v>
      </c>
      <c r="D1838" s="51">
        <v>28500.01</v>
      </c>
    </row>
    <row r="1839" spans="1:4" ht="13.5">
      <c r="A1839" s="49">
        <v>102764</v>
      </c>
      <c r="B1839" s="48" t="s">
        <v>20115</v>
      </c>
      <c r="C1839" s="48" t="s">
        <v>32</v>
      </c>
      <c r="D1839" s="51">
        <v>40473.919999999998</v>
      </c>
    </row>
    <row r="1840" spans="1:4" ht="13.5">
      <c r="A1840" s="49">
        <v>102765</v>
      </c>
      <c r="B1840" s="48" t="s">
        <v>20116</v>
      </c>
      <c r="C1840" s="48" t="s">
        <v>32</v>
      </c>
      <c r="D1840" s="51">
        <v>16198.01</v>
      </c>
    </row>
    <row r="1841" spans="1:4" ht="13.5">
      <c r="A1841" s="49">
        <v>102766</v>
      </c>
      <c r="B1841" s="48" t="s">
        <v>20117</v>
      </c>
      <c r="C1841" s="48" t="s">
        <v>32</v>
      </c>
      <c r="D1841" s="51">
        <v>24520.73</v>
      </c>
    </row>
    <row r="1842" spans="1:4" ht="13.5">
      <c r="A1842" s="49">
        <v>102767</v>
      </c>
      <c r="B1842" s="48" t="s">
        <v>20118</v>
      </c>
      <c r="C1842" s="48" t="s">
        <v>32</v>
      </c>
      <c r="D1842" s="51">
        <v>34700.57</v>
      </c>
    </row>
    <row r="1843" spans="1:4" ht="13.5">
      <c r="A1843" s="49">
        <v>102768</v>
      </c>
      <c r="B1843" s="48" t="s">
        <v>20119</v>
      </c>
      <c r="C1843" s="48" t="s">
        <v>32</v>
      </c>
      <c r="D1843" s="51">
        <v>48902.84</v>
      </c>
    </row>
    <row r="1844" spans="1:4" ht="13.5">
      <c r="A1844" s="49">
        <v>102769</v>
      </c>
      <c r="B1844" s="48" t="s">
        <v>20120</v>
      </c>
      <c r="C1844" s="48" t="s">
        <v>32</v>
      </c>
      <c r="D1844" s="51">
        <v>18625.560000000001</v>
      </c>
    </row>
    <row r="1845" spans="1:4" ht="13.5">
      <c r="A1845" s="49">
        <v>102770</v>
      </c>
      <c r="B1845" s="48" t="s">
        <v>20121</v>
      </c>
      <c r="C1845" s="48" t="s">
        <v>32</v>
      </c>
      <c r="D1845" s="51">
        <v>28753.62</v>
      </c>
    </row>
    <row r="1846" spans="1:4" ht="13.5">
      <c r="A1846" s="49">
        <v>102771</v>
      </c>
      <c r="B1846" s="48" t="s">
        <v>20122</v>
      </c>
      <c r="C1846" s="48" t="s">
        <v>32</v>
      </c>
      <c r="D1846" s="51">
        <v>40661.24</v>
      </c>
    </row>
    <row r="1847" spans="1:4" ht="13.5">
      <c r="A1847" s="49">
        <v>102772</v>
      </c>
      <c r="B1847" s="48" t="s">
        <v>20123</v>
      </c>
      <c r="C1847" s="48" t="s">
        <v>32</v>
      </c>
      <c r="D1847" s="51">
        <v>58006.81</v>
      </c>
    </row>
    <row r="1848" spans="1:4" ht="13.5">
      <c r="A1848" s="49">
        <v>102773</v>
      </c>
      <c r="B1848" s="48" t="s">
        <v>20124</v>
      </c>
      <c r="C1848" s="48" t="s">
        <v>32</v>
      </c>
      <c r="D1848" s="51">
        <v>7322.48</v>
      </c>
    </row>
    <row r="1849" spans="1:4" ht="13.5">
      <c r="A1849" s="49">
        <v>102774</v>
      </c>
      <c r="B1849" s="48" t="s">
        <v>20125</v>
      </c>
      <c r="C1849" s="48" t="s">
        <v>32</v>
      </c>
      <c r="D1849" s="51">
        <v>7322.48</v>
      </c>
    </row>
    <row r="1850" spans="1:4" ht="13.5">
      <c r="A1850" s="49">
        <v>102775</v>
      </c>
      <c r="B1850" s="48" t="s">
        <v>20126</v>
      </c>
      <c r="C1850" s="48" t="s">
        <v>32</v>
      </c>
      <c r="D1850" s="51">
        <v>10942.04</v>
      </c>
    </row>
    <row r="1851" spans="1:4" ht="13.5">
      <c r="A1851" s="49">
        <v>102776</v>
      </c>
      <c r="B1851" s="48" t="s">
        <v>20127</v>
      </c>
      <c r="C1851" s="48" t="s">
        <v>32</v>
      </c>
      <c r="D1851" s="51">
        <v>10942.04</v>
      </c>
    </row>
    <row r="1852" spans="1:4" ht="13.5">
      <c r="A1852" s="49">
        <v>102777</v>
      </c>
      <c r="B1852" s="48" t="s">
        <v>20128</v>
      </c>
      <c r="C1852" s="48" t="s">
        <v>32</v>
      </c>
      <c r="D1852" s="51">
        <v>16569.03</v>
      </c>
    </row>
    <row r="1853" spans="1:4" ht="13.5">
      <c r="A1853" s="49">
        <v>102778</v>
      </c>
      <c r="B1853" s="48" t="s">
        <v>20129</v>
      </c>
      <c r="C1853" s="48" t="s">
        <v>32</v>
      </c>
      <c r="D1853" s="51">
        <v>24689.06</v>
      </c>
    </row>
    <row r="1854" spans="1:4" ht="13.5">
      <c r="A1854" s="49">
        <v>102779</v>
      </c>
      <c r="B1854" s="48" t="s">
        <v>20130</v>
      </c>
      <c r="C1854" s="48" t="s">
        <v>32</v>
      </c>
      <c r="D1854" s="51">
        <v>7322.48</v>
      </c>
    </row>
    <row r="1855" spans="1:4" ht="13.5">
      <c r="A1855" s="49">
        <v>102780</v>
      </c>
      <c r="B1855" s="48" t="s">
        <v>20131</v>
      </c>
      <c r="C1855" s="48" t="s">
        <v>32</v>
      </c>
      <c r="D1855" s="51">
        <v>8425.02</v>
      </c>
    </row>
    <row r="1856" spans="1:4" ht="13.5">
      <c r="A1856" s="49">
        <v>102781</v>
      </c>
      <c r="B1856" s="48" t="s">
        <v>20132</v>
      </c>
      <c r="C1856" s="48" t="s">
        <v>32</v>
      </c>
      <c r="D1856" s="51">
        <v>12497.02</v>
      </c>
    </row>
    <row r="1857" spans="1:4" ht="13.5">
      <c r="A1857" s="49">
        <v>102782</v>
      </c>
      <c r="B1857" s="48" t="s">
        <v>20133</v>
      </c>
      <c r="C1857" s="48" t="s">
        <v>32</v>
      </c>
      <c r="D1857" s="51">
        <v>13906.69</v>
      </c>
    </row>
    <row r="1858" spans="1:4" ht="13.5">
      <c r="A1858" s="49">
        <v>102783</v>
      </c>
      <c r="B1858" s="48" t="s">
        <v>20134</v>
      </c>
      <c r="C1858" s="48" t="s">
        <v>32</v>
      </c>
      <c r="D1858" s="51">
        <v>18431.14</v>
      </c>
    </row>
    <row r="1859" spans="1:4" ht="13.5">
      <c r="A1859" s="49">
        <v>102784</v>
      </c>
      <c r="B1859" s="48" t="s">
        <v>20135</v>
      </c>
      <c r="C1859" s="48" t="s">
        <v>32</v>
      </c>
      <c r="D1859" s="51">
        <v>28749.07</v>
      </c>
    </row>
    <row r="1860" spans="1:4" ht="13.5">
      <c r="A1860" s="49">
        <v>102785</v>
      </c>
      <c r="B1860" s="48" t="s">
        <v>20136</v>
      </c>
      <c r="C1860" s="48" t="s">
        <v>32</v>
      </c>
      <c r="D1860" s="51">
        <v>8425.02</v>
      </c>
    </row>
    <row r="1861" spans="1:4" ht="13.5">
      <c r="A1861" s="49">
        <v>102786</v>
      </c>
      <c r="B1861" s="48" t="s">
        <v>20137</v>
      </c>
      <c r="C1861" s="48" t="s">
        <v>32</v>
      </c>
      <c r="D1861" s="51">
        <v>9382.24</v>
      </c>
    </row>
    <row r="1862" spans="1:4" ht="13.5">
      <c r="A1862" s="49">
        <v>102787</v>
      </c>
      <c r="B1862" s="48" t="s">
        <v>20138</v>
      </c>
      <c r="C1862" s="48" t="s">
        <v>32</v>
      </c>
      <c r="D1862" s="51">
        <v>13906.69</v>
      </c>
    </row>
    <row r="1863" spans="1:4" ht="13.5">
      <c r="A1863" s="49">
        <v>102788</v>
      </c>
      <c r="B1863" s="48" t="s">
        <v>20139</v>
      </c>
      <c r="C1863" s="48" t="s">
        <v>32</v>
      </c>
      <c r="D1863" s="51">
        <v>15289.1</v>
      </c>
    </row>
    <row r="1864" spans="1:4" ht="13.5">
      <c r="A1864" s="49">
        <v>102789</v>
      </c>
      <c r="B1864" s="48" t="s">
        <v>20140</v>
      </c>
      <c r="C1864" s="48" t="s">
        <v>32</v>
      </c>
      <c r="D1864" s="51">
        <v>20129.759999999998</v>
      </c>
    </row>
    <row r="1865" spans="1:4" ht="13.5">
      <c r="A1865" s="49">
        <v>102790</v>
      </c>
      <c r="B1865" s="48" t="s">
        <v>20141</v>
      </c>
      <c r="C1865" s="48" t="s">
        <v>32</v>
      </c>
      <c r="D1865" s="51">
        <v>33263.21</v>
      </c>
    </row>
    <row r="1866" spans="1:4" ht="13.5">
      <c r="A1866" s="49">
        <v>102791</v>
      </c>
      <c r="B1866" s="48" t="s">
        <v>20142</v>
      </c>
      <c r="C1866" s="48" t="s">
        <v>32</v>
      </c>
      <c r="D1866" s="51">
        <v>26742.16</v>
      </c>
    </row>
    <row r="1867" spans="1:4" ht="13.5">
      <c r="A1867" s="49">
        <v>102792</v>
      </c>
      <c r="B1867" s="48" t="s">
        <v>20143</v>
      </c>
      <c r="C1867" s="48" t="s">
        <v>32</v>
      </c>
      <c r="D1867" s="51">
        <v>43520.31</v>
      </c>
    </row>
    <row r="1868" spans="1:4" ht="13.5">
      <c r="A1868" s="49">
        <v>102793</v>
      </c>
      <c r="B1868" s="48" t="s">
        <v>20144</v>
      </c>
      <c r="C1868" s="48" t="s">
        <v>32</v>
      </c>
      <c r="D1868" s="51">
        <v>58611.51</v>
      </c>
    </row>
    <row r="1869" spans="1:4" ht="13.5">
      <c r="A1869" s="49">
        <v>102794</v>
      </c>
      <c r="B1869" s="48" t="s">
        <v>20145</v>
      </c>
      <c r="C1869" s="48" t="s">
        <v>32</v>
      </c>
      <c r="D1869" s="51">
        <v>84012.91</v>
      </c>
    </row>
    <row r="1870" spans="1:4" ht="13.5">
      <c r="A1870" s="49">
        <v>102795</v>
      </c>
      <c r="B1870" s="48" t="s">
        <v>20146</v>
      </c>
      <c r="C1870" s="48" t="s">
        <v>32</v>
      </c>
      <c r="D1870" s="51">
        <v>28523.46</v>
      </c>
    </row>
    <row r="1871" spans="1:4" ht="13.5">
      <c r="A1871" s="49">
        <v>102796</v>
      </c>
      <c r="B1871" s="48" t="s">
        <v>20147</v>
      </c>
      <c r="C1871" s="48" t="s">
        <v>32</v>
      </c>
      <c r="D1871" s="51">
        <v>46029.86</v>
      </c>
    </row>
    <row r="1872" spans="1:4" ht="13.5">
      <c r="A1872" s="49">
        <v>102797</v>
      </c>
      <c r="B1872" s="48" t="s">
        <v>20148</v>
      </c>
      <c r="C1872" s="48" t="s">
        <v>32</v>
      </c>
      <c r="D1872" s="51">
        <v>65260.43</v>
      </c>
    </row>
    <row r="1873" spans="1:4" ht="13.5">
      <c r="A1873" s="49">
        <v>102798</v>
      </c>
      <c r="B1873" s="48" t="s">
        <v>20149</v>
      </c>
      <c r="C1873" s="48" t="s">
        <v>32</v>
      </c>
      <c r="D1873" s="51">
        <v>79908.81</v>
      </c>
    </row>
    <row r="1874" spans="1:4" ht="13.5">
      <c r="A1874" s="49">
        <v>102799</v>
      </c>
      <c r="B1874" s="48" t="s">
        <v>20150</v>
      </c>
      <c r="C1874" s="48" t="s">
        <v>32</v>
      </c>
      <c r="D1874" s="51">
        <v>29126.720000000001</v>
      </c>
    </row>
    <row r="1875" spans="1:4" ht="13.5">
      <c r="A1875" s="49">
        <v>102800</v>
      </c>
      <c r="B1875" s="48" t="s">
        <v>20151</v>
      </c>
      <c r="C1875" s="48" t="s">
        <v>32</v>
      </c>
      <c r="D1875" s="51">
        <v>50518.18</v>
      </c>
    </row>
    <row r="1876" spans="1:4" ht="13.5">
      <c r="A1876" s="49">
        <v>102801</v>
      </c>
      <c r="B1876" s="48" t="s">
        <v>20152</v>
      </c>
      <c r="C1876" s="48" t="s">
        <v>32</v>
      </c>
      <c r="D1876" s="51">
        <v>70742.3</v>
      </c>
    </row>
    <row r="1877" spans="1:4" ht="13.5">
      <c r="A1877" s="49">
        <v>102802</v>
      </c>
      <c r="B1877" s="48" t="s">
        <v>20153</v>
      </c>
      <c r="C1877" s="48" t="s">
        <v>32</v>
      </c>
      <c r="D1877" s="51">
        <v>84849.77</v>
      </c>
    </row>
    <row r="1878" spans="1:4" ht="13.5">
      <c r="A1878" s="49">
        <v>101570</v>
      </c>
      <c r="B1878" s="48" t="s">
        <v>20154</v>
      </c>
      <c r="C1878" s="48" t="s">
        <v>26764</v>
      </c>
      <c r="D1878" s="50">
        <v>21.88</v>
      </c>
    </row>
    <row r="1879" spans="1:4" ht="13.5">
      <c r="A1879" s="49">
        <v>101571</v>
      </c>
      <c r="B1879" s="48" t="s">
        <v>20155</v>
      </c>
      <c r="C1879" s="48" t="s">
        <v>26764</v>
      </c>
      <c r="D1879" s="50">
        <v>29.55</v>
      </c>
    </row>
    <row r="1880" spans="1:4" ht="13.5">
      <c r="A1880" s="49">
        <v>101572</v>
      </c>
      <c r="B1880" s="48" t="s">
        <v>20156</v>
      </c>
      <c r="C1880" s="48" t="s">
        <v>26764</v>
      </c>
      <c r="D1880" s="50">
        <v>17.22</v>
      </c>
    </row>
    <row r="1881" spans="1:4" ht="13.5">
      <c r="A1881" s="49">
        <v>101573</v>
      </c>
      <c r="B1881" s="48" t="s">
        <v>20157</v>
      </c>
      <c r="C1881" s="48" t="s">
        <v>26764</v>
      </c>
      <c r="D1881" s="50">
        <v>24.9</v>
      </c>
    </row>
    <row r="1882" spans="1:4" ht="13.5">
      <c r="A1882" s="49">
        <v>101574</v>
      </c>
      <c r="B1882" s="48" t="s">
        <v>20158</v>
      </c>
      <c r="C1882" s="48" t="s">
        <v>26764</v>
      </c>
      <c r="D1882" s="50">
        <v>13.29</v>
      </c>
    </row>
    <row r="1883" spans="1:4" ht="13.5">
      <c r="A1883" s="49">
        <v>101575</v>
      </c>
      <c r="B1883" s="48" t="s">
        <v>20159</v>
      </c>
      <c r="C1883" s="48" t="s">
        <v>26764</v>
      </c>
      <c r="D1883" s="50">
        <v>21.1</v>
      </c>
    </row>
    <row r="1884" spans="1:4" ht="13.5">
      <c r="A1884" s="49">
        <v>101576</v>
      </c>
      <c r="B1884" s="48" t="s">
        <v>20160</v>
      </c>
      <c r="C1884" s="48" t="s">
        <v>26764</v>
      </c>
      <c r="D1884" s="50">
        <v>39.700000000000003</v>
      </c>
    </row>
    <row r="1885" spans="1:4" ht="13.5">
      <c r="A1885" s="49">
        <v>101577</v>
      </c>
      <c r="B1885" s="48" t="s">
        <v>20161</v>
      </c>
      <c r="C1885" s="48" t="s">
        <v>26764</v>
      </c>
      <c r="D1885" s="50">
        <v>49.54</v>
      </c>
    </row>
    <row r="1886" spans="1:4" ht="13.5">
      <c r="A1886" s="49">
        <v>101578</v>
      </c>
      <c r="B1886" s="48" t="s">
        <v>20162</v>
      </c>
      <c r="C1886" s="48" t="s">
        <v>26764</v>
      </c>
      <c r="D1886" s="50">
        <v>32.93</v>
      </c>
    </row>
    <row r="1887" spans="1:4" ht="13.5">
      <c r="A1887" s="49">
        <v>101579</v>
      </c>
      <c r="B1887" s="48" t="s">
        <v>20163</v>
      </c>
      <c r="C1887" s="48" t="s">
        <v>26764</v>
      </c>
      <c r="D1887" s="50">
        <v>42.77</v>
      </c>
    </row>
    <row r="1888" spans="1:4" ht="13.5">
      <c r="A1888" s="49">
        <v>101580</v>
      </c>
      <c r="B1888" s="48" t="s">
        <v>20164</v>
      </c>
      <c r="C1888" s="48" t="s">
        <v>26764</v>
      </c>
      <c r="D1888" s="50">
        <v>29.43</v>
      </c>
    </row>
    <row r="1889" spans="1:4" ht="13.5">
      <c r="A1889" s="49">
        <v>101581</v>
      </c>
      <c r="B1889" s="48" t="s">
        <v>20165</v>
      </c>
      <c r="C1889" s="48" t="s">
        <v>26764</v>
      </c>
      <c r="D1889" s="50">
        <v>39.409999999999997</v>
      </c>
    </row>
    <row r="1890" spans="1:4" ht="13.5">
      <c r="A1890" s="49">
        <v>101582</v>
      </c>
      <c r="B1890" s="48" t="s">
        <v>20166</v>
      </c>
      <c r="C1890" s="48" t="s">
        <v>26764</v>
      </c>
      <c r="D1890" s="50">
        <v>65.27</v>
      </c>
    </row>
    <row r="1891" spans="1:4" ht="13.5">
      <c r="A1891" s="49">
        <v>101583</v>
      </c>
      <c r="B1891" s="48" t="s">
        <v>20167</v>
      </c>
      <c r="C1891" s="48" t="s">
        <v>26764</v>
      </c>
      <c r="D1891" s="50">
        <v>80.599999999999994</v>
      </c>
    </row>
    <row r="1892" spans="1:4" ht="13.5">
      <c r="A1892" s="49">
        <v>101584</v>
      </c>
      <c r="B1892" s="48" t="s">
        <v>20168</v>
      </c>
      <c r="C1892" s="48" t="s">
        <v>26764</v>
      </c>
      <c r="D1892" s="50">
        <v>53.86</v>
      </c>
    </row>
    <row r="1893" spans="1:4" ht="13.5">
      <c r="A1893" s="49">
        <v>101585</v>
      </c>
      <c r="B1893" s="48" t="s">
        <v>20169</v>
      </c>
      <c r="C1893" s="48" t="s">
        <v>26764</v>
      </c>
      <c r="D1893" s="50">
        <v>69.180000000000007</v>
      </c>
    </row>
    <row r="1894" spans="1:4" ht="13.5">
      <c r="A1894" s="49">
        <v>101586</v>
      </c>
      <c r="B1894" s="48" t="s">
        <v>20170</v>
      </c>
      <c r="C1894" s="48" t="s">
        <v>26764</v>
      </c>
      <c r="D1894" s="50">
        <v>47</v>
      </c>
    </row>
    <row r="1895" spans="1:4" ht="13.5">
      <c r="A1895" s="49">
        <v>101587</v>
      </c>
      <c r="B1895" s="48" t="s">
        <v>20171</v>
      </c>
      <c r="C1895" s="48" t="s">
        <v>26764</v>
      </c>
      <c r="D1895" s="50">
        <v>62.46</v>
      </c>
    </row>
    <row r="1896" spans="1:4" ht="13.5">
      <c r="A1896" s="49">
        <v>101588</v>
      </c>
      <c r="B1896" s="48" t="s">
        <v>20172</v>
      </c>
      <c r="C1896" s="48" t="s">
        <v>26764</v>
      </c>
      <c r="D1896" s="50">
        <v>84.64</v>
      </c>
    </row>
    <row r="1897" spans="1:4" ht="13.5">
      <c r="A1897" s="49">
        <v>101589</v>
      </c>
      <c r="B1897" s="48" t="s">
        <v>20173</v>
      </c>
      <c r="C1897" s="48" t="s">
        <v>26764</v>
      </c>
      <c r="D1897" s="50">
        <v>122.98</v>
      </c>
    </row>
    <row r="1898" spans="1:4" ht="13.5">
      <c r="A1898" s="49">
        <v>101590</v>
      </c>
      <c r="B1898" s="48" t="s">
        <v>20174</v>
      </c>
      <c r="C1898" s="48" t="s">
        <v>26764</v>
      </c>
      <c r="D1898" s="50">
        <v>64.239999999999995</v>
      </c>
    </row>
    <row r="1899" spans="1:4" ht="13.5">
      <c r="A1899" s="49">
        <v>101591</v>
      </c>
      <c r="B1899" s="48" t="s">
        <v>20175</v>
      </c>
      <c r="C1899" s="48" t="s">
        <v>26764</v>
      </c>
      <c r="D1899" s="50">
        <v>102.57</v>
      </c>
    </row>
    <row r="1900" spans="1:4" ht="13.5">
      <c r="A1900" s="49">
        <v>101592</v>
      </c>
      <c r="B1900" s="48" t="s">
        <v>20176</v>
      </c>
      <c r="C1900" s="48" t="s">
        <v>26764</v>
      </c>
      <c r="D1900" s="50">
        <v>45.47</v>
      </c>
    </row>
    <row r="1901" spans="1:4" ht="13.5">
      <c r="A1901" s="49">
        <v>101593</v>
      </c>
      <c r="B1901" s="48" t="s">
        <v>20177</v>
      </c>
      <c r="C1901" s="48" t="s">
        <v>26764</v>
      </c>
      <c r="D1901" s="50">
        <v>83.91</v>
      </c>
    </row>
    <row r="1902" spans="1:4" ht="13.5">
      <c r="A1902" s="49">
        <v>101600</v>
      </c>
      <c r="B1902" s="48" t="s">
        <v>20178</v>
      </c>
      <c r="C1902" s="48" t="s">
        <v>26764</v>
      </c>
      <c r="D1902" s="50">
        <v>15.71</v>
      </c>
    </row>
    <row r="1903" spans="1:4" ht="13.5">
      <c r="A1903" s="49">
        <v>101601</v>
      </c>
      <c r="B1903" s="48" t="s">
        <v>20179</v>
      </c>
      <c r="C1903" s="48" t="s">
        <v>26764</v>
      </c>
      <c r="D1903" s="50">
        <v>23.27</v>
      </c>
    </row>
    <row r="1904" spans="1:4" ht="13.5">
      <c r="A1904" s="49">
        <v>101602</v>
      </c>
      <c r="B1904" s="48" t="s">
        <v>20180</v>
      </c>
      <c r="C1904" s="48" t="s">
        <v>26764</v>
      </c>
      <c r="D1904" s="50">
        <v>11.65</v>
      </c>
    </row>
    <row r="1905" spans="1:4" ht="13.5">
      <c r="A1905" s="49">
        <v>101603</v>
      </c>
      <c r="B1905" s="48" t="s">
        <v>20181</v>
      </c>
      <c r="C1905" s="48" t="s">
        <v>26764</v>
      </c>
      <c r="D1905" s="50">
        <v>19.21</v>
      </c>
    </row>
    <row r="1906" spans="1:4" ht="13.5">
      <c r="A1906" s="49">
        <v>101604</v>
      </c>
      <c r="B1906" s="48" t="s">
        <v>20182</v>
      </c>
      <c r="C1906" s="48" t="s">
        <v>26764</v>
      </c>
      <c r="D1906" s="50">
        <v>7.63</v>
      </c>
    </row>
    <row r="1907" spans="1:4" ht="13.5">
      <c r="A1907" s="49">
        <v>101605</v>
      </c>
      <c r="B1907" s="48" t="s">
        <v>20183</v>
      </c>
      <c r="C1907" s="48" t="s">
        <v>26764</v>
      </c>
      <c r="D1907" s="50">
        <v>15.19</v>
      </c>
    </row>
    <row r="1908" spans="1:4" ht="13.5">
      <c r="A1908" s="49">
        <v>90788</v>
      </c>
      <c r="B1908" s="48" t="s">
        <v>3906</v>
      </c>
      <c r="C1908" s="48" t="s">
        <v>32</v>
      </c>
      <c r="D1908" s="50">
        <v>723.52</v>
      </c>
    </row>
    <row r="1909" spans="1:4" ht="13.5">
      <c r="A1909" s="49">
        <v>90789</v>
      </c>
      <c r="B1909" s="48" t="s">
        <v>3907</v>
      </c>
      <c r="C1909" s="48" t="s">
        <v>32</v>
      </c>
      <c r="D1909" s="50">
        <v>725.01</v>
      </c>
    </row>
    <row r="1910" spans="1:4" ht="13.5">
      <c r="A1910" s="49">
        <v>90790</v>
      </c>
      <c r="B1910" s="48" t="s">
        <v>3908</v>
      </c>
      <c r="C1910" s="48" t="s">
        <v>32</v>
      </c>
      <c r="D1910" s="50">
        <v>747.81</v>
      </c>
    </row>
    <row r="1911" spans="1:4" ht="13.5">
      <c r="A1911" s="49">
        <v>90791</v>
      </c>
      <c r="B1911" s="48" t="s">
        <v>20184</v>
      </c>
      <c r="C1911" s="48" t="s">
        <v>32</v>
      </c>
      <c r="D1911" s="50">
        <v>876.56</v>
      </c>
    </row>
    <row r="1912" spans="1:4" ht="13.5">
      <c r="A1912" s="49">
        <v>90793</v>
      </c>
      <c r="B1912" s="48" t="s">
        <v>20185</v>
      </c>
      <c r="C1912" s="48" t="s">
        <v>32</v>
      </c>
      <c r="D1912" s="50">
        <v>925.59</v>
      </c>
    </row>
    <row r="1913" spans="1:4" ht="13.5">
      <c r="A1913" s="49">
        <v>90794</v>
      </c>
      <c r="B1913" s="48" t="s">
        <v>20186</v>
      </c>
      <c r="C1913" s="48" t="s">
        <v>32</v>
      </c>
      <c r="D1913" s="50">
        <v>626.64</v>
      </c>
    </row>
    <row r="1914" spans="1:4" ht="13.5">
      <c r="A1914" s="49">
        <v>90795</v>
      </c>
      <c r="B1914" s="48" t="s">
        <v>20187</v>
      </c>
      <c r="C1914" s="48" t="s">
        <v>32</v>
      </c>
      <c r="D1914" s="50">
        <v>633.29</v>
      </c>
    </row>
    <row r="1915" spans="1:4" ht="13.5">
      <c r="A1915" s="49">
        <v>90796</v>
      </c>
      <c r="B1915" s="48" t="s">
        <v>20188</v>
      </c>
      <c r="C1915" s="48" t="s">
        <v>32</v>
      </c>
      <c r="D1915" s="50">
        <v>639.95000000000005</v>
      </c>
    </row>
    <row r="1916" spans="1:4" ht="13.5">
      <c r="A1916" s="49">
        <v>90797</v>
      </c>
      <c r="B1916" s="48" t="s">
        <v>20189</v>
      </c>
      <c r="C1916" s="48" t="s">
        <v>32</v>
      </c>
      <c r="D1916" s="50">
        <v>646.58000000000004</v>
      </c>
    </row>
    <row r="1917" spans="1:4" ht="13.5">
      <c r="A1917" s="49">
        <v>90798</v>
      </c>
      <c r="B1917" s="48" t="s">
        <v>20190</v>
      </c>
      <c r="C1917" s="48" t="s">
        <v>32</v>
      </c>
      <c r="D1917" s="50">
        <v>936.27</v>
      </c>
    </row>
    <row r="1918" spans="1:4" ht="13.5">
      <c r="A1918" s="49">
        <v>90799</v>
      </c>
      <c r="B1918" s="48" t="s">
        <v>20191</v>
      </c>
      <c r="C1918" s="48" t="s">
        <v>32</v>
      </c>
      <c r="D1918" s="50">
        <v>966.54</v>
      </c>
    </row>
    <row r="1919" spans="1:4" ht="13.5">
      <c r="A1919" s="49">
        <v>90801</v>
      </c>
      <c r="B1919" s="48" t="s">
        <v>3909</v>
      </c>
      <c r="C1919" s="48" t="s">
        <v>32</v>
      </c>
      <c r="D1919" s="50">
        <v>306.31</v>
      </c>
    </row>
    <row r="1920" spans="1:4" ht="13.5">
      <c r="A1920" s="49">
        <v>90806</v>
      </c>
      <c r="B1920" s="48" t="s">
        <v>3910</v>
      </c>
      <c r="C1920" s="48" t="s">
        <v>32</v>
      </c>
      <c r="D1920" s="50">
        <v>388.02</v>
      </c>
    </row>
    <row r="1921" spans="1:4" ht="13.5">
      <c r="A1921" s="49">
        <v>90820</v>
      </c>
      <c r="B1921" s="48" t="s">
        <v>3911</v>
      </c>
      <c r="C1921" s="48" t="s">
        <v>32</v>
      </c>
      <c r="D1921" s="50">
        <v>275.13</v>
      </c>
    </row>
    <row r="1922" spans="1:4" ht="13.5">
      <c r="A1922" s="49">
        <v>90821</v>
      </c>
      <c r="B1922" s="48" t="s">
        <v>3912</v>
      </c>
      <c r="C1922" s="48" t="s">
        <v>32</v>
      </c>
      <c r="D1922" s="50">
        <v>280.86</v>
      </c>
    </row>
    <row r="1923" spans="1:4" ht="13.5">
      <c r="A1923" s="49">
        <v>90822</v>
      </c>
      <c r="B1923" s="48" t="s">
        <v>3913</v>
      </c>
      <c r="C1923" s="48" t="s">
        <v>32</v>
      </c>
      <c r="D1923" s="50">
        <v>301.55</v>
      </c>
    </row>
    <row r="1924" spans="1:4" ht="13.5">
      <c r="A1924" s="49">
        <v>90823</v>
      </c>
      <c r="B1924" s="48" t="s">
        <v>3914</v>
      </c>
      <c r="C1924" s="48" t="s">
        <v>32</v>
      </c>
      <c r="D1924" s="50">
        <v>371.53</v>
      </c>
    </row>
    <row r="1925" spans="1:4" ht="13.5">
      <c r="A1925" s="49">
        <v>90824</v>
      </c>
      <c r="B1925" s="48" t="s">
        <v>3915</v>
      </c>
      <c r="C1925" s="48" t="s">
        <v>32</v>
      </c>
      <c r="D1925" s="50">
        <v>532.94000000000005</v>
      </c>
    </row>
    <row r="1926" spans="1:4" ht="13.5">
      <c r="A1926" s="49">
        <v>90825</v>
      </c>
      <c r="B1926" s="48" t="s">
        <v>3916</v>
      </c>
      <c r="C1926" s="48" t="s">
        <v>32</v>
      </c>
      <c r="D1926" s="50">
        <v>593.98</v>
      </c>
    </row>
    <row r="1927" spans="1:4" ht="13.5">
      <c r="A1927" s="49">
        <v>90830</v>
      </c>
      <c r="B1927" s="48" t="s">
        <v>3917</v>
      </c>
      <c r="C1927" s="48" t="s">
        <v>32</v>
      </c>
      <c r="D1927" s="50">
        <v>137.49</v>
      </c>
    </row>
    <row r="1928" spans="1:4" ht="13.5">
      <c r="A1928" s="49">
        <v>90831</v>
      </c>
      <c r="B1928" s="48" t="s">
        <v>3918</v>
      </c>
      <c r="C1928" s="48" t="s">
        <v>32</v>
      </c>
      <c r="D1928" s="50">
        <v>120.2</v>
      </c>
    </row>
    <row r="1929" spans="1:4" ht="13.5">
      <c r="A1929" s="49">
        <v>90841</v>
      </c>
      <c r="B1929" s="48" t="s">
        <v>3919</v>
      </c>
      <c r="C1929" s="48" t="s">
        <v>32</v>
      </c>
      <c r="D1929" s="50">
        <v>894.61</v>
      </c>
    </row>
    <row r="1930" spans="1:4" ht="13.5">
      <c r="A1930" s="49">
        <v>90842</v>
      </c>
      <c r="B1930" s="48" t="s">
        <v>3920</v>
      </c>
      <c r="C1930" s="48" t="s">
        <v>32</v>
      </c>
      <c r="D1930" s="50">
        <v>902.66</v>
      </c>
    </row>
    <row r="1931" spans="1:4" ht="13.5">
      <c r="A1931" s="49">
        <v>90843</v>
      </c>
      <c r="B1931" s="48" t="s">
        <v>3921</v>
      </c>
      <c r="C1931" s="48" t="s">
        <v>32</v>
      </c>
      <c r="D1931" s="50">
        <v>942.96</v>
      </c>
    </row>
    <row r="1932" spans="1:4" ht="13.5">
      <c r="A1932" s="49">
        <v>90844</v>
      </c>
      <c r="B1932" s="48" t="s">
        <v>3922</v>
      </c>
      <c r="C1932" s="48" t="s">
        <v>32</v>
      </c>
      <c r="D1932" s="51">
        <v>1015.25</v>
      </c>
    </row>
    <row r="1933" spans="1:4" ht="13.5">
      <c r="A1933" s="49">
        <v>90845</v>
      </c>
      <c r="B1933" s="48" t="s">
        <v>20192</v>
      </c>
      <c r="C1933" s="48" t="s">
        <v>32</v>
      </c>
      <c r="D1933" s="51">
        <v>1174.3499999999999</v>
      </c>
    </row>
    <row r="1934" spans="1:4" ht="13.5">
      <c r="A1934" s="49">
        <v>90846</v>
      </c>
      <c r="B1934" s="48" t="s">
        <v>20193</v>
      </c>
      <c r="C1934" s="48" t="s">
        <v>32</v>
      </c>
      <c r="D1934" s="51">
        <v>1237.7</v>
      </c>
    </row>
    <row r="1935" spans="1:4" ht="13.5">
      <c r="A1935" s="49">
        <v>90847</v>
      </c>
      <c r="B1935" s="48" t="s">
        <v>3923</v>
      </c>
      <c r="C1935" s="48" t="s">
        <v>32</v>
      </c>
      <c r="D1935" s="50">
        <v>774.41</v>
      </c>
    </row>
    <row r="1936" spans="1:4" ht="13.5">
      <c r="A1936" s="49">
        <v>90848</v>
      </c>
      <c r="B1936" s="48" t="s">
        <v>3924</v>
      </c>
      <c r="C1936" s="48" t="s">
        <v>32</v>
      </c>
      <c r="D1936" s="50">
        <v>782.46</v>
      </c>
    </row>
    <row r="1937" spans="1:4" ht="13.5">
      <c r="A1937" s="49">
        <v>90849</v>
      </c>
      <c r="B1937" s="48" t="s">
        <v>3925</v>
      </c>
      <c r="C1937" s="48" t="s">
        <v>32</v>
      </c>
      <c r="D1937" s="50">
        <v>805.47</v>
      </c>
    </row>
    <row r="1938" spans="1:4" ht="13.5">
      <c r="A1938" s="49">
        <v>90850</v>
      </c>
      <c r="B1938" s="48" t="s">
        <v>3926</v>
      </c>
      <c r="C1938" s="48" t="s">
        <v>32</v>
      </c>
      <c r="D1938" s="50">
        <v>877.76</v>
      </c>
    </row>
    <row r="1939" spans="1:4" ht="13.5">
      <c r="A1939" s="49">
        <v>90851</v>
      </c>
      <c r="B1939" s="48" t="s">
        <v>20194</v>
      </c>
      <c r="C1939" s="48" t="s">
        <v>32</v>
      </c>
      <c r="D1939" s="51">
        <v>1036.8599999999999</v>
      </c>
    </row>
    <row r="1940" spans="1:4" ht="13.5">
      <c r="A1940" s="49">
        <v>90852</v>
      </c>
      <c r="B1940" s="48" t="s">
        <v>20195</v>
      </c>
      <c r="C1940" s="48" t="s">
        <v>32</v>
      </c>
      <c r="D1940" s="51">
        <v>1100.21</v>
      </c>
    </row>
    <row r="1941" spans="1:4" ht="13.5">
      <c r="A1941" s="49">
        <v>91009</v>
      </c>
      <c r="B1941" s="48" t="s">
        <v>3927</v>
      </c>
      <c r="C1941" s="48" t="s">
        <v>32</v>
      </c>
      <c r="D1941" s="50">
        <v>284.99</v>
      </c>
    </row>
    <row r="1942" spans="1:4" ht="13.5">
      <c r="A1942" s="49">
        <v>91010</v>
      </c>
      <c r="B1942" s="48" t="s">
        <v>3928</v>
      </c>
      <c r="C1942" s="48" t="s">
        <v>32</v>
      </c>
      <c r="D1942" s="50">
        <v>291.19</v>
      </c>
    </row>
    <row r="1943" spans="1:4" ht="13.5">
      <c r="A1943" s="49">
        <v>91011</v>
      </c>
      <c r="B1943" s="48" t="s">
        <v>3929</v>
      </c>
      <c r="C1943" s="48" t="s">
        <v>32</v>
      </c>
      <c r="D1943" s="50">
        <v>341.59</v>
      </c>
    </row>
    <row r="1944" spans="1:4" ht="13.5">
      <c r="A1944" s="49">
        <v>91012</v>
      </c>
      <c r="B1944" s="48" t="s">
        <v>3930</v>
      </c>
      <c r="C1944" s="48" t="s">
        <v>32</v>
      </c>
      <c r="D1944" s="50">
        <v>380.27</v>
      </c>
    </row>
    <row r="1945" spans="1:4" ht="13.5">
      <c r="A1945" s="49">
        <v>91013</v>
      </c>
      <c r="B1945" s="48" t="s">
        <v>3931</v>
      </c>
      <c r="C1945" s="48" t="s">
        <v>32</v>
      </c>
      <c r="D1945" s="50">
        <v>784.27</v>
      </c>
    </row>
    <row r="1946" spans="1:4" ht="13.5">
      <c r="A1946" s="49">
        <v>91014</v>
      </c>
      <c r="B1946" s="48" t="s">
        <v>3932</v>
      </c>
      <c r="C1946" s="48" t="s">
        <v>32</v>
      </c>
      <c r="D1946" s="50">
        <v>792.79</v>
      </c>
    </row>
    <row r="1947" spans="1:4" ht="13.5">
      <c r="A1947" s="49">
        <v>91015</v>
      </c>
      <c r="B1947" s="48" t="s">
        <v>3933</v>
      </c>
      <c r="C1947" s="48" t="s">
        <v>32</v>
      </c>
      <c r="D1947" s="50">
        <v>845.51</v>
      </c>
    </row>
    <row r="1948" spans="1:4" ht="13.5">
      <c r="A1948" s="49">
        <v>91016</v>
      </c>
      <c r="B1948" s="48" t="s">
        <v>3934</v>
      </c>
      <c r="C1948" s="48" t="s">
        <v>32</v>
      </c>
      <c r="D1948" s="50">
        <v>886.5</v>
      </c>
    </row>
    <row r="1949" spans="1:4" ht="13.5">
      <c r="A1949" s="49">
        <v>91287</v>
      </c>
      <c r="B1949" s="48" t="s">
        <v>3935</v>
      </c>
      <c r="C1949" s="48" t="s">
        <v>32</v>
      </c>
      <c r="D1949" s="50">
        <v>222.89</v>
      </c>
    </row>
    <row r="1950" spans="1:4" ht="13.5">
      <c r="A1950" s="49">
        <v>91292</v>
      </c>
      <c r="B1950" s="48" t="s">
        <v>3936</v>
      </c>
      <c r="C1950" s="48" t="s">
        <v>32</v>
      </c>
      <c r="D1950" s="50">
        <v>304.60000000000002</v>
      </c>
    </row>
    <row r="1951" spans="1:4" ht="13.5">
      <c r="A1951" s="49">
        <v>91295</v>
      </c>
      <c r="B1951" s="48" t="s">
        <v>3937</v>
      </c>
      <c r="C1951" s="48" t="s">
        <v>32</v>
      </c>
      <c r="D1951" s="50">
        <v>293.52999999999997</v>
      </c>
    </row>
    <row r="1952" spans="1:4" ht="13.5">
      <c r="A1952" s="49">
        <v>91296</v>
      </c>
      <c r="B1952" s="48" t="s">
        <v>3938</v>
      </c>
      <c r="C1952" s="48" t="s">
        <v>32</v>
      </c>
      <c r="D1952" s="50">
        <v>315.04000000000002</v>
      </c>
    </row>
    <row r="1953" spans="1:4" ht="13.5">
      <c r="A1953" s="49">
        <v>91297</v>
      </c>
      <c r="B1953" s="48" t="s">
        <v>3939</v>
      </c>
      <c r="C1953" s="48" t="s">
        <v>32</v>
      </c>
      <c r="D1953" s="50">
        <v>347.28</v>
      </c>
    </row>
    <row r="1954" spans="1:4" ht="13.5">
      <c r="A1954" s="49">
        <v>91298</v>
      </c>
      <c r="B1954" s="48" t="s">
        <v>3940</v>
      </c>
      <c r="C1954" s="48" t="s">
        <v>32</v>
      </c>
      <c r="D1954" s="50">
        <v>832.4</v>
      </c>
    </row>
    <row r="1955" spans="1:4" ht="13.5">
      <c r="A1955" s="49">
        <v>91299</v>
      </c>
      <c r="B1955" s="48" t="s">
        <v>3941</v>
      </c>
      <c r="C1955" s="48" t="s">
        <v>32</v>
      </c>
      <c r="D1955" s="51">
        <v>1170.28</v>
      </c>
    </row>
    <row r="1956" spans="1:4" ht="13.5">
      <c r="A1956" s="49">
        <v>91304</v>
      </c>
      <c r="B1956" s="48" t="s">
        <v>3942</v>
      </c>
      <c r="C1956" s="48" t="s">
        <v>32</v>
      </c>
      <c r="D1956" s="50">
        <v>84.95</v>
      </c>
    </row>
    <row r="1957" spans="1:4" ht="13.5">
      <c r="A1957" s="49">
        <v>91305</v>
      </c>
      <c r="B1957" s="48" t="s">
        <v>3943</v>
      </c>
      <c r="C1957" s="48" t="s">
        <v>32</v>
      </c>
      <c r="D1957" s="50">
        <v>84.05</v>
      </c>
    </row>
    <row r="1958" spans="1:4" ht="13.5">
      <c r="A1958" s="49">
        <v>91306</v>
      </c>
      <c r="B1958" s="48" t="s">
        <v>3944</v>
      </c>
      <c r="C1958" s="48" t="s">
        <v>32</v>
      </c>
      <c r="D1958" s="50">
        <v>120.2</v>
      </c>
    </row>
    <row r="1959" spans="1:4" ht="13.5">
      <c r="A1959" s="49">
        <v>91307</v>
      </c>
      <c r="B1959" s="48" t="s">
        <v>3945</v>
      </c>
      <c r="C1959" s="48" t="s">
        <v>32</v>
      </c>
      <c r="D1959" s="50">
        <v>71.86</v>
      </c>
    </row>
    <row r="1960" spans="1:4" ht="13.5">
      <c r="A1960" s="49">
        <v>91312</v>
      </c>
      <c r="B1960" s="48" t="s">
        <v>3946</v>
      </c>
      <c r="C1960" s="48" t="s">
        <v>32</v>
      </c>
      <c r="D1960" s="50">
        <v>738.94</v>
      </c>
    </row>
    <row r="1961" spans="1:4" ht="13.5">
      <c r="A1961" s="49">
        <v>91313</v>
      </c>
      <c r="B1961" s="48" t="s">
        <v>3947</v>
      </c>
      <c r="C1961" s="48" t="s">
        <v>32</v>
      </c>
      <c r="D1961" s="50">
        <v>734.05</v>
      </c>
    </row>
    <row r="1962" spans="1:4" ht="13.5">
      <c r="A1962" s="49">
        <v>91314</v>
      </c>
      <c r="B1962" s="48" t="s">
        <v>3948</v>
      </c>
      <c r="C1962" s="48" t="s">
        <v>32</v>
      </c>
      <c r="D1962" s="50">
        <v>769.4</v>
      </c>
    </row>
    <row r="1963" spans="1:4" ht="13.5">
      <c r="A1963" s="49">
        <v>91315</v>
      </c>
      <c r="B1963" s="48" t="s">
        <v>3949</v>
      </c>
      <c r="C1963" s="48" t="s">
        <v>32</v>
      </c>
      <c r="D1963" s="50">
        <v>840.94</v>
      </c>
    </row>
    <row r="1964" spans="1:4" ht="13.5">
      <c r="A1964" s="49">
        <v>91316</v>
      </c>
      <c r="B1964" s="48" t="s">
        <v>20196</v>
      </c>
      <c r="C1964" s="48" t="s">
        <v>32</v>
      </c>
      <c r="D1964" s="51">
        <v>1000.79</v>
      </c>
    </row>
    <row r="1965" spans="1:4" ht="13.5">
      <c r="A1965" s="49">
        <v>91317</v>
      </c>
      <c r="B1965" s="48" t="s">
        <v>20197</v>
      </c>
      <c r="C1965" s="48" t="s">
        <v>32</v>
      </c>
      <c r="D1965" s="51">
        <v>1063.3900000000001</v>
      </c>
    </row>
    <row r="1966" spans="1:4" ht="13.5">
      <c r="A1966" s="49">
        <v>91318</v>
      </c>
      <c r="B1966" s="48" t="s">
        <v>3950</v>
      </c>
      <c r="C1966" s="48" t="s">
        <v>32</v>
      </c>
      <c r="D1966" s="50">
        <v>654.89</v>
      </c>
    </row>
    <row r="1967" spans="1:4" ht="13.5">
      <c r="A1967" s="49">
        <v>91319</v>
      </c>
      <c r="B1967" s="48" t="s">
        <v>3951</v>
      </c>
      <c r="C1967" s="48" t="s">
        <v>32</v>
      </c>
      <c r="D1967" s="50">
        <v>662.19</v>
      </c>
    </row>
    <row r="1968" spans="1:4" ht="13.5">
      <c r="A1968" s="49">
        <v>91320</v>
      </c>
      <c r="B1968" s="48" t="s">
        <v>3952</v>
      </c>
      <c r="C1968" s="48" t="s">
        <v>32</v>
      </c>
      <c r="D1968" s="50">
        <v>684.45</v>
      </c>
    </row>
    <row r="1969" spans="1:4" ht="13.5">
      <c r="A1969" s="49">
        <v>91321</v>
      </c>
      <c r="B1969" s="48" t="s">
        <v>3953</v>
      </c>
      <c r="C1969" s="48" t="s">
        <v>32</v>
      </c>
      <c r="D1969" s="50">
        <v>755.99</v>
      </c>
    </row>
    <row r="1970" spans="1:4" ht="13.5">
      <c r="A1970" s="49">
        <v>91322</v>
      </c>
      <c r="B1970" s="48" t="s">
        <v>20198</v>
      </c>
      <c r="C1970" s="48" t="s">
        <v>32</v>
      </c>
      <c r="D1970" s="50">
        <v>915.84</v>
      </c>
    </row>
    <row r="1971" spans="1:4" ht="13.5">
      <c r="A1971" s="49">
        <v>91323</v>
      </c>
      <c r="B1971" s="48" t="s">
        <v>20199</v>
      </c>
      <c r="C1971" s="48" t="s">
        <v>32</v>
      </c>
      <c r="D1971" s="50">
        <v>978.44</v>
      </c>
    </row>
    <row r="1972" spans="1:4" ht="13.5">
      <c r="A1972" s="49">
        <v>91324</v>
      </c>
      <c r="B1972" s="48" t="s">
        <v>3954</v>
      </c>
      <c r="C1972" s="48" t="s">
        <v>32</v>
      </c>
      <c r="D1972" s="50">
        <v>664.75</v>
      </c>
    </row>
    <row r="1973" spans="1:4" ht="13.5">
      <c r="A1973" s="49">
        <v>91325</v>
      </c>
      <c r="B1973" s="48" t="s">
        <v>3955</v>
      </c>
      <c r="C1973" s="48" t="s">
        <v>32</v>
      </c>
      <c r="D1973" s="50">
        <v>672.52</v>
      </c>
    </row>
    <row r="1974" spans="1:4" ht="13.5">
      <c r="A1974" s="49">
        <v>91326</v>
      </c>
      <c r="B1974" s="48" t="s">
        <v>3956</v>
      </c>
      <c r="C1974" s="48" t="s">
        <v>32</v>
      </c>
      <c r="D1974" s="50">
        <v>724.49</v>
      </c>
    </row>
    <row r="1975" spans="1:4" ht="13.5">
      <c r="A1975" s="49">
        <v>91327</v>
      </c>
      <c r="B1975" s="48" t="s">
        <v>3957</v>
      </c>
      <c r="C1975" s="48" t="s">
        <v>32</v>
      </c>
      <c r="D1975" s="50">
        <v>764.73</v>
      </c>
    </row>
    <row r="1976" spans="1:4" ht="13.5">
      <c r="A1976" s="49">
        <v>91328</v>
      </c>
      <c r="B1976" s="48" t="s">
        <v>3958</v>
      </c>
      <c r="C1976" s="48" t="s">
        <v>32</v>
      </c>
      <c r="D1976" s="50">
        <v>792.81</v>
      </c>
    </row>
    <row r="1977" spans="1:4" ht="13.5">
      <c r="A1977" s="49">
        <v>91329</v>
      </c>
      <c r="B1977" s="48" t="s">
        <v>3959</v>
      </c>
      <c r="C1977" s="48" t="s">
        <v>32</v>
      </c>
      <c r="D1977" s="50">
        <v>673.29</v>
      </c>
    </row>
    <row r="1978" spans="1:4" ht="13.5">
      <c r="A1978" s="49">
        <v>91330</v>
      </c>
      <c r="B1978" s="48" t="s">
        <v>3960</v>
      </c>
      <c r="C1978" s="48" t="s">
        <v>32</v>
      </c>
      <c r="D1978" s="50">
        <v>816.64</v>
      </c>
    </row>
    <row r="1979" spans="1:4" ht="13.5">
      <c r="A1979" s="49">
        <v>91331</v>
      </c>
      <c r="B1979" s="48" t="s">
        <v>3961</v>
      </c>
      <c r="C1979" s="48" t="s">
        <v>32</v>
      </c>
      <c r="D1979" s="50">
        <v>696.37</v>
      </c>
    </row>
    <row r="1980" spans="1:4" ht="13.5">
      <c r="A1980" s="49">
        <v>91332</v>
      </c>
      <c r="B1980" s="48" t="s">
        <v>3962</v>
      </c>
      <c r="C1980" s="48" t="s">
        <v>32</v>
      </c>
      <c r="D1980" s="50">
        <v>851.2</v>
      </c>
    </row>
    <row r="1981" spans="1:4" ht="13.5">
      <c r="A1981" s="49">
        <v>91333</v>
      </c>
      <c r="B1981" s="48" t="s">
        <v>3963</v>
      </c>
      <c r="C1981" s="48" t="s">
        <v>32</v>
      </c>
      <c r="D1981" s="50">
        <v>730.18</v>
      </c>
    </row>
    <row r="1982" spans="1:4" ht="13.5">
      <c r="A1982" s="49">
        <v>91334</v>
      </c>
      <c r="B1982" s="48" t="s">
        <v>3964</v>
      </c>
      <c r="C1982" s="48" t="s">
        <v>32</v>
      </c>
      <c r="D1982" s="51">
        <v>1336.32</v>
      </c>
    </row>
    <row r="1983" spans="1:4" ht="13.5">
      <c r="A1983" s="49">
        <v>91335</v>
      </c>
      <c r="B1983" s="48" t="s">
        <v>3965</v>
      </c>
      <c r="C1983" s="48" t="s">
        <v>32</v>
      </c>
      <c r="D1983" s="51">
        <v>1215.3</v>
      </c>
    </row>
    <row r="1984" spans="1:4" ht="13.5">
      <c r="A1984" s="49">
        <v>91336</v>
      </c>
      <c r="B1984" s="48" t="s">
        <v>3966</v>
      </c>
      <c r="C1984" s="48" t="s">
        <v>32</v>
      </c>
      <c r="D1984" s="51">
        <v>1674.2</v>
      </c>
    </row>
    <row r="1985" spans="1:4" ht="13.5">
      <c r="A1985" s="49">
        <v>91337</v>
      </c>
      <c r="B1985" s="48" t="s">
        <v>3967</v>
      </c>
      <c r="C1985" s="48" t="s">
        <v>32</v>
      </c>
      <c r="D1985" s="51">
        <v>1553.18</v>
      </c>
    </row>
    <row r="1986" spans="1:4" ht="13.5">
      <c r="A1986" s="49">
        <v>100659</v>
      </c>
      <c r="B1986" s="48" t="s">
        <v>3968</v>
      </c>
      <c r="C1986" s="48" t="s">
        <v>6</v>
      </c>
      <c r="D1986" s="50">
        <v>11.59</v>
      </c>
    </row>
    <row r="1987" spans="1:4" ht="13.5">
      <c r="A1987" s="49">
        <v>100660</v>
      </c>
      <c r="B1987" s="48" t="s">
        <v>3969</v>
      </c>
      <c r="C1987" s="48" t="s">
        <v>6</v>
      </c>
      <c r="D1987" s="50">
        <v>7.83</v>
      </c>
    </row>
    <row r="1988" spans="1:4" ht="13.5">
      <c r="A1988" s="49">
        <v>100675</v>
      </c>
      <c r="B1988" s="48" t="s">
        <v>3970</v>
      </c>
      <c r="C1988" s="48" t="s">
        <v>32</v>
      </c>
      <c r="D1988" s="50">
        <v>824.67</v>
      </c>
    </row>
    <row r="1989" spans="1:4" ht="13.5">
      <c r="A1989" s="49">
        <v>100676</v>
      </c>
      <c r="B1989" s="48" t="s">
        <v>3971</v>
      </c>
      <c r="C1989" s="48" t="s">
        <v>32</v>
      </c>
      <c r="D1989" s="50">
        <v>186.6</v>
      </c>
    </row>
    <row r="1990" spans="1:4" ht="13.5">
      <c r="A1990" s="49">
        <v>100678</v>
      </c>
      <c r="B1990" s="48" t="s">
        <v>3972</v>
      </c>
      <c r="C1990" s="48" t="s">
        <v>32</v>
      </c>
      <c r="D1990" s="50">
        <v>904.47</v>
      </c>
    </row>
    <row r="1991" spans="1:4" ht="13.5">
      <c r="A1991" s="49">
        <v>100679</v>
      </c>
      <c r="B1991" s="48" t="s">
        <v>3973</v>
      </c>
      <c r="C1991" s="48" t="s">
        <v>32</v>
      </c>
      <c r="D1991" s="50">
        <v>748.8</v>
      </c>
    </row>
    <row r="1992" spans="1:4" ht="13.5">
      <c r="A1992" s="49">
        <v>100680</v>
      </c>
      <c r="B1992" s="48" t="s">
        <v>3974</v>
      </c>
      <c r="C1992" s="48" t="s">
        <v>32</v>
      </c>
      <c r="D1992" s="50">
        <v>912.99</v>
      </c>
    </row>
    <row r="1993" spans="1:4" ht="13.5">
      <c r="A1993" s="49">
        <v>100681</v>
      </c>
      <c r="B1993" s="48" t="s">
        <v>3975</v>
      </c>
      <c r="C1993" s="48" t="s">
        <v>32</v>
      </c>
      <c r="D1993" s="50">
        <v>936.84</v>
      </c>
    </row>
    <row r="1994" spans="1:4" ht="13.5">
      <c r="A1994" s="49">
        <v>100682</v>
      </c>
      <c r="B1994" s="48" t="s">
        <v>3976</v>
      </c>
      <c r="C1994" s="48" t="s">
        <v>32</v>
      </c>
      <c r="D1994" s="50">
        <v>768.23</v>
      </c>
    </row>
    <row r="1995" spans="1:4" ht="13.5">
      <c r="A1995" s="49">
        <v>100683</v>
      </c>
      <c r="B1995" s="48" t="s">
        <v>3977</v>
      </c>
      <c r="C1995" s="48" t="s">
        <v>32</v>
      </c>
      <c r="D1995" s="50">
        <v>983</v>
      </c>
    </row>
    <row r="1996" spans="1:4" ht="13.5">
      <c r="A1996" s="49">
        <v>100684</v>
      </c>
      <c r="B1996" s="48" t="s">
        <v>3979</v>
      </c>
      <c r="C1996" s="48" t="s">
        <v>32</v>
      </c>
      <c r="D1996" s="50">
        <v>809.44</v>
      </c>
    </row>
    <row r="1997" spans="1:4" ht="13.5">
      <c r="A1997" s="49">
        <v>100685</v>
      </c>
      <c r="B1997" s="48" t="s">
        <v>3980</v>
      </c>
      <c r="C1997" s="48" t="s">
        <v>32</v>
      </c>
      <c r="D1997" s="51">
        <v>1023.99</v>
      </c>
    </row>
    <row r="1998" spans="1:4" ht="13.5">
      <c r="A1998" s="49">
        <v>100686</v>
      </c>
      <c r="B1998" s="48" t="s">
        <v>3981</v>
      </c>
      <c r="C1998" s="48" t="s">
        <v>32</v>
      </c>
      <c r="D1998" s="50">
        <v>849.68</v>
      </c>
    </row>
    <row r="1999" spans="1:4" ht="13.5">
      <c r="A1999" s="49">
        <v>100687</v>
      </c>
      <c r="B1999" s="48" t="s">
        <v>3982</v>
      </c>
      <c r="C1999" s="48" t="s">
        <v>32</v>
      </c>
      <c r="D1999" s="50">
        <v>913.01</v>
      </c>
    </row>
    <row r="2000" spans="1:4" ht="13.5">
      <c r="A2000" s="49">
        <v>100688</v>
      </c>
      <c r="B2000" s="48" t="s">
        <v>3983</v>
      </c>
      <c r="C2000" s="48" t="s">
        <v>32</v>
      </c>
      <c r="D2000" s="50">
        <v>757.34</v>
      </c>
    </row>
    <row r="2001" spans="1:4" ht="13.5">
      <c r="A2001" s="49">
        <v>100689</v>
      </c>
      <c r="B2001" s="48" t="s">
        <v>3984</v>
      </c>
      <c r="C2001" s="48" t="s">
        <v>32</v>
      </c>
      <c r="D2001" s="50">
        <v>988.69</v>
      </c>
    </row>
    <row r="2002" spans="1:4" ht="13.5">
      <c r="A2002" s="49">
        <v>100690</v>
      </c>
      <c r="B2002" s="48" t="s">
        <v>3985</v>
      </c>
      <c r="C2002" s="48" t="s">
        <v>32</v>
      </c>
      <c r="D2002" s="50">
        <v>815.13</v>
      </c>
    </row>
    <row r="2003" spans="1:4" ht="13.5">
      <c r="A2003" s="49">
        <v>100691</v>
      </c>
      <c r="B2003" s="48" t="s">
        <v>3986</v>
      </c>
      <c r="C2003" s="48" t="s">
        <v>32</v>
      </c>
      <c r="D2003" s="51">
        <v>1473.81</v>
      </c>
    </row>
    <row r="2004" spans="1:4" ht="13.5">
      <c r="A2004" s="49">
        <v>100692</v>
      </c>
      <c r="B2004" s="48" t="s">
        <v>3987</v>
      </c>
      <c r="C2004" s="48" t="s">
        <v>32</v>
      </c>
      <c r="D2004" s="51">
        <v>1300.25</v>
      </c>
    </row>
    <row r="2005" spans="1:4" ht="13.5">
      <c r="A2005" s="49">
        <v>100693</v>
      </c>
      <c r="B2005" s="48" t="s">
        <v>3988</v>
      </c>
      <c r="C2005" s="48" t="s">
        <v>32</v>
      </c>
      <c r="D2005" s="51">
        <v>1811.69</v>
      </c>
    </row>
    <row r="2006" spans="1:4" ht="13.5">
      <c r="A2006" s="49">
        <v>100694</v>
      </c>
      <c r="B2006" s="48" t="s">
        <v>3989</v>
      </c>
      <c r="C2006" s="48" t="s">
        <v>32</v>
      </c>
      <c r="D2006" s="51">
        <v>1638.13</v>
      </c>
    </row>
    <row r="2007" spans="1:4" ht="13.5">
      <c r="A2007" s="49">
        <v>100695</v>
      </c>
      <c r="B2007" s="48" t="s">
        <v>3990</v>
      </c>
      <c r="C2007" s="48" t="s">
        <v>32</v>
      </c>
      <c r="D2007" s="50">
        <v>52.04</v>
      </c>
    </row>
    <row r="2008" spans="1:4" ht="13.5">
      <c r="A2008" s="49">
        <v>100696</v>
      </c>
      <c r="B2008" s="48" t="s">
        <v>3991</v>
      </c>
      <c r="C2008" s="48" t="s">
        <v>32</v>
      </c>
      <c r="D2008" s="50">
        <v>57.81</v>
      </c>
    </row>
    <row r="2009" spans="1:4" ht="13.5">
      <c r="A2009" s="49">
        <v>100697</v>
      </c>
      <c r="B2009" s="48" t="s">
        <v>3992</v>
      </c>
      <c r="C2009" s="48" t="s">
        <v>32</v>
      </c>
      <c r="D2009" s="50">
        <v>63.63</v>
      </c>
    </row>
    <row r="2010" spans="1:4" ht="13.5">
      <c r="A2010" s="49">
        <v>100698</v>
      </c>
      <c r="B2010" s="48" t="s">
        <v>3993</v>
      </c>
      <c r="C2010" s="48" t="s">
        <v>32</v>
      </c>
      <c r="D2010" s="50">
        <v>69.44</v>
      </c>
    </row>
    <row r="2011" spans="1:4" ht="13.5">
      <c r="A2011" s="49">
        <v>100699</v>
      </c>
      <c r="B2011" s="48" t="s">
        <v>3994</v>
      </c>
      <c r="C2011" s="48" t="s">
        <v>32</v>
      </c>
      <c r="D2011" s="50">
        <v>82.32</v>
      </c>
    </row>
    <row r="2012" spans="1:4" ht="13.5">
      <c r="A2012" s="49">
        <v>100700</v>
      </c>
      <c r="B2012" s="48" t="s">
        <v>3995</v>
      </c>
      <c r="C2012" s="48" t="s">
        <v>32</v>
      </c>
      <c r="D2012" s="50">
        <v>763.29</v>
      </c>
    </row>
    <row r="2013" spans="1:4" ht="13.5">
      <c r="A2013" s="49">
        <v>100712</v>
      </c>
      <c r="B2013" s="48" t="s">
        <v>3996</v>
      </c>
      <c r="C2013" s="48" t="s">
        <v>32</v>
      </c>
      <c r="D2013" s="50">
        <v>744.38</v>
      </c>
    </row>
    <row r="2014" spans="1:4" ht="13.5">
      <c r="A2014" s="49">
        <v>100665</v>
      </c>
      <c r="B2014" s="48" t="s">
        <v>3997</v>
      </c>
      <c r="C2014" s="48" t="s">
        <v>26764</v>
      </c>
      <c r="D2014" s="50">
        <v>820.3</v>
      </c>
    </row>
    <row r="2015" spans="1:4" ht="13.5">
      <c r="A2015" s="49">
        <v>100666</v>
      </c>
      <c r="B2015" s="48" t="s">
        <v>3998</v>
      </c>
      <c r="C2015" s="48" t="s">
        <v>26764</v>
      </c>
      <c r="D2015" s="50">
        <v>650.48</v>
      </c>
    </row>
    <row r="2016" spans="1:4" ht="13.5">
      <c r="A2016" s="49">
        <v>100667</v>
      </c>
      <c r="B2016" s="48" t="s">
        <v>3999</v>
      </c>
      <c r="C2016" s="48" t="s">
        <v>26764</v>
      </c>
      <c r="D2016" s="51">
        <v>1060.3800000000001</v>
      </c>
    </row>
    <row r="2017" spans="1:4" ht="13.5">
      <c r="A2017" s="49">
        <v>100668</v>
      </c>
      <c r="B2017" s="48" t="s">
        <v>4000</v>
      </c>
      <c r="C2017" s="48" t="s">
        <v>26764</v>
      </c>
      <c r="D2017" s="51">
        <v>1291.0899999999999</v>
      </c>
    </row>
    <row r="2018" spans="1:4" ht="13.5">
      <c r="A2018" s="49">
        <v>100669</v>
      </c>
      <c r="B2018" s="48" t="s">
        <v>4001</v>
      </c>
      <c r="C2018" s="48" t="s">
        <v>26764</v>
      </c>
      <c r="D2018" s="50">
        <v>767.65</v>
      </c>
    </row>
    <row r="2019" spans="1:4" ht="13.5">
      <c r="A2019" s="49">
        <v>100670</v>
      </c>
      <c r="B2019" s="48" t="s">
        <v>4002</v>
      </c>
      <c r="C2019" s="48" t="s">
        <v>26764</v>
      </c>
      <c r="D2019" s="51">
        <v>1025.81</v>
      </c>
    </row>
    <row r="2020" spans="1:4" ht="13.5">
      <c r="A2020" s="49">
        <v>100671</v>
      </c>
      <c r="B2020" s="48" t="s">
        <v>4003</v>
      </c>
      <c r="C2020" s="48" t="s">
        <v>26764</v>
      </c>
      <c r="D2020" s="51">
        <v>1269.98</v>
      </c>
    </row>
    <row r="2021" spans="1:4" ht="13.5">
      <c r="A2021" s="49">
        <v>100672</v>
      </c>
      <c r="B2021" s="48" t="s">
        <v>4004</v>
      </c>
      <c r="C2021" s="48" t="s">
        <v>26764</v>
      </c>
      <c r="D2021" s="50">
        <v>824.72</v>
      </c>
    </row>
    <row r="2022" spans="1:4" ht="13.5">
      <c r="A2022" s="49">
        <v>100701</v>
      </c>
      <c r="B2022" s="48" t="s">
        <v>4005</v>
      </c>
      <c r="C2022" s="48" t="s">
        <v>26764</v>
      </c>
      <c r="D2022" s="50">
        <v>578.95000000000005</v>
      </c>
    </row>
    <row r="2023" spans="1:4" ht="13.5">
      <c r="A2023" s="49">
        <v>94559</v>
      </c>
      <c r="B2023" s="48" t="s">
        <v>4006</v>
      </c>
      <c r="C2023" s="48" t="s">
        <v>26764</v>
      </c>
      <c r="D2023" s="50">
        <v>666.95</v>
      </c>
    </row>
    <row r="2024" spans="1:4" ht="13.5">
      <c r="A2024" s="49">
        <v>94562</v>
      </c>
      <c r="B2024" s="48" t="s">
        <v>4007</v>
      </c>
      <c r="C2024" s="48" t="s">
        <v>26764</v>
      </c>
      <c r="D2024" s="50">
        <v>628.01</v>
      </c>
    </row>
    <row r="2025" spans="1:4" ht="13.5">
      <c r="A2025" s="49">
        <v>94587</v>
      </c>
      <c r="B2025" s="48" t="s">
        <v>4008</v>
      </c>
      <c r="C2025" s="48" t="s">
        <v>6</v>
      </c>
      <c r="D2025" s="50">
        <v>77.61</v>
      </c>
    </row>
    <row r="2026" spans="1:4" ht="13.5">
      <c r="A2026" s="49">
        <v>94588</v>
      </c>
      <c r="B2026" s="48" t="s">
        <v>4009</v>
      </c>
      <c r="C2026" s="48" t="s">
        <v>6</v>
      </c>
      <c r="D2026" s="50">
        <v>70.62</v>
      </c>
    </row>
    <row r="2027" spans="1:4" ht="13.5">
      <c r="A2027" s="49">
        <v>99837</v>
      </c>
      <c r="B2027" s="48" t="s">
        <v>4010</v>
      </c>
      <c r="C2027" s="48" t="s">
        <v>6</v>
      </c>
      <c r="D2027" s="50">
        <v>769.2</v>
      </c>
    </row>
    <row r="2028" spans="1:4" ht="13.5">
      <c r="A2028" s="49">
        <v>99839</v>
      </c>
      <c r="B2028" s="48" t="s">
        <v>4011</v>
      </c>
      <c r="C2028" s="48" t="s">
        <v>6</v>
      </c>
      <c r="D2028" s="50">
        <v>576.75</v>
      </c>
    </row>
    <row r="2029" spans="1:4" ht="13.5">
      <c r="A2029" s="49">
        <v>99841</v>
      </c>
      <c r="B2029" s="48" t="s">
        <v>4012</v>
      </c>
      <c r="C2029" s="48" t="s">
        <v>6</v>
      </c>
      <c r="D2029" s="51">
        <v>1404.57</v>
      </c>
    </row>
    <row r="2030" spans="1:4" ht="13.5">
      <c r="A2030" s="49">
        <v>99855</v>
      </c>
      <c r="B2030" s="48" t="s">
        <v>4013</v>
      </c>
      <c r="C2030" s="48" t="s">
        <v>6</v>
      </c>
      <c r="D2030" s="50">
        <v>140.43</v>
      </c>
    </row>
    <row r="2031" spans="1:4" ht="13.5">
      <c r="A2031" s="49">
        <v>99857</v>
      </c>
      <c r="B2031" s="48" t="s">
        <v>4014</v>
      </c>
      <c r="C2031" s="48" t="s">
        <v>6</v>
      </c>
      <c r="D2031" s="50">
        <v>88.86</v>
      </c>
    </row>
    <row r="2032" spans="1:4" ht="13.5">
      <c r="A2032" s="49">
        <v>99861</v>
      </c>
      <c r="B2032" s="48" t="s">
        <v>4015</v>
      </c>
      <c r="C2032" s="48" t="s">
        <v>26764</v>
      </c>
      <c r="D2032" s="50">
        <v>657.28</v>
      </c>
    </row>
    <row r="2033" spans="1:4" ht="13.5">
      <c r="A2033" s="49">
        <v>99862</v>
      </c>
      <c r="B2033" s="48" t="s">
        <v>4016</v>
      </c>
      <c r="C2033" s="48" t="s">
        <v>26764</v>
      </c>
      <c r="D2033" s="50">
        <v>572.63</v>
      </c>
    </row>
    <row r="2034" spans="1:4" ht="13.5">
      <c r="A2034" s="49">
        <v>90838</v>
      </c>
      <c r="B2034" s="48" t="s">
        <v>4017</v>
      </c>
      <c r="C2034" s="48" t="s">
        <v>32</v>
      </c>
      <c r="D2034" s="51">
        <v>1455.3</v>
      </c>
    </row>
    <row r="2035" spans="1:4" ht="13.5">
      <c r="A2035" s="49">
        <v>91338</v>
      </c>
      <c r="B2035" s="48" t="s">
        <v>4018</v>
      </c>
      <c r="C2035" s="48" t="s">
        <v>26764</v>
      </c>
      <c r="D2035" s="50">
        <v>988.65</v>
      </c>
    </row>
    <row r="2036" spans="1:4" ht="13.5">
      <c r="A2036" s="49">
        <v>91341</v>
      </c>
      <c r="B2036" s="48" t="s">
        <v>4019</v>
      </c>
      <c r="C2036" s="48" t="s">
        <v>26764</v>
      </c>
      <c r="D2036" s="50">
        <v>818.26</v>
      </c>
    </row>
    <row r="2037" spans="1:4" ht="13.5">
      <c r="A2037" s="49">
        <v>94805</v>
      </c>
      <c r="B2037" s="48" t="s">
        <v>4020</v>
      </c>
      <c r="C2037" s="48" t="s">
        <v>32</v>
      </c>
      <c r="D2037" s="50">
        <v>763.85</v>
      </c>
    </row>
    <row r="2038" spans="1:4" ht="13.5">
      <c r="A2038" s="49">
        <v>94806</v>
      </c>
      <c r="B2038" s="48" t="s">
        <v>4021</v>
      </c>
      <c r="C2038" s="48" t="s">
        <v>32</v>
      </c>
      <c r="D2038" s="50">
        <v>679.73</v>
      </c>
    </row>
    <row r="2039" spans="1:4" ht="13.5">
      <c r="A2039" s="49">
        <v>94807</v>
      </c>
      <c r="B2039" s="48" t="s">
        <v>4022</v>
      </c>
      <c r="C2039" s="48" t="s">
        <v>32</v>
      </c>
      <c r="D2039" s="50">
        <v>619.59</v>
      </c>
    </row>
    <row r="2040" spans="1:4" ht="13.5">
      <c r="A2040" s="49">
        <v>100702</v>
      </c>
      <c r="B2040" s="48" t="s">
        <v>4023</v>
      </c>
      <c r="C2040" s="48" t="s">
        <v>26764</v>
      </c>
      <c r="D2040" s="50">
        <v>496.73</v>
      </c>
    </row>
    <row r="2041" spans="1:4" ht="13.5">
      <c r="A2041" s="49">
        <v>102188</v>
      </c>
      <c r="B2041" s="48" t="s">
        <v>20200</v>
      </c>
      <c r="C2041" s="48" t="s">
        <v>32</v>
      </c>
      <c r="D2041" s="50">
        <v>743.15</v>
      </c>
    </row>
    <row r="2042" spans="1:4" ht="13.5">
      <c r="A2042" s="49">
        <v>102189</v>
      </c>
      <c r="B2042" s="48" t="s">
        <v>20201</v>
      </c>
      <c r="C2042" s="48" t="s">
        <v>32</v>
      </c>
      <c r="D2042" s="50">
        <v>208.31</v>
      </c>
    </row>
    <row r="2043" spans="1:4" ht="13.5">
      <c r="A2043" s="49">
        <v>100703</v>
      </c>
      <c r="B2043" s="48" t="s">
        <v>4024</v>
      </c>
      <c r="C2043" s="48" t="s">
        <v>32</v>
      </c>
      <c r="D2043" s="50">
        <v>28.5</v>
      </c>
    </row>
    <row r="2044" spans="1:4" ht="13.5">
      <c r="A2044" s="49">
        <v>100704</v>
      </c>
      <c r="B2044" s="48" t="s">
        <v>4025</v>
      </c>
      <c r="C2044" s="48" t="s">
        <v>32</v>
      </c>
      <c r="D2044" s="50">
        <v>60.6</v>
      </c>
    </row>
    <row r="2045" spans="1:4" ht="13.5">
      <c r="A2045" s="49">
        <v>100705</v>
      </c>
      <c r="B2045" s="48" t="s">
        <v>4026</v>
      </c>
      <c r="C2045" s="48" t="s">
        <v>32</v>
      </c>
      <c r="D2045" s="50">
        <v>69.48</v>
      </c>
    </row>
    <row r="2046" spans="1:4" ht="13.5">
      <c r="A2046" s="49">
        <v>100706</v>
      </c>
      <c r="B2046" s="48" t="s">
        <v>4027</v>
      </c>
      <c r="C2046" s="48" t="s">
        <v>32</v>
      </c>
      <c r="D2046" s="50">
        <v>61.59</v>
      </c>
    </row>
    <row r="2047" spans="1:4" ht="13.5">
      <c r="A2047" s="49">
        <v>100707</v>
      </c>
      <c r="B2047" s="48" t="s">
        <v>4028</v>
      </c>
      <c r="C2047" s="48" t="s">
        <v>32</v>
      </c>
      <c r="D2047" s="50">
        <v>128.19999999999999</v>
      </c>
    </row>
    <row r="2048" spans="1:4" ht="13.5">
      <c r="A2048" s="49">
        <v>100708</v>
      </c>
      <c r="B2048" s="48" t="s">
        <v>4029</v>
      </c>
      <c r="C2048" s="48" t="s">
        <v>32</v>
      </c>
      <c r="D2048" s="50">
        <v>160.71</v>
      </c>
    </row>
    <row r="2049" spans="1:4" ht="13.5">
      <c r="A2049" s="49">
        <v>100709</v>
      </c>
      <c r="B2049" s="48" t="s">
        <v>4030</v>
      </c>
      <c r="C2049" s="48" t="s">
        <v>32</v>
      </c>
      <c r="D2049" s="50">
        <v>38.58</v>
      </c>
    </row>
    <row r="2050" spans="1:4" ht="13.5">
      <c r="A2050" s="49">
        <v>100710</v>
      </c>
      <c r="B2050" s="48" t="s">
        <v>4031</v>
      </c>
      <c r="C2050" s="48" t="s">
        <v>32</v>
      </c>
      <c r="D2050" s="50">
        <v>91.13</v>
      </c>
    </row>
    <row r="2051" spans="1:4" ht="13.5">
      <c r="A2051" s="49">
        <v>102151</v>
      </c>
      <c r="B2051" s="48" t="s">
        <v>20202</v>
      </c>
      <c r="C2051" s="48" t="s">
        <v>26764</v>
      </c>
      <c r="D2051" s="50">
        <v>201.04</v>
      </c>
    </row>
    <row r="2052" spans="1:4" ht="13.5">
      <c r="A2052" s="49">
        <v>102152</v>
      </c>
      <c r="B2052" s="48" t="s">
        <v>20203</v>
      </c>
      <c r="C2052" s="48" t="s">
        <v>26764</v>
      </c>
      <c r="D2052" s="50">
        <v>254.91</v>
      </c>
    </row>
    <row r="2053" spans="1:4" ht="13.5">
      <c r="A2053" s="49">
        <v>102153</v>
      </c>
      <c r="B2053" s="48" t="s">
        <v>20204</v>
      </c>
      <c r="C2053" s="48" t="s">
        <v>26764</v>
      </c>
      <c r="D2053" s="50">
        <v>326.76</v>
      </c>
    </row>
    <row r="2054" spans="1:4" ht="13.5">
      <c r="A2054" s="49">
        <v>102154</v>
      </c>
      <c r="B2054" s="48" t="s">
        <v>20205</v>
      </c>
      <c r="C2054" s="48" t="s">
        <v>26764</v>
      </c>
      <c r="D2054" s="50">
        <v>283.12</v>
      </c>
    </row>
    <row r="2055" spans="1:4" ht="13.5">
      <c r="A2055" s="49">
        <v>102155</v>
      </c>
      <c r="B2055" s="48" t="s">
        <v>20206</v>
      </c>
      <c r="C2055" s="48" t="s">
        <v>26764</v>
      </c>
      <c r="D2055" s="50">
        <v>341.86</v>
      </c>
    </row>
    <row r="2056" spans="1:4" ht="13.5">
      <c r="A2056" s="49">
        <v>102156</v>
      </c>
      <c r="B2056" s="48" t="s">
        <v>20207</v>
      </c>
      <c r="C2056" s="48" t="s">
        <v>26764</v>
      </c>
      <c r="D2056" s="50">
        <v>329.62</v>
      </c>
    </row>
    <row r="2057" spans="1:4" ht="13.5">
      <c r="A2057" s="49">
        <v>102157</v>
      </c>
      <c r="B2057" s="48" t="s">
        <v>20208</v>
      </c>
      <c r="C2057" s="48" t="s">
        <v>26764</v>
      </c>
      <c r="D2057" s="50">
        <v>455.34</v>
      </c>
    </row>
    <row r="2058" spans="1:4" ht="13.5">
      <c r="A2058" s="49">
        <v>102158</v>
      </c>
      <c r="B2058" s="48" t="s">
        <v>20209</v>
      </c>
      <c r="C2058" s="48" t="s">
        <v>26764</v>
      </c>
      <c r="D2058" s="50">
        <v>463.44</v>
      </c>
    </row>
    <row r="2059" spans="1:4" ht="13.5">
      <c r="A2059" s="49">
        <v>102159</v>
      </c>
      <c r="B2059" s="48" t="s">
        <v>20210</v>
      </c>
      <c r="C2059" s="48" t="s">
        <v>26764</v>
      </c>
      <c r="D2059" s="50">
        <v>554.57000000000005</v>
      </c>
    </row>
    <row r="2060" spans="1:4" ht="13.5">
      <c r="A2060" s="49">
        <v>102160</v>
      </c>
      <c r="B2060" s="48" t="s">
        <v>20211</v>
      </c>
      <c r="C2060" s="48" t="s">
        <v>26764</v>
      </c>
      <c r="D2060" s="50">
        <v>218.99</v>
      </c>
    </row>
    <row r="2061" spans="1:4" ht="13.5">
      <c r="A2061" s="49">
        <v>102161</v>
      </c>
      <c r="B2061" s="48" t="s">
        <v>20212</v>
      </c>
      <c r="C2061" s="48" t="s">
        <v>26764</v>
      </c>
      <c r="D2061" s="50">
        <v>288.73</v>
      </c>
    </row>
    <row r="2062" spans="1:4" ht="13.5">
      <c r="A2062" s="49">
        <v>102162</v>
      </c>
      <c r="B2062" s="48" t="s">
        <v>20213</v>
      </c>
      <c r="C2062" s="48" t="s">
        <v>26764</v>
      </c>
      <c r="D2062" s="50">
        <v>342.6</v>
      </c>
    </row>
    <row r="2063" spans="1:4" ht="13.5">
      <c r="A2063" s="49">
        <v>102163</v>
      </c>
      <c r="B2063" s="48" t="s">
        <v>20214</v>
      </c>
      <c r="C2063" s="48" t="s">
        <v>26764</v>
      </c>
      <c r="D2063" s="50">
        <v>414.45</v>
      </c>
    </row>
    <row r="2064" spans="1:4" ht="13.5">
      <c r="A2064" s="49">
        <v>102164</v>
      </c>
      <c r="B2064" s="48" t="s">
        <v>20215</v>
      </c>
      <c r="C2064" s="48" t="s">
        <v>26764</v>
      </c>
      <c r="D2064" s="50">
        <v>354.67</v>
      </c>
    </row>
    <row r="2065" spans="1:4" ht="13.5">
      <c r="A2065" s="49">
        <v>102165</v>
      </c>
      <c r="B2065" s="48" t="s">
        <v>20216</v>
      </c>
      <c r="C2065" s="48" t="s">
        <v>26764</v>
      </c>
      <c r="D2065" s="50">
        <v>413.41</v>
      </c>
    </row>
    <row r="2066" spans="1:4" ht="13.5">
      <c r="A2066" s="49">
        <v>102166</v>
      </c>
      <c r="B2066" s="48" t="s">
        <v>20217</v>
      </c>
      <c r="C2066" s="48" t="s">
        <v>26764</v>
      </c>
      <c r="D2066" s="50">
        <v>385.02</v>
      </c>
    </row>
    <row r="2067" spans="1:4" ht="13.5">
      <c r="A2067" s="49">
        <v>102167</v>
      </c>
      <c r="B2067" s="48" t="s">
        <v>20218</v>
      </c>
      <c r="C2067" s="48" t="s">
        <v>26764</v>
      </c>
      <c r="D2067" s="50">
        <v>510.74</v>
      </c>
    </row>
    <row r="2068" spans="1:4" ht="13.5">
      <c r="A2068" s="49">
        <v>102168</v>
      </c>
      <c r="B2068" s="48" t="s">
        <v>20219</v>
      </c>
      <c r="C2068" s="48" t="s">
        <v>26764</v>
      </c>
      <c r="D2068" s="50">
        <v>504.5</v>
      </c>
    </row>
    <row r="2069" spans="1:4" ht="13.5">
      <c r="A2069" s="49">
        <v>102169</v>
      </c>
      <c r="B2069" s="48" t="s">
        <v>20220</v>
      </c>
      <c r="C2069" s="48" t="s">
        <v>26764</v>
      </c>
      <c r="D2069" s="50">
        <v>590.33000000000004</v>
      </c>
    </row>
    <row r="2070" spans="1:4" ht="13.5">
      <c r="A2070" s="49">
        <v>102170</v>
      </c>
      <c r="B2070" s="48" t="s">
        <v>20221</v>
      </c>
      <c r="C2070" s="48" t="s">
        <v>26764</v>
      </c>
      <c r="D2070" s="50">
        <v>306.68</v>
      </c>
    </row>
    <row r="2071" spans="1:4" ht="13.5">
      <c r="A2071" s="49">
        <v>102171</v>
      </c>
      <c r="B2071" s="48" t="s">
        <v>20222</v>
      </c>
      <c r="C2071" s="48" t="s">
        <v>26764</v>
      </c>
      <c r="D2071" s="50">
        <v>642.02</v>
      </c>
    </row>
    <row r="2072" spans="1:4" ht="13.5">
      <c r="A2072" s="49">
        <v>102172</v>
      </c>
      <c r="B2072" s="48" t="s">
        <v>20223</v>
      </c>
      <c r="C2072" s="48" t="s">
        <v>26764</v>
      </c>
      <c r="D2072" s="50">
        <v>636.45000000000005</v>
      </c>
    </row>
    <row r="2073" spans="1:4" ht="13.5">
      <c r="A2073" s="49">
        <v>102176</v>
      </c>
      <c r="B2073" s="48" t="s">
        <v>20224</v>
      </c>
      <c r="C2073" s="48" t="s">
        <v>26764</v>
      </c>
      <c r="D2073" s="51">
        <v>1189.73</v>
      </c>
    </row>
    <row r="2074" spans="1:4" ht="13.5">
      <c r="A2074" s="49">
        <v>102177</v>
      </c>
      <c r="B2074" s="48" t="s">
        <v>20225</v>
      </c>
      <c r="C2074" s="48" t="s">
        <v>26764</v>
      </c>
      <c r="D2074" s="51">
        <v>2475.16</v>
      </c>
    </row>
    <row r="2075" spans="1:4" ht="13.5">
      <c r="A2075" s="49">
        <v>102178</v>
      </c>
      <c r="B2075" s="48" t="s">
        <v>20226</v>
      </c>
      <c r="C2075" s="48" t="s">
        <v>26764</v>
      </c>
      <c r="D2075" s="51">
        <v>2856.62</v>
      </c>
    </row>
    <row r="2076" spans="1:4" ht="13.5">
      <c r="A2076" s="49">
        <v>102179</v>
      </c>
      <c r="B2076" s="48" t="s">
        <v>20227</v>
      </c>
      <c r="C2076" s="48" t="s">
        <v>26764</v>
      </c>
      <c r="D2076" s="50">
        <v>416.1</v>
      </c>
    </row>
    <row r="2077" spans="1:4" ht="13.5">
      <c r="A2077" s="49">
        <v>102180</v>
      </c>
      <c r="B2077" s="48" t="s">
        <v>20228</v>
      </c>
      <c r="C2077" s="48" t="s">
        <v>26764</v>
      </c>
      <c r="D2077" s="50">
        <v>493.76</v>
      </c>
    </row>
    <row r="2078" spans="1:4" ht="13.5">
      <c r="A2078" s="49">
        <v>102181</v>
      </c>
      <c r="B2078" s="48" t="s">
        <v>20229</v>
      </c>
      <c r="C2078" s="48" t="s">
        <v>26764</v>
      </c>
      <c r="D2078" s="50">
        <v>597.07000000000005</v>
      </c>
    </row>
    <row r="2079" spans="1:4" ht="13.5">
      <c r="A2079" s="49">
        <v>102182</v>
      </c>
      <c r="B2079" s="48" t="s">
        <v>20230</v>
      </c>
      <c r="C2079" s="48" t="s">
        <v>32</v>
      </c>
      <c r="D2079" s="51">
        <v>1208.55</v>
      </c>
    </row>
    <row r="2080" spans="1:4" ht="13.5">
      <c r="A2080" s="49">
        <v>102183</v>
      </c>
      <c r="B2080" s="48" t="s">
        <v>20231</v>
      </c>
      <c r="C2080" s="48" t="s">
        <v>32</v>
      </c>
      <c r="D2080" s="51">
        <v>2428.02</v>
      </c>
    </row>
    <row r="2081" spans="1:4" ht="13.5">
      <c r="A2081" s="49">
        <v>102184</v>
      </c>
      <c r="B2081" s="48" t="s">
        <v>20232</v>
      </c>
      <c r="C2081" s="48" t="s">
        <v>32</v>
      </c>
      <c r="D2081" s="51">
        <v>1931.38</v>
      </c>
    </row>
    <row r="2082" spans="1:4" ht="13.5">
      <c r="A2082" s="49">
        <v>102185</v>
      </c>
      <c r="B2082" s="48" t="s">
        <v>20233</v>
      </c>
      <c r="C2082" s="48" t="s">
        <v>32</v>
      </c>
      <c r="D2082" s="51">
        <v>3873.39</v>
      </c>
    </row>
    <row r="2083" spans="1:4" ht="13.5">
      <c r="A2083" s="49">
        <v>102190</v>
      </c>
      <c r="B2083" s="48" t="s">
        <v>20234</v>
      </c>
      <c r="C2083" s="48" t="s">
        <v>26764</v>
      </c>
      <c r="D2083" s="50">
        <v>16.79</v>
      </c>
    </row>
    <row r="2084" spans="1:4" ht="13.5">
      <c r="A2084" s="49">
        <v>102191</v>
      </c>
      <c r="B2084" s="48" t="s">
        <v>20235</v>
      </c>
      <c r="C2084" s="48" t="s">
        <v>26764</v>
      </c>
      <c r="D2084" s="50">
        <v>20.399999999999999</v>
      </c>
    </row>
    <row r="2085" spans="1:4" ht="13.5">
      <c r="A2085" s="49">
        <v>102192</v>
      </c>
      <c r="B2085" s="48" t="s">
        <v>20236</v>
      </c>
      <c r="C2085" s="48" t="s">
        <v>26764</v>
      </c>
      <c r="D2085" s="50">
        <v>14.56</v>
      </c>
    </row>
    <row r="2086" spans="1:4" ht="13.5">
      <c r="A2086" s="49">
        <v>94569</v>
      </c>
      <c r="B2086" s="48" t="s">
        <v>4032</v>
      </c>
      <c r="C2086" s="48" t="s">
        <v>26764</v>
      </c>
      <c r="D2086" s="51">
        <v>1278.18</v>
      </c>
    </row>
    <row r="2087" spans="1:4" ht="13.5">
      <c r="A2087" s="49">
        <v>94570</v>
      </c>
      <c r="B2087" s="48" t="s">
        <v>4033</v>
      </c>
      <c r="C2087" s="48" t="s">
        <v>26764</v>
      </c>
      <c r="D2087" s="50">
        <v>678.49</v>
      </c>
    </row>
    <row r="2088" spans="1:4" ht="13.5">
      <c r="A2088" s="49">
        <v>94572</v>
      </c>
      <c r="B2088" s="48" t="s">
        <v>4034</v>
      </c>
      <c r="C2088" s="48" t="s">
        <v>26764</v>
      </c>
      <c r="D2088" s="50">
        <v>976.4</v>
      </c>
    </row>
    <row r="2089" spans="1:4" ht="13.5">
      <c r="A2089" s="49">
        <v>94573</v>
      </c>
      <c r="B2089" s="48" t="s">
        <v>4035</v>
      </c>
      <c r="C2089" s="48" t="s">
        <v>26764</v>
      </c>
      <c r="D2089" s="50">
        <v>776.35</v>
      </c>
    </row>
    <row r="2090" spans="1:4" ht="13.5">
      <c r="A2090" s="49">
        <v>94580</v>
      </c>
      <c r="B2090" s="48" t="s">
        <v>4036</v>
      </c>
      <c r="C2090" s="48" t="s">
        <v>26764</v>
      </c>
      <c r="D2090" s="51">
        <v>1078.67</v>
      </c>
    </row>
    <row r="2091" spans="1:4" ht="13.5">
      <c r="A2091" s="49">
        <v>94589</v>
      </c>
      <c r="B2091" s="48" t="s">
        <v>26073</v>
      </c>
      <c r="C2091" s="48" t="s">
        <v>6</v>
      </c>
      <c r="D2091" s="50">
        <v>27.79</v>
      </c>
    </row>
    <row r="2092" spans="1:4" ht="13.5">
      <c r="A2092" s="49">
        <v>94590</v>
      </c>
      <c r="B2092" s="48" t="s">
        <v>26074</v>
      </c>
      <c r="C2092" s="48" t="s">
        <v>6</v>
      </c>
      <c r="D2092" s="50">
        <v>24.78</v>
      </c>
    </row>
    <row r="2093" spans="1:4" ht="13.5">
      <c r="A2093" s="49">
        <v>100674</v>
      </c>
      <c r="B2093" s="48" t="s">
        <v>4037</v>
      </c>
      <c r="C2093" s="48" t="s">
        <v>26764</v>
      </c>
      <c r="D2093" s="51">
        <v>1451.41</v>
      </c>
    </row>
    <row r="2094" spans="1:4" ht="13.5">
      <c r="A2094" s="49">
        <v>101096</v>
      </c>
      <c r="B2094" s="48" t="s">
        <v>20237</v>
      </c>
      <c r="C2094" s="48" t="s">
        <v>28764</v>
      </c>
      <c r="D2094" s="51">
        <v>1148.79</v>
      </c>
    </row>
    <row r="2095" spans="1:4" ht="13.5">
      <c r="A2095" s="49">
        <v>101097</v>
      </c>
      <c r="B2095" s="48" t="s">
        <v>20238</v>
      </c>
      <c r="C2095" s="48" t="s">
        <v>28764</v>
      </c>
      <c r="D2095" s="51">
        <v>1087.49</v>
      </c>
    </row>
    <row r="2096" spans="1:4" ht="13.5">
      <c r="A2096" s="49">
        <v>101098</v>
      </c>
      <c r="B2096" s="48" t="s">
        <v>20239</v>
      </c>
      <c r="C2096" s="48" t="s">
        <v>28764</v>
      </c>
      <c r="D2096" s="51">
        <v>1014.87</v>
      </c>
    </row>
    <row r="2097" spans="1:4" ht="13.5">
      <c r="A2097" s="49">
        <v>101099</v>
      </c>
      <c r="B2097" s="48" t="s">
        <v>20240</v>
      </c>
      <c r="C2097" s="48" t="s">
        <v>28764</v>
      </c>
      <c r="D2097" s="50">
        <v>921.22</v>
      </c>
    </row>
    <row r="2098" spans="1:4" ht="13.5">
      <c r="A2098" s="49">
        <v>101100</v>
      </c>
      <c r="B2098" s="48" t="s">
        <v>20241</v>
      </c>
      <c r="C2098" s="48" t="s">
        <v>28764</v>
      </c>
      <c r="D2098" s="50">
        <v>825.11</v>
      </c>
    </row>
    <row r="2099" spans="1:4" ht="13.5">
      <c r="A2099" s="49">
        <v>101101</v>
      </c>
      <c r="B2099" s="48" t="s">
        <v>20242</v>
      </c>
      <c r="C2099" s="48" t="s">
        <v>28764</v>
      </c>
      <c r="D2099" s="50">
        <v>808.76</v>
      </c>
    </row>
    <row r="2100" spans="1:4" ht="13.5">
      <c r="A2100" s="49">
        <v>101102</v>
      </c>
      <c r="B2100" s="48" t="s">
        <v>20243</v>
      </c>
      <c r="C2100" s="48" t="s">
        <v>28764</v>
      </c>
      <c r="D2100" s="50">
        <v>798.14</v>
      </c>
    </row>
    <row r="2101" spans="1:4" ht="13.5">
      <c r="A2101" s="49">
        <v>101103</v>
      </c>
      <c r="B2101" s="48" t="s">
        <v>20244</v>
      </c>
      <c r="C2101" s="48" t="s">
        <v>28764</v>
      </c>
      <c r="D2101" s="50">
        <v>744.79</v>
      </c>
    </row>
    <row r="2102" spans="1:4" ht="13.5">
      <c r="A2102" s="49">
        <v>101104</v>
      </c>
      <c r="B2102" s="48" t="s">
        <v>20245</v>
      </c>
      <c r="C2102" s="48" t="s">
        <v>28764</v>
      </c>
      <c r="D2102" s="51">
        <v>1116.01</v>
      </c>
    </row>
    <row r="2103" spans="1:4" ht="13.5">
      <c r="A2103" s="49">
        <v>101105</v>
      </c>
      <c r="B2103" s="48" t="s">
        <v>20246</v>
      </c>
      <c r="C2103" s="48" t="s">
        <v>28764</v>
      </c>
      <c r="D2103" s="51">
        <v>1055.3800000000001</v>
      </c>
    </row>
    <row r="2104" spans="1:4" ht="13.5">
      <c r="A2104" s="49">
        <v>101106</v>
      </c>
      <c r="B2104" s="48" t="s">
        <v>20247</v>
      </c>
      <c r="C2104" s="48" t="s">
        <v>28764</v>
      </c>
      <c r="D2104" s="50">
        <v>984.19</v>
      </c>
    </row>
    <row r="2105" spans="1:4" ht="13.5">
      <c r="A2105" s="49">
        <v>101107</v>
      </c>
      <c r="B2105" s="48" t="s">
        <v>20248</v>
      </c>
      <c r="C2105" s="48" t="s">
        <v>28764</v>
      </c>
      <c r="D2105" s="50">
        <v>891.95</v>
      </c>
    </row>
    <row r="2106" spans="1:4" ht="13.5">
      <c r="A2106" s="49">
        <v>101108</v>
      </c>
      <c r="B2106" s="48" t="s">
        <v>20249</v>
      </c>
      <c r="C2106" s="48" t="s">
        <v>28764</v>
      </c>
      <c r="D2106" s="50">
        <v>786.9</v>
      </c>
    </row>
    <row r="2107" spans="1:4" ht="13.5">
      <c r="A2107" s="49">
        <v>101109</v>
      </c>
      <c r="B2107" s="48" t="s">
        <v>20250</v>
      </c>
      <c r="C2107" s="48" t="s">
        <v>28764</v>
      </c>
      <c r="D2107" s="50">
        <v>771.52</v>
      </c>
    </row>
    <row r="2108" spans="1:4" ht="13.5">
      <c r="A2108" s="49">
        <v>101110</v>
      </c>
      <c r="B2108" s="48" t="s">
        <v>20251</v>
      </c>
      <c r="C2108" s="48" t="s">
        <v>28764</v>
      </c>
      <c r="D2108" s="50">
        <v>762.94</v>
      </c>
    </row>
    <row r="2109" spans="1:4" ht="13.5">
      <c r="A2109" s="49">
        <v>101111</v>
      </c>
      <c r="B2109" s="48" t="s">
        <v>20252</v>
      </c>
      <c r="C2109" s="48" t="s">
        <v>28764</v>
      </c>
      <c r="D2109" s="50">
        <v>711.61</v>
      </c>
    </row>
    <row r="2110" spans="1:4" ht="13.5">
      <c r="A2110" s="49">
        <v>101112</v>
      </c>
      <c r="B2110" s="48" t="s">
        <v>20253</v>
      </c>
      <c r="C2110" s="48" t="s">
        <v>28764</v>
      </c>
      <c r="D2110" s="50">
        <v>734.64</v>
      </c>
    </row>
    <row r="2111" spans="1:4" ht="13.5">
      <c r="A2111" s="49">
        <v>101113</v>
      </c>
      <c r="B2111" s="48" t="s">
        <v>20254</v>
      </c>
      <c r="C2111" s="48" t="s">
        <v>28764</v>
      </c>
      <c r="D2111" s="50">
        <v>705.32</v>
      </c>
    </row>
    <row r="2112" spans="1:4" ht="13.5">
      <c r="A2112" s="49">
        <v>95601</v>
      </c>
      <c r="B2112" s="48" t="s">
        <v>20255</v>
      </c>
      <c r="C2112" s="48" t="s">
        <v>32</v>
      </c>
      <c r="D2112" s="50">
        <v>13.09</v>
      </c>
    </row>
    <row r="2113" spans="1:4" ht="13.5">
      <c r="A2113" s="49">
        <v>95602</v>
      </c>
      <c r="B2113" s="48" t="s">
        <v>20256</v>
      </c>
      <c r="C2113" s="48" t="s">
        <v>32</v>
      </c>
      <c r="D2113" s="50">
        <v>20.95</v>
      </c>
    </row>
    <row r="2114" spans="1:4" ht="13.5">
      <c r="A2114" s="49">
        <v>95603</v>
      </c>
      <c r="B2114" s="48" t="s">
        <v>20257</v>
      </c>
      <c r="C2114" s="48" t="s">
        <v>32</v>
      </c>
      <c r="D2114" s="50">
        <v>35.75</v>
      </c>
    </row>
    <row r="2115" spans="1:4" ht="13.5">
      <c r="A2115" s="49">
        <v>95604</v>
      </c>
      <c r="B2115" s="48" t="s">
        <v>20258</v>
      </c>
      <c r="C2115" s="48" t="s">
        <v>32</v>
      </c>
      <c r="D2115" s="50">
        <v>55.48</v>
      </c>
    </row>
    <row r="2116" spans="1:4" ht="13.5">
      <c r="A2116" s="49">
        <v>95605</v>
      </c>
      <c r="B2116" s="48" t="s">
        <v>20259</v>
      </c>
      <c r="C2116" s="48" t="s">
        <v>32</v>
      </c>
      <c r="D2116" s="50">
        <v>101.88</v>
      </c>
    </row>
    <row r="2117" spans="1:4" ht="13.5">
      <c r="A2117" s="49">
        <v>95607</v>
      </c>
      <c r="B2117" s="48" t="s">
        <v>20260</v>
      </c>
      <c r="C2117" s="48" t="s">
        <v>32</v>
      </c>
      <c r="D2117" s="50">
        <v>13.58</v>
      </c>
    </row>
    <row r="2118" spans="1:4" ht="13.5">
      <c r="A2118" s="49">
        <v>95608</v>
      </c>
      <c r="B2118" s="48" t="s">
        <v>20261</v>
      </c>
      <c r="C2118" s="48" t="s">
        <v>32</v>
      </c>
      <c r="D2118" s="50">
        <v>19.72</v>
      </c>
    </row>
    <row r="2119" spans="1:4" ht="13.5">
      <c r="A2119" s="49">
        <v>95609</v>
      </c>
      <c r="B2119" s="48" t="s">
        <v>20262</v>
      </c>
      <c r="C2119" s="48" t="s">
        <v>32</v>
      </c>
      <c r="D2119" s="50">
        <v>25</v>
      </c>
    </row>
    <row r="2120" spans="1:4" ht="13.5">
      <c r="A2120" s="49">
        <v>100651</v>
      </c>
      <c r="B2120" s="48" t="s">
        <v>20263</v>
      </c>
      <c r="C2120" s="48" t="s">
        <v>6</v>
      </c>
      <c r="D2120" s="50">
        <v>122.38</v>
      </c>
    </row>
    <row r="2121" spans="1:4" ht="13.5">
      <c r="A2121" s="49">
        <v>100652</v>
      </c>
      <c r="B2121" s="48" t="s">
        <v>20264</v>
      </c>
      <c r="C2121" s="48" t="s">
        <v>6</v>
      </c>
      <c r="D2121" s="50">
        <v>220.67</v>
      </c>
    </row>
    <row r="2122" spans="1:4" ht="13.5">
      <c r="A2122" s="49">
        <v>100653</v>
      </c>
      <c r="B2122" s="48" t="s">
        <v>20265</v>
      </c>
      <c r="C2122" s="48" t="s">
        <v>6</v>
      </c>
      <c r="D2122" s="50">
        <v>359.76</v>
      </c>
    </row>
    <row r="2123" spans="1:4" ht="13.5">
      <c r="A2123" s="49">
        <v>100654</v>
      </c>
      <c r="B2123" s="48" t="s">
        <v>20266</v>
      </c>
      <c r="C2123" s="48" t="s">
        <v>6</v>
      </c>
      <c r="D2123" s="50">
        <v>508.03</v>
      </c>
    </row>
    <row r="2124" spans="1:4" ht="13.5">
      <c r="A2124" s="49">
        <v>100655</v>
      </c>
      <c r="B2124" s="48" t="s">
        <v>20267</v>
      </c>
      <c r="C2124" s="48" t="s">
        <v>6</v>
      </c>
      <c r="D2124" s="50">
        <v>576.35</v>
      </c>
    </row>
    <row r="2125" spans="1:4" ht="13.5">
      <c r="A2125" s="49">
        <v>100656</v>
      </c>
      <c r="B2125" s="48" t="s">
        <v>4038</v>
      </c>
      <c r="C2125" s="48" t="s">
        <v>6</v>
      </c>
      <c r="D2125" s="50">
        <v>74.73</v>
      </c>
    </row>
    <row r="2126" spans="1:4" ht="13.5">
      <c r="A2126" s="49">
        <v>100657</v>
      </c>
      <c r="B2126" s="48" t="s">
        <v>4039</v>
      </c>
      <c r="C2126" s="48" t="s">
        <v>6</v>
      </c>
      <c r="D2126" s="50">
        <v>94.35</v>
      </c>
    </row>
    <row r="2127" spans="1:4" ht="13.5">
      <c r="A2127" s="49">
        <v>100658</v>
      </c>
      <c r="B2127" s="48" t="s">
        <v>4040</v>
      </c>
      <c r="C2127" s="48" t="s">
        <v>6</v>
      </c>
      <c r="D2127" s="50">
        <v>206.95</v>
      </c>
    </row>
    <row r="2128" spans="1:4" ht="13.5">
      <c r="A2128" s="49">
        <v>100889</v>
      </c>
      <c r="B2128" s="48" t="s">
        <v>4041</v>
      </c>
      <c r="C2128" s="48" t="s">
        <v>8</v>
      </c>
      <c r="D2128" s="50">
        <v>18.670000000000002</v>
      </c>
    </row>
    <row r="2129" spans="1:4" ht="13.5">
      <c r="A2129" s="49">
        <v>100890</v>
      </c>
      <c r="B2129" s="48" t="s">
        <v>4042</v>
      </c>
      <c r="C2129" s="48" t="s">
        <v>8</v>
      </c>
      <c r="D2129" s="50">
        <v>18.510000000000002</v>
      </c>
    </row>
    <row r="2130" spans="1:4" ht="13.5">
      <c r="A2130" s="49">
        <v>100892</v>
      </c>
      <c r="B2130" s="48" t="s">
        <v>4043</v>
      </c>
      <c r="C2130" s="48" t="s">
        <v>8</v>
      </c>
      <c r="D2130" s="50">
        <v>17.600000000000001</v>
      </c>
    </row>
    <row r="2131" spans="1:4" ht="13.5">
      <c r="A2131" s="49">
        <v>100893</v>
      </c>
      <c r="B2131" s="48" t="s">
        <v>4044</v>
      </c>
      <c r="C2131" s="48" t="s">
        <v>8</v>
      </c>
      <c r="D2131" s="50">
        <v>17.420000000000002</v>
      </c>
    </row>
    <row r="2132" spans="1:4" ht="13.5">
      <c r="A2132" s="49">
        <v>100894</v>
      </c>
      <c r="B2132" s="48" t="s">
        <v>4045</v>
      </c>
      <c r="C2132" s="48" t="s">
        <v>8</v>
      </c>
      <c r="D2132" s="50">
        <v>17.309999999999999</v>
      </c>
    </row>
    <row r="2133" spans="1:4" ht="13.5">
      <c r="A2133" s="49">
        <v>100896</v>
      </c>
      <c r="B2133" s="48" t="s">
        <v>4046</v>
      </c>
      <c r="C2133" s="48" t="s">
        <v>6</v>
      </c>
      <c r="D2133" s="50">
        <v>53.02</v>
      </c>
    </row>
    <row r="2134" spans="1:4" ht="13.5">
      <c r="A2134" s="49">
        <v>100897</v>
      </c>
      <c r="B2134" s="48" t="s">
        <v>4047</v>
      </c>
      <c r="C2134" s="48" t="s">
        <v>6</v>
      </c>
      <c r="D2134" s="50">
        <v>98.24</v>
      </c>
    </row>
    <row r="2135" spans="1:4" ht="13.5">
      <c r="A2135" s="49">
        <v>100898</v>
      </c>
      <c r="B2135" s="48" t="s">
        <v>4048</v>
      </c>
      <c r="C2135" s="48" t="s">
        <v>6</v>
      </c>
      <c r="D2135" s="50">
        <v>183.5</v>
      </c>
    </row>
    <row r="2136" spans="1:4" ht="13.5">
      <c r="A2136" s="49">
        <v>100899</v>
      </c>
      <c r="B2136" s="48" t="s">
        <v>4049</v>
      </c>
      <c r="C2136" s="48" t="s">
        <v>6</v>
      </c>
      <c r="D2136" s="50">
        <v>73.91</v>
      </c>
    </row>
    <row r="2137" spans="1:4" ht="13.5">
      <c r="A2137" s="49">
        <v>100900</v>
      </c>
      <c r="B2137" s="48" t="s">
        <v>4050</v>
      </c>
      <c r="C2137" s="48" t="s">
        <v>6</v>
      </c>
      <c r="D2137" s="50">
        <v>207.79</v>
      </c>
    </row>
    <row r="2138" spans="1:4" ht="13.5">
      <c r="A2138" s="49">
        <v>101173</v>
      </c>
      <c r="B2138" s="48" t="s">
        <v>20268</v>
      </c>
      <c r="C2138" s="48" t="s">
        <v>6</v>
      </c>
      <c r="D2138" s="50">
        <v>57.92</v>
      </c>
    </row>
    <row r="2139" spans="1:4" ht="13.5">
      <c r="A2139" s="49">
        <v>101174</v>
      </c>
      <c r="B2139" s="48" t="s">
        <v>20269</v>
      </c>
      <c r="C2139" s="48" t="s">
        <v>6</v>
      </c>
      <c r="D2139" s="50">
        <v>78.290000000000006</v>
      </c>
    </row>
    <row r="2140" spans="1:4" ht="13.5">
      <c r="A2140" s="49">
        <v>101175</v>
      </c>
      <c r="B2140" s="48" t="s">
        <v>20270</v>
      </c>
      <c r="C2140" s="48" t="s">
        <v>6</v>
      </c>
      <c r="D2140" s="50">
        <v>106.72</v>
      </c>
    </row>
    <row r="2141" spans="1:4" ht="13.5">
      <c r="A2141" s="49">
        <v>101176</v>
      </c>
      <c r="B2141" s="48" t="s">
        <v>20271</v>
      </c>
      <c r="C2141" s="48" t="s">
        <v>6</v>
      </c>
      <c r="D2141" s="50">
        <v>143.09</v>
      </c>
    </row>
    <row r="2142" spans="1:4" ht="13.5">
      <c r="A2142" s="49">
        <v>102521</v>
      </c>
      <c r="B2142" s="48" t="s">
        <v>20272</v>
      </c>
      <c r="C2142" s="48" t="s">
        <v>32</v>
      </c>
      <c r="D2142" s="50">
        <v>84.04</v>
      </c>
    </row>
    <row r="2143" spans="1:4" ht="13.5">
      <c r="A2143" s="49">
        <v>102522</v>
      </c>
      <c r="B2143" s="48" t="s">
        <v>20273</v>
      </c>
      <c r="C2143" s="48" t="s">
        <v>32</v>
      </c>
      <c r="D2143" s="50">
        <v>123.29</v>
      </c>
    </row>
    <row r="2144" spans="1:4" ht="13.5">
      <c r="A2144" s="49">
        <v>102523</v>
      </c>
      <c r="B2144" s="48" t="s">
        <v>20274</v>
      </c>
      <c r="C2144" s="48" t="s">
        <v>32</v>
      </c>
      <c r="D2144" s="50">
        <v>162.55000000000001</v>
      </c>
    </row>
    <row r="2145" spans="1:4" ht="13.5">
      <c r="A2145" s="49">
        <v>95240</v>
      </c>
      <c r="B2145" s="48" t="s">
        <v>20275</v>
      </c>
      <c r="C2145" s="48" t="s">
        <v>26764</v>
      </c>
      <c r="D2145" s="50">
        <v>14.69</v>
      </c>
    </row>
    <row r="2146" spans="1:4" ht="13.5">
      <c r="A2146" s="49">
        <v>95241</v>
      </c>
      <c r="B2146" s="48" t="s">
        <v>20276</v>
      </c>
      <c r="C2146" s="48" t="s">
        <v>26764</v>
      </c>
      <c r="D2146" s="50">
        <v>24.5</v>
      </c>
    </row>
    <row r="2147" spans="1:4" ht="13.5">
      <c r="A2147" s="49">
        <v>96616</v>
      </c>
      <c r="B2147" s="48" t="s">
        <v>4051</v>
      </c>
      <c r="C2147" s="48" t="s">
        <v>28764</v>
      </c>
      <c r="D2147" s="50">
        <v>513.57000000000005</v>
      </c>
    </row>
    <row r="2148" spans="1:4" ht="13.5">
      <c r="A2148" s="49">
        <v>96617</v>
      </c>
      <c r="B2148" s="48" t="s">
        <v>4052</v>
      </c>
      <c r="C2148" s="48" t="s">
        <v>26764</v>
      </c>
      <c r="D2148" s="50">
        <v>15.39</v>
      </c>
    </row>
    <row r="2149" spans="1:4" ht="13.5">
      <c r="A2149" s="49">
        <v>96619</v>
      </c>
      <c r="B2149" s="48" t="s">
        <v>4053</v>
      </c>
      <c r="C2149" s="48" t="s">
        <v>26764</v>
      </c>
      <c r="D2149" s="50">
        <v>25.67</v>
      </c>
    </row>
    <row r="2150" spans="1:4" ht="13.5">
      <c r="A2150" s="49">
        <v>96620</v>
      </c>
      <c r="B2150" s="48" t="s">
        <v>20277</v>
      </c>
      <c r="C2150" s="48" t="s">
        <v>28764</v>
      </c>
      <c r="D2150" s="50">
        <v>490.18</v>
      </c>
    </row>
    <row r="2151" spans="1:4" ht="13.5">
      <c r="A2151" s="49">
        <v>96621</v>
      </c>
      <c r="B2151" s="48" t="s">
        <v>4054</v>
      </c>
      <c r="C2151" s="48" t="s">
        <v>28764</v>
      </c>
      <c r="D2151" s="50">
        <v>212.61</v>
      </c>
    </row>
    <row r="2152" spans="1:4" ht="13.5">
      <c r="A2152" s="49">
        <v>96622</v>
      </c>
      <c r="B2152" s="48" t="s">
        <v>20278</v>
      </c>
      <c r="C2152" s="48" t="s">
        <v>28764</v>
      </c>
      <c r="D2152" s="50">
        <v>143.85</v>
      </c>
    </row>
    <row r="2153" spans="1:4" ht="13.5">
      <c r="A2153" s="49">
        <v>96623</v>
      </c>
      <c r="B2153" s="48" t="s">
        <v>4055</v>
      </c>
      <c r="C2153" s="48" t="s">
        <v>28764</v>
      </c>
      <c r="D2153" s="50">
        <v>196.6</v>
      </c>
    </row>
    <row r="2154" spans="1:4" ht="13.5">
      <c r="A2154" s="49">
        <v>96624</v>
      </c>
      <c r="B2154" s="48" t="s">
        <v>20279</v>
      </c>
      <c r="C2154" s="48" t="s">
        <v>28764</v>
      </c>
      <c r="D2154" s="50">
        <v>138.21</v>
      </c>
    </row>
    <row r="2155" spans="1:4" ht="13.5">
      <c r="A2155" s="49">
        <v>97082</v>
      </c>
      <c r="B2155" s="48" t="s">
        <v>26075</v>
      </c>
      <c r="C2155" s="48" t="s">
        <v>28764</v>
      </c>
      <c r="D2155" s="50">
        <v>52.59</v>
      </c>
    </row>
    <row r="2156" spans="1:4" ht="13.5">
      <c r="A2156" s="49">
        <v>97083</v>
      </c>
      <c r="B2156" s="48" t="s">
        <v>26076</v>
      </c>
      <c r="C2156" s="48" t="s">
        <v>26764</v>
      </c>
      <c r="D2156" s="50">
        <v>2.93</v>
      </c>
    </row>
    <row r="2157" spans="1:4" ht="13.5">
      <c r="A2157" s="49">
        <v>97084</v>
      </c>
      <c r="B2157" s="48" t="s">
        <v>26077</v>
      </c>
      <c r="C2157" s="48" t="s">
        <v>26764</v>
      </c>
      <c r="D2157" s="50">
        <v>0.61</v>
      </c>
    </row>
    <row r="2158" spans="1:4" ht="13.5">
      <c r="A2158" s="49">
        <v>97086</v>
      </c>
      <c r="B2158" s="48" t="s">
        <v>26078</v>
      </c>
      <c r="C2158" s="48" t="s">
        <v>26764</v>
      </c>
      <c r="D2158" s="50">
        <v>123.12</v>
      </c>
    </row>
    <row r="2159" spans="1:4" ht="13.5">
      <c r="A2159" s="49">
        <v>97087</v>
      </c>
      <c r="B2159" s="48" t="s">
        <v>26079</v>
      </c>
      <c r="C2159" s="48" t="s">
        <v>26764</v>
      </c>
      <c r="D2159" s="50">
        <v>2.02</v>
      </c>
    </row>
    <row r="2160" spans="1:4" ht="13.5">
      <c r="A2160" s="49">
        <v>97088</v>
      </c>
      <c r="B2160" s="48" t="s">
        <v>26080</v>
      </c>
      <c r="C2160" s="48" t="s">
        <v>8</v>
      </c>
      <c r="D2160" s="50">
        <v>30.34</v>
      </c>
    </row>
    <row r="2161" spans="1:4" ht="13.5">
      <c r="A2161" s="49">
        <v>97089</v>
      </c>
      <c r="B2161" s="48" t="s">
        <v>26081</v>
      </c>
      <c r="C2161" s="48" t="s">
        <v>8</v>
      </c>
      <c r="D2161" s="50">
        <v>27.78</v>
      </c>
    </row>
    <row r="2162" spans="1:4" ht="13.5">
      <c r="A2162" s="49">
        <v>97090</v>
      </c>
      <c r="B2162" s="48" t="s">
        <v>26082</v>
      </c>
      <c r="C2162" s="48" t="s">
        <v>8</v>
      </c>
      <c r="D2162" s="50">
        <v>27.38</v>
      </c>
    </row>
    <row r="2163" spans="1:4" ht="13.5">
      <c r="A2163" s="49">
        <v>97091</v>
      </c>
      <c r="B2163" s="48" t="s">
        <v>26083</v>
      </c>
      <c r="C2163" s="48" t="s">
        <v>8</v>
      </c>
      <c r="D2163" s="50">
        <v>26.59</v>
      </c>
    </row>
    <row r="2164" spans="1:4" ht="13.5">
      <c r="A2164" s="49">
        <v>97092</v>
      </c>
      <c r="B2164" s="48" t="s">
        <v>26084</v>
      </c>
      <c r="C2164" s="48" t="s">
        <v>8</v>
      </c>
      <c r="D2164" s="50">
        <v>25.81</v>
      </c>
    </row>
    <row r="2165" spans="1:4" ht="13.5">
      <c r="A2165" s="49">
        <v>97093</v>
      </c>
      <c r="B2165" s="48" t="s">
        <v>26085</v>
      </c>
      <c r="C2165" s="48" t="s">
        <v>8</v>
      </c>
      <c r="D2165" s="50">
        <v>24.3</v>
      </c>
    </row>
    <row r="2166" spans="1:4" ht="13.5">
      <c r="A2166" s="49">
        <v>97096</v>
      </c>
      <c r="B2166" s="48" t="s">
        <v>26086</v>
      </c>
      <c r="C2166" s="48" t="s">
        <v>28764</v>
      </c>
      <c r="D2166" s="50">
        <v>426.8</v>
      </c>
    </row>
    <row r="2167" spans="1:4" ht="13.5">
      <c r="A2167" s="49">
        <v>97097</v>
      </c>
      <c r="B2167" s="48" t="s">
        <v>26087</v>
      </c>
      <c r="C2167" s="48" t="s">
        <v>26764</v>
      </c>
      <c r="D2167" s="50">
        <v>33.450000000000003</v>
      </c>
    </row>
    <row r="2168" spans="1:4" ht="13.5">
      <c r="A2168" s="49">
        <v>97101</v>
      </c>
      <c r="B2168" s="48" t="s">
        <v>26088</v>
      </c>
      <c r="C2168" s="48" t="s">
        <v>26764</v>
      </c>
      <c r="D2168" s="50">
        <v>188.54</v>
      </c>
    </row>
    <row r="2169" spans="1:4" ht="13.5">
      <c r="A2169" s="49">
        <v>97102</v>
      </c>
      <c r="B2169" s="48" t="s">
        <v>26089</v>
      </c>
      <c r="C2169" s="48" t="s">
        <v>26764</v>
      </c>
      <c r="D2169" s="50">
        <v>232.82</v>
      </c>
    </row>
    <row r="2170" spans="1:4" ht="13.5">
      <c r="A2170" s="49">
        <v>97103</v>
      </c>
      <c r="B2170" s="48" t="s">
        <v>26090</v>
      </c>
      <c r="C2170" s="48" t="s">
        <v>26764</v>
      </c>
      <c r="D2170" s="50">
        <v>270.16000000000003</v>
      </c>
    </row>
    <row r="2171" spans="1:4" ht="13.5">
      <c r="A2171" s="49">
        <v>100322</v>
      </c>
      <c r="B2171" s="48" t="s">
        <v>20280</v>
      </c>
      <c r="C2171" s="48" t="s">
        <v>28764</v>
      </c>
      <c r="D2171" s="50">
        <v>131.83000000000001</v>
      </c>
    </row>
    <row r="2172" spans="1:4" ht="13.5">
      <c r="A2172" s="49">
        <v>100323</v>
      </c>
      <c r="B2172" s="48" t="s">
        <v>20281</v>
      </c>
      <c r="C2172" s="48" t="s">
        <v>28764</v>
      </c>
      <c r="D2172" s="50">
        <v>92.83</v>
      </c>
    </row>
    <row r="2173" spans="1:4" ht="13.5">
      <c r="A2173" s="49">
        <v>100324</v>
      </c>
      <c r="B2173" s="48" t="s">
        <v>20282</v>
      </c>
      <c r="C2173" s="48" t="s">
        <v>28764</v>
      </c>
      <c r="D2173" s="50">
        <v>137.93</v>
      </c>
    </row>
    <row r="2174" spans="1:4" ht="13.5">
      <c r="A2174" s="49">
        <v>103072</v>
      </c>
      <c r="B2174" s="48" t="s">
        <v>26091</v>
      </c>
      <c r="C2174" s="48" t="s">
        <v>26764</v>
      </c>
      <c r="D2174" s="50">
        <v>320.48</v>
      </c>
    </row>
    <row r="2175" spans="1:4" ht="13.5">
      <c r="A2175" s="49">
        <v>103073</v>
      </c>
      <c r="B2175" s="48" t="s">
        <v>26092</v>
      </c>
      <c r="C2175" s="48" t="s">
        <v>26764</v>
      </c>
      <c r="D2175" s="50">
        <v>401.47</v>
      </c>
    </row>
    <row r="2176" spans="1:4" ht="13.5">
      <c r="A2176" s="49">
        <v>103074</v>
      </c>
      <c r="B2176" s="48" t="s">
        <v>26093</v>
      </c>
      <c r="C2176" s="48" t="s">
        <v>26764</v>
      </c>
      <c r="D2176" s="50">
        <v>175.36</v>
      </c>
    </row>
    <row r="2177" spans="1:4" ht="13.5">
      <c r="A2177" s="49">
        <v>103075</v>
      </c>
      <c r="B2177" s="48" t="s">
        <v>26094</v>
      </c>
      <c r="C2177" s="48" t="s">
        <v>26764</v>
      </c>
      <c r="D2177" s="50">
        <v>208.81</v>
      </c>
    </row>
    <row r="2178" spans="1:4" ht="13.5">
      <c r="A2178" s="49">
        <v>103076</v>
      </c>
      <c r="B2178" s="48" t="s">
        <v>26095</v>
      </c>
      <c r="C2178" s="48" t="s">
        <v>26764</v>
      </c>
      <c r="D2178" s="50">
        <v>171.29</v>
      </c>
    </row>
    <row r="2179" spans="1:4" ht="13.5">
      <c r="A2179" s="49">
        <v>103077</v>
      </c>
      <c r="B2179" s="48" t="s">
        <v>26096</v>
      </c>
      <c r="C2179" s="48" t="s">
        <v>26764</v>
      </c>
      <c r="D2179" s="50">
        <v>215.57</v>
      </c>
    </row>
    <row r="2180" spans="1:4" ht="13.5">
      <c r="A2180" s="49">
        <v>103078</v>
      </c>
      <c r="B2180" s="48" t="s">
        <v>26097</v>
      </c>
      <c r="C2180" s="48" t="s">
        <v>26764</v>
      </c>
      <c r="D2180" s="50">
        <v>252.91</v>
      </c>
    </row>
    <row r="2181" spans="1:4" ht="13.5">
      <c r="A2181" s="49">
        <v>103079</v>
      </c>
      <c r="B2181" s="48" t="s">
        <v>26098</v>
      </c>
      <c r="C2181" s="48" t="s">
        <v>26764</v>
      </c>
      <c r="D2181" s="50">
        <v>303.23</v>
      </c>
    </row>
    <row r="2182" spans="1:4" ht="13.5">
      <c r="A2182" s="49">
        <v>103080</v>
      </c>
      <c r="B2182" s="48" t="s">
        <v>26099</v>
      </c>
      <c r="C2182" s="48" t="s">
        <v>26764</v>
      </c>
      <c r="D2182" s="50">
        <v>384.22</v>
      </c>
    </row>
    <row r="2183" spans="1:4" ht="13.5">
      <c r="A2183" s="49">
        <v>92263</v>
      </c>
      <c r="B2183" s="48" t="s">
        <v>20283</v>
      </c>
      <c r="C2183" s="48" t="s">
        <v>26764</v>
      </c>
      <c r="D2183" s="50">
        <v>172.47</v>
      </c>
    </row>
    <row r="2184" spans="1:4" ht="13.5">
      <c r="A2184" s="49">
        <v>92264</v>
      </c>
      <c r="B2184" s="48" t="s">
        <v>20284</v>
      </c>
      <c r="C2184" s="48" t="s">
        <v>26764</v>
      </c>
      <c r="D2184" s="50">
        <v>228.36</v>
      </c>
    </row>
    <row r="2185" spans="1:4" ht="13.5">
      <c r="A2185" s="49">
        <v>92265</v>
      </c>
      <c r="B2185" s="48" t="s">
        <v>20285</v>
      </c>
      <c r="C2185" s="48" t="s">
        <v>26764</v>
      </c>
      <c r="D2185" s="50">
        <v>128.85</v>
      </c>
    </row>
    <row r="2186" spans="1:4" ht="13.5">
      <c r="A2186" s="49">
        <v>92266</v>
      </c>
      <c r="B2186" s="48" t="s">
        <v>20286</v>
      </c>
      <c r="C2186" s="48" t="s">
        <v>26764</v>
      </c>
      <c r="D2186" s="50">
        <v>176.8</v>
      </c>
    </row>
    <row r="2187" spans="1:4" ht="13.5">
      <c r="A2187" s="49">
        <v>92267</v>
      </c>
      <c r="B2187" s="48" t="s">
        <v>20287</v>
      </c>
      <c r="C2187" s="48" t="s">
        <v>26764</v>
      </c>
      <c r="D2187" s="50">
        <v>64.27</v>
      </c>
    </row>
    <row r="2188" spans="1:4" ht="13.5">
      <c r="A2188" s="49">
        <v>92268</v>
      </c>
      <c r="B2188" s="48" t="s">
        <v>20288</v>
      </c>
      <c r="C2188" s="48" t="s">
        <v>26764</v>
      </c>
      <c r="D2188" s="50">
        <v>108.2</v>
      </c>
    </row>
    <row r="2189" spans="1:4" ht="13.5">
      <c r="A2189" s="49">
        <v>92269</v>
      </c>
      <c r="B2189" s="48" t="s">
        <v>20289</v>
      </c>
      <c r="C2189" s="48" t="s">
        <v>26764</v>
      </c>
      <c r="D2189" s="50">
        <v>222.49</v>
      </c>
    </row>
    <row r="2190" spans="1:4" ht="13.5">
      <c r="A2190" s="49">
        <v>92270</v>
      </c>
      <c r="B2190" s="48" t="s">
        <v>20290</v>
      </c>
      <c r="C2190" s="48" t="s">
        <v>26764</v>
      </c>
      <c r="D2190" s="50">
        <v>170.96</v>
      </c>
    </row>
    <row r="2191" spans="1:4" ht="13.5">
      <c r="A2191" s="49">
        <v>92271</v>
      </c>
      <c r="B2191" s="48" t="s">
        <v>20291</v>
      </c>
      <c r="C2191" s="48" t="s">
        <v>26764</v>
      </c>
      <c r="D2191" s="50">
        <v>108.59</v>
      </c>
    </row>
    <row r="2192" spans="1:4" ht="13.5">
      <c r="A2192" s="49">
        <v>92272</v>
      </c>
      <c r="B2192" s="48" t="s">
        <v>20292</v>
      </c>
      <c r="C2192" s="48" t="s">
        <v>6</v>
      </c>
      <c r="D2192" s="50">
        <v>37.76</v>
      </c>
    </row>
    <row r="2193" spans="1:4" ht="13.5">
      <c r="A2193" s="49">
        <v>92273</v>
      </c>
      <c r="B2193" s="48" t="s">
        <v>20293</v>
      </c>
      <c r="C2193" s="48" t="s">
        <v>6</v>
      </c>
      <c r="D2193" s="50">
        <v>14.32</v>
      </c>
    </row>
    <row r="2194" spans="1:4" ht="13.5">
      <c r="A2194" s="49">
        <v>92409</v>
      </c>
      <c r="B2194" s="48" t="s">
        <v>20294</v>
      </c>
      <c r="C2194" s="48" t="s">
        <v>26764</v>
      </c>
      <c r="D2194" s="50">
        <v>315.77999999999997</v>
      </c>
    </row>
    <row r="2195" spans="1:4" ht="13.5">
      <c r="A2195" s="49">
        <v>92411</v>
      </c>
      <c r="B2195" s="48" t="s">
        <v>20295</v>
      </c>
      <c r="C2195" s="48" t="s">
        <v>26764</v>
      </c>
      <c r="D2195" s="50">
        <v>196.45</v>
      </c>
    </row>
    <row r="2196" spans="1:4" ht="13.5">
      <c r="A2196" s="49">
        <v>92413</v>
      </c>
      <c r="B2196" s="48" t="s">
        <v>20296</v>
      </c>
      <c r="C2196" s="48" t="s">
        <v>26764</v>
      </c>
      <c r="D2196" s="50">
        <v>121.81</v>
      </c>
    </row>
    <row r="2197" spans="1:4" ht="13.5">
      <c r="A2197" s="49">
        <v>92415</v>
      </c>
      <c r="B2197" s="48" t="s">
        <v>20297</v>
      </c>
      <c r="C2197" s="48" t="s">
        <v>26764</v>
      </c>
      <c r="D2197" s="50">
        <v>133.21</v>
      </c>
    </row>
    <row r="2198" spans="1:4" ht="13.5">
      <c r="A2198" s="49">
        <v>92417</v>
      </c>
      <c r="B2198" s="48" t="s">
        <v>20298</v>
      </c>
      <c r="C2198" s="48" t="s">
        <v>26764</v>
      </c>
      <c r="D2198" s="50">
        <v>154.36000000000001</v>
      </c>
    </row>
    <row r="2199" spans="1:4" ht="13.5">
      <c r="A2199" s="49">
        <v>92419</v>
      </c>
      <c r="B2199" s="48" t="s">
        <v>20299</v>
      </c>
      <c r="C2199" s="48" t="s">
        <v>26764</v>
      </c>
      <c r="D2199" s="50">
        <v>80.510000000000005</v>
      </c>
    </row>
    <row r="2200" spans="1:4" ht="13.5">
      <c r="A2200" s="49">
        <v>92421</v>
      </c>
      <c r="B2200" s="48" t="s">
        <v>20300</v>
      </c>
      <c r="C2200" s="48" t="s">
        <v>26764</v>
      </c>
      <c r="D2200" s="50">
        <v>96.72</v>
      </c>
    </row>
    <row r="2201" spans="1:4" ht="13.5">
      <c r="A2201" s="49">
        <v>92423</v>
      </c>
      <c r="B2201" s="48" t="s">
        <v>20301</v>
      </c>
      <c r="C2201" s="48" t="s">
        <v>26764</v>
      </c>
      <c r="D2201" s="50">
        <v>64.27</v>
      </c>
    </row>
    <row r="2202" spans="1:4" ht="13.5">
      <c r="A2202" s="49">
        <v>92425</v>
      </c>
      <c r="B2202" s="48" t="s">
        <v>20302</v>
      </c>
      <c r="C2202" s="48" t="s">
        <v>26764</v>
      </c>
      <c r="D2202" s="50">
        <v>78.36</v>
      </c>
    </row>
    <row r="2203" spans="1:4" ht="13.5">
      <c r="A2203" s="49">
        <v>92427</v>
      </c>
      <c r="B2203" s="48" t="s">
        <v>20303</v>
      </c>
      <c r="C2203" s="48" t="s">
        <v>26764</v>
      </c>
      <c r="D2203" s="50">
        <v>56.05</v>
      </c>
    </row>
    <row r="2204" spans="1:4" ht="13.5">
      <c r="A2204" s="49">
        <v>92429</v>
      </c>
      <c r="B2204" s="48" t="s">
        <v>20304</v>
      </c>
      <c r="C2204" s="48" t="s">
        <v>26764</v>
      </c>
      <c r="D2204" s="50">
        <v>69.11</v>
      </c>
    </row>
    <row r="2205" spans="1:4" ht="13.5">
      <c r="A2205" s="49">
        <v>92431</v>
      </c>
      <c r="B2205" s="48" t="s">
        <v>20305</v>
      </c>
      <c r="C2205" s="48" t="s">
        <v>26764</v>
      </c>
      <c r="D2205" s="50">
        <v>53.13</v>
      </c>
    </row>
    <row r="2206" spans="1:4" ht="13.5">
      <c r="A2206" s="49">
        <v>92433</v>
      </c>
      <c r="B2206" s="48" t="s">
        <v>20306</v>
      </c>
      <c r="C2206" s="48" t="s">
        <v>26764</v>
      </c>
      <c r="D2206" s="50">
        <v>65.53</v>
      </c>
    </row>
    <row r="2207" spans="1:4" ht="13.5">
      <c r="A2207" s="49">
        <v>92435</v>
      </c>
      <c r="B2207" s="48" t="s">
        <v>20307</v>
      </c>
      <c r="C2207" s="48" t="s">
        <v>26764</v>
      </c>
      <c r="D2207" s="50">
        <v>49.95</v>
      </c>
    </row>
    <row r="2208" spans="1:4" ht="13.5">
      <c r="A2208" s="49">
        <v>92437</v>
      </c>
      <c r="B2208" s="48" t="s">
        <v>20308</v>
      </c>
      <c r="C2208" s="48" t="s">
        <v>26764</v>
      </c>
      <c r="D2208" s="50">
        <v>61.93</v>
      </c>
    </row>
    <row r="2209" spans="1:4" ht="13.5">
      <c r="A2209" s="49">
        <v>92439</v>
      </c>
      <c r="B2209" s="48" t="s">
        <v>20309</v>
      </c>
      <c r="C2209" s="48" t="s">
        <v>26764</v>
      </c>
      <c r="D2209" s="50">
        <v>47.66</v>
      </c>
    </row>
    <row r="2210" spans="1:4" ht="13.5">
      <c r="A2210" s="49">
        <v>92441</v>
      </c>
      <c r="B2210" s="48" t="s">
        <v>20310</v>
      </c>
      <c r="C2210" s="48" t="s">
        <v>26764</v>
      </c>
      <c r="D2210" s="50">
        <v>59.34</v>
      </c>
    </row>
    <row r="2211" spans="1:4" ht="13.5">
      <c r="A2211" s="49">
        <v>92443</v>
      </c>
      <c r="B2211" s="48" t="s">
        <v>20311</v>
      </c>
      <c r="C2211" s="48" t="s">
        <v>26764</v>
      </c>
      <c r="D2211" s="50">
        <v>42.68</v>
      </c>
    </row>
    <row r="2212" spans="1:4" ht="13.5">
      <c r="A2212" s="49">
        <v>92445</v>
      </c>
      <c r="B2212" s="48" t="s">
        <v>20312</v>
      </c>
      <c r="C2212" s="48" t="s">
        <v>26764</v>
      </c>
      <c r="D2212" s="50">
        <v>53.95</v>
      </c>
    </row>
    <row r="2213" spans="1:4" ht="13.5">
      <c r="A2213" s="49">
        <v>92446</v>
      </c>
      <c r="B2213" s="48" t="s">
        <v>20313</v>
      </c>
      <c r="C2213" s="48" t="s">
        <v>26764</v>
      </c>
      <c r="D2213" s="50">
        <v>290.41000000000003</v>
      </c>
    </row>
    <row r="2214" spans="1:4" ht="13.5">
      <c r="A2214" s="49">
        <v>92447</v>
      </c>
      <c r="B2214" s="48" t="s">
        <v>20314</v>
      </c>
      <c r="C2214" s="48" t="s">
        <v>26764</v>
      </c>
      <c r="D2214" s="50">
        <v>200.81</v>
      </c>
    </row>
    <row r="2215" spans="1:4" ht="13.5">
      <c r="A2215" s="49">
        <v>92448</v>
      </c>
      <c r="B2215" s="48" t="s">
        <v>20315</v>
      </c>
      <c r="C2215" s="48" t="s">
        <v>26764</v>
      </c>
      <c r="D2215" s="50">
        <v>156.15</v>
      </c>
    </row>
    <row r="2216" spans="1:4" ht="13.5">
      <c r="A2216" s="49">
        <v>92449</v>
      </c>
      <c r="B2216" s="48" t="s">
        <v>20316</v>
      </c>
      <c r="C2216" s="48" t="s">
        <v>26764</v>
      </c>
      <c r="D2216" s="50">
        <v>280.42</v>
      </c>
    </row>
    <row r="2217" spans="1:4" ht="13.5">
      <c r="A2217" s="49">
        <v>92450</v>
      </c>
      <c r="B2217" s="48" t="s">
        <v>20317</v>
      </c>
      <c r="C2217" s="48" t="s">
        <v>26764</v>
      </c>
      <c r="D2217" s="50">
        <v>263.60000000000002</v>
      </c>
    </row>
    <row r="2218" spans="1:4" ht="13.5">
      <c r="A2218" s="49">
        <v>92451</v>
      </c>
      <c r="B2218" s="48" t="s">
        <v>20318</v>
      </c>
      <c r="C2218" s="48" t="s">
        <v>26764</v>
      </c>
      <c r="D2218" s="50">
        <v>191.94</v>
      </c>
    </row>
    <row r="2219" spans="1:4" ht="13.5">
      <c r="A2219" s="49">
        <v>92452</v>
      </c>
      <c r="B2219" s="48" t="s">
        <v>20319</v>
      </c>
      <c r="C2219" s="48" t="s">
        <v>26764</v>
      </c>
      <c r="D2219" s="50">
        <v>155.18</v>
      </c>
    </row>
    <row r="2220" spans="1:4" ht="13.5">
      <c r="A2220" s="49">
        <v>92453</v>
      </c>
      <c r="B2220" s="48" t="s">
        <v>20320</v>
      </c>
      <c r="C2220" s="48" t="s">
        <v>26764</v>
      </c>
      <c r="D2220" s="50">
        <v>239.44</v>
      </c>
    </row>
    <row r="2221" spans="1:4" ht="13.5">
      <c r="A2221" s="49">
        <v>92454</v>
      </c>
      <c r="B2221" s="48" t="s">
        <v>20321</v>
      </c>
      <c r="C2221" s="48" t="s">
        <v>26764</v>
      </c>
      <c r="D2221" s="50">
        <v>231.77</v>
      </c>
    </row>
    <row r="2222" spans="1:4" ht="13.5">
      <c r="A2222" s="49">
        <v>92455</v>
      </c>
      <c r="B2222" s="48" t="s">
        <v>20322</v>
      </c>
      <c r="C2222" s="48" t="s">
        <v>26764</v>
      </c>
      <c r="D2222" s="50">
        <v>156.72</v>
      </c>
    </row>
    <row r="2223" spans="1:4" ht="13.5">
      <c r="A2223" s="49">
        <v>92456</v>
      </c>
      <c r="B2223" s="48" t="s">
        <v>20323</v>
      </c>
      <c r="C2223" s="48" t="s">
        <v>26764</v>
      </c>
      <c r="D2223" s="50">
        <v>123.04</v>
      </c>
    </row>
    <row r="2224" spans="1:4" ht="13.5">
      <c r="A2224" s="49">
        <v>92457</v>
      </c>
      <c r="B2224" s="48" t="s">
        <v>20324</v>
      </c>
      <c r="C2224" s="48" t="s">
        <v>26764</v>
      </c>
      <c r="D2224" s="50">
        <v>207.53</v>
      </c>
    </row>
    <row r="2225" spans="1:4" ht="13.5">
      <c r="A2225" s="49">
        <v>92458</v>
      </c>
      <c r="B2225" s="48" t="s">
        <v>4058</v>
      </c>
      <c r="C2225" s="48" t="s">
        <v>26764</v>
      </c>
      <c r="D2225" s="50">
        <v>211.88</v>
      </c>
    </row>
    <row r="2226" spans="1:4" ht="13.5">
      <c r="A2226" s="49">
        <v>92459</v>
      </c>
      <c r="B2226" s="48" t="s">
        <v>20325</v>
      </c>
      <c r="C2226" s="48" t="s">
        <v>26764</v>
      </c>
      <c r="D2226" s="50">
        <v>132.63</v>
      </c>
    </row>
    <row r="2227" spans="1:4" ht="13.5">
      <c r="A2227" s="49">
        <v>92460</v>
      </c>
      <c r="B2227" s="48" t="s">
        <v>20326</v>
      </c>
      <c r="C2227" s="48" t="s">
        <v>26764</v>
      </c>
      <c r="D2227" s="50">
        <v>99.79</v>
      </c>
    </row>
    <row r="2228" spans="1:4" ht="13.5">
      <c r="A2228" s="49">
        <v>92461</v>
      </c>
      <c r="B2228" s="48" t="s">
        <v>20327</v>
      </c>
      <c r="C2228" s="48" t="s">
        <v>26764</v>
      </c>
      <c r="D2228" s="50">
        <v>191.36</v>
      </c>
    </row>
    <row r="2229" spans="1:4" ht="13.5">
      <c r="A2229" s="49">
        <v>92462</v>
      </c>
      <c r="B2229" s="48" t="s">
        <v>20328</v>
      </c>
      <c r="C2229" s="48" t="s">
        <v>26764</v>
      </c>
      <c r="D2229" s="50">
        <v>199.57</v>
      </c>
    </row>
    <row r="2230" spans="1:4" ht="13.5">
      <c r="A2230" s="49">
        <v>92463</v>
      </c>
      <c r="B2230" s="48" t="s">
        <v>20329</v>
      </c>
      <c r="C2230" s="48" t="s">
        <v>26764</v>
      </c>
      <c r="D2230" s="50">
        <v>120.05</v>
      </c>
    </row>
    <row r="2231" spans="1:4" ht="13.5">
      <c r="A2231" s="49">
        <v>92464</v>
      </c>
      <c r="B2231" s="48" t="s">
        <v>20330</v>
      </c>
      <c r="C2231" s="48" t="s">
        <v>26764</v>
      </c>
      <c r="D2231" s="50">
        <v>91.48</v>
      </c>
    </row>
    <row r="2232" spans="1:4" ht="13.5">
      <c r="A2232" s="49">
        <v>92465</v>
      </c>
      <c r="B2232" s="48" t="s">
        <v>20331</v>
      </c>
      <c r="C2232" s="48" t="s">
        <v>26764</v>
      </c>
      <c r="D2232" s="50">
        <v>153.65</v>
      </c>
    </row>
    <row r="2233" spans="1:4" ht="13.5">
      <c r="A2233" s="49">
        <v>92466</v>
      </c>
      <c r="B2233" s="48" t="s">
        <v>20332</v>
      </c>
      <c r="C2233" s="48" t="s">
        <v>26764</v>
      </c>
      <c r="D2233" s="50">
        <v>194.22</v>
      </c>
    </row>
    <row r="2234" spans="1:4" ht="13.5">
      <c r="A2234" s="49">
        <v>92467</v>
      </c>
      <c r="B2234" s="48" t="s">
        <v>20333</v>
      </c>
      <c r="C2234" s="48" t="s">
        <v>26764</v>
      </c>
      <c r="D2234" s="50">
        <v>100.08</v>
      </c>
    </row>
    <row r="2235" spans="1:4" ht="13.5">
      <c r="A2235" s="49">
        <v>92468</v>
      </c>
      <c r="B2235" s="48" t="s">
        <v>20334</v>
      </c>
      <c r="C2235" s="48" t="s">
        <v>26764</v>
      </c>
      <c r="D2235" s="50">
        <v>86.46</v>
      </c>
    </row>
    <row r="2236" spans="1:4" ht="13.5">
      <c r="A2236" s="49">
        <v>92469</v>
      </c>
      <c r="B2236" s="48" t="s">
        <v>20335</v>
      </c>
      <c r="C2236" s="48" t="s">
        <v>26764</v>
      </c>
      <c r="D2236" s="50">
        <v>139.88</v>
      </c>
    </row>
    <row r="2237" spans="1:4" ht="13.5">
      <c r="A2237" s="49">
        <v>92470</v>
      </c>
      <c r="B2237" s="48" t="s">
        <v>20336</v>
      </c>
      <c r="C2237" s="48" t="s">
        <v>26764</v>
      </c>
      <c r="D2237" s="50">
        <v>187.43</v>
      </c>
    </row>
    <row r="2238" spans="1:4" ht="13.5">
      <c r="A2238" s="49">
        <v>92471</v>
      </c>
      <c r="B2238" s="48" t="s">
        <v>20337</v>
      </c>
      <c r="C2238" s="48" t="s">
        <v>26764</v>
      </c>
      <c r="D2238" s="50">
        <v>91.24</v>
      </c>
    </row>
    <row r="2239" spans="1:4" ht="13.5">
      <c r="A2239" s="49">
        <v>92472</v>
      </c>
      <c r="B2239" s="48" t="s">
        <v>20338</v>
      </c>
      <c r="C2239" s="48" t="s">
        <v>26764</v>
      </c>
      <c r="D2239" s="50">
        <v>80.44</v>
      </c>
    </row>
    <row r="2240" spans="1:4" ht="13.5">
      <c r="A2240" s="49">
        <v>92473</v>
      </c>
      <c r="B2240" s="48" t="s">
        <v>20339</v>
      </c>
      <c r="C2240" s="48" t="s">
        <v>26764</v>
      </c>
      <c r="D2240" s="50">
        <v>128.79</v>
      </c>
    </row>
    <row r="2241" spans="1:4" ht="13.5">
      <c r="A2241" s="49">
        <v>92474</v>
      </c>
      <c r="B2241" s="48" t="s">
        <v>20340</v>
      </c>
      <c r="C2241" s="48" t="s">
        <v>26764</v>
      </c>
      <c r="D2241" s="50">
        <v>181.65</v>
      </c>
    </row>
    <row r="2242" spans="1:4" ht="13.5">
      <c r="A2242" s="49">
        <v>92475</v>
      </c>
      <c r="B2242" s="48" t="s">
        <v>20341</v>
      </c>
      <c r="C2242" s="48" t="s">
        <v>26764</v>
      </c>
      <c r="D2242" s="50">
        <v>84.09</v>
      </c>
    </row>
    <row r="2243" spans="1:4" ht="13.5">
      <c r="A2243" s="49">
        <v>92476</v>
      </c>
      <c r="B2243" s="48" t="s">
        <v>20342</v>
      </c>
      <c r="C2243" s="48" t="s">
        <v>26764</v>
      </c>
      <c r="D2243" s="50">
        <v>75.39</v>
      </c>
    </row>
    <row r="2244" spans="1:4" ht="13.5">
      <c r="A2244" s="49">
        <v>92477</v>
      </c>
      <c r="B2244" s="48" t="s">
        <v>20343</v>
      </c>
      <c r="C2244" s="48" t="s">
        <v>26764</v>
      </c>
      <c r="D2244" s="50">
        <v>104.94</v>
      </c>
    </row>
    <row r="2245" spans="1:4" ht="13.5">
      <c r="A2245" s="49">
        <v>92478</v>
      </c>
      <c r="B2245" s="48" t="s">
        <v>20344</v>
      </c>
      <c r="C2245" s="48" t="s">
        <v>26764</v>
      </c>
      <c r="D2245" s="50">
        <v>170.09</v>
      </c>
    </row>
    <row r="2246" spans="1:4" ht="13.5">
      <c r="A2246" s="49">
        <v>92479</v>
      </c>
      <c r="B2246" s="48" t="s">
        <v>20345</v>
      </c>
      <c r="C2246" s="48" t="s">
        <v>26764</v>
      </c>
      <c r="D2246" s="50">
        <v>68.72</v>
      </c>
    </row>
    <row r="2247" spans="1:4" ht="13.5">
      <c r="A2247" s="49">
        <v>92480</v>
      </c>
      <c r="B2247" s="48" t="s">
        <v>20346</v>
      </c>
      <c r="C2247" s="48" t="s">
        <v>26764</v>
      </c>
      <c r="D2247" s="50">
        <v>65.13</v>
      </c>
    </row>
    <row r="2248" spans="1:4" ht="13.5">
      <c r="A2248" s="49">
        <v>92482</v>
      </c>
      <c r="B2248" s="48" t="s">
        <v>20347</v>
      </c>
      <c r="C2248" s="48" t="s">
        <v>26764</v>
      </c>
      <c r="D2248" s="50">
        <v>322.08</v>
      </c>
    </row>
    <row r="2249" spans="1:4" ht="13.5">
      <c r="A2249" s="49">
        <v>92484</v>
      </c>
      <c r="B2249" s="48" t="s">
        <v>20348</v>
      </c>
      <c r="C2249" s="48" t="s">
        <v>26764</v>
      </c>
      <c r="D2249" s="50">
        <v>227.78</v>
      </c>
    </row>
    <row r="2250" spans="1:4" ht="13.5">
      <c r="A2250" s="49">
        <v>92486</v>
      </c>
      <c r="B2250" s="48" t="s">
        <v>20349</v>
      </c>
      <c r="C2250" s="48" t="s">
        <v>26764</v>
      </c>
      <c r="D2250" s="50">
        <v>156.88</v>
      </c>
    </row>
    <row r="2251" spans="1:4" ht="13.5">
      <c r="A2251" s="49">
        <v>92488</v>
      </c>
      <c r="B2251" s="48" t="s">
        <v>20350</v>
      </c>
      <c r="C2251" s="48" t="s">
        <v>26764</v>
      </c>
      <c r="D2251" s="50">
        <v>81.069999999999993</v>
      </c>
    </row>
    <row r="2252" spans="1:4" ht="13.5">
      <c r="A2252" s="49">
        <v>92490</v>
      </c>
      <c r="B2252" s="48" t="s">
        <v>20351</v>
      </c>
      <c r="C2252" s="48" t="s">
        <v>26764</v>
      </c>
      <c r="D2252" s="50">
        <v>50.76</v>
      </c>
    </row>
    <row r="2253" spans="1:4" ht="13.5">
      <c r="A2253" s="49">
        <v>92492</v>
      </c>
      <c r="B2253" s="48" t="s">
        <v>20352</v>
      </c>
      <c r="C2253" s="48" t="s">
        <v>26764</v>
      </c>
      <c r="D2253" s="50">
        <v>77.03</v>
      </c>
    </row>
    <row r="2254" spans="1:4" ht="13.5">
      <c r="A2254" s="49">
        <v>92494</v>
      </c>
      <c r="B2254" s="48" t="s">
        <v>20353</v>
      </c>
      <c r="C2254" s="48" t="s">
        <v>26764</v>
      </c>
      <c r="D2254" s="50">
        <v>47.19</v>
      </c>
    </row>
    <row r="2255" spans="1:4" ht="13.5">
      <c r="A2255" s="49">
        <v>92496</v>
      </c>
      <c r="B2255" s="48" t="s">
        <v>20354</v>
      </c>
      <c r="C2255" s="48" t="s">
        <v>26764</v>
      </c>
      <c r="D2255" s="50">
        <v>74.3</v>
      </c>
    </row>
    <row r="2256" spans="1:4" ht="13.5">
      <c r="A2256" s="49">
        <v>92498</v>
      </c>
      <c r="B2256" s="48" t="s">
        <v>20355</v>
      </c>
      <c r="C2256" s="48" t="s">
        <v>26764</v>
      </c>
      <c r="D2256" s="50">
        <v>44.78</v>
      </c>
    </row>
    <row r="2257" spans="1:4" ht="13.5">
      <c r="A2257" s="49">
        <v>92500</v>
      </c>
      <c r="B2257" s="48" t="s">
        <v>20356</v>
      </c>
      <c r="C2257" s="48" t="s">
        <v>26764</v>
      </c>
      <c r="D2257" s="50">
        <v>72.77</v>
      </c>
    </row>
    <row r="2258" spans="1:4" ht="13.5">
      <c r="A2258" s="49">
        <v>92502</v>
      </c>
      <c r="B2258" s="48" t="s">
        <v>20357</v>
      </c>
      <c r="C2258" s="48" t="s">
        <v>26764</v>
      </c>
      <c r="D2258" s="50">
        <v>43.48</v>
      </c>
    </row>
    <row r="2259" spans="1:4" ht="13.5">
      <c r="A2259" s="49">
        <v>92504</v>
      </c>
      <c r="B2259" s="48" t="s">
        <v>20358</v>
      </c>
      <c r="C2259" s="48" t="s">
        <v>26764</v>
      </c>
      <c r="D2259" s="50">
        <v>49.73</v>
      </c>
    </row>
    <row r="2260" spans="1:4" ht="13.5">
      <c r="A2260" s="49">
        <v>92506</v>
      </c>
      <c r="B2260" s="48" t="s">
        <v>20359</v>
      </c>
      <c r="C2260" s="48" t="s">
        <v>26764</v>
      </c>
      <c r="D2260" s="50">
        <v>41.15</v>
      </c>
    </row>
    <row r="2261" spans="1:4" ht="13.5">
      <c r="A2261" s="49">
        <v>92508</v>
      </c>
      <c r="B2261" s="48" t="s">
        <v>20360</v>
      </c>
      <c r="C2261" s="48" t="s">
        <v>26764</v>
      </c>
      <c r="D2261" s="50">
        <v>97.09</v>
      </c>
    </row>
    <row r="2262" spans="1:4" ht="13.5">
      <c r="A2262" s="49">
        <v>92510</v>
      </c>
      <c r="B2262" s="48" t="s">
        <v>20361</v>
      </c>
      <c r="C2262" s="48" t="s">
        <v>26764</v>
      </c>
      <c r="D2262" s="50">
        <v>62.21</v>
      </c>
    </row>
    <row r="2263" spans="1:4" ht="13.5">
      <c r="A2263" s="49">
        <v>92512</v>
      </c>
      <c r="B2263" s="48" t="s">
        <v>20362</v>
      </c>
      <c r="C2263" s="48" t="s">
        <v>26764</v>
      </c>
      <c r="D2263" s="50">
        <v>73.959999999999994</v>
      </c>
    </row>
    <row r="2264" spans="1:4" ht="13.5">
      <c r="A2264" s="49">
        <v>92514</v>
      </c>
      <c r="B2264" s="48" t="s">
        <v>20363</v>
      </c>
      <c r="C2264" s="48" t="s">
        <v>26764</v>
      </c>
      <c r="D2264" s="50">
        <v>42.43</v>
      </c>
    </row>
    <row r="2265" spans="1:4" ht="13.5">
      <c r="A2265" s="49">
        <v>92515</v>
      </c>
      <c r="B2265" s="48" t="s">
        <v>20364</v>
      </c>
      <c r="C2265" s="48" t="s">
        <v>26764</v>
      </c>
      <c r="D2265" s="50">
        <v>64.3</v>
      </c>
    </row>
    <row r="2266" spans="1:4" ht="13.5">
      <c r="A2266" s="49">
        <v>92518</v>
      </c>
      <c r="B2266" s="48" t="s">
        <v>20365</v>
      </c>
      <c r="C2266" s="48" t="s">
        <v>26764</v>
      </c>
      <c r="D2266" s="50">
        <v>34.24</v>
      </c>
    </row>
    <row r="2267" spans="1:4" ht="13.5">
      <c r="A2267" s="49">
        <v>92520</v>
      </c>
      <c r="B2267" s="48" t="s">
        <v>20366</v>
      </c>
      <c r="C2267" s="48" t="s">
        <v>26764</v>
      </c>
      <c r="D2267" s="50">
        <v>59.35</v>
      </c>
    </row>
    <row r="2268" spans="1:4" ht="13.5">
      <c r="A2268" s="49">
        <v>92522</v>
      </c>
      <c r="B2268" s="48" t="s">
        <v>20367</v>
      </c>
      <c r="C2268" s="48" t="s">
        <v>26764</v>
      </c>
      <c r="D2268" s="50">
        <v>30.03</v>
      </c>
    </row>
    <row r="2269" spans="1:4" ht="13.5">
      <c r="A2269" s="49">
        <v>92524</v>
      </c>
      <c r="B2269" s="48" t="s">
        <v>28280</v>
      </c>
      <c r="C2269" s="48" t="s">
        <v>26764</v>
      </c>
      <c r="D2269" s="50">
        <v>60.43</v>
      </c>
    </row>
    <row r="2270" spans="1:4" ht="13.5">
      <c r="A2270" s="49">
        <v>92526</v>
      </c>
      <c r="B2270" s="48" t="s">
        <v>20368</v>
      </c>
      <c r="C2270" s="48" t="s">
        <v>26764</v>
      </c>
      <c r="D2270" s="50">
        <v>31.55</v>
      </c>
    </row>
    <row r="2271" spans="1:4" ht="13.5">
      <c r="A2271" s="49">
        <v>92528</v>
      </c>
      <c r="B2271" s="48" t="s">
        <v>20369</v>
      </c>
      <c r="C2271" s="48" t="s">
        <v>26764</v>
      </c>
      <c r="D2271" s="50">
        <v>58.24</v>
      </c>
    </row>
    <row r="2272" spans="1:4" ht="13.5">
      <c r="A2272" s="49">
        <v>92530</v>
      </c>
      <c r="B2272" s="48" t="s">
        <v>20370</v>
      </c>
      <c r="C2272" s="48" t="s">
        <v>26764</v>
      </c>
      <c r="D2272" s="50">
        <v>29.63</v>
      </c>
    </row>
    <row r="2273" spans="1:4" ht="13.5">
      <c r="A2273" s="49">
        <v>92532</v>
      </c>
      <c r="B2273" s="48" t="s">
        <v>20371</v>
      </c>
      <c r="C2273" s="48" t="s">
        <v>26764</v>
      </c>
      <c r="D2273" s="50">
        <v>56.53</v>
      </c>
    </row>
    <row r="2274" spans="1:4" ht="13.5">
      <c r="A2274" s="49">
        <v>92534</v>
      </c>
      <c r="B2274" s="48" t="s">
        <v>20372</v>
      </c>
      <c r="C2274" s="48" t="s">
        <v>26764</v>
      </c>
      <c r="D2274" s="50">
        <v>28.19</v>
      </c>
    </row>
    <row r="2275" spans="1:4" ht="13.5">
      <c r="A2275" s="49">
        <v>92536</v>
      </c>
      <c r="B2275" s="48" t="s">
        <v>20373</v>
      </c>
      <c r="C2275" s="48" t="s">
        <v>26764</v>
      </c>
      <c r="D2275" s="50">
        <v>53.27</v>
      </c>
    </row>
    <row r="2276" spans="1:4" ht="13.5">
      <c r="A2276" s="49">
        <v>92538</v>
      </c>
      <c r="B2276" s="48" t="s">
        <v>20374</v>
      </c>
      <c r="C2276" s="48" t="s">
        <v>26764</v>
      </c>
      <c r="D2276" s="50">
        <v>25.17</v>
      </c>
    </row>
    <row r="2277" spans="1:4" ht="13.5">
      <c r="A2277" s="49">
        <v>96252</v>
      </c>
      <c r="B2277" s="48" t="s">
        <v>4062</v>
      </c>
      <c r="C2277" s="48" t="s">
        <v>26764</v>
      </c>
      <c r="D2277" s="50">
        <v>254.92</v>
      </c>
    </row>
    <row r="2278" spans="1:4" ht="13.5">
      <c r="A2278" s="49">
        <v>96257</v>
      </c>
      <c r="B2278" s="48" t="s">
        <v>4063</v>
      </c>
      <c r="C2278" s="48" t="s">
        <v>26764</v>
      </c>
      <c r="D2278" s="50">
        <v>200.86</v>
      </c>
    </row>
    <row r="2279" spans="1:4" ht="13.5">
      <c r="A2279" s="49">
        <v>96258</v>
      </c>
      <c r="B2279" s="48" t="s">
        <v>4064</v>
      </c>
      <c r="C2279" s="48" t="s">
        <v>26764</v>
      </c>
      <c r="D2279" s="50">
        <v>189.37</v>
      </c>
    </row>
    <row r="2280" spans="1:4" ht="13.5">
      <c r="A2280" s="49">
        <v>96259</v>
      </c>
      <c r="B2280" s="48" t="s">
        <v>4065</v>
      </c>
      <c r="C2280" s="48" t="s">
        <v>26764</v>
      </c>
      <c r="D2280" s="50">
        <v>223.72</v>
      </c>
    </row>
    <row r="2281" spans="1:4" ht="13.5">
      <c r="A2281" s="49">
        <v>96529</v>
      </c>
      <c r="B2281" s="48" t="s">
        <v>4066</v>
      </c>
      <c r="C2281" s="48" t="s">
        <v>26764</v>
      </c>
      <c r="D2281" s="50">
        <v>338.49</v>
      </c>
    </row>
    <row r="2282" spans="1:4" ht="13.5">
      <c r="A2282" s="49">
        <v>96530</v>
      </c>
      <c r="B2282" s="48" t="s">
        <v>4067</v>
      </c>
      <c r="C2282" s="48" t="s">
        <v>26764</v>
      </c>
      <c r="D2282" s="50">
        <v>186.07</v>
      </c>
    </row>
    <row r="2283" spans="1:4" ht="13.5">
      <c r="A2283" s="49">
        <v>96531</v>
      </c>
      <c r="B2283" s="48" t="s">
        <v>4068</v>
      </c>
      <c r="C2283" s="48" t="s">
        <v>26764</v>
      </c>
      <c r="D2283" s="50">
        <v>127.73</v>
      </c>
    </row>
    <row r="2284" spans="1:4" ht="13.5">
      <c r="A2284" s="49">
        <v>96532</v>
      </c>
      <c r="B2284" s="48" t="s">
        <v>4069</v>
      </c>
      <c r="C2284" s="48" t="s">
        <v>26764</v>
      </c>
      <c r="D2284" s="50">
        <v>212.26</v>
      </c>
    </row>
    <row r="2285" spans="1:4" ht="13.5">
      <c r="A2285" s="49">
        <v>96533</v>
      </c>
      <c r="B2285" s="48" t="s">
        <v>4070</v>
      </c>
      <c r="C2285" s="48" t="s">
        <v>26764</v>
      </c>
      <c r="D2285" s="50">
        <v>113.7</v>
      </c>
    </row>
    <row r="2286" spans="1:4" ht="13.5">
      <c r="A2286" s="49">
        <v>96534</v>
      </c>
      <c r="B2286" s="48" t="s">
        <v>4071</v>
      </c>
      <c r="C2286" s="48" t="s">
        <v>26764</v>
      </c>
      <c r="D2286" s="50">
        <v>87.81</v>
      </c>
    </row>
    <row r="2287" spans="1:4" ht="13.5">
      <c r="A2287" s="49">
        <v>96535</v>
      </c>
      <c r="B2287" s="48" t="s">
        <v>4072</v>
      </c>
      <c r="C2287" s="48" t="s">
        <v>26764</v>
      </c>
      <c r="D2287" s="50">
        <v>146.53</v>
      </c>
    </row>
    <row r="2288" spans="1:4" ht="13.5">
      <c r="A2288" s="49">
        <v>96536</v>
      </c>
      <c r="B2288" s="48" t="s">
        <v>4073</v>
      </c>
      <c r="C2288" s="48" t="s">
        <v>26764</v>
      </c>
      <c r="D2288" s="50">
        <v>76.06</v>
      </c>
    </row>
    <row r="2289" spans="1:4" ht="13.5">
      <c r="A2289" s="49">
        <v>96537</v>
      </c>
      <c r="B2289" s="48" t="s">
        <v>4074</v>
      </c>
      <c r="C2289" s="48" t="s">
        <v>26764</v>
      </c>
      <c r="D2289" s="50">
        <v>193.57</v>
      </c>
    </row>
    <row r="2290" spans="1:4" ht="13.5">
      <c r="A2290" s="49">
        <v>96538</v>
      </c>
      <c r="B2290" s="48" t="s">
        <v>4075</v>
      </c>
      <c r="C2290" s="48" t="s">
        <v>26764</v>
      </c>
      <c r="D2290" s="50">
        <v>270.08</v>
      </c>
    </row>
    <row r="2291" spans="1:4" ht="13.5">
      <c r="A2291" s="49">
        <v>96539</v>
      </c>
      <c r="B2291" s="48" t="s">
        <v>4076</v>
      </c>
      <c r="C2291" s="48" t="s">
        <v>26764</v>
      </c>
      <c r="D2291" s="50">
        <v>125.75</v>
      </c>
    </row>
    <row r="2292" spans="1:4" ht="13.5">
      <c r="A2292" s="49">
        <v>96540</v>
      </c>
      <c r="B2292" s="48" t="s">
        <v>4078</v>
      </c>
      <c r="C2292" s="48" t="s">
        <v>26764</v>
      </c>
      <c r="D2292" s="50">
        <v>132.33000000000001</v>
      </c>
    </row>
    <row r="2293" spans="1:4" ht="13.5">
      <c r="A2293" s="49">
        <v>96541</v>
      </c>
      <c r="B2293" s="48" t="s">
        <v>4079</v>
      </c>
      <c r="C2293" s="48" t="s">
        <v>26764</v>
      </c>
      <c r="D2293" s="50">
        <v>187.97</v>
      </c>
    </row>
    <row r="2294" spans="1:4" ht="13.5">
      <c r="A2294" s="49">
        <v>96542</v>
      </c>
      <c r="B2294" s="48" t="s">
        <v>4080</v>
      </c>
      <c r="C2294" s="48" t="s">
        <v>26764</v>
      </c>
      <c r="D2294" s="50">
        <v>91.87</v>
      </c>
    </row>
    <row r="2295" spans="1:4" ht="13.5">
      <c r="A2295" s="49">
        <v>96543</v>
      </c>
      <c r="B2295" s="48" t="s">
        <v>4081</v>
      </c>
      <c r="C2295" s="48" t="s">
        <v>8</v>
      </c>
      <c r="D2295" s="50">
        <v>21.73</v>
      </c>
    </row>
    <row r="2296" spans="1:4" ht="13.5">
      <c r="A2296" s="49">
        <v>97747</v>
      </c>
      <c r="B2296" s="48" t="s">
        <v>4082</v>
      </c>
      <c r="C2296" s="48" t="s">
        <v>26764</v>
      </c>
      <c r="D2296" s="50">
        <v>209.03</v>
      </c>
    </row>
    <row r="2297" spans="1:4" ht="13.5">
      <c r="A2297" s="49">
        <v>101791</v>
      </c>
      <c r="B2297" s="48" t="s">
        <v>20375</v>
      </c>
      <c r="C2297" s="48" t="s">
        <v>6</v>
      </c>
      <c r="D2297" s="50">
        <v>24.3</v>
      </c>
    </row>
    <row r="2298" spans="1:4" ht="13.5">
      <c r="A2298" s="49">
        <v>101792</v>
      </c>
      <c r="B2298" s="48" t="s">
        <v>20376</v>
      </c>
      <c r="C2298" s="48" t="s">
        <v>28764</v>
      </c>
      <c r="D2298" s="50">
        <v>16</v>
      </c>
    </row>
    <row r="2299" spans="1:4" ht="13.5">
      <c r="A2299" s="49">
        <v>101793</v>
      </c>
      <c r="B2299" s="48" t="s">
        <v>20377</v>
      </c>
      <c r="C2299" s="48" t="s">
        <v>28764</v>
      </c>
      <c r="D2299" s="50">
        <v>24.1</v>
      </c>
    </row>
    <row r="2300" spans="1:4" ht="13.5">
      <c r="A2300" s="49">
        <v>101969</v>
      </c>
      <c r="B2300" s="48" t="s">
        <v>20378</v>
      </c>
      <c r="C2300" s="48" t="s">
        <v>26764</v>
      </c>
      <c r="D2300" s="50">
        <v>206.41</v>
      </c>
    </row>
    <row r="2301" spans="1:4" ht="13.5">
      <c r="A2301" s="49">
        <v>101971</v>
      </c>
      <c r="B2301" s="48" t="s">
        <v>20379</v>
      </c>
      <c r="C2301" s="48" t="s">
        <v>26764</v>
      </c>
      <c r="D2301" s="50">
        <v>156.29</v>
      </c>
    </row>
    <row r="2302" spans="1:4" ht="13.5">
      <c r="A2302" s="49">
        <v>101973</v>
      </c>
      <c r="B2302" s="48" t="s">
        <v>20380</v>
      </c>
      <c r="C2302" s="48" t="s">
        <v>26764</v>
      </c>
      <c r="D2302" s="50">
        <v>208.06</v>
      </c>
    </row>
    <row r="2303" spans="1:4" ht="13.5">
      <c r="A2303" s="49">
        <v>101974</v>
      </c>
      <c r="B2303" s="48" t="s">
        <v>20381</v>
      </c>
      <c r="C2303" s="48" t="s">
        <v>26764</v>
      </c>
      <c r="D2303" s="50">
        <v>467.77</v>
      </c>
    </row>
    <row r="2304" spans="1:4" ht="13.5">
      <c r="A2304" s="49">
        <v>101975</v>
      </c>
      <c r="B2304" s="48" t="s">
        <v>20382</v>
      </c>
      <c r="C2304" s="48" t="s">
        <v>26764</v>
      </c>
      <c r="D2304" s="50">
        <v>398.64</v>
      </c>
    </row>
    <row r="2305" spans="1:4" ht="13.5">
      <c r="A2305" s="49">
        <v>101977</v>
      </c>
      <c r="B2305" s="48" t="s">
        <v>20383</v>
      </c>
      <c r="C2305" s="48" t="s">
        <v>26764</v>
      </c>
      <c r="D2305" s="50">
        <v>282.79000000000002</v>
      </c>
    </row>
    <row r="2306" spans="1:4" ht="13.5">
      <c r="A2306" s="49">
        <v>101980</v>
      </c>
      <c r="B2306" s="48" t="s">
        <v>20384</v>
      </c>
      <c r="C2306" s="48" t="s">
        <v>26764</v>
      </c>
      <c r="D2306" s="50">
        <v>254.3</v>
      </c>
    </row>
    <row r="2307" spans="1:4" ht="13.5">
      <c r="A2307" s="49">
        <v>101981</v>
      </c>
      <c r="B2307" s="48" t="s">
        <v>20385</v>
      </c>
      <c r="C2307" s="48" t="s">
        <v>26764</v>
      </c>
      <c r="D2307" s="50">
        <v>219.09</v>
      </c>
    </row>
    <row r="2308" spans="1:4" ht="13.5">
      <c r="A2308" s="49">
        <v>101982</v>
      </c>
      <c r="B2308" s="48" t="s">
        <v>20386</v>
      </c>
      <c r="C2308" s="48" t="s">
        <v>26764</v>
      </c>
      <c r="D2308" s="50">
        <v>191.35</v>
      </c>
    </row>
    <row r="2309" spans="1:4" ht="13.5">
      <c r="A2309" s="49">
        <v>101983</v>
      </c>
      <c r="B2309" s="48" t="s">
        <v>20387</v>
      </c>
      <c r="C2309" s="48" t="s">
        <v>26764</v>
      </c>
      <c r="D2309" s="50">
        <v>173.87</v>
      </c>
    </row>
    <row r="2310" spans="1:4" ht="13.5">
      <c r="A2310" s="49">
        <v>101985</v>
      </c>
      <c r="B2310" s="48" t="s">
        <v>20388</v>
      </c>
      <c r="C2310" s="48" t="s">
        <v>26764</v>
      </c>
      <c r="D2310" s="50">
        <v>221.74</v>
      </c>
    </row>
    <row r="2311" spans="1:4" ht="13.5">
      <c r="A2311" s="49">
        <v>101986</v>
      </c>
      <c r="B2311" s="48" t="s">
        <v>20389</v>
      </c>
      <c r="C2311" s="48" t="s">
        <v>26764</v>
      </c>
      <c r="D2311" s="50">
        <v>158.02000000000001</v>
      </c>
    </row>
    <row r="2312" spans="1:4" ht="13.5">
      <c r="A2312" s="49">
        <v>101987</v>
      </c>
      <c r="B2312" s="48" t="s">
        <v>20390</v>
      </c>
      <c r="C2312" s="48" t="s">
        <v>26764</v>
      </c>
      <c r="D2312" s="50">
        <v>245.17</v>
      </c>
    </row>
    <row r="2313" spans="1:4" ht="13.5">
      <c r="A2313" s="49">
        <v>101988</v>
      </c>
      <c r="B2313" s="48" t="s">
        <v>20391</v>
      </c>
      <c r="C2313" s="48" t="s">
        <v>26764</v>
      </c>
      <c r="D2313" s="50">
        <v>213.19</v>
      </c>
    </row>
    <row r="2314" spans="1:4" ht="13.5">
      <c r="A2314" s="49">
        <v>101989</v>
      </c>
      <c r="B2314" s="48" t="s">
        <v>20392</v>
      </c>
      <c r="C2314" s="48" t="s">
        <v>26764</v>
      </c>
      <c r="D2314" s="50">
        <v>163.69999999999999</v>
      </c>
    </row>
    <row r="2315" spans="1:4" ht="13.5">
      <c r="A2315" s="49">
        <v>101990</v>
      </c>
      <c r="B2315" s="48" t="s">
        <v>20393</v>
      </c>
      <c r="C2315" s="48" t="s">
        <v>26764</v>
      </c>
      <c r="D2315" s="50">
        <v>223.92</v>
      </c>
    </row>
    <row r="2316" spans="1:4" ht="13.5">
      <c r="A2316" s="49">
        <v>101991</v>
      </c>
      <c r="B2316" s="48" t="s">
        <v>20394</v>
      </c>
      <c r="C2316" s="48" t="s">
        <v>26764</v>
      </c>
      <c r="D2316" s="50">
        <v>220.62</v>
      </c>
    </row>
    <row r="2317" spans="1:4" ht="13.5">
      <c r="A2317" s="49">
        <v>101992</v>
      </c>
      <c r="B2317" s="48" t="s">
        <v>20395</v>
      </c>
      <c r="C2317" s="48" t="s">
        <v>26764</v>
      </c>
      <c r="D2317" s="50">
        <v>159.71</v>
      </c>
    </row>
    <row r="2318" spans="1:4" ht="13.5">
      <c r="A2318" s="49">
        <v>101993</v>
      </c>
      <c r="B2318" s="48" t="s">
        <v>20396</v>
      </c>
      <c r="C2318" s="48" t="s">
        <v>26764</v>
      </c>
      <c r="D2318" s="50">
        <v>287.89</v>
      </c>
    </row>
    <row r="2319" spans="1:4" ht="13.5">
      <c r="A2319" s="49">
        <v>101994</v>
      </c>
      <c r="B2319" s="48" t="s">
        <v>20397</v>
      </c>
      <c r="C2319" s="48" t="s">
        <v>26764</v>
      </c>
      <c r="D2319" s="50">
        <v>227.76</v>
      </c>
    </row>
    <row r="2320" spans="1:4" ht="13.5">
      <c r="A2320" s="49">
        <v>101995</v>
      </c>
      <c r="B2320" s="48" t="s">
        <v>20398</v>
      </c>
      <c r="C2320" s="48" t="s">
        <v>26764</v>
      </c>
      <c r="D2320" s="50">
        <v>172.19</v>
      </c>
    </row>
    <row r="2321" spans="1:4" ht="13.5">
      <c r="A2321" s="49">
        <v>101996</v>
      </c>
      <c r="B2321" s="48" t="s">
        <v>20399</v>
      </c>
      <c r="C2321" s="48" t="s">
        <v>26764</v>
      </c>
      <c r="D2321" s="50">
        <v>240.76</v>
      </c>
    </row>
    <row r="2322" spans="1:4" ht="13.5">
      <c r="A2322" s="49">
        <v>101997</v>
      </c>
      <c r="B2322" s="48" t="s">
        <v>20400</v>
      </c>
      <c r="C2322" s="48" t="s">
        <v>26764</v>
      </c>
      <c r="D2322" s="50">
        <v>221.16</v>
      </c>
    </row>
    <row r="2323" spans="1:4" ht="13.5">
      <c r="A2323" s="49">
        <v>101998</v>
      </c>
      <c r="B2323" s="48" t="s">
        <v>20401</v>
      </c>
      <c r="C2323" s="48" t="s">
        <v>26764</v>
      </c>
      <c r="D2323" s="50">
        <v>158.86000000000001</v>
      </c>
    </row>
    <row r="2324" spans="1:4" ht="13.5">
      <c r="A2324" s="49">
        <v>101999</v>
      </c>
      <c r="B2324" s="48" t="s">
        <v>20402</v>
      </c>
      <c r="C2324" s="48" t="s">
        <v>26764</v>
      </c>
      <c r="D2324" s="50">
        <v>308.54000000000002</v>
      </c>
    </row>
    <row r="2325" spans="1:4" ht="13.5">
      <c r="A2325" s="49">
        <v>102000</v>
      </c>
      <c r="B2325" s="48" t="s">
        <v>20403</v>
      </c>
      <c r="C2325" s="48" t="s">
        <v>26764</v>
      </c>
      <c r="D2325" s="50">
        <v>479.38</v>
      </c>
    </row>
    <row r="2326" spans="1:4" ht="13.5">
      <c r="A2326" s="49">
        <v>102001</v>
      </c>
      <c r="B2326" s="48" t="s">
        <v>20404</v>
      </c>
      <c r="C2326" s="48" t="s">
        <v>26764</v>
      </c>
      <c r="D2326" s="50">
        <v>413.85</v>
      </c>
    </row>
    <row r="2327" spans="1:4" ht="13.5">
      <c r="A2327" s="49">
        <v>102002</v>
      </c>
      <c r="B2327" s="48" t="s">
        <v>20405</v>
      </c>
      <c r="C2327" s="48" t="s">
        <v>26764</v>
      </c>
      <c r="D2327" s="50">
        <v>285.29000000000002</v>
      </c>
    </row>
    <row r="2328" spans="1:4" ht="13.5">
      <c r="A2328" s="49">
        <v>102003</v>
      </c>
      <c r="B2328" s="48" t="s">
        <v>20406</v>
      </c>
      <c r="C2328" s="48" t="s">
        <v>26764</v>
      </c>
      <c r="D2328" s="50">
        <v>258.81</v>
      </c>
    </row>
    <row r="2329" spans="1:4" ht="13.5">
      <c r="A2329" s="49">
        <v>102004</v>
      </c>
      <c r="B2329" s="48" t="s">
        <v>20407</v>
      </c>
      <c r="C2329" s="48" t="s">
        <v>26764</v>
      </c>
      <c r="D2329" s="50">
        <v>228.75</v>
      </c>
    </row>
    <row r="2330" spans="1:4" ht="13.5">
      <c r="A2330" s="49">
        <v>102005</v>
      </c>
      <c r="B2330" s="48" t="s">
        <v>20408</v>
      </c>
      <c r="C2330" s="48" t="s">
        <v>26764</v>
      </c>
      <c r="D2330" s="50">
        <v>199.32</v>
      </c>
    </row>
    <row r="2331" spans="1:4" ht="13.5">
      <c r="A2331" s="49">
        <v>102006</v>
      </c>
      <c r="B2331" s="48" t="s">
        <v>20409</v>
      </c>
      <c r="C2331" s="48" t="s">
        <v>26764</v>
      </c>
      <c r="D2331" s="50">
        <v>180.77</v>
      </c>
    </row>
    <row r="2332" spans="1:4" ht="13.5">
      <c r="A2332" s="49">
        <v>102007</v>
      </c>
      <c r="B2332" s="48" t="s">
        <v>20410</v>
      </c>
      <c r="C2332" s="48" t="s">
        <v>26764</v>
      </c>
      <c r="D2332" s="50">
        <v>464.26</v>
      </c>
    </row>
    <row r="2333" spans="1:4" ht="13.5">
      <c r="A2333" s="49">
        <v>102008</v>
      </c>
      <c r="B2333" s="48" t="s">
        <v>20411</v>
      </c>
      <c r="C2333" s="48" t="s">
        <v>26764</v>
      </c>
      <c r="D2333" s="50">
        <v>388.66</v>
      </c>
    </row>
    <row r="2334" spans="1:4" ht="13.5">
      <c r="A2334" s="49">
        <v>102009</v>
      </c>
      <c r="B2334" s="48" t="s">
        <v>20412</v>
      </c>
      <c r="C2334" s="48" t="s">
        <v>26764</v>
      </c>
      <c r="D2334" s="50">
        <v>285.82</v>
      </c>
    </row>
    <row r="2335" spans="1:4" ht="13.5">
      <c r="A2335" s="49">
        <v>102010</v>
      </c>
      <c r="B2335" s="48" t="s">
        <v>20413</v>
      </c>
      <c r="C2335" s="48" t="s">
        <v>26764</v>
      </c>
      <c r="D2335" s="50">
        <v>255.27</v>
      </c>
    </row>
    <row r="2336" spans="1:4" ht="13.5">
      <c r="A2336" s="49">
        <v>102011</v>
      </c>
      <c r="B2336" s="48" t="s">
        <v>20414</v>
      </c>
      <c r="C2336" s="48" t="s">
        <v>26764</v>
      </c>
      <c r="D2336" s="50">
        <v>217.85</v>
      </c>
    </row>
    <row r="2337" spans="1:4" ht="13.5">
      <c r="A2337" s="49">
        <v>102012</v>
      </c>
      <c r="B2337" s="48" t="s">
        <v>20415</v>
      </c>
      <c r="C2337" s="48" t="s">
        <v>26764</v>
      </c>
      <c r="D2337" s="50">
        <v>189.36</v>
      </c>
    </row>
    <row r="2338" spans="1:4" ht="13.5">
      <c r="A2338" s="49">
        <v>102013</v>
      </c>
      <c r="B2338" s="48" t="s">
        <v>20416</v>
      </c>
      <c r="C2338" s="48" t="s">
        <v>26764</v>
      </c>
      <c r="D2338" s="50">
        <v>173.54</v>
      </c>
    </row>
    <row r="2339" spans="1:4" ht="13.5">
      <c r="A2339" s="49">
        <v>102014</v>
      </c>
      <c r="B2339" s="48" t="s">
        <v>20417</v>
      </c>
      <c r="C2339" s="48" t="s">
        <v>26764</v>
      </c>
      <c r="D2339" s="50">
        <v>522.23</v>
      </c>
    </row>
    <row r="2340" spans="1:4" ht="13.5">
      <c r="A2340" s="49">
        <v>102015</v>
      </c>
      <c r="B2340" s="48" t="s">
        <v>20418</v>
      </c>
      <c r="C2340" s="48" t="s">
        <v>26764</v>
      </c>
      <c r="D2340" s="50">
        <v>438.3</v>
      </c>
    </row>
    <row r="2341" spans="1:4" ht="13.5">
      <c r="A2341" s="49">
        <v>102016</v>
      </c>
      <c r="B2341" s="48" t="s">
        <v>20419</v>
      </c>
      <c r="C2341" s="48" t="s">
        <v>26764</v>
      </c>
      <c r="D2341" s="50">
        <v>283.58</v>
      </c>
    </row>
    <row r="2342" spans="1:4" ht="13.5">
      <c r="A2342" s="49">
        <v>102017</v>
      </c>
      <c r="B2342" s="48" t="s">
        <v>20420</v>
      </c>
      <c r="C2342" s="48" t="s">
        <v>26764</v>
      </c>
      <c r="D2342" s="50">
        <v>255.32</v>
      </c>
    </row>
    <row r="2343" spans="1:4" ht="13.5">
      <c r="A2343" s="49">
        <v>102036</v>
      </c>
      <c r="B2343" s="48" t="s">
        <v>20421</v>
      </c>
      <c r="C2343" s="48" t="s">
        <v>26764</v>
      </c>
      <c r="D2343" s="50">
        <v>223.4</v>
      </c>
    </row>
    <row r="2344" spans="1:4" ht="13.5">
      <c r="A2344" s="49">
        <v>102037</v>
      </c>
      <c r="B2344" s="48" t="s">
        <v>20422</v>
      </c>
      <c r="C2344" s="48" t="s">
        <v>26764</v>
      </c>
      <c r="D2344" s="50">
        <v>194.09</v>
      </c>
    </row>
    <row r="2345" spans="1:4" ht="13.5">
      <c r="A2345" s="49">
        <v>102038</v>
      </c>
      <c r="B2345" s="48" t="s">
        <v>20423</v>
      </c>
      <c r="C2345" s="48" t="s">
        <v>26764</v>
      </c>
      <c r="D2345" s="50">
        <v>177.83</v>
      </c>
    </row>
    <row r="2346" spans="1:4" ht="13.5">
      <c r="A2346" s="49">
        <v>102039</v>
      </c>
      <c r="B2346" s="48" t="s">
        <v>20424</v>
      </c>
      <c r="C2346" s="48" t="s">
        <v>26764</v>
      </c>
      <c r="D2346" s="50">
        <v>484.62</v>
      </c>
    </row>
    <row r="2347" spans="1:4" ht="13.5">
      <c r="A2347" s="49">
        <v>102040</v>
      </c>
      <c r="B2347" s="48" t="s">
        <v>20425</v>
      </c>
      <c r="C2347" s="48" t="s">
        <v>26764</v>
      </c>
      <c r="D2347" s="50">
        <v>404.42</v>
      </c>
    </row>
    <row r="2348" spans="1:4" ht="13.5">
      <c r="A2348" s="49">
        <v>102041</v>
      </c>
      <c r="B2348" s="48" t="s">
        <v>20426</v>
      </c>
      <c r="C2348" s="48" t="s">
        <v>26764</v>
      </c>
      <c r="D2348" s="50">
        <v>289.47000000000003</v>
      </c>
    </row>
    <row r="2349" spans="1:4" ht="13.5">
      <c r="A2349" s="49">
        <v>102042</v>
      </c>
      <c r="B2349" s="48" t="s">
        <v>20427</v>
      </c>
      <c r="C2349" s="48" t="s">
        <v>26764</v>
      </c>
      <c r="D2349" s="50">
        <v>256.69</v>
      </c>
    </row>
    <row r="2350" spans="1:4" ht="13.5">
      <c r="A2350" s="49">
        <v>102043</v>
      </c>
      <c r="B2350" s="48" t="s">
        <v>20428</v>
      </c>
      <c r="C2350" s="48" t="s">
        <v>26764</v>
      </c>
      <c r="D2350" s="50">
        <v>220.36</v>
      </c>
    </row>
    <row r="2351" spans="1:4" ht="13.5">
      <c r="A2351" s="49">
        <v>102044</v>
      </c>
      <c r="B2351" s="48" t="s">
        <v>20429</v>
      </c>
      <c r="C2351" s="48" t="s">
        <v>26764</v>
      </c>
      <c r="D2351" s="50">
        <v>192.54</v>
      </c>
    </row>
    <row r="2352" spans="1:4" ht="13.5">
      <c r="A2352" s="49">
        <v>102045</v>
      </c>
      <c r="B2352" s="48" t="s">
        <v>20430</v>
      </c>
      <c r="C2352" s="48" t="s">
        <v>26764</v>
      </c>
      <c r="D2352" s="50">
        <v>175.85</v>
      </c>
    </row>
    <row r="2353" spans="1:4" ht="13.5">
      <c r="A2353" s="49">
        <v>102046</v>
      </c>
      <c r="B2353" s="48" t="s">
        <v>20431</v>
      </c>
      <c r="C2353" s="48" t="s">
        <v>26764</v>
      </c>
      <c r="D2353" s="50">
        <v>532.66</v>
      </c>
    </row>
    <row r="2354" spans="1:4" ht="13.5">
      <c r="A2354" s="49">
        <v>102047</v>
      </c>
      <c r="B2354" s="48" t="s">
        <v>20432</v>
      </c>
      <c r="C2354" s="48" t="s">
        <v>26764</v>
      </c>
      <c r="D2354" s="50">
        <v>455.17</v>
      </c>
    </row>
    <row r="2355" spans="1:4" ht="13.5">
      <c r="A2355" s="49">
        <v>102048</v>
      </c>
      <c r="B2355" s="48" t="s">
        <v>20433</v>
      </c>
      <c r="C2355" s="48" t="s">
        <v>26764</v>
      </c>
      <c r="D2355" s="50">
        <v>280.05</v>
      </c>
    </row>
    <row r="2356" spans="1:4" ht="13.5">
      <c r="A2356" s="49">
        <v>102049</v>
      </c>
      <c r="B2356" s="48" t="s">
        <v>20434</v>
      </c>
      <c r="C2356" s="48" t="s">
        <v>26764</v>
      </c>
      <c r="D2356" s="50">
        <v>249.57</v>
      </c>
    </row>
    <row r="2357" spans="1:4" ht="13.5">
      <c r="A2357" s="49">
        <v>102050</v>
      </c>
      <c r="B2357" s="48" t="s">
        <v>20435</v>
      </c>
      <c r="C2357" s="48" t="s">
        <v>26764</v>
      </c>
      <c r="D2357" s="50">
        <v>219.69</v>
      </c>
    </row>
    <row r="2358" spans="1:4" ht="13.5">
      <c r="A2358" s="49">
        <v>102051</v>
      </c>
      <c r="B2358" s="48" t="s">
        <v>20436</v>
      </c>
      <c r="C2358" s="48" t="s">
        <v>26764</v>
      </c>
      <c r="D2358" s="50">
        <v>190.33</v>
      </c>
    </row>
    <row r="2359" spans="1:4" ht="13.5">
      <c r="A2359" s="49">
        <v>102052</v>
      </c>
      <c r="B2359" s="48" t="s">
        <v>20437</v>
      </c>
      <c r="C2359" s="48" t="s">
        <v>26764</v>
      </c>
      <c r="D2359" s="50">
        <v>174.03</v>
      </c>
    </row>
    <row r="2360" spans="1:4" ht="13.5">
      <c r="A2360" s="49">
        <v>102059</v>
      </c>
      <c r="B2360" s="48" t="s">
        <v>20438</v>
      </c>
      <c r="C2360" s="48" t="s">
        <v>26764</v>
      </c>
      <c r="D2360" s="50">
        <v>453.23</v>
      </c>
    </row>
    <row r="2361" spans="1:4" ht="13.5">
      <c r="A2361" s="49">
        <v>102060</v>
      </c>
      <c r="B2361" s="48" t="s">
        <v>20439</v>
      </c>
      <c r="C2361" s="48" t="s">
        <v>26764</v>
      </c>
      <c r="D2361" s="50">
        <v>381.59</v>
      </c>
    </row>
    <row r="2362" spans="1:4" ht="13.5">
      <c r="A2362" s="49">
        <v>102061</v>
      </c>
      <c r="B2362" s="48" t="s">
        <v>20440</v>
      </c>
      <c r="C2362" s="48" t="s">
        <v>26764</v>
      </c>
      <c r="D2362" s="50">
        <v>266.47000000000003</v>
      </c>
    </row>
    <row r="2363" spans="1:4" ht="13.5">
      <c r="A2363" s="49">
        <v>102062</v>
      </c>
      <c r="B2363" s="48" t="s">
        <v>20441</v>
      </c>
      <c r="C2363" s="48" t="s">
        <v>26764</v>
      </c>
      <c r="D2363" s="50">
        <v>240.8</v>
      </c>
    </row>
    <row r="2364" spans="1:4" ht="13.5">
      <c r="A2364" s="49">
        <v>102063</v>
      </c>
      <c r="B2364" s="48" t="s">
        <v>20442</v>
      </c>
      <c r="C2364" s="48" t="s">
        <v>26764</v>
      </c>
      <c r="D2364" s="50">
        <v>205.68</v>
      </c>
    </row>
    <row r="2365" spans="1:4" ht="13.5">
      <c r="A2365" s="49">
        <v>102064</v>
      </c>
      <c r="B2365" s="48" t="s">
        <v>20443</v>
      </c>
      <c r="C2365" s="48" t="s">
        <v>26764</v>
      </c>
      <c r="D2365" s="50">
        <v>177.5</v>
      </c>
    </row>
    <row r="2366" spans="1:4" ht="13.5">
      <c r="A2366" s="49">
        <v>102065</v>
      </c>
      <c r="B2366" s="48" t="s">
        <v>20444</v>
      </c>
      <c r="C2366" s="48" t="s">
        <v>26764</v>
      </c>
      <c r="D2366" s="50">
        <v>161.91</v>
      </c>
    </row>
    <row r="2367" spans="1:4" ht="13.5">
      <c r="A2367" s="49">
        <v>102066</v>
      </c>
      <c r="B2367" s="48" t="s">
        <v>20445</v>
      </c>
      <c r="C2367" s="48" t="s">
        <v>26764</v>
      </c>
      <c r="D2367" s="50">
        <v>473.47</v>
      </c>
    </row>
    <row r="2368" spans="1:4" ht="13.5">
      <c r="A2368" s="49">
        <v>102067</v>
      </c>
      <c r="B2368" s="48" t="s">
        <v>20446</v>
      </c>
      <c r="C2368" s="48" t="s">
        <v>26764</v>
      </c>
      <c r="D2368" s="50">
        <v>406.51</v>
      </c>
    </row>
    <row r="2369" spans="1:4" ht="13.5">
      <c r="A2369" s="49">
        <v>102068</v>
      </c>
      <c r="B2369" s="48" t="s">
        <v>20447</v>
      </c>
      <c r="C2369" s="48" t="s">
        <v>26764</v>
      </c>
      <c r="D2369" s="50">
        <v>254.38</v>
      </c>
    </row>
    <row r="2370" spans="1:4" ht="13.5">
      <c r="A2370" s="49">
        <v>102069</v>
      </c>
      <c r="B2370" s="48" t="s">
        <v>20448</v>
      </c>
      <c r="C2370" s="48" t="s">
        <v>26764</v>
      </c>
      <c r="D2370" s="50">
        <v>231.05</v>
      </c>
    </row>
    <row r="2371" spans="1:4" ht="13.5">
      <c r="A2371" s="49">
        <v>102070</v>
      </c>
      <c r="B2371" s="48" t="s">
        <v>20449</v>
      </c>
      <c r="C2371" s="48" t="s">
        <v>26764</v>
      </c>
      <c r="D2371" s="50">
        <v>202.76</v>
      </c>
    </row>
    <row r="2372" spans="1:4" ht="13.5">
      <c r="A2372" s="49">
        <v>102071</v>
      </c>
      <c r="B2372" s="48" t="s">
        <v>20450</v>
      </c>
      <c r="C2372" s="48" t="s">
        <v>26764</v>
      </c>
      <c r="D2372" s="50">
        <v>175.45</v>
      </c>
    </row>
    <row r="2373" spans="1:4" ht="13.5">
      <c r="A2373" s="49">
        <v>102072</v>
      </c>
      <c r="B2373" s="48" t="s">
        <v>20451</v>
      </c>
      <c r="C2373" s="48" t="s">
        <v>26764</v>
      </c>
      <c r="D2373" s="50">
        <v>163.16999999999999</v>
      </c>
    </row>
    <row r="2374" spans="1:4" ht="13.5">
      <c r="A2374" s="49">
        <v>102073</v>
      </c>
      <c r="B2374" s="48" t="s">
        <v>20452</v>
      </c>
      <c r="C2374" s="48" t="s">
        <v>28764</v>
      </c>
      <c r="D2374" s="51">
        <v>3529.68</v>
      </c>
    </row>
    <row r="2375" spans="1:4" ht="13.5">
      <c r="A2375" s="49">
        <v>102074</v>
      </c>
      <c r="B2375" s="48" t="s">
        <v>20453</v>
      </c>
      <c r="C2375" s="48" t="s">
        <v>28764</v>
      </c>
      <c r="D2375" s="51">
        <v>4418.96</v>
      </c>
    </row>
    <row r="2376" spans="1:4" ht="13.5">
      <c r="A2376" s="49">
        <v>102075</v>
      </c>
      <c r="B2376" s="48" t="s">
        <v>20454</v>
      </c>
      <c r="C2376" s="48" t="s">
        <v>28764</v>
      </c>
      <c r="D2376" s="51">
        <v>4700.74</v>
      </c>
    </row>
    <row r="2377" spans="1:4" ht="13.5">
      <c r="A2377" s="49">
        <v>102076</v>
      </c>
      <c r="B2377" s="48" t="s">
        <v>20455</v>
      </c>
      <c r="C2377" s="48" t="s">
        <v>28764</v>
      </c>
      <c r="D2377" s="51">
        <v>4815.1499999999996</v>
      </c>
    </row>
    <row r="2378" spans="1:4" ht="13.5">
      <c r="A2378" s="49">
        <v>102077</v>
      </c>
      <c r="B2378" s="48" t="s">
        <v>20456</v>
      </c>
      <c r="C2378" s="48" t="s">
        <v>28764</v>
      </c>
      <c r="D2378" s="51">
        <v>5318.06</v>
      </c>
    </row>
    <row r="2379" spans="1:4" ht="13.5">
      <c r="A2379" s="49">
        <v>102078</v>
      </c>
      <c r="B2379" s="48" t="s">
        <v>20457</v>
      </c>
      <c r="C2379" s="48" t="s">
        <v>28764</v>
      </c>
      <c r="D2379" s="51">
        <v>5335.4</v>
      </c>
    </row>
    <row r="2380" spans="1:4" ht="13.5">
      <c r="A2380" s="49">
        <v>102079</v>
      </c>
      <c r="B2380" s="48" t="s">
        <v>20458</v>
      </c>
      <c r="C2380" s="48" t="s">
        <v>28764</v>
      </c>
      <c r="D2380" s="51">
        <v>5192.46</v>
      </c>
    </row>
    <row r="2381" spans="1:4" ht="13.5">
      <c r="A2381" s="49">
        <v>102080</v>
      </c>
      <c r="B2381" s="48" t="s">
        <v>20459</v>
      </c>
      <c r="C2381" s="48" t="s">
        <v>28764</v>
      </c>
      <c r="D2381" s="51">
        <v>4607.8900000000003</v>
      </c>
    </row>
    <row r="2382" spans="1:4" ht="13.5">
      <c r="A2382" s="49">
        <v>102086</v>
      </c>
      <c r="B2382" s="48" t="s">
        <v>20460</v>
      </c>
      <c r="C2382" s="48" t="s">
        <v>26764</v>
      </c>
      <c r="D2382" s="50">
        <v>217.71</v>
      </c>
    </row>
    <row r="2383" spans="1:4" ht="13.5">
      <c r="A2383" s="49">
        <v>102087</v>
      </c>
      <c r="B2383" s="48" t="s">
        <v>20461</v>
      </c>
      <c r="C2383" s="48" t="s">
        <v>26764</v>
      </c>
      <c r="D2383" s="50">
        <v>165.74</v>
      </c>
    </row>
    <row r="2384" spans="1:4" ht="13.5">
      <c r="A2384" s="49">
        <v>102088</v>
      </c>
      <c r="B2384" s="48" t="s">
        <v>20462</v>
      </c>
      <c r="C2384" s="48" t="s">
        <v>26764</v>
      </c>
      <c r="D2384" s="50">
        <v>224.07</v>
      </c>
    </row>
    <row r="2385" spans="1:4" ht="13.5">
      <c r="A2385" s="49">
        <v>102089</v>
      </c>
      <c r="B2385" s="48" t="s">
        <v>20463</v>
      </c>
      <c r="C2385" s="48" t="s">
        <v>26764</v>
      </c>
      <c r="D2385" s="50">
        <v>209.83</v>
      </c>
    </row>
    <row r="2386" spans="1:4" ht="13.5">
      <c r="A2386" s="49">
        <v>102090</v>
      </c>
      <c r="B2386" s="48" t="s">
        <v>20464</v>
      </c>
      <c r="C2386" s="48" t="s">
        <v>26764</v>
      </c>
      <c r="D2386" s="50">
        <v>150.88</v>
      </c>
    </row>
    <row r="2387" spans="1:4" ht="13.5">
      <c r="A2387" s="49">
        <v>102091</v>
      </c>
      <c r="B2387" s="48" t="s">
        <v>20465</v>
      </c>
      <c r="C2387" s="48" t="s">
        <v>26764</v>
      </c>
      <c r="D2387" s="50">
        <v>260.94</v>
      </c>
    </row>
    <row r="2388" spans="1:4" ht="13.5">
      <c r="A2388" s="49">
        <v>89996</v>
      </c>
      <c r="B2388" s="48" t="s">
        <v>26100</v>
      </c>
      <c r="C2388" s="48" t="s">
        <v>8</v>
      </c>
      <c r="D2388" s="50">
        <v>14.5</v>
      </c>
    </row>
    <row r="2389" spans="1:4" ht="13.5">
      <c r="A2389" s="49">
        <v>89997</v>
      </c>
      <c r="B2389" s="48" t="s">
        <v>26101</v>
      </c>
      <c r="C2389" s="48" t="s">
        <v>8</v>
      </c>
      <c r="D2389" s="50">
        <v>12.03</v>
      </c>
    </row>
    <row r="2390" spans="1:4" ht="13.5">
      <c r="A2390" s="49">
        <v>89998</v>
      </c>
      <c r="B2390" s="48" t="s">
        <v>26102</v>
      </c>
      <c r="C2390" s="48" t="s">
        <v>8</v>
      </c>
      <c r="D2390" s="50">
        <v>14.02</v>
      </c>
    </row>
    <row r="2391" spans="1:4" ht="13.5">
      <c r="A2391" s="49">
        <v>89999</v>
      </c>
      <c r="B2391" s="48" t="s">
        <v>26103</v>
      </c>
      <c r="C2391" s="48" t="s">
        <v>8</v>
      </c>
      <c r="D2391" s="50">
        <v>19.71</v>
      </c>
    </row>
    <row r="2392" spans="1:4" ht="13.5">
      <c r="A2392" s="49">
        <v>90000</v>
      </c>
      <c r="B2392" s="48" t="s">
        <v>26104</v>
      </c>
      <c r="C2392" s="48" t="s">
        <v>8</v>
      </c>
      <c r="D2392" s="50">
        <v>16.52</v>
      </c>
    </row>
    <row r="2393" spans="1:4" ht="13.5">
      <c r="A2393" s="49">
        <v>91593</v>
      </c>
      <c r="B2393" s="48" t="s">
        <v>4083</v>
      </c>
      <c r="C2393" s="48" t="s">
        <v>8</v>
      </c>
      <c r="D2393" s="50">
        <v>18.98</v>
      </c>
    </row>
    <row r="2394" spans="1:4" ht="13.5">
      <c r="A2394" s="49">
        <v>91594</v>
      </c>
      <c r="B2394" s="48" t="s">
        <v>4084</v>
      </c>
      <c r="C2394" s="48" t="s">
        <v>8</v>
      </c>
      <c r="D2394" s="50">
        <v>19.36</v>
      </c>
    </row>
    <row r="2395" spans="1:4" ht="13.5">
      <c r="A2395" s="49">
        <v>91595</v>
      </c>
      <c r="B2395" s="48" t="s">
        <v>4086</v>
      </c>
      <c r="C2395" s="48" t="s">
        <v>8</v>
      </c>
      <c r="D2395" s="50">
        <v>19.899999999999999</v>
      </c>
    </row>
    <row r="2396" spans="1:4" ht="13.5">
      <c r="A2396" s="49">
        <v>91596</v>
      </c>
      <c r="B2396" s="48" t="s">
        <v>4087</v>
      </c>
      <c r="C2396" s="48" t="s">
        <v>8</v>
      </c>
      <c r="D2396" s="50">
        <v>19.28</v>
      </c>
    </row>
    <row r="2397" spans="1:4" ht="13.5">
      <c r="A2397" s="49">
        <v>91597</v>
      </c>
      <c r="B2397" s="48" t="s">
        <v>4088</v>
      </c>
      <c r="C2397" s="48" t="s">
        <v>8</v>
      </c>
      <c r="D2397" s="50">
        <v>13.42</v>
      </c>
    </row>
    <row r="2398" spans="1:4" ht="13.5">
      <c r="A2398" s="49">
        <v>91598</v>
      </c>
      <c r="B2398" s="48" t="s">
        <v>4089</v>
      </c>
      <c r="C2398" s="48" t="s">
        <v>8</v>
      </c>
      <c r="D2398" s="50">
        <v>18.690000000000001</v>
      </c>
    </row>
    <row r="2399" spans="1:4" ht="13.5">
      <c r="A2399" s="49">
        <v>91599</v>
      </c>
      <c r="B2399" s="48" t="s">
        <v>4090</v>
      </c>
      <c r="C2399" s="48" t="s">
        <v>8</v>
      </c>
      <c r="D2399" s="50">
        <v>13.85</v>
      </c>
    </row>
    <row r="2400" spans="1:4" ht="13.5">
      <c r="A2400" s="49">
        <v>91600</v>
      </c>
      <c r="B2400" s="48" t="s">
        <v>4091</v>
      </c>
      <c r="C2400" s="48" t="s">
        <v>8</v>
      </c>
      <c r="D2400" s="50">
        <v>21.67</v>
      </c>
    </row>
    <row r="2401" spans="1:4" ht="13.5">
      <c r="A2401" s="49">
        <v>91601</v>
      </c>
      <c r="B2401" s="48" t="s">
        <v>4092</v>
      </c>
      <c r="C2401" s="48" t="s">
        <v>8</v>
      </c>
      <c r="D2401" s="50">
        <v>17.02</v>
      </c>
    </row>
    <row r="2402" spans="1:4" ht="13.5">
      <c r="A2402" s="49">
        <v>91602</v>
      </c>
      <c r="B2402" s="48" t="s">
        <v>4093</v>
      </c>
      <c r="C2402" s="48" t="s">
        <v>8</v>
      </c>
      <c r="D2402" s="50">
        <v>16.13</v>
      </c>
    </row>
    <row r="2403" spans="1:4" ht="13.5">
      <c r="A2403" s="49">
        <v>91603</v>
      </c>
      <c r="B2403" s="48" t="s">
        <v>4094</v>
      </c>
      <c r="C2403" s="48" t="s">
        <v>8</v>
      </c>
      <c r="D2403" s="50">
        <v>15.22</v>
      </c>
    </row>
    <row r="2404" spans="1:4" ht="13.5">
      <c r="A2404" s="49">
        <v>92759</v>
      </c>
      <c r="B2404" s="48" t="s">
        <v>4095</v>
      </c>
      <c r="C2404" s="48" t="s">
        <v>8</v>
      </c>
      <c r="D2404" s="50">
        <v>18.96</v>
      </c>
    </row>
    <row r="2405" spans="1:4" ht="13.5">
      <c r="A2405" s="49">
        <v>92760</v>
      </c>
      <c r="B2405" s="48" t="s">
        <v>4096</v>
      </c>
      <c r="C2405" s="48" t="s">
        <v>8</v>
      </c>
      <c r="D2405" s="50">
        <v>18.54</v>
      </c>
    </row>
    <row r="2406" spans="1:4" ht="13.5">
      <c r="A2406" s="49">
        <v>92761</v>
      </c>
      <c r="B2406" s="48" t="s">
        <v>4097</v>
      </c>
      <c r="C2406" s="48" t="s">
        <v>8</v>
      </c>
      <c r="D2406" s="50">
        <v>17.87</v>
      </c>
    </row>
    <row r="2407" spans="1:4" ht="13.5">
      <c r="A2407" s="49">
        <v>92762</v>
      </c>
      <c r="B2407" s="48" t="s">
        <v>4098</v>
      </c>
      <c r="C2407" s="48" t="s">
        <v>8</v>
      </c>
      <c r="D2407" s="50">
        <v>16.21</v>
      </c>
    </row>
    <row r="2408" spans="1:4" ht="13.5">
      <c r="A2408" s="49">
        <v>92763</v>
      </c>
      <c r="B2408" s="48" t="s">
        <v>4099</v>
      </c>
      <c r="C2408" s="48" t="s">
        <v>8</v>
      </c>
      <c r="D2408" s="50">
        <v>13.81</v>
      </c>
    </row>
    <row r="2409" spans="1:4" ht="13.5">
      <c r="A2409" s="49">
        <v>92764</v>
      </c>
      <c r="B2409" s="48" t="s">
        <v>4100</v>
      </c>
      <c r="C2409" s="48" t="s">
        <v>8</v>
      </c>
      <c r="D2409" s="50">
        <v>13.34</v>
      </c>
    </row>
    <row r="2410" spans="1:4" ht="13.5">
      <c r="A2410" s="49">
        <v>92765</v>
      </c>
      <c r="B2410" s="48" t="s">
        <v>4101</v>
      </c>
      <c r="C2410" s="48" t="s">
        <v>8</v>
      </c>
      <c r="D2410" s="50">
        <v>15.19</v>
      </c>
    </row>
    <row r="2411" spans="1:4" ht="13.5">
      <c r="A2411" s="49">
        <v>92766</v>
      </c>
      <c r="B2411" s="48" t="s">
        <v>4102</v>
      </c>
      <c r="C2411" s="48" t="s">
        <v>8</v>
      </c>
      <c r="D2411" s="50">
        <v>14.94</v>
      </c>
    </row>
    <row r="2412" spans="1:4" ht="13.5">
      <c r="A2412" s="49">
        <v>92767</v>
      </c>
      <c r="B2412" s="48" t="s">
        <v>4103</v>
      </c>
      <c r="C2412" s="48" t="s">
        <v>8</v>
      </c>
      <c r="D2412" s="50">
        <v>19.21</v>
      </c>
    </row>
    <row r="2413" spans="1:4" ht="13.5">
      <c r="A2413" s="49">
        <v>92768</v>
      </c>
      <c r="B2413" s="48" t="s">
        <v>4104</v>
      </c>
      <c r="C2413" s="48" t="s">
        <v>8</v>
      </c>
      <c r="D2413" s="50">
        <v>17.53</v>
      </c>
    </row>
    <row r="2414" spans="1:4" ht="13.5">
      <c r="A2414" s="49">
        <v>92769</v>
      </c>
      <c r="B2414" s="48" t="s">
        <v>4105</v>
      </c>
      <c r="C2414" s="48" t="s">
        <v>8</v>
      </c>
      <c r="D2414" s="50">
        <v>17.45</v>
      </c>
    </row>
    <row r="2415" spans="1:4" ht="13.5">
      <c r="A2415" s="49">
        <v>92770</v>
      </c>
      <c r="B2415" s="48" t="s">
        <v>4106</v>
      </c>
      <c r="C2415" s="48" t="s">
        <v>8</v>
      </c>
      <c r="D2415" s="50">
        <v>17.04</v>
      </c>
    </row>
    <row r="2416" spans="1:4" ht="13.5">
      <c r="A2416" s="49">
        <v>92771</v>
      </c>
      <c r="B2416" s="48" t="s">
        <v>4107</v>
      </c>
      <c r="C2416" s="48" t="s">
        <v>8</v>
      </c>
      <c r="D2416" s="50">
        <v>15.58</v>
      </c>
    </row>
    <row r="2417" spans="1:4" ht="13.5">
      <c r="A2417" s="49">
        <v>92772</v>
      </c>
      <c r="B2417" s="48" t="s">
        <v>4108</v>
      </c>
      <c r="C2417" s="48" t="s">
        <v>8</v>
      </c>
      <c r="D2417" s="50">
        <v>13.31</v>
      </c>
    </row>
    <row r="2418" spans="1:4" ht="13.5">
      <c r="A2418" s="49">
        <v>92773</v>
      </c>
      <c r="B2418" s="48" t="s">
        <v>4109</v>
      </c>
      <c r="C2418" s="48" t="s">
        <v>8</v>
      </c>
      <c r="D2418" s="50">
        <v>12.98</v>
      </c>
    </row>
    <row r="2419" spans="1:4" ht="13.5">
      <c r="A2419" s="49">
        <v>92774</v>
      </c>
      <c r="B2419" s="48" t="s">
        <v>4110</v>
      </c>
      <c r="C2419" s="48" t="s">
        <v>8</v>
      </c>
      <c r="D2419" s="50">
        <v>14.92</v>
      </c>
    </row>
    <row r="2420" spans="1:4" ht="13.5">
      <c r="A2420" s="49">
        <v>92775</v>
      </c>
      <c r="B2420" s="48" t="s">
        <v>4111</v>
      </c>
      <c r="C2420" s="48" t="s">
        <v>8</v>
      </c>
      <c r="D2420" s="50">
        <v>21.8</v>
      </c>
    </row>
    <row r="2421" spans="1:4" ht="13.5">
      <c r="A2421" s="49">
        <v>92776</v>
      </c>
      <c r="B2421" s="48" t="s">
        <v>4112</v>
      </c>
      <c r="C2421" s="48" t="s">
        <v>8</v>
      </c>
      <c r="D2421" s="50">
        <v>20.7</v>
      </c>
    </row>
    <row r="2422" spans="1:4" ht="13.5">
      <c r="A2422" s="49">
        <v>92777</v>
      </c>
      <c r="B2422" s="48" t="s">
        <v>4113</v>
      </c>
      <c r="C2422" s="48" t="s">
        <v>8</v>
      </c>
      <c r="D2422" s="50">
        <v>19.48</v>
      </c>
    </row>
    <row r="2423" spans="1:4" ht="13.5">
      <c r="A2423" s="49">
        <v>92778</v>
      </c>
      <c r="B2423" s="48" t="s">
        <v>4114</v>
      </c>
      <c r="C2423" s="48" t="s">
        <v>8</v>
      </c>
      <c r="D2423" s="50">
        <v>17.420000000000002</v>
      </c>
    </row>
    <row r="2424" spans="1:4" ht="13.5">
      <c r="A2424" s="49">
        <v>92779</v>
      </c>
      <c r="B2424" s="48" t="s">
        <v>4115</v>
      </c>
      <c r="C2424" s="48" t="s">
        <v>8</v>
      </c>
      <c r="D2424" s="50">
        <v>14.7</v>
      </c>
    </row>
    <row r="2425" spans="1:4" ht="13.5">
      <c r="A2425" s="49">
        <v>92780</v>
      </c>
      <c r="B2425" s="48" t="s">
        <v>4116</v>
      </c>
      <c r="C2425" s="48" t="s">
        <v>8</v>
      </c>
      <c r="D2425" s="50">
        <v>13.93</v>
      </c>
    </row>
    <row r="2426" spans="1:4" ht="13.5">
      <c r="A2426" s="49">
        <v>92781</v>
      </c>
      <c r="B2426" s="48" t="s">
        <v>4117</v>
      </c>
      <c r="C2426" s="48" t="s">
        <v>8</v>
      </c>
      <c r="D2426" s="50">
        <v>15.58</v>
      </c>
    </row>
    <row r="2427" spans="1:4" ht="13.5">
      <c r="A2427" s="49">
        <v>92782</v>
      </c>
      <c r="B2427" s="48" t="s">
        <v>4119</v>
      </c>
      <c r="C2427" s="48" t="s">
        <v>8</v>
      </c>
      <c r="D2427" s="50">
        <v>15.16</v>
      </c>
    </row>
    <row r="2428" spans="1:4" ht="13.5">
      <c r="A2428" s="49">
        <v>92783</v>
      </c>
      <c r="B2428" s="48" t="s">
        <v>4120</v>
      </c>
      <c r="C2428" s="48" t="s">
        <v>8</v>
      </c>
      <c r="D2428" s="50">
        <v>21.6</v>
      </c>
    </row>
    <row r="2429" spans="1:4" ht="13.5">
      <c r="A2429" s="49">
        <v>92784</v>
      </c>
      <c r="B2429" s="48" t="s">
        <v>4121</v>
      </c>
      <c r="C2429" s="48" t="s">
        <v>8</v>
      </c>
      <c r="D2429" s="50">
        <v>19.489999999999998</v>
      </c>
    </row>
    <row r="2430" spans="1:4" ht="13.5">
      <c r="A2430" s="49">
        <v>92785</v>
      </c>
      <c r="B2430" s="48" t="s">
        <v>4122</v>
      </c>
      <c r="C2430" s="48" t="s">
        <v>8</v>
      </c>
      <c r="D2430" s="50">
        <v>18.93</v>
      </c>
    </row>
    <row r="2431" spans="1:4" ht="13.5">
      <c r="A2431" s="49">
        <v>92786</v>
      </c>
      <c r="B2431" s="48" t="s">
        <v>4123</v>
      </c>
      <c r="C2431" s="48" t="s">
        <v>8</v>
      </c>
      <c r="D2431" s="50">
        <v>18.12</v>
      </c>
    </row>
    <row r="2432" spans="1:4" ht="13.5">
      <c r="A2432" s="49">
        <v>92787</v>
      </c>
      <c r="B2432" s="48" t="s">
        <v>4124</v>
      </c>
      <c r="C2432" s="48" t="s">
        <v>8</v>
      </c>
      <c r="D2432" s="50">
        <v>16.36</v>
      </c>
    </row>
    <row r="2433" spans="1:4" ht="13.5">
      <c r="A2433" s="49">
        <v>92788</v>
      </c>
      <c r="B2433" s="48" t="s">
        <v>4126</v>
      </c>
      <c r="C2433" s="48" t="s">
        <v>8</v>
      </c>
      <c r="D2433" s="50">
        <v>13.88</v>
      </c>
    </row>
    <row r="2434" spans="1:4" ht="13.5">
      <c r="A2434" s="49">
        <v>92789</v>
      </c>
      <c r="B2434" s="48" t="s">
        <v>4127</v>
      </c>
      <c r="C2434" s="48" t="s">
        <v>8</v>
      </c>
      <c r="D2434" s="50">
        <v>13.34</v>
      </c>
    </row>
    <row r="2435" spans="1:4" ht="13.5">
      <c r="A2435" s="49">
        <v>92790</v>
      </c>
      <c r="B2435" s="48" t="s">
        <v>4128</v>
      </c>
      <c r="C2435" s="48" t="s">
        <v>8</v>
      </c>
      <c r="D2435" s="50">
        <v>15.14</v>
      </c>
    </row>
    <row r="2436" spans="1:4" ht="13.5">
      <c r="A2436" s="49">
        <v>92791</v>
      </c>
      <c r="B2436" s="48" t="s">
        <v>4129</v>
      </c>
      <c r="C2436" s="48" t="s">
        <v>8</v>
      </c>
      <c r="D2436" s="50">
        <v>14.44</v>
      </c>
    </row>
    <row r="2437" spans="1:4" ht="13.5">
      <c r="A2437" s="49">
        <v>92792</v>
      </c>
      <c r="B2437" s="48" t="s">
        <v>4130</v>
      </c>
      <c r="C2437" s="48" t="s">
        <v>8</v>
      </c>
      <c r="D2437" s="50">
        <v>14.89</v>
      </c>
    </row>
    <row r="2438" spans="1:4" ht="13.5">
      <c r="A2438" s="49">
        <v>92793</v>
      </c>
      <c r="B2438" s="48" t="s">
        <v>4131</v>
      </c>
      <c r="C2438" s="48" t="s">
        <v>8</v>
      </c>
      <c r="D2438" s="50">
        <v>14.95</v>
      </c>
    </row>
    <row r="2439" spans="1:4" ht="13.5">
      <c r="A2439" s="49">
        <v>92794</v>
      </c>
      <c r="B2439" s="48" t="s">
        <v>4132</v>
      </c>
      <c r="C2439" s="48" t="s">
        <v>8</v>
      </c>
      <c r="D2439" s="50">
        <v>13.84</v>
      </c>
    </row>
    <row r="2440" spans="1:4" ht="13.5">
      <c r="A2440" s="49">
        <v>92795</v>
      </c>
      <c r="B2440" s="48" t="s">
        <v>4133</v>
      </c>
      <c r="C2440" s="48" t="s">
        <v>8</v>
      </c>
      <c r="D2440" s="50">
        <v>11.87</v>
      </c>
    </row>
    <row r="2441" spans="1:4" ht="13.5">
      <c r="A2441" s="49">
        <v>92796</v>
      </c>
      <c r="B2441" s="48" t="s">
        <v>4134</v>
      </c>
      <c r="C2441" s="48" t="s">
        <v>8</v>
      </c>
      <c r="D2441" s="50">
        <v>11.78</v>
      </c>
    </row>
    <row r="2442" spans="1:4" ht="13.5">
      <c r="A2442" s="49">
        <v>92797</v>
      </c>
      <c r="B2442" s="48" t="s">
        <v>4135</v>
      </c>
      <c r="C2442" s="48" t="s">
        <v>8</v>
      </c>
      <c r="D2442" s="50">
        <v>13.9</v>
      </c>
    </row>
    <row r="2443" spans="1:4" ht="13.5">
      <c r="A2443" s="49">
        <v>92798</v>
      </c>
      <c r="B2443" s="48" t="s">
        <v>4136</v>
      </c>
      <c r="C2443" s="48" t="s">
        <v>8</v>
      </c>
      <c r="D2443" s="50">
        <v>13.87</v>
      </c>
    </row>
    <row r="2444" spans="1:4" ht="13.5">
      <c r="A2444" s="49">
        <v>92799</v>
      </c>
      <c r="B2444" s="48" t="s">
        <v>4137</v>
      </c>
      <c r="C2444" s="48" t="s">
        <v>8</v>
      </c>
      <c r="D2444" s="50">
        <v>14.9</v>
      </c>
    </row>
    <row r="2445" spans="1:4" ht="13.5">
      <c r="A2445" s="49">
        <v>92800</v>
      </c>
      <c r="B2445" s="48" t="s">
        <v>4138</v>
      </c>
      <c r="C2445" s="48" t="s">
        <v>8</v>
      </c>
      <c r="D2445" s="50">
        <v>13.91</v>
      </c>
    </row>
    <row r="2446" spans="1:4" ht="13.5">
      <c r="A2446" s="49">
        <v>92801</v>
      </c>
      <c r="B2446" s="48" t="s">
        <v>4139</v>
      </c>
      <c r="C2446" s="48" t="s">
        <v>8</v>
      </c>
      <c r="D2446" s="50">
        <v>14.58</v>
      </c>
    </row>
    <row r="2447" spans="1:4" ht="13.5">
      <c r="A2447" s="49">
        <v>92802</v>
      </c>
      <c r="B2447" s="48" t="s">
        <v>4140</v>
      </c>
      <c r="C2447" s="48" t="s">
        <v>8</v>
      </c>
      <c r="D2447" s="50">
        <v>14.77</v>
      </c>
    </row>
    <row r="2448" spans="1:4" ht="13.5">
      <c r="A2448" s="49">
        <v>92803</v>
      </c>
      <c r="B2448" s="48" t="s">
        <v>4141</v>
      </c>
      <c r="C2448" s="48" t="s">
        <v>8</v>
      </c>
      <c r="D2448" s="50">
        <v>13.74</v>
      </c>
    </row>
    <row r="2449" spans="1:4" ht="13.5">
      <c r="A2449" s="49">
        <v>92804</v>
      </c>
      <c r="B2449" s="48" t="s">
        <v>4142</v>
      </c>
      <c r="C2449" s="48" t="s">
        <v>8</v>
      </c>
      <c r="D2449" s="50">
        <v>11.82</v>
      </c>
    </row>
    <row r="2450" spans="1:4" ht="13.5">
      <c r="A2450" s="49">
        <v>92805</v>
      </c>
      <c r="B2450" s="48" t="s">
        <v>4143</v>
      </c>
      <c r="C2450" s="48" t="s">
        <v>8</v>
      </c>
      <c r="D2450" s="50">
        <v>11.75</v>
      </c>
    </row>
    <row r="2451" spans="1:4" ht="13.5">
      <c r="A2451" s="49">
        <v>92806</v>
      </c>
      <c r="B2451" s="48" t="s">
        <v>4144</v>
      </c>
      <c r="C2451" s="48" t="s">
        <v>8</v>
      </c>
      <c r="D2451" s="50">
        <v>13.88</v>
      </c>
    </row>
    <row r="2452" spans="1:4" ht="13.5">
      <c r="A2452" s="49">
        <v>92875</v>
      </c>
      <c r="B2452" s="48" t="s">
        <v>4145</v>
      </c>
      <c r="C2452" s="48" t="s">
        <v>8</v>
      </c>
      <c r="D2452" s="50">
        <v>13.65</v>
      </c>
    </row>
    <row r="2453" spans="1:4" ht="13.5">
      <c r="A2453" s="49">
        <v>92876</v>
      </c>
      <c r="B2453" s="48" t="s">
        <v>4146</v>
      </c>
      <c r="C2453" s="48" t="s">
        <v>8</v>
      </c>
      <c r="D2453" s="50">
        <v>13.58</v>
      </c>
    </row>
    <row r="2454" spans="1:4" ht="13.5">
      <c r="A2454" s="49">
        <v>92877</v>
      </c>
      <c r="B2454" s="48" t="s">
        <v>4147</v>
      </c>
      <c r="C2454" s="48" t="s">
        <v>8</v>
      </c>
      <c r="D2454" s="50">
        <v>14.84</v>
      </c>
    </row>
    <row r="2455" spans="1:4" ht="13.5">
      <c r="A2455" s="49">
        <v>92878</v>
      </c>
      <c r="B2455" s="48" t="s">
        <v>4148</v>
      </c>
      <c r="C2455" s="48" t="s">
        <v>8</v>
      </c>
      <c r="D2455" s="50">
        <v>14.68</v>
      </c>
    </row>
    <row r="2456" spans="1:4" ht="13.5">
      <c r="A2456" s="49">
        <v>92879</v>
      </c>
      <c r="B2456" s="48" t="s">
        <v>4149</v>
      </c>
      <c r="C2456" s="48" t="s">
        <v>8</v>
      </c>
      <c r="D2456" s="50">
        <v>14.59</v>
      </c>
    </row>
    <row r="2457" spans="1:4" ht="13.5">
      <c r="A2457" s="49">
        <v>92880</v>
      </c>
      <c r="B2457" s="48" t="s">
        <v>4150</v>
      </c>
      <c r="C2457" s="48" t="s">
        <v>8</v>
      </c>
      <c r="D2457" s="50">
        <v>14.94</v>
      </c>
    </row>
    <row r="2458" spans="1:4" ht="13.5">
      <c r="A2458" s="49">
        <v>92881</v>
      </c>
      <c r="B2458" s="48" t="s">
        <v>4151</v>
      </c>
      <c r="C2458" s="48" t="s">
        <v>8</v>
      </c>
      <c r="D2458" s="50">
        <v>14.91</v>
      </c>
    </row>
    <row r="2459" spans="1:4" ht="13.5">
      <c r="A2459" s="49">
        <v>92882</v>
      </c>
      <c r="B2459" s="48" t="s">
        <v>4152</v>
      </c>
      <c r="C2459" s="48" t="s">
        <v>8</v>
      </c>
      <c r="D2459" s="50">
        <v>17.3</v>
      </c>
    </row>
    <row r="2460" spans="1:4" ht="13.5">
      <c r="A2460" s="49">
        <v>92883</v>
      </c>
      <c r="B2460" s="48" t="s">
        <v>4153</v>
      </c>
      <c r="C2460" s="48" t="s">
        <v>8</v>
      </c>
      <c r="D2460" s="50">
        <v>16.5</v>
      </c>
    </row>
    <row r="2461" spans="1:4" ht="13.5">
      <c r="A2461" s="49">
        <v>92884</v>
      </c>
      <c r="B2461" s="48" t="s">
        <v>4154</v>
      </c>
      <c r="C2461" s="48" t="s">
        <v>8</v>
      </c>
      <c r="D2461" s="50">
        <v>17.21</v>
      </c>
    </row>
    <row r="2462" spans="1:4" ht="13.5">
      <c r="A2462" s="49">
        <v>92885</v>
      </c>
      <c r="B2462" s="48" t="s">
        <v>4155</v>
      </c>
      <c r="C2462" s="48" t="s">
        <v>8</v>
      </c>
      <c r="D2462" s="50">
        <v>16.62</v>
      </c>
    </row>
    <row r="2463" spans="1:4" ht="13.5">
      <c r="A2463" s="49">
        <v>92886</v>
      </c>
      <c r="B2463" s="48" t="s">
        <v>4156</v>
      </c>
      <c r="C2463" s="48" t="s">
        <v>8</v>
      </c>
      <c r="D2463" s="50">
        <v>16.149999999999999</v>
      </c>
    </row>
    <row r="2464" spans="1:4" ht="13.5">
      <c r="A2464" s="49">
        <v>92887</v>
      </c>
      <c r="B2464" s="48" t="s">
        <v>4157</v>
      </c>
      <c r="C2464" s="48" t="s">
        <v>8</v>
      </c>
      <c r="D2464" s="50">
        <v>16.23</v>
      </c>
    </row>
    <row r="2465" spans="1:4" ht="13.5">
      <c r="A2465" s="49">
        <v>92888</v>
      </c>
      <c r="B2465" s="48" t="s">
        <v>4158</v>
      </c>
      <c r="C2465" s="48" t="s">
        <v>8</v>
      </c>
      <c r="D2465" s="50">
        <v>15.98</v>
      </c>
    </row>
    <row r="2466" spans="1:4" ht="13.5">
      <c r="A2466" s="49">
        <v>92915</v>
      </c>
      <c r="B2466" s="48" t="s">
        <v>4159</v>
      </c>
      <c r="C2466" s="48" t="s">
        <v>8</v>
      </c>
      <c r="D2466" s="50">
        <v>20.38</v>
      </c>
    </row>
    <row r="2467" spans="1:4" ht="13.5">
      <c r="A2467" s="49">
        <v>92916</v>
      </c>
      <c r="B2467" s="48" t="s">
        <v>4160</v>
      </c>
      <c r="C2467" s="48" t="s">
        <v>8</v>
      </c>
      <c r="D2467" s="50">
        <v>19.62</v>
      </c>
    </row>
    <row r="2468" spans="1:4" ht="13.5">
      <c r="A2468" s="49">
        <v>92917</v>
      </c>
      <c r="B2468" s="48" t="s">
        <v>4161</v>
      </c>
      <c r="C2468" s="48" t="s">
        <v>8</v>
      </c>
      <c r="D2468" s="50">
        <v>18.68</v>
      </c>
    </row>
    <row r="2469" spans="1:4" ht="13.5">
      <c r="A2469" s="49">
        <v>92919</v>
      </c>
      <c r="B2469" s="48" t="s">
        <v>4163</v>
      </c>
      <c r="C2469" s="48" t="s">
        <v>8</v>
      </c>
      <c r="D2469" s="50">
        <v>16.82</v>
      </c>
    </row>
    <row r="2470" spans="1:4" ht="13.5">
      <c r="A2470" s="49">
        <v>92921</v>
      </c>
      <c r="B2470" s="48" t="s">
        <v>4164</v>
      </c>
      <c r="C2470" s="48" t="s">
        <v>8</v>
      </c>
      <c r="D2470" s="50">
        <v>14.26</v>
      </c>
    </row>
    <row r="2471" spans="1:4" ht="13.5">
      <c r="A2471" s="49">
        <v>92922</v>
      </c>
      <c r="B2471" s="48" t="s">
        <v>4165</v>
      </c>
      <c r="C2471" s="48" t="s">
        <v>8</v>
      </c>
      <c r="D2471" s="50">
        <v>13.64</v>
      </c>
    </row>
    <row r="2472" spans="1:4" ht="13.5">
      <c r="A2472" s="49">
        <v>92923</v>
      </c>
      <c r="B2472" s="48" t="s">
        <v>4166</v>
      </c>
      <c r="C2472" s="48" t="s">
        <v>8</v>
      </c>
      <c r="D2472" s="50">
        <v>15.38</v>
      </c>
    </row>
    <row r="2473" spans="1:4" ht="13.5">
      <c r="A2473" s="49">
        <v>92924</v>
      </c>
      <c r="B2473" s="48" t="s">
        <v>4167</v>
      </c>
      <c r="C2473" s="48" t="s">
        <v>8</v>
      </c>
      <c r="D2473" s="50">
        <v>15.05</v>
      </c>
    </row>
    <row r="2474" spans="1:4" ht="13.5">
      <c r="A2474" s="49">
        <v>95445</v>
      </c>
      <c r="B2474" s="48" t="s">
        <v>26105</v>
      </c>
      <c r="C2474" s="48" t="s">
        <v>8</v>
      </c>
      <c r="D2474" s="50">
        <v>12.94</v>
      </c>
    </row>
    <row r="2475" spans="1:4" ht="13.5">
      <c r="A2475" s="49">
        <v>95446</v>
      </c>
      <c r="B2475" s="48" t="s">
        <v>26106</v>
      </c>
      <c r="C2475" s="48" t="s">
        <v>8</v>
      </c>
      <c r="D2475" s="50">
        <v>14.07</v>
      </c>
    </row>
    <row r="2476" spans="1:4" ht="13.5">
      <c r="A2476" s="49">
        <v>95448</v>
      </c>
      <c r="B2476" s="48" t="s">
        <v>19693</v>
      </c>
      <c r="C2476" s="48" t="s">
        <v>8</v>
      </c>
      <c r="D2476" s="50">
        <v>15.25</v>
      </c>
    </row>
    <row r="2477" spans="1:4" ht="13.5">
      <c r="A2477" s="49">
        <v>95576</v>
      </c>
      <c r="B2477" s="48" t="s">
        <v>26107</v>
      </c>
      <c r="C2477" s="48" t="s">
        <v>8</v>
      </c>
      <c r="D2477" s="50">
        <v>17.440000000000001</v>
      </c>
    </row>
    <row r="2478" spans="1:4" ht="13.5">
      <c r="A2478" s="49">
        <v>95577</v>
      </c>
      <c r="B2478" s="48" t="s">
        <v>26108</v>
      </c>
      <c r="C2478" s="48" t="s">
        <v>8</v>
      </c>
      <c r="D2478" s="50">
        <v>15.34</v>
      </c>
    </row>
    <row r="2479" spans="1:4" ht="13.5">
      <c r="A2479" s="49">
        <v>95578</v>
      </c>
      <c r="B2479" s="48" t="s">
        <v>26109</v>
      </c>
      <c r="C2479" s="48" t="s">
        <v>8</v>
      </c>
      <c r="D2479" s="50">
        <v>12.97</v>
      </c>
    </row>
    <row r="2480" spans="1:4" ht="13.5">
      <c r="A2480" s="49">
        <v>95579</v>
      </c>
      <c r="B2480" s="48" t="s">
        <v>26110</v>
      </c>
      <c r="C2480" s="48" t="s">
        <v>8</v>
      </c>
      <c r="D2480" s="50">
        <v>12.71</v>
      </c>
    </row>
    <row r="2481" spans="1:4" ht="13.5">
      <c r="A2481" s="49">
        <v>95580</v>
      </c>
      <c r="B2481" s="48" t="s">
        <v>26111</v>
      </c>
      <c r="C2481" s="48" t="s">
        <v>8</v>
      </c>
      <c r="D2481" s="50">
        <v>14.77</v>
      </c>
    </row>
    <row r="2482" spans="1:4" ht="13.5">
      <c r="A2482" s="49">
        <v>95581</v>
      </c>
      <c r="B2482" s="48" t="s">
        <v>26112</v>
      </c>
      <c r="C2482" s="48" t="s">
        <v>8</v>
      </c>
      <c r="D2482" s="50">
        <v>14.71</v>
      </c>
    </row>
    <row r="2483" spans="1:4" ht="13.5">
      <c r="A2483" s="49">
        <v>95582</v>
      </c>
      <c r="B2483" s="48" t="s">
        <v>26113</v>
      </c>
      <c r="C2483" s="48" t="s">
        <v>8</v>
      </c>
      <c r="D2483" s="50">
        <v>16.079999999999998</v>
      </c>
    </row>
    <row r="2484" spans="1:4" ht="13.5">
      <c r="A2484" s="49">
        <v>95583</v>
      </c>
      <c r="B2484" s="48" t="s">
        <v>26114</v>
      </c>
      <c r="C2484" s="48" t="s">
        <v>8</v>
      </c>
      <c r="D2484" s="50">
        <v>18.350000000000001</v>
      </c>
    </row>
    <row r="2485" spans="1:4" ht="13.5">
      <c r="A2485" s="49">
        <v>95584</v>
      </c>
      <c r="B2485" s="48" t="s">
        <v>26115</v>
      </c>
      <c r="C2485" s="48" t="s">
        <v>8</v>
      </c>
      <c r="D2485" s="50">
        <v>17.71</v>
      </c>
    </row>
    <row r="2486" spans="1:4" ht="13.5">
      <c r="A2486" s="49">
        <v>95592</v>
      </c>
      <c r="B2486" s="48" t="s">
        <v>26116</v>
      </c>
      <c r="C2486" s="48" t="s">
        <v>8</v>
      </c>
      <c r="D2486" s="50">
        <v>19.850000000000001</v>
      </c>
    </row>
    <row r="2487" spans="1:4" ht="13.5">
      <c r="A2487" s="49">
        <v>95593</v>
      </c>
      <c r="B2487" s="48" t="s">
        <v>26117</v>
      </c>
      <c r="C2487" s="48" t="s">
        <v>8</v>
      </c>
      <c r="D2487" s="50">
        <v>18.53</v>
      </c>
    </row>
    <row r="2488" spans="1:4" ht="13.5">
      <c r="A2488" s="49">
        <v>95943</v>
      </c>
      <c r="B2488" s="48" t="s">
        <v>20466</v>
      </c>
      <c r="C2488" s="48" t="s">
        <v>8</v>
      </c>
      <c r="D2488" s="50">
        <v>25.2</v>
      </c>
    </row>
    <row r="2489" spans="1:4" ht="13.5">
      <c r="A2489" s="49">
        <v>95944</v>
      </c>
      <c r="B2489" s="48" t="s">
        <v>20467</v>
      </c>
      <c r="C2489" s="48" t="s">
        <v>8</v>
      </c>
      <c r="D2489" s="50">
        <v>23.89</v>
      </c>
    </row>
    <row r="2490" spans="1:4" ht="13.5">
      <c r="A2490" s="49">
        <v>95945</v>
      </c>
      <c r="B2490" s="48" t="s">
        <v>20468</v>
      </c>
      <c r="C2490" s="48" t="s">
        <v>8</v>
      </c>
      <c r="D2490" s="50">
        <v>20.61</v>
      </c>
    </row>
    <row r="2491" spans="1:4" ht="13.5">
      <c r="A2491" s="49">
        <v>95946</v>
      </c>
      <c r="B2491" s="48" t="s">
        <v>20469</v>
      </c>
      <c r="C2491" s="48" t="s">
        <v>8</v>
      </c>
      <c r="D2491" s="50">
        <v>17.25</v>
      </c>
    </row>
    <row r="2492" spans="1:4" ht="13.5">
      <c r="A2492" s="49">
        <v>95947</v>
      </c>
      <c r="B2492" s="48" t="s">
        <v>20470</v>
      </c>
      <c r="C2492" s="48" t="s">
        <v>8</v>
      </c>
      <c r="D2492" s="50">
        <v>13.84</v>
      </c>
    </row>
    <row r="2493" spans="1:4" ht="13.5">
      <c r="A2493" s="49">
        <v>95948</v>
      </c>
      <c r="B2493" s="48" t="s">
        <v>20471</v>
      </c>
      <c r="C2493" s="48" t="s">
        <v>8</v>
      </c>
      <c r="D2493" s="50">
        <v>12.75</v>
      </c>
    </row>
    <row r="2494" spans="1:4" ht="13.5">
      <c r="A2494" s="49">
        <v>96544</v>
      </c>
      <c r="B2494" s="48" t="s">
        <v>4168</v>
      </c>
      <c r="C2494" s="48" t="s">
        <v>8</v>
      </c>
      <c r="D2494" s="50">
        <v>20.65</v>
      </c>
    </row>
    <row r="2495" spans="1:4" ht="13.5">
      <c r="A2495" s="49">
        <v>96545</v>
      </c>
      <c r="B2495" s="48" t="s">
        <v>4169</v>
      </c>
      <c r="C2495" s="48" t="s">
        <v>8</v>
      </c>
      <c r="D2495" s="50">
        <v>19.489999999999998</v>
      </c>
    </row>
    <row r="2496" spans="1:4" ht="13.5">
      <c r="A2496" s="49">
        <v>96546</v>
      </c>
      <c r="B2496" s="48" t="s">
        <v>4170</v>
      </c>
      <c r="C2496" s="48" t="s">
        <v>8</v>
      </c>
      <c r="D2496" s="50">
        <v>17.510000000000002</v>
      </c>
    </row>
    <row r="2497" spans="1:4" ht="13.5">
      <c r="A2497" s="49">
        <v>96547</v>
      </c>
      <c r="B2497" s="48" t="s">
        <v>4171</v>
      </c>
      <c r="C2497" s="48" t="s">
        <v>8</v>
      </c>
      <c r="D2497" s="50">
        <v>14.84</v>
      </c>
    </row>
    <row r="2498" spans="1:4" ht="13.5">
      <c r="A2498" s="49">
        <v>96548</v>
      </c>
      <c r="B2498" s="48" t="s">
        <v>4172</v>
      </c>
      <c r="C2498" s="48" t="s">
        <v>8</v>
      </c>
      <c r="D2498" s="50">
        <v>14.15</v>
      </c>
    </row>
    <row r="2499" spans="1:4" ht="13.5">
      <c r="A2499" s="49">
        <v>96549</v>
      </c>
      <c r="B2499" s="48" t="s">
        <v>4173</v>
      </c>
      <c r="C2499" s="48" t="s">
        <v>8</v>
      </c>
      <c r="D2499" s="50">
        <v>15.85</v>
      </c>
    </row>
    <row r="2500" spans="1:4" ht="13.5">
      <c r="A2500" s="49">
        <v>96550</v>
      </c>
      <c r="B2500" s="48" t="s">
        <v>4174</v>
      </c>
      <c r="C2500" s="48" t="s">
        <v>8</v>
      </c>
      <c r="D2500" s="50">
        <v>15.48</v>
      </c>
    </row>
    <row r="2501" spans="1:4" ht="13.5">
      <c r="A2501" s="49">
        <v>100064</v>
      </c>
      <c r="B2501" s="48" t="s">
        <v>20472</v>
      </c>
      <c r="C2501" s="48" t="s">
        <v>8</v>
      </c>
      <c r="D2501" s="50">
        <v>19.239999999999998</v>
      </c>
    </row>
    <row r="2502" spans="1:4" ht="13.5">
      <c r="A2502" s="49">
        <v>100066</v>
      </c>
      <c r="B2502" s="48" t="s">
        <v>4175</v>
      </c>
      <c r="C2502" s="48" t="s">
        <v>8</v>
      </c>
      <c r="D2502" s="50">
        <v>19.29</v>
      </c>
    </row>
    <row r="2503" spans="1:4" ht="13.5">
      <c r="A2503" s="49">
        <v>100067</v>
      </c>
      <c r="B2503" s="48" t="s">
        <v>4176</v>
      </c>
      <c r="C2503" s="48" t="s">
        <v>8</v>
      </c>
      <c r="D2503" s="50">
        <v>16.149999999999999</v>
      </c>
    </row>
    <row r="2504" spans="1:4" ht="13.5">
      <c r="A2504" s="49">
        <v>100068</v>
      </c>
      <c r="B2504" s="48" t="s">
        <v>4177</v>
      </c>
      <c r="C2504" s="48" t="s">
        <v>8</v>
      </c>
      <c r="D2504" s="50">
        <v>13.1</v>
      </c>
    </row>
    <row r="2505" spans="1:4" ht="13.5">
      <c r="A2505" s="49">
        <v>102920</v>
      </c>
      <c r="B2505" s="48" t="s">
        <v>26118</v>
      </c>
      <c r="C2505" s="48" t="s">
        <v>8</v>
      </c>
      <c r="D2505" s="50">
        <v>11.72</v>
      </c>
    </row>
    <row r="2506" spans="1:4" ht="13.5">
      <c r="A2506" s="49">
        <v>102921</v>
      </c>
      <c r="B2506" s="48" t="s">
        <v>26119</v>
      </c>
      <c r="C2506" s="48" t="s">
        <v>8</v>
      </c>
      <c r="D2506" s="50">
        <v>11.45</v>
      </c>
    </row>
    <row r="2507" spans="1:4" ht="13.5">
      <c r="A2507" s="49">
        <v>102922</v>
      </c>
      <c r="B2507" s="48" t="s">
        <v>26120</v>
      </c>
      <c r="C2507" s="48" t="s">
        <v>8</v>
      </c>
      <c r="D2507" s="50">
        <v>12.24</v>
      </c>
    </row>
    <row r="2508" spans="1:4" ht="13.5">
      <c r="A2508" s="49">
        <v>102923</v>
      </c>
      <c r="B2508" s="48" t="s">
        <v>26121</v>
      </c>
      <c r="C2508" s="48" t="s">
        <v>8</v>
      </c>
      <c r="D2508" s="50">
        <v>11.25</v>
      </c>
    </row>
    <row r="2509" spans="1:4" ht="13.5">
      <c r="A2509" s="49">
        <v>103088</v>
      </c>
      <c r="B2509" s="48" t="s">
        <v>26122</v>
      </c>
      <c r="C2509" s="48" t="s">
        <v>8</v>
      </c>
      <c r="D2509" s="50">
        <v>13.33</v>
      </c>
    </row>
    <row r="2510" spans="1:4" ht="13.5">
      <c r="A2510" s="49">
        <v>89993</v>
      </c>
      <c r="B2510" s="48" t="s">
        <v>26123</v>
      </c>
      <c r="C2510" s="48" t="s">
        <v>28764</v>
      </c>
      <c r="D2510" s="50">
        <v>838.79</v>
      </c>
    </row>
    <row r="2511" spans="1:4" ht="13.5">
      <c r="A2511" s="49">
        <v>89994</v>
      </c>
      <c r="B2511" s="48" t="s">
        <v>26124</v>
      </c>
      <c r="C2511" s="48" t="s">
        <v>28764</v>
      </c>
      <c r="D2511" s="50">
        <v>710.01</v>
      </c>
    </row>
    <row r="2512" spans="1:4" ht="13.5">
      <c r="A2512" s="49">
        <v>89995</v>
      </c>
      <c r="B2512" s="48" t="s">
        <v>26125</v>
      </c>
      <c r="C2512" s="48" t="s">
        <v>28764</v>
      </c>
      <c r="D2512" s="50">
        <v>805.86</v>
      </c>
    </row>
    <row r="2513" spans="1:4" ht="13.5">
      <c r="A2513" s="49">
        <v>90278</v>
      </c>
      <c r="B2513" s="48" t="s">
        <v>26126</v>
      </c>
      <c r="C2513" s="48" t="s">
        <v>28764</v>
      </c>
      <c r="D2513" s="50">
        <v>399.49</v>
      </c>
    </row>
    <row r="2514" spans="1:4" ht="13.5">
      <c r="A2514" s="49">
        <v>90279</v>
      </c>
      <c r="B2514" s="48" t="s">
        <v>26127</v>
      </c>
      <c r="C2514" s="48" t="s">
        <v>28764</v>
      </c>
      <c r="D2514" s="50">
        <v>439.84</v>
      </c>
    </row>
    <row r="2515" spans="1:4" ht="13.5">
      <c r="A2515" s="49">
        <v>90280</v>
      </c>
      <c r="B2515" s="48" t="s">
        <v>26128</v>
      </c>
      <c r="C2515" s="48" t="s">
        <v>28764</v>
      </c>
      <c r="D2515" s="50">
        <v>483.62</v>
      </c>
    </row>
    <row r="2516" spans="1:4" ht="13.5">
      <c r="A2516" s="49">
        <v>90281</v>
      </c>
      <c r="B2516" s="48" t="s">
        <v>26129</v>
      </c>
      <c r="C2516" s="48" t="s">
        <v>28764</v>
      </c>
      <c r="D2516" s="50">
        <v>557.36</v>
      </c>
    </row>
    <row r="2517" spans="1:4" ht="13.5">
      <c r="A2517" s="49">
        <v>90282</v>
      </c>
      <c r="B2517" s="48" t="s">
        <v>26130</v>
      </c>
      <c r="C2517" s="48" t="s">
        <v>28764</v>
      </c>
      <c r="D2517" s="50">
        <v>389.59</v>
      </c>
    </row>
    <row r="2518" spans="1:4" ht="13.5">
      <c r="A2518" s="49">
        <v>90283</v>
      </c>
      <c r="B2518" s="48" t="s">
        <v>26131</v>
      </c>
      <c r="C2518" s="48" t="s">
        <v>28764</v>
      </c>
      <c r="D2518" s="50">
        <v>429.92</v>
      </c>
    </row>
    <row r="2519" spans="1:4" ht="13.5">
      <c r="A2519" s="49">
        <v>90284</v>
      </c>
      <c r="B2519" s="48" t="s">
        <v>26132</v>
      </c>
      <c r="C2519" s="48" t="s">
        <v>28764</v>
      </c>
      <c r="D2519" s="50">
        <v>477.41</v>
      </c>
    </row>
    <row r="2520" spans="1:4" ht="13.5">
      <c r="A2520" s="49">
        <v>90285</v>
      </c>
      <c r="B2520" s="48" t="s">
        <v>26133</v>
      </c>
      <c r="C2520" s="48" t="s">
        <v>28764</v>
      </c>
      <c r="D2520" s="50">
        <v>556.14</v>
      </c>
    </row>
    <row r="2521" spans="1:4" ht="13.5">
      <c r="A2521" s="49">
        <v>92718</v>
      </c>
      <c r="B2521" s="48" t="s">
        <v>4178</v>
      </c>
      <c r="C2521" s="48" t="s">
        <v>28764</v>
      </c>
      <c r="D2521" s="50">
        <v>575.78</v>
      </c>
    </row>
    <row r="2522" spans="1:4" ht="13.5">
      <c r="A2522" s="49">
        <v>92719</v>
      </c>
      <c r="B2522" s="48" t="s">
        <v>4179</v>
      </c>
      <c r="C2522" s="48" t="s">
        <v>28764</v>
      </c>
      <c r="D2522" s="50">
        <v>418.28</v>
      </c>
    </row>
    <row r="2523" spans="1:4" ht="13.5">
      <c r="A2523" s="49">
        <v>92720</v>
      </c>
      <c r="B2523" s="48" t="s">
        <v>4180</v>
      </c>
      <c r="C2523" s="48" t="s">
        <v>28764</v>
      </c>
      <c r="D2523" s="50">
        <v>444.54</v>
      </c>
    </row>
    <row r="2524" spans="1:4" ht="13.5">
      <c r="A2524" s="49">
        <v>92721</v>
      </c>
      <c r="B2524" s="48" t="s">
        <v>4181</v>
      </c>
      <c r="C2524" s="48" t="s">
        <v>28764</v>
      </c>
      <c r="D2524" s="50">
        <v>408.65</v>
      </c>
    </row>
    <row r="2525" spans="1:4" ht="13.5">
      <c r="A2525" s="49">
        <v>92722</v>
      </c>
      <c r="B2525" s="48" t="s">
        <v>4182</v>
      </c>
      <c r="C2525" s="48" t="s">
        <v>28764</v>
      </c>
      <c r="D2525" s="50">
        <v>440.61</v>
      </c>
    </row>
    <row r="2526" spans="1:4" ht="13.5">
      <c r="A2526" s="49">
        <v>92723</v>
      </c>
      <c r="B2526" s="48" t="s">
        <v>4183</v>
      </c>
      <c r="C2526" s="48" t="s">
        <v>28764</v>
      </c>
      <c r="D2526" s="50">
        <v>433.45</v>
      </c>
    </row>
    <row r="2527" spans="1:4" ht="13.5">
      <c r="A2527" s="49">
        <v>92724</v>
      </c>
      <c r="B2527" s="48" t="s">
        <v>4184</v>
      </c>
      <c r="C2527" s="48" t="s">
        <v>28764</v>
      </c>
      <c r="D2527" s="50">
        <v>429.88</v>
      </c>
    </row>
    <row r="2528" spans="1:4" ht="13.5">
      <c r="A2528" s="49">
        <v>92725</v>
      </c>
      <c r="B2528" s="48" t="s">
        <v>4185</v>
      </c>
      <c r="C2528" s="48" t="s">
        <v>28764</v>
      </c>
      <c r="D2528" s="50">
        <v>428.39</v>
      </c>
    </row>
    <row r="2529" spans="1:4" ht="13.5">
      <c r="A2529" s="49">
        <v>92726</v>
      </c>
      <c r="B2529" s="48" t="s">
        <v>4186</v>
      </c>
      <c r="C2529" s="48" t="s">
        <v>28764</v>
      </c>
      <c r="D2529" s="50">
        <v>425.87</v>
      </c>
    </row>
    <row r="2530" spans="1:4" ht="13.5">
      <c r="A2530" s="49">
        <v>92727</v>
      </c>
      <c r="B2530" s="48" t="s">
        <v>4187</v>
      </c>
      <c r="C2530" s="48" t="s">
        <v>28764</v>
      </c>
      <c r="D2530" s="50">
        <v>505.98</v>
      </c>
    </row>
    <row r="2531" spans="1:4" ht="13.5">
      <c r="A2531" s="49">
        <v>92728</v>
      </c>
      <c r="B2531" s="48" t="s">
        <v>4188</v>
      </c>
      <c r="C2531" s="48" t="s">
        <v>28764</v>
      </c>
      <c r="D2531" s="50">
        <v>481.1</v>
      </c>
    </row>
    <row r="2532" spans="1:4" ht="13.5">
      <c r="A2532" s="49">
        <v>92729</v>
      </c>
      <c r="B2532" s="48" t="s">
        <v>4189</v>
      </c>
      <c r="C2532" s="48" t="s">
        <v>28764</v>
      </c>
      <c r="D2532" s="50">
        <v>470.58</v>
      </c>
    </row>
    <row r="2533" spans="1:4" ht="13.5">
      <c r="A2533" s="49">
        <v>92730</v>
      </c>
      <c r="B2533" s="48" t="s">
        <v>4190</v>
      </c>
      <c r="C2533" s="48" t="s">
        <v>28764</v>
      </c>
      <c r="D2533" s="50">
        <v>453.03</v>
      </c>
    </row>
    <row r="2534" spans="1:4" ht="13.5">
      <c r="A2534" s="49">
        <v>92731</v>
      </c>
      <c r="B2534" s="48" t="s">
        <v>4191</v>
      </c>
      <c r="C2534" s="48" t="s">
        <v>28764</v>
      </c>
      <c r="D2534" s="50">
        <v>473.06</v>
      </c>
    </row>
    <row r="2535" spans="1:4" ht="13.5">
      <c r="A2535" s="49">
        <v>92732</v>
      </c>
      <c r="B2535" s="48" t="s">
        <v>4192</v>
      </c>
      <c r="C2535" s="48" t="s">
        <v>28764</v>
      </c>
      <c r="D2535" s="50">
        <v>456.06</v>
      </c>
    </row>
    <row r="2536" spans="1:4" ht="13.5">
      <c r="A2536" s="49">
        <v>92733</v>
      </c>
      <c r="B2536" s="48" t="s">
        <v>4193</v>
      </c>
      <c r="C2536" s="48" t="s">
        <v>28764</v>
      </c>
      <c r="D2536" s="50">
        <v>448.83</v>
      </c>
    </row>
    <row r="2537" spans="1:4" ht="13.5">
      <c r="A2537" s="49">
        <v>92734</v>
      </c>
      <c r="B2537" s="48" t="s">
        <v>4194</v>
      </c>
      <c r="C2537" s="48" t="s">
        <v>28764</v>
      </c>
      <c r="D2537" s="50">
        <v>436.85</v>
      </c>
    </row>
    <row r="2538" spans="1:4" ht="13.5">
      <c r="A2538" s="49">
        <v>92735</v>
      </c>
      <c r="B2538" s="48" t="s">
        <v>4195</v>
      </c>
      <c r="C2538" s="48" t="s">
        <v>28764</v>
      </c>
      <c r="D2538" s="50">
        <v>446.28</v>
      </c>
    </row>
    <row r="2539" spans="1:4" ht="13.5">
      <c r="A2539" s="49">
        <v>92736</v>
      </c>
      <c r="B2539" s="48" t="s">
        <v>4196</v>
      </c>
      <c r="C2539" s="48" t="s">
        <v>28764</v>
      </c>
      <c r="D2539" s="50">
        <v>432.87</v>
      </c>
    </row>
    <row r="2540" spans="1:4" ht="13.5">
      <c r="A2540" s="49">
        <v>92739</v>
      </c>
      <c r="B2540" s="48" t="s">
        <v>4197</v>
      </c>
      <c r="C2540" s="48" t="s">
        <v>28764</v>
      </c>
      <c r="D2540" s="50">
        <v>413.4</v>
      </c>
    </row>
    <row r="2541" spans="1:4" ht="13.5">
      <c r="A2541" s="49">
        <v>92740</v>
      </c>
      <c r="B2541" s="48" t="s">
        <v>4198</v>
      </c>
      <c r="C2541" s="48" t="s">
        <v>28764</v>
      </c>
      <c r="D2541" s="50">
        <v>406.76</v>
      </c>
    </row>
    <row r="2542" spans="1:4" ht="13.5">
      <c r="A2542" s="49">
        <v>92741</v>
      </c>
      <c r="B2542" s="48" t="s">
        <v>4199</v>
      </c>
      <c r="C2542" s="48" t="s">
        <v>28764</v>
      </c>
      <c r="D2542" s="50">
        <v>643.99</v>
      </c>
    </row>
    <row r="2543" spans="1:4" ht="13.5">
      <c r="A2543" s="49">
        <v>92742</v>
      </c>
      <c r="B2543" s="48" t="s">
        <v>4200</v>
      </c>
      <c r="C2543" s="48" t="s">
        <v>28764</v>
      </c>
      <c r="D2543" s="50">
        <v>894.35</v>
      </c>
    </row>
    <row r="2544" spans="1:4" ht="13.5">
      <c r="A2544" s="49">
        <v>92873</v>
      </c>
      <c r="B2544" s="48" t="s">
        <v>4201</v>
      </c>
      <c r="C2544" s="48" t="s">
        <v>28764</v>
      </c>
      <c r="D2544" s="50">
        <v>194.73</v>
      </c>
    </row>
    <row r="2545" spans="1:4" ht="13.5">
      <c r="A2545" s="49">
        <v>92874</v>
      </c>
      <c r="B2545" s="48" t="s">
        <v>4202</v>
      </c>
      <c r="C2545" s="48" t="s">
        <v>28764</v>
      </c>
      <c r="D2545" s="50">
        <v>31.74</v>
      </c>
    </row>
    <row r="2546" spans="1:4" ht="13.5">
      <c r="A2546" s="49">
        <v>94962</v>
      </c>
      <c r="B2546" s="48" t="s">
        <v>20473</v>
      </c>
      <c r="C2546" s="48" t="s">
        <v>28764</v>
      </c>
      <c r="D2546" s="50">
        <v>291.93</v>
      </c>
    </row>
    <row r="2547" spans="1:4" ht="13.5">
      <c r="A2547" s="49">
        <v>94963</v>
      </c>
      <c r="B2547" s="48" t="s">
        <v>20474</v>
      </c>
      <c r="C2547" s="48" t="s">
        <v>28764</v>
      </c>
      <c r="D2547" s="50">
        <v>323.86</v>
      </c>
    </row>
    <row r="2548" spans="1:4" ht="13.5">
      <c r="A2548" s="49">
        <v>94964</v>
      </c>
      <c r="B2548" s="48" t="s">
        <v>20475</v>
      </c>
      <c r="C2548" s="48" t="s">
        <v>28764</v>
      </c>
      <c r="D2548" s="50">
        <v>356.36</v>
      </c>
    </row>
    <row r="2549" spans="1:4" ht="13.5">
      <c r="A2549" s="49">
        <v>94965</v>
      </c>
      <c r="B2549" s="48" t="s">
        <v>20476</v>
      </c>
      <c r="C2549" s="48" t="s">
        <v>28764</v>
      </c>
      <c r="D2549" s="50">
        <v>369.67</v>
      </c>
    </row>
    <row r="2550" spans="1:4" ht="13.5">
      <c r="A2550" s="49">
        <v>94966</v>
      </c>
      <c r="B2550" s="48" t="s">
        <v>20477</v>
      </c>
      <c r="C2550" s="48" t="s">
        <v>28764</v>
      </c>
      <c r="D2550" s="50">
        <v>382.26</v>
      </c>
    </row>
    <row r="2551" spans="1:4" ht="13.5">
      <c r="A2551" s="49">
        <v>94967</v>
      </c>
      <c r="B2551" s="48" t="s">
        <v>20478</v>
      </c>
      <c r="C2551" s="48" t="s">
        <v>28764</v>
      </c>
      <c r="D2551" s="50">
        <v>436.51</v>
      </c>
    </row>
    <row r="2552" spans="1:4" ht="13.5">
      <c r="A2552" s="49">
        <v>94968</v>
      </c>
      <c r="B2552" s="48" t="s">
        <v>20479</v>
      </c>
      <c r="C2552" s="48" t="s">
        <v>28764</v>
      </c>
      <c r="D2552" s="50">
        <v>288.54000000000002</v>
      </c>
    </row>
    <row r="2553" spans="1:4" ht="13.5">
      <c r="A2553" s="49">
        <v>94969</v>
      </c>
      <c r="B2553" s="48" t="s">
        <v>20480</v>
      </c>
      <c r="C2553" s="48" t="s">
        <v>28764</v>
      </c>
      <c r="D2553" s="50">
        <v>317.76</v>
      </c>
    </row>
    <row r="2554" spans="1:4" ht="13.5">
      <c r="A2554" s="49">
        <v>94970</v>
      </c>
      <c r="B2554" s="48" t="s">
        <v>20481</v>
      </c>
      <c r="C2554" s="48" t="s">
        <v>28764</v>
      </c>
      <c r="D2554" s="50">
        <v>344.15</v>
      </c>
    </row>
    <row r="2555" spans="1:4" ht="13.5">
      <c r="A2555" s="49">
        <v>94971</v>
      </c>
      <c r="B2555" s="48" t="s">
        <v>20482</v>
      </c>
      <c r="C2555" s="48" t="s">
        <v>28764</v>
      </c>
      <c r="D2555" s="50">
        <v>363.25</v>
      </c>
    </row>
    <row r="2556" spans="1:4" ht="13.5">
      <c r="A2556" s="49">
        <v>94972</v>
      </c>
      <c r="B2556" s="48" t="s">
        <v>20483</v>
      </c>
      <c r="C2556" s="48" t="s">
        <v>28764</v>
      </c>
      <c r="D2556" s="50">
        <v>375.88</v>
      </c>
    </row>
    <row r="2557" spans="1:4" ht="13.5">
      <c r="A2557" s="49">
        <v>94973</v>
      </c>
      <c r="B2557" s="48" t="s">
        <v>20484</v>
      </c>
      <c r="C2557" s="48" t="s">
        <v>28764</v>
      </c>
      <c r="D2557" s="50">
        <v>428.26</v>
      </c>
    </row>
    <row r="2558" spans="1:4" ht="13.5">
      <c r="A2558" s="49">
        <v>94974</v>
      </c>
      <c r="B2558" s="48" t="s">
        <v>20485</v>
      </c>
      <c r="C2558" s="48" t="s">
        <v>28764</v>
      </c>
      <c r="D2558" s="50">
        <v>335.31</v>
      </c>
    </row>
    <row r="2559" spans="1:4" ht="13.5">
      <c r="A2559" s="49">
        <v>94975</v>
      </c>
      <c r="B2559" s="48" t="s">
        <v>20486</v>
      </c>
      <c r="C2559" s="48" t="s">
        <v>28764</v>
      </c>
      <c r="D2559" s="50">
        <v>363.69</v>
      </c>
    </row>
    <row r="2560" spans="1:4" ht="13.5">
      <c r="A2560" s="49">
        <v>96555</v>
      </c>
      <c r="B2560" s="48" t="s">
        <v>4203</v>
      </c>
      <c r="C2560" s="48" t="s">
        <v>28764</v>
      </c>
      <c r="D2560" s="50">
        <v>537.65</v>
      </c>
    </row>
    <row r="2561" spans="1:4" ht="13.5">
      <c r="A2561" s="49">
        <v>96556</v>
      </c>
      <c r="B2561" s="48" t="s">
        <v>4204</v>
      </c>
      <c r="C2561" s="48" t="s">
        <v>28764</v>
      </c>
      <c r="D2561" s="50">
        <v>616.88</v>
      </c>
    </row>
    <row r="2562" spans="1:4" ht="13.5">
      <c r="A2562" s="49">
        <v>96557</v>
      </c>
      <c r="B2562" s="48" t="s">
        <v>4205</v>
      </c>
      <c r="C2562" s="48" t="s">
        <v>28764</v>
      </c>
      <c r="D2562" s="50">
        <v>462.79</v>
      </c>
    </row>
    <row r="2563" spans="1:4" ht="13.5">
      <c r="A2563" s="49">
        <v>96558</v>
      </c>
      <c r="B2563" s="48" t="s">
        <v>4206</v>
      </c>
      <c r="C2563" s="48" t="s">
        <v>28764</v>
      </c>
      <c r="D2563" s="50">
        <v>469.67</v>
      </c>
    </row>
    <row r="2564" spans="1:4" ht="13.5">
      <c r="A2564" s="49">
        <v>99235</v>
      </c>
      <c r="B2564" s="48" t="s">
        <v>26134</v>
      </c>
      <c r="C2564" s="48" t="s">
        <v>28764</v>
      </c>
      <c r="D2564" s="50">
        <v>447.93</v>
      </c>
    </row>
    <row r="2565" spans="1:4" ht="13.5">
      <c r="A2565" s="49">
        <v>99431</v>
      </c>
      <c r="B2565" s="48" t="s">
        <v>26135</v>
      </c>
      <c r="C2565" s="48" t="s">
        <v>28764</v>
      </c>
      <c r="D2565" s="50">
        <v>466</v>
      </c>
    </row>
    <row r="2566" spans="1:4" ht="13.5">
      <c r="A2566" s="49">
        <v>99432</v>
      </c>
      <c r="B2566" s="48" t="s">
        <v>26136</v>
      </c>
      <c r="C2566" s="48" t="s">
        <v>28764</v>
      </c>
      <c r="D2566" s="50">
        <v>452.24</v>
      </c>
    </row>
    <row r="2567" spans="1:4" ht="13.5">
      <c r="A2567" s="49">
        <v>99433</v>
      </c>
      <c r="B2567" s="48" t="s">
        <v>26137</v>
      </c>
      <c r="C2567" s="48" t="s">
        <v>28764</v>
      </c>
      <c r="D2567" s="50">
        <v>493.25</v>
      </c>
    </row>
    <row r="2568" spans="1:4" ht="13.5">
      <c r="A2568" s="49">
        <v>99434</v>
      </c>
      <c r="B2568" s="48" t="s">
        <v>26138</v>
      </c>
      <c r="C2568" s="48" t="s">
        <v>28764</v>
      </c>
      <c r="D2568" s="50">
        <v>469.76</v>
      </c>
    </row>
    <row r="2569" spans="1:4" ht="13.5">
      <c r="A2569" s="49">
        <v>99435</v>
      </c>
      <c r="B2569" s="48" t="s">
        <v>26139</v>
      </c>
      <c r="C2569" s="48" t="s">
        <v>28764</v>
      </c>
      <c r="D2569" s="50">
        <v>454.81</v>
      </c>
    </row>
    <row r="2570" spans="1:4" ht="13.5">
      <c r="A2570" s="49">
        <v>99436</v>
      </c>
      <c r="B2570" s="48" t="s">
        <v>26140</v>
      </c>
      <c r="C2570" s="48" t="s">
        <v>28764</v>
      </c>
      <c r="D2570" s="50">
        <v>512.83000000000004</v>
      </c>
    </row>
    <row r="2571" spans="1:4" ht="13.5">
      <c r="A2571" s="49">
        <v>99437</v>
      </c>
      <c r="B2571" s="48" t="s">
        <v>26141</v>
      </c>
      <c r="C2571" s="48" t="s">
        <v>28764</v>
      </c>
      <c r="D2571" s="50">
        <v>475.76</v>
      </c>
    </row>
    <row r="2572" spans="1:4" ht="13.5">
      <c r="A2572" s="49">
        <v>99438</v>
      </c>
      <c r="B2572" s="48" t="s">
        <v>26142</v>
      </c>
      <c r="C2572" s="48" t="s">
        <v>28764</v>
      </c>
      <c r="D2572" s="50">
        <v>481.13</v>
      </c>
    </row>
    <row r="2573" spans="1:4" ht="13.5">
      <c r="A2573" s="49">
        <v>99439</v>
      </c>
      <c r="B2573" s="48" t="s">
        <v>26143</v>
      </c>
      <c r="C2573" s="48" t="s">
        <v>28764</v>
      </c>
      <c r="D2573" s="50">
        <v>459.13</v>
      </c>
    </row>
    <row r="2574" spans="1:4" ht="13.5">
      <c r="A2574" s="49">
        <v>102473</v>
      </c>
      <c r="B2574" s="48" t="s">
        <v>20487</v>
      </c>
      <c r="C2574" s="48" t="s">
        <v>28764</v>
      </c>
      <c r="D2574" s="50">
        <v>314.11</v>
      </c>
    </row>
    <row r="2575" spans="1:4" ht="13.5">
      <c r="A2575" s="49">
        <v>102474</v>
      </c>
      <c r="B2575" s="48" t="s">
        <v>20488</v>
      </c>
      <c r="C2575" s="48" t="s">
        <v>28764</v>
      </c>
      <c r="D2575" s="50">
        <v>345.42</v>
      </c>
    </row>
    <row r="2576" spans="1:4" ht="13.5">
      <c r="A2576" s="49">
        <v>102475</v>
      </c>
      <c r="B2576" s="48" t="s">
        <v>20489</v>
      </c>
      <c r="C2576" s="48" t="s">
        <v>28764</v>
      </c>
      <c r="D2576" s="50">
        <v>380.87</v>
      </c>
    </row>
    <row r="2577" spans="1:4" ht="13.5">
      <c r="A2577" s="49">
        <v>102476</v>
      </c>
      <c r="B2577" s="48" t="s">
        <v>20490</v>
      </c>
      <c r="C2577" s="48" t="s">
        <v>28764</v>
      </c>
      <c r="D2577" s="50">
        <v>393.53</v>
      </c>
    </row>
    <row r="2578" spans="1:4" ht="13.5">
      <c r="A2578" s="49">
        <v>102477</v>
      </c>
      <c r="B2578" s="48" t="s">
        <v>20491</v>
      </c>
      <c r="C2578" s="48" t="s">
        <v>28764</v>
      </c>
      <c r="D2578" s="50">
        <v>421.28</v>
      </c>
    </row>
    <row r="2579" spans="1:4" ht="13.5">
      <c r="A2579" s="49">
        <v>102478</v>
      </c>
      <c r="B2579" s="48" t="s">
        <v>20492</v>
      </c>
      <c r="C2579" s="48" t="s">
        <v>28764</v>
      </c>
      <c r="D2579" s="50">
        <v>462.3</v>
      </c>
    </row>
    <row r="2580" spans="1:4" ht="13.5">
      <c r="A2580" s="49">
        <v>102479</v>
      </c>
      <c r="B2580" s="48" t="s">
        <v>20493</v>
      </c>
      <c r="C2580" s="48" t="s">
        <v>28764</v>
      </c>
      <c r="D2580" s="50">
        <v>310.55</v>
      </c>
    </row>
    <row r="2581" spans="1:4" ht="13.5">
      <c r="A2581" s="49">
        <v>102480</v>
      </c>
      <c r="B2581" s="48" t="s">
        <v>20494</v>
      </c>
      <c r="C2581" s="48" t="s">
        <v>28764</v>
      </c>
      <c r="D2581" s="50">
        <v>339.38</v>
      </c>
    </row>
    <row r="2582" spans="1:4" ht="13.5">
      <c r="A2582" s="49">
        <v>102481</v>
      </c>
      <c r="B2582" s="48" t="s">
        <v>20495</v>
      </c>
      <c r="C2582" s="48" t="s">
        <v>28764</v>
      </c>
      <c r="D2582" s="50">
        <v>368.34</v>
      </c>
    </row>
    <row r="2583" spans="1:4" ht="13.5">
      <c r="A2583" s="49">
        <v>102482</v>
      </c>
      <c r="B2583" s="48" t="s">
        <v>20496</v>
      </c>
      <c r="C2583" s="48" t="s">
        <v>28764</v>
      </c>
      <c r="D2583" s="50">
        <v>390.04</v>
      </c>
    </row>
    <row r="2584" spans="1:4" ht="13.5">
      <c r="A2584" s="49">
        <v>102483</v>
      </c>
      <c r="B2584" s="48" t="s">
        <v>20497</v>
      </c>
      <c r="C2584" s="48" t="s">
        <v>28764</v>
      </c>
      <c r="D2584" s="50">
        <v>413.39</v>
      </c>
    </row>
    <row r="2585" spans="1:4" ht="13.5">
      <c r="A2585" s="49">
        <v>102484</v>
      </c>
      <c r="B2585" s="48" t="s">
        <v>20498</v>
      </c>
      <c r="C2585" s="48" t="s">
        <v>28764</v>
      </c>
      <c r="D2585" s="50">
        <v>460.77</v>
      </c>
    </row>
    <row r="2586" spans="1:4" ht="13.5">
      <c r="A2586" s="49">
        <v>102485</v>
      </c>
      <c r="B2586" s="48" t="s">
        <v>20499</v>
      </c>
      <c r="C2586" s="48" t="s">
        <v>28764</v>
      </c>
      <c r="D2586" s="50">
        <v>356.8</v>
      </c>
    </row>
    <row r="2587" spans="1:4" ht="13.5">
      <c r="A2587" s="49">
        <v>102486</v>
      </c>
      <c r="B2587" s="48" t="s">
        <v>20500</v>
      </c>
      <c r="C2587" s="48" t="s">
        <v>28764</v>
      </c>
      <c r="D2587" s="50">
        <v>384.44</v>
      </c>
    </row>
    <row r="2588" spans="1:4" ht="13.5">
      <c r="A2588" s="49">
        <v>102487</v>
      </c>
      <c r="B2588" s="48" t="s">
        <v>20501</v>
      </c>
      <c r="C2588" s="48" t="s">
        <v>28764</v>
      </c>
      <c r="D2588" s="50">
        <v>460.27</v>
      </c>
    </row>
    <row r="2589" spans="1:4" ht="13.5">
      <c r="A2589" s="49">
        <v>103183</v>
      </c>
      <c r="B2589" s="48" t="s">
        <v>26144</v>
      </c>
      <c r="C2589" s="48" t="s">
        <v>28764</v>
      </c>
      <c r="D2589" s="50">
        <v>496.11</v>
      </c>
    </row>
    <row r="2590" spans="1:4" ht="13.5">
      <c r="A2590" s="49">
        <v>103184</v>
      </c>
      <c r="B2590" s="48" t="s">
        <v>26145</v>
      </c>
      <c r="C2590" s="48" t="s">
        <v>28764</v>
      </c>
      <c r="D2590" s="50">
        <v>458.78</v>
      </c>
    </row>
    <row r="2591" spans="1:4" ht="13.5">
      <c r="A2591" s="49">
        <v>101963</v>
      </c>
      <c r="B2591" s="48" t="s">
        <v>20502</v>
      </c>
      <c r="C2591" s="48" t="s">
        <v>26764</v>
      </c>
      <c r="D2591" s="50">
        <v>166.5</v>
      </c>
    </row>
    <row r="2592" spans="1:4" ht="13.5">
      <c r="A2592" s="49">
        <v>101964</v>
      </c>
      <c r="B2592" s="48" t="s">
        <v>20503</v>
      </c>
      <c r="C2592" s="48" t="s">
        <v>26764</v>
      </c>
      <c r="D2592" s="50">
        <v>155.68</v>
      </c>
    </row>
    <row r="2593" spans="1:4" ht="13.5">
      <c r="A2593" s="49">
        <v>101165</v>
      </c>
      <c r="B2593" s="48" t="s">
        <v>20504</v>
      </c>
      <c r="C2593" s="48" t="s">
        <v>28764</v>
      </c>
      <c r="D2593" s="50">
        <v>749.11</v>
      </c>
    </row>
    <row r="2594" spans="1:4" ht="13.5">
      <c r="A2594" s="49">
        <v>101166</v>
      </c>
      <c r="B2594" s="48" t="s">
        <v>20505</v>
      </c>
      <c r="C2594" s="48" t="s">
        <v>28764</v>
      </c>
      <c r="D2594" s="50">
        <v>514.52</v>
      </c>
    </row>
    <row r="2595" spans="1:4" ht="13.5">
      <c r="A2595" s="49">
        <v>98575</v>
      </c>
      <c r="B2595" s="48" t="s">
        <v>26146</v>
      </c>
      <c r="C2595" s="48" t="s">
        <v>6</v>
      </c>
      <c r="D2595" s="50">
        <v>94.02</v>
      </c>
    </row>
    <row r="2596" spans="1:4" ht="13.5">
      <c r="A2596" s="49">
        <v>98576</v>
      </c>
      <c r="B2596" s="48" t="s">
        <v>4207</v>
      </c>
      <c r="C2596" s="48" t="s">
        <v>6</v>
      </c>
      <c r="D2596" s="50">
        <v>23.14</v>
      </c>
    </row>
    <row r="2597" spans="1:4" ht="13.5">
      <c r="A2597" s="49">
        <v>98577</v>
      </c>
      <c r="B2597" s="48" t="s">
        <v>26147</v>
      </c>
      <c r="C2597" s="48" t="s">
        <v>6</v>
      </c>
      <c r="D2597" s="50">
        <v>43.16</v>
      </c>
    </row>
    <row r="2598" spans="1:4" ht="13.5">
      <c r="A2598" s="49">
        <v>93182</v>
      </c>
      <c r="B2598" s="48" t="s">
        <v>4208</v>
      </c>
      <c r="C2598" s="48" t="s">
        <v>6</v>
      </c>
      <c r="D2598" s="50">
        <v>48.51</v>
      </c>
    </row>
    <row r="2599" spans="1:4" ht="13.5">
      <c r="A2599" s="49">
        <v>93183</v>
      </c>
      <c r="B2599" s="48" t="s">
        <v>4209</v>
      </c>
      <c r="C2599" s="48" t="s">
        <v>6</v>
      </c>
      <c r="D2599" s="50">
        <v>62.58</v>
      </c>
    </row>
    <row r="2600" spans="1:4" ht="13.5">
      <c r="A2600" s="49">
        <v>93184</v>
      </c>
      <c r="B2600" s="48" t="s">
        <v>4210</v>
      </c>
      <c r="C2600" s="48" t="s">
        <v>6</v>
      </c>
      <c r="D2600" s="50">
        <v>35.72</v>
      </c>
    </row>
    <row r="2601" spans="1:4" ht="13.5">
      <c r="A2601" s="49">
        <v>93185</v>
      </c>
      <c r="B2601" s="48" t="s">
        <v>4211</v>
      </c>
      <c r="C2601" s="48" t="s">
        <v>6</v>
      </c>
      <c r="D2601" s="50">
        <v>61.67</v>
      </c>
    </row>
    <row r="2602" spans="1:4" ht="13.5">
      <c r="A2602" s="49">
        <v>93186</v>
      </c>
      <c r="B2602" s="48" t="s">
        <v>4212</v>
      </c>
      <c r="C2602" s="48" t="s">
        <v>6</v>
      </c>
      <c r="D2602" s="50">
        <v>90.11</v>
      </c>
    </row>
    <row r="2603" spans="1:4" ht="13.5">
      <c r="A2603" s="49">
        <v>93187</v>
      </c>
      <c r="B2603" s="48" t="s">
        <v>4213</v>
      </c>
      <c r="C2603" s="48" t="s">
        <v>6</v>
      </c>
      <c r="D2603" s="50">
        <v>103.7</v>
      </c>
    </row>
    <row r="2604" spans="1:4" ht="13.5">
      <c r="A2604" s="49">
        <v>93188</v>
      </c>
      <c r="B2604" s="48" t="s">
        <v>4214</v>
      </c>
      <c r="C2604" s="48" t="s">
        <v>6</v>
      </c>
      <c r="D2604" s="50">
        <v>83.63</v>
      </c>
    </row>
    <row r="2605" spans="1:4" ht="13.5">
      <c r="A2605" s="49">
        <v>93189</v>
      </c>
      <c r="B2605" s="48" t="s">
        <v>4215</v>
      </c>
      <c r="C2605" s="48" t="s">
        <v>6</v>
      </c>
      <c r="D2605" s="50">
        <v>104.56</v>
      </c>
    </row>
    <row r="2606" spans="1:4" ht="13.5">
      <c r="A2606" s="49">
        <v>93190</v>
      </c>
      <c r="B2606" s="48" t="s">
        <v>4216</v>
      </c>
      <c r="C2606" s="48" t="s">
        <v>6</v>
      </c>
      <c r="D2606" s="50">
        <v>41.61</v>
      </c>
    </row>
    <row r="2607" spans="1:4" ht="13.5">
      <c r="A2607" s="49">
        <v>93191</v>
      </c>
      <c r="B2607" s="48" t="s">
        <v>4217</v>
      </c>
      <c r="C2607" s="48" t="s">
        <v>6</v>
      </c>
      <c r="D2607" s="50">
        <v>44.71</v>
      </c>
    </row>
    <row r="2608" spans="1:4" ht="13.5">
      <c r="A2608" s="49">
        <v>93192</v>
      </c>
      <c r="B2608" s="48" t="s">
        <v>4218</v>
      </c>
      <c r="C2608" s="48" t="s">
        <v>6</v>
      </c>
      <c r="D2608" s="50">
        <v>45.65</v>
      </c>
    </row>
    <row r="2609" spans="1:4" ht="13.5">
      <c r="A2609" s="49">
        <v>93193</v>
      </c>
      <c r="B2609" s="48" t="s">
        <v>4220</v>
      </c>
      <c r="C2609" s="48" t="s">
        <v>6</v>
      </c>
      <c r="D2609" s="50">
        <v>45.72</v>
      </c>
    </row>
    <row r="2610" spans="1:4" ht="13.5">
      <c r="A2610" s="49">
        <v>93194</v>
      </c>
      <c r="B2610" s="48" t="s">
        <v>4221</v>
      </c>
      <c r="C2610" s="48" t="s">
        <v>6</v>
      </c>
      <c r="D2610" s="50">
        <v>47.48</v>
      </c>
    </row>
    <row r="2611" spans="1:4" ht="13.5">
      <c r="A2611" s="49">
        <v>93195</v>
      </c>
      <c r="B2611" s="48" t="s">
        <v>4222</v>
      </c>
      <c r="C2611" s="48" t="s">
        <v>6</v>
      </c>
      <c r="D2611" s="50">
        <v>57.38</v>
      </c>
    </row>
    <row r="2612" spans="1:4" ht="13.5">
      <c r="A2612" s="49">
        <v>93196</v>
      </c>
      <c r="B2612" s="48" t="s">
        <v>4223</v>
      </c>
      <c r="C2612" s="48" t="s">
        <v>6</v>
      </c>
      <c r="D2612" s="50">
        <v>87.43</v>
      </c>
    </row>
    <row r="2613" spans="1:4" ht="13.5">
      <c r="A2613" s="49">
        <v>93197</v>
      </c>
      <c r="B2613" s="48" t="s">
        <v>4224</v>
      </c>
      <c r="C2613" s="48" t="s">
        <v>6</v>
      </c>
      <c r="D2613" s="50">
        <v>97.5</v>
      </c>
    </row>
    <row r="2614" spans="1:4" ht="13.5">
      <c r="A2614" s="49">
        <v>93198</v>
      </c>
      <c r="B2614" s="48" t="s">
        <v>4225</v>
      </c>
      <c r="C2614" s="48" t="s">
        <v>6</v>
      </c>
      <c r="D2614" s="50">
        <v>35.549999999999997</v>
      </c>
    </row>
    <row r="2615" spans="1:4" ht="13.5">
      <c r="A2615" s="49">
        <v>93199</v>
      </c>
      <c r="B2615" s="48" t="s">
        <v>4226</v>
      </c>
      <c r="C2615" s="48" t="s">
        <v>6</v>
      </c>
      <c r="D2615" s="50">
        <v>35</v>
      </c>
    </row>
    <row r="2616" spans="1:4" ht="13.5">
      <c r="A2616" s="49">
        <v>93200</v>
      </c>
      <c r="B2616" s="48" t="s">
        <v>4227</v>
      </c>
      <c r="C2616" s="48" t="s">
        <v>6</v>
      </c>
      <c r="D2616" s="50">
        <v>2.69</v>
      </c>
    </row>
    <row r="2617" spans="1:4" ht="13.5">
      <c r="A2617" s="49">
        <v>93201</v>
      </c>
      <c r="B2617" s="48" t="s">
        <v>4228</v>
      </c>
      <c r="C2617" s="48" t="s">
        <v>6</v>
      </c>
      <c r="D2617" s="50">
        <v>5.77</v>
      </c>
    </row>
    <row r="2618" spans="1:4" ht="13.5">
      <c r="A2618" s="49">
        <v>93202</v>
      </c>
      <c r="B2618" s="48" t="s">
        <v>4229</v>
      </c>
      <c r="C2618" s="48" t="s">
        <v>6</v>
      </c>
      <c r="D2618" s="50">
        <v>22.22</v>
      </c>
    </row>
    <row r="2619" spans="1:4" ht="13.5">
      <c r="A2619" s="49">
        <v>93203</v>
      </c>
      <c r="B2619" s="48" t="s">
        <v>4230</v>
      </c>
      <c r="C2619" s="48" t="s">
        <v>6</v>
      </c>
      <c r="D2619" s="50">
        <v>13.17</v>
      </c>
    </row>
    <row r="2620" spans="1:4" ht="13.5">
      <c r="A2620" s="49">
        <v>93204</v>
      </c>
      <c r="B2620" s="48" t="s">
        <v>4232</v>
      </c>
      <c r="C2620" s="48" t="s">
        <v>6</v>
      </c>
      <c r="D2620" s="50">
        <v>64.849999999999994</v>
      </c>
    </row>
    <row r="2621" spans="1:4" ht="13.5">
      <c r="A2621" s="49">
        <v>93205</v>
      </c>
      <c r="B2621" s="48" t="s">
        <v>4233</v>
      </c>
      <c r="C2621" s="48" t="s">
        <v>6</v>
      </c>
      <c r="D2621" s="50">
        <v>36.15</v>
      </c>
    </row>
    <row r="2622" spans="1:4" ht="13.5">
      <c r="A2622" s="49">
        <v>95952</v>
      </c>
      <c r="B2622" s="48" t="s">
        <v>4234</v>
      </c>
      <c r="C2622" s="48" t="s">
        <v>28764</v>
      </c>
      <c r="D2622" s="51">
        <v>2323.64</v>
      </c>
    </row>
    <row r="2623" spans="1:4" ht="13.5">
      <c r="A2623" s="49">
        <v>95953</v>
      </c>
      <c r="B2623" s="48" t="s">
        <v>4235</v>
      </c>
      <c r="C2623" s="48" t="s">
        <v>28764</v>
      </c>
      <c r="D2623" s="51">
        <v>3835.44</v>
      </c>
    </row>
    <row r="2624" spans="1:4" ht="13.5">
      <c r="A2624" s="49">
        <v>95954</v>
      </c>
      <c r="B2624" s="48" t="s">
        <v>4236</v>
      </c>
      <c r="C2624" s="48" t="s">
        <v>28764</v>
      </c>
      <c r="D2624" s="51">
        <v>2694.76</v>
      </c>
    </row>
    <row r="2625" spans="1:4" ht="13.5">
      <c r="A2625" s="49">
        <v>95955</v>
      </c>
      <c r="B2625" s="48" t="s">
        <v>4237</v>
      </c>
      <c r="C2625" s="48" t="s">
        <v>28764</v>
      </c>
      <c r="D2625" s="51">
        <v>3387</v>
      </c>
    </row>
    <row r="2626" spans="1:4" ht="13.5">
      <c r="A2626" s="49">
        <v>95956</v>
      </c>
      <c r="B2626" s="48" t="s">
        <v>4238</v>
      </c>
      <c r="C2626" s="48" t="s">
        <v>28764</v>
      </c>
      <c r="D2626" s="51">
        <v>2621.84</v>
      </c>
    </row>
    <row r="2627" spans="1:4" ht="13.5">
      <c r="A2627" s="49">
        <v>95957</v>
      </c>
      <c r="B2627" s="48" t="s">
        <v>4239</v>
      </c>
      <c r="C2627" s="48" t="s">
        <v>28764</v>
      </c>
      <c r="D2627" s="51">
        <v>3511.34</v>
      </c>
    </row>
    <row r="2628" spans="1:4" ht="13.5">
      <c r="A2628" s="49">
        <v>95969</v>
      </c>
      <c r="B2628" s="48" t="s">
        <v>4240</v>
      </c>
      <c r="C2628" s="48" t="s">
        <v>28764</v>
      </c>
      <c r="D2628" s="51">
        <v>3219.78</v>
      </c>
    </row>
    <row r="2629" spans="1:4" ht="13.5">
      <c r="A2629" s="49">
        <v>97733</v>
      </c>
      <c r="B2629" s="48" t="s">
        <v>4241</v>
      </c>
      <c r="C2629" s="48" t="s">
        <v>28764</v>
      </c>
      <c r="D2629" s="51">
        <v>3260.98</v>
      </c>
    </row>
    <row r="2630" spans="1:4" ht="13.5">
      <c r="A2630" s="49">
        <v>97734</v>
      </c>
      <c r="B2630" s="48" t="s">
        <v>4242</v>
      </c>
      <c r="C2630" s="48" t="s">
        <v>28764</v>
      </c>
      <c r="D2630" s="51">
        <v>2760.19</v>
      </c>
    </row>
    <row r="2631" spans="1:4" ht="13.5">
      <c r="A2631" s="49">
        <v>97735</v>
      </c>
      <c r="B2631" s="48" t="s">
        <v>4243</v>
      </c>
      <c r="C2631" s="48" t="s">
        <v>28764</v>
      </c>
      <c r="D2631" s="51">
        <v>2297.86</v>
      </c>
    </row>
    <row r="2632" spans="1:4" ht="13.5">
      <c r="A2632" s="49">
        <v>97736</v>
      </c>
      <c r="B2632" s="48" t="s">
        <v>4244</v>
      </c>
      <c r="C2632" s="48" t="s">
        <v>28764</v>
      </c>
      <c r="D2632" s="51">
        <v>1470.66</v>
      </c>
    </row>
    <row r="2633" spans="1:4" ht="13.5">
      <c r="A2633" s="49">
        <v>97737</v>
      </c>
      <c r="B2633" s="48" t="s">
        <v>4245</v>
      </c>
      <c r="C2633" s="48" t="s">
        <v>28764</v>
      </c>
      <c r="D2633" s="51">
        <v>3402.4</v>
      </c>
    </row>
    <row r="2634" spans="1:4" ht="13.5">
      <c r="A2634" s="49">
        <v>97738</v>
      </c>
      <c r="B2634" s="48" t="s">
        <v>4246</v>
      </c>
      <c r="C2634" s="48" t="s">
        <v>28764</v>
      </c>
      <c r="D2634" s="51">
        <v>5050.0600000000004</v>
      </c>
    </row>
    <row r="2635" spans="1:4" ht="13.5">
      <c r="A2635" s="49">
        <v>97739</v>
      </c>
      <c r="B2635" s="48" t="s">
        <v>4247</v>
      </c>
      <c r="C2635" s="48" t="s">
        <v>28764</v>
      </c>
      <c r="D2635" s="51">
        <v>2773.03</v>
      </c>
    </row>
    <row r="2636" spans="1:4" ht="13.5">
      <c r="A2636" s="49">
        <v>97740</v>
      </c>
      <c r="B2636" s="48" t="s">
        <v>4248</v>
      </c>
      <c r="C2636" s="48" t="s">
        <v>28764</v>
      </c>
      <c r="D2636" s="51">
        <v>2075.58</v>
      </c>
    </row>
    <row r="2637" spans="1:4" ht="13.5">
      <c r="A2637" s="49">
        <v>98615</v>
      </c>
      <c r="B2637" s="48" t="s">
        <v>4249</v>
      </c>
      <c r="C2637" s="48" t="s">
        <v>26764</v>
      </c>
      <c r="D2637" s="50">
        <v>116.64</v>
      </c>
    </row>
    <row r="2638" spans="1:4" ht="13.5">
      <c r="A2638" s="49">
        <v>98616</v>
      </c>
      <c r="B2638" s="48" t="s">
        <v>4250</v>
      </c>
      <c r="C2638" s="48" t="s">
        <v>26764</v>
      </c>
      <c r="D2638" s="50">
        <v>88.52</v>
      </c>
    </row>
    <row r="2639" spans="1:4" ht="13.5">
      <c r="A2639" s="49">
        <v>98617</v>
      </c>
      <c r="B2639" s="48" t="s">
        <v>4251</v>
      </c>
      <c r="C2639" s="48" t="s">
        <v>26764</v>
      </c>
      <c r="D2639" s="50">
        <v>80.569999999999993</v>
      </c>
    </row>
    <row r="2640" spans="1:4" ht="13.5">
      <c r="A2640" s="49">
        <v>98618</v>
      </c>
      <c r="B2640" s="48" t="s">
        <v>4252</v>
      </c>
      <c r="C2640" s="48" t="s">
        <v>26764</v>
      </c>
      <c r="D2640" s="50">
        <v>111.28</v>
      </c>
    </row>
    <row r="2641" spans="1:4" ht="13.5">
      <c r="A2641" s="49">
        <v>98619</v>
      </c>
      <c r="B2641" s="48" t="s">
        <v>4253</v>
      </c>
      <c r="C2641" s="48" t="s">
        <v>26764</v>
      </c>
      <c r="D2641" s="50">
        <v>99.25</v>
      </c>
    </row>
    <row r="2642" spans="1:4" ht="13.5">
      <c r="A2642" s="49">
        <v>98620</v>
      </c>
      <c r="B2642" s="48" t="s">
        <v>4254</v>
      </c>
      <c r="C2642" s="48" t="s">
        <v>26764</v>
      </c>
      <c r="D2642" s="50">
        <v>93.19</v>
      </c>
    </row>
    <row r="2643" spans="1:4" ht="13.5">
      <c r="A2643" s="49">
        <v>98621</v>
      </c>
      <c r="B2643" s="48" t="s">
        <v>4255</v>
      </c>
      <c r="C2643" s="48" t="s">
        <v>26764</v>
      </c>
      <c r="D2643" s="50">
        <v>123.47</v>
      </c>
    </row>
    <row r="2644" spans="1:4" ht="13.5">
      <c r="A2644" s="49">
        <v>98622</v>
      </c>
      <c r="B2644" s="48" t="s">
        <v>4256</v>
      </c>
      <c r="C2644" s="48" t="s">
        <v>26764</v>
      </c>
      <c r="D2644" s="50">
        <v>113.81</v>
      </c>
    </row>
    <row r="2645" spans="1:4" ht="13.5">
      <c r="A2645" s="49">
        <v>98623</v>
      </c>
      <c r="B2645" s="48" t="s">
        <v>4257</v>
      </c>
      <c r="C2645" s="48" t="s">
        <v>26764</v>
      </c>
      <c r="D2645" s="50">
        <v>108.91</v>
      </c>
    </row>
    <row r="2646" spans="1:4" ht="13.5">
      <c r="A2646" s="49">
        <v>98624</v>
      </c>
      <c r="B2646" s="48" t="s">
        <v>4258</v>
      </c>
      <c r="C2646" s="48" t="s">
        <v>26764</v>
      </c>
      <c r="D2646" s="50">
        <v>137.35</v>
      </c>
    </row>
    <row r="2647" spans="1:4" ht="13.5">
      <c r="A2647" s="49">
        <v>98625</v>
      </c>
      <c r="B2647" s="48" t="s">
        <v>4259</v>
      </c>
      <c r="C2647" s="48" t="s">
        <v>26764</v>
      </c>
      <c r="D2647" s="50">
        <v>129.22999999999999</v>
      </c>
    </row>
    <row r="2648" spans="1:4" ht="13.5">
      <c r="A2648" s="49">
        <v>98626</v>
      </c>
      <c r="B2648" s="48" t="s">
        <v>4260</v>
      </c>
      <c r="C2648" s="48" t="s">
        <v>26764</v>
      </c>
      <c r="D2648" s="50">
        <v>125.06</v>
      </c>
    </row>
    <row r="2649" spans="1:4" ht="13.5">
      <c r="A2649" s="49">
        <v>98655</v>
      </c>
      <c r="B2649" s="48" t="s">
        <v>4261</v>
      </c>
      <c r="C2649" s="48" t="s">
        <v>6</v>
      </c>
      <c r="D2649" s="50">
        <v>676.26</v>
      </c>
    </row>
    <row r="2650" spans="1:4" ht="13.5">
      <c r="A2650" s="49">
        <v>98656</v>
      </c>
      <c r="B2650" s="48" t="s">
        <v>4262</v>
      </c>
      <c r="C2650" s="48" t="s">
        <v>6</v>
      </c>
      <c r="D2650" s="50">
        <v>686.28</v>
      </c>
    </row>
    <row r="2651" spans="1:4" ht="13.5">
      <c r="A2651" s="49">
        <v>98657</v>
      </c>
      <c r="B2651" s="48" t="s">
        <v>4263</v>
      </c>
      <c r="C2651" s="48" t="s">
        <v>6</v>
      </c>
      <c r="D2651" s="50">
        <v>696.3</v>
      </c>
    </row>
    <row r="2652" spans="1:4" ht="13.5">
      <c r="A2652" s="49">
        <v>98658</v>
      </c>
      <c r="B2652" s="48" t="s">
        <v>4264</v>
      </c>
      <c r="C2652" s="48" t="s">
        <v>6</v>
      </c>
      <c r="D2652" s="50">
        <v>706.32</v>
      </c>
    </row>
    <row r="2653" spans="1:4" ht="13.5">
      <c r="A2653" s="49">
        <v>98659</v>
      </c>
      <c r="B2653" s="48" t="s">
        <v>4265</v>
      </c>
      <c r="C2653" s="48" t="s">
        <v>6</v>
      </c>
      <c r="D2653" s="50">
        <v>726.37</v>
      </c>
    </row>
    <row r="2654" spans="1:4" ht="13.5">
      <c r="A2654" s="49">
        <v>98746</v>
      </c>
      <c r="B2654" s="48" t="s">
        <v>4266</v>
      </c>
      <c r="C2654" s="48" t="s">
        <v>6</v>
      </c>
      <c r="D2654" s="50">
        <v>63.76</v>
      </c>
    </row>
    <row r="2655" spans="1:4" ht="13.5">
      <c r="A2655" s="49">
        <v>98749</v>
      </c>
      <c r="B2655" s="48" t="s">
        <v>4267</v>
      </c>
      <c r="C2655" s="48" t="s">
        <v>6</v>
      </c>
      <c r="D2655" s="50">
        <v>75.22</v>
      </c>
    </row>
    <row r="2656" spans="1:4" ht="13.5">
      <c r="A2656" s="49">
        <v>98750</v>
      </c>
      <c r="B2656" s="48" t="s">
        <v>4268</v>
      </c>
      <c r="C2656" s="48" t="s">
        <v>6</v>
      </c>
      <c r="D2656" s="50">
        <v>88.99</v>
      </c>
    </row>
    <row r="2657" spans="1:4" ht="13.5">
      <c r="A2657" s="49">
        <v>98751</v>
      </c>
      <c r="B2657" s="48" t="s">
        <v>4269</v>
      </c>
      <c r="C2657" s="48" t="s">
        <v>6</v>
      </c>
      <c r="D2657" s="50">
        <v>124.89</v>
      </c>
    </row>
    <row r="2658" spans="1:4" ht="13.5">
      <c r="A2658" s="49">
        <v>98752</v>
      </c>
      <c r="B2658" s="48" t="s">
        <v>4270</v>
      </c>
      <c r="C2658" s="48" t="s">
        <v>6</v>
      </c>
      <c r="D2658" s="50">
        <v>167.98</v>
      </c>
    </row>
    <row r="2659" spans="1:4" ht="13.5">
      <c r="A2659" s="49">
        <v>98753</v>
      </c>
      <c r="B2659" s="48" t="s">
        <v>4271</v>
      </c>
      <c r="C2659" s="48" t="s">
        <v>6</v>
      </c>
      <c r="D2659" s="50">
        <v>221.45</v>
      </c>
    </row>
    <row r="2660" spans="1:4" ht="13.5">
      <c r="A2660" s="49">
        <v>100763</v>
      </c>
      <c r="B2660" s="48" t="s">
        <v>4272</v>
      </c>
      <c r="C2660" s="48" t="s">
        <v>8</v>
      </c>
      <c r="D2660" s="50">
        <v>19.170000000000002</v>
      </c>
    </row>
    <row r="2661" spans="1:4" ht="13.5">
      <c r="A2661" s="49">
        <v>100764</v>
      </c>
      <c r="B2661" s="48" t="s">
        <v>4273</v>
      </c>
      <c r="C2661" s="48" t="s">
        <v>8</v>
      </c>
      <c r="D2661" s="50">
        <v>19.079999999999998</v>
      </c>
    </row>
    <row r="2662" spans="1:4" ht="13.5">
      <c r="A2662" s="49">
        <v>100765</v>
      </c>
      <c r="B2662" s="48" t="s">
        <v>4274</v>
      </c>
      <c r="C2662" s="48" t="s">
        <v>8</v>
      </c>
      <c r="D2662" s="50">
        <v>18.97</v>
      </c>
    </row>
    <row r="2663" spans="1:4" ht="13.5">
      <c r="A2663" s="49">
        <v>100766</v>
      </c>
      <c r="B2663" s="48" t="s">
        <v>20506</v>
      </c>
      <c r="C2663" s="48" t="s">
        <v>8</v>
      </c>
      <c r="D2663" s="50">
        <v>19.3</v>
      </c>
    </row>
    <row r="2664" spans="1:4" ht="13.5">
      <c r="A2664" s="49">
        <v>100767</v>
      </c>
      <c r="B2664" s="48" t="s">
        <v>4275</v>
      </c>
      <c r="C2664" s="48" t="s">
        <v>8</v>
      </c>
      <c r="D2664" s="50">
        <v>19.38</v>
      </c>
    </row>
    <row r="2665" spans="1:4" ht="13.5">
      <c r="A2665" s="49">
        <v>100768</v>
      </c>
      <c r="B2665" s="48" t="s">
        <v>20507</v>
      </c>
      <c r="C2665" s="48" t="s">
        <v>8</v>
      </c>
      <c r="D2665" s="50">
        <v>25.1</v>
      </c>
    </row>
    <row r="2666" spans="1:4" ht="13.5">
      <c r="A2666" s="49">
        <v>100769</v>
      </c>
      <c r="B2666" s="48" t="s">
        <v>4276</v>
      </c>
      <c r="C2666" s="48" t="s">
        <v>8</v>
      </c>
      <c r="D2666" s="50">
        <v>24.29</v>
      </c>
    </row>
    <row r="2667" spans="1:4" ht="13.5">
      <c r="A2667" s="49">
        <v>100770</v>
      </c>
      <c r="B2667" s="48" t="s">
        <v>20508</v>
      </c>
      <c r="C2667" s="48" t="s">
        <v>8</v>
      </c>
      <c r="D2667" s="50">
        <v>23.77</v>
      </c>
    </row>
    <row r="2668" spans="1:4" ht="13.5">
      <c r="A2668" s="49">
        <v>100771</v>
      </c>
      <c r="B2668" s="48" t="s">
        <v>4277</v>
      </c>
      <c r="C2668" s="48" t="s">
        <v>8</v>
      </c>
      <c r="D2668" s="50">
        <v>31.64</v>
      </c>
    </row>
    <row r="2669" spans="1:4" ht="13.5">
      <c r="A2669" s="49">
        <v>100772</v>
      </c>
      <c r="B2669" s="48" t="s">
        <v>20509</v>
      </c>
      <c r="C2669" s="48" t="s">
        <v>8</v>
      </c>
      <c r="D2669" s="50">
        <v>19.559999999999999</v>
      </c>
    </row>
    <row r="2670" spans="1:4" ht="13.5">
      <c r="A2670" s="49">
        <v>100773</v>
      </c>
      <c r="B2670" s="48" t="s">
        <v>4278</v>
      </c>
      <c r="C2670" s="48" t="s">
        <v>8</v>
      </c>
      <c r="D2670" s="50">
        <v>22.05</v>
      </c>
    </row>
    <row r="2671" spans="1:4" ht="13.5">
      <c r="A2671" s="49">
        <v>100774</v>
      </c>
      <c r="B2671" s="48" t="s">
        <v>4279</v>
      </c>
      <c r="C2671" s="48" t="s">
        <v>8</v>
      </c>
      <c r="D2671" s="50">
        <v>14.51</v>
      </c>
    </row>
    <row r="2672" spans="1:4" ht="13.5">
      <c r="A2672" s="49">
        <v>100775</v>
      </c>
      <c r="B2672" s="48" t="s">
        <v>4280</v>
      </c>
      <c r="C2672" s="48" t="s">
        <v>8</v>
      </c>
      <c r="D2672" s="50">
        <v>16.489999999999998</v>
      </c>
    </row>
    <row r="2673" spans="1:4" ht="13.5">
      <c r="A2673" s="49">
        <v>100776</v>
      </c>
      <c r="B2673" s="48" t="s">
        <v>4281</v>
      </c>
      <c r="C2673" s="48" t="s">
        <v>8</v>
      </c>
      <c r="D2673" s="50">
        <v>22.13</v>
      </c>
    </row>
    <row r="2674" spans="1:4" ht="13.5">
      <c r="A2674" s="49">
        <v>100777</v>
      </c>
      <c r="B2674" s="48" t="s">
        <v>4282</v>
      </c>
      <c r="C2674" s="48" t="s">
        <v>8</v>
      </c>
      <c r="D2674" s="50">
        <v>16.82</v>
      </c>
    </row>
    <row r="2675" spans="1:4" ht="13.5">
      <c r="A2675" s="49">
        <v>100778</v>
      </c>
      <c r="B2675" s="48" t="s">
        <v>4283</v>
      </c>
      <c r="C2675" s="48" t="s">
        <v>8</v>
      </c>
      <c r="D2675" s="50">
        <v>12.93</v>
      </c>
    </row>
    <row r="2676" spans="1:4" ht="13.5">
      <c r="A2676" s="49">
        <v>98560</v>
      </c>
      <c r="B2676" s="48" t="s">
        <v>4284</v>
      </c>
      <c r="C2676" s="48" t="s">
        <v>26764</v>
      </c>
      <c r="D2676" s="50">
        <v>42.08</v>
      </c>
    </row>
    <row r="2677" spans="1:4" ht="13.5">
      <c r="A2677" s="49">
        <v>98561</v>
      </c>
      <c r="B2677" s="48" t="s">
        <v>4285</v>
      </c>
      <c r="C2677" s="48" t="s">
        <v>26764</v>
      </c>
      <c r="D2677" s="50">
        <v>38.47</v>
      </c>
    </row>
    <row r="2678" spans="1:4" ht="13.5">
      <c r="A2678" s="49">
        <v>98562</v>
      </c>
      <c r="B2678" s="48" t="s">
        <v>4286</v>
      </c>
      <c r="C2678" s="48" t="s">
        <v>26764</v>
      </c>
      <c r="D2678" s="50">
        <v>36.78</v>
      </c>
    </row>
    <row r="2679" spans="1:4" ht="13.5">
      <c r="A2679" s="49">
        <v>98555</v>
      </c>
      <c r="B2679" s="48" t="s">
        <v>4287</v>
      </c>
      <c r="C2679" s="48" t="s">
        <v>26764</v>
      </c>
      <c r="D2679" s="50">
        <v>24.29</v>
      </c>
    </row>
    <row r="2680" spans="1:4" ht="13.5">
      <c r="A2680" s="49">
        <v>98556</v>
      </c>
      <c r="B2680" s="48" t="s">
        <v>4288</v>
      </c>
      <c r="C2680" s="48" t="s">
        <v>26764</v>
      </c>
      <c r="D2680" s="50">
        <v>48.12</v>
      </c>
    </row>
    <row r="2681" spans="1:4" ht="13.5">
      <c r="A2681" s="49">
        <v>98558</v>
      </c>
      <c r="B2681" s="48" t="s">
        <v>4289</v>
      </c>
      <c r="C2681" s="48" t="s">
        <v>32</v>
      </c>
      <c r="D2681" s="50">
        <v>7.47</v>
      </c>
    </row>
    <row r="2682" spans="1:4" ht="13.5">
      <c r="A2682" s="49">
        <v>98559</v>
      </c>
      <c r="B2682" s="48" t="s">
        <v>4290</v>
      </c>
      <c r="C2682" s="48" t="s">
        <v>6</v>
      </c>
      <c r="D2682" s="50">
        <v>4.93</v>
      </c>
    </row>
    <row r="2683" spans="1:4" ht="13.5">
      <c r="A2683" s="49">
        <v>98546</v>
      </c>
      <c r="B2683" s="48" t="s">
        <v>4291</v>
      </c>
      <c r="C2683" s="48" t="s">
        <v>26764</v>
      </c>
      <c r="D2683" s="50">
        <v>105.49</v>
      </c>
    </row>
    <row r="2684" spans="1:4" ht="13.5">
      <c r="A2684" s="49">
        <v>98547</v>
      </c>
      <c r="B2684" s="48" t="s">
        <v>4292</v>
      </c>
      <c r="C2684" s="48" t="s">
        <v>26764</v>
      </c>
      <c r="D2684" s="50">
        <v>206</v>
      </c>
    </row>
    <row r="2685" spans="1:4" ht="13.5">
      <c r="A2685" s="49">
        <v>98553</v>
      </c>
      <c r="B2685" s="48" t="s">
        <v>19694</v>
      </c>
      <c r="C2685" s="48" t="s">
        <v>26764</v>
      </c>
      <c r="D2685" s="50">
        <v>118.71</v>
      </c>
    </row>
    <row r="2686" spans="1:4" ht="13.5">
      <c r="A2686" s="49">
        <v>98554</v>
      </c>
      <c r="B2686" s="48" t="s">
        <v>19695</v>
      </c>
      <c r="C2686" s="48" t="s">
        <v>26764</v>
      </c>
      <c r="D2686" s="50">
        <v>40.770000000000003</v>
      </c>
    </row>
    <row r="2687" spans="1:4" ht="13.5">
      <c r="A2687" s="49">
        <v>98557</v>
      </c>
      <c r="B2687" s="48" t="s">
        <v>4293</v>
      </c>
      <c r="C2687" s="48" t="s">
        <v>26764</v>
      </c>
      <c r="D2687" s="50">
        <v>35.950000000000003</v>
      </c>
    </row>
    <row r="2688" spans="1:4" ht="13.5">
      <c r="A2688" s="49">
        <v>98563</v>
      </c>
      <c r="B2688" s="48" t="s">
        <v>4294</v>
      </c>
      <c r="C2688" s="48" t="s">
        <v>26764</v>
      </c>
      <c r="D2688" s="50">
        <v>29.3</v>
      </c>
    </row>
    <row r="2689" spans="1:4" ht="13.5">
      <c r="A2689" s="49">
        <v>98564</v>
      </c>
      <c r="B2689" s="48" t="s">
        <v>4295</v>
      </c>
      <c r="C2689" s="48" t="s">
        <v>26764</v>
      </c>
      <c r="D2689" s="50">
        <v>42.19</v>
      </c>
    </row>
    <row r="2690" spans="1:4" ht="13.5">
      <c r="A2690" s="49">
        <v>98565</v>
      </c>
      <c r="B2690" s="48" t="s">
        <v>4296</v>
      </c>
      <c r="C2690" s="48" t="s">
        <v>26764</v>
      </c>
      <c r="D2690" s="50">
        <v>42.1</v>
      </c>
    </row>
    <row r="2691" spans="1:4" ht="13.5">
      <c r="A2691" s="49">
        <v>98566</v>
      </c>
      <c r="B2691" s="48" t="s">
        <v>4297</v>
      </c>
      <c r="C2691" s="48" t="s">
        <v>26764</v>
      </c>
      <c r="D2691" s="50">
        <v>54.97</v>
      </c>
    </row>
    <row r="2692" spans="1:4" ht="13.5">
      <c r="A2692" s="49">
        <v>98567</v>
      </c>
      <c r="B2692" s="48" t="s">
        <v>4298</v>
      </c>
      <c r="C2692" s="48" t="s">
        <v>26764</v>
      </c>
      <c r="D2692" s="50">
        <v>54.34</v>
      </c>
    </row>
    <row r="2693" spans="1:4" ht="13.5">
      <c r="A2693" s="49">
        <v>98568</v>
      </c>
      <c r="B2693" s="48" t="s">
        <v>4299</v>
      </c>
      <c r="C2693" s="48" t="s">
        <v>26764</v>
      </c>
      <c r="D2693" s="50">
        <v>67.19</v>
      </c>
    </row>
    <row r="2694" spans="1:4" ht="13.5">
      <c r="A2694" s="49">
        <v>98569</v>
      </c>
      <c r="B2694" s="48" t="s">
        <v>4300</v>
      </c>
      <c r="C2694" s="48" t="s">
        <v>26764</v>
      </c>
      <c r="D2694" s="50">
        <v>67.13</v>
      </c>
    </row>
    <row r="2695" spans="1:4" ht="13.5">
      <c r="A2695" s="49">
        <v>98570</v>
      </c>
      <c r="B2695" s="48" t="s">
        <v>4301</v>
      </c>
      <c r="C2695" s="48" t="s">
        <v>26764</v>
      </c>
      <c r="D2695" s="50">
        <v>80.02</v>
      </c>
    </row>
    <row r="2696" spans="1:4" ht="13.5">
      <c r="A2696" s="49">
        <v>98571</v>
      </c>
      <c r="B2696" s="48" t="s">
        <v>4302</v>
      </c>
      <c r="C2696" s="48" t="s">
        <v>26764</v>
      </c>
      <c r="D2696" s="50">
        <v>35.1</v>
      </c>
    </row>
    <row r="2697" spans="1:4" ht="13.5">
      <c r="A2697" s="49">
        <v>98572</v>
      </c>
      <c r="B2697" s="48" t="s">
        <v>4303</v>
      </c>
      <c r="C2697" s="48" t="s">
        <v>26764</v>
      </c>
      <c r="D2697" s="50">
        <v>43.19</v>
      </c>
    </row>
    <row r="2698" spans="1:4" ht="13.5">
      <c r="A2698" s="49">
        <v>98573</v>
      </c>
      <c r="B2698" s="48" t="s">
        <v>4304</v>
      </c>
      <c r="C2698" s="48" t="s">
        <v>26764</v>
      </c>
      <c r="D2698" s="50">
        <v>55.67</v>
      </c>
    </row>
    <row r="2699" spans="1:4" ht="13.5">
      <c r="A2699" s="49">
        <v>91831</v>
      </c>
      <c r="B2699" s="48" t="s">
        <v>4305</v>
      </c>
      <c r="C2699" s="48" t="s">
        <v>6</v>
      </c>
      <c r="D2699" s="50">
        <v>7.97</v>
      </c>
    </row>
    <row r="2700" spans="1:4" ht="13.5">
      <c r="A2700" s="49">
        <v>91833</v>
      </c>
      <c r="B2700" s="48" t="s">
        <v>4306</v>
      </c>
      <c r="C2700" s="48" t="s">
        <v>6</v>
      </c>
      <c r="D2700" s="50">
        <v>8.5</v>
      </c>
    </row>
    <row r="2701" spans="1:4" ht="13.5">
      <c r="A2701" s="49">
        <v>91834</v>
      </c>
      <c r="B2701" s="48" t="s">
        <v>4307</v>
      </c>
      <c r="C2701" s="48" t="s">
        <v>6</v>
      </c>
      <c r="D2701" s="50">
        <v>8.8800000000000008</v>
      </c>
    </row>
    <row r="2702" spans="1:4" ht="13.5">
      <c r="A2702" s="49">
        <v>91835</v>
      </c>
      <c r="B2702" s="48" t="s">
        <v>4308</v>
      </c>
      <c r="C2702" s="48" t="s">
        <v>6</v>
      </c>
      <c r="D2702" s="50">
        <v>10.23</v>
      </c>
    </row>
    <row r="2703" spans="1:4" ht="13.5">
      <c r="A2703" s="49">
        <v>91836</v>
      </c>
      <c r="B2703" s="48" t="s">
        <v>4309</v>
      </c>
      <c r="C2703" s="48" t="s">
        <v>6</v>
      </c>
      <c r="D2703" s="50">
        <v>11.66</v>
      </c>
    </row>
    <row r="2704" spans="1:4" ht="13.5">
      <c r="A2704" s="49">
        <v>91837</v>
      </c>
      <c r="B2704" s="48" t="s">
        <v>4310</v>
      </c>
      <c r="C2704" s="48" t="s">
        <v>6</v>
      </c>
      <c r="D2704" s="50">
        <v>14.8</v>
      </c>
    </row>
    <row r="2705" spans="1:4" ht="13.5">
      <c r="A2705" s="49">
        <v>91839</v>
      </c>
      <c r="B2705" s="48" t="s">
        <v>4311</v>
      </c>
      <c r="C2705" s="48" t="s">
        <v>6</v>
      </c>
      <c r="D2705" s="50">
        <v>10.26</v>
      </c>
    </row>
    <row r="2706" spans="1:4" ht="13.5">
      <c r="A2706" s="49">
        <v>91840</v>
      </c>
      <c r="B2706" s="48" t="s">
        <v>4312</v>
      </c>
      <c r="C2706" s="48" t="s">
        <v>6</v>
      </c>
      <c r="D2706" s="50">
        <v>12.92</v>
      </c>
    </row>
    <row r="2707" spans="1:4" ht="13.5">
      <c r="A2707" s="49">
        <v>91841</v>
      </c>
      <c r="B2707" s="48" t="s">
        <v>4313</v>
      </c>
      <c r="C2707" s="48" t="s">
        <v>6</v>
      </c>
      <c r="D2707" s="50">
        <v>12.22</v>
      </c>
    </row>
    <row r="2708" spans="1:4" ht="13.5">
      <c r="A2708" s="49">
        <v>91842</v>
      </c>
      <c r="B2708" s="48" t="s">
        <v>4314</v>
      </c>
      <c r="C2708" s="48" t="s">
        <v>6</v>
      </c>
      <c r="D2708" s="50">
        <v>5.82</v>
      </c>
    </row>
    <row r="2709" spans="1:4" ht="13.5">
      <c r="A2709" s="49">
        <v>91843</v>
      </c>
      <c r="B2709" s="48" t="s">
        <v>4315</v>
      </c>
      <c r="C2709" s="48" t="s">
        <v>6</v>
      </c>
      <c r="D2709" s="50">
        <v>6.35</v>
      </c>
    </row>
    <row r="2710" spans="1:4" ht="13.5">
      <c r="A2710" s="49">
        <v>91844</v>
      </c>
      <c r="B2710" s="48" t="s">
        <v>4316</v>
      </c>
      <c r="C2710" s="48" t="s">
        <v>6</v>
      </c>
      <c r="D2710" s="50">
        <v>6.73</v>
      </c>
    </row>
    <row r="2711" spans="1:4" ht="13.5">
      <c r="A2711" s="49">
        <v>91845</v>
      </c>
      <c r="B2711" s="48" t="s">
        <v>4317</v>
      </c>
      <c r="C2711" s="48" t="s">
        <v>6</v>
      </c>
      <c r="D2711" s="50">
        <v>8.08</v>
      </c>
    </row>
    <row r="2712" spans="1:4" ht="13.5">
      <c r="A2712" s="49">
        <v>91846</v>
      </c>
      <c r="B2712" s="48" t="s">
        <v>4318</v>
      </c>
      <c r="C2712" s="48" t="s">
        <v>6</v>
      </c>
      <c r="D2712" s="50">
        <v>9.5299999999999994</v>
      </c>
    </row>
    <row r="2713" spans="1:4" ht="13.5">
      <c r="A2713" s="49">
        <v>91847</v>
      </c>
      <c r="B2713" s="48" t="s">
        <v>4319</v>
      </c>
      <c r="C2713" s="48" t="s">
        <v>6</v>
      </c>
      <c r="D2713" s="50">
        <v>12.67</v>
      </c>
    </row>
    <row r="2714" spans="1:4" ht="13.5">
      <c r="A2714" s="49">
        <v>91849</v>
      </c>
      <c r="B2714" s="48" t="s">
        <v>4320</v>
      </c>
      <c r="C2714" s="48" t="s">
        <v>6</v>
      </c>
      <c r="D2714" s="50">
        <v>8.1300000000000008</v>
      </c>
    </row>
    <row r="2715" spans="1:4" ht="13.5">
      <c r="A2715" s="49">
        <v>91850</v>
      </c>
      <c r="B2715" s="48" t="s">
        <v>4321</v>
      </c>
      <c r="C2715" s="48" t="s">
        <v>6</v>
      </c>
      <c r="D2715" s="50">
        <v>10.84</v>
      </c>
    </row>
    <row r="2716" spans="1:4" ht="13.5">
      <c r="A2716" s="49">
        <v>91851</v>
      </c>
      <c r="B2716" s="48" t="s">
        <v>4322</v>
      </c>
      <c r="C2716" s="48" t="s">
        <v>6</v>
      </c>
      <c r="D2716" s="50">
        <v>10.14</v>
      </c>
    </row>
    <row r="2717" spans="1:4" ht="13.5">
      <c r="A2717" s="49">
        <v>91852</v>
      </c>
      <c r="B2717" s="48" t="s">
        <v>4323</v>
      </c>
      <c r="C2717" s="48" t="s">
        <v>6</v>
      </c>
      <c r="D2717" s="50">
        <v>8.2899999999999991</v>
      </c>
    </row>
    <row r="2718" spans="1:4" ht="13.5">
      <c r="A2718" s="49">
        <v>91853</v>
      </c>
      <c r="B2718" s="48" t="s">
        <v>4324</v>
      </c>
      <c r="C2718" s="48" t="s">
        <v>6</v>
      </c>
      <c r="D2718" s="50">
        <v>8.7799999999999994</v>
      </c>
    </row>
    <row r="2719" spans="1:4" ht="13.5">
      <c r="A2719" s="49">
        <v>91854</v>
      </c>
      <c r="B2719" s="48" t="s">
        <v>4325</v>
      </c>
      <c r="C2719" s="48" t="s">
        <v>6</v>
      </c>
      <c r="D2719" s="50">
        <v>9.18</v>
      </c>
    </row>
    <row r="2720" spans="1:4" ht="13.5">
      <c r="A2720" s="49">
        <v>91855</v>
      </c>
      <c r="B2720" s="48" t="s">
        <v>4326</v>
      </c>
      <c r="C2720" s="48" t="s">
        <v>6</v>
      </c>
      <c r="D2720" s="50">
        <v>10.44</v>
      </c>
    </row>
    <row r="2721" spans="1:4" ht="13.5">
      <c r="A2721" s="49">
        <v>91856</v>
      </c>
      <c r="B2721" s="48" t="s">
        <v>4327</v>
      </c>
      <c r="C2721" s="48" t="s">
        <v>6</v>
      </c>
      <c r="D2721" s="50">
        <v>11.83</v>
      </c>
    </row>
    <row r="2722" spans="1:4" ht="13.5">
      <c r="A2722" s="49">
        <v>91857</v>
      </c>
      <c r="B2722" s="48" t="s">
        <v>4329</v>
      </c>
      <c r="C2722" s="48" t="s">
        <v>6</v>
      </c>
      <c r="D2722" s="50">
        <v>14.74</v>
      </c>
    </row>
    <row r="2723" spans="1:4" ht="13.5">
      <c r="A2723" s="49">
        <v>91859</v>
      </c>
      <c r="B2723" s="48" t="s">
        <v>4330</v>
      </c>
      <c r="C2723" s="48" t="s">
        <v>6</v>
      </c>
      <c r="D2723" s="50">
        <v>10.54</v>
      </c>
    </row>
    <row r="2724" spans="1:4" ht="13.5">
      <c r="A2724" s="49">
        <v>91860</v>
      </c>
      <c r="B2724" s="48" t="s">
        <v>4331</v>
      </c>
      <c r="C2724" s="48" t="s">
        <v>6</v>
      </c>
      <c r="D2724" s="50">
        <v>13.13</v>
      </c>
    </row>
    <row r="2725" spans="1:4" ht="13.5">
      <c r="A2725" s="49">
        <v>91861</v>
      </c>
      <c r="B2725" s="48" t="s">
        <v>4332</v>
      </c>
      <c r="C2725" s="48" t="s">
        <v>6</v>
      </c>
      <c r="D2725" s="50">
        <v>12.47</v>
      </c>
    </row>
    <row r="2726" spans="1:4" ht="13.5">
      <c r="A2726" s="49">
        <v>91862</v>
      </c>
      <c r="B2726" s="48" t="s">
        <v>4333</v>
      </c>
      <c r="C2726" s="48" t="s">
        <v>6</v>
      </c>
      <c r="D2726" s="50">
        <v>9.7100000000000009</v>
      </c>
    </row>
    <row r="2727" spans="1:4" ht="13.5">
      <c r="A2727" s="49">
        <v>91863</v>
      </c>
      <c r="B2727" s="48" t="s">
        <v>4334</v>
      </c>
      <c r="C2727" s="48" t="s">
        <v>6</v>
      </c>
      <c r="D2727" s="50">
        <v>11.4</v>
      </c>
    </row>
    <row r="2728" spans="1:4" ht="13.5">
      <c r="A2728" s="49">
        <v>91864</v>
      </c>
      <c r="B2728" s="48" t="s">
        <v>4335</v>
      </c>
      <c r="C2728" s="48" t="s">
        <v>6</v>
      </c>
      <c r="D2728" s="50">
        <v>15.08</v>
      </c>
    </row>
    <row r="2729" spans="1:4" ht="13.5">
      <c r="A2729" s="49">
        <v>91865</v>
      </c>
      <c r="B2729" s="48" t="s">
        <v>4336</v>
      </c>
      <c r="C2729" s="48" t="s">
        <v>6</v>
      </c>
      <c r="D2729" s="50">
        <v>18.760000000000002</v>
      </c>
    </row>
    <row r="2730" spans="1:4" ht="13.5">
      <c r="A2730" s="49">
        <v>91866</v>
      </c>
      <c r="B2730" s="48" t="s">
        <v>4337</v>
      </c>
      <c r="C2730" s="48" t="s">
        <v>6</v>
      </c>
      <c r="D2730" s="50">
        <v>7.71</v>
      </c>
    </row>
    <row r="2731" spans="1:4" ht="13.5">
      <c r="A2731" s="49">
        <v>91867</v>
      </c>
      <c r="B2731" s="48" t="s">
        <v>4338</v>
      </c>
      <c r="C2731" s="48" t="s">
        <v>6</v>
      </c>
      <c r="D2731" s="50">
        <v>9.39</v>
      </c>
    </row>
    <row r="2732" spans="1:4" ht="13.5">
      <c r="A2732" s="49">
        <v>91868</v>
      </c>
      <c r="B2732" s="48" t="s">
        <v>4339</v>
      </c>
      <c r="C2732" s="48" t="s">
        <v>6</v>
      </c>
      <c r="D2732" s="50">
        <v>13.09</v>
      </c>
    </row>
    <row r="2733" spans="1:4" ht="13.5">
      <c r="A2733" s="49">
        <v>91869</v>
      </c>
      <c r="B2733" s="48" t="s">
        <v>4340</v>
      </c>
      <c r="C2733" s="48" t="s">
        <v>6</v>
      </c>
      <c r="D2733" s="50">
        <v>16.78</v>
      </c>
    </row>
    <row r="2734" spans="1:4" ht="13.5">
      <c r="A2734" s="49">
        <v>91870</v>
      </c>
      <c r="B2734" s="48" t="s">
        <v>4341</v>
      </c>
      <c r="C2734" s="48" t="s">
        <v>6</v>
      </c>
      <c r="D2734" s="50">
        <v>10.83</v>
      </c>
    </row>
    <row r="2735" spans="1:4" ht="13.5">
      <c r="A2735" s="49">
        <v>91871</v>
      </c>
      <c r="B2735" s="48" t="s">
        <v>4342</v>
      </c>
      <c r="C2735" s="48" t="s">
        <v>6</v>
      </c>
      <c r="D2735" s="50">
        <v>12.57</v>
      </c>
    </row>
    <row r="2736" spans="1:4" ht="13.5">
      <c r="A2736" s="49">
        <v>91872</v>
      </c>
      <c r="B2736" s="48" t="s">
        <v>4343</v>
      </c>
      <c r="C2736" s="48" t="s">
        <v>6</v>
      </c>
      <c r="D2736" s="50">
        <v>16.25</v>
      </c>
    </row>
    <row r="2737" spans="1:4" ht="13.5">
      <c r="A2737" s="49">
        <v>91873</v>
      </c>
      <c r="B2737" s="48" t="s">
        <v>4344</v>
      </c>
      <c r="C2737" s="48" t="s">
        <v>6</v>
      </c>
      <c r="D2737" s="50">
        <v>19.88</v>
      </c>
    </row>
    <row r="2738" spans="1:4" ht="13.5">
      <c r="A2738" s="49">
        <v>93008</v>
      </c>
      <c r="B2738" s="48" t="s">
        <v>28281</v>
      </c>
      <c r="C2738" s="48" t="s">
        <v>6</v>
      </c>
      <c r="D2738" s="50">
        <v>16.5</v>
      </c>
    </row>
    <row r="2739" spans="1:4" ht="13.5">
      <c r="A2739" s="49">
        <v>93009</v>
      </c>
      <c r="B2739" s="48" t="s">
        <v>28282</v>
      </c>
      <c r="C2739" s="48" t="s">
        <v>6</v>
      </c>
      <c r="D2739" s="50">
        <v>24.42</v>
      </c>
    </row>
    <row r="2740" spans="1:4" ht="13.5">
      <c r="A2740" s="49">
        <v>93010</v>
      </c>
      <c r="B2740" s="48" t="s">
        <v>28283</v>
      </c>
      <c r="C2740" s="48" t="s">
        <v>6</v>
      </c>
      <c r="D2740" s="50">
        <v>34.03</v>
      </c>
    </row>
    <row r="2741" spans="1:4" ht="13.5">
      <c r="A2741" s="49">
        <v>93011</v>
      </c>
      <c r="B2741" s="48" t="s">
        <v>28284</v>
      </c>
      <c r="C2741" s="48" t="s">
        <v>6</v>
      </c>
      <c r="D2741" s="50">
        <v>41.62</v>
      </c>
    </row>
    <row r="2742" spans="1:4" ht="13.5">
      <c r="A2742" s="49">
        <v>93012</v>
      </c>
      <c r="B2742" s="48" t="s">
        <v>28285</v>
      </c>
      <c r="C2742" s="48" t="s">
        <v>6</v>
      </c>
      <c r="D2742" s="50">
        <v>62.9</v>
      </c>
    </row>
    <row r="2743" spans="1:4" ht="13.5">
      <c r="A2743" s="49">
        <v>95726</v>
      </c>
      <c r="B2743" s="48" t="s">
        <v>4345</v>
      </c>
      <c r="C2743" s="48" t="s">
        <v>6</v>
      </c>
      <c r="D2743" s="50">
        <v>6.63</v>
      </c>
    </row>
    <row r="2744" spans="1:4" ht="13.5">
      <c r="A2744" s="49">
        <v>95727</v>
      </c>
      <c r="B2744" s="48" t="s">
        <v>4346</v>
      </c>
      <c r="C2744" s="48" t="s">
        <v>6</v>
      </c>
      <c r="D2744" s="50">
        <v>7.56</v>
      </c>
    </row>
    <row r="2745" spans="1:4" ht="13.5">
      <c r="A2745" s="49">
        <v>95728</v>
      </c>
      <c r="B2745" s="48" t="s">
        <v>4347</v>
      </c>
      <c r="C2745" s="48" t="s">
        <v>6</v>
      </c>
      <c r="D2745" s="50">
        <v>9.6</v>
      </c>
    </row>
    <row r="2746" spans="1:4" ht="13.5">
      <c r="A2746" s="49">
        <v>95729</v>
      </c>
      <c r="B2746" s="48" t="s">
        <v>4348</v>
      </c>
      <c r="C2746" s="48" t="s">
        <v>6</v>
      </c>
      <c r="D2746" s="50">
        <v>8.64</v>
      </c>
    </row>
    <row r="2747" spans="1:4" ht="13.5">
      <c r="A2747" s="49">
        <v>95730</v>
      </c>
      <c r="B2747" s="48" t="s">
        <v>4349</v>
      </c>
      <c r="C2747" s="48" t="s">
        <v>6</v>
      </c>
      <c r="D2747" s="50">
        <v>9.57</v>
      </c>
    </row>
    <row r="2748" spans="1:4" ht="13.5">
      <c r="A2748" s="49">
        <v>95731</v>
      </c>
      <c r="B2748" s="48" t="s">
        <v>4350</v>
      </c>
      <c r="C2748" s="48" t="s">
        <v>6</v>
      </c>
      <c r="D2748" s="50">
        <v>11.61</v>
      </c>
    </row>
    <row r="2749" spans="1:4" ht="13.5">
      <c r="A2749" s="49">
        <v>95732</v>
      </c>
      <c r="B2749" s="48" t="s">
        <v>4351</v>
      </c>
      <c r="C2749" s="48" t="s">
        <v>32</v>
      </c>
      <c r="D2749" s="50">
        <v>4.5599999999999996</v>
      </c>
    </row>
    <row r="2750" spans="1:4" ht="13.5">
      <c r="A2750" s="49">
        <v>95745</v>
      </c>
      <c r="B2750" s="48" t="s">
        <v>4352</v>
      </c>
      <c r="C2750" s="48" t="s">
        <v>6</v>
      </c>
      <c r="D2750" s="50">
        <v>23.29</v>
      </c>
    </row>
    <row r="2751" spans="1:4" ht="13.5">
      <c r="A2751" s="49">
        <v>95746</v>
      </c>
      <c r="B2751" s="48" t="s">
        <v>4353</v>
      </c>
      <c r="C2751" s="48" t="s">
        <v>6</v>
      </c>
      <c r="D2751" s="50">
        <v>28.99</v>
      </c>
    </row>
    <row r="2752" spans="1:4" ht="13.5">
      <c r="A2752" s="49">
        <v>95747</v>
      </c>
      <c r="B2752" s="48" t="s">
        <v>4354</v>
      </c>
      <c r="C2752" s="48" t="s">
        <v>6</v>
      </c>
      <c r="D2752" s="50">
        <v>48.45</v>
      </c>
    </row>
    <row r="2753" spans="1:4" ht="13.5">
      <c r="A2753" s="49">
        <v>95748</v>
      </c>
      <c r="B2753" s="48" t="s">
        <v>4355</v>
      </c>
      <c r="C2753" s="48" t="s">
        <v>6</v>
      </c>
      <c r="D2753" s="50">
        <v>52.18</v>
      </c>
    </row>
    <row r="2754" spans="1:4" ht="13.5">
      <c r="A2754" s="49">
        <v>95749</v>
      </c>
      <c r="B2754" s="48" t="s">
        <v>4356</v>
      </c>
      <c r="C2754" s="48" t="s">
        <v>6</v>
      </c>
      <c r="D2754" s="50">
        <v>29.83</v>
      </c>
    </row>
    <row r="2755" spans="1:4" ht="13.5">
      <c r="A2755" s="49">
        <v>95750</v>
      </c>
      <c r="B2755" s="48" t="s">
        <v>4357</v>
      </c>
      <c r="C2755" s="48" t="s">
        <v>6</v>
      </c>
      <c r="D2755" s="50">
        <v>35.39</v>
      </c>
    </row>
    <row r="2756" spans="1:4" ht="13.5">
      <c r="A2756" s="49">
        <v>95751</v>
      </c>
      <c r="B2756" s="48" t="s">
        <v>4358</v>
      </c>
      <c r="C2756" s="48" t="s">
        <v>6</v>
      </c>
      <c r="D2756" s="50">
        <v>54.66</v>
      </c>
    </row>
    <row r="2757" spans="1:4" ht="13.5">
      <c r="A2757" s="49">
        <v>95752</v>
      </c>
      <c r="B2757" s="48" t="s">
        <v>4359</v>
      </c>
      <c r="C2757" s="48" t="s">
        <v>6</v>
      </c>
      <c r="D2757" s="50">
        <v>58.15</v>
      </c>
    </row>
    <row r="2758" spans="1:4" ht="13.5">
      <c r="A2758" s="49">
        <v>97667</v>
      </c>
      <c r="B2758" s="48" t="s">
        <v>28286</v>
      </c>
      <c r="C2758" s="48" t="s">
        <v>6</v>
      </c>
      <c r="D2758" s="50">
        <v>8.41</v>
      </c>
    </row>
    <row r="2759" spans="1:4" ht="13.5">
      <c r="A2759" s="49">
        <v>97668</v>
      </c>
      <c r="B2759" s="48" t="s">
        <v>28287</v>
      </c>
      <c r="C2759" s="48" t="s">
        <v>6</v>
      </c>
      <c r="D2759" s="50">
        <v>12</v>
      </c>
    </row>
    <row r="2760" spans="1:4" ht="13.5">
      <c r="A2760" s="49">
        <v>97669</v>
      </c>
      <c r="B2760" s="48" t="s">
        <v>28288</v>
      </c>
      <c r="C2760" s="48" t="s">
        <v>6</v>
      </c>
      <c r="D2760" s="50">
        <v>17.690000000000001</v>
      </c>
    </row>
    <row r="2761" spans="1:4" ht="13.5">
      <c r="A2761" s="49">
        <v>97670</v>
      </c>
      <c r="B2761" s="48" t="s">
        <v>28289</v>
      </c>
      <c r="C2761" s="48" t="s">
        <v>6</v>
      </c>
      <c r="D2761" s="50">
        <v>22.85</v>
      </c>
    </row>
    <row r="2762" spans="1:4" ht="13.5">
      <c r="A2762" s="49">
        <v>91874</v>
      </c>
      <c r="B2762" s="48" t="s">
        <v>4360</v>
      </c>
      <c r="C2762" s="48" t="s">
        <v>32</v>
      </c>
      <c r="D2762" s="50">
        <v>4.9400000000000004</v>
      </c>
    </row>
    <row r="2763" spans="1:4" ht="13.5">
      <c r="A2763" s="49">
        <v>91875</v>
      </c>
      <c r="B2763" s="48" t="s">
        <v>4361</v>
      </c>
      <c r="C2763" s="48" t="s">
        <v>32</v>
      </c>
      <c r="D2763" s="50">
        <v>6.57</v>
      </c>
    </row>
    <row r="2764" spans="1:4" ht="13.5">
      <c r="A2764" s="49">
        <v>91876</v>
      </c>
      <c r="B2764" s="48" t="s">
        <v>4362</v>
      </c>
      <c r="C2764" s="48" t="s">
        <v>32</v>
      </c>
      <c r="D2764" s="50">
        <v>8.69</v>
      </c>
    </row>
    <row r="2765" spans="1:4" ht="13.5">
      <c r="A2765" s="49">
        <v>91877</v>
      </c>
      <c r="B2765" s="48" t="s">
        <v>4363</v>
      </c>
      <c r="C2765" s="48" t="s">
        <v>32</v>
      </c>
      <c r="D2765" s="50">
        <v>11.61</v>
      </c>
    </row>
    <row r="2766" spans="1:4" ht="13.5">
      <c r="A2766" s="49">
        <v>91878</v>
      </c>
      <c r="B2766" s="48" t="s">
        <v>4364</v>
      </c>
      <c r="C2766" s="48" t="s">
        <v>32</v>
      </c>
      <c r="D2766" s="50">
        <v>6.32</v>
      </c>
    </row>
    <row r="2767" spans="1:4" ht="13.5">
      <c r="A2767" s="49">
        <v>91879</v>
      </c>
      <c r="B2767" s="48" t="s">
        <v>4365</v>
      </c>
      <c r="C2767" s="48" t="s">
        <v>32</v>
      </c>
      <c r="D2767" s="50">
        <v>7.89</v>
      </c>
    </row>
    <row r="2768" spans="1:4" ht="13.5">
      <c r="A2768" s="49">
        <v>91880</v>
      </c>
      <c r="B2768" s="48" t="s">
        <v>4366</v>
      </c>
      <c r="C2768" s="48" t="s">
        <v>32</v>
      </c>
      <c r="D2768" s="50">
        <v>10.06</v>
      </c>
    </row>
    <row r="2769" spans="1:4" ht="13.5">
      <c r="A2769" s="49">
        <v>91881</v>
      </c>
      <c r="B2769" s="48" t="s">
        <v>4367</v>
      </c>
      <c r="C2769" s="48" t="s">
        <v>32</v>
      </c>
      <c r="D2769" s="50">
        <v>12.98</v>
      </c>
    </row>
    <row r="2770" spans="1:4" ht="13.5">
      <c r="A2770" s="49">
        <v>91882</v>
      </c>
      <c r="B2770" s="48" t="s">
        <v>4368</v>
      </c>
      <c r="C2770" s="48" t="s">
        <v>32</v>
      </c>
      <c r="D2770" s="50">
        <v>7.79</v>
      </c>
    </row>
    <row r="2771" spans="1:4" ht="13.5">
      <c r="A2771" s="49">
        <v>91884</v>
      </c>
      <c r="B2771" s="48" t="s">
        <v>4369</v>
      </c>
      <c r="C2771" s="48" t="s">
        <v>32</v>
      </c>
      <c r="D2771" s="50">
        <v>9.0399999999999991</v>
      </c>
    </row>
    <row r="2772" spans="1:4" ht="13.5">
      <c r="A2772" s="49">
        <v>91885</v>
      </c>
      <c r="B2772" s="48" t="s">
        <v>4370</v>
      </c>
      <c r="C2772" s="48" t="s">
        <v>32</v>
      </c>
      <c r="D2772" s="50">
        <v>10.72</v>
      </c>
    </row>
    <row r="2773" spans="1:4" ht="13.5">
      <c r="A2773" s="49">
        <v>91886</v>
      </c>
      <c r="B2773" s="48" t="s">
        <v>4371</v>
      </c>
      <c r="C2773" s="48" t="s">
        <v>32</v>
      </c>
      <c r="D2773" s="50">
        <v>13.12</v>
      </c>
    </row>
    <row r="2774" spans="1:4" ht="13.5">
      <c r="A2774" s="49">
        <v>91887</v>
      </c>
      <c r="B2774" s="48" t="s">
        <v>4372</v>
      </c>
      <c r="C2774" s="48" t="s">
        <v>32</v>
      </c>
      <c r="D2774" s="50">
        <v>9.36</v>
      </c>
    </row>
    <row r="2775" spans="1:4" ht="13.5">
      <c r="A2775" s="49">
        <v>91889</v>
      </c>
      <c r="B2775" s="48" t="s">
        <v>4373</v>
      </c>
      <c r="C2775" s="48" t="s">
        <v>32</v>
      </c>
      <c r="D2775" s="50">
        <v>8.99</v>
      </c>
    </row>
    <row r="2776" spans="1:4" ht="13.5">
      <c r="A2776" s="49">
        <v>91890</v>
      </c>
      <c r="B2776" s="48" t="s">
        <v>4374</v>
      </c>
      <c r="C2776" s="48" t="s">
        <v>32</v>
      </c>
      <c r="D2776" s="50">
        <v>11.05</v>
      </c>
    </row>
    <row r="2777" spans="1:4" ht="13.5">
      <c r="A2777" s="49">
        <v>91892</v>
      </c>
      <c r="B2777" s="48" t="s">
        <v>4375</v>
      </c>
      <c r="C2777" s="48" t="s">
        <v>32</v>
      </c>
      <c r="D2777" s="50">
        <v>13.55</v>
      </c>
    </row>
    <row r="2778" spans="1:4" ht="13.5">
      <c r="A2778" s="49">
        <v>91893</v>
      </c>
      <c r="B2778" s="48" t="s">
        <v>4376</v>
      </c>
      <c r="C2778" s="48" t="s">
        <v>32</v>
      </c>
      <c r="D2778" s="50">
        <v>15.17</v>
      </c>
    </row>
    <row r="2779" spans="1:4" ht="13.5">
      <c r="A2779" s="49">
        <v>91895</v>
      </c>
      <c r="B2779" s="48" t="s">
        <v>4377</v>
      </c>
      <c r="C2779" s="48" t="s">
        <v>32</v>
      </c>
      <c r="D2779" s="50">
        <v>17.7</v>
      </c>
    </row>
    <row r="2780" spans="1:4" ht="13.5">
      <c r="A2780" s="49">
        <v>91896</v>
      </c>
      <c r="B2780" s="48" t="s">
        <v>4378</v>
      </c>
      <c r="C2780" s="48" t="s">
        <v>32</v>
      </c>
      <c r="D2780" s="50">
        <v>18.46</v>
      </c>
    </row>
    <row r="2781" spans="1:4" ht="13.5">
      <c r="A2781" s="49">
        <v>91898</v>
      </c>
      <c r="B2781" s="48" t="s">
        <v>4379</v>
      </c>
      <c r="C2781" s="48" t="s">
        <v>32</v>
      </c>
      <c r="D2781" s="50">
        <v>21.17</v>
      </c>
    </row>
    <row r="2782" spans="1:4" ht="13.5">
      <c r="A2782" s="49">
        <v>91899</v>
      </c>
      <c r="B2782" s="48" t="s">
        <v>4380</v>
      </c>
      <c r="C2782" s="48" t="s">
        <v>32</v>
      </c>
      <c r="D2782" s="50">
        <v>11.34</v>
      </c>
    </row>
    <row r="2783" spans="1:4" ht="13.5">
      <c r="A2783" s="49">
        <v>91901</v>
      </c>
      <c r="B2783" s="48" t="s">
        <v>4381</v>
      </c>
      <c r="C2783" s="48" t="s">
        <v>32</v>
      </c>
      <c r="D2783" s="50">
        <v>10.97</v>
      </c>
    </row>
    <row r="2784" spans="1:4" ht="13.5">
      <c r="A2784" s="49">
        <v>91902</v>
      </c>
      <c r="B2784" s="48" t="s">
        <v>4382</v>
      </c>
      <c r="C2784" s="48" t="s">
        <v>32</v>
      </c>
      <c r="D2784" s="50">
        <v>13.04</v>
      </c>
    </row>
    <row r="2785" spans="1:4" ht="13.5">
      <c r="A2785" s="49">
        <v>91904</v>
      </c>
      <c r="B2785" s="48" t="s">
        <v>4383</v>
      </c>
      <c r="C2785" s="48" t="s">
        <v>32</v>
      </c>
      <c r="D2785" s="50">
        <v>15.54</v>
      </c>
    </row>
    <row r="2786" spans="1:4" ht="13.5">
      <c r="A2786" s="49">
        <v>91905</v>
      </c>
      <c r="B2786" s="48" t="s">
        <v>4384</v>
      </c>
      <c r="C2786" s="48" t="s">
        <v>32</v>
      </c>
      <c r="D2786" s="50">
        <v>17.16</v>
      </c>
    </row>
    <row r="2787" spans="1:4" ht="13.5">
      <c r="A2787" s="49">
        <v>91907</v>
      </c>
      <c r="B2787" s="48" t="s">
        <v>4385</v>
      </c>
      <c r="C2787" s="48" t="s">
        <v>32</v>
      </c>
      <c r="D2787" s="50">
        <v>19.690000000000001</v>
      </c>
    </row>
    <row r="2788" spans="1:4" ht="13.5">
      <c r="A2788" s="49">
        <v>91908</v>
      </c>
      <c r="B2788" s="48" t="s">
        <v>4386</v>
      </c>
      <c r="C2788" s="48" t="s">
        <v>32</v>
      </c>
      <c r="D2788" s="50">
        <v>20.49</v>
      </c>
    </row>
    <row r="2789" spans="1:4" ht="13.5">
      <c r="A2789" s="49">
        <v>91910</v>
      </c>
      <c r="B2789" s="48" t="s">
        <v>4387</v>
      </c>
      <c r="C2789" s="48" t="s">
        <v>32</v>
      </c>
      <c r="D2789" s="50">
        <v>23.2</v>
      </c>
    </row>
    <row r="2790" spans="1:4" ht="13.5">
      <c r="A2790" s="49">
        <v>91911</v>
      </c>
      <c r="B2790" s="48" t="s">
        <v>4388</v>
      </c>
      <c r="C2790" s="48" t="s">
        <v>32</v>
      </c>
      <c r="D2790" s="50">
        <v>13.61</v>
      </c>
    </row>
    <row r="2791" spans="1:4" ht="13.5">
      <c r="A2791" s="49">
        <v>91913</v>
      </c>
      <c r="B2791" s="48" t="s">
        <v>4389</v>
      </c>
      <c r="C2791" s="48" t="s">
        <v>32</v>
      </c>
      <c r="D2791" s="50">
        <v>13.24</v>
      </c>
    </row>
    <row r="2792" spans="1:4" ht="13.5">
      <c r="A2792" s="49">
        <v>91914</v>
      </c>
      <c r="B2792" s="48" t="s">
        <v>4390</v>
      </c>
      <c r="C2792" s="48" t="s">
        <v>32</v>
      </c>
      <c r="D2792" s="50">
        <v>14.79</v>
      </c>
    </row>
    <row r="2793" spans="1:4" ht="13.5">
      <c r="A2793" s="49">
        <v>91916</v>
      </c>
      <c r="B2793" s="48" t="s">
        <v>4391</v>
      </c>
      <c r="C2793" s="48" t="s">
        <v>32</v>
      </c>
      <c r="D2793" s="50">
        <v>17.29</v>
      </c>
    </row>
    <row r="2794" spans="1:4" ht="13.5">
      <c r="A2794" s="49">
        <v>91917</v>
      </c>
      <c r="B2794" s="48" t="s">
        <v>4392</v>
      </c>
      <c r="C2794" s="48" t="s">
        <v>32</v>
      </c>
      <c r="D2794" s="50">
        <v>18.2</v>
      </c>
    </row>
    <row r="2795" spans="1:4" ht="13.5">
      <c r="A2795" s="49">
        <v>91919</v>
      </c>
      <c r="B2795" s="48" t="s">
        <v>4393</v>
      </c>
      <c r="C2795" s="48" t="s">
        <v>32</v>
      </c>
      <c r="D2795" s="50">
        <v>20.73</v>
      </c>
    </row>
    <row r="2796" spans="1:4" ht="13.5">
      <c r="A2796" s="49">
        <v>91920</v>
      </c>
      <c r="B2796" s="48" t="s">
        <v>4394</v>
      </c>
      <c r="C2796" s="48" t="s">
        <v>32</v>
      </c>
      <c r="D2796" s="50">
        <v>20.73</v>
      </c>
    </row>
    <row r="2797" spans="1:4" ht="13.5">
      <c r="A2797" s="49">
        <v>91922</v>
      </c>
      <c r="B2797" s="48" t="s">
        <v>4395</v>
      </c>
      <c r="C2797" s="48" t="s">
        <v>32</v>
      </c>
      <c r="D2797" s="50">
        <v>23.44</v>
      </c>
    </row>
    <row r="2798" spans="1:4" ht="13.5">
      <c r="A2798" s="49">
        <v>93013</v>
      </c>
      <c r="B2798" s="48" t="s">
        <v>28290</v>
      </c>
      <c r="C2798" s="48" t="s">
        <v>32</v>
      </c>
      <c r="D2798" s="50">
        <v>15.12</v>
      </c>
    </row>
    <row r="2799" spans="1:4" ht="13.5">
      <c r="A2799" s="49">
        <v>93014</v>
      </c>
      <c r="B2799" s="48" t="s">
        <v>28291</v>
      </c>
      <c r="C2799" s="48" t="s">
        <v>32</v>
      </c>
      <c r="D2799" s="50">
        <v>18.73</v>
      </c>
    </row>
    <row r="2800" spans="1:4" ht="13.5">
      <c r="A2800" s="49">
        <v>93015</v>
      </c>
      <c r="B2800" s="48" t="s">
        <v>28292</v>
      </c>
      <c r="C2800" s="48" t="s">
        <v>32</v>
      </c>
      <c r="D2800" s="50">
        <v>29.09</v>
      </c>
    </row>
    <row r="2801" spans="1:4" ht="13.5">
      <c r="A2801" s="49">
        <v>93016</v>
      </c>
      <c r="B2801" s="48" t="s">
        <v>28293</v>
      </c>
      <c r="C2801" s="48" t="s">
        <v>32</v>
      </c>
      <c r="D2801" s="50">
        <v>35.659999999999997</v>
      </c>
    </row>
    <row r="2802" spans="1:4" ht="13.5">
      <c r="A2802" s="49">
        <v>93017</v>
      </c>
      <c r="B2802" s="48" t="s">
        <v>28294</v>
      </c>
      <c r="C2802" s="48" t="s">
        <v>32</v>
      </c>
      <c r="D2802" s="50">
        <v>54.37</v>
      </c>
    </row>
    <row r="2803" spans="1:4" ht="13.5">
      <c r="A2803" s="49">
        <v>93018</v>
      </c>
      <c r="B2803" s="48" t="s">
        <v>28295</v>
      </c>
      <c r="C2803" s="48" t="s">
        <v>32</v>
      </c>
      <c r="D2803" s="50">
        <v>23.14</v>
      </c>
    </row>
    <row r="2804" spans="1:4" ht="13.5">
      <c r="A2804" s="49">
        <v>93020</v>
      </c>
      <c r="B2804" s="48" t="s">
        <v>28296</v>
      </c>
      <c r="C2804" s="48" t="s">
        <v>32</v>
      </c>
      <c r="D2804" s="50">
        <v>30.04</v>
      </c>
    </row>
    <row r="2805" spans="1:4" ht="13.5">
      <c r="A2805" s="49">
        <v>93022</v>
      </c>
      <c r="B2805" s="48" t="s">
        <v>28297</v>
      </c>
      <c r="C2805" s="48" t="s">
        <v>32</v>
      </c>
      <c r="D2805" s="50">
        <v>51.82</v>
      </c>
    </row>
    <row r="2806" spans="1:4" ht="13.5">
      <c r="A2806" s="49">
        <v>93024</v>
      </c>
      <c r="B2806" s="48" t="s">
        <v>28298</v>
      </c>
      <c r="C2806" s="48" t="s">
        <v>32</v>
      </c>
      <c r="D2806" s="50">
        <v>54.25</v>
      </c>
    </row>
    <row r="2807" spans="1:4" ht="13.5">
      <c r="A2807" s="49">
        <v>93026</v>
      </c>
      <c r="B2807" s="48" t="s">
        <v>28299</v>
      </c>
      <c r="C2807" s="48" t="s">
        <v>32</v>
      </c>
      <c r="D2807" s="50">
        <v>90.44</v>
      </c>
    </row>
    <row r="2808" spans="1:4" ht="13.5">
      <c r="A2808" s="49">
        <v>95733</v>
      </c>
      <c r="B2808" s="48" t="s">
        <v>4396</v>
      </c>
      <c r="C2808" s="48" t="s">
        <v>32</v>
      </c>
      <c r="D2808" s="50">
        <v>5.99</v>
      </c>
    </row>
    <row r="2809" spans="1:4" ht="13.5">
      <c r="A2809" s="49">
        <v>95734</v>
      </c>
      <c r="B2809" s="48" t="s">
        <v>4397</v>
      </c>
      <c r="C2809" s="48" t="s">
        <v>32</v>
      </c>
      <c r="D2809" s="50">
        <v>8</v>
      </c>
    </row>
    <row r="2810" spans="1:4" ht="13.5">
      <c r="A2810" s="49">
        <v>95735</v>
      </c>
      <c r="B2810" s="48" t="s">
        <v>4398</v>
      </c>
      <c r="C2810" s="48" t="s">
        <v>32</v>
      </c>
      <c r="D2810" s="50">
        <v>6.66</v>
      </c>
    </row>
    <row r="2811" spans="1:4" ht="13.5">
      <c r="A2811" s="49">
        <v>95736</v>
      </c>
      <c r="B2811" s="48" t="s">
        <v>4399</v>
      </c>
      <c r="C2811" s="48" t="s">
        <v>32</v>
      </c>
      <c r="D2811" s="50">
        <v>7.84</v>
      </c>
    </row>
    <row r="2812" spans="1:4" ht="13.5">
      <c r="A2812" s="49">
        <v>95738</v>
      </c>
      <c r="B2812" s="48" t="s">
        <v>4400</v>
      </c>
      <c r="C2812" s="48" t="s">
        <v>32</v>
      </c>
      <c r="D2812" s="50">
        <v>9.5</v>
      </c>
    </row>
    <row r="2813" spans="1:4" ht="13.5">
      <c r="A2813" s="49">
        <v>95753</v>
      </c>
      <c r="B2813" s="48" t="s">
        <v>4401</v>
      </c>
      <c r="C2813" s="48" t="s">
        <v>32</v>
      </c>
      <c r="D2813" s="50">
        <v>7.44</v>
      </c>
    </row>
    <row r="2814" spans="1:4" ht="13.5">
      <c r="A2814" s="49">
        <v>95754</v>
      </c>
      <c r="B2814" s="48" t="s">
        <v>4402</v>
      </c>
      <c r="C2814" s="48" t="s">
        <v>32</v>
      </c>
      <c r="D2814" s="50">
        <v>9.24</v>
      </c>
    </row>
    <row r="2815" spans="1:4" ht="13.5">
      <c r="A2815" s="49">
        <v>95755</v>
      </c>
      <c r="B2815" s="48" t="s">
        <v>4403</v>
      </c>
      <c r="C2815" s="48" t="s">
        <v>32</v>
      </c>
      <c r="D2815" s="50">
        <v>13.41</v>
      </c>
    </row>
    <row r="2816" spans="1:4" ht="13.5">
      <c r="A2816" s="49">
        <v>95756</v>
      </c>
      <c r="B2816" s="48" t="s">
        <v>4404</v>
      </c>
      <c r="C2816" s="48" t="s">
        <v>32</v>
      </c>
      <c r="D2816" s="50">
        <v>17.920000000000002</v>
      </c>
    </row>
    <row r="2817" spans="1:4" ht="13.5">
      <c r="A2817" s="49">
        <v>95757</v>
      </c>
      <c r="B2817" s="48" t="s">
        <v>4405</v>
      </c>
      <c r="C2817" s="48" t="s">
        <v>32</v>
      </c>
      <c r="D2817" s="50">
        <v>11.09</v>
      </c>
    </row>
    <row r="2818" spans="1:4" ht="13.5">
      <c r="A2818" s="49">
        <v>95758</v>
      </c>
      <c r="B2818" s="48" t="s">
        <v>4406</v>
      </c>
      <c r="C2818" s="48" t="s">
        <v>32</v>
      </c>
      <c r="D2818" s="50">
        <v>12.46</v>
      </c>
    </row>
    <row r="2819" spans="1:4" ht="13.5">
      <c r="A2819" s="49">
        <v>95759</v>
      </c>
      <c r="B2819" s="48" t="s">
        <v>4407</v>
      </c>
      <c r="C2819" s="48" t="s">
        <v>32</v>
      </c>
      <c r="D2819" s="50">
        <v>16.02</v>
      </c>
    </row>
    <row r="2820" spans="1:4" ht="13.5">
      <c r="A2820" s="49">
        <v>95760</v>
      </c>
      <c r="B2820" s="48" t="s">
        <v>4408</v>
      </c>
      <c r="C2820" s="48" t="s">
        <v>32</v>
      </c>
      <c r="D2820" s="50">
        <v>19.84</v>
      </c>
    </row>
    <row r="2821" spans="1:4" ht="13.5">
      <c r="A2821" s="49">
        <v>97559</v>
      </c>
      <c r="B2821" s="48" t="s">
        <v>4409</v>
      </c>
      <c r="C2821" s="48" t="s">
        <v>32</v>
      </c>
      <c r="D2821" s="50">
        <v>10.78</v>
      </c>
    </row>
    <row r="2822" spans="1:4" ht="13.5">
      <c r="A2822" s="49">
        <v>97562</v>
      </c>
      <c r="B2822" s="48" t="s">
        <v>4410</v>
      </c>
      <c r="C2822" s="48" t="s">
        <v>32</v>
      </c>
      <c r="D2822" s="50">
        <v>12.77</v>
      </c>
    </row>
    <row r="2823" spans="1:4" ht="13.5">
      <c r="A2823" s="49">
        <v>97564</v>
      </c>
      <c r="B2823" s="48" t="s">
        <v>4411</v>
      </c>
      <c r="C2823" s="48" t="s">
        <v>32</v>
      </c>
      <c r="D2823" s="50">
        <v>14.52</v>
      </c>
    </row>
    <row r="2824" spans="1:4" ht="13.5">
      <c r="A2824" s="49">
        <v>91924</v>
      </c>
      <c r="B2824" s="48" t="s">
        <v>4412</v>
      </c>
      <c r="C2824" s="48" t="s">
        <v>6</v>
      </c>
      <c r="D2824" s="50">
        <v>2.88</v>
      </c>
    </row>
    <row r="2825" spans="1:4" ht="13.5">
      <c r="A2825" s="49">
        <v>91925</v>
      </c>
      <c r="B2825" s="48" t="s">
        <v>4413</v>
      </c>
      <c r="C2825" s="48" t="s">
        <v>6</v>
      </c>
      <c r="D2825" s="50">
        <v>4.1100000000000003</v>
      </c>
    </row>
    <row r="2826" spans="1:4" ht="13.5">
      <c r="A2826" s="49">
        <v>91926</v>
      </c>
      <c r="B2826" s="48" t="s">
        <v>4414</v>
      </c>
      <c r="C2826" s="48" t="s">
        <v>6</v>
      </c>
      <c r="D2826" s="50">
        <v>4.18</v>
      </c>
    </row>
    <row r="2827" spans="1:4" ht="13.5">
      <c r="A2827" s="49">
        <v>91927</v>
      </c>
      <c r="B2827" s="48" t="s">
        <v>4415</v>
      </c>
      <c r="C2827" s="48" t="s">
        <v>6</v>
      </c>
      <c r="D2827" s="50">
        <v>5.53</v>
      </c>
    </row>
    <row r="2828" spans="1:4" ht="13.5">
      <c r="A2828" s="49">
        <v>91928</v>
      </c>
      <c r="B2828" s="48" t="s">
        <v>4416</v>
      </c>
      <c r="C2828" s="48" t="s">
        <v>6</v>
      </c>
      <c r="D2828" s="50">
        <v>6.83</v>
      </c>
    </row>
    <row r="2829" spans="1:4" ht="13.5">
      <c r="A2829" s="49">
        <v>91929</v>
      </c>
      <c r="B2829" s="48" t="s">
        <v>4417</v>
      </c>
      <c r="C2829" s="48" t="s">
        <v>6</v>
      </c>
      <c r="D2829" s="50">
        <v>7.77</v>
      </c>
    </row>
    <row r="2830" spans="1:4" ht="13.5">
      <c r="A2830" s="49">
        <v>91930</v>
      </c>
      <c r="B2830" s="48" t="s">
        <v>4418</v>
      </c>
      <c r="C2830" s="48" t="s">
        <v>6</v>
      </c>
      <c r="D2830" s="50">
        <v>9.3699999999999992</v>
      </c>
    </row>
    <row r="2831" spans="1:4" ht="13.5">
      <c r="A2831" s="49">
        <v>91931</v>
      </c>
      <c r="B2831" s="48" t="s">
        <v>4419</v>
      </c>
      <c r="C2831" s="48" t="s">
        <v>6</v>
      </c>
      <c r="D2831" s="50">
        <v>10.48</v>
      </c>
    </row>
    <row r="2832" spans="1:4" ht="13.5">
      <c r="A2832" s="49">
        <v>91932</v>
      </c>
      <c r="B2832" s="48" t="s">
        <v>4420</v>
      </c>
      <c r="C2832" s="48" t="s">
        <v>6</v>
      </c>
      <c r="D2832" s="50">
        <v>15.45</v>
      </c>
    </row>
    <row r="2833" spans="1:4" ht="13.5">
      <c r="A2833" s="49">
        <v>91933</v>
      </c>
      <c r="B2833" s="48" t="s">
        <v>4421</v>
      </c>
      <c r="C2833" s="48" t="s">
        <v>6</v>
      </c>
      <c r="D2833" s="50">
        <v>16.510000000000002</v>
      </c>
    </row>
    <row r="2834" spans="1:4" ht="13.5">
      <c r="A2834" s="49">
        <v>91934</v>
      </c>
      <c r="B2834" s="48" t="s">
        <v>4422</v>
      </c>
      <c r="C2834" s="48" t="s">
        <v>6</v>
      </c>
      <c r="D2834" s="50">
        <v>23.61</v>
      </c>
    </row>
    <row r="2835" spans="1:4" ht="13.5">
      <c r="A2835" s="49">
        <v>91935</v>
      </c>
      <c r="B2835" s="48" t="s">
        <v>4423</v>
      </c>
      <c r="C2835" s="48" t="s">
        <v>6</v>
      </c>
      <c r="D2835" s="50">
        <v>25.16</v>
      </c>
    </row>
    <row r="2836" spans="1:4" ht="13.5">
      <c r="A2836" s="49">
        <v>92979</v>
      </c>
      <c r="B2836" s="48" t="s">
        <v>4424</v>
      </c>
      <c r="C2836" s="48" t="s">
        <v>6</v>
      </c>
      <c r="D2836" s="50">
        <v>10.62</v>
      </c>
    </row>
    <row r="2837" spans="1:4" ht="13.5">
      <c r="A2837" s="49">
        <v>92980</v>
      </c>
      <c r="B2837" s="48" t="s">
        <v>4425</v>
      </c>
      <c r="C2837" s="48" t="s">
        <v>6</v>
      </c>
      <c r="D2837" s="50">
        <v>11.54</v>
      </c>
    </row>
    <row r="2838" spans="1:4" ht="13.5">
      <c r="A2838" s="49">
        <v>92981</v>
      </c>
      <c r="B2838" s="48" t="s">
        <v>4426</v>
      </c>
      <c r="C2838" s="48" t="s">
        <v>6</v>
      </c>
      <c r="D2838" s="50">
        <v>16.3</v>
      </c>
    </row>
    <row r="2839" spans="1:4" ht="13.5">
      <c r="A2839" s="49">
        <v>92982</v>
      </c>
      <c r="B2839" s="48" t="s">
        <v>4427</v>
      </c>
      <c r="C2839" s="48" t="s">
        <v>6</v>
      </c>
      <c r="D2839" s="50">
        <v>17.63</v>
      </c>
    </row>
    <row r="2840" spans="1:4" ht="13.5">
      <c r="A2840" s="49">
        <v>92984</v>
      </c>
      <c r="B2840" s="48" t="s">
        <v>28300</v>
      </c>
      <c r="C2840" s="48" t="s">
        <v>6</v>
      </c>
      <c r="D2840" s="50">
        <v>28.47</v>
      </c>
    </row>
    <row r="2841" spans="1:4" ht="13.5">
      <c r="A2841" s="49">
        <v>92986</v>
      </c>
      <c r="B2841" s="48" t="s">
        <v>28301</v>
      </c>
      <c r="C2841" s="48" t="s">
        <v>6</v>
      </c>
      <c r="D2841" s="50">
        <v>38.58</v>
      </c>
    </row>
    <row r="2842" spans="1:4" ht="13.5">
      <c r="A2842" s="49">
        <v>92988</v>
      </c>
      <c r="B2842" s="48" t="s">
        <v>28302</v>
      </c>
      <c r="C2842" s="48" t="s">
        <v>6</v>
      </c>
      <c r="D2842" s="50">
        <v>54.2</v>
      </c>
    </row>
    <row r="2843" spans="1:4" ht="13.5">
      <c r="A2843" s="49">
        <v>92990</v>
      </c>
      <c r="B2843" s="48" t="s">
        <v>28303</v>
      </c>
      <c r="C2843" s="48" t="s">
        <v>6</v>
      </c>
      <c r="D2843" s="50">
        <v>74.400000000000006</v>
      </c>
    </row>
    <row r="2844" spans="1:4" ht="13.5">
      <c r="A2844" s="49">
        <v>92992</v>
      </c>
      <c r="B2844" s="48" t="s">
        <v>28304</v>
      </c>
      <c r="C2844" s="48" t="s">
        <v>6</v>
      </c>
      <c r="D2844" s="50">
        <v>98.31</v>
      </c>
    </row>
    <row r="2845" spans="1:4" ht="13.5">
      <c r="A2845" s="49">
        <v>92994</v>
      </c>
      <c r="B2845" s="48" t="s">
        <v>28305</v>
      </c>
      <c r="C2845" s="48" t="s">
        <v>6</v>
      </c>
      <c r="D2845" s="50">
        <v>127.26</v>
      </c>
    </row>
    <row r="2846" spans="1:4" ht="13.5">
      <c r="A2846" s="49">
        <v>92996</v>
      </c>
      <c r="B2846" s="48" t="s">
        <v>28306</v>
      </c>
      <c r="C2846" s="48" t="s">
        <v>6</v>
      </c>
      <c r="D2846" s="50">
        <v>157.30000000000001</v>
      </c>
    </row>
    <row r="2847" spans="1:4" ht="13.5">
      <c r="A2847" s="49">
        <v>92998</v>
      </c>
      <c r="B2847" s="48" t="s">
        <v>28307</v>
      </c>
      <c r="C2847" s="48" t="s">
        <v>6</v>
      </c>
      <c r="D2847" s="50">
        <v>192.45</v>
      </c>
    </row>
    <row r="2848" spans="1:4" ht="13.5">
      <c r="A2848" s="49">
        <v>93000</v>
      </c>
      <c r="B2848" s="48" t="s">
        <v>28308</v>
      </c>
      <c r="C2848" s="48" t="s">
        <v>6</v>
      </c>
      <c r="D2848" s="50">
        <v>252.67</v>
      </c>
    </row>
    <row r="2849" spans="1:4" ht="13.5">
      <c r="A2849" s="49">
        <v>93002</v>
      </c>
      <c r="B2849" s="48" t="s">
        <v>28309</v>
      </c>
      <c r="C2849" s="48" t="s">
        <v>6</v>
      </c>
      <c r="D2849" s="50">
        <v>315.73</v>
      </c>
    </row>
    <row r="2850" spans="1:4" ht="13.5">
      <c r="A2850" s="49">
        <v>101884</v>
      </c>
      <c r="B2850" s="48" t="s">
        <v>20510</v>
      </c>
      <c r="C2850" s="48" t="s">
        <v>6</v>
      </c>
      <c r="D2850" s="50">
        <v>10.37</v>
      </c>
    </row>
    <row r="2851" spans="1:4" ht="13.5">
      <c r="A2851" s="49">
        <v>101885</v>
      </c>
      <c r="B2851" s="48" t="s">
        <v>20511</v>
      </c>
      <c r="C2851" s="48" t="s">
        <v>6</v>
      </c>
      <c r="D2851" s="50">
        <v>11.29</v>
      </c>
    </row>
    <row r="2852" spans="1:4" ht="13.5">
      <c r="A2852" s="49">
        <v>101886</v>
      </c>
      <c r="B2852" s="48" t="s">
        <v>20512</v>
      </c>
      <c r="C2852" s="48" t="s">
        <v>6</v>
      </c>
      <c r="D2852" s="50">
        <v>16.02</v>
      </c>
    </row>
    <row r="2853" spans="1:4" ht="13.5">
      <c r="A2853" s="49">
        <v>101887</v>
      </c>
      <c r="B2853" s="48" t="s">
        <v>20513</v>
      </c>
      <c r="C2853" s="48" t="s">
        <v>6</v>
      </c>
      <c r="D2853" s="50">
        <v>17.350000000000001</v>
      </c>
    </row>
    <row r="2854" spans="1:4" ht="13.5">
      <c r="A2854" s="49">
        <v>101888</v>
      </c>
      <c r="B2854" s="48" t="s">
        <v>20514</v>
      </c>
      <c r="C2854" s="48" t="s">
        <v>6</v>
      </c>
      <c r="D2854" s="50">
        <v>25.72</v>
      </c>
    </row>
    <row r="2855" spans="1:4" ht="13.5">
      <c r="A2855" s="49">
        <v>101889</v>
      </c>
      <c r="B2855" s="48" t="s">
        <v>20515</v>
      </c>
      <c r="C2855" s="48" t="s">
        <v>6</v>
      </c>
      <c r="D2855" s="50">
        <v>26.47</v>
      </c>
    </row>
    <row r="2856" spans="1:4" ht="13.5">
      <c r="A2856" s="49">
        <v>91936</v>
      </c>
      <c r="B2856" s="48" t="s">
        <v>4429</v>
      </c>
      <c r="C2856" s="48" t="s">
        <v>32</v>
      </c>
      <c r="D2856" s="50">
        <v>14.54</v>
      </c>
    </row>
    <row r="2857" spans="1:4" ht="13.5">
      <c r="A2857" s="49">
        <v>91937</v>
      </c>
      <c r="B2857" s="48" t="s">
        <v>4430</v>
      </c>
      <c r="C2857" s="48" t="s">
        <v>32</v>
      </c>
      <c r="D2857" s="50">
        <v>12.15</v>
      </c>
    </row>
    <row r="2858" spans="1:4" ht="13.5">
      <c r="A2858" s="49">
        <v>91939</v>
      </c>
      <c r="B2858" s="48" t="s">
        <v>4431</v>
      </c>
      <c r="C2858" s="48" t="s">
        <v>32</v>
      </c>
      <c r="D2858" s="50">
        <v>28.02</v>
      </c>
    </row>
    <row r="2859" spans="1:4" ht="13.5">
      <c r="A2859" s="49">
        <v>91940</v>
      </c>
      <c r="B2859" s="48" t="s">
        <v>4432</v>
      </c>
      <c r="C2859" s="48" t="s">
        <v>32</v>
      </c>
      <c r="D2859" s="50">
        <v>15.14</v>
      </c>
    </row>
    <row r="2860" spans="1:4" ht="13.5">
      <c r="A2860" s="49">
        <v>91941</v>
      </c>
      <c r="B2860" s="48" t="s">
        <v>4433</v>
      </c>
      <c r="C2860" s="48" t="s">
        <v>32</v>
      </c>
      <c r="D2860" s="50">
        <v>10.3</v>
      </c>
    </row>
    <row r="2861" spans="1:4" ht="13.5">
      <c r="A2861" s="49">
        <v>91942</v>
      </c>
      <c r="B2861" s="48" t="s">
        <v>4434</v>
      </c>
      <c r="C2861" s="48" t="s">
        <v>32</v>
      </c>
      <c r="D2861" s="50">
        <v>34.78</v>
      </c>
    </row>
    <row r="2862" spans="1:4" ht="13.5">
      <c r="A2862" s="49">
        <v>91943</v>
      </c>
      <c r="B2862" s="48" t="s">
        <v>4435</v>
      </c>
      <c r="C2862" s="48" t="s">
        <v>32</v>
      </c>
      <c r="D2862" s="50">
        <v>19.95</v>
      </c>
    </row>
    <row r="2863" spans="1:4" ht="13.5">
      <c r="A2863" s="49">
        <v>91944</v>
      </c>
      <c r="B2863" s="48" t="s">
        <v>4436</v>
      </c>
      <c r="C2863" s="48" t="s">
        <v>32</v>
      </c>
      <c r="D2863" s="50">
        <v>14.4</v>
      </c>
    </row>
    <row r="2864" spans="1:4" ht="13.5">
      <c r="A2864" s="49">
        <v>92865</v>
      </c>
      <c r="B2864" s="48" t="s">
        <v>4437</v>
      </c>
      <c r="C2864" s="48" t="s">
        <v>32</v>
      </c>
      <c r="D2864" s="50">
        <v>11.77</v>
      </c>
    </row>
    <row r="2865" spans="1:4" ht="13.5">
      <c r="A2865" s="49">
        <v>92866</v>
      </c>
      <c r="B2865" s="48" t="s">
        <v>4438</v>
      </c>
      <c r="C2865" s="48" t="s">
        <v>32</v>
      </c>
      <c r="D2865" s="50">
        <v>9.06</v>
      </c>
    </row>
    <row r="2866" spans="1:4" ht="13.5">
      <c r="A2866" s="49">
        <v>92867</v>
      </c>
      <c r="B2866" s="48" t="s">
        <v>4439</v>
      </c>
      <c r="C2866" s="48" t="s">
        <v>32</v>
      </c>
      <c r="D2866" s="50">
        <v>27.38</v>
      </c>
    </row>
    <row r="2867" spans="1:4" ht="13.5">
      <c r="A2867" s="49">
        <v>92868</v>
      </c>
      <c r="B2867" s="48" t="s">
        <v>4440</v>
      </c>
      <c r="C2867" s="48" t="s">
        <v>32</v>
      </c>
      <c r="D2867" s="50">
        <v>14.5</v>
      </c>
    </row>
    <row r="2868" spans="1:4" ht="13.5">
      <c r="A2868" s="49">
        <v>92869</v>
      </c>
      <c r="B2868" s="48" t="s">
        <v>4441</v>
      </c>
      <c r="C2868" s="48" t="s">
        <v>32</v>
      </c>
      <c r="D2868" s="50">
        <v>9.66</v>
      </c>
    </row>
    <row r="2869" spans="1:4" ht="13.5">
      <c r="A2869" s="49">
        <v>92870</v>
      </c>
      <c r="B2869" s="48" t="s">
        <v>4442</v>
      </c>
      <c r="C2869" s="48" t="s">
        <v>32</v>
      </c>
      <c r="D2869" s="50">
        <v>33.799999999999997</v>
      </c>
    </row>
    <row r="2870" spans="1:4" ht="13.5">
      <c r="A2870" s="49">
        <v>92871</v>
      </c>
      <c r="B2870" s="48" t="s">
        <v>4443</v>
      </c>
      <c r="C2870" s="48" t="s">
        <v>32</v>
      </c>
      <c r="D2870" s="50">
        <v>18.97</v>
      </c>
    </row>
    <row r="2871" spans="1:4" ht="13.5">
      <c r="A2871" s="49">
        <v>92872</v>
      </c>
      <c r="B2871" s="48" t="s">
        <v>4444</v>
      </c>
      <c r="C2871" s="48" t="s">
        <v>32</v>
      </c>
      <c r="D2871" s="50">
        <v>13.42</v>
      </c>
    </row>
    <row r="2872" spans="1:4" ht="13.5">
      <c r="A2872" s="49">
        <v>95777</v>
      </c>
      <c r="B2872" s="48" t="s">
        <v>4446</v>
      </c>
      <c r="C2872" s="48" t="s">
        <v>32</v>
      </c>
      <c r="D2872" s="50">
        <v>30.73</v>
      </c>
    </row>
    <row r="2873" spans="1:4" ht="13.5">
      <c r="A2873" s="49">
        <v>95778</v>
      </c>
      <c r="B2873" s="48" t="s">
        <v>4447</v>
      </c>
      <c r="C2873" s="48" t="s">
        <v>32</v>
      </c>
      <c r="D2873" s="50">
        <v>31.57</v>
      </c>
    </row>
    <row r="2874" spans="1:4" ht="13.5">
      <c r="A2874" s="49">
        <v>95779</v>
      </c>
      <c r="B2874" s="48" t="s">
        <v>4448</v>
      </c>
      <c r="C2874" s="48" t="s">
        <v>32</v>
      </c>
      <c r="D2874" s="50">
        <v>28.75</v>
      </c>
    </row>
    <row r="2875" spans="1:4" ht="13.5">
      <c r="A2875" s="49">
        <v>95780</v>
      </c>
      <c r="B2875" s="48" t="s">
        <v>4449</v>
      </c>
      <c r="C2875" s="48" t="s">
        <v>32</v>
      </c>
      <c r="D2875" s="50">
        <v>35.31</v>
      </c>
    </row>
    <row r="2876" spans="1:4" ht="13.5">
      <c r="A2876" s="49">
        <v>95781</v>
      </c>
      <c r="B2876" s="48" t="s">
        <v>4450</v>
      </c>
      <c r="C2876" s="48" t="s">
        <v>32</v>
      </c>
      <c r="D2876" s="50">
        <v>35.93</v>
      </c>
    </row>
    <row r="2877" spans="1:4" ht="13.5">
      <c r="A2877" s="49">
        <v>95782</v>
      </c>
      <c r="B2877" s="48" t="s">
        <v>4451</v>
      </c>
      <c r="C2877" s="48" t="s">
        <v>32</v>
      </c>
      <c r="D2877" s="50">
        <v>37.57</v>
      </c>
    </row>
    <row r="2878" spans="1:4" ht="13.5">
      <c r="A2878" s="49">
        <v>95785</v>
      </c>
      <c r="B2878" s="48" t="s">
        <v>4452</v>
      </c>
      <c r="C2878" s="48" t="s">
        <v>32</v>
      </c>
      <c r="D2878" s="50">
        <v>43.03</v>
      </c>
    </row>
    <row r="2879" spans="1:4" ht="13.5">
      <c r="A2879" s="49">
        <v>95787</v>
      </c>
      <c r="B2879" s="48" t="s">
        <v>4453</v>
      </c>
      <c r="C2879" s="48" t="s">
        <v>32</v>
      </c>
      <c r="D2879" s="50">
        <v>30.74</v>
      </c>
    </row>
    <row r="2880" spans="1:4" ht="13.5">
      <c r="A2880" s="49">
        <v>95789</v>
      </c>
      <c r="B2880" s="48" t="s">
        <v>4454</v>
      </c>
      <c r="C2880" s="48" t="s">
        <v>32</v>
      </c>
      <c r="D2880" s="50">
        <v>38.83</v>
      </c>
    </row>
    <row r="2881" spans="1:4" ht="13.5">
      <c r="A2881" s="49">
        <v>95791</v>
      </c>
      <c r="B2881" s="48" t="s">
        <v>4455</v>
      </c>
      <c r="C2881" s="48" t="s">
        <v>32</v>
      </c>
      <c r="D2881" s="50">
        <v>50.91</v>
      </c>
    </row>
    <row r="2882" spans="1:4" ht="13.5">
      <c r="A2882" s="49">
        <v>95795</v>
      </c>
      <c r="B2882" s="48" t="s">
        <v>4456</v>
      </c>
      <c r="C2882" s="48" t="s">
        <v>32</v>
      </c>
      <c r="D2882" s="50">
        <v>35.47</v>
      </c>
    </row>
    <row r="2883" spans="1:4" ht="13.5">
      <c r="A2883" s="49">
        <v>95796</v>
      </c>
      <c r="B2883" s="48" t="s">
        <v>4458</v>
      </c>
      <c r="C2883" s="48" t="s">
        <v>32</v>
      </c>
      <c r="D2883" s="50">
        <v>45.7</v>
      </c>
    </row>
    <row r="2884" spans="1:4" ht="13.5">
      <c r="A2884" s="49">
        <v>95797</v>
      </c>
      <c r="B2884" s="48" t="s">
        <v>4459</v>
      </c>
      <c r="C2884" s="48" t="s">
        <v>32</v>
      </c>
      <c r="D2884" s="50">
        <v>58.98</v>
      </c>
    </row>
    <row r="2885" spans="1:4" ht="13.5">
      <c r="A2885" s="49">
        <v>95801</v>
      </c>
      <c r="B2885" s="48" t="s">
        <v>4460</v>
      </c>
      <c r="C2885" s="48" t="s">
        <v>32</v>
      </c>
      <c r="D2885" s="50">
        <v>42.9</v>
      </c>
    </row>
    <row r="2886" spans="1:4" ht="13.5">
      <c r="A2886" s="49">
        <v>95802</v>
      </c>
      <c r="B2886" s="48" t="s">
        <v>4461</v>
      </c>
      <c r="C2886" s="48" t="s">
        <v>32</v>
      </c>
      <c r="D2886" s="50">
        <v>48.05</v>
      </c>
    </row>
    <row r="2887" spans="1:4" ht="13.5">
      <c r="A2887" s="49">
        <v>95803</v>
      </c>
      <c r="B2887" s="48" t="s">
        <v>4462</v>
      </c>
      <c r="C2887" s="48" t="s">
        <v>32</v>
      </c>
      <c r="D2887" s="50">
        <v>64.989999999999995</v>
      </c>
    </row>
    <row r="2888" spans="1:4" ht="13.5">
      <c r="A2888" s="49">
        <v>95804</v>
      </c>
      <c r="B2888" s="48" t="s">
        <v>4463</v>
      </c>
      <c r="C2888" s="48" t="s">
        <v>32</v>
      </c>
      <c r="D2888" s="50">
        <v>26.57</v>
      </c>
    </row>
    <row r="2889" spans="1:4" ht="13.5">
      <c r="A2889" s="49">
        <v>95805</v>
      </c>
      <c r="B2889" s="48" t="s">
        <v>4464</v>
      </c>
      <c r="C2889" s="48" t="s">
        <v>32</v>
      </c>
      <c r="D2889" s="50">
        <v>26.8</v>
      </c>
    </row>
    <row r="2890" spans="1:4" ht="13.5">
      <c r="A2890" s="49">
        <v>95806</v>
      </c>
      <c r="B2890" s="48" t="s">
        <v>4465</v>
      </c>
      <c r="C2890" s="48" t="s">
        <v>32</v>
      </c>
      <c r="D2890" s="50">
        <v>27.69</v>
      </c>
    </row>
    <row r="2891" spans="1:4" ht="13.5">
      <c r="A2891" s="49">
        <v>95807</v>
      </c>
      <c r="B2891" s="48" t="s">
        <v>4466</v>
      </c>
      <c r="C2891" s="48" t="s">
        <v>32</v>
      </c>
      <c r="D2891" s="50">
        <v>30.42</v>
      </c>
    </row>
    <row r="2892" spans="1:4" ht="13.5">
      <c r="A2892" s="49">
        <v>95808</v>
      </c>
      <c r="B2892" s="48" t="s">
        <v>4467</v>
      </c>
      <c r="C2892" s="48" t="s">
        <v>32</v>
      </c>
      <c r="D2892" s="50">
        <v>31.08</v>
      </c>
    </row>
    <row r="2893" spans="1:4" ht="13.5">
      <c r="A2893" s="49">
        <v>95809</v>
      </c>
      <c r="B2893" s="48" t="s">
        <v>4468</v>
      </c>
      <c r="C2893" s="48" t="s">
        <v>32</v>
      </c>
      <c r="D2893" s="50">
        <v>34.31</v>
      </c>
    </row>
    <row r="2894" spans="1:4" ht="13.5">
      <c r="A2894" s="49">
        <v>95810</v>
      </c>
      <c r="B2894" s="48" t="s">
        <v>4469</v>
      </c>
      <c r="C2894" s="48" t="s">
        <v>32</v>
      </c>
      <c r="D2894" s="50">
        <v>17.75</v>
      </c>
    </row>
    <row r="2895" spans="1:4" ht="13.5">
      <c r="A2895" s="49">
        <v>95811</v>
      </c>
      <c r="B2895" s="48" t="s">
        <v>4470</v>
      </c>
      <c r="C2895" s="48" t="s">
        <v>32</v>
      </c>
      <c r="D2895" s="50">
        <v>18.420000000000002</v>
      </c>
    </row>
    <row r="2896" spans="1:4" ht="13.5">
      <c r="A2896" s="49">
        <v>95812</v>
      </c>
      <c r="B2896" s="48" t="s">
        <v>4471</v>
      </c>
      <c r="C2896" s="48" t="s">
        <v>32</v>
      </c>
      <c r="D2896" s="50">
        <v>21.65</v>
      </c>
    </row>
    <row r="2897" spans="1:4" ht="13.5">
      <c r="A2897" s="49">
        <v>95813</v>
      </c>
      <c r="B2897" s="48" t="s">
        <v>4472</v>
      </c>
      <c r="C2897" s="48" t="s">
        <v>32</v>
      </c>
      <c r="D2897" s="50">
        <v>21.12</v>
      </c>
    </row>
    <row r="2898" spans="1:4" ht="13.5">
      <c r="A2898" s="49">
        <v>95814</v>
      </c>
      <c r="B2898" s="48" t="s">
        <v>4473</v>
      </c>
      <c r="C2898" s="48" t="s">
        <v>32</v>
      </c>
      <c r="D2898" s="50">
        <v>22.11</v>
      </c>
    </row>
    <row r="2899" spans="1:4" ht="13.5">
      <c r="A2899" s="49">
        <v>95815</v>
      </c>
      <c r="B2899" s="48" t="s">
        <v>4474</v>
      </c>
      <c r="C2899" s="48" t="s">
        <v>32</v>
      </c>
      <c r="D2899" s="50">
        <v>28.43</v>
      </c>
    </row>
    <row r="2900" spans="1:4" ht="13.5">
      <c r="A2900" s="49">
        <v>95816</v>
      </c>
      <c r="B2900" s="48" t="s">
        <v>4475</v>
      </c>
      <c r="C2900" s="48" t="s">
        <v>32</v>
      </c>
      <c r="D2900" s="50">
        <v>37.44</v>
      </c>
    </row>
    <row r="2901" spans="1:4" ht="13.5">
      <c r="A2901" s="49">
        <v>95817</v>
      </c>
      <c r="B2901" s="48" t="s">
        <v>4476</v>
      </c>
      <c r="C2901" s="48" t="s">
        <v>32</v>
      </c>
      <c r="D2901" s="50">
        <v>38.22</v>
      </c>
    </row>
    <row r="2902" spans="1:4" ht="13.5">
      <c r="A2902" s="49">
        <v>95818</v>
      </c>
      <c r="B2902" s="48" t="s">
        <v>4477</v>
      </c>
      <c r="C2902" s="48" t="s">
        <v>32</v>
      </c>
      <c r="D2902" s="50">
        <v>46.71</v>
      </c>
    </row>
    <row r="2903" spans="1:4" ht="13.5">
      <c r="A2903" s="49">
        <v>97881</v>
      </c>
      <c r="B2903" s="48" t="s">
        <v>20516</v>
      </c>
      <c r="C2903" s="48" t="s">
        <v>32</v>
      </c>
      <c r="D2903" s="50">
        <v>95.65</v>
      </c>
    </row>
    <row r="2904" spans="1:4" ht="13.5">
      <c r="A2904" s="49">
        <v>97882</v>
      </c>
      <c r="B2904" s="48" t="s">
        <v>20517</v>
      </c>
      <c r="C2904" s="48" t="s">
        <v>32</v>
      </c>
      <c r="D2904" s="50">
        <v>146.66</v>
      </c>
    </row>
    <row r="2905" spans="1:4" ht="13.5">
      <c r="A2905" s="49">
        <v>97883</v>
      </c>
      <c r="B2905" s="48" t="s">
        <v>20518</v>
      </c>
      <c r="C2905" s="48" t="s">
        <v>32</v>
      </c>
      <c r="D2905" s="50">
        <v>281.54000000000002</v>
      </c>
    </row>
    <row r="2906" spans="1:4" ht="13.5">
      <c r="A2906" s="49">
        <v>97884</v>
      </c>
      <c r="B2906" s="48" t="s">
        <v>20519</v>
      </c>
      <c r="C2906" s="48" t="s">
        <v>32</v>
      </c>
      <c r="D2906" s="50">
        <v>535.87</v>
      </c>
    </row>
    <row r="2907" spans="1:4" ht="13.5">
      <c r="A2907" s="49">
        <v>97885</v>
      </c>
      <c r="B2907" s="48" t="s">
        <v>20520</v>
      </c>
      <c r="C2907" s="48" t="s">
        <v>32</v>
      </c>
      <c r="D2907" s="50">
        <v>823.43</v>
      </c>
    </row>
    <row r="2908" spans="1:4" ht="13.5">
      <c r="A2908" s="49">
        <v>97886</v>
      </c>
      <c r="B2908" s="48" t="s">
        <v>20521</v>
      </c>
      <c r="C2908" s="48" t="s">
        <v>32</v>
      </c>
      <c r="D2908" s="50">
        <v>156.30000000000001</v>
      </c>
    </row>
    <row r="2909" spans="1:4" ht="13.5">
      <c r="A2909" s="49">
        <v>97887</v>
      </c>
      <c r="B2909" s="48" t="s">
        <v>20522</v>
      </c>
      <c r="C2909" s="48" t="s">
        <v>32</v>
      </c>
      <c r="D2909" s="50">
        <v>246.16</v>
      </c>
    </row>
    <row r="2910" spans="1:4" ht="13.5">
      <c r="A2910" s="49">
        <v>97888</v>
      </c>
      <c r="B2910" s="48" t="s">
        <v>20523</v>
      </c>
      <c r="C2910" s="48" t="s">
        <v>32</v>
      </c>
      <c r="D2910" s="50">
        <v>474.1</v>
      </c>
    </row>
    <row r="2911" spans="1:4" ht="13.5">
      <c r="A2911" s="49">
        <v>97889</v>
      </c>
      <c r="B2911" s="48" t="s">
        <v>20524</v>
      </c>
      <c r="C2911" s="48" t="s">
        <v>32</v>
      </c>
      <c r="D2911" s="50">
        <v>637.29999999999995</v>
      </c>
    </row>
    <row r="2912" spans="1:4" ht="13.5">
      <c r="A2912" s="49">
        <v>97890</v>
      </c>
      <c r="B2912" s="48" t="s">
        <v>20525</v>
      </c>
      <c r="C2912" s="48" t="s">
        <v>32</v>
      </c>
      <c r="D2912" s="50">
        <v>733.6</v>
      </c>
    </row>
    <row r="2913" spans="1:4" ht="13.5">
      <c r="A2913" s="49">
        <v>97891</v>
      </c>
      <c r="B2913" s="48" t="s">
        <v>20526</v>
      </c>
      <c r="C2913" s="48" t="s">
        <v>32</v>
      </c>
      <c r="D2913" s="50">
        <v>186.4</v>
      </c>
    </row>
    <row r="2914" spans="1:4" ht="13.5">
      <c r="A2914" s="49">
        <v>97892</v>
      </c>
      <c r="B2914" s="48" t="s">
        <v>20527</v>
      </c>
      <c r="C2914" s="48" t="s">
        <v>32</v>
      </c>
      <c r="D2914" s="50">
        <v>347.73</v>
      </c>
    </row>
    <row r="2915" spans="1:4" ht="13.5">
      <c r="A2915" s="49">
        <v>97893</v>
      </c>
      <c r="B2915" s="48" t="s">
        <v>20528</v>
      </c>
      <c r="C2915" s="48" t="s">
        <v>32</v>
      </c>
      <c r="D2915" s="50">
        <v>476.16</v>
      </c>
    </row>
    <row r="2916" spans="1:4" ht="13.5">
      <c r="A2916" s="49">
        <v>97894</v>
      </c>
      <c r="B2916" s="48" t="s">
        <v>20529</v>
      </c>
      <c r="C2916" s="48" t="s">
        <v>32</v>
      </c>
      <c r="D2916" s="50">
        <v>538.32000000000005</v>
      </c>
    </row>
    <row r="2917" spans="1:4" ht="13.5">
      <c r="A2917" s="49">
        <v>93653</v>
      </c>
      <c r="B2917" s="48" t="s">
        <v>20530</v>
      </c>
      <c r="C2917" s="48" t="s">
        <v>32</v>
      </c>
      <c r="D2917" s="50">
        <v>10.68</v>
      </c>
    </row>
    <row r="2918" spans="1:4" ht="13.5">
      <c r="A2918" s="49">
        <v>93654</v>
      </c>
      <c r="B2918" s="48" t="s">
        <v>20531</v>
      </c>
      <c r="C2918" s="48" t="s">
        <v>32</v>
      </c>
      <c r="D2918" s="50">
        <v>11.27</v>
      </c>
    </row>
    <row r="2919" spans="1:4" ht="13.5">
      <c r="A2919" s="49">
        <v>93655</v>
      </c>
      <c r="B2919" s="48" t="s">
        <v>20532</v>
      </c>
      <c r="C2919" s="48" t="s">
        <v>32</v>
      </c>
      <c r="D2919" s="50">
        <v>12.41</v>
      </c>
    </row>
    <row r="2920" spans="1:4" ht="13.5">
      <c r="A2920" s="49">
        <v>93656</v>
      </c>
      <c r="B2920" s="48" t="s">
        <v>20533</v>
      </c>
      <c r="C2920" s="48" t="s">
        <v>32</v>
      </c>
      <c r="D2920" s="50">
        <v>12.41</v>
      </c>
    </row>
    <row r="2921" spans="1:4" ht="13.5">
      <c r="A2921" s="49">
        <v>93657</v>
      </c>
      <c r="B2921" s="48" t="s">
        <v>20534</v>
      </c>
      <c r="C2921" s="48" t="s">
        <v>32</v>
      </c>
      <c r="D2921" s="50">
        <v>13.81</v>
      </c>
    </row>
    <row r="2922" spans="1:4" ht="13.5">
      <c r="A2922" s="49">
        <v>93658</v>
      </c>
      <c r="B2922" s="48" t="s">
        <v>20535</v>
      </c>
      <c r="C2922" s="48" t="s">
        <v>32</v>
      </c>
      <c r="D2922" s="50">
        <v>19.95</v>
      </c>
    </row>
    <row r="2923" spans="1:4" ht="13.5">
      <c r="A2923" s="49">
        <v>93659</v>
      </c>
      <c r="B2923" s="48" t="s">
        <v>20536</v>
      </c>
      <c r="C2923" s="48" t="s">
        <v>32</v>
      </c>
      <c r="D2923" s="50">
        <v>22.78</v>
      </c>
    </row>
    <row r="2924" spans="1:4" ht="13.5">
      <c r="A2924" s="49">
        <v>93660</v>
      </c>
      <c r="B2924" s="48" t="s">
        <v>20537</v>
      </c>
      <c r="C2924" s="48" t="s">
        <v>32</v>
      </c>
      <c r="D2924" s="50">
        <v>51.79</v>
      </c>
    </row>
    <row r="2925" spans="1:4" ht="13.5">
      <c r="A2925" s="49">
        <v>93661</v>
      </c>
      <c r="B2925" s="48" t="s">
        <v>20538</v>
      </c>
      <c r="C2925" s="48" t="s">
        <v>32</v>
      </c>
      <c r="D2925" s="50">
        <v>52.97</v>
      </c>
    </row>
    <row r="2926" spans="1:4" ht="13.5">
      <c r="A2926" s="49">
        <v>93662</v>
      </c>
      <c r="B2926" s="48" t="s">
        <v>20539</v>
      </c>
      <c r="C2926" s="48" t="s">
        <v>32</v>
      </c>
      <c r="D2926" s="50">
        <v>55.26</v>
      </c>
    </row>
    <row r="2927" spans="1:4" ht="13.5">
      <c r="A2927" s="49">
        <v>93663</v>
      </c>
      <c r="B2927" s="48" t="s">
        <v>20540</v>
      </c>
      <c r="C2927" s="48" t="s">
        <v>32</v>
      </c>
      <c r="D2927" s="50">
        <v>55.26</v>
      </c>
    </row>
    <row r="2928" spans="1:4" ht="13.5">
      <c r="A2928" s="49">
        <v>93664</v>
      </c>
      <c r="B2928" s="48" t="s">
        <v>20541</v>
      </c>
      <c r="C2928" s="48" t="s">
        <v>32</v>
      </c>
      <c r="D2928" s="50">
        <v>58.06</v>
      </c>
    </row>
    <row r="2929" spans="1:4" ht="13.5">
      <c r="A2929" s="49">
        <v>93665</v>
      </c>
      <c r="B2929" s="48" t="s">
        <v>20542</v>
      </c>
      <c r="C2929" s="48" t="s">
        <v>32</v>
      </c>
      <c r="D2929" s="50">
        <v>61.75</v>
      </c>
    </row>
    <row r="2930" spans="1:4" ht="13.5">
      <c r="A2930" s="49">
        <v>93666</v>
      </c>
      <c r="B2930" s="48" t="s">
        <v>20543</v>
      </c>
      <c r="C2930" s="48" t="s">
        <v>32</v>
      </c>
      <c r="D2930" s="50">
        <v>67.42</v>
      </c>
    </row>
    <row r="2931" spans="1:4" ht="13.5">
      <c r="A2931" s="49">
        <v>93667</v>
      </c>
      <c r="B2931" s="48" t="s">
        <v>20544</v>
      </c>
      <c r="C2931" s="48" t="s">
        <v>32</v>
      </c>
      <c r="D2931" s="50">
        <v>64.86</v>
      </c>
    </row>
    <row r="2932" spans="1:4" ht="13.5">
      <c r="A2932" s="49">
        <v>93668</v>
      </c>
      <c r="B2932" s="48" t="s">
        <v>20545</v>
      </c>
      <c r="C2932" s="48" t="s">
        <v>32</v>
      </c>
      <c r="D2932" s="50">
        <v>66.62</v>
      </c>
    </row>
    <row r="2933" spans="1:4" ht="13.5">
      <c r="A2933" s="49">
        <v>93669</v>
      </c>
      <c r="B2933" s="48" t="s">
        <v>20546</v>
      </c>
      <c r="C2933" s="48" t="s">
        <v>32</v>
      </c>
      <c r="D2933" s="50">
        <v>70.06</v>
      </c>
    </row>
    <row r="2934" spans="1:4" ht="13.5">
      <c r="A2934" s="49">
        <v>93670</v>
      </c>
      <c r="B2934" s="48" t="s">
        <v>20547</v>
      </c>
      <c r="C2934" s="48" t="s">
        <v>32</v>
      </c>
      <c r="D2934" s="50">
        <v>70.06</v>
      </c>
    </row>
    <row r="2935" spans="1:4" ht="13.5">
      <c r="A2935" s="49">
        <v>93671</v>
      </c>
      <c r="B2935" s="48" t="s">
        <v>20548</v>
      </c>
      <c r="C2935" s="48" t="s">
        <v>32</v>
      </c>
      <c r="D2935" s="50">
        <v>74.25</v>
      </c>
    </row>
    <row r="2936" spans="1:4" ht="13.5">
      <c r="A2936" s="49">
        <v>93672</v>
      </c>
      <c r="B2936" s="48" t="s">
        <v>20549</v>
      </c>
      <c r="C2936" s="48" t="s">
        <v>32</v>
      </c>
      <c r="D2936" s="50">
        <v>80.849999999999994</v>
      </c>
    </row>
    <row r="2937" spans="1:4" ht="13.5">
      <c r="A2937" s="49">
        <v>93673</v>
      </c>
      <c r="B2937" s="48" t="s">
        <v>20550</v>
      </c>
      <c r="C2937" s="48" t="s">
        <v>32</v>
      </c>
      <c r="D2937" s="50">
        <v>89.37</v>
      </c>
    </row>
    <row r="2938" spans="1:4" ht="13.5">
      <c r="A2938" s="49">
        <v>97359</v>
      </c>
      <c r="B2938" s="48" t="s">
        <v>20551</v>
      </c>
      <c r="C2938" s="48" t="s">
        <v>32</v>
      </c>
      <c r="D2938" s="51">
        <v>3025.61</v>
      </c>
    </row>
    <row r="2939" spans="1:4" ht="13.5">
      <c r="A2939" s="49">
        <v>97360</v>
      </c>
      <c r="B2939" s="48" t="s">
        <v>20552</v>
      </c>
      <c r="C2939" s="48" t="s">
        <v>32</v>
      </c>
      <c r="D2939" s="51">
        <v>5821.92</v>
      </c>
    </row>
    <row r="2940" spans="1:4" ht="13.5">
      <c r="A2940" s="49">
        <v>97361</v>
      </c>
      <c r="B2940" s="48" t="s">
        <v>20553</v>
      </c>
      <c r="C2940" s="48" t="s">
        <v>32</v>
      </c>
      <c r="D2940" s="51">
        <v>7762.57</v>
      </c>
    </row>
    <row r="2941" spans="1:4" ht="13.5">
      <c r="A2941" s="49">
        <v>97362</v>
      </c>
      <c r="B2941" s="48" t="s">
        <v>20554</v>
      </c>
      <c r="C2941" s="48" t="s">
        <v>32</v>
      </c>
      <c r="D2941" s="51">
        <v>2684.41</v>
      </c>
    </row>
    <row r="2942" spans="1:4" ht="13.5">
      <c r="A2942" s="49">
        <v>101875</v>
      </c>
      <c r="B2942" s="48" t="s">
        <v>20555</v>
      </c>
      <c r="C2942" s="48" t="s">
        <v>32</v>
      </c>
      <c r="D2942" s="50">
        <v>564.59</v>
      </c>
    </row>
    <row r="2943" spans="1:4" ht="13.5">
      <c r="A2943" s="49">
        <v>101876</v>
      </c>
      <c r="B2943" s="48" t="s">
        <v>20556</v>
      </c>
      <c r="C2943" s="48" t="s">
        <v>32</v>
      </c>
      <c r="D2943" s="50">
        <v>69.31</v>
      </c>
    </row>
    <row r="2944" spans="1:4" ht="13.5">
      <c r="A2944" s="49">
        <v>101877</v>
      </c>
      <c r="B2944" s="48" t="s">
        <v>20557</v>
      </c>
      <c r="C2944" s="48" t="s">
        <v>32</v>
      </c>
      <c r="D2944" s="50">
        <v>48.21</v>
      </c>
    </row>
    <row r="2945" spans="1:4" ht="13.5">
      <c r="A2945" s="49">
        <v>101878</v>
      </c>
      <c r="B2945" s="48" t="s">
        <v>20558</v>
      </c>
      <c r="C2945" s="48" t="s">
        <v>32</v>
      </c>
      <c r="D2945" s="50">
        <v>767.01</v>
      </c>
    </row>
    <row r="2946" spans="1:4" ht="13.5">
      <c r="A2946" s="49">
        <v>101879</v>
      </c>
      <c r="B2946" s="48" t="s">
        <v>20559</v>
      </c>
      <c r="C2946" s="48" t="s">
        <v>32</v>
      </c>
      <c r="D2946" s="50">
        <v>821.77</v>
      </c>
    </row>
    <row r="2947" spans="1:4" ht="13.5">
      <c r="A2947" s="49">
        <v>101880</v>
      </c>
      <c r="B2947" s="48" t="s">
        <v>20560</v>
      </c>
      <c r="C2947" s="48" t="s">
        <v>32</v>
      </c>
      <c r="D2947" s="50">
        <v>944.8</v>
      </c>
    </row>
    <row r="2948" spans="1:4" ht="13.5">
      <c r="A2948" s="49">
        <v>101881</v>
      </c>
      <c r="B2948" s="48" t="s">
        <v>20561</v>
      </c>
      <c r="C2948" s="48" t="s">
        <v>32</v>
      </c>
      <c r="D2948" s="51">
        <v>1367.72</v>
      </c>
    </row>
    <row r="2949" spans="1:4" ht="13.5">
      <c r="A2949" s="49">
        <v>101882</v>
      </c>
      <c r="B2949" s="48" t="s">
        <v>20562</v>
      </c>
      <c r="C2949" s="48" t="s">
        <v>32</v>
      </c>
      <c r="D2949" s="51">
        <v>1950.47</v>
      </c>
    </row>
    <row r="2950" spans="1:4" ht="13.5">
      <c r="A2950" s="49">
        <v>101883</v>
      </c>
      <c r="B2950" s="48" t="s">
        <v>20563</v>
      </c>
      <c r="C2950" s="48" t="s">
        <v>32</v>
      </c>
      <c r="D2950" s="50">
        <v>783</v>
      </c>
    </row>
    <row r="2951" spans="1:4" ht="13.5">
      <c r="A2951" s="49">
        <v>101890</v>
      </c>
      <c r="B2951" s="48" t="s">
        <v>20564</v>
      </c>
      <c r="C2951" s="48" t="s">
        <v>32</v>
      </c>
      <c r="D2951" s="50">
        <v>14.82</v>
      </c>
    </row>
    <row r="2952" spans="1:4" ht="13.5">
      <c r="A2952" s="49">
        <v>101891</v>
      </c>
      <c r="B2952" s="48" t="s">
        <v>20565</v>
      </c>
      <c r="C2952" s="48" t="s">
        <v>32</v>
      </c>
      <c r="D2952" s="50">
        <v>25.57</v>
      </c>
    </row>
    <row r="2953" spans="1:4" ht="13.5">
      <c r="A2953" s="49">
        <v>101892</v>
      </c>
      <c r="B2953" s="48" t="s">
        <v>20566</v>
      </c>
      <c r="C2953" s="48" t="s">
        <v>32</v>
      </c>
      <c r="D2953" s="50">
        <v>65.36</v>
      </c>
    </row>
    <row r="2954" spans="1:4" ht="13.5">
      <c r="A2954" s="49">
        <v>101893</v>
      </c>
      <c r="B2954" s="48" t="s">
        <v>20567</v>
      </c>
      <c r="C2954" s="48" t="s">
        <v>32</v>
      </c>
      <c r="D2954" s="50">
        <v>83.68</v>
      </c>
    </row>
    <row r="2955" spans="1:4" ht="13.5">
      <c r="A2955" s="49">
        <v>101894</v>
      </c>
      <c r="B2955" s="48" t="s">
        <v>20568</v>
      </c>
      <c r="C2955" s="48" t="s">
        <v>32</v>
      </c>
      <c r="D2955" s="50">
        <v>144.15</v>
      </c>
    </row>
    <row r="2956" spans="1:4" ht="13.5">
      <c r="A2956" s="49">
        <v>101895</v>
      </c>
      <c r="B2956" s="48" t="s">
        <v>20569</v>
      </c>
      <c r="C2956" s="48" t="s">
        <v>32</v>
      </c>
      <c r="D2956" s="50">
        <v>389.15</v>
      </c>
    </row>
    <row r="2957" spans="1:4" ht="13.5">
      <c r="A2957" s="49">
        <v>101896</v>
      </c>
      <c r="B2957" s="48" t="s">
        <v>20570</v>
      </c>
      <c r="C2957" s="48" t="s">
        <v>32</v>
      </c>
      <c r="D2957" s="50">
        <v>581.62</v>
      </c>
    </row>
    <row r="2958" spans="1:4" ht="13.5">
      <c r="A2958" s="49">
        <v>101897</v>
      </c>
      <c r="B2958" s="48" t="s">
        <v>20571</v>
      </c>
      <c r="C2958" s="48" t="s">
        <v>32</v>
      </c>
      <c r="D2958" s="50">
        <v>925.92</v>
      </c>
    </row>
    <row r="2959" spans="1:4" ht="13.5">
      <c r="A2959" s="49">
        <v>101898</v>
      </c>
      <c r="B2959" s="48" t="s">
        <v>20572</v>
      </c>
      <c r="C2959" s="48" t="s">
        <v>32</v>
      </c>
      <c r="D2959" s="51">
        <v>1237.07</v>
      </c>
    </row>
    <row r="2960" spans="1:4" ht="13.5">
      <c r="A2960" s="49">
        <v>101899</v>
      </c>
      <c r="B2960" s="48" t="s">
        <v>20573</v>
      </c>
      <c r="C2960" s="48" t="s">
        <v>32</v>
      </c>
      <c r="D2960" s="51">
        <v>1977.17</v>
      </c>
    </row>
    <row r="2961" spans="1:4" ht="13.5">
      <c r="A2961" s="49">
        <v>101900</v>
      </c>
      <c r="B2961" s="48" t="s">
        <v>20574</v>
      </c>
      <c r="C2961" s="48" t="s">
        <v>32</v>
      </c>
      <c r="D2961" s="51">
        <v>4120.82</v>
      </c>
    </row>
    <row r="2962" spans="1:4" ht="13.5">
      <c r="A2962" s="49">
        <v>101901</v>
      </c>
      <c r="B2962" s="48" t="s">
        <v>20575</v>
      </c>
      <c r="C2962" s="48" t="s">
        <v>32</v>
      </c>
      <c r="D2962" s="50">
        <v>233.28</v>
      </c>
    </row>
    <row r="2963" spans="1:4" ht="13.5">
      <c r="A2963" s="49">
        <v>101902</v>
      </c>
      <c r="B2963" s="48" t="s">
        <v>20576</v>
      </c>
      <c r="C2963" s="48" t="s">
        <v>32</v>
      </c>
      <c r="D2963" s="50">
        <v>287.37</v>
      </c>
    </row>
    <row r="2964" spans="1:4" ht="13.5">
      <c r="A2964" s="49">
        <v>101903</v>
      </c>
      <c r="B2964" s="48" t="s">
        <v>20577</v>
      </c>
      <c r="C2964" s="48" t="s">
        <v>32</v>
      </c>
      <c r="D2964" s="50">
        <v>601.97</v>
      </c>
    </row>
    <row r="2965" spans="1:4" ht="13.5">
      <c r="A2965" s="49">
        <v>101904</v>
      </c>
      <c r="B2965" s="48" t="s">
        <v>20578</v>
      </c>
      <c r="C2965" s="48" t="s">
        <v>32</v>
      </c>
      <c r="D2965" s="51">
        <v>2244.33</v>
      </c>
    </row>
    <row r="2966" spans="1:4" ht="13.5">
      <c r="A2966" s="49">
        <v>101938</v>
      </c>
      <c r="B2966" s="48" t="s">
        <v>20579</v>
      </c>
      <c r="C2966" s="48" t="s">
        <v>32</v>
      </c>
      <c r="D2966" s="50">
        <v>92.69</v>
      </c>
    </row>
    <row r="2967" spans="1:4" ht="13.5">
      <c r="A2967" s="49">
        <v>101946</v>
      </c>
      <c r="B2967" s="48" t="s">
        <v>20580</v>
      </c>
      <c r="C2967" s="48" t="s">
        <v>32</v>
      </c>
      <c r="D2967" s="50">
        <v>142.63999999999999</v>
      </c>
    </row>
    <row r="2968" spans="1:4" ht="13.5">
      <c r="A2968" s="49">
        <v>91945</v>
      </c>
      <c r="B2968" s="48" t="s">
        <v>4478</v>
      </c>
      <c r="C2968" s="48" t="s">
        <v>32</v>
      </c>
      <c r="D2968" s="50">
        <v>8.9499999999999993</v>
      </c>
    </row>
    <row r="2969" spans="1:4" ht="13.5">
      <c r="A2969" s="49">
        <v>91946</v>
      </c>
      <c r="B2969" s="48" t="s">
        <v>4479</v>
      </c>
      <c r="C2969" s="48" t="s">
        <v>32</v>
      </c>
      <c r="D2969" s="50">
        <v>7.4</v>
      </c>
    </row>
    <row r="2970" spans="1:4" ht="13.5">
      <c r="A2970" s="49">
        <v>91947</v>
      </c>
      <c r="B2970" s="48" t="s">
        <v>4480</v>
      </c>
      <c r="C2970" s="48" t="s">
        <v>32</v>
      </c>
      <c r="D2970" s="50">
        <v>6.44</v>
      </c>
    </row>
    <row r="2971" spans="1:4" ht="13.5">
      <c r="A2971" s="49">
        <v>91949</v>
      </c>
      <c r="B2971" s="48" t="s">
        <v>4481</v>
      </c>
      <c r="C2971" s="48" t="s">
        <v>32</v>
      </c>
      <c r="D2971" s="50">
        <v>13.53</v>
      </c>
    </row>
    <row r="2972" spans="1:4" ht="13.5">
      <c r="A2972" s="49">
        <v>91950</v>
      </c>
      <c r="B2972" s="48" t="s">
        <v>4482</v>
      </c>
      <c r="C2972" s="48" t="s">
        <v>32</v>
      </c>
      <c r="D2972" s="50">
        <v>11.66</v>
      </c>
    </row>
    <row r="2973" spans="1:4" ht="13.5">
      <c r="A2973" s="49">
        <v>91951</v>
      </c>
      <c r="B2973" s="48" t="s">
        <v>4483</v>
      </c>
      <c r="C2973" s="48" t="s">
        <v>32</v>
      </c>
      <c r="D2973" s="50">
        <v>10.53</v>
      </c>
    </row>
    <row r="2974" spans="1:4" ht="13.5">
      <c r="A2974" s="49">
        <v>91952</v>
      </c>
      <c r="B2974" s="48" t="s">
        <v>4484</v>
      </c>
      <c r="C2974" s="48" t="s">
        <v>32</v>
      </c>
      <c r="D2974" s="50">
        <v>17</v>
      </c>
    </row>
    <row r="2975" spans="1:4" ht="13.5">
      <c r="A2975" s="49">
        <v>91953</v>
      </c>
      <c r="B2975" s="48" t="s">
        <v>4485</v>
      </c>
      <c r="C2975" s="48" t="s">
        <v>32</v>
      </c>
      <c r="D2975" s="50">
        <v>24.4</v>
      </c>
    </row>
    <row r="2976" spans="1:4" ht="13.5">
      <c r="A2976" s="49">
        <v>91954</v>
      </c>
      <c r="B2976" s="48" t="s">
        <v>4486</v>
      </c>
      <c r="C2976" s="48" t="s">
        <v>32</v>
      </c>
      <c r="D2976" s="50">
        <v>22.87</v>
      </c>
    </row>
    <row r="2977" spans="1:4" ht="13.5">
      <c r="A2977" s="49">
        <v>91955</v>
      </c>
      <c r="B2977" s="48" t="s">
        <v>4487</v>
      </c>
      <c r="C2977" s="48" t="s">
        <v>32</v>
      </c>
      <c r="D2977" s="50">
        <v>30.27</v>
      </c>
    </row>
    <row r="2978" spans="1:4" ht="13.5">
      <c r="A2978" s="49">
        <v>91956</v>
      </c>
      <c r="B2978" s="48" t="s">
        <v>4488</v>
      </c>
      <c r="C2978" s="48" t="s">
        <v>32</v>
      </c>
      <c r="D2978" s="50">
        <v>36.979999999999997</v>
      </c>
    </row>
    <row r="2979" spans="1:4" ht="13.5">
      <c r="A2979" s="49">
        <v>91957</v>
      </c>
      <c r="B2979" s="48" t="s">
        <v>4489</v>
      </c>
      <c r="C2979" s="48" t="s">
        <v>32</v>
      </c>
      <c r="D2979" s="50">
        <v>44.38</v>
      </c>
    </row>
    <row r="2980" spans="1:4" ht="13.5">
      <c r="A2980" s="49">
        <v>91958</v>
      </c>
      <c r="B2980" s="48" t="s">
        <v>4490</v>
      </c>
      <c r="C2980" s="48" t="s">
        <v>32</v>
      </c>
      <c r="D2980" s="50">
        <v>31.17</v>
      </c>
    </row>
    <row r="2981" spans="1:4" ht="13.5">
      <c r="A2981" s="49">
        <v>91959</v>
      </c>
      <c r="B2981" s="48" t="s">
        <v>4491</v>
      </c>
      <c r="C2981" s="48" t="s">
        <v>32</v>
      </c>
      <c r="D2981" s="50">
        <v>38.57</v>
      </c>
    </row>
    <row r="2982" spans="1:4" ht="13.5">
      <c r="A2982" s="49">
        <v>91960</v>
      </c>
      <c r="B2982" s="48" t="s">
        <v>4492</v>
      </c>
      <c r="C2982" s="48" t="s">
        <v>32</v>
      </c>
      <c r="D2982" s="50">
        <v>42.85</v>
      </c>
    </row>
    <row r="2983" spans="1:4" ht="13.5">
      <c r="A2983" s="49">
        <v>91961</v>
      </c>
      <c r="B2983" s="48" t="s">
        <v>4493</v>
      </c>
      <c r="C2983" s="48" t="s">
        <v>32</v>
      </c>
      <c r="D2983" s="50">
        <v>50.25</v>
      </c>
    </row>
    <row r="2984" spans="1:4" ht="13.5">
      <c r="A2984" s="49">
        <v>91962</v>
      </c>
      <c r="B2984" s="48" t="s">
        <v>4494</v>
      </c>
      <c r="C2984" s="48" t="s">
        <v>32</v>
      </c>
      <c r="D2984" s="50">
        <v>57.01</v>
      </c>
    </row>
    <row r="2985" spans="1:4" ht="13.5">
      <c r="A2985" s="49">
        <v>91963</v>
      </c>
      <c r="B2985" s="48" t="s">
        <v>4496</v>
      </c>
      <c r="C2985" s="48" t="s">
        <v>32</v>
      </c>
      <c r="D2985" s="50">
        <v>64.41</v>
      </c>
    </row>
    <row r="2986" spans="1:4" ht="13.5">
      <c r="A2986" s="49">
        <v>91964</v>
      </c>
      <c r="B2986" s="48" t="s">
        <v>4497</v>
      </c>
      <c r="C2986" s="48" t="s">
        <v>32</v>
      </c>
      <c r="D2986" s="50">
        <v>51.15</v>
      </c>
    </row>
    <row r="2987" spans="1:4" ht="13.5">
      <c r="A2987" s="49">
        <v>91965</v>
      </c>
      <c r="B2987" s="48" t="s">
        <v>4498</v>
      </c>
      <c r="C2987" s="48" t="s">
        <v>32</v>
      </c>
      <c r="D2987" s="50">
        <v>58.55</v>
      </c>
    </row>
    <row r="2988" spans="1:4" ht="13.5">
      <c r="A2988" s="49">
        <v>91966</v>
      </c>
      <c r="B2988" s="48" t="s">
        <v>4499</v>
      </c>
      <c r="C2988" s="48" t="s">
        <v>32</v>
      </c>
      <c r="D2988" s="50">
        <v>45.34</v>
      </c>
    </row>
    <row r="2989" spans="1:4" ht="13.5">
      <c r="A2989" s="49">
        <v>91967</v>
      </c>
      <c r="B2989" s="48" t="s">
        <v>4500</v>
      </c>
      <c r="C2989" s="48" t="s">
        <v>32</v>
      </c>
      <c r="D2989" s="50">
        <v>52.74</v>
      </c>
    </row>
    <row r="2990" spans="1:4" ht="13.5">
      <c r="A2990" s="49">
        <v>91968</v>
      </c>
      <c r="B2990" s="48" t="s">
        <v>4501</v>
      </c>
      <c r="C2990" s="48" t="s">
        <v>32</v>
      </c>
      <c r="D2990" s="50">
        <v>62.83</v>
      </c>
    </row>
    <row r="2991" spans="1:4" ht="13.5">
      <c r="A2991" s="49">
        <v>91969</v>
      </c>
      <c r="B2991" s="48" t="s">
        <v>4502</v>
      </c>
      <c r="C2991" s="48" t="s">
        <v>32</v>
      </c>
      <c r="D2991" s="50">
        <v>70.23</v>
      </c>
    </row>
    <row r="2992" spans="1:4" ht="13.5">
      <c r="A2992" s="49">
        <v>91970</v>
      </c>
      <c r="B2992" s="48" t="s">
        <v>4503</v>
      </c>
      <c r="C2992" s="48" t="s">
        <v>32</v>
      </c>
      <c r="D2992" s="50">
        <v>65.650000000000006</v>
      </c>
    </row>
    <row r="2993" spans="1:4" ht="13.5">
      <c r="A2993" s="49">
        <v>91971</v>
      </c>
      <c r="B2993" s="48" t="s">
        <v>4504</v>
      </c>
      <c r="C2993" s="48" t="s">
        <v>32</v>
      </c>
      <c r="D2993" s="50">
        <v>77.31</v>
      </c>
    </row>
    <row r="2994" spans="1:4" ht="13.5">
      <c r="A2994" s="49">
        <v>91972</v>
      </c>
      <c r="B2994" s="48" t="s">
        <v>4505</v>
      </c>
      <c r="C2994" s="48" t="s">
        <v>32</v>
      </c>
      <c r="D2994" s="50">
        <v>71.510000000000005</v>
      </c>
    </row>
    <row r="2995" spans="1:4" ht="13.5">
      <c r="A2995" s="49">
        <v>91973</v>
      </c>
      <c r="B2995" s="48" t="s">
        <v>4506</v>
      </c>
      <c r="C2995" s="48" t="s">
        <v>32</v>
      </c>
      <c r="D2995" s="50">
        <v>83.17</v>
      </c>
    </row>
    <row r="2996" spans="1:4" ht="13.5">
      <c r="A2996" s="49">
        <v>91974</v>
      </c>
      <c r="B2996" s="48" t="s">
        <v>4507</v>
      </c>
      <c r="C2996" s="48" t="s">
        <v>32</v>
      </c>
      <c r="D2996" s="50">
        <v>59.79</v>
      </c>
    </row>
    <row r="2997" spans="1:4" ht="13.5">
      <c r="A2997" s="49">
        <v>91975</v>
      </c>
      <c r="B2997" s="48" t="s">
        <v>4508</v>
      </c>
      <c r="C2997" s="48" t="s">
        <v>32</v>
      </c>
      <c r="D2997" s="50">
        <v>71.45</v>
      </c>
    </row>
    <row r="2998" spans="1:4" ht="13.5">
      <c r="A2998" s="49">
        <v>91976</v>
      </c>
      <c r="B2998" s="48" t="s">
        <v>4509</v>
      </c>
      <c r="C2998" s="48" t="s">
        <v>32</v>
      </c>
      <c r="D2998" s="50">
        <v>88.22</v>
      </c>
    </row>
    <row r="2999" spans="1:4" ht="13.5">
      <c r="A2999" s="49">
        <v>91977</v>
      </c>
      <c r="B2999" s="48" t="s">
        <v>4510</v>
      </c>
      <c r="C2999" s="48" t="s">
        <v>32</v>
      </c>
      <c r="D2999" s="50">
        <v>99.88</v>
      </c>
    </row>
    <row r="3000" spans="1:4" ht="13.5">
      <c r="A3000" s="49">
        <v>91978</v>
      </c>
      <c r="B3000" s="48" t="s">
        <v>4511</v>
      </c>
      <c r="C3000" s="48" t="s">
        <v>32</v>
      </c>
      <c r="D3000" s="50">
        <v>36.049999999999997</v>
      </c>
    </row>
    <row r="3001" spans="1:4" ht="13.5">
      <c r="A3001" s="49">
        <v>91979</v>
      </c>
      <c r="B3001" s="48" t="s">
        <v>4512</v>
      </c>
      <c r="C3001" s="48" t="s">
        <v>32</v>
      </c>
      <c r="D3001" s="50">
        <v>43.45</v>
      </c>
    </row>
    <row r="3002" spans="1:4" ht="13.5">
      <c r="A3002" s="49">
        <v>91980</v>
      </c>
      <c r="B3002" s="48" t="s">
        <v>4513</v>
      </c>
      <c r="C3002" s="48" t="s">
        <v>32</v>
      </c>
      <c r="D3002" s="50">
        <v>34.94</v>
      </c>
    </row>
    <row r="3003" spans="1:4" ht="13.5">
      <c r="A3003" s="49">
        <v>91981</v>
      </c>
      <c r="B3003" s="48" t="s">
        <v>4514</v>
      </c>
      <c r="C3003" s="48" t="s">
        <v>32</v>
      </c>
      <c r="D3003" s="50">
        <v>42.34</v>
      </c>
    </row>
    <row r="3004" spans="1:4" ht="13.5">
      <c r="A3004" s="49">
        <v>91982</v>
      </c>
      <c r="B3004" s="48" t="s">
        <v>4515</v>
      </c>
      <c r="C3004" s="48" t="s">
        <v>32</v>
      </c>
      <c r="D3004" s="50">
        <v>81.400000000000006</v>
      </c>
    </row>
    <row r="3005" spans="1:4" ht="13.5">
      <c r="A3005" s="49">
        <v>91983</v>
      </c>
      <c r="B3005" s="48" t="s">
        <v>4516</v>
      </c>
      <c r="C3005" s="48" t="s">
        <v>32</v>
      </c>
      <c r="D3005" s="50">
        <v>88.8</v>
      </c>
    </row>
    <row r="3006" spans="1:4" ht="13.5">
      <c r="A3006" s="49">
        <v>91984</v>
      </c>
      <c r="B3006" s="48" t="s">
        <v>4517</v>
      </c>
      <c r="C3006" s="48" t="s">
        <v>32</v>
      </c>
      <c r="D3006" s="50">
        <v>15.97</v>
      </c>
    </row>
    <row r="3007" spans="1:4" ht="13.5">
      <c r="A3007" s="49">
        <v>91985</v>
      </c>
      <c r="B3007" s="48" t="s">
        <v>4518</v>
      </c>
      <c r="C3007" s="48" t="s">
        <v>32</v>
      </c>
      <c r="D3007" s="50">
        <v>23.37</v>
      </c>
    </row>
    <row r="3008" spans="1:4" ht="13.5">
      <c r="A3008" s="49">
        <v>91986</v>
      </c>
      <c r="B3008" s="48" t="s">
        <v>4519</v>
      </c>
      <c r="C3008" s="48" t="s">
        <v>32</v>
      </c>
      <c r="D3008" s="50">
        <v>33.65</v>
      </c>
    </row>
    <row r="3009" spans="1:4" ht="13.5">
      <c r="A3009" s="49">
        <v>91987</v>
      </c>
      <c r="B3009" s="48" t="s">
        <v>4520</v>
      </c>
      <c r="C3009" s="48" t="s">
        <v>32</v>
      </c>
      <c r="D3009" s="50">
        <v>41.05</v>
      </c>
    </row>
    <row r="3010" spans="1:4" ht="13.5">
      <c r="A3010" s="49">
        <v>91988</v>
      </c>
      <c r="B3010" s="48" t="s">
        <v>4521</v>
      </c>
      <c r="C3010" s="48" t="s">
        <v>32</v>
      </c>
      <c r="D3010" s="50">
        <v>19.72</v>
      </c>
    </row>
    <row r="3011" spans="1:4" ht="13.5">
      <c r="A3011" s="49">
        <v>91989</v>
      </c>
      <c r="B3011" s="48" t="s">
        <v>4522</v>
      </c>
      <c r="C3011" s="48" t="s">
        <v>32</v>
      </c>
      <c r="D3011" s="50">
        <v>27.12</v>
      </c>
    </row>
    <row r="3012" spans="1:4" ht="13.5">
      <c r="A3012" s="49">
        <v>91990</v>
      </c>
      <c r="B3012" s="48" t="s">
        <v>4523</v>
      </c>
      <c r="C3012" s="48" t="s">
        <v>32</v>
      </c>
      <c r="D3012" s="50">
        <v>30.72</v>
      </c>
    </row>
    <row r="3013" spans="1:4" ht="13.5">
      <c r="A3013" s="49">
        <v>91991</v>
      </c>
      <c r="B3013" s="48" t="s">
        <v>4524</v>
      </c>
      <c r="C3013" s="48" t="s">
        <v>32</v>
      </c>
      <c r="D3013" s="50">
        <v>32.74</v>
      </c>
    </row>
    <row r="3014" spans="1:4" ht="13.5">
      <c r="A3014" s="49">
        <v>91992</v>
      </c>
      <c r="B3014" s="48" t="s">
        <v>4526</v>
      </c>
      <c r="C3014" s="48" t="s">
        <v>32</v>
      </c>
      <c r="D3014" s="50">
        <v>38.119999999999997</v>
      </c>
    </row>
    <row r="3015" spans="1:4" ht="13.5">
      <c r="A3015" s="49">
        <v>91993</v>
      </c>
      <c r="B3015" s="48" t="s">
        <v>4527</v>
      </c>
      <c r="C3015" s="48" t="s">
        <v>32</v>
      </c>
      <c r="D3015" s="50">
        <v>40.14</v>
      </c>
    </row>
    <row r="3016" spans="1:4" ht="13.5">
      <c r="A3016" s="49">
        <v>91994</v>
      </c>
      <c r="B3016" s="48" t="s">
        <v>4528</v>
      </c>
      <c r="C3016" s="48" t="s">
        <v>32</v>
      </c>
      <c r="D3016" s="50">
        <v>21.82</v>
      </c>
    </row>
    <row r="3017" spans="1:4" ht="13.5">
      <c r="A3017" s="49">
        <v>91995</v>
      </c>
      <c r="B3017" s="48" t="s">
        <v>4529</v>
      </c>
      <c r="C3017" s="48" t="s">
        <v>32</v>
      </c>
      <c r="D3017" s="50">
        <v>23.84</v>
      </c>
    </row>
    <row r="3018" spans="1:4" ht="13.5">
      <c r="A3018" s="49">
        <v>91996</v>
      </c>
      <c r="B3018" s="48" t="s">
        <v>4530</v>
      </c>
      <c r="C3018" s="48" t="s">
        <v>32</v>
      </c>
      <c r="D3018" s="50">
        <v>29.22</v>
      </c>
    </row>
    <row r="3019" spans="1:4" ht="13.5">
      <c r="A3019" s="49">
        <v>91997</v>
      </c>
      <c r="B3019" s="48" t="s">
        <v>4531</v>
      </c>
      <c r="C3019" s="48" t="s">
        <v>32</v>
      </c>
      <c r="D3019" s="50">
        <v>31.24</v>
      </c>
    </row>
    <row r="3020" spans="1:4" ht="13.5">
      <c r="A3020" s="49">
        <v>91998</v>
      </c>
      <c r="B3020" s="48" t="s">
        <v>4532</v>
      </c>
      <c r="C3020" s="48" t="s">
        <v>32</v>
      </c>
      <c r="D3020" s="50">
        <v>18.36</v>
      </c>
    </row>
    <row r="3021" spans="1:4" ht="13.5">
      <c r="A3021" s="49">
        <v>91999</v>
      </c>
      <c r="B3021" s="48" t="s">
        <v>4533</v>
      </c>
      <c r="C3021" s="48" t="s">
        <v>32</v>
      </c>
      <c r="D3021" s="50">
        <v>20.38</v>
      </c>
    </row>
    <row r="3022" spans="1:4" ht="13.5">
      <c r="A3022" s="49">
        <v>92000</v>
      </c>
      <c r="B3022" s="48" t="s">
        <v>4534</v>
      </c>
      <c r="C3022" s="48" t="s">
        <v>32</v>
      </c>
      <c r="D3022" s="50">
        <v>25.76</v>
      </c>
    </row>
    <row r="3023" spans="1:4" ht="13.5">
      <c r="A3023" s="49">
        <v>92001</v>
      </c>
      <c r="B3023" s="48" t="s">
        <v>4535</v>
      </c>
      <c r="C3023" s="48" t="s">
        <v>32</v>
      </c>
      <c r="D3023" s="50">
        <v>27.78</v>
      </c>
    </row>
    <row r="3024" spans="1:4" ht="13.5">
      <c r="A3024" s="49">
        <v>92002</v>
      </c>
      <c r="B3024" s="48" t="s">
        <v>4536</v>
      </c>
      <c r="C3024" s="48" t="s">
        <v>32</v>
      </c>
      <c r="D3024" s="50">
        <v>40.75</v>
      </c>
    </row>
    <row r="3025" spans="1:4" ht="13.5">
      <c r="A3025" s="49">
        <v>92003</v>
      </c>
      <c r="B3025" s="48" t="s">
        <v>4537</v>
      </c>
      <c r="C3025" s="48" t="s">
        <v>32</v>
      </c>
      <c r="D3025" s="50">
        <v>44.79</v>
      </c>
    </row>
    <row r="3026" spans="1:4" ht="13.5">
      <c r="A3026" s="49">
        <v>92004</v>
      </c>
      <c r="B3026" s="48" t="s">
        <v>4538</v>
      </c>
      <c r="C3026" s="48" t="s">
        <v>32</v>
      </c>
      <c r="D3026" s="50">
        <v>48.15</v>
      </c>
    </row>
    <row r="3027" spans="1:4" ht="13.5">
      <c r="A3027" s="49">
        <v>92005</v>
      </c>
      <c r="B3027" s="48" t="s">
        <v>4540</v>
      </c>
      <c r="C3027" s="48" t="s">
        <v>32</v>
      </c>
      <c r="D3027" s="50">
        <v>52.19</v>
      </c>
    </row>
    <row r="3028" spans="1:4" ht="13.5">
      <c r="A3028" s="49">
        <v>92006</v>
      </c>
      <c r="B3028" s="48" t="s">
        <v>4541</v>
      </c>
      <c r="C3028" s="48" t="s">
        <v>32</v>
      </c>
      <c r="D3028" s="50">
        <v>33.83</v>
      </c>
    </row>
    <row r="3029" spans="1:4" ht="13.5">
      <c r="A3029" s="49">
        <v>92007</v>
      </c>
      <c r="B3029" s="48" t="s">
        <v>4542</v>
      </c>
      <c r="C3029" s="48" t="s">
        <v>32</v>
      </c>
      <c r="D3029" s="50">
        <v>37.869999999999997</v>
      </c>
    </row>
    <row r="3030" spans="1:4" ht="13.5">
      <c r="A3030" s="49">
        <v>92008</v>
      </c>
      <c r="B3030" s="48" t="s">
        <v>4543</v>
      </c>
      <c r="C3030" s="48" t="s">
        <v>32</v>
      </c>
      <c r="D3030" s="50">
        <v>41.23</v>
      </c>
    </row>
    <row r="3031" spans="1:4" ht="13.5">
      <c r="A3031" s="49">
        <v>92009</v>
      </c>
      <c r="B3031" s="48" t="s">
        <v>4544</v>
      </c>
      <c r="C3031" s="48" t="s">
        <v>32</v>
      </c>
      <c r="D3031" s="50">
        <v>45.27</v>
      </c>
    </row>
    <row r="3032" spans="1:4" ht="13.5">
      <c r="A3032" s="49">
        <v>92010</v>
      </c>
      <c r="B3032" s="48" t="s">
        <v>4545</v>
      </c>
      <c r="C3032" s="48" t="s">
        <v>32</v>
      </c>
      <c r="D3032" s="50">
        <v>59.68</v>
      </c>
    </row>
    <row r="3033" spans="1:4" ht="13.5">
      <c r="A3033" s="49">
        <v>92011</v>
      </c>
      <c r="B3033" s="48" t="s">
        <v>4546</v>
      </c>
      <c r="C3033" s="48" t="s">
        <v>32</v>
      </c>
      <c r="D3033" s="50">
        <v>65.739999999999995</v>
      </c>
    </row>
    <row r="3034" spans="1:4" ht="13.5">
      <c r="A3034" s="49">
        <v>92012</v>
      </c>
      <c r="B3034" s="48" t="s">
        <v>4547</v>
      </c>
      <c r="C3034" s="48" t="s">
        <v>32</v>
      </c>
      <c r="D3034" s="50">
        <v>67.08</v>
      </c>
    </row>
    <row r="3035" spans="1:4" ht="13.5">
      <c r="A3035" s="49">
        <v>92013</v>
      </c>
      <c r="B3035" s="48" t="s">
        <v>4548</v>
      </c>
      <c r="C3035" s="48" t="s">
        <v>32</v>
      </c>
      <c r="D3035" s="50">
        <v>73.14</v>
      </c>
    </row>
    <row r="3036" spans="1:4" ht="13.5">
      <c r="A3036" s="49">
        <v>92014</v>
      </c>
      <c r="B3036" s="48" t="s">
        <v>4549</v>
      </c>
      <c r="C3036" s="48" t="s">
        <v>32</v>
      </c>
      <c r="D3036" s="50">
        <v>49.3</v>
      </c>
    </row>
    <row r="3037" spans="1:4" ht="13.5">
      <c r="A3037" s="49">
        <v>92015</v>
      </c>
      <c r="B3037" s="48" t="s">
        <v>4550</v>
      </c>
      <c r="C3037" s="48" t="s">
        <v>32</v>
      </c>
      <c r="D3037" s="50">
        <v>55.36</v>
      </c>
    </row>
    <row r="3038" spans="1:4" ht="13.5">
      <c r="A3038" s="49">
        <v>92016</v>
      </c>
      <c r="B3038" s="48" t="s">
        <v>4551</v>
      </c>
      <c r="C3038" s="48" t="s">
        <v>32</v>
      </c>
      <c r="D3038" s="50">
        <v>56.7</v>
      </c>
    </row>
    <row r="3039" spans="1:4" ht="13.5">
      <c r="A3039" s="49">
        <v>92017</v>
      </c>
      <c r="B3039" s="48" t="s">
        <v>4552</v>
      </c>
      <c r="C3039" s="48" t="s">
        <v>32</v>
      </c>
      <c r="D3039" s="50">
        <v>62.76</v>
      </c>
    </row>
    <row r="3040" spans="1:4" ht="13.5">
      <c r="A3040" s="49">
        <v>92018</v>
      </c>
      <c r="B3040" s="48" t="s">
        <v>4553</v>
      </c>
      <c r="C3040" s="48" t="s">
        <v>32</v>
      </c>
      <c r="D3040" s="50">
        <v>65.25</v>
      </c>
    </row>
    <row r="3041" spans="1:4" ht="13.5">
      <c r="A3041" s="49">
        <v>92019</v>
      </c>
      <c r="B3041" s="48" t="s">
        <v>4554</v>
      </c>
      <c r="C3041" s="48" t="s">
        <v>32</v>
      </c>
      <c r="D3041" s="50">
        <v>76.91</v>
      </c>
    </row>
    <row r="3042" spans="1:4" ht="13.5">
      <c r="A3042" s="49">
        <v>92020</v>
      </c>
      <c r="B3042" s="48" t="s">
        <v>4555</v>
      </c>
      <c r="C3042" s="48" t="s">
        <v>32</v>
      </c>
      <c r="D3042" s="50">
        <v>96.43</v>
      </c>
    </row>
    <row r="3043" spans="1:4" ht="13.5">
      <c r="A3043" s="49">
        <v>92021</v>
      </c>
      <c r="B3043" s="48" t="s">
        <v>4556</v>
      </c>
      <c r="C3043" s="48" t="s">
        <v>32</v>
      </c>
      <c r="D3043" s="50">
        <v>108.09</v>
      </c>
    </row>
    <row r="3044" spans="1:4" ht="13.5">
      <c r="A3044" s="49">
        <v>92022</v>
      </c>
      <c r="B3044" s="48" t="s">
        <v>4557</v>
      </c>
      <c r="C3044" s="48" t="s">
        <v>32</v>
      </c>
      <c r="D3044" s="50">
        <v>35.93</v>
      </c>
    </row>
    <row r="3045" spans="1:4" ht="13.5">
      <c r="A3045" s="49">
        <v>92023</v>
      </c>
      <c r="B3045" s="48" t="s">
        <v>4558</v>
      </c>
      <c r="C3045" s="48" t="s">
        <v>32</v>
      </c>
      <c r="D3045" s="50">
        <v>43.33</v>
      </c>
    </row>
    <row r="3046" spans="1:4" ht="13.5">
      <c r="A3046" s="49">
        <v>92024</v>
      </c>
      <c r="B3046" s="48" t="s">
        <v>4559</v>
      </c>
      <c r="C3046" s="48" t="s">
        <v>32</v>
      </c>
      <c r="D3046" s="50">
        <v>54.91</v>
      </c>
    </row>
    <row r="3047" spans="1:4" ht="13.5">
      <c r="A3047" s="49">
        <v>92025</v>
      </c>
      <c r="B3047" s="48" t="s">
        <v>4560</v>
      </c>
      <c r="C3047" s="48" t="s">
        <v>32</v>
      </c>
      <c r="D3047" s="50">
        <v>62.31</v>
      </c>
    </row>
    <row r="3048" spans="1:4" ht="13.5">
      <c r="A3048" s="49">
        <v>92026</v>
      </c>
      <c r="B3048" s="48" t="s">
        <v>4561</v>
      </c>
      <c r="C3048" s="48" t="s">
        <v>32</v>
      </c>
      <c r="D3048" s="50">
        <v>50.1</v>
      </c>
    </row>
    <row r="3049" spans="1:4" ht="13.5">
      <c r="A3049" s="49">
        <v>92027</v>
      </c>
      <c r="B3049" s="48" t="s">
        <v>4562</v>
      </c>
      <c r="C3049" s="48" t="s">
        <v>32</v>
      </c>
      <c r="D3049" s="50">
        <v>57.5</v>
      </c>
    </row>
    <row r="3050" spans="1:4" ht="13.5">
      <c r="A3050" s="49">
        <v>92028</v>
      </c>
      <c r="B3050" s="48" t="s">
        <v>4563</v>
      </c>
      <c r="C3050" s="48" t="s">
        <v>32</v>
      </c>
      <c r="D3050" s="50">
        <v>41.8</v>
      </c>
    </row>
    <row r="3051" spans="1:4" ht="13.5">
      <c r="A3051" s="49">
        <v>92029</v>
      </c>
      <c r="B3051" s="48" t="s">
        <v>4564</v>
      </c>
      <c r="C3051" s="48" t="s">
        <v>32</v>
      </c>
      <c r="D3051" s="50">
        <v>49.2</v>
      </c>
    </row>
    <row r="3052" spans="1:4" ht="13.5">
      <c r="A3052" s="49">
        <v>92030</v>
      </c>
      <c r="B3052" s="48" t="s">
        <v>4565</v>
      </c>
      <c r="C3052" s="48" t="s">
        <v>32</v>
      </c>
      <c r="D3052" s="50">
        <v>60.73</v>
      </c>
    </row>
    <row r="3053" spans="1:4" ht="13.5">
      <c r="A3053" s="49">
        <v>92031</v>
      </c>
      <c r="B3053" s="48" t="s">
        <v>4566</v>
      </c>
      <c r="C3053" s="48" t="s">
        <v>32</v>
      </c>
      <c r="D3053" s="50">
        <v>68.13</v>
      </c>
    </row>
    <row r="3054" spans="1:4" ht="13.5">
      <c r="A3054" s="49">
        <v>92032</v>
      </c>
      <c r="B3054" s="48" t="s">
        <v>4567</v>
      </c>
      <c r="C3054" s="48" t="s">
        <v>32</v>
      </c>
      <c r="D3054" s="50">
        <v>61.78</v>
      </c>
    </row>
    <row r="3055" spans="1:4" ht="13.5">
      <c r="A3055" s="49">
        <v>92033</v>
      </c>
      <c r="B3055" s="48" t="s">
        <v>4568</v>
      </c>
      <c r="C3055" s="48" t="s">
        <v>32</v>
      </c>
      <c r="D3055" s="50">
        <v>69.180000000000007</v>
      </c>
    </row>
    <row r="3056" spans="1:4" ht="13.5">
      <c r="A3056" s="49">
        <v>92034</v>
      </c>
      <c r="B3056" s="48" t="s">
        <v>4569</v>
      </c>
      <c r="C3056" s="48" t="s">
        <v>32</v>
      </c>
      <c r="D3056" s="50">
        <v>55.96</v>
      </c>
    </row>
    <row r="3057" spans="1:4" ht="13.5">
      <c r="A3057" s="49">
        <v>92035</v>
      </c>
      <c r="B3057" s="48" t="s">
        <v>4570</v>
      </c>
      <c r="C3057" s="48" t="s">
        <v>32</v>
      </c>
      <c r="D3057" s="50">
        <v>63.36</v>
      </c>
    </row>
    <row r="3058" spans="1:4" ht="13.5">
      <c r="A3058" s="49">
        <v>97583</v>
      </c>
      <c r="B3058" s="48" t="s">
        <v>19696</v>
      </c>
      <c r="C3058" s="48" t="s">
        <v>32</v>
      </c>
      <c r="D3058" s="50">
        <v>100.98</v>
      </c>
    </row>
    <row r="3059" spans="1:4" ht="13.5">
      <c r="A3059" s="49">
        <v>97584</v>
      </c>
      <c r="B3059" s="48" t="s">
        <v>19697</v>
      </c>
      <c r="C3059" s="48" t="s">
        <v>32</v>
      </c>
      <c r="D3059" s="50">
        <v>142.87</v>
      </c>
    </row>
    <row r="3060" spans="1:4" ht="13.5">
      <c r="A3060" s="49">
        <v>97585</v>
      </c>
      <c r="B3060" s="48" t="s">
        <v>19698</v>
      </c>
      <c r="C3060" s="48" t="s">
        <v>32</v>
      </c>
      <c r="D3060" s="50">
        <v>136.74</v>
      </c>
    </row>
    <row r="3061" spans="1:4" ht="13.5">
      <c r="A3061" s="49">
        <v>97586</v>
      </c>
      <c r="B3061" s="48" t="s">
        <v>19699</v>
      </c>
      <c r="C3061" s="48" t="s">
        <v>32</v>
      </c>
      <c r="D3061" s="50">
        <v>187.32</v>
      </c>
    </row>
    <row r="3062" spans="1:4" ht="13.5">
      <c r="A3062" s="49">
        <v>97587</v>
      </c>
      <c r="B3062" s="48" t="s">
        <v>19700</v>
      </c>
      <c r="C3062" s="48" t="s">
        <v>32</v>
      </c>
      <c r="D3062" s="50">
        <v>346.25</v>
      </c>
    </row>
    <row r="3063" spans="1:4" ht="13.5">
      <c r="A3063" s="49">
        <v>97589</v>
      </c>
      <c r="B3063" s="48" t="s">
        <v>19701</v>
      </c>
      <c r="C3063" s="48" t="s">
        <v>32</v>
      </c>
      <c r="D3063" s="50">
        <v>42.73</v>
      </c>
    </row>
    <row r="3064" spans="1:4" ht="13.5">
      <c r="A3064" s="49">
        <v>97590</v>
      </c>
      <c r="B3064" s="48" t="s">
        <v>19702</v>
      </c>
      <c r="C3064" s="48" t="s">
        <v>32</v>
      </c>
      <c r="D3064" s="50">
        <v>112.63</v>
      </c>
    </row>
    <row r="3065" spans="1:4" ht="13.5">
      <c r="A3065" s="49">
        <v>97591</v>
      </c>
      <c r="B3065" s="48" t="s">
        <v>19703</v>
      </c>
      <c r="C3065" s="48" t="s">
        <v>32</v>
      </c>
      <c r="D3065" s="50">
        <v>146.03</v>
      </c>
    </row>
    <row r="3066" spans="1:4" ht="13.5">
      <c r="A3066" s="49">
        <v>97592</v>
      </c>
      <c r="B3066" s="48" t="s">
        <v>19704</v>
      </c>
      <c r="C3066" s="48" t="s">
        <v>32</v>
      </c>
      <c r="D3066" s="50">
        <v>39.590000000000003</v>
      </c>
    </row>
    <row r="3067" spans="1:4" ht="13.5">
      <c r="A3067" s="49">
        <v>97593</v>
      </c>
      <c r="B3067" s="48" t="s">
        <v>19705</v>
      </c>
      <c r="C3067" s="48" t="s">
        <v>32</v>
      </c>
      <c r="D3067" s="50">
        <v>167.17</v>
      </c>
    </row>
    <row r="3068" spans="1:4" ht="13.5">
      <c r="A3068" s="49">
        <v>97594</v>
      </c>
      <c r="B3068" s="48" t="s">
        <v>19706</v>
      </c>
      <c r="C3068" s="48" t="s">
        <v>32</v>
      </c>
      <c r="D3068" s="50">
        <v>147.94999999999999</v>
      </c>
    </row>
    <row r="3069" spans="1:4" ht="13.5">
      <c r="A3069" s="49">
        <v>97595</v>
      </c>
      <c r="B3069" s="48" t="s">
        <v>19707</v>
      </c>
      <c r="C3069" s="48" t="s">
        <v>32</v>
      </c>
      <c r="D3069" s="50">
        <v>118.89</v>
      </c>
    </row>
    <row r="3070" spans="1:4" ht="13.5">
      <c r="A3070" s="49">
        <v>97596</v>
      </c>
      <c r="B3070" s="48" t="s">
        <v>19708</v>
      </c>
      <c r="C3070" s="48" t="s">
        <v>32</v>
      </c>
      <c r="D3070" s="50">
        <v>81.13</v>
      </c>
    </row>
    <row r="3071" spans="1:4" ht="13.5">
      <c r="A3071" s="49">
        <v>97597</v>
      </c>
      <c r="B3071" s="48" t="s">
        <v>19709</v>
      </c>
      <c r="C3071" s="48" t="s">
        <v>32</v>
      </c>
      <c r="D3071" s="50">
        <v>82.15</v>
      </c>
    </row>
    <row r="3072" spans="1:4" ht="13.5">
      <c r="A3072" s="49">
        <v>97598</v>
      </c>
      <c r="B3072" s="48" t="s">
        <v>19710</v>
      </c>
      <c r="C3072" s="48" t="s">
        <v>32</v>
      </c>
      <c r="D3072" s="50">
        <v>77.33</v>
      </c>
    </row>
    <row r="3073" spans="1:4" ht="13.5">
      <c r="A3073" s="49">
        <v>97599</v>
      </c>
      <c r="B3073" s="48" t="s">
        <v>19711</v>
      </c>
      <c r="C3073" s="48" t="s">
        <v>32</v>
      </c>
      <c r="D3073" s="50">
        <v>28.94</v>
      </c>
    </row>
    <row r="3074" spans="1:4" ht="13.5">
      <c r="A3074" s="49">
        <v>97609</v>
      </c>
      <c r="B3074" s="48" t="s">
        <v>19712</v>
      </c>
      <c r="C3074" s="48" t="s">
        <v>32</v>
      </c>
      <c r="D3074" s="50">
        <v>17.11</v>
      </c>
    </row>
    <row r="3075" spans="1:4" ht="13.5">
      <c r="A3075" s="49">
        <v>97610</v>
      </c>
      <c r="B3075" s="48" t="s">
        <v>19713</v>
      </c>
      <c r="C3075" s="48" t="s">
        <v>32</v>
      </c>
      <c r="D3075" s="50">
        <v>18.29</v>
      </c>
    </row>
    <row r="3076" spans="1:4" ht="13.5">
      <c r="A3076" s="49">
        <v>97611</v>
      </c>
      <c r="B3076" s="48" t="s">
        <v>19714</v>
      </c>
      <c r="C3076" s="48" t="s">
        <v>32</v>
      </c>
      <c r="D3076" s="50">
        <v>24.82</v>
      </c>
    </row>
    <row r="3077" spans="1:4" ht="13.5">
      <c r="A3077" s="49">
        <v>97612</v>
      </c>
      <c r="B3077" s="48" t="s">
        <v>19715</v>
      </c>
      <c r="C3077" s="48" t="s">
        <v>32</v>
      </c>
      <c r="D3077" s="50">
        <v>27.01</v>
      </c>
    </row>
    <row r="3078" spans="1:4" ht="13.5">
      <c r="A3078" s="49">
        <v>97613</v>
      </c>
      <c r="B3078" s="48" t="s">
        <v>19716</v>
      </c>
      <c r="C3078" s="48" t="s">
        <v>32</v>
      </c>
      <c r="D3078" s="50">
        <v>34.28</v>
      </c>
    </row>
    <row r="3079" spans="1:4" ht="13.5">
      <c r="A3079" s="49">
        <v>97614</v>
      </c>
      <c r="B3079" s="48" t="s">
        <v>19717</v>
      </c>
      <c r="C3079" s="48" t="s">
        <v>32</v>
      </c>
      <c r="D3079" s="50">
        <v>60.54</v>
      </c>
    </row>
    <row r="3080" spans="1:4" ht="13.5">
      <c r="A3080" s="49">
        <v>97615</v>
      </c>
      <c r="B3080" s="48" t="s">
        <v>19718</v>
      </c>
      <c r="C3080" s="48" t="s">
        <v>32</v>
      </c>
      <c r="D3080" s="50">
        <v>61.16</v>
      </c>
    </row>
    <row r="3081" spans="1:4" ht="13.5">
      <c r="A3081" s="49">
        <v>97616</v>
      </c>
      <c r="B3081" s="48" t="s">
        <v>19719</v>
      </c>
      <c r="C3081" s="48" t="s">
        <v>32</v>
      </c>
      <c r="D3081" s="50">
        <v>70.75</v>
      </c>
    </row>
    <row r="3082" spans="1:4" ht="13.5">
      <c r="A3082" s="49">
        <v>97617</v>
      </c>
      <c r="B3082" s="48" t="s">
        <v>19720</v>
      </c>
      <c r="C3082" s="48" t="s">
        <v>32</v>
      </c>
      <c r="D3082" s="50">
        <v>70.41</v>
      </c>
    </row>
    <row r="3083" spans="1:4" ht="13.5">
      <c r="A3083" s="49">
        <v>97618</v>
      </c>
      <c r="B3083" s="48" t="s">
        <v>19721</v>
      </c>
      <c r="C3083" s="48" t="s">
        <v>32</v>
      </c>
      <c r="D3083" s="50">
        <v>64.239999999999995</v>
      </c>
    </row>
    <row r="3084" spans="1:4" ht="13.5">
      <c r="A3084" s="49">
        <v>100902</v>
      </c>
      <c r="B3084" s="48" t="s">
        <v>19722</v>
      </c>
      <c r="C3084" s="48" t="s">
        <v>32</v>
      </c>
      <c r="D3084" s="50">
        <v>27.68</v>
      </c>
    </row>
    <row r="3085" spans="1:4" ht="13.5">
      <c r="A3085" s="49">
        <v>100903</v>
      </c>
      <c r="B3085" s="48" t="s">
        <v>19723</v>
      </c>
      <c r="C3085" s="48" t="s">
        <v>32</v>
      </c>
      <c r="D3085" s="50">
        <v>32.9</v>
      </c>
    </row>
    <row r="3086" spans="1:4" ht="13.5">
      <c r="A3086" s="49">
        <v>100904</v>
      </c>
      <c r="B3086" s="48" t="s">
        <v>19724</v>
      </c>
      <c r="C3086" s="48" t="s">
        <v>32</v>
      </c>
      <c r="D3086" s="50">
        <v>100.98</v>
      </c>
    </row>
    <row r="3087" spans="1:4" ht="13.5">
      <c r="A3087" s="49">
        <v>100905</v>
      </c>
      <c r="B3087" s="48" t="s">
        <v>19725</v>
      </c>
      <c r="C3087" s="48" t="s">
        <v>32</v>
      </c>
      <c r="D3087" s="50">
        <v>273.5</v>
      </c>
    </row>
    <row r="3088" spans="1:4" ht="13.5">
      <c r="A3088" s="49">
        <v>100906</v>
      </c>
      <c r="B3088" s="48" t="s">
        <v>19726</v>
      </c>
      <c r="C3088" s="48" t="s">
        <v>32</v>
      </c>
      <c r="D3088" s="50">
        <v>374.66</v>
      </c>
    </row>
    <row r="3089" spans="1:4" ht="13.5">
      <c r="A3089" s="49">
        <v>100919</v>
      </c>
      <c r="B3089" s="48" t="s">
        <v>19727</v>
      </c>
      <c r="C3089" s="48" t="s">
        <v>32</v>
      </c>
      <c r="D3089" s="50">
        <v>69.12</v>
      </c>
    </row>
    <row r="3090" spans="1:4" ht="13.5">
      <c r="A3090" s="49">
        <v>100920</v>
      </c>
      <c r="B3090" s="48" t="s">
        <v>19728</v>
      </c>
      <c r="C3090" s="48" t="s">
        <v>32</v>
      </c>
      <c r="D3090" s="50">
        <v>117.55</v>
      </c>
    </row>
    <row r="3091" spans="1:4" ht="13.5">
      <c r="A3091" s="49">
        <v>100921</v>
      </c>
      <c r="B3091" s="48" t="s">
        <v>19729</v>
      </c>
      <c r="C3091" s="48" t="s">
        <v>32</v>
      </c>
      <c r="D3091" s="50">
        <v>73.52</v>
      </c>
    </row>
    <row r="3092" spans="1:4" ht="13.5">
      <c r="A3092" s="49">
        <v>100922</v>
      </c>
      <c r="B3092" s="48" t="s">
        <v>19730</v>
      </c>
      <c r="C3092" s="48" t="s">
        <v>32</v>
      </c>
      <c r="D3092" s="50">
        <v>53.01</v>
      </c>
    </row>
    <row r="3093" spans="1:4" ht="13.5">
      <c r="A3093" s="49">
        <v>100923</v>
      </c>
      <c r="B3093" s="48" t="s">
        <v>19731</v>
      </c>
      <c r="C3093" s="48" t="s">
        <v>32</v>
      </c>
      <c r="D3093" s="50">
        <v>62.04</v>
      </c>
    </row>
    <row r="3094" spans="1:4" ht="13.5">
      <c r="A3094" s="49">
        <v>101489</v>
      </c>
      <c r="B3094" s="48" t="s">
        <v>20581</v>
      </c>
      <c r="C3094" s="48" t="s">
        <v>32</v>
      </c>
      <c r="D3094" s="51">
        <v>1345.07</v>
      </c>
    </row>
    <row r="3095" spans="1:4" ht="13.5">
      <c r="A3095" s="49">
        <v>101490</v>
      </c>
      <c r="B3095" s="48" t="s">
        <v>20582</v>
      </c>
      <c r="C3095" s="48" t="s">
        <v>32</v>
      </c>
      <c r="D3095" s="51">
        <v>1440.22</v>
      </c>
    </row>
    <row r="3096" spans="1:4" ht="13.5">
      <c r="A3096" s="49">
        <v>101491</v>
      </c>
      <c r="B3096" s="48" t="s">
        <v>20583</v>
      </c>
      <c r="C3096" s="48" t="s">
        <v>32</v>
      </c>
      <c r="D3096" s="51">
        <v>1476.63</v>
      </c>
    </row>
    <row r="3097" spans="1:4" ht="13.5">
      <c r="A3097" s="49">
        <v>101492</v>
      </c>
      <c r="B3097" s="48" t="s">
        <v>20584</v>
      </c>
      <c r="C3097" s="48" t="s">
        <v>32</v>
      </c>
      <c r="D3097" s="51">
        <v>1617.44</v>
      </c>
    </row>
    <row r="3098" spans="1:4" ht="13.5">
      <c r="A3098" s="49">
        <v>101493</v>
      </c>
      <c r="B3098" s="48" t="s">
        <v>20585</v>
      </c>
      <c r="C3098" s="48" t="s">
        <v>32</v>
      </c>
      <c r="D3098" s="51">
        <v>1329.06</v>
      </c>
    </row>
    <row r="3099" spans="1:4" ht="13.5">
      <c r="A3099" s="49">
        <v>101494</v>
      </c>
      <c r="B3099" s="48" t="s">
        <v>20586</v>
      </c>
      <c r="C3099" s="48" t="s">
        <v>32</v>
      </c>
      <c r="D3099" s="51">
        <v>1424.21</v>
      </c>
    </row>
    <row r="3100" spans="1:4" ht="13.5">
      <c r="A3100" s="49">
        <v>101495</v>
      </c>
      <c r="B3100" s="48" t="s">
        <v>20587</v>
      </c>
      <c r="C3100" s="48" t="s">
        <v>32</v>
      </c>
      <c r="D3100" s="51">
        <v>1460.62</v>
      </c>
    </row>
    <row r="3101" spans="1:4" ht="13.5">
      <c r="A3101" s="49">
        <v>101496</v>
      </c>
      <c r="B3101" s="48" t="s">
        <v>20588</v>
      </c>
      <c r="C3101" s="48" t="s">
        <v>32</v>
      </c>
      <c r="D3101" s="51">
        <v>1601.43</v>
      </c>
    </row>
    <row r="3102" spans="1:4" ht="13.5">
      <c r="A3102" s="49">
        <v>101497</v>
      </c>
      <c r="B3102" s="48" t="s">
        <v>20589</v>
      </c>
      <c r="C3102" s="48" t="s">
        <v>32</v>
      </c>
      <c r="D3102" s="51">
        <v>1578.36</v>
      </c>
    </row>
    <row r="3103" spans="1:4" ht="13.5">
      <c r="A3103" s="49">
        <v>101498</v>
      </c>
      <c r="B3103" s="48" t="s">
        <v>20590</v>
      </c>
      <c r="C3103" s="48" t="s">
        <v>32</v>
      </c>
      <c r="D3103" s="51">
        <v>1722.38</v>
      </c>
    </row>
    <row r="3104" spans="1:4" ht="13.5">
      <c r="A3104" s="49">
        <v>101499</v>
      </c>
      <c r="B3104" s="48" t="s">
        <v>20591</v>
      </c>
      <c r="C3104" s="48" t="s">
        <v>32</v>
      </c>
      <c r="D3104" s="51">
        <v>1777.49</v>
      </c>
    </row>
    <row r="3105" spans="1:4" ht="13.5">
      <c r="A3105" s="49">
        <v>101500</v>
      </c>
      <c r="B3105" s="48" t="s">
        <v>20592</v>
      </c>
      <c r="C3105" s="48" t="s">
        <v>32</v>
      </c>
      <c r="D3105" s="51">
        <v>1975.42</v>
      </c>
    </row>
    <row r="3106" spans="1:4" ht="13.5">
      <c r="A3106" s="49">
        <v>101501</v>
      </c>
      <c r="B3106" s="48" t="s">
        <v>20593</v>
      </c>
      <c r="C3106" s="48" t="s">
        <v>32</v>
      </c>
      <c r="D3106" s="51">
        <v>1568.67</v>
      </c>
    </row>
    <row r="3107" spans="1:4" ht="13.5">
      <c r="A3107" s="49">
        <v>101502</v>
      </c>
      <c r="B3107" s="48" t="s">
        <v>20594</v>
      </c>
      <c r="C3107" s="48" t="s">
        <v>32</v>
      </c>
      <c r="D3107" s="51">
        <v>1712.69</v>
      </c>
    </row>
    <row r="3108" spans="1:4" ht="13.5">
      <c r="A3108" s="49">
        <v>101503</v>
      </c>
      <c r="B3108" s="48" t="s">
        <v>20595</v>
      </c>
      <c r="C3108" s="48" t="s">
        <v>32</v>
      </c>
      <c r="D3108" s="51">
        <v>1767.8</v>
      </c>
    </row>
    <row r="3109" spans="1:4" ht="13.5">
      <c r="A3109" s="49">
        <v>101504</v>
      </c>
      <c r="B3109" s="48" t="s">
        <v>20596</v>
      </c>
      <c r="C3109" s="48" t="s">
        <v>32</v>
      </c>
      <c r="D3109" s="51">
        <v>1965.73</v>
      </c>
    </row>
    <row r="3110" spans="1:4" ht="13.5">
      <c r="A3110" s="49">
        <v>101505</v>
      </c>
      <c r="B3110" s="48" t="s">
        <v>20597</v>
      </c>
      <c r="C3110" s="48" t="s">
        <v>32</v>
      </c>
      <c r="D3110" s="51">
        <v>1691.94</v>
      </c>
    </row>
    <row r="3111" spans="1:4" ht="13.5">
      <c r="A3111" s="49">
        <v>101506</v>
      </c>
      <c r="B3111" s="48" t="s">
        <v>20598</v>
      </c>
      <c r="C3111" s="48" t="s">
        <v>32</v>
      </c>
      <c r="D3111" s="51">
        <v>1883.97</v>
      </c>
    </row>
    <row r="3112" spans="1:4" ht="13.5">
      <c r="A3112" s="49">
        <v>101507</v>
      </c>
      <c r="B3112" s="48" t="s">
        <v>20599</v>
      </c>
      <c r="C3112" s="48" t="s">
        <v>32</v>
      </c>
      <c r="D3112" s="51">
        <v>1957.45</v>
      </c>
    </row>
    <row r="3113" spans="1:4" ht="13.5">
      <c r="A3113" s="49">
        <v>101508</v>
      </c>
      <c r="B3113" s="48" t="s">
        <v>20600</v>
      </c>
      <c r="C3113" s="48" t="s">
        <v>32</v>
      </c>
      <c r="D3113" s="51">
        <v>2211.4899999999998</v>
      </c>
    </row>
    <row r="3114" spans="1:4" ht="13.5">
      <c r="A3114" s="49">
        <v>101509</v>
      </c>
      <c r="B3114" s="48" t="s">
        <v>20601</v>
      </c>
      <c r="C3114" s="48" t="s">
        <v>32</v>
      </c>
      <c r="D3114" s="51">
        <v>1919.7</v>
      </c>
    </row>
    <row r="3115" spans="1:4" ht="13.5">
      <c r="A3115" s="49">
        <v>101510</v>
      </c>
      <c r="B3115" s="48" t="s">
        <v>20602</v>
      </c>
      <c r="C3115" s="48" t="s">
        <v>32</v>
      </c>
      <c r="D3115" s="51">
        <v>2111.73</v>
      </c>
    </row>
    <row r="3116" spans="1:4" ht="13.5">
      <c r="A3116" s="49">
        <v>101511</v>
      </c>
      <c r="B3116" s="48" t="s">
        <v>20603</v>
      </c>
      <c r="C3116" s="48" t="s">
        <v>32</v>
      </c>
      <c r="D3116" s="51">
        <v>2185.21</v>
      </c>
    </row>
    <row r="3117" spans="1:4" ht="13.5">
      <c r="A3117" s="49">
        <v>101512</v>
      </c>
      <c r="B3117" s="48" t="s">
        <v>20604</v>
      </c>
      <c r="C3117" s="48" t="s">
        <v>32</v>
      </c>
      <c r="D3117" s="51">
        <v>2439.25</v>
      </c>
    </row>
    <row r="3118" spans="1:4" ht="13.5">
      <c r="A3118" s="49">
        <v>101513</v>
      </c>
      <c r="B3118" s="48" t="s">
        <v>20605</v>
      </c>
      <c r="C3118" s="48" t="s">
        <v>32</v>
      </c>
      <c r="D3118" s="50">
        <v>754.62</v>
      </c>
    </row>
    <row r="3119" spans="1:4" ht="13.5">
      <c r="A3119" s="49">
        <v>101514</v>
      </c>
      <c r="B3119" s="48" t="s">
        <v>20606</v>
      </c>
      <c r="C3119" s="48" t="s">
        <v>32</v>
      </c>
      <c r="D3119" s="50">
        <v>868.8</v>
      </c>
    </row>
    <row r="3120" spans="1:4" ht="13.5">
      <c r="A3120" s="49">
        <v>101515</v>
      </c>
      <c r="B3120" s="48" t="s">
        <v>20607</v>
      </c>
      <c r="C3120" s="48" t="s">
        <v>32</v>
      </c>
      <c r="D3120" s="50">
        <v>912.49</v>
      </c>
    </row>
    <row r="3121" spans="1:4" ht="13.5">
      <c r="A3121" s="49">
        <v>101516</v>
      </c>
      <c r="B3121" s="48" t="s">
        <v>20608</v>
      </c>
      <c r="C3121" s="48" t="s">
        <v>32</v>
      </c>
      <c r="D3121" s="51">
        <v>1045.94</v>
      </c>
    </row>
    <row r="3122" spans="1:4" ht="13.5">
      <c r="A3122" s="49">
        <v>101517</v>
      </c>
      <c r="B3122" s="48" t="s">
        <v>20609</v>
      </c>
      <c r="C3122" s="48" t="s">
        <v>32</v>
      </c>
      <c r="D3122" s="50">
        <v>738.62</v>
      </c>
    </row>
    <row r="3123" spans="1:4" ht="13.5">
      <c r="A3123" s="49">
        <v>101518</v>
      </c>
      <c r="B3123" s="48" t="s">
        <v>20610</v>
      </c>
      <c r="C3123" s="48" t="s">
        <v>32</v>
      </c>
      <c r="D3123" s="50">
        <v>852.8</v>
      </c>
    </row>
    <row r="3124" spans="1:4" ht="13.5">
      <c r="A3124" s="49">
        <v>101519</v>
      </c>
      <c r="B3124" s="48" t="s">
        <v>20611</v>
      </c>
      <c r="C3124" s="48" t="s">
        <v>32</v>
      </c>
      <c r="D3124" s="50">
        <v>896.49</v>
      </c>
    </row>
    <row r="3125" spans="1:4" ht="13.5">
      <c r="A3125" s="49">
        <v>101520</v>
      </c>
      <c r="B3125" s="48" t="s">
        <v>20612</v>
      </c>
      <c r="C3125" s="48" t="s">
        <v>32</v>
      </c>
      <c r="D3125" s="51">
        <v>1029.94</v>
      </c>
    </row>
    <row r="3126" spans="1:4" ht="13.5">
      <c r="A3126" s="49">
        <v>101521</v>
      </c>
      <c r="B3126" s="48" t="s">
        <v>20613</v>
      </c>
      <c r="C3126" s="48" t="s">
        <v>32</v>
      </c>
      <c r="D3126" s="51">
        <v>1003.59</v>
      </c>
    </row>
    <row r="3127" spans="1:4" ht="13.5">
      <c r="A3127" s="49">
        <v>101522</v>
      </c>
      <c r="B3127" s="48" t="s">
        <v>20614</v>
      </c>
      <c r="C3127" s="48" t="s">
        <v>32</v>
      </c>
      <c r="D3127" s="51">
        <v>1174.8599999999999</v>
      </c>
    </row>
    <row r="3128" spans="1:4" ht="13.5">
      <c r="A3128" s="49">
        <v>101523</v>
      </c>
      <c r="B3128" s="48" t="s">
        <v>20615</v>
      </c>
      <c r="C3128" s="48" t="s">
        <v>32</v>
      </c>
      <c r="D3128" s="51">
        <v>1240.4000000000001</v>
      </c>
    </row>
    <row r="3129" spans="1:4" ht="13.5">
      <c r="A3129" s="49">
        <v>101524</v>
      </c>
      <c r="B3129" s="48" t="s">
        <v>20616</v>
      </c>
      <c r="C3129" s="48" t="s">
        <v>32</v>
      </c>
      <c r="D3129" s="51">
        <v>1440.58</v>
      </c>
    </row>
    <row r="3130" spans="1:4" ht="13.5">
      <c r="A3130" s="49">
        <v>101525</v>
      </c>
      <c r="B3130" s="48" t="s">
        <v>20617</v>
      </c>
      <c r="C3130" s="48" t="s">
        <v>32</v>
      </c>
      <c r="D3130" s="50">
        <v>993.91</v>
      </c>
    </row>
    <row r="3131" spans="1:4" ht="13.5">
      <c r="A3131" s="49">
        <v>101526</v>
      </c>
      <c r="B3131" s="48" t="s">
        <v>20618</v>
      </c>
      <c r="C3131" s="48" t="s">
        <v>32</v>
      </c>
      <c r="D3131" s="51">
        <v>1165.18</v>
      </c>
    </row>
    <row r="3132" spans="1:4" ht="13.5">
      <c r="A3132" s="49">
        <v>101527</v>
      </c>
      <c r="B3132" s="48" t="s">
        <v>20619</v>
      </c>
      <c r="C3132" s="48" t="s">
        <v>32</v>
      </c>
      <c r="D3132" s="51">
        <v>1230.72</v>
      </c>
    </row>
    <row r="3133" spans="1:4" ht="13.5">
      <c r="A3133" s="49">
        <v>101528</v>
      </c>
      <c r="B3133" s="48" t="s">
        <v>20620</v>
      </c>
      <c r="C3133" s="48" t="s">
        <v>32</v>
      </c>
      <c r="D3133" s="51">
        <v>1430.9</v>
      </c>
    </row>
    <row r="3134" spans="1:4" ht="13.5">
      <c r="A3134" s="49">
        <v>101529</v>
      </c>
      <c r="B3134" s="48" t="s">
        <v>20621</v>
      </c>
      <c r="C3134" s="48" t="s">
        <v>32</v>
      </c>
      <c r="D3134" s="51">
        <v>1134.51</v>
      </c>
    </row>
    <row r="3135" spans="1:4" ht="13.5">
      <c r="A3135" s="49">
        <v>101530</v>
      </c>
      <c r="B3135" s="48" t="s">
        <v>20622</v>
      </c>
      <c r="C3135" s="48" t="s">
        <v>32</v>
      </c>
      <c r="D3135" s="51">
        <v>1362.87</v>
      </c>
    </row>
    <row r="3136" spans="1:4" ht="13.5">
      <c r="A3136" s="49">
        <v>101531</v>
      </c>
      <c r="B3136" s="48" t="s">
        <v>20623</v>
      </c>
      <c r="C3136" s="48" t="s">
        <v>32</v>
      </c>
      <c r="D3136" s="51">
        <v>1450.25</v>
      </c>
    </row>
    <row r="3137" spans="1:4" ht="13.5">
      <c r="A3137" s="49">
        <v>101532</v>
      </c>
      <c r="B3137" s="48" t="s">
        <v>20624</v>
      </c>
      <c r="C3137" s="48" t="s">
        <v>32</v>
      </c>
      <c r="D3137" s="51">
        <v>1717.16</v>
      </c>
    </row>
    <row r="3138" spans="1:4" ht="13.5">
      <c r="A3138" s="49">
        <v>101533</v>
      </c>
      <c r="B3138" s="48" t="s">
        <v>20625</v>
      </c>
      <c r="C3138" s="48" t="s">
        <v>32</v>
      </c>
      <c r="D3138" s="51">
        <v>1362.28</v>
      </c>
    </row>
    <row r="3139" spans="1:4" ht="13.5">
      <c r="A3139" s="49">
        <v>101534</v>
      </c>
      <c r="B3139" s="48" t="s">
        <v>20626</v>
      </c>
      <c r="C3139" s="48" t="s">
        <v>32</v>
      </c>
      <c r="D3139" s="51">
        <v>1590.64</v>
      </c>
    </row>
    <row r="3140" spans="1:4" ht="13.5">
      <c r="A3140" s="49">
        <v>101535</v>
      </c>
      <c r="B3140" s="48" t="s">
        <v>20627</v>
      </c>
      <c r="C3140" s="48" t="s">
        <v>32</v>
      </c>
      <c r="D3140" s="51">
        <v>1678.02</v>
      </c>
    </row>
    <row r="3141" spans="1:4" ht="13.5">
      <c r="A3141" s="49">
        <v>101536</v>
      </c>
      <c r="B3141" s="48" t="s">
        <v>20628</v>
      </c>
      <c r="C3141" s="48" t="s">
        <v>32</v>
      </c>
      <c r="D3141" s="51">
        <v>1944.93</v>
      </c>
    </row>
    <row r="3142" spans="1:4" ht="13.5">
      <c r="A3142" s="49">
        <v>101537</v>
      </c>
      <c r="B3142" s="48" t="s">
        <v>20629</v>
      </c>
      <c r="C3142" s="48" t="s">
        <v>32</v>
      </c>
      <c r="D3142" s="50">
        <v>138.13999999999999</v>
      </c>
    </row>
    <row r="3143" spans="1:4" ht="13.5">
      <c r="A3143" s="49">
        <v>101538</v>
      </c>
      <c r="B3143" s="48" t="s">
        <v>20630</v>
      </c>
      <c r="C3143" s="48" t="s">
        <v>32</v>
      </c>
      <c r="D3143" s="50">
        <v>42.26</v>
      </c>
    </row>
    <row r="3144" spans="1:4" ht="13.5">
      <c r="A3144" s="49">
        <v>101539</v>
      </c>
      <c r="B3144" s="48" t="s">
        <v>20631</v>
      </c>
      <c r="C3144" s="48" t="s">
        <v>32</v>
      </c>
      <c r="D3144" s="50">
        <v>69.89</v>
      </c>
    </row>
    <row r="3145" spans="1:4" ht="13.5">
      <c r="A3145" s="49">
        <v>101540</v>
      </c>
      <c r="B3145" s="48" t="s">
        <v>20632</v>
      </c>
      <c r="C3145" s="48" t="s">
        <v>32</v>
      </c>
      <c r="D3145" s="50">
        <v>117.85</v>
      </c>
    </row>
    <row r="3146" spans="1:4" ht="13.5">
      <c r="A3146" s="49">
        <v>101541</v>
      </c>
      <c r="B3146" s="48" t="s">
        <v>20633</v>
      </c>
      <c r="C3146" s="48" t="s">
        <v>32</v>
      </c>
      <c r="D3146" s="50">
        <v>153.71</v>
      </c>
    </row>
    <row r="3147" spans="1:4" ht="13.5">
      <c r="A3147" s="49">
        <v>101542</v>
      </c>
      <c r="B3147" s="48" t="s">
        <v>20634</v>
      </c>
      <c r="C3147" s="48" t="s">
        <v>32</v>
      </c>
      <c r="D3147" s="50">
        <v>31.89</v>
      </c>
    </row>
    <row r="3148" spans="1:4" ht="13.5">
      <c r="A3148" s="49">
        <v>101543</v>
      </c>
      <c r="B3148" s="48" t="s">
        <v>20635</v>
      </c>
      <c r="C3148" s="48" t="s">
        <v>32</v>
      </c>
      <c r="D3148" s="50">
        <v>56.7</v>
      </c>
    </row>
    <row r="3149" spans="1:4" ht="13.5">
      <c r="A3149" s="49">
        <v>101544</v>
      </c>
      <c r="B3149" s="48" t="s">
        <v>20636</v>
      </c>
      <c r="C3149" s="48" t="s">
        <v>32</v>
      </c>
      <c r="D3149" s="50">
        <v>90.7</v>
      </c>
    </row>
    <row r="3150" spans="1:4" ht="13.5">
      <c r="A3150" s="49">
        <v>101545</v>
      </c>
      <c r="B3150" s="48" t="s">
        <v>20637</v>
      </c>
      <c r="C3150" s="48" t="s">
        <v>32</v>
      </c>
      <c r="D3150" s="50">
        <v>131.6</v>
      </c>
    </row>
    <row r="3151" spans="1:4" ht="13.5">
      <c r="A3151" s="49">
        <v>101546</v>
      </c>
      <c r="B3151" s="48" t="s">
        <v>20638</v>
      </c>
      <c r="C3151" s="48" t="s">
        <v>32</v>
      </c>
      <c r="D3151" s="50">
        <v>28.79</v>
      </c>
    </row>
    <row r="3152" spans="1:4" ht="13.5">
      <c r="A3152" s="49">
        <v>101547</v>
      </c>
      <c r="B3152" s="48" t="s">
        <v>20639</v>
      </c>
      <c r="C3152" s="48" t="s">
        <v>32</v>
      </c>
      <c r="D3152" s="50">
        <v>90</v>
      </c>
    </row>
    <row r="3153" spans="1:4" ht="13.5">
      <c r="A3153" s="49">
        <v>101548</v>
      </c>
      <c r="B3153" s="48" t="s">
        <v>20640</v>
      </c>
      <c r="C3153" s="48" t="s">
        <v>32</v>
      </c>
      <c r="D3153" s="50">
        <v>7.2</v>
      </c>
    </row>
    <row r="3154" spans="1:4" ht="13.5">
      <c r="A3154" s="49">
        <v>101549</v>
      </c>
      <c r="B3154" s="48" t="s">
        <v>20641</v>
      </c>
      <c r="C3154" s="48" t="s">
        <v>32</v>
      </c>
      <c r="D3154" s="50">
        <v>17.079999999999998</v>
      </c>
    </row>
    <row r="3155" spans="1:4" ht="13.5">
      <c r="A3155" s="49">
        <v>101553</v>
      </c>
      <c r="B3155" s="48" t="s">
        <v>20642</v>
      </c>
      <c r="C3155" s="48" t="s">
        <v>32</v>
      </c>
      <c r="D3155" s="50">
        <v>15.02</v>
      </c>
    </row>
    <row r="3156" spans="1:4" ht="13.5">
      <c r="A3156" s="49">
        <v>101554</v>
      </c>
      <c r="B3156" s="48" t="s">
        <v>20643</v>
      </c>
      <c r="C3156" s="48" t="s">
        <v>32</v>
      </c>
      <c r="D3156" s="50">
        <v>10.87</v>
      </c>
    </row>
    <row r="3157" spans="1:4" ht="13.5">
      <c r="A3157" s="49">
        <v>101555</v>
      </c>
      <c r="B3157" s="48" t="s">
        <v>20644</v>
      </c>
      <c r="C3157" s="48" t="s">
        <v>32</v>
      </c>
      <c r="D3157" s="50">
        <v>7.08</v>
      </c>
    </row>
    <row r="3158" spans="1:4" ht="13.5">
      <c r="A3158" s="49">
        <v>101556</v>
      </c>
      <c r="B3158" s="48" t="s">
        <v>20645</v>
      </c>
      <c r="C3158" s="48" t="s">
        <v>32</v>
      </c>
      <c r="D3158" s="50">
        <v>6.48</v>
      </c>
    </row>
    <row r="3159" spans="1:4" ht="13.5">
      <c r="A3159" s="49">
        <v>101560</v>
      </c>
      <c r="B3159" s="48" t="s">
        <v>20646</v>
      </c>
      <c r="C3159" s="48" t="s">
        <v>6</v>
      </c>
      <c r="D3159" s="50">
        <v>11.29</v>
      </c>
    </row>
    <row r="3160" spans="1:4" ht="13.5">
      <c r="A3160" s="49">
        <v>101561</v>
      </c>
      <c r="B3160" s="48" t="s">
        <v>20647</v>
      </c>
      <c r="C3160" s="48" t="s">
        <v>6</v>
      </c>
      <c r="D3160" s="50">
        <v>17.28</v>
      </c>
    </row>
    <row r="3161" spans="1:4" ht="13.5">
      <c r="A3161" s="49">
        <v>101562</v>
      </c>
      <c r="B3161" s="48" t="s">
        <v>20648</v>
      </c>
      <c r="C3161" s="48" t="s">
        <v>6</v>
      </c>
      <c r="D3161" s="50">
        <v>26.28</v>
      </c>
    </row>
    <row r="3162" spans="1:4" ht="13.5">
      <c r="A3162" s="49">
        <v>101563</v>
      </c>
      <c r="B3162" s="48" t="s">
        <v>20649</v>
      </c>
      <c r="C3162" s="48" t="s">
        <v>6</v>
      </c>
      <c r="D3162" s="50">
        <v>36.21</v>
      </c>
    </row>
    <row r="3163" spans="1:4" ht="13.5">
      <c r="A3163" s="49">
        <v>101564</v>
      </c>
      <c r="B3163" s="48" t="s">
        <v>20650</v>
      </c>
      <c r="C3163" s="48" t="s">
        <v>6</v>
      </c>
      <c r="D3163" s="50">
        <v>51.57</v>
      </c>
    </row>
    <row r="3164" spans="1:4" ht="13.5">
      <c r="A3164" s="49">
        <v>101565</v>
      </c>
      <c r="B3164" s="48" t="s">
        <v>20651</v>
      </c>
      <c r="C3164" s="48" t="s">
        <v>6</v>
      </c>
      <c r="D3164" s="50">
        <v>71.42</v>
      </c>
    </row>
    <row r="3165" spans="1:4" ht="13.5">
      <c r="A3165" s="49">
        <v>101567</v>
      </c>
      <c r="B3165" s="48" t="s">
        <v>20652</v>
      </c>
      <c r="C3165" s="48" t="s">
        <v>6</v>
      </c>
      <c r="D3165" s="50">
        <v>94.84</v>
      </c>
    </row>
    <row r="3166" spans="1:4" ht="13.5">
      <c r="A3166" s="49">
        <v>101568</v>
      </c>
      <c r="B3166" s="48" t="s">
        <v>20653</v>
      </c>
      <c r="C3166" s="48" t="s">
        <v>6</v>
      </c>
      <c r="D3166" s="50">
        <v>123.43</v>
      </c>
    </row>
    <row r="3167" spans="1:4" ht="13.5">
      <c r="A3167" s="49">
        <v>101626</v>
      </c>
      <c r="B3167" s="48" t="s">
        <v>20654</v>
      </c>
      <c r="C3167" s="48" t="s">
        <v>32</v>
      </c>
      <c r="D3167" s="50">
        <v>204.05</v>
      </c>
    </row>
    <row r="3168" spans="1:4" ht="13.5">
      <c r="A3168" s="49">
        <v>101627</v>
      </c>
      <c r="B3168" s="48" t="s">
        <v>20655</v>
      </c>
      <c r="C3168" s="48" t="s">
        <v>32</v>
      </c>
      <c r="D3168" s="50">
        <v>318.58999999999997</v>
      </c>
    </row>
    <row r="3169" spans="1:4" ht="13.5">
      <c r="A3169" s="49">
        <v>101628</v>
      </c>
      <c r="B3169" s="48" t="s">
        <v>20656</v>
      </c>
      <c r="C3169" s="48" t="s">
        <v>32</v>
      </c>
      <c r="D3169" s="50">
        <v>151.06</v>
      </c>
    </row>
    <row r="3170" spans="1:4" ht="13.5">
      <c r="A3170" s="49">
        <v>101629</v>
      </c>
      <c r="B3170" s="48" t="s">
        <v>20657</v>
      </c>
      <c r="C3170" s="48" t="s">
        <v>32</v>
      </c>
      <c r="D3170" s="50">
        <v>178.35</v>
      </c>
    </row>
    <row r="3171" spans="1:4" ht="13.5">
      <c r="A3171" s="49">
        <v>101630</v>
      </c>
      <c r="B3171" s="48" t="s">
        <v>20658</v>
      </c>
      <c r="C3171" s="48" t="s">
        <v>32</v>
      </c>
      <c r="D3171" s="50">
        <v>65.27</v>
      </c>
    </row>
    <row r="3172" spans="1:4" ht="13.5">
      <c r="A3172" s="49">
        <v>101631</v>
      </c>
      <c r="B3172" s="48" t="s">
        <v>20659</v>
      </c>
      <c r="C3172" s="48" t="s">
        <v>32</v>
      </c>
      <c r="D3172" s="50">
        <v>23.29</v>
      </c>
    </row>
    <row r="3173" spans="1:4" ht="13.5">
      <c r="A3173" s="49">
        <v>101632</v>
      </c>
      <c r="B3173" s="48" t="s">
        <v>20660</v>
      </c>
      <c r="C3173" s="48" t="s">
        <v>32</v>
      </c>
      <c r="D3173" s="50">
        <v>45.67</v>
      </c>
    </row>
    <row r="3174" spans="1:4" ht="13.5">
      <c r="A3174" s="49">
        <v>101633</v>
      </c>
      <c r="B3174" s="48" t="s">
        <v>20661</v>
      </c>
      <c r="C3174" s="48" t="s">
        <v>32</v>
      </c>
      <c r="D3174" s="50">
        <v>98.59</v>
      </c>
    </row>
    <row r="3175" spans="1:4" ht="13.5">
      <c r="A3175" s="49">
        <v>101636</v>
      </c>
      <c r="B3175" s="48" t="s">
        <v>20662</v>
      </c>
      <c r="C3175" s="48" t="s">
        <v>32</v>
      </c>
      <c r="D3175" s="50">
        <v>150.46</v>
      </c>
    </row>
    <row r="3176" spans="1:4" ht="13.5">
      <c r="A3176" s="49">
        <v>101637</v>
      </c>
      <c r="B3176" s="48" t="s">
        <v>20663</v>
      </c>
      <c r="C3176" s="48" t="s">
        <v>32</v>
      </c>
      <c r="D3176" s="50">
        <v>143.58000000000001</v>
      </c>
    </row>
    <row r="3177" spans="1:4" ht="13.5">
      <c r="A3177" s="49">
        <v>101640</v>
      </c>
      <c r="B3177" s="48" t="s">
        <v>20664</v>
      </c>
      <c r="C3177" s="48" t="s">
        <v>32</v>
      </c>
      <c r="D3177" s="50">
        <v>101.58</v>
      </c>
    </row>
    <row r="3178" spans="1:4" ht="13.5">
      <c r="A3178" s="49">
        <v>101641</v>
      </c>
      <c r="B3178" s="48" t="s">
        <v>20665</v>
      </c>
      <c r="C3178" s="48" t="s">
        <v>32</v>
      </c>
      <c r="D3178" s="50">
        <v>52.54</v>
      </c>
    </row>
    <row r="3179" spans="1:4" ht="13.5">
      <c r="A3179" s="49">
        <v>101642</v>
      </c>
      <c r="B3179" s="48" t="s">
        <v>20666</v>
      </c>
      <c r="C3179" s="48" t="s">
        <v>32</v>
      </c>
      <c r="D3179" s="50">
        <v>26.28</v>
      </c>
    </row>
    <row r="3180" spans="1:4" ht="13.5">
      <c r="A3180" s="49">
        <v>101643</v>
      </c>
      <c r="B3180" s="48" t="s">
        <v>20667</v>
      </c>
      <c r="C3180" s="48" t="s">
        <v>32</v>
      </c>
      <c r="D3180" s="50">
        <v>45.84</v>
      </c>
    </row>
    <row r="3181" spans="1:4" ht="13.5">
      <c r="A3181" s="49">
        <v>101644</v>
      </c>
      <c r="B3181" s="48" t="s">
        <v>20668</v>
      </c>
      <c r="C3181" s="48" t="s">
        <v>32</v>
      </c>
      <c r="D3181" s="50">
        <v>62.09</v>
      </c>
    </row>
    <row r="3182" spans="1:4" ht="13.5">
      <c r="A3182" s="49">
        <v>101645</v>
      </c>
      <c r="B3182" s="48" t="s">
        <v>20669</v>
      </c>
      <c r="C3182" s="48" t="s">
        <v>32</v>
      </c>
      <c r="D3182" s="50">
        <v>29.32</v>
      </c>
    </row>
    <row r="3183" spans="1:4" ht="13.5">
      <c r="A3183" s="49">
        <v>101646</v>
      </c>
      <c r="B3183" s="48" t="s">
        <v>20670</v>
      </c>
      <c r="C3183" s="48" t="s">
        <v>32</v>
      </c>
      <c r="D3183" s="50">
        <v>38.97</v>
      </c>
    </row>
    <row r="3184" spans="1:4" ht="13.5">
      <c r="A3184" s="49">
        <v>101647</v>
      </c>
      <c r="B3184" s="48" t="s">
        <v>20671</v>
      </c>
      <c r="C3184" s="48" t="s">
        <v>32</v>
      </c>
      <c r="D3184" s="50">
        <v>71.709999999999994</v>
      </c>
    </row>
    <row r="3185" spans="1:4" ht="13.5">
      <c r="A3185" s="49">
        <v>101648</v>
      </c>
      <c r="B3185" s="48" t="s">
        <v>20672</v>
      </c>
      <c r="C3185" s="48" t="s">
        <v>32</v>
      </c>
      <c r="D3185" s="50">
        <v>55.43</v>
      </c>
    </row>
    <row r="3186" spans="1:4" ht="13.5">
      <c r="A3186" s="49">
        <v>101649</v>
      </c>
      <c r="B3186" s="48" t="s">
        <v>20673</v>
      </c>
      <c r="C3186" s="48" t="s">
        <v>32</v>
      </c>
      <c r="D3186" s="50">
        <v>63.89</v>
      </c>
    </row>
    <row r="3187" spans="1:4" ht="13.5">
      <c r="A3187" s="49">
        <v>101650</v>
      </c>
      <c r="B3187" s="48" t="s">
        <v>20674</v>
      </c>
      <c r="C3187" s="48" t="s">
        <v>32</v>
      </c>
      <c r="D3187" s="50">
        <v>74.290000000000006</v>
      </c>
    </row>
    <row r="3188" spans="1:4" ht="13.5">
      <c r="A3188" s="49">
        <v>101651</v>
      </c>
      <c r="B3188" s="48" t="s">
        <v>20675</v>
      </c>
      <c r="C3188" s="48" t="s">
        <v>32</v>
      </c>
      <c r="D3188" s="50">
        <v>54.88</v>
      </c>
    </row>
    <row r="3189" spans="1:4" ht="13.5">
      <c r="A3189" s="49">
        <v>101652</v>
      </c>
      <c r="B3189" s="48" t="s">
        <v>20676</v>
      </c>
      <c r="C3189" s="48" t="s">
        <v>32</v>
      </c>
      <c r="D3189" s="50">
        <v>583.28</v>
      </c>
    </row>
    <row r="3190" spans="1:4" ht="13.5">
      <c r="A3190" s="49">
        <v>101653</v>
      </c>
      <c r="B3190" s="48" t="s">
        <v>20677</v>
      </c>
      <c r="C3190" s="48" t="s">
        <v>32</v>
      </c>
      <c r="D3190" s="50">
        <v>294.52</v>
      </c>
    </row>
    <row r="3191" spans="1:4" ht="13.5">
      <c r="A3191" s="49">
        <v>101654</v>
      </c>
      <c r="B3191" s="48" t="s">
        <v>20678</v>
      </c>
      <c r="C3191" s="48" t="s">
        <v>32</v>
      </c>
      <c r="D3191" s="50">
        <v>295.37</v>
      </c>
    </row>
    <row r="3192" spans="1:4" ht="13.5">
      <c r="A3192" s="49">
        <v>101655</v>
      </c>
      <c r="B3192" s="48" t="s">
        <v>20679</v>
      </c>
      <c r="C3192" s="48" t="s">
        <v>32</v>
      </c>
      <c r="D3192" s="50">
        <v>491.42</v>
      </c>
    </row>
    <row r="3193" spans="1:4" ht="13.5">
      <c r="A3193" s="49">
        <v>101656</v>
      </c>
      <c r="B3193" s="48" t="s">
        <v>20680</v>
      </c>
      <c r="C3193" s="48" t="s">
        <v>32</v>
      </c>
      <c r="D3193" s="50">
        <v>537.19000000000005</v>
      </c>
    </row>
    <row r="3194" spans="1:4" ht="13.5">
      <c r="A3194" s="49">
        <v>101657</v>
      </c>
      <c r="B3194" s="48" t="s">
        <v>20681</v>
      </c>
      <c r="C3194" s="48" t="s">
        <v>32</v>
      </c>
      <c r="D3194" s="50">
        <v>634.70000000000005</v>
      </c>
    </row>
    <row r="3195" spans="1:4" ht="13.5">
      <c r="A3195" s="49">
        <v>101658</v>
      </c>
      <c r="B3195" s="48" t="s">
        <v>20682</v>
      </c>
      <c r="C3195" s="48" t="s">
        <v>32</v>
      </c>
      <c r="D3195" s="50">
        <v>835.19</v>
      </c>
    </row>
    <row r="3196" spans="1:4" ht="13.5">
      <c r="A3196" s="49">
        <v>101659</v>
      </c>
      <c r="B3196" s="48" t="s">
        <v>20683</v>
      </c>
      <c r="C3196" s="48" t="s">
        <v>32</v>
      </c>
      <c r="D3196" s="50">
        <v>959.88</v>
      </c>
    </row>
    <row r="3197" spans="1:4" ht="13.5">
      <c r="A3197" s="49">
        <v>101660</v>
      </c>
      <c r="B3197" s="48" t="s">
        <v>20684</v>
      </c>
      <c r="C3197" s="48" t="s">
        <v>32</v>
      </c>
      <c r="D3197" s="51">
        <v>1548.52</v>
      </c>
    </row>
    <row r="3198" spans="1:4" ht="13.5">
      <c r="A3198" s="49">
        <v>101661</v>
      </c>
      <c r="B3198" s="48" t="s">
        <v>20685</v>
      </c>
      <c r="C3198" s="48" t="s">
        <v>32</v>
      </c>
      <c r="D3198" s="50">
        <v>101.8</v>
      </c>
    </row>
    <row r="3199" spans="1:4" ht="13.5">
      <c r="A3199" s="49">
        <v>101662</v>
      </c>
      <c r="B3199" s="48" t="s">
        <v>20686</v>
      </c>
      <c r="C3199" s="48" t="s">
        <v>32</v>
      </c>
      <c r="D3199" s="50">
        <v>807.49</v>
      </c>
    </row>
    <row r="3200" spans="1:4" ht="13.5">
      <c r="A3200" s="49">
        <v>101663</v>
      </c>
      <c r="B3200" s="48" t="s">
        <v>20687</v>
      </c>
      <c r="C3200" s="48" t="s">
        <v>32</v>
      </c>
      <c r="D3200" s="50">
        <v>24.74</v>
      </c>
    </row>
    <row r="3201" spans="1:4" ht="13.5">
      <c r="A3201" s="49">
        <v>101664</v>
      </c>
      <c r="B3201" s="48" t="s">
        <v>20688</v>
      </c>
      <c r="C3201" s="48" t="s">
        <v>32</v>
      </c>
      <c r="D3201" s="50">
        <v>25.81</v>
      </c>
    </row>
    <row r="3202" spans="1:4" ht="13.5">
      <c r="A3202" s="49">
        <v>101665</v>
      </c>
      <c r="B3202" s="48" t="s">
        <v>20689</v>
      </c>
      <c r="C3202" s="48" t="s">
        <v>32</v>
      </c>
      <c r="D3202" s="50">
        <v>30.41</v>
      </c>
    </row>
    <row r="3203" spans="1:4" ht="13.5">
      <c r="A3203" s="49">
        <v>101666</v>
      </c>
      <c r="B3203" s="48" t="s">
        <v>20690</v>
      </c>
      <c r="C3203" s="48" t="s">
        <v>32</v>
      </c>
      <c r="D3203" s="50">
        <v>459.52</v>
      </c>
    </row>
    <row r="3204" spans="1:4" ht="13.5">
      <c r="A3204" s="49">
        <v>102085</v>
      </c>
      <c r="B3204" s="48" t="s">
        <v>20691</v>
      </c>
      <c r="C3204" s="48" t="s">
        <v>32</v>
      </c>
      <c r="D3204" s="50">
        <v>232.32</v>
      </c>
    </row>
    <row r="3205" spans="1:4" ht="13.5">
      <c r="A3205" s="49">
        <v>100578</v>
      </c>
      <c r="B3205" s="48" t="s">
        <v>4573</v>
      </c>
      <c r="C3205" s="48" t="s">
        <v>32</v>
      </c>
      <c r="D3205" s="50">
        <v>469.52</v>
      </c>
    </row>
    <row r="3206" spans="1:4" ht="13.5">
      <c r="A3206" s="49">
        <v>100579</v>
      </c>
      <c r="B3206" s="48" t="s">
        <v>4574</v>
      </c>
      <c r="C3206" s="48" t="s">
        <v>32</v>
      </c>
      <c r="D3206" s="50">
        <v>515.37</v>
      </c>
    </row>
    <row r="3207" spans="1:4" ht="13.5">
      <c r="A3207" s="49">
        <v>100580</v>
      </c>
      <c r="B3207" s="48" t="s">
        <v>4575</v>
      </c>
      <c r="C3207" s="48" t="s">
        <v>32</v>
      </c>
      <c r="D3207" s="50">
        <v>561.19000000000005</v>
      </c>
    </row>
    <row r="3208" spans="1:4" ht="13.5">
      <c r="A3208" s="49">
        <v>100581</v>
      </c>
      <c r="B3208" s="48" t="s">
        <v>4576</v>
      </c>
      <c r="C3208" s="48" t="s">
        <v>32</v>
      </c>
      <c r="D3208" s="50">
        <v>538.11</v>
      </c>
    </row>
    <row r="3209" spans="1:4" ht="13.5">
      <c r="A3209" s="49">
        <v>100582</v>
      </c>
      <c r="B3209" s="48" t="s">
        <v>4577</v>
      </c>
      <c r="C3209" s="48" t="s">
        <v>32</v>
      </c>
      <c r="D3209" s="50">
        <v>620.74</v>
      </c>
    </row>
    <row r="3210" spans="1:4" ht="13.5">
      <c r="A3210" s="49">
        <v>100583</v>
      </c>
      <c r="B3210" s="48" t="s">
        <v>4578</v>
      </c>
      <c r="C3210" s="48" t="s">
        <v>32</v>
      </c>
      <c r="D3210" s="50">
        <v>562.35</v>
      </c>
    </row>
    <row r="3211" spans="1:4" ht="13.5">
      <c r="A3211" s="49">
        <v>100584</v>
      </c>
      <c r="B3211" s="48" t="s">
        <v>4579</v>
      </c>
      <c r="C3211" s="48" t="s">
        <v>32</v>
      </c>
      <c r="D3211" s="50">
        <v>612.01</v>
      </c>
    </row>
    <row r="3212" spans="1:4" ht="13.5">
      <c r="A3212" s="49">
        <v>100585</v>
      </c>
      <c r="B3212" s="48" t="s">
        <v>4580</v>
      </c>
      <c r="C3212" s="48" t="s">
        <v>32</v>
      </c>
      <c r="D3212" s="50">
        <v>609.54</v>
      </c>
    </row>
    <row r="3213" spans="1:4" ht="13.5">
      <c r="A3213" s="49">
        <v>100586</v>
      </c>
      <c r="B3213" s="48" t="s">
        <v>4581</v>
      </c>
      <c r="C3213" s="48" t="s">
        <v>32</v>
      </c>
      <c r="D3213" s="50">
        <v>688.66</v>
      </c>
    </row>
    <row r="3214" spans="1:4" ht="13.5">
      <c r="A3214" s="49">
        <v>100587</v>
      </c>
      <c r="B3214" s="48" t="s">
        <v>4582</v>
      </c>
      <c r="C3214" s="48" t="s">
        <v>32</v>
      </c>
      <c r="D3214" s="50">
        <v>658.31</v>
      </c>
    </row>
    <row r="3215" spans="1:4" ht="13.5">
      <c r="A3215" s="49">
        <v>100588</v>
      </c>
      <c r="B3215" s="48" t="s">
        <v>4583</v>
      </c>
      <c r="C3215" s="48" t="s">
        <v>32</v>
      </c>
      <c r="D3215" s="50">
        <v>719.79</v>
      </c>
    </row>
    <row r="3216" spans="1:4" ht="13.5">
      <c r="A3216" s="49">
        <v>100589</v>
      </c>
      <c r="B3216" s="48" t="s">
        <v>4584</v>
      </c>
      <c r="C3216" s="48" t="s">
        <v>32</v>
      </c>
      <c r="D3216" s="50">
        <v>725.42</v>
      </c>
    </row>
    <row r="3217" spans="1:4" ht="13.5">
      <c r="A3217" s="49">
        <v>100590</v>
      </c>
      <c r="B3217" s="48" t="s">
        <v>4585</v>
      </c>
      <c r="C3217" s="48" t="s">
        <v>32</v>
      </c>
      <c r="D3217" s="50">
        <v>786.27</v>
      </c>
    </row>
    <row r="3218" spans="1:4" ht="13.5">
      <c r="A3218" s="49">
        <v>100591</v>
      </c>
      <c r="B3218" s="48" t="s">
        <v>4586</v>
      </c>
      <c r="C3218" s="48" t="s">
        <v>32</v>
      </c>
      <c r="D3218" s="50">
        <v>723.16</v>
      </c>
    </row>
    <row r="3219" spans="1:4" ht="13.5">
      <c r="A3219" s="49">
        <v>100592</v>
      </c>
      <c r="B3219" s="48" t="s">
        <v>4587</v>
      </c>
      <c r="C3219" s="48" t="s">
        <v>32</v>
      </c>
      <c r="D3219" s="50">
        <v>773.57</v>
      </c>
    </row>
    <row r="3220" spans="1:4" ht="13.5">
      <c r="A3220" s="49">
        <v>100593</v>
      </c>
      <c r="B3220" s="48" t="s">
        <v>4588</v>
      </c>
      <c r="C3220" s="48" t="s">
        <v>32</v>
      </c>
      <c r="D3220" s="50">
        <v>774.67</v>
      </c>
    </row>
    <row r="3221" spans="1:4" ht="13.5">
      <c r="A3221" s="49">
        <v>100594</v>
      </c>
      <c r="B3221" s="48" t="s">
        <v>4589</v>
      </c>
      <c r="C3221" s="48" t="s">
        <v>32</v>
      </c>
      <c r="D3221" s="50">
        <v>860.07</v>
      </c>
    </row>
    <row r="3222" spans="1:4" ht="13.5">
      <c r="A3222" s="49">
        <v>100595</v>
      </c>
      <c r="B3222" s="48" t="s">
        <v>4590</v>
      </c>
      <c r="C3222" s="48" t="s">
        <v>32</v>
      </c>
      <c r="D3222" s="50">
        <v>929.27</v>
      </c>
    </row>
    <row r="3223" spans="1:4" ht="13.5">
      <c r="A3223" s="49">
        <v>100596</v>
      </c>
      <c r="B3223" s="48" t="s">
        <v>4591</v>
      </c>
      <c r="C3223" s="48" t="s">
        <v>32</v>
      </c>
      <c r="D3223" s="51">
        <v>1044.42</v>
      </c>
    </row>
    <row r="3224" spans="1:4" ht="13.5">
      <c r="A3224" s="49">
        <v>100597</v>
      </c>
      <c r="B3224" s="48" t="s">
        <v>4592</v>
      </c>
      <c r="C3224" s="48" t="s">
        <v>32</v>
      </c>
      <c r="D3224" s="51">
        <v>1071.51</v>
      </c>
    </row>
    <row r="3225" spans="1:4" ht="13.5">
      <c r="A3225" s="49">
        <v>100598</v>
      </c>
      <c r="B3225" s="48" t="s">
        <v>4593</v>
      </c>
      <c r="C3225" s="48" t="s">
        <v>32</v>
      </c>
      <c r="D3225" s="51">
        <v>1166.45</v>
      </c>
    </row>
    <row r="3226" spans="1:4" ht="13.5">
      <c r="A3226" s="49">
        <v>100599</v>
      </c>
      <c r="B3226" s="48" t="s">
        <v>4594</v>
      </c>
      <c r="C3226" s="48" t="s">
        <v>32</v>
      </c>
      <c r="D3226" s="50">
        <v>478.03</v>
      </c>
    </row>
    <row r="3227" spans="1:4" ht="13.5">
      <c r="A3227" s="49">
        <v>100600</v>
      </c>
      <c r="B3227" s="48" t="s">
        <v>4595</v>
      </c>
      <c r="C3227" s="48" t="s">
        <v>32</v>
      </c>
      <c r="D3227" s="50">
        <v>557.26</v>
      </c>
    </row>
    <row r="3228" spans="1:4" ht="13.5">
      <c r="A3228" s="49">
        <v>100601</v>
      </c>
      <c r="B3228" s="48" t="s">
        <v>4596</v>
      </c>
      <c r="C3228" s="48" t="s">
        <v>32</v>
      </c>
      <c r="D3228" s="50">
        <v>689.2</v>
      </c>
    </row>
    <row r="3229" spans="1:4" ht="13.5">
      <c r="A3229" s="49">
        <v>100602</v>
      </c>
      <c r="B3229" s="48" t="s">
        <v>4597</v>
      </c>
      <c r="C3229" s="48" t="s">
        <v>32</v>
      </c>
      <c r="D3229" s="50">
        <v>853.84</v>
      </c>
    </row>
    <row r="3230" spans="1:4" ht="13.5">
      <c r="A3230" s="49">
        <v>100603</v>
      </c>
      <c r="B3230" s="48" t="s">
        <v>4598</v>
      </c>
      <c r="C3230" s="48" t="s">
        <v>32</v>
      </c>
      <c r="D3230" s="51">
        <v>1278.01</v>
      </c>
    </row>
    <row r="3231" spans="1:4" ht="13.5">
      <c r="A3231" s="49">
        <v>100604</v>
      </c>
      <c r="B3231" s="48" t="s">
        <v>4599</v>
      </c>
      <c r="C3231" s="48" t="s">
        <v>32</v>
      </c>
      <c r="D3231" s="50">
        <v>595.13</v>
      </c>
    </row>
    <row r="3232" spans="1:4" ht="13.5">
      <c r="A3232" s="49">
        <v>100605</v>
      </c>
      <c r="B3232" s="48" t="s">
        <v>4600</v>
      </c>
      <c r="C3232" s="48" t="s">
        <v>32</v>
      </c>
      <c r="D3232" s="50">
        <v>900.15</v>
      </c>
    </row>
    <row r="3233" spans="1:4" ht="13.5">
      <c r="A3233" s="49">
        <v>100606</v>
      </c>
      <c r="B3233" s="48" t="s">
        <v>4601</v>
      </c>
      <c r="C3233" s="48" t="s">
        <v>32</v>
      </c>
      <c r="D3233" s="51">
        <v>1335.27</v>
      </c>
    </row>
    <row r="3234" spans="1:4" ht="13.5">
      <c r="A3234" s="49">
        <v>100607</v>
      </c>
      <c r="B3234" s="48" t="s">
        <v>4602</v>
      </c>
      <c r="C3234" s="48" t="s">
        <v>32</v>
      </c>
      <c r="D3234" s="50">
        <v>613.34</v>
      </c>
    </row>
    <row r="3235" spans="1:4" ht="13.5">
      <c r="A3235" s="49">
        <v>100608</v>
      </c>
      <c r="B3235" s="48" t="s">
        <v>4603</v>
      </c>
      <c r="C3235" s="48" t="s">
        <v>32</v>
      </c>
      <c r="D3235" s="50">
        <v>923.03</v>
      </c>
    </row>
    <row r="3236" spans="1:4" ht="13.5">
      <c r="A3236" s="49">
        <v>100609</v>
      </c>
      <c r="B3236" s="48" t="s">
        <v>4604</v>
      </c>
      <c r="C3236" s="48" t="s">
        <v>32</v>
      </c>
      <c r="D3236" s="51">
        <v>1365.71</v>
      </c>
    </row>
    <row r="3237" spans="1:4" ht="13.5">
      <c r="A3237" s="49">
        <v>100610</v>
      </c>
      <c r="B3237" s="48" t="s">
        <v>4605</v>
      </c>
      <c r="C3237" s="48" t="s">
        <v>32</v>
      </c>
      <c r="D3237" s="50">
        <v>631.47</v>
      </c>
    </row>
    <row r="3238" spans="1:4" ht="13.5">
      <c r="A3238" s="49">
        <v>100611</v>
      </c>
      <c r="B3238" s="48" t="s">
        <v>4606</v>
      </c>
      <c r="C3238" s="48" t="s">
        <v>32</v>
      </c>
      <c r="D3238" s="50">
        <v>770.91</v>
      </c>
    </row>
    <row r="3239" spans="1:4" ht="13.5">
      <c r="A3239" s="49">
        <v>100612</v>
      </c>
      <c r="B3239" s="48" t="s">
        <v>4607</v>
      </c>
      <c r="C3239" s="48" t="s">
        <v>32</v>
      </c>
      <c r="D3239" s="50">
        <v>945.56</v>
      </c>
    </row>
    <row r="3240" spans="1:4" ht="13.5">
      <c r="A3240" s="49">
        <v>100613</v>
      </c>
      <c r="B3240" s="48" t="s">
        <v>4608</v>
      </c>
      <c r="C3240" s="48" t="s">
        <v>32</v>
      </c>
      <c r="D3240" s="51">
        <v>1395.58</v>
      </c>
    </row>
    <row r="3241" spans="1:4" ht="13.5">
      <c r="A3241" s="49">
        <v>100614</v>
      </c>
      <c r="B3241" s="48" t="s">
        <v>4609</v>
      </c>
      <c r="C3241" s="48" t="s">
        <v>32</v>
      </c>
      <c r="D3241" s="50">
        <v>811.15</v>
      </c>
    </row>
    <row r="3242" spans="1:4" ht="13.5">
      <c r="A3242" s="49">
        <v>100615</v>
      </c>
      <c r="B3242" s="48" t="s">
        <v>4610</v>
      </c>
      <c r="C3242" s="48" t="s">
        <v>32</v>
      </c>
      <c r="D3242" s="50">
        <v>990.38</v>
      </c>
    </row>
    <row r="3243" spans="1:4" ht="13.5">
      <c r="A3243" s="49">
        <v>100616</v>
      </c>
      <c r="B3243" s="48" t="s">
        <v>4611</v>
      </c>
      <c r="C3243" s="48" t="s">
        <v>32</v>
      </c>
      <c r="D3243" s="51">
        <v>1458.11</v>
      </c>
    </row>
    <row r="3244" spans="1:4" ht="13.5">
      <c r="A3244" s="49">
        <v>100617</v>
      </c>
      <c r="B3244" s="48" t="s">
        <v>4612</v>
      </c>
      <c r="C3244" s="48" t="s">
        <v>32</v>
      </c>
      <c r="D3244" s="51">
        <v>1035.07</v>
      </c>
    </row>
    <row r="3245" spans="1:4" ht="13.5">
      <c r="A3245" s="49">
        <v>100618</v>
      </c>
      <c r="B3245" s="48" t="s">
        <v>4613</v>
      </c>
      <c r="C3245" s="48" t="s">
        <v>32</v>
      </c>
      <c r="D3245" s="51">
        <v>1523.78</v>
      </c>
    </row>
    <row r="3246" spans="1:4" ht="13.5">
      <c r="A3246" s="49">
        <v>100619</v>
      </c>
      <c r="B3246" s="48" t="s">
        <v>4614</v>
      </c>
      <c r="C3246" s="48" t="s">
        <v>32</v>
      </c>
      <c r="D3246" s="50">
        <v>633.11</v>
      </c>
    </row>
    <row r="3247" spans="1:4" ht="13.5">
      <c r="A3247" s="49">
        <v>100620</v>
      </c>
      <c r="B3247" s="48" t="s">
        <v>4615</v>
      </c>
      <c r="C3247" s="48" t="s">
        <v>32</v>
      </c>
      <c r="D3247" s="51">
        <v>3880.31</v>
      </c>
    </row>
    <row r="3248" spans="1:4" ht="13.5">
      <c r="A3248" s="49">
        <v>100621</v>
      </c>
      <c r="B3248" s="48" t="s">
        <v>4616</v>
      </c>
      <c r="C3248" s="48" t="s">
        <v>32</v>
      </c>
      <c r="D3248" s="51">
        <v>4435.1499999999996</v>
      </c>
    </row>
    <row r="3249" spans="1:4" ht="13.5">
      <c r="A3249" s="49">
        <v>100622</v>
      </c>
      <c r="B3249" s="48" t="s">
        <v>4617</v>
      </c>
      <c r="C3249" s="48" t="s">
        <v>32</v>
      </c>
      <c r="D3249" s="51">
        <v>2929.68</v>
      </c>
    </row>
    <row r="3250" spans="1:4" ht="13.5">
      <c r="A3250" s="49">
        <v>100623</v>
      </c>
      <c r="B3250" s="48" t="s">
        <v>4618</v>
      </c>
      <c r="C3250" s="48" t="s">
        <v>32</v>
      </c>
      <c r="D3250" s="51">
        <v>3147.78</v>
      </c>
    </row>
    <row r="3251" spans="1:4" ht="13.5">
      <c r="A3251" s="49">
        <v>97600</v>
      </c>
      <c r="B3251" s="48" t="s">
        <v>19732</v>
      </c>
      <c r="C3251" s="48" t="s">
        <v>32</v>
      </c>
      <c r="D3251" s="50">
        <v>326.8</v>
      </c>
    </row>
    <row r="3252" spans="1:4" ht="13.5">
      <c r="A3252" s="49">
        <v>97601</v>
      </c>
      <c r="B3252" s="48" t="s">
        <v>19733</v>
      </c>
      <c r="C3252" s="48" t="s">
        <v>32</v>
      </c>
      <c r="D3252" s="50">
        <v>346.36</v>
      </c>
    </row>
    <row r="3253" spans="1:4" ht="13.5">
      <c r="A3253" s="49">
        <v>97605</v>
      </c>
      <c r="B3253" s="48" t="s">
        <v>19734</v>
      </c>
      <c r="C3253" s="48" t="s">
        <v>32</v>
      </c>
      <c r="D3253" s="50">
        <v>106.99</v>
      </c>
    </row>
    <row r="3254" spans="1:4" ht="13.5">
      <c r="A3254" s="49">
        <v>97606</v>
      </c>
      <c r="B3254" s="48" t="s">
        <v>19735</v>
      </c>
      <c r="C3254" s="48" t="s">
        <v>32</v>
      </c>
      <c r="D3254" s="50">
        <v>114.7</v>
      </c>
    </row>
    <row r="3255" spans="1:4" ht="13.5">
      <c r="A3255" s="49">
        <v>97607</v>
      </c>
      <c r="B3255" s="48" t="s">
        <v>19736</v>
      </c>
      <c r="C3255" s="48" t="s">
        <v>32</v>
      </c>
      <c r="D3255" s="50">
        <v>129.36000000000001</v>
      </c>
    </row>
    <row r="3256" spans="1:4" ht="13.5">
      <c r="A3256" s="49">
        <v>97608</v>
      </c>
      <c r="B3256" s="48" t="s">
        <v>19737</v>
      </c>
      <c r="C3256" s="48" t="s">
        <v>32</v>
      </c>
      <c r="D3256" s="50">
        <v>137.07</v>
      </c>
    </row>
    <row r="3257" spans="1:4" ht="13.5">
      <c r="A3257" s="49">
        <v>102102</v>
      </c>
      <c r="B3257" s="48" t="s">
        <v>20692</v>
      </c>
      <c r="C3257" s="48" t="s">
        <v>32</v>
      </c>
      <c r="D3257" s="51">
        <v>8581.33</v>
      </c>
    </row>
    <row r="3258" spans="1:4" ht="13.5">
      <c r="A3258" s="49">
        <v>102103</v>
      </c>
      <c r="B3258" s="48" t="s">
        <v>20693</v>
      </c>
      <c r="C3258" s="48" t="s">
        <v>32</v>
      </c>
      <c r="D3258" s="51">
        <v>9544.2199999999993</v>
      </c>
    </row>
    <row r="3259" spans="1:4" ht="13.5">
      <c r="A3259" s="49">
        <v>102104</v>
      </c>
      <c r="B3259" s="48" t="s">
        <v>20694</v>
      </c>
      <c r="C3259" s="48" t="s">
        <v>32</v>
      </c>
      <c r="D3259" s="51">
        <v>12227.83</v>
      </c>
    </row>
    <row r="3260" spans="1:4" ht="13.5">
      <c r="A3260" s="49">
        <v>102105</v>
      </c>
      <c r="B3260" s="48" t="s">
        <v>20695</v>
      </c>
      <c r="C3260" s="48" t="s">
        <v>32</v>
      </c>
      <c r="D3260" s="51">
        <v>15016.12</v>
      </c>
    </row>
    <row r="3261" spans="1:4" ht="13.5">
      <c r="A3261" s="49">
        <v>102106</v>
      </c>
      <c r="B3261" s="48" t="s">
        <v>20696</v>
      </c>
      <c r="C3261" s="48" t="s">
        <v>32</v>
      </c>
      <c r="D3261" s="51">
        <v>18820.41</v>
      </c>
    </row>
    <row r="3262" spans="1:4" ht="13.5">
      <c r="A3262" s="49">
        <v>102107</v>
      </c>
      <c r="B3262" s="48" t="s">
        <v>20697</v>
      </c>
      <c r="C3262" s="48" t="s">
        <v>32</v>
      </c>
      <c r="D3262" s="51">
        <v>26239.82</v>
      </c>
    </row>
    <row r="3263" spans="1:4" ht="13.5">
      <c r="A3263" s="49">
        <v>102108</v>
      </c>
      <c r="B3263" s="48" t="s">
        <v>20698</v>
      </c>
      <c r="C3263" s="48" t="s">
        <v>32</v>
      </c>
      <c r="D3263" s="51">
        <v>30547.41</v>
      </c>
    </row>
    <row r="3264" spans="1:4" ht="13.5">
      <c r="A3264" s="49">
        <v>102109</v>
      </c>
      <c r="B3264" s="48" t="s">
        <v>20699</v>
      </c>
      <c r="C3264" s="48" t="s">
        <v>32</v>
      </c>
      <c r="D3264" s="50">
        <v>56.45</v>
      </c>
    </row>
    <row r="3265" spans="1:4" ht="13.5">
      <c r="A3265" s="49">
        <v>102110</v>
      </c>
      <c r="B3265" s="48" t="s">
        <v>20700</v>
      </c>
      <c r="C3265" s="48" t="s">
        <v>32</v>
      </c>
      <c r="D3265" s="50">
        <v>175.55</v>
      </c>
    </row>
    <row r="3266" spans="1:4" ht="13.5">
      <c r="A3266" s="49">
        <v>93128</v>
      </c>
      <c r="B3266" s="48" t="s">
        <v>4619</v>
      </c>
      <c r="C3266" s="48" t="s">
        <v>32</v>
      </c>
      <c r="D3266" s="50">
        <v>139.97999999999999</v>
      </c>
    </row>
    <row r="3267" spans="1:4" ht="13.5">
      <c r="A3267" s="49">
        <v>93137</v>
      </c>
      <c r="B3267" s="48" t="s">
        <v>4620</v>
      </c>
      <c r="C3267" s="48" t="s">
        <v>32</v>
      </c>
      <c r="D3267" s="50">
        <v>166.24</v>
      </c>
    </row>
    <row r="3268" spans="1:4" ht="13.5">
      <c r="A3268" s="49">
        <v>93138</v>
      </c>
      <c r="B3268" s="48" t="s">
        <v>4621</v>
      </c>
      <c r="C3268" s="48" t="s">
        <v>32</v>
      </c>
      <c r="D3268" s="50">
        <v>157.94</v>
      </c>
    </row>
    <row r="3269" spans="1:4" ht="13.5">
      <c r="A3269" s="49">
        <v>93139</v>
      </c>
      <c r="B3269" s="48" t="s">
        <v>4622</v>
      </c>
      <c r="C3269" s="48" t="s">
        <v>32</v>
      </c>
      <c r="D3269" s="50">
        <v>202.12</v>
      </c>
    </row>
    <row r="3270" spans="1:4" ht="13.5">
      <c r="A3270" s="49">
        <v>93140</v>
      </c>
      <c r="B3270" s="48" t="s">
        <v>4623</v>
      </c>
      <c r="C3270" s="48" t="s">
        <v>32</v>
      </c>
      <c r="D3270" s="50">
        <v>190.2</v>
      </c>
    </row>
    <row r="3271" spans="1:4" ht="13.5">
      <c r="A3271" s="49">
        <v>93141</v>
      </c>
      <c r="B3271" s="48" t="s">
        <v>4624</v>
      </c>
      <c r="C3271" s="48" t="s">
        <v>32</v>
      </c>
      <c r="D3271" s="50">
        <v>173.27</v>
      </c>
    </row>
    <row r="3272" spans="1:4" ht="13.5">
      <c r="A3272" s="49">
        <v>93142</v>
      </c>
      <c r="B3272" s="48" t="s">
        <v>4625</v>
      </c>
      <c r="C3272" s="48" t="s">
        <v>32</v>
      </c>
      <c r="D3272" s="50">
        <v>192.2</v>
      </c>
    </row>
    <row r="3273" spans="1:4" ht="13.5">
      <c r="A3273" s="49">
        <v>93143</v>
      </c>
      <c r="B3273" s="48" t="s">
        <v>4626</v>
      </c>
      <c r="C3273" s="48" t="s">
        <v>32</v>
      </c>
      <c r="D3273" s="50">
        <v>175.29</v>
      </c>
    </row>
    <row r="3274" spans="1:4" ht="13.5">
      <c r="A3274" s="49">
        <v>93144</v>
      </c>
      <c r="B3274" s="48" t="s">
        <v>4627</v>
      </c>
      <c r="C3274" s="48" t="s">
        <v>32</v>
      </c>
      <c r="D3274" s="50">
        <v>234.92</v>
      </c>
    </row>
    <row r="3275" spans="1:4" ht="13.5">
      <c r="A3275" s="49">
        <v>93145</v>
      </c>
      <c r="B3275" s="48" t="s">
        <v>4628</v>
      </c>
      <c r="C3275" s="48" t="s">
        <v>32</v>
      </c>
      <c r="D3275" s="50">
        <v>211.57</v>
      </c>
    </row>
    <row r="3276" spans="1:4" ht="13.5">
      <c r="A3276" s="49">
        <v>93146</v>
      </c>
      <c r="B3276" s="48" t="s">
        <v>4629</v>
      </c>
      <c r="C3276" s="48" t="s">
        <v>32</v>
      </c>
      <c r="D3276" s="50">
        <v>229.53</v>
      </c>
    </row>
    <row r="3277" spans="1:4" ht="13.5">
      <c r="A3277" s="49">
        <v>93147</v>
      </c>
      <c r="B3277" s="48" t="s">
        <v>4630</v>
      </c>
      <c r="C3277" s="48" t="s">
        <v>32</v>
      </c>
      <c r="D3277" s="50">
        <v>261.83999999999997</v>
      </c>
    </row>
    <row r="3278" spans="1:4" ht="13.5">
      <c r="A3278" s="49">
        <v>96971</v>
      </c>
      <c r="B3278" s="48" t="s">
        <v>4631</v>
      </c>
      <c r="C3278" s="48" t="s">
        <v>6</v>
      </c>
      <c r="D3278" s="50">
        <v>32.72</v>
      </c>
    </row>
    <row r="3279" spans="1:4" ht="13.5">
      <c r="A3279" s="49">
        <v>96972</v>
      </c>
      <c r="B3279" s="48" t="s">
        <v>4632</v>
      </c>
      <c r="C3279" s="48" t="s">
        <v>6</v>
      </c>
      <c r="D3279" s="50">
        <v>46.5</v>
      </c>
    </row>
    <row r="3280" spans="1:4" ht="13.5">
      <c r="A3280" s="49">
        <v>96973</v>
      </c>
      <c r="B3280" s="48" t="s">
        <v>4633</v>
      </c>
      <c r="C3280" s="48" t="s">
        <v>6</v>
      </c>
      <c r="D3280" s="50">
        <v>60.04</v>
      </c>
    </row>
    <row r="3281" spans="1:4" ht="13.5">
      <c r="A3281" s="49">
        <v>96974</v>
      </c>
      <c r="B3281" s="48" t="s">
        <v>4634</v>
      </c>
      <c r="C3281" s="48" t="s">
        <v>6</v>
      </c>
      <c r="D3281" s="50">
        <v>78.099999999999994</v>
      </c>
    </row>
    <row r="3282" spans="1:4" ht="13.5">
      <c r="A3282" s="49">
        <v>96975</v>
      </c>
      <c r="B3282" s="48" t="s">
        <v>4635</v>
      </c>
      <c r="C3282" s="48" t="s">
        <v>6</v>
      </c>
      <c r="D3282" s="50">
        <v>102.57</v>
      </c>
    </row>
    <row r="3283" spans="1:4" ht="13.5">
      <c r="A3283" s="49">
        <v>96976</v>
      </c>
      <c r="B3283" s="48" t="s">
        <v>4636</v>
      </c>
      <c r="C3283" s="48" t="s">
        <v>6</v>
      </c>
      <c r="D3283" s="50">
        <v>135.43</v>
      </c>
    </row>
    <row r="3284" spans="1:4" ht="13.5">
      <c r="A3284" s="49">
        <v>96977</v>
      </c>
      <c r="B3284" s="48" t="s">
        <v>4637</v>
      </c>
      <c r="C3284" s="48" t="s">
        <v>6</v>
      </c>
      <c r="D3284" s="50">
        <v>56.08</v>
      </c>
    </row>
    <row r="3285" spans="1:4" ht="13.5">
      <c r="A3285" s="49">
        <v>96978</v>
      </c>
      <c r="B3285" s="48" t="s">
        <v>4638</v>
      </c>
      <c r="C3285" s="48" t="s">
        <v>6</v>
      </c>
      <c r="D3285" s="50">
        <v>78.680000000000007</v>
      </c>
    </row>
    <row r="3286" spans="1:4" ht="13.5">
      <c r="A3286" s="49">
        <v>96979</v>
      </c>
      <c r="B3286" s="48" t="s">
        <v>4639</v>
      </c>
      <c r="C3286" s="48" t="s">
        <v>6</v>
      </c>
      <c r="D3286" s="50">
        <v>110.35</v>
      </c>
    </row>
    <row r="3287" spans="1:4" ht="13.5">
      <c r="A3287" s="49">
        <v>96984</v>
      </c>
      <c r="B3287" s="48" t="s">
        <v>4640</v>
      </c>
      <c r="C3287" s="48" t="s">
        <v>32</v>
      </c>
      <c r="D3287" s="50">
        <v>57.46</v>
      </c>
    </row>
    <row r="3288" spans="1:4" ht="13.5">
      <c r="A3288" s="49">
        <v>96985</v>
      </c>
      <c r="B3288" s="48" t="s">
        <v>4641</v>
      </c>
      <c r="C3288" s="48" t="s">
        <v>32</v>
      </c>
      <c r="D3288" s="50">
        <v>69.91</v>
      </c>
    </row>
    <row r="3289" spans="1:4" ht="13.5">
      <c r="A3289" s="49">
        <v>96986</v>
      </c>
      <c r="B3289" s="48" t="s">
        <v>4643</v>
      </c>
      <c r="C3289" s="48" t="s">
        <v>32</v>
      </c>
      <c r="D3289" s="50">
        <v>104.44</v>
      </c>
    </row>
    <row r="3290" spans="1:4" ht="13.5">
      <c r="A3290" s="49">
        <v>96987</v>
      </c>
      <c r="B3290" s="48" t="s">
        <v>4644</v>
      </c>
      <c r="C3290" s="48" t="s">
        <v>32</v>
      </c>
      <c r="D3290" s="50">
        <v>94.78</v>
      </c>
    </row>
    <row r="3291" spans="1:4" ht="13.5">
      <c r="A3291" s="49">
        <v>96988</v>
      </c>
      <c r="B3291" s="48" t="s">
        <v>4645</v>
      </c>
      <c r="C3291" s="48" t="s">
        <v>32</v>
      </c>
      <c r="D3291" s="50">
        <v>128.97999999999999</v>
      </c>
    </row>
    <row r="3292" spans="1:4" ht="13.5">
      <c r="A3292" s="49">
        <v>96989</v>
      </c>
      <c r="B3292" s="48" t="s">
        <v>4646</v>
      </c>
      <c r="C3292" s="48" t="s">
        <v>32</v>
      </c>
      <c r="D3292" s="50">
        <v>107.89</v>
      </c>
    </row>
    <row r="3293" spans="1:4" ht="13.5">
      <c r="A3293" s="49">
        <v>98463</v>
      </c>
      <c r="B3293" s="48" t="s">
        <v>4647</v>
      </c>
      <c r="C3293" s="48" t="s">
        <v>32</v>
      </c>
      <c r="D3293" s="50">
        <v>21.4</v>
      </c>
    </row>
    <row r="3294" spans="1:4" ht="13.5">
      <c r="A3294" s="49">
        <v>103490</v>
      </c>
      <c r="B3294" s="48" t="s">
        <v>28310</v>
      </c>
      <c r="C3294" s="48" t="s">
        <v>28764</v>
      </c>
      <c r="D3294" s="51">
        <v>2904.94</v>
      </c>
    </row>
    <row r="3295" spans="1:4" ht="13.5">
      <c r="A3295" s="49">
        <v>103491</v>
      </c>
      <c r="B3295" s="48" t="s">
        <v>28311</v>
      </c>
      <c r="C3295" s="48" t="s">
        <v>28764</v>
      </c>
      <c r="D3295" s="50">
        <v>664.66</v>
      </c>
    </row>
    <row r="3296" spans="1:4" ht="13.5">
      <c r="A3296" s="49">
        <v>96765</v>
      </c>
      <c r="B3296" s="48" t="s">
        <v>20701</v>
      </c>
      <c r="C3296" s="48" t="s">
        <v>32</v>
      </c>
      <c r="D3296" s="51">
        <v>1481.94</v>
      </c>
    </row>
    <row r="3297" spans="1:4" ht="13.5">
      <c r="A3297" s="49">
        <v>101905</v>
      </c>
      <c r="B3297" s="48" t="s">
        <v>20702</v>
      </c>
      <c r="C3297" s="48" t="s">
        <v>32</v>
      </c>
      <c r="D3297" s="50">
        <v>211.59</v>
      </c>
    </row>
    <row r="3298" spans="1:4" ht="13.5">
      <c r="A3298" s="49">
        <v>101906</v>
      </c>
      <c r="B3298" s="48" t="s">
        <v>20703</v>
      </c>
      <c r="C3298" s="48" t="s">
        <v>32</v>
      </c>
      <c r="D3298" s="50">
        <v>628.32000000000005</v>
      </c>
    </row>
    <row r="3299" spans="1:4" ht="13.5">
      <c r="A3299" s="49">
        <v>101907</v>
      </c>
      <c r="B3299" s="48" t="s">
        <v>20704</v>
      </c>
      <c r="C3299" s="48" t="s">
        <v>32</v>
      </c>
      <c r="D3299" s="50">
        <v>679.09</v>
      </c>
    </row>
    <row r="3300" spans="1:4" ht="13.5">
      <c r="A3300" s="49">
        <v>101908</v>
      </c>
      <c r="B3300" s="48" t="s">
        <v>20705</v>
      </c>
      <c r="C3300" s="48" t="s">
        <v>32</v>
      </c>
      <c r="D3300" s="50">
        <v>205.24</v>
      </c>
    </row>
    <row r="3301" spans="1:4" ht="13.5">
      <c r="A3301" s="49">
        <v>101909</v>
      </c>
      <c r="B3301" s="48" t="s">
        <v>20706</v>
      </c>
      <c r="C3301" s="48" t="s">
        <v>32</v>
      </c>
      <c r="D3301" s="50">
        <v>239.09</v>
      </c>
    </row>
    <row r="3302" spans="1:4" ht="13.5">
      <c r="A3302" s="49">
        <v>101910</v>
      </c>
      <c r="B3302" s="48" t="s">
        <v>20707</v>
      </c>
      <c r="C3302" s="48" t="s">
        <v>32</v>
      </c>
      <c r="D3302" s="50">
        <v>281.39</v>
      </c>
    </row>
    <row r="3303" spans="1:4" ht="13.5">
      <c r="A3303" s="49">
        <v>101911</v>
      </c>
      <c r="B3303" s="48" t="s">
        <v>20708</v>
      </c>
      <c r="C3303" s="48" t="s">
        <v>32</v>
      </c>
      <c r="D3303" s="50">
        <v>323.7</v>
      </c>
    </row>
    <row r="3304" spans="1:4" ht="13.5">
      <c r="A3304" s="49">
        <v>101912</v>
      </c>
      <c r="B3304" s="48" t="s">
        <v>20709</v>
      </c>
      <c r="C3304" s="48" t="s">
        <v>32</v>
      </c>
      <c r="D3304" s="51">
        <v>1795.25</v>
      </c>
    </row>
    <row r="3305" spans="1:4" ht="13.5">
      <c r="A3305" s="49">
        <v>101913</v>
      </c>
      <c r="B3305" s="48" t="s">
        <v>20710</v>
      </c>
      <c r="C3305" s="48" t="s">
        <v>32</v>
      </c>
      <c r="D3305" s="50">
        <v>562.22</v>
      </c>
    </row>
    <row r="3306" spans="1:4" ht="13.5">
      <c r="A3306" s="49">
        <v>101914</v>
      </c>
      <c r="B3306" s="48" t="s">
        <v>20711</v>
      </c>
      <c r="C3306" s="48" t="s">
        <v>32</v>
      </c>
      <c r="D3306" s="50">
        <v>539.22</v>
      </c>
    </row>
    <row r="3307" spans="1:4" ht="13.5">
      <c r="A3307" s="49">
        <v>101915</v>
      </c>
      <c r="B3307" s="48" t="s">
        <v>20712</v>
      </c>
      <c r="C3307" s="48" t="s">
        <v>32</v>
      </c>
      <c r="D3307" s="50">
        <v>334.02</v>
      </c>
    </row>
    <row r="3308" spans="1:4" ht="13.5">
      <c r="A3308" s="49">
        <v>101916</v>
      </c>
      <c r="B3308" s="48" t="s">
        <v>20713</v>
      </c>
      <c r="C3308" s="48" t="s">
        <v>32</v>
      </c>
      <c r="D3308" s="51">
        <v>3132.15</v>
      </c>
    </row>
    <row r="3309" spans="1:4" ht="13.5">
      <c r="A3309" s="49">
        <v>101917</v>
      </c>
      <c r="B3309" s="48" t="s">
        <v>20714</v>
      </c>
      <c r="C3309" s="48" t="s">
        <v>32</v>
      </c>
      <c r="D3309" s="50">
        <v>123.52</v>
      </c>
    </row>
    <row r="3310" spans="1:4" ht="13.5">
      <c r="A3310" s="49">
        <v>98261</v>
      </c>
      <c r="B3310" s="48" t="s">
        <v>4648</v>
      </c>
      <c r="C3310" s="48" t="s">
        <v>6</v>
      </c>
      <c r="D3310" s="50">
        <v>3.45</v>
      </c>
    </row>
    <row r="3311" spans="1:4" ht="13.5">
      <c r="A3311" s="49">
        <v>98262</v>
      </c>
      <c r="B3311" s="48" t="s">
        <v>4649</v>
      </c>
      <c r="C3311" s="48" t="s">
        <v>6</v>
      </c>
      <c r="D3311" s="50">
        <v>4.01</v>
      </c>
    </row>
    <row r="3312" spans="1:4" ht="13.5">
      <c r="A3312" s="49">
        <v>98263</v>
      </c>
      <c r="B3312" s="48" t="s">
        <v>4650</v>
      </c>
      <c r="C3312" s="48" t="s">
        <v>6</v>
      </c>
      <c r="D3312" s="50">
        <v>4.67</v>
      </c>
    </row>
    <row r="3313" spans="1:4" ht="13.5">
      <c r="A3313" s="49">
        <v>98264</v>
      </c>
      <c r="B3313" s="48" t="s">
        <v>4651</v>
      </c>
      <c r="C3313" s="48" t="s">
        <v>6</v>
      </c>
      <c r="D3313" s="50">
        <v>5.18</v>
      </c>
    </row>
    <row r="3314" spans="1:4" ht="13.5">
      <c r="A3314" s="49">
        <v>98265</v>
      </c>
      <c r="B3314" s="48" t="s">
        <v>4652</v>
      </c>
      <c r="C3314" s="48" t="s">
        <v>6</v>
      </c>
      <c r="D3314" s="50">
        <v>5.93</v>
      </c>
    </row>
    <row r="3315" spans="1:4" ht="13.5">
      <c r="A3315" s="49">
        <v>98266</v>
      </c>
      <c r="B3315" s="48" t="s">
        <v>4653</v>
      </c>
      <c r="C3315" s="48" t="s">
        <v>6</v>
      </c>
      <c r="D3315" s="50">
        <v>6.36</v>
      </c>
    </row>
    <row r="3316" spans="1:4" ht="13.5">
      <c r="A3316" s="49">
        <v>98267</v>
      </c>
      <c r="B3316" s="48" t="s">
        <v>4654</v>
      </c>
      <c r="C3316" s="48" t="s">
        <v>6</v>
      </c>
      <c r="D3316" s="50">
        <v>10.24</v>
      </c>
    </row>
    <row r="3317" spans="1:4" ht="13.5">
      <c r="A3317" s="49">
        <v>98268</v>
      </c>
      <c r="B3317" s="48" t="s">
        <v>4655</v>
      </c>
      <c r="C3317" s="48" t="s">
        <v>6</v>
      </c>
      <c r="D3317" s="50">
        <v>16.350000000000001</v>
      </c>
    </row>
    <row r="3318" spans="1:4" ht="13.5">
      <c r="A3318" s="49">
        <v>98269</v>
      </c>
      <c r="B3318" s="48" t="s">
        <v>4656</v>
      </c>
      <c r="C3318" s="48" t="s">
        <v>6</v>
      </c>
      <c r="D3318" s="50">
        <v>20.98</v>
      </c>
    </row>
    <row r="3319" spans="1:4" ht="13.5">
      <c r="A3319" s="49">
        <v>98270</v>
      </c>
      <c r="B3319" s="48" t="s">
        <v>4657</v>
      </c>
      <c r="C3319" s="48" t="s">
        <v>6</v>
      </c>
      <c r="D3319" s="50">
        <v>33.64</v>
      </c>
    </row>
    <row r="3320" spans="1:4" ht="13.5">
      <c r="A3320" s="49">
        <v>98271</v>
      </c>
      <c r="B3320" s="48" t="s">
        <v>4658</v>
      </c>
      <c r="C3320" s="48" t="s">
        <v>6</v>
      </c>
      <c r="D3320" s="50">
        <v>51.74</v>
      </c>
    </row>
    <row r="3321" spans="1:4" ht="13.5">
      <c r="A3321" s="49">
        <v>98272</v>
      </c>
      <c r="B3321" s="48" t="s">
        <v>4659</v>
      </c>
      <c r="C3321" s="48" t="s">
        <v>6</v>
      </c>
      <c r="D3321" s="50">
        <v>120.24</v>
      </c>
    </row>
    <row r="3322" spans="1:4" ht="13.5">
      <c r="A3322" s="49">
        <v>98273</v>
      </c>
      <c r="B3322" s="48" t="s">
        <v>4660</v>
      </c>
      <c r="C3322" s="48" t="s">
        <v>6</v>
      </c>
      <c r="D3322" s="50">
        <v>2.33</v>
      </c>
    </row>
    <row r="3323" spans="1:4" ht="13.5">
      <c r="A3323" s="49">
        <v>98274</v>
      </c>
      <c r="B3323" s="48" t="s">
        <v>4661</v>
      </c>
      <c r="C3323" s="48" t="s">
        <v>6</v>
      </c>
      <c r="D3323" s="50">
        <v>3.07</v>
      </c>
    </row>
    <row r="3324" spans="1:4" ht="13.5">
      <c r="A3324" s="49">
        <v>98275</v>
      </c>
      <c r="B3324" s="48" t="s">
        <v>4662</v>
      </c>
      <c r="C3324" s="48" t="s">
        <v>6</v>
      </c>
      <c r="D3324" s="50">
        <v>3.5</v>
      </c>
    </row>
    <row r="3325" spans="1:4" ht="13.5">
      <c r="A3325" s="49">
        <v>98276</v>
      </c>
      <c r="B3325" s="48" t="s">
        <v>4663</v>
      </c>
      <c r="C3325" s="48" t="s">
        <v>6</v>
      </c>
      <c r="D3325" s="50">
        <v>7.39</v>
      </c>
    </row>
    <row r="3326" spans="1:4" ht="13.5">
      <c r="A3326" s="49">
        <v>98277</v>
      </c>
      <c r="B3326" s="48" t="s">
        <v>4664</v>
      </c>
      <c r="C3326" s="48" t="s">
        <v>6</v>
      </c>
      <c r="D3326" s="50">
        <v>13.5</v>
      </c>
    </row>
    <row r="3327" spans="1:4" ht="13.5">
      <c r="A3327" s="49">
        <v>98278</v>
      </c>
      <c r="B3327" s="48" t="s">
        <v>4665</v>
      </c>
      <c r="C3327" s="48" t="s">
        <v>6</v>
      </c>
      <c r="D3327" s="50">
        <v>18.12</v>
      </c>
    </row>
    <row r="3328" spans="1:4" ht="13.5">
      <c r="A3328" s="49">
        <v>98279</v>
      </c>
      <c r="B3328" s="48" t="s">
        <v>4666</v>
      </c>
      <c r="C3328" s="48" t="s">
        <v>6</v>
      </c>
      <c r="D3328" s="50">
        <v>30.78</v>
      </c>
    </row>
    <row r="3329" spans="1:4" ht="13.5">
      <c r="A3329" s="49">
        <v>98280</v>
      </c>
      <c r="B3329" s="48" t="s">
        <v>4667</v>
      </c>
      <c r="C3329" s="48" t="s">
        <v>6</v>
      </c>
      <c r="D3329" s="50">
        <v>7.13</v>
      </c>
    </row>
    <row r="3330" spans="1:4" ht="13.5">
      <c r="A3330" s="49">
        <v>98281</v>
      </c>
      <c r="B3330" s="48" t="s">
        <v>4668</v>
      </c>
      <c r="C3330" s="48" t="s">
        <v>6</v>
      </c>
      <c r="D3330" s="50">
        <v>7.68</v>
      </c>
    </row>
    <row r="3331" spans="1:4" ht="13.5">
      <c r="A3331" s="49">
        <v>98282</v>
      </c>
      <c r="B3331" s="48" t="s">
        <v>4669</v>
      </c>
      <c r="C3331" s="48" t="s">
        <v>6</v>
      </c>
      <c r="D3331" s="50">
        <v>8.34</v>
      </c>
    </row>
    <row r="3332" spans="1:4" ht="13.5">
      <c r="A3332" s="49">
        <v>98283</v>
      </c>
      <c r="B3332" s="48" t="s">
        <v>4670</v>
      </c>
      <c r="C3332" s="48" t="s">
        <v>6</v>
      </c>
      <c r="D3332" s="50">
        <v>8.85</v>
      </c>
    </row>
    <row r="3333" spans="1:4" ht="13.5">
      <c r="A3333" s="49">
        <v>98284</v>
      </c>
      <c r="B3333" s="48" t="s">
        <v>4671</v>
      </c>
      <c r="C3333" s="48" t="s">
        <v>6</v>
      </c>
      <c r="D3333" s="50">
        <v>9.6</v>
      </c>
    </row>
    <row r="3334" spans="1:4" ht="13.5">
      <c r="A3334" s="49">
        <v>98285</v>
      </c>
      <c r="B3334" s="48" t="s">
        <v>4672</v>
      </c>
      <c r="C3334" s="48" t="s">
        <v>6</v>
      </c>
      <c r="D3334" s="50">
        <v>10.029999999999999</v>
      </c>
    </row>
    <row r="3335" spans="1:4" ht="13.5">
      <c r="A3335" s="49">
        <v>98286</v>
      </c>
      <c r="B3335" s="48" t="s">
        <v>4673</v>
      </c>
      <c r="C3335" s="48" t="s">
        <v>6</v>
      </c>
      <c r="D3335" s="50">
        <v>13.91</v>
      </c>
    </row>
    <row r="3336" spans="1:4" ht="13.5">
      <c r="A3336" s="49">
        <v>98287</v>
      </c>
      <c r="B3336" s="48" t="s">
        <v>4674</v>
      </c>
      <c r="C3336" s="48" t="s">
        <v>6</v>
      </c>
      <c r="D3336" s="50">
        <v>1.25</v>
      </c>
    </row>
    <row r="3337" spans="1:4" ht="13.5">
      <c r="A3337" s="49">
        <v>98288</v>
      </c>
      <c r="B3337" s="48" t="s">
        <v>4675</v>
      </c>
      <c r="C3337" s="48" t="s">
        <v>6</v>
      </c>
      <c r="D3337" s="50">
        <v>1.81</v>
      </c>
    </row>
    <row r="3338" spans="1:4" ht="13.5">
      <c r="A3338" s="49">
        <v>98289</v>
      </c>
      <c r="B3338" s="48" t="s">
        <v>4676</v>
      </c>
      <c r="C3338" s="48" t="s">
        <v>6</v>
      </c>
      <c r="D3338" s="50">
        <v>2.46</v>
      </c>
    </row>
    <row r="3339" spans="1:4" ht="13.5">
      <c r="A3339" s="49">
        <v>98290</v>
      </c>
      <c r="B3339" s="48" t="s">
        <v>4677</v>
      </c>
      <c r="C3339" s="48" t="s">
        <v>6</v>
      </c>
      <c r="D3339" s="50">
        <v>2.98</v>
      </c>
    </row>
    <row r="3340" spans="1:4" ht="13.5">
      <c r="A3340" s="49">
        <v>98291</v>
      </c>
      <c r="B3340" s="48" t="s">
        <v>4678</v>
      </c>
      <c r="C3340" s="48" t="s">
        <v>6</v>
      </c>
      <c r="D3340" s="50">
        <v>3.73</v>
      </c>
    </row>
    <row r="3341" spans="1:4" ht="13.5">
      <c r="A3341" s="49">
        <v>98292</v>
      </c>
      <c r="B3341" s="48" t="s">
        <v>4679</v>
      </c>
      <c r="C3341" s="48" t="s">
        <v>6</v>
      </c>
      <c r="D3341" s="50">
        <v>4.1500000000000004</v>
      </c>
    </row>
    <row r="3342" spans="1:4" ht="13.5">
      <c r="A3342" s="49">
        <v>98293</v>
      </c>
      <c r="B3342" s="48" t="s">
        <v>4680</v>
      </c>
      <c r="C3342" s="48" t="s">
        <v>6</v>
      </c>
      <c r="D3342" s="50">
        <v>8.0399999999999991</v>
      </c>
    </row>
    <row r="3343" spans="1:4" ht="13.5">
      <c r="A3343" s="49">
        <v>98400</v>
      </c>
      <c r="B3343" s="48" t="s">
        <v>4681</v>
      </c>
      <c r="C3343" s="48" t="s">
        <v>6</v>
      </c>
      <c r="D3343" s="50">
        <v>12</v>
      </c>
    </row>
    <row r="3344" spans="1:4" ht="13.5">
      <c r="A3344" s="49">
        <v>98401</v>
      </c>
      <c r="B3344" s="48" t="s">
        <v>4682</v>
      </c>
      <c r="C3344" s="48" t="s">
        <v>6</v>
      </c>
      <c r="D3344" s="50">
        <v>18.25</v>
      </c>
    </row>
    <row r="3345" spans="1:4" ht="13.5">
      <c r="A3345" s="49">
        <v>98402</v>
      </c>
      <c r="B3345" s="48" t="s">
        <v>4683</v>
      </c>
      <c r="C3345" s="48" t="s">
        <v>6</v>
      </c>
      <c r="D3345" s="50">
        <v>23.5</v>
      </c>
    </row>
    <row r="3346" spans="1:4" ht="13.5">
      <c r="A3346" s="49">
        <v>100556</v>
      </c>
      <c r="B3346" s="48" t="s">
        <v>4684</v>
      </c>
      <c r="C3346" s="48" t="s">
        <v>32</v>
      </c>
      <c r="D3346" s="50">
        <v>50.07</v>
      </c>
    </row>
    <row r="3347" spans="1:4" ht="13.5">
      <c r="A3347" s="49">
        <v>100557</v>
      </c>
      <c r="B3347" s="48" t="s">
        <v>4685</v>
      </c>
      <c r="C3347" s="48" t="s">
        <v>32</v>
      </c>
      <c r="D3347" s="50">
        <v>678.42</v>
      </c>
    </row>
    <row r="3348" spans="1:4" ht="13.5">
      <c r="A3348" s="49">
        <v>100560</v>
      </c>
      <c r="B3348" s="48" t="s">
        <v>4686</v>
      </c>
      <c r="C3348" s="48" t="s">
        <v>32</v>
      </c>
      <c r="D3348" s="50">
        <v>135.5</v>
      </c>
    </row>
    <row r="3349" spans="1:4" ht="13.5">
      <c r="A3349" s="49">
        <v>100561</v>
      </c>
      <c r="B3349" s="48" t="s">
        <v>4687</v>
      </c>
      <c r="C3349" s="48" t="s">
        <v>32</v>
      </c>
      <c r="D3349" s="50">
        <v>255.82</v>
      </c>
    </row>
    <row r="3350" spans="1:4" ht="13.5">
      <c r="A3350" s="49">
        <v>100562</v>
      </c>
      <c r="B3350" s="48" t="s">
        <v>4688</v>
      </c>
      <c r="C3350" s="48" t="s">
        <v>32</v>
      </c>
      <c r="D3350" s="50">
        <v>400.65</v>
      </c>
    </row>
    <row r="3351" spans="1:4" ht="13.5">
      <c r="A3351" s="49">
        <v>100563</v>
      </c>
      <c r="B3351" s="48" t="s">
        <v>4689</v>
      </c>
      <c r="C3351" s="48" t="s">
        <v>32</v>
      </c>
      <c r="D3351" s="50">
        <v>581.11</v>
      </c>
    </row>
    <row r="3352" spans="1:4" ht="13.5">
      <c r="A3352" s="49">
        <v>101795</v>
      </c>
      <c r="B3352" s="48" t="s">
        <v>20715</v>
      </c>
      <c r="C3352" s="48" t="s">
        <v>32</v>
      </c>
      <c r="D3352" s="50">
        <v>481.91</v>
      </c>
    </row>
    <row r="3353" spans="1:4" ht="13.5">
      <c r="A3353" s="49">
        <v>101798</v>
      </c>
      <c r="B3353" s="48" t="s">
        <v>20716</v>
      </c>
      <c r="C3353" s="48" t="s">
        <v>32</v>
      </c>
      <c r="D3353" s="50">
        <v>379.26</v>
      </c>
    </row>
    <row r="3354" spans="1:4" ht="13.5">
      <c r="A3354" s="49">
        <v>101799</v>
      </c>
      <c r="B3354" s="48" t="s">
        <v>20717</v>
      </c>
      <c r="C3354" s="48" t="s">
        <v>32</v>
      </c>
      <c r="D3354" s="50">
        <v>925.34</v>
      </c>
    </row>
    <row r="3355" spans="1:4" ht="13.5">
      <c r="A3355" s="49">
        <v>98397</v>
      </c>
      <c r="B3355" s="48" t="s">
        <v>4691</v>
      </c>
      <c r="C3355" s="48" t="s">
        <v>26764</v>
      </c>
      <c r="D3355" s="50">
        <v>11.78</v>
      </c>
    </row>
    <row r="3356" spans="1:4" ht="13.5">
      <c r="A3356" s="49">
        <v>103244</v>
      </c>
      <c r="B3356" s="48" t="s">
        <v>28312</v>
      </c>
      <c r="C3356" s="48" t="s">
        <v>32</v>
      </c>
      <c r="D3356" s="51">
        <v>2135.79</v>
      </c>
    </row>
    <row r="3357" spans="1:4" ht="13.5">
      <c r="A3357" s="49">
        <v>103245</v>
      </c>
      <c r="B3357" s="48" t="s">
        <v>28313</v>
      </c>
      <c r="C3357" s="48" t="s">
        <v>32</v>
      </c>
      <c r="D3357" s="51">
        <v>1688.08</v>
      </c>
    </row>
    <row r="3358" spans="1:4" ht="13.5">
      <c r="A3358" s="49">
        <v>103246</v>
      </c>
      <c r="B3358" s="48" t="s">
        <v>28314</v>
      </c>
      <c r="C3358" s="48" t="s">
        <v>32</v>
      </c>
      <c r="D3358" s="51">
        <v>1839.49</v>
      </c>
    </row>
    <row r="3359" spans="1:4" ht="13.5">
      <c r="A3359" s="49">
        <v>103247</v>
      </c>
      <c r="B3359" s="48" t="s">
        <v>28315</v>
      </c>
      <c r="C3359" s="48" t="s">
        <v>32</v>
      </c>
      <c r="D3359" s="51">
        <v>2368.66</v>
      </c>
    </row>
    <row r="3360" spans="1:4" ht="13.5">
      <c r="A3360" s="49">
        <v>103248</v>
      </c>
      <c r="B3360" s="48" t="s">
        <v>28316</v>
      </c>
      <c r="C3360" s="48" t="s">
        <v>32</v>
      </c>
      <c r="D3360" s="51">
        <v>1938.62</v>
      </c>
    </row>
    <row r="3361" spans="1:4" ht="13.5">
      <c r="A3361" s="49">
        <v>103249</v>
      </c>
      <c r="B3361" s="48" t="s">
        <v>28317</v>
      </c>
      <c r="C3361" s="48" t="s">
        <v>32</v>
      </c>
      <c r="D3361" s="51">
        <v>2081.52</v>
      </c>
    </row>
    <row r="3362" spans="1:4" ht="13.5">
      <c r="A3362" s="49">
        <v>103250</v>
      </c>
      <c r="B3362" s="48" t="s">
        <v>28318</v>
      </c>
      <c r="C3362" s="48" t="s">
        <v>32</v>
      </c>
      <c r="D3362" s="51">
        <v>3432.71</v>
      </c>
    </row>
    <row r="3363" spans="1:4" ht="13.5">
      <c r="A3363" s="49">
        <v>103251</v>
      </c>
      <c r="B3363" s="48" t="s">
        <v>28319</v>
      </c>
      <c r="C3363" s="48" t="s">
        <v>32</v>
      </c>
      <c r="D3363" s="51">
        <v>2714.48</v>
      </c>
    </row>
    <row r="3364" spans="1:4" ht="13.5">
      <c r="A3364" s="49">
        <v>103252</v>
      </c>
      <c r="B3364" s="48" t="s">
        <v>28320</v>
      </c>
      <c r="C3364" s="48" t="s">
        <v>32</v>
      </c>
      <c r="D3364" s="51">
        <v>3004.12</v>
      </c>
    </row>
    <row r="3365" spans="1:4" ht="13.5">
      <c r="A3365" s="49">
        <v>103253</v>
      </c>
      <c r="B3365" s="48" t="s">
        <v>28321</v>
      </c>
      <c r="C3365" s="48" t="s">
        <v>32</v>
      </c>
      <c r="D3365" s="51">
        <v>4673.2700000000004</v>
      </c>
    </row>
    <row r="3366" spans="1:4" ht="13.5">
      <c r="A3366" s="49">
        <v>103254</v>
      </c>
      <c r="B3366" s="48" t="s">
        <v>28322</v>
      </c>
      <c r="C3366" s="48" t="s">
        <v>32</v>
      </c>
      <c r="D3366" s="51">
        <v>3499.05</v>
      </c>
    </row>
    <row r="3367" spans="1:4" ht="13.5">
      <c r="A3367" s="49">
        <v>103255</v>
      </c>
      <c r="B3367" s="48" t="s">
        <v>28323</v>
      </c>
      <c r="C3367" s="48" t="s">
        <v>32</v>
      </c>
      <c r="D3367" s="51">
        <v>3913.35</v>
      </c>
    </row>
    <row r="3368" spans="1:4" ht="13.5">
      <c r="A3368" s="49">
        <v>103256</v>
      </c>
      <c r="B3368" s="48" t="s">
        <v>28324</v>
      </c>
      <c r="C3368" s="48" t="s">
        <v>32</v>
      </c>
      <c r="D3368" s="51">
        <v>8658.49</v>
      </c>
    </row>
    <row r="3369" spans="1:4" ht="13.5">
      <c r="A3369" s="49">
        <v>103257</v>
      </c>
      <c r="B3369" s="48" t="s">
        <v>28325</v>
      </c>
      <c r="C3369" s="48" t="s">
        <v>32</v>
      </c>
      <c r="D3369" s="51">
        <v>4951.67</v>
      </c>
    </row>
    <row r="3370" spans="1:4" ht="13.5">
      <c r="A3370" s="49">
        <v>103258</v>
      </c>
      <c r="B3370" s="48" t="s">
        <v>28326</v>
      </c>
      <c r="C3370" s="48" t="s">
        <v>32</v>
      </c>
      <c r="D3370" s="51">
        <v>9678.56</v>
      </c>
    </row>
    <row r="3371" spans="1:4" ht="13.5">
      <c r="A3371" s="49">
        <v>103259</v>
      </c>
      <c r="B3371" s="48" t="s">
        <v>28327</v>
      </c>
      <c r="C3371" s="48" t="s">
        <v>32</v>
      </c>
      <c r="D3371" s="51">
        <v>5220.2700000000004</v>
      </c>
    </row>
    <row r="3372" spans="1:4" ht="13.5">
      <c r="A3372" s="49">
        <v>103260</v>
      </c>
      <c r="B3372" s="48" t="s">
        <v>28328</v>
      </c>
      <c r="C3372" s="48" t="s">
        <v>32</v>
      </c>
      <c r="D3372" s="51">
        <v>5362.15</v>
      </c>
    </row>
    <row r="3373" spans="1:4" ht="13.5">
      <c r="A3373" s="49">
        <v>103261</v>
      </c>
      <c r="B3373" s="48" t="s">
        <v>28329</v>
      </c>
      <c r="C3373" s="48" t="s">
        <v>32</v>
      </c>
      <c r="D3373" s="51">
        <v>10916.55</v>
      </c>
    </row>
    <row r="3374" spans="1:4" ht="13.5">
      <c r="A3374" s="49">
        <v>103262</v>
      </c>
      <c r="B3374" s="48" t="s">
        <v>28330</v>
      </c>
      <c r="C3374" s="48" t="s">
        <v>32</v>
      </c>
      <c r="D3374" s="51">
        <v>6854.45</v>
      </c>
    </row>
    <row r="3375" spans="1:4" ht="13.5">
      <c r="A3375" s="49">
        <v>103263</v>
      </c>
      <c r="B3375" s="48" t="s">
        <v>28331</v>
      </c>
      <c r="C3375" s="48" t="s">
        <v>32</v>
      </c>
      <c r="D3375" s="51">
        <v>15129.9</v>
      </c>
    </row>
    <row r="3376" spans="1:4" ht="13.5">
      <c r="A3376" s="49">
        <v>103264</v>
      </c>
      <c r="B3376" s="48" t="s">
        <v>28332</v>
      </c>
      <c r="C3376" s="48" t="s">
        <v>32</v>
      </c>
      <c r="D3376" s="51">
        <v>8479.08</v>
      </c>
    </row>
    <row r="3377" spans="1:4" ht="13.5">
      <c r="A3377" s="49">
        <v>103265</v>
      </c>
      <c r="B3377" s="48" t="s">
        <v>28333</v>
      </c>
      <c r="C3377" s="48" t="s">
        <v>32</v>
      </c>
      <c r="D3377" s="51">
        <v>18243.03</v>
      </c>
    </row>
    <row r="3378" spans="1:4" ht="13.5">
      <c r="A3378" s="49">
        <v>103266</v>
      </c>
      <c r="B3378" s="48" t="s">
        <v>28334</v>
      </c>
      <c r="C3378" s="48" t="s">
        <v>32</v>
      </c>
      <c r="D3378" s="51">
        <v>9471.15</v>
      </c>
    </row>
    <row r="3379" spans="1:4" ht="13.5">
      <c r="A3379" s="49">
        <v>103267</v>
      </c>
      <c r="B3379" s="48" t="s">
        <v>28335</v>
      </c>
      <c r="C3379" s="48" t="s">
        <v>32</v>
      </c>
      <c r="D3379" s="51">
        <v>5415.51</v>
      </c>
    </row>
    <row r="3380" spans="1:4" ht="13.5">
      <c r="A3380" s="49">
        <v>103268</v>
      </c>
      <c r="B3380" s="48" t="s">
        <v>28336</v>
      </c>
      <c r="C3380" s="48" t="s">
        <v>32</v>
      </c>
      <c r="D3380" s="51">
        <v>6426.02</v>
      </c>
    </row>
    <row r="3381" spans="1:4" ht="13.5">
      <c r="A3381" s="49">
        <v>103269</v>
      </c>
      <c r="B3381" s="48" t="s">
        <v>28337</v>
      </c>
      <c r="C3381" s="48" t="s">
        <v>32</v>
      </c>
      <c r="D3381" s="51">
        <v>6653.07</v>
      </c>
    </row>
    <row r="3382" spans="1:4" ht="13.5">
      <c r="A3382" s="49">
        <v>103270</v>
      </c>
      <c r="B3382" s="48" t="s">
        <v>28338</v>
      </c>
      <c r="C3382" s="48" t="s">
        <v>32</v>
      </c>
      <c r="D3382" s="51">
        <v>6905.51</v>
      </c>
    </row>
    <row r="3383" spans="1:4" ht="13.5">
      <c r="A3383" s="49">
        <v>103271</v>
      </c>
      <c r="B3383" s="48" t="s">
        <v>28339</v>
      </c>
      <c r="C3383" s="48" t="s">
        <v>32</v>
      </c>
      <c r="D3383" s="51">
        <v>9777.61</v>
      </c>
    </row>
    <row r="3384" spans="1:4" ht="13.5">
      <c r="A3384" s="49">
        <v>103272</v>
      </c>
      <c r="B3384" s="48" t="s">
        <v>28340</v>
      </c>
      <c r="C3384" s="48" t="s">
        <v>32</v>
      </c>
      <c r="D3384" s="51">
        <v>10098.629999999999</v>
      </c>
    </row>
    <row r="3385" spans="1:4" ht="13.5">
      <c r="A3385" s="49">
        <v>103273</v>
      </c>
      <c r="B3385" s="48" t="s">
        <v>28341</v>
      </c>
      <c r="C3385" s="48" t="s">
        <v>32</v>
      </c>
      <c r="D3385" s="51">
        <v>10363</v>
      </c>
    </row>
    <row r="3386" spans="1:4" ht="13.5">
      <c r="A3386" s="49">
        <v>103274</v>
      </c>
      <c r="B3386" s="48" t="s">
        <v>28342</v>
      </c>
      <c r="C3386" s="48" t="s">
        <v>32</v>
      </c>
      <c r="D3386" s="51">
        <v>11872.81</v>
      </c>
    </row>
    <row r="3387" spans="1:4" ht="13.5">
      <c r="A3387" s="49">
        <v>103275</v>
      </c>
      <c r="B3387" s="48" t="s">
        <v>28343</v>
      </c>
      <c r="C3387" s="48" t="s">
        <v>32</v>
      </c>
      <c r="D3387" s="51">
        <v>11811.17</v>
      </c>
    </row>
    <row r="3388" spans="1:4" ht="13.5">
      <c r="A3388" s="49">
        <v>103276</v>
      </c>
      <c r="B3388" s="48" t="s">
        <v>28344</v>
      </c>
      <c r="C3388" s="48" t="s">
        <v>32</v>
      </c>
      <c r="D3388" s="51">
        <v>12395.12</v>
      </c>
    </row>
    <row r="3389" spans="1:4" ht="13.5">
      <c r="A3389" s="49">
        <v>103277</v>
      </c>
      <c r="B3389" s="48" t="s">
        <v>28345</v>
      </c>
      <c r="C3389" s="48" t="s">
        <v>32</v>
      </c>
      <c r="D3389" s="51">
        <v>22893.66</v>
      </c>
    </row>
    <row r="3390" spans="1:4" ht="13.5">
      <c r="A3390" s="49">
        <v>103278</v>
      </c>
      <c r="B3390" s="48" t="s">
        <v>28346</v>
      </c>
      <c r="C3390" s="48" t="s">
        <v>32</v>
      </c>
      <c r="D3390" s="51">
        <v>29308.79</v>
      </c>
    </row>
    <row r="3391" spans="1:4" ht="13.5">
      <c r="A3391" s="49">
        <v>103288</v>
      </c>
      <c r="B3391" s="48" t="s">
        <v>28347</v>
      </c>
      <c r="C3391" s="48" t="s">
        <v>32</v>
      </c>
      <c r="D3391" s="50">
        <v>14.29</v>
      </c>
    </row>
    <row r="3392" spans="1:4" ht="13.5">
      <c r="A3392" s="49">
        <v>103289</v>
      </c>
      <c r="B3392" s="48" t="s">
        <v>28348</v>
      </c>
      <c r="C3392" s="48" t="s">
        <v>6</v>
      </c>
      <c r="D3392" s="50">
        <v>33.89</v>
      </c>
    </row>
    <row r="3393" spans="1:4" ht="13.5">
      <c r="A3393" s="49">
        <v>103290</v>
      </c>
      <c r="B3393" s="48" t="s">
        <v>28349</v>
      </c>
      <c r="C3393" s="48" t="s">
        <v>6</v>
      </c>
      <c r="D3393" s="50">
        <v>54.25</v>
      </c>
    </row>
    <row r="3394" spans="1:4" ht="13.5">
      <c r="A3394" s="49">
        <v>103291</v>
      </c>
      <c r="B3394" s="48" t="s">
        <v>28350</v>
      </c>
      <c r="C3394" s="48" t="s">
        <v>6</v>
      </c>
      <c r="D3394" s="50">
        <v>68.38</v>
      </c>
    </row>
    <row r="3395" spans="1:4" ht="13.5">
      <c r="A3395" s="49">
        <v>103292</v>
      </c>
      <c r="B3395" s="48" t="s">
        <v>28351</v>
      </c>
      <c r="C3395" s="48" t="s">
        <v>6</v>
      </c>
      <c r="D3395" s="50">
        <v>82.97</v>
      </c>
    </row>
    <row r="3396" spans="1:4" ht="13.5">
      <c r="A3396" s="49">
        <v>101936</v>
      </c>
      <c r="B3396" s="48" t="s">
        <v>20718</v>
      </c>
      <c r="C3396" s="48" t="s">
        <v>32</v>
      </c>
      <c r="D3396" s="51">
        <v>7752.9</v>
      </c>
    </row>
    <row r="3397" spans="1:4" ht="13.5">
      <c r="A3397" s="49">
        <v>101937</v>
      </c>
      <c r="B3397" s="48" t="s">
        <v>20719</v>
      </c>
      <c r="C3397" s="48" t="s">
        <v>32</v>
      </c>
      <c r="D3397" s="51">
        <v>13655.36</v>
      </c>
    </row>
    <row r="3398" spans="1:4" ht="13.5">
      <c r="A3398" s="49">
        <v>98294</v>
      </c>
      <c r="B3398" s="48" t="s">
        <v>4692</v>
      </c>
      <c r="C3398" s="48" t="s">
        <v>6</v>
      </c>
      <c r="D3398" s="50">
        <v>4.74</v>
      </c>
    </row>
    <row r="3399" spans="1:4" ht="13.5">
      <c r="A3399" s="49">
        <v>98295</v>
      </c>
      <c r="B3399" s="48" t="s">
        <v>4693</v>
      </c>
      <c r="C3399" s="48" t="s">
        <v>6</v>
      </c>
      <c r="D3399" s="50">
        <v>4.07</v>
      </c>
    </row>
    <row r="3400" spans="1:4" ht="13.5">
      <c r="A3400" s="49">
        <v>98296</v>
      </c>
      <c r="B3400" s="48" t="s">
        <v>4694</v>
      </c>
      <c r="C3400" s="48" t="s">
        <v>6</v>
      </c>
      <c r="D3400" s="50">
        <v>7.22</v>
      </c>
    </row>
    <row r="3401" spans="1:4" ht="13.5">
      <c r="A3401" s="49">
        <v>98297</v>
      </c>
      <c r="B3401" s="48" t="s">
        <v>4695</v>
      </c>
      <c r="C3401" s="48" t="s">
        <v>6</v>
      </c>
      <c r="D3401" s="50">
        <v>6.17</v>
      </c>
    </row>
    <row r="3402" spans="1:4" ht="13.5">
      <c r="A3402" s="49">
        <v>98301</v>
      </c>
      <c r="B3402" s="48" t="s">
        <v>4696</v>
      </c>
      <c r="C3402" s="48" t="s">
        <v>32</v>
      </c>
      <c r="D3402" s="50">
        <v>901.38</v>
      </c>
    </row>
    <row r="3403" spans="1:4" ht="13.5">
      <c r="A3403" s="49">
        <v>98302</v>
      </c>
      <c r="B3403" s="48" t="s">
        <v>4697</v>
      </c>
      <c r="C3403" s="48" t="s">
        <v>32</v>
      </c>
      <c r="D3403" s="51">
        <v>1352.81</v>
      </c>
    </row>
    <row r="3404" spans="1:4" ht="13.5">
      <c r="A3404" s="49">
        <v>98304</v>
      </c>
      <c r="B3404" s="48" t="s">
        <v>4698</v>
      </c>
      <c r="C3404" s="48" t="s">
        <v>32</v>
      </c>
      <c r="D3404" s="51">
        <v>2012.02</v>
      </c>
    </row>
    <row r="3405" spans="1:4" ht="13.5">
      <c r="A3405" s="49">
        <v>98307</v>
      </c>
      <c r="B3405" s="48" t="s">
        <v>4699</v>
      </c>
      <c r="C3405" s="48" t="s">
        <v>32</v>
      </c>
      <c r="D3405" s="50">
        <v>42.82</v>
      </c>
    </row>
    <row r="3406" spans="1:4" ht="13.5">
      <c r="A3406" s="49">
        <v>98308</v>
      </c>
      <c r="B3406" s="48" t="s">
        <v>4700</v>
      </c>
      <c r="C3406" s="48" t="s">
        <v>32</v>
      </c>
      <c r="D3406" s="50">
        <v>28.49</v>
      </c>
    </row>
    <row r="3407" spans="1:4" ht="13.5">
      <c r="A3407" s="49">
        <v>98593</v>
      </c>
      <c r="B3407" s="48" t="s">
        <v>4701</v>
      </c>
      <c r="C3407" s="48" t="s">
        <v>32</v>
      </c>
      <c r="D3407" s="51">
        <v>1472.84</v>
      </c>
    </row>
    <row r="3408" spans="1:4" ht="13.5">
      <c r="A3408" s="49">
        <v>89355</v>
      </c>
      <c r="B3408" s="48" t="s">
        <v>4702</v>
      </c>
      <c r="C3408" s="48" t="s">
        <v>6</v>
      </c>
      <c r="D3408" s="50">
        <v>17.64</v>
      </c>
    </row>
    <row r="3409" spans="1:4" ht="13.5">
      <c r="A3409" s="49">
        <v>89356</v>
      </c>
      <c r="B3409" s="48" t="s">
        <v>4703</v>
      </c>
      <c r="C3409" s="48" t="s">
        <v>6</v>
      </c>
      <c r="D3409" s="50">
        <v>21.03</v>
      </c>
    </row>
    <row r="3410" spans="1:4" ht="13.5">
      <c r="A3410" s="49">
        <v>89357</v>
      </c>
      <c r="B3410" s="48" t="s">
        <v>4704</v>
      </c>
      <c r="C3410" s="48" t="s">
        <v>6</v>
      </c>
      <c r="D3410" s="50">
        <v>31.79</v>
      </c>
    </row>
    <row r="3411" spans="1:4" ht="13.5">
      <c r="A3411" s="49">
        <v>89401</v>
      </c>
      <c r="B3411" s="48" t="s">
        <v>4705</v>
      </c>
      <c r="C3411" s="48" t="s">
        <v>6</v>
      </c>
      <c r="D3411" s="50">
        <v>8.8000000000000007</v>
      </c>
    </row>
    <row r="3412" spans="1:4" ht="13.5">
      <c r="A3412" s="49">
        <v>89402</v>
      </c>
      <c r="B3412" s="48" t="s">
        <v>4706</v>
      </c>
      <c r="C3412" s="48" t="s">
        <v>6</v>
      </c>
      <c r="D3412" s="50">
        <v>10.84</v>
      </c>
    </row>
    <row r="3413" spans="1:4" ht="13.5">
      <c r="A3413" s="49">
        <v>89403</v>
      </c>
      <c r="B3413" s="48" t="s">
        <v>4707</v>
      </c>
      <c r="C3413" s="48" t="s">
        <v>6</v>
      </c>
      <c r="D3413" s="50">
        <v>19.600000000000001</v>
      </c>
    </row>
    <row r="3414" spans="1:4" ht="13.5">
      <c r="A3414" s="49">
        <v>89446</v>
      </c>
      <c r="B3414" s="48" t="s">
        <v>4708</v>
      </c>
      <c r="C3414" s="48" t="s">
        <v>6</v>
      </c>
      <c r="D3414" s="50">
        <v>6.98</v>
      </c>
    </row>
    <row r="3415" spans="1:4" ht="13.5">
      <c r="A3415" s="49">
        <v>89447</v>
      </c>
      <c r="B3415" s="48" t="s">
        <v>4709</v>
      </c>
      <c r="C3415" s="48" t="s">
        <v>6</v>
      </c>
      <c r="D3415" s="50">
        <v>15.06</v>
      </c>
    </row>
    <row r="3416" spans="1:4" ht="13.5">
      <c r="A3416" s="49">
        <v>89448</v>
      </c>
      <c r="B3416" s="48" t="s">
        <v>4710</v>
      </c>
      <c r="C3416" s="48" t="s">
        <v>6</v>
      </c>
      <c r="D3416" s="50">
        <v>21.74</v>
      </c>
    </row>
    <row r="3417" spans="1:4" ht="13.5">
      <c r="A3417" s="49">
        <v>89449</v>
      </c>
      <c r="B3417" s="48" t="s">
        <v>4711</v>
      </c>
      <c r="C3417" s="48" t="s">
        <v>6</v>
      </c>
      <c r="D3417" s="50">
        <v>24.97</v>
      </c>
    </row>
    <row r="3418" spans="1:4" ht="13.5">
      <c r="A3418" s="49">
        <v>89450</v>
      </c>
      <c r="B3418" s="48" t="s">
        <v>4712</v>
      </c>
      <c r="C3418" s="48" t="s">
        <v>6</v>
      </c>
      <c r="D3418" s="50">
        <v>41.56</v>
      </c>
    </row>
    <row r="3419" spans="1:4" ht="13.5">
      <c r="A3419" s="49">
        <v>89451</v>
      </c>
      <c r="B3419" s="48" t="s">
        <v>4713</v>
      </c>
      <c r="C3419" s="48" t="s">
        <v>6</v>
      </c>
      <c r="D3419" s="50">
        <v>69.03</v>
      </c>
    </row>
    <row r="3420" spans="1:4" ht="13.5">
      <c r="A3420" s="49">
        <v>89452</v>
      </c>
      <c r="B3420" s="48" t="s">
        <v>4714</v>
      </c>
      <c r="C3420" s="48" t="s">
        <v>6</v>
      </c>
      <c r="D3420" s="50">
        <v>86.03</v>
      </c>
    </row>
    <row r="3421" spans="1:4" ht="13.5">
      <c r="A3421" s="49">
        <v>89508</v>
      </c>
      <c r="B3421" s="48" t="s">
        <v>4715</v>
      </c>
      <c r="C3421" s="48" t="s">
        <v>6</v>
      </c>
      <c r="D3421" s="50">
        <v>26.68</v>
      </c>
    </row>
    <row r="3422" spans="1:4" ht="13.5">
      <c r="A3422" s="49">
        <v>89509</v>
      </c>
      <c r="B3422" s="48" t="s">
        <v>4716</v>
      </c>
      <c r="C3422" s="48" t="s">
        <v>6</v>
      </c>
      <c r="D3422" s="50">
        <v>35.89</v>
      </c>
    </row>
    <row r="3423" spans="1:4" ht="13.5">
      <c r="A3423" s="49">
        <v>89511</v>
      </c>
      <c r="B3423" s="48" t="s">
        <v>4717</v>
      </c>
      <c r="C3423" s="48" t="s">
        <v>6</v>
      </c>
      <c r="D3423" s="50">
        <v>51.68</v>
      </c>
    </row>
    <row r="3424" spans="1:4" ht="13.5">
      <c r="A3424" s="49">
        <v>89512</v>
      </c>
      <c r="B3424" s="48" t="s">
        <v>4718</v>
      </c>
      <c r="C3424" s="48" t="s">
        <v>6</v>
      </c>
      <c r="D3424" s="50">
        <v>84.21</v>
      </c>
    </row>
    <row r="3425" spans="1:4" ht="13.5">
      <c r="A3425" s="49">
        <v>89576</v>
      </c>
      <c r="B3425" s="48" t="s">
        <v>4719</v>
      </c>
      <c r="C3425" s="48" t="s">
        <v>6</v>
      </c>
      <c r="D3425" s="50">
        <v>36.380000000000003</v>
      </c>
    </row>
    <row r="3426" spans="1:4" ht="13.5">
      <c r="A3426" s="49">
        <v>89578</v>
      </c>
      <c r="B3426" s="48" t="s">
        <v>4720</v>
      </c>
      <c r="C3426" s="48" t="s">
        <v>6</v>
      </c>
      <c r="D3426" s="50">
        <v>63.1</v>
      </c>
    </row>
    <row r="3427" spans="1:4" ht="13.5">
      <c r="A3427" s="49">
        <v>89580</v>
      </c>
      <c r="B3427" s="48" t="s">
        <v>4721</v>
      </c>
      <c r="C3427" s="48" t="s">
        <v>6</v>
      </c>
      <c r="D3427" s="50">
        <v>125.73</v>
      </c>
    </row>
    <row r="3428" spans="1:4" ht="13.5">
      <c r="A3428" s="49">
        <v>89633</v>
      </c>
      <c r="B3428" s="48" t="s">
        <v>4722</v>
      </c>
      <c r="C3428" s="48" t="s">
        <v>6</v>
      </c>
      <c r="D3428" s="50">
        <v>24.61</v>
      </c>
    </row>
    <row r="3429" spans="1:4" ht="13.5">
      <c r="A3429" s="49">
        <v>89634</v>
      </c>
      <c r="B3429" s="48" t="s">
        <v>4723</v>
      </c>
      <c r="C3429" s="48" t="s">
        <v>6</v>
      </c>
      <c r="D3429" s="50">
        <v>38.33</v>
      </c>
    </row>
    <row r="3430" spans="1:4" ht="13.5">
      <c r="A3430" s="49">
        <v>89635</v>
      </c>
      <c r="B3430" s="48" t="s">
        <v>4724</v>
      </c>
      <c r="C3430" s="48" t="s">
        <v>6</v>
      </c>
      <c r="D3430" s="50">
        <v>55.89</v>
      </c>
    </row>
    <row r="3431" spans="1:4" ht="13.5">
      <c r="A3431" s="49">
        <v>89636</v>
      </c>
      <c r="B3431" s="48" t="s">
        <v>4725</v>
      </c>
      <c r="C3431" s="48" t="s">
        <v>6</v>
      </c>
      <c r="D3431" s="50">
        <v>68.25</v>
      </c>
    </row>
    <row r="3432" spans="1:4" ht="13.5">
      <c r="A3432" s="49">
        <v>89711</v>
      </c>
      <c r="B3432" s="48" t="s">
        <v>4726</v>
      </c>
      <c r="C3432" s="48" t="s">
        <v>6</v>
      </c>
      <c r="D3432" s="50">
        <v>20.43</v>
      </c>
    </row>
    <row r="3433" spans="1:4" ht="13.5">
      <c r="A3433" s="49">
        <v>89712</v>
      </c>
      <c r="B3433" s="48" t="s">
        <v>4727</v>
      </c>
      <c r="C3433" s="48" t="s">
        <v>6</v>
      </c>
      <c r="D3433" s="50">
        <v>31.7</v>
      </c>
    </row>
    <row r="3434" spans="1:4" ht="13.5">
      <c r="A3434" s="49">
        <v>89713</v>
      </c>
      <c r="B3434" s="48" t="s">
        <v>4728</v>
      </c>
      <c r="C3434" s="48" t="s">
        <v>6</v>
      </c>
      <c r="D3434" s="50">
        <v>48.1</v>
      </c>
    </row>
    <row r="3435" spans="1:4" ht="13.5">
      <c r="A3435" s="49">
        <v>89714</v>
      </c>
      <c r="B3435" s="48" t="s">
        <v>4729</v>
      </c>
      <c r="C3435" s="48" t="s">
        <v>6</v>
      </c>
      <c r="D3435" s="50">
        <v>60.48</v>
      </c>
    </row>
    <row r="3436" spans="1:4" ht="13.5">
      <c r="A3436" s="49">
        <v>89716</v>
      </c>
      <c r="B3436" s="48" t="s">
        <v>4730</v>
      </c>
      <c r="C3436" s="48" t="s">
        <v>6</v>
      </c>
      <c r="D3436" s="50">
        <v>29.1</v>
      </c>
    </row>
    <row r="3437" spans="1:4" ht="13.5">
      <c r="A3437" s="49">
        <v>89717</v>
      </c>
      <c r="B3437" s="48" t="s">
        <v>4731</v>
      </c>
      <c r="C3437" s="48" t="s">
        <v>6</v>
      </c>
      <c r="D3437" s="50">
        <v>45.01</v>
      </c>
    </row>
    <row r="3438" spans="1:4" ht="13.5">
      <c r="A3438" s="49">
        <v>89770</v>
      </c>
      <c r="B3438" s="48" t="s">
        <v>4732</v>
      </c>
      <c r="C3438" s="48" t="s">
        <v>6</v>
      </c>
      <c r="D3438" s="50">
        <v>50.65</v>
      </c>
    </row>
    <row r="3439" spans="1:4" ht="13.5">
      <c r="A3439" s="49">
        <v>89771</v>
      </c>
      <c r="B3439" s="48" t="s">
        <v>4733</v>
      </c>
      <c r="C3439" s="48" t="s">
        <v>6</v>
      </c>
      <c r="D3439" s="50">
        <v>69.25</v>
      </c>
    </row>
    <row r="3440" spans="1:4" ht="13.5">
      <c r="A3440" s="49">
        <v>89773</v>
      </c>
      <c r="B3440" s="48" t="s">
        <v>4734</v>
      </c>
      <c r="C3440" s="48" t="s">
        <v>6</v>
      </c>
      <c r="D3440" s="50">
        <v>161.5</v>
      </c>
    </row>
    <row r="3441" spans="1:4" ht="13.5">
      <c r="A3441" s="49">
        <v>89775</v>
      </c>
      <c r="B3441" s="48" t="s">
        <v>4735</v>
      </c>
      <c r="C3441" s="48" t="s">
        <v>6</v>
      </c>
      <c r="D3441" s="50">
        <v>255.31</v>
      </c>
    </row>
    <row r="3442" spans="1:4" ht="13.5">
      <c r="A3442" s="49">
        <v>89798</v>
      </c>
      <c r="B3442" s="48" t="s">
        <v>4736</v>
      </c>
      <c r="C3442" s="48" t="s">
        <v>6</v>
      </c>
      <c r="D3442" s="50">
        <v>17.11</v>
      </c>
    </row>
    <row r="3443" spans="1:4" ht="13.5">
      <c r="A3443" s="49">
        <v>89799</v>
      </c>
      <c r="B3443" s="48" t="s">
        <v>4737</v>
      </c>
      <c r="C3443" s="48" t="s">
        <v>6</v>
      </c>
      <c r="D3443" s="50">
        <v>26.87</v>
      </c>
    </row>
    <row r="3444" spans="1:4" ht="13.5">
      <c r="A3444" s="49">
        <v>89800</v>
      </c>
      <c r="B3444" s="48" t="s">
        <v>4738</v>
      </c>
      <c r="C3444" s="48" t="s">
        <v>6</v>
      </c>
      <c r="D3444" s="50">
        <v>32.36</v>
      </c>
    </row>
    <row r="3445" spans="1:4" ht="13.5">
      <c r="A3445" s="49">
        <v>89848</v>
      </c>
      <c r="B3445" s="48" t="s">
        <v>4739</v>
      </c>
      <c r="C3445" s="48" t="s">
        <v>6</v>
      </c>
      <c r="D3445" s="50">
        <v>37.159999999999997</v>
      </c>
    </row>
    <row r="3446" spans="1:4" ht="13.5">
      <c r="A3446" s="49">
        <v>89849</v>
      </c>
      <c r="B3446" s="48" t="s">
        <v>4740</v>
      </c>
      <c r="C3446" s="48" t="s">
        <v>6</v>
      </c>
      <c r="D3446" s="50">
        <v>78.66</v>
      </c>
    </row>
    <row r="3447" spans="1:4" ht="13.5">
      <c r="A3447" s="49">
        <v>89865</v>
      </c>
      <c r="B3447" s="48" t="s">
        <v>4741</v>
      </c>
      <c r="C3447" s="48" t="s">
        <v>6</v>
      </c>
      <c r="D3447" s="50">
        <v>13.84</v>
      </c>
    </row>
    <row r="3448" spans="1:4" ht="13.5">
      <c r="A3448" s="49">
        <v>91784</v>
      </c>
      <c r="B3448" s="48" t="s">
        <v>4742</v>
      </c>
      <c r="C3448" s="48" t="s">
        <v>6</v>
      </c>
      <c r="D3448" s="50">
        <v>42.19</v>
      </c>
    </row>
    <row r="3449" spans="1:4" ht="13.5">
      <c r="A3449" s="49">
        <v>91785</v>
      </c>
      <c r="B3449" s="48" t="s">
        <v>4743</v>
      </c>
      <c r="C3449" s="48" t="s">
        <v>6</v>
      </c>
      <c r="D3449" s="50">
        <v>42.18</v>
      </c>
    </row>
    <row r="3450" spans="1:4" ht="13.5">
      <c r="A3450" s="49">
        <v>91786</v>
      </c>
      <c r="B3450" s="48" t="s">
        <v>4744</v>
      </c>
      <c r="C3450" s="48" t="s">
        <v>6</v>
      </c>
      <c r="D3450" s="50">
        <v>34.630000000000003</v>
      </c>
    </row>
    <row r="3451" spans="1:4" ht="13.5">
      <c r="A3451" s="49">
        <v>91787</v>
      </c>
      <c r="B3451" s="48" t="s">
        <v>4745</v>
      </c>
      <c r="C3451" s="48" t="s">
        <v>6</v>
      </c>
      <c r="D3451" s="50">
        <v>43.64</v>
      </c>
    </row>
    <row r="3452" spans="1:4" ht="13.5">
      <c r="A3452" s="49">
        <v>91788</v>
      </c>
      <c r="B3452" s="48" t="s">
        <v>4746</v>
      </c>
      <c r="C3452" s="48" t="s">
        <v>6</v>
      </c>
      <c r="D3452" s="50">
        <v>54.19</v>
      </c>
    </row>
    <row r="3453" spans="1:4" ht="13.5">
      <c r="A3453" s="49">
        <v>91789</v>
      </c>
      <c r="B3453" s="48" t="s">
        <v>4747</v>
      </c>
      <c r="C3453" s="48" t="s">
        <v>6</v>
      </c>
      <c r="D3453" s="50">
        <v>61.7</v>
      </c>
    </row>
    <row r="3454" spans="1:4" ht="13.5">
      <c r="A3454" s="49">
        <v>91790</v>
      </c>
      <c r="B3454" s="48" t="s">
        <v>4748</v>
      </c>
      <c r="C3454" s="48" t="s">
        <v>6</v>
      </c>
      <c r="D3454" s="50">
        <v>92.12</v>
      </c>
    </row>
    <row r="3455" spans="1:4" ht="13.5">
      <c r="A3455" s="49">
        <v>91791</v>
      </c>
      <c r="B3455" s="48" t="s">
        <v>4749</v>
      </c>
      <c r="C3455" s="48" t="s">
        <v>6</v>
      </c>
      <c r="D3455" s="50">
        <v>132.97999999999999</v>
      </c>
    </row>
    <row r="3456" spans="1:4" ht="13.5">
      <c r="A3456" s="49">
        <v>91792</v>
      </c>
      <c r="B3456" s="48" t="s">
        <v>4750</v>
      </c>
      <c r="C3456" s="48" t="s">
        <v>6</v>
      </c>
      <c r="D3456" s="50">
        <v>57.75</v>
      </c>
    </row>
    <row r="3457" spans="1:4" ht="13.5">
      <c r="A3457" s="49">
        <v>91793</v>
      </c>
      <c r="B3457" s="48" t="s">
        <v>4751</v>
      </c>
      <c r="C3457" s="48" t="s">
        <v>6</v>
      </c>
      <c r="D3457" s="50">
        <v>91.04</v>
      </c>
    </row>
    <row r="3458" spans="1:4" ht="13.5">
      <c r="A3458" s="49">
        <v>91794</v>
      </c>
      <c r="B3458" s="48" t="s">
        <v>4752</v>
      </c>
      <c r="C3458" s="48" t="s">
        <v>6</v>
      </c>
      <c r="D3458" s="50">
        <v>49.45</v>
      </c>
    </row>
    <row r="3459" spans="1:4" ht="13.5">
      <c r="A3459" s="49">
        <v>91795</v>
      </c>
      <c r="B3459" s="48" t="s">
        <v>4753</v>
      </c>
      <c r="C3459" s="48" t="s">
        <v>6</v>
      </c>
      <c r="D3459" s="50">
        <v>79.84</v>
      </c>
    </row>
    <row r="3460" spans="1:4" ht="13.5">
      <c r="A3460" s="49">
        <v>91796</v>
      </c>
      <c r="B3460" s="48" t="s">
        <v>4754</v>
      </c>
      <c r="C3460" s="48" t="s">
        <v>6</v>
      </c>
      <c r="D3460" s="50">
        <v>92.11</v>
      </c>
    </row>
    <row r="3461" spans="1:4" ht="13.5">
      <c r="A3461" s="49">
        <v>92275</v>
      </c>
      <c r="B3461" s="48" t="s">
        <v>4755</v>
      </c>
      <c r="C3461" s="48" t="s">
        <v>6</v>
      </c>
      <c r="D3461" s="50">
        <v>64.5</v>
      </c>
    </row>
    <row r="3462" spans="1:4" ht="13.5">
      <c r="A3462" s="49">
        <v>92276</v>
      </c>
      <c r="B3462" s="48" t="s">
        <v>4756</v>
      </c>
      <c r="C3462" s="48" t="s">
        <v>6</v>
      </c>
      <c r="D3462" s="50">
        <v>81.72</v>
      </c>
    </row>
    <row r="3463" spans="1:4" ht="13.5">
      <c r="A3463" s="49">
        <v>92277</v>
      </c>
      <c r="B3463" s="48" t="s">
        <v>4757</v>
      </c>
      <c r="C3463" s="48" t="s">
        <v>6</v>
      </c>
      <c r="D3463" s="50">
        <v>118.07</v>
      </c>
    </row>
    <row r="3464" spans="1:4" ht="13.5">
      <c r="A3464" s="49">
        <v>92278</v>
      </c>
      <c r="B3464" s="48" t="s">
        <v>4758</v>
      </c>
      <c r="C3464" s="48" t="s">
        <v>6</v>
      </c>
      <c r="D3464" s="50">
        <v>158.94</v>
      </c>
    </row>
    <row r="3465" spans="1:4" ht="13.5">
      <c r="A3465" s="49">
        <v>92279</v>
      </c>
      <c r="B3465" s="48" t="s">
        <v>4759</v>
      </c>
      <c r="C3465" s="48" t="s">
        <v>6</v>
      </c>
      <c r="D3465" s="50">
        <v>229.87</v>
      </c>
    </row>
    <row r="3466" spans="1:4" ht="13.5">
      <c r="A3466" s="49">
        <v>92280</v>
      </c>
      <c r="B3466" s="48" t="s">
        <v>4760</v>
      </c>
      <c r="C3466" s="48" t="s">
        <v>6</v>
      </c>
      <c r="D3466" s="50">
        <v>323.01</v>
      </c>
    </row>
    <row r="3467" spans="1:4" ht="13.5">
      <c r="A3467" s="49">
        <v>92281</v>
      </c>
      <c r="B3467" s="48" t="s">
        <v>4761</v>
      </c>
      <c r="C3467" s="48" t="s">
        <v>6</v>
      </c>
      <c r="D3467" s="50">
        <v>135.07</v>
      </c>
    </row>
    <row r="3468" spans="1:4" ht="13.5">
      <c r="A3468" s="49">
        <v>92282</v>
      </c>
      <c r="B3468" s="48" t="s">
        <v>4762</v>
      </c>
      <c r="C3468" s="48" t="s">
        <v>6</v>
      </c>
      <c r="D3468" s="50">
        <v>155.12</v>
      </c>
    </row>
    <row r="3469" spans="1:4" ht="13.5">
      <c r="A3469" s="49">
        <v>92283</v>
      </c>
      <c r="B3469" s="48" t="s">
        <v>4763</v>
      </c>
      <c r="C3469" s="48" t="s">
        <v>6</v>
      </c>
      <c r="D3469" s="50">
        <v>210.87</v>
      </c>
    </row>
    <row r="3470" spans="1:4" ht="13.5">
      <c r="A3470" s="49">
        <v>92284</v>
      </c>
      <c r="B3470" s="48" t="s">
        <v>4764</v>
      </c>
      <c r="C3470" s="48" t="s">
        <v>6</v>
      </c>
      <c r="D3470" s="50">
        <v>264.77</v>
      </c>
    </row>
    <row r="3471" spans="1:4" ht="13.5">
      <c r="A3471" s="49">
        <v>92285</v>
      </c>
      <c r="B3471" s="48" t="s">
        <v>4765</v>
      </c>
      <c r="C3471" s="48" t="s">
        <v>6</v>
      </c>
      <c r="D3471" s="50">
        <v>356.3</v>
      </c>
    </row>
    <row r="3472" spans="1:4" ht="13.5">
      <c r="A3472" s="49">
        <v>92286</v>
      </c>
      <c r="B3472" s="48" t="s">
        <v>4766</v>
      </c>
      <c r="C3472" s="48" t="s">
        <v>6</v>
      </c>
      <c r="D3472" s="50">
        <v>451.23</v>
      </c>
    </row>
    <row r="3473" spans="1:4" ht="13.5">
      <c r="A3473" s="49">
        <v>92305</v>
      </c>
      <c r="B3473" s="48" t="s">
        <v>4767</v>
      </c>
      <c r="C3473" s="48" t="s">
        <v>6</v>
      </c>
      <c r="D3473" s="50">
        <v>41.31</v>
      </c>
    </row>
    <row r="3474" spans="1:4" ht="13.5">
      <c r="A3474" s="49">
        <v>92306</v>
      </c>
      <c r="B3474" s="48" t="s">
        <v>4768</v>
      </c>
      <c r="C3474" s="48" t="s">
        <v>6</v>
      </c>
      <c r="D3474" s="50">
        <v>68.290000000000006</v>
      </c>
    </row>
    <row r="3475" spans="1:4" ht="13.5">
      <c r="A3475" s="49">
        <v>92307</v>
      </c>
      <c r="B3475" s="48" t="s">
        <v>4769</v>
      </c>
      <c r="C3475" s="48" t="s">
        <v>6</v>
      </c>
      <c r="D3475" s="50">
        <v>85.8</v>
      </c>
    </row>
    <row r="3476" spans="1:4" ht="13.5">
      <c r="A3476" s="49">
        <v>92308</v>
      </c>
      <c r="B3476" s="48" t="s">
        <v>4770</v>
      </c>
      <c r="C3476" s="48" t="s">
        <v>6</v>
      </c>
      <c r="D3476" s="50">
        <v>58.17</v>
      </c>
    </row>
    <row r="3477" spans="1:4" ht="13.5">
      <c r="A3477" s="49">
        <v>92309</v>
      </c>
      <c r="B3477" s="48" t="s">
        <v>4771</v>
      </c>
      <c r="C3477" s="48" t="s">
        <v>6</v>
      </c>
      <c r="D3477" s="50">
        <v>140.78</v>
      </c>
    </row>
    <row r="3478" spans="1:4" ht="13.5">
      <c r="A3478" s="49">
        <v>92310</v>
      </c>
      <c r="B3478" s="48" t="s">
        <v>4772</v>
      </c>
      <c r="C3478" s="48" t="s">
        <v>6</v>
      </c>
      <c r="D3478" s="50">
        <v>161.15</v>
      </c>
    </row>
    <row r="3479" spans="1:4" ht="13.5">
      <c r="A3479" s="49">
        <v>92320</v>
      </c>
      <c r="B3479" s="48" t="s">
        <v>4773</v>
      </c>
      <c r="C3479" s="48" t="s">
        <v>6</v>
      </c>
      <c r="D3479" s="50">
        <v>49.65</v>
      </c>
    </row>
    <row r="3480" spans="1:4" ht="13.5">
      <c r="A3480" s="49">
        <v>92321</v>
      </c>
      <c r="B3480" s="48" t="s">
        <v>4774</v>
      </c>
      <c r="C3480" s="48" t="s">
        <v>6</v>
      </c>
      <c r="D3480" s="50">
        <v>82.61</v>
      </c>
    </row>
    <row r="3481" spans="1:4" ht="13.5">
      <c r="A3481" s="49">
        <v>92322</v>
      </c>
      <c r="B3481" s="48" t="s">
        <v>4776</v>
      </c>
      <c r="C3481" s="48" t="s">
        <v>6</v>
      </c>
      <c r="D3481" s="50">
        <v>105.31</v>
      </c>
    </row>
    <row r="3482" spans="1:4" ht="13.5">
      <c r="A3482" s="49">
        <v>92323</v>
      </c>
      <c r="B3482" s="48" t="s">
        <v>4777</v>
      </c>
      <c r="C3482" s="48" t="s">
        <v>6</v>
      </c>
      <c r="D3482" s="50">
        <v>64.510000000000005</v>
      </c>
    </row>
    <row r="3483" spans="1:4" ht="13.5">
      <c r="A3483" s="49">
        <v>92324</v>
      </c>
      <c r="B3483" s="48" t="s">
        <v>4778</v>
      </c>
      <c r="C3483" s="48" t="s">
        <v>6</v>
      </c>
      <c r="D3483" s="50">
        <v>153.11000000000001</v>
      </c>
    </row>
    <row r="3484" spans="1:4" ht="13.5">
      <c r="A3484" s="49">
        <v>92325</v>
      </c>
      <c r="B3484" s="48" t="s">
        <v>4779</v>
      </c>
      <c r="C3484" s="48" t="s">
        <v>6</v>
      </c>
      <c r="D3484" s="50">
        <v>178.64</v>
      </c>
    </row>
    <row r="3485" spans="1:4" ht="13.5">
      <c r="A3485" s="49">
        <v>92335</v>
      </c>
      <c r="B3485" s="48" t="s">
        <v>20720</v>
      </c>
      <c r="C3485" s="48" t="s">
        <v>6</v>
      </c>
      <c r="D3485" s="50">
        <v>139.22999999999999</v>
      </c>
    </row>
    <row r="3486" spans="1:4" ht="13.5">
      <c r="A3486" s="49">
        <v>92336</v>
      </c>
      <c r="B3486" s="48" t="s">
        <v>20721</v>
      </c>
      <c r="C3486" s="48" t="s">
        <v>6</v>
      </c>
      <c r="D3486" s="50">
        <v>171.87</v>
      </c>
    </row>
    <row r="3487" spans="1:4" ht="13.5">
      <c r="A3487" s="49">
        <v>92337</v>
      </c>
      <c r="B3487" s="48" t="s">
        <v>20722</v>
      </c>
      <c r="C3487" s="48" t="s">
        <v>6</v>
      </c>
      <c r="D3487" s="50">
        <v>228.7</v>
      </c>
    </row>
    <row r="3488" spans="1:4" ht="13.5">
      <c r="A3488" s="49">
        <v>92338</v>
      </c>
      <c r="B3488" s="48" t="s">
        <v>20723</v>
      </c>
      <c r="C3488" s="48" t="s">
        <v>6</v>
      </c>
      <c r="D3488" s="50">
        <v>165.84</v>
      </c>
    </row>
    <row r="3489" spans="1:4" ht="13.5">
      <c r="A3489" s="49">
        <v>92339</v>
      </c>
      <c r="B3489" s="48" t="s">
        <v>20724</v>
      </c>
      <c r="C3489" s="48" t="s">
        <v>6</v>
      </c>
      <c r="D3489" s="50">
        <v>255.6</v>
      </c>
    </row>
    <row r="3490" spans="1:4" ht="13.5">
      <c r="A3490" s="49">
        <v>92341</v>
      </c>
      <c r="B3490" s="48" t="s">
        <v>20725</v>
      </c>
      <c r="C3490" s="48" t="s">
        <v>6</v>
      </c>
      <c r="D3490" s="50">
        <v>147.53</v>
      </c>
    </row>
    <row r="3491" spans="1:4" ht="13.5">
      <c r="A3491" s="49">
        <v>92342</v>
      </c>
      <c r="B3491" s="48" t="s">
        <v>20726</v>
      </c>
      <c r="C3491" s="48" t="s">
        <v>6</v>
      </c>
      <c r="D3491" s="50">
        <v>180.23</v>
      </c>
    </row>
    <row r="3492" spans="1:4" ht="13.5">
      <c r="A3492" s="49">
        <v>92343</v>
      </c>
      <c r="B3492" s="48" t="s">
        <v>20727</v>
      </c>
      <c r="C3492" s="48" t="s">
        <v>6</v>
      </c>
      <c r="D3492" s="50">
        <v>237.16</v>
      </c>
    </row>
    <row r="3493" spans="1:4" ht="13.5">
      <c r="A3493" s="49">
        <v>92359</v>
      </c>
      <c r="B3493" s="48" t="s">
        <v>20728</v>
      </c>
      <c r="C3493" s="48" t="s">
        <v>6</v>
      </c>
      <c r="D3493" s="50">
        <v>81.63</v>
      </c>
    </row>
    <row r="3494" spans="1:4" ht="13.5">
      <c r="A3494" s="49">
        <v>92360</v>
      </c>
      <c r="B3494" s="48" t="s">
        <v>20729</v>
      </c>
      <c r="C3494" s="48" t="s">
        <v>6</v>
      </c>
      <c r="D3494" s="50">
        <v>109.21</v>
      </c>
    </row>
    <row r="3495" spans="1:4" ht="13.5">
      <c r="A3495" s="49">
        <v>92361</v>
      </c>
      <c r="B3495" s="48" t="s">
        <v>20730</v>
      </c>
      <c r="C3495" s="48" t="s">
        <v>6</v>
      </c>
      <c r="D3495" s="50">
        <v>147.01</v>
      </c>
    </row>
    <row r="3496" spans="1:4" ht="13.5">
      <c r="A3496" s="49">
        <v>92362</v>
      </c>
      <c r="B3496" s="48" t="s">
        <v>20731</v>
      </c>
      <c r="C3496" s="48" t="s">
        <v>6</v>
      </c>
      <c r="D3496" s="50">
        <v>236.02</v>
      </c>
    </row>
    <row r="3497" spans="1:4" ht="13.5">
      <c r="A3497" s="49">
        <v>92364</v>
      </c>
      <c r="B3497" s="48" t="s">
        <v>20732</v>
      </c>
      <c r="C3497" s="48" t="s">
        <v>6</v>
      </c>
      <c r="D3497" s="50">
        <v>83.86</v>
      </c>
    </row>
    <row r="3498" spans="1:4" ht="13.5">
      <c r="A3498" s="49">
        <v>92365</v>
      </c>
      <c r="B3498" s="48" t="s">
        <v>20733</v>
      </c>
      <c r="C3498" s="48" t="s">
        <v>6</v>
      </c>
      <c r="D3498" s="50">
        <v>96.93</v>
      </c>
    </row>
    <row r="3499" spans="1:4" ht="13.5">
      <c r="A3499" s="49">
        <v>92366</v>
      </c>
      <c r="B3499" s="48" t="s">
        <v>20734</v>
      </c>
      <c r="C3499" s="48" t="s">
        <v>6</v>
      </c>
      <c r="D3499" s="50">
        <v>137.24</v>
      </c>
    </row>
    <row r="3500" spans="1:4" ht="13.5">
      <c r="A3500" s="49">
        <v>92367</v>
      </c>
      <c r="B3500" s="48" t="s">
        <v>20735</v>
      </c>
      <c r="C3500" s="48" t="s">
        <v>6</v>
      </c>
      <c r="D3500" s="50">
        <v>169.48</v>
      </c>
    </row>
    <row r="3501" spans="1:4" ht="13.5">
      <c r="A3501" s="49">
        <v>92368</v>
      </c>
      <c r="B3501" s="48" t="s">
        <v>20736</v>
      </c>
      <c r="C3501" s="48" t="s">
        <v>6</v>
      </c>
      <c r="D3501" s="50">
        <v>225.96</v>
      </c>
    </row>
    <row r="3502" spans="1:4" ht="13.5">
      <c r="A3502" s="49">
        <v>92645</v>
      </c>
      <c r="B3502" s="48" t="s">
        <v>20737</v>
      </c>
      <c r="C3502" s="48" t="s">
        <v>6</v>
      </c>
      <c r="D3502" s="50">
        <v>85.02</v>
      </c>
    </row>
    <row r="3503" spans="1:4" ht="13.5">
      <c r="A3503" s="49">
        <v>92646</v>
      </c>
      <c r="B3503" s="48" t="s">
        <v>20738</v>
      </c>
      <c r="C3503" s="48" t="s">
        <v>6</v>
      </c>
      <c r="D3503" s="50">
        <v>112.59</v>
      </c>
    </row>
    <row r="3504" spans="1:4" ht="13.5">
      <c r="A3504" s="49">
        <v>92648</v>
      </c>
      <c r="B3504" s="48" t="s">
        <v>20739</v>
      </c>
      <c r="C3504" s="48" t="s">
        <v>6</v>
      </c>
      <c r="D3504" s="50">
        <v>123.09</v>
      </c>
    </row>
    <row r="3505" spans="1:4" ht="13.5">
      <c r="A3505" s="49">
        <v>92649</v>
      </c>
      <c r="B3505" s="48" t="s">
        <v>20740</v>
      </c>
      <c r="C3505" s="48" t="s">
        <v>6</v>
      </c>
      <c r="D3505" s="50">
        <v>150.4</v>
      </c>
    </row>
    <row r="3506" spans="1:4" ht="13.5">
      <c r="A3506" s="49">
        <v>92650</v>
      </c>
      <c r="B3506" s="48" t="s">
        <v>20741</v>
      </c>
      <c r="C3506" s="48" t="s">
        <v>6</v>
      </c>
      <c r="D3506" s="50">
        <v>239.4</v>
      </c>
    </row>
    <row r="3507" spans="1:4" ht="13.5">
      <c r="A3507" s="49">
        <v>92652</v>
      </c>
      <c r="B3507" s="48" t="s">
        <v>20742</v>
      </c>
      <c r="C3507" s="48" t="s">
        <v>6</v>
      </c>
      <c r="D3507" s="50">
        <v>87.66</v>
      </c>
    </row>
    <row r="3508" spans="1:4" ht="13.5">
      <c r="A3508" s="49">
        <v>92653</v>
      </c>
      <c r="B3508" s="48" t="s">
        <v>20743</v>
      </c>
      <c r="C3508" s="48" t="s">
        <v>6</v>
      </c>
      <c r="D3508" s="50">
        <v>100.76</v>
      </c>
    </row>
    <row r="3509" spans="1:4" ht="13.5">
      <c r="A3509" s="49">
        <v>92654</v>
      </c>
      <c r="B3509" s="48" t="s">
        <v>20744</v>
      </c>
      <c r="C3509" s="48" t="s">
        <v>6</v>
      </c>
      <c r="D3509" s="50">
        <v>141.08000000000001</v>
      </c>
    </row>
    <row r="3510" spans="1:4" ht="13.5">
      <c r="A3510" s="49">
        <v>92655</v>
      </c>
      <c r="B3510" s="48" t="s">
        <v>20745</v>
      </c>
      <c r="C3510" s="48" t="s">
        <v>6</v>
      </c>
      <c r="D3510" s="50">
        <v>173.39</v>
      </c>
    </row>
    <row r="3511" spans="1:4" ht="13.5">
      <c r="A3511" s="49">
        <v>92656</v>
      </c>
      <c r="B3511" s="48" t="s">
        <v>20746</v>
      </c>
      <c r="C3511" s="48" t="s">
        <v>6</v>
      </c>
      <c r="D3511" s="50">
        <v>229.87</v>
      </c>
    </row>
    <row r="3512" spans="1:4" ht="13.5">
      <c r="A3512" s="49">
        <v>92687</v>
      </c>
      <c r="B3512" s="48" t="s">
        <v>20747</v>
      </c>
      <c r="C3512" s="48" t="s">
        <v>6</v>
      </c>
      <c r="D3512" s="50">
        <v>39.25</v>
      </c>
    </row>
    <row r="3513" spans="1:4" ht="13.5">
      <c r="A3513" s="49">
        <v>92688</v>
      </c>
      <c r="B3513" s="48" t="s">
        <v>20748</v>
      </c>
      <c r="C3513" s="48" t="s">
        <v>6</v>
      </c>
      <c r="D3513" s="50">
        <v>52.71</v>
      </c>
    </row>
    <row r="3514" spans="1:4" ht="13.5">
      <c r="A3514" s="49">
        <v>92689</v>
      </c>
      <c r="B3514" s="48" t="s">
        <v>20749</v>
      </c>
      <c r="C3514" s="48" t="s">
        <v>6</v>
      </c>
      <c r="D3514" s="50">
        <v>58.69</v>
      </c>
    </row>
    <row r="3515" spans="1:4" ht="13.5">
      <c r="A3515" s="49">
        <v>92690</v>
      </c>
      <c r="B3515" s="48" t="s">
        <v>20750</v>
      </c>
      <c r="C3515" s="48" t="s">
        <v>6</v>
      </c>
      <c r="D3515" s="50">
        <v>82.8</v>
      </c>
    </row>
    <row r="3516" spans="1:4" ht="13.5">
      <c r="A3516" s="49">
        <v>92691</v>
      </c>
      <c r="B3516" s="48" t="s">
        <v>20751</v>
      </c>
      <c r="C3516" s="48" t="s">
        <v>6</v>
      </c>
      <c r="D3516" s="50">
        <v>104.12</v>
      </c>
    </row>
    <row r="3517" spans="1:4" ht="13.5">
      <c r="A3517" s="49">
        <v>94462</v>
      </c>
      <c r="B3517" s="48" t="s">
        <v>4780</v>
      </c>
      <c r="C3517" s="48" t="s">
        <v>6</v>
      </c>
      <c r="D3517" s="50">
        <v>141.49</v>
      </c>
    </row>
    <row r="3518" spans="1:4" ht="13.5">
      <c r="A3518" s="49">
        <v>94463</v>
      </c>
      <c r="B3518" s="48" t="s">
        <v>4781</v>
      </c>
      <c r="C3518" s="48" t="s">
        <v>6</v>
      </c>
      <c r="D3518" s="50">
        <v>170.12</v>
      </c>
    </row>
    <row r="3519" spans="1:4" ht="13.5">
      <c r="A3519" s="49">
        <v>94464</v>
      </c>
      <c r="B3519" s="48" t="s">
        <v>4782</v>
      </c>
      <c r="C3519" s="48" t="s">
        <v>6</v>
      </c>
      <c r="D3519" s="50">
        <v>243.53</v>
      </c>
    </row>
    <row r="3520" spans="1:4" ht="13.5">
      <c r="A3520" s="49">
        <v>94602</v>
      </c>
      <c r="B3520" s="48" t="s">
        <v>4783</v>
      </c>
      <c r="C3520" s="48" t="s">
        <v>6</v>
      </c>
      <c r="D3520" s="50">
        <v>237.57</v>
      </c>
    </row>
    <row r="3521" spans="1:4" ht="13.5">
      <c r="A3521" s="49">
        <v>94603</v>
      </c>
      <c r="B3521" s="48" t="s">
        <v>4784</v>
      </c>
      <c r="C3521" s="48" t="s">
        <v>6</v>
      </c>
      <c r="D3521" s="50">
        <v>323.79000000000002</v>
      </c>
    </row>
    <row r="3522" spans="1:4" ht="13.5">
      <c r="A3522" s="49">
        <v>94604</v>
      </c>
      <c r="B3522" s="48" t="s">
        <v>4785</v>
      </c>
      <c r="C3522" s="48" t="s">
        <v>6</v>
      </c>
      <c r="D3522" s="50">
        <v>446.07</v>
      </c>
    </row>
    <row r="3523" spans="1:4" ht="13.5">
      <c r="A3523" s="49">
        <v>94605</v>
      </c>
      <c r="B3523" s="48" t="s">
        <v>4786</v>
      </c>
      <c r="C3523" s="48" t="s">
        <v>6</v>
      </c>
      <c r="D3523" s="50">
        <v>643.96</v>
      </c>
    </row>
    <row r="3524" spans="1:4" ht="13.5">
      <c r="A3524" s="49">
        <v>94648</v>
      </c>
      <c r="B3524" s="48" t="s">
        <v>4787</v>
      </c>
      <c r="C3524" s="48" t="s">
        <v>6</v>
      </c>
      <c r="D3524" s="50">
        <v>11.44</v>
      </c>
    </row>
    <row r="3525" spans="1:4" ht="13.5">
      <c r="A3525" s="49">
        <v>94649</v>
      </c>
      <c r="B3525" s="48" t="s">
        <v>4788</v>
      </c>
      <c r="C3525" s="48" t="s">
        <v>6</v>
      </c>
      <c r="D3525" s="50">
        <v>19.23</v>
      </c>
    </row>
    <row r="3526" spans="1:4" ht="13.5">
      <c r="A3526" s="49">
        <v>94650</v>
      </c>
      <c r="B3526" s="48" t="s">
        <v>4789</v>
      </c>
      <c r="C3526" s="48" t="s">
        <v>6</v>
      </c>
      <c r="D3526" s="50">
        <v>27.53</v>
      </c>
    </row>
    <row r="3527" spans="1:4" ht="13.5">
      <c r="A3527" s="49">
        <v>94651</v>
      </c>
      <c r="B3527" s="48" t="s">
        <v>4790</v>
      </c>
      <c r="C3527" s="48" t="s">
        <v>6</v>
      </c>
      <c r="D3527" s="50">
        <v>30.47</v>
      </c>
    </row>
    <row r="3528" spans="1:4" ht="13.5">
      <c r="A3528" s="49">
        <v>94652</v>
      </c>
      <c r="B3528" s="48" t="s">
        <v>4791</v>
      </c>
      <c r="C3528" s="48" t="s">
        <v>6</v>
      </c>
      <c r="D3528" s="50">
        <v>49.59</v>
      </c>
    </row>
    <row r="3529" spans="1:4" ht="13.5">
      <c r="A3529" s="49">
        <v>94653</v>
      </c>
      <c r="B3529" s="48" t="s">
        <v>4792</v>
      </c>
      <c r="C3529" s="48" t="s">
        <v>6</v>
      </c>
      <c r="D3529" s="50">
        <v>74.95</v>
      </c>
    </row>
    <row r="3530" spans="1:4" ht="13.5">
      <c r="A3530" s="49">
        <v>94654</v>
      </c>
      <c r="B3530" s="48" t="s">
        <v>4793</v>
      </c>
      <c r="C3530" s="48" t="s">
        <v>6</v>
      </c>
      <c r="D3530" s="50">
        <v>95.82</v>
      </c>
    </row>
    <row r="3531" spans="1:4" ht="13.5">
      <c r="A3531" s="49">
        <v>94655</v>
      </c>
      <c r="B3531" s="48" t="s">
        <v>4794</v>
      </c>
      <c r="C3531" s="48" t="s">
        <v>6</v>
      </c>
      <c r="D3531" s="50">
        <v>140.99</v>
      </c>
    </row>
    <row r="3532" spans="1:4" ht="13.5">
      <c r="A3532" s="49">
        <v>94716</v>
      </c>
      <c r="B3532" s="48" t="s">
        <v>4795</v>
      </c>
      <c r="C3532" s="48" t="s">
        <v>6</v>
      </c>
      <c r="D3532" s="50">
        <v>29.12</v>
      </c>
    </row>
    <row r="3533" spans="1:4" ht="13.5">
      <c r="A3533" s="49">
        <v>94717</v>
      </c>
      <c r="B3533" s="48" t="s">
        <v>4796</v>
      </c>
      <c r="C3533" s="48" t="s">
        <v>6</v>
      </c>
      <c r="D3533" s="50">
        <v>43.81</v>
      </c>
    </row>
    <row r="3534" spans="1:4" ht="13.5">
      <c r="A3534" s="49">
        <v>94718</v>
      </c>
      <c r="B3534" s="48" t="s">
        <v>4797</v>
      </c>
      <c r="C3534" s="48" t="s">
        <v>6</v>
      </c>
      <c r="D3534" s="50">
        <v>53.98</v>
      </c>
    </row>
    <row r="3535" spans="1:4" ht="13.5">
      <c r="A3535" s="49">
        <v>94719</v>
      </c>
      <c r="B3535" s="48" t="s">
        <v>4798</v>
      </c>
      <c r="C3535" s="48" t="s">
        <v>6</v>
      </c>
      <c r="D3535" s="50">
        <v>71.599999999999994</v>
      </c>
    </row>
    <row r="3536" spans="1:4" ht="13.5">
      <c r="A3536" s="49">
        <v>94720</v>
      </c>
      <c r="B3536" s="48" t="s">
        <v>4799</v>
      </c>
      <c r="C3536" s="48" t="s">
        <v>6</v>
      </c>
      <c r="D3536" s="50">
        <v>107.47</v>
      </c>
    </row>
    <row r="3537" spans="1:4" ht="13.5">
      <c r="A3537" s="49">
        <v>94721</v>
      </c>
      <c r="B3537" s="48" t="s">
        <v>4800</v>
      </c>
      <c r="C3537" s="48" t="s">
        <v>6</v>
      </c>
      <c r="D3537" s="50">
        <v>159.11000000000001</v>
      </c>
    </row>
    <row r="3538" spans="1:4" ht="13.5">
      <c r="A3538" s="49">
        <v>94722</v>
      </c>
      <c r="B3538" s="48" t="s">
        <v>4801</v>
      </c>
      <c r="C3538" s="48" t="s">
        <v>6</v>
      </c>
      <c r="D3538" s="50">
        <v>275.89</v>
      </c>
    </row>
    <row r="3539" spans="1:4" ht="13.5">
      <c r="A3539" s="49">
        <v>95697</v>
      </c>
      <c r="B3539" s="48" t="s">
        <v>20752</v>
      </c>
      <c r="C3539" s="48" t="s">
        <v>6</v>
      </c>
      <c r="D3539" s="50">
        <v>119.7</v>
      </c>
    </row>
    <row r="3540" spans="1:4" ht="13.5">
      <c r="A3540" s="49">
        <v>96635</v>
      </c>
      <c r="B3540" s="48" t="s">
        <v>4802</v>
      </c>
      <c r="C3540" s="48" t="s">
        <v>6</v>
      </c>
      <c r="D3540" s="50">
        <v>30.4</v>
      </c>
    </row>
    <row r="3541" spans="1:4" ht="13.5">
      <c r="A3541" s="49">
        <v>96636</v>
      </c>
      <c r="B3541" s="48" t="s">
        <v>4803</v>
      </c>
      <c r="C3541" s="48" t="s">
        <v>6</v>
      </c>
      <c r="D3541" s="50">
        <v>31.81</v>
      </c>
    </row>
    <row r="3542" spans="1:4" ht="13.5">
      <c r="A3542" s="49">
        <v>96644</v>
      </c>
      <c r="B3542" s="48" t="s">
        <v>4804</v>
      </c>
      <c r="C3542" s="48" t="s">
        <v>6</v>
      </c>
      <c r="D3542" s="50">
        <v>21.76</v>
      </c>
    </row>
    <row r="3543" spans="1:4" ht="13.5">
      <c r="A3543" s="49">
        <v>96645</v>
      </c>
      <c r="B3543" s="48" t="s">
        <v>4805</v>
      </c>
      <c r="C3543" s="48" t="s">
        <v>6</v>
      </c>
      <c r="D3543" s="50">
        <v>27.96</v>
      </c>
    </row>
    <row r="3544" spans="1:4" ht="13.5">
      <c r="A3544" s="49">
        <v>96646</v>
      </c>
      <c r="B3544" s="48" t="s">
        <v>4806</v>
      </c>
      <c r="C3544" s="48" t="s">
        <v>6</v>
      </c>
      <c r="D3544" s="50">
        <v>43.15</v>
      </c>
    </row>
    <row r="3545" spans="1:4" ht="13.5">
      <c r="A3545" s="49">
        <v>96647</v>
      </c>
      <c r="B3545" s="48" t="s">
        <v>4807</v>
      </c>
      <c r="C3545" s="48" t="s">
        <v>6</v>
      </c>
      <c r="D3545" s="50">
        <v>20.2</v>
      </c>
    </row>
    <row r="3546" spans="1:4" ht="13.5">
      <c r="A3546" s="49">
        <v>96648</v>
      </c>
      <c r="B3546" s="48" t="s">
        <v>4808</v>
      </c>
      <c r="C3546" s="48" t="s">
        <v>6</v>
      </c>
      <c r="D3546" s="50">
        <v>35.94</v>
      </c>
    </row>
    <row r="3547" spans="1:4" ht="13.5">
      <c r="A3547" s="49">
        <v>96649</v>
      </c>
      <c r="B3547" s="48" t="s">
        <v>4809</v>
      </c>
      <c r="C3547" s="48" t="s">
        <v>6</v>
      </c>
      <c r="D3547" s="50">
        <v>52.14</v>
      </c>
    </row>
    <row r="3548" spans="1:4" ht="13.5">
      <c r="A3548" s="49">
        <v>96668</v>
      </c>
      <c r="B3548" s="48" t="s">
        <v>4810</v>
      </c>
      <c r="C3548" s="48" t="s">
        <v>6</v>
      </c>
      <c r="D3548" s="50">
        <v>15.74</v>
      </c>
    </row>
    <row r="3549" spans="1:4" ht="13.5">
      <c r="A3549" s="49">
        <v>96669</v>
      </c>
      <c r="B3549" s="48" t="s">
        <v>4811</v>
      </c>
      <c r="C3549" s="48" t="s">
        <v>6</v>
      </c>
      <c r="D3549" s="50">
        <v>19.61</v>
      </c>
    </row>
    <row r="3550" spans="1:4" ht="13.5">
      <c r="A3550" s="49">
        <v>96670</v>
      </c>
      <c r="B3550" s="48" t="s">
        <v>4812</v>
      </c>
      <c r="C3550" s="48" t="s">
        <v>6</v>
      </c>
      <c r="D3550" s="50">
        <v>29.81</v>
      </c>
    </row>
    <row r="3551" spans="1:4" ht="13.5">
      <c r="A3551" s="49">
        <v>96671</v>
      </c>
      <c r="B3551" s="48" t="s">
        <v>4813</v>
      </c>
      <c r="C3551" s="48" t="s">
        <v>6</v>
      </c>
      <c r="D3551" s="50">
        <v>39.76</v>
      </c>
    </row>
    <row r="3552" spans="1:4" ht="13.5">
      <c r="A3552" s="49">
        <v>96672</v>
      </c>
      <c r="B3552" s="48" t="s">
        <v>4814</v>
      </c>
      <c r="C3552" s="48" t="s">
        <v>6</v>
      </c>
      <c r="D3552" s="50">
        <v>58.21</v>
      </c>
    </row>
    <row r="3553" spans="1:4" ht="13.5">
      <c r="A3553" s="49">
        <v>96673</v>
      </c>
      <c r="B3553" s="48" t="s">
        <v>4815</v>
      </c>
      <c r="C3553" s="48" t="s">
        <v>6</v>
      </c>
      <c r="D3553" s="50">
        <v>95.74</v>
      </c>
    </row>
    <row r="3554" spans="1:4" ht="13.5">
      <c r="A3554" s="49">
        <v>96674</v>
      </c>
      <c r="B3554" s="48" t="s">
        <v>4816</v>
      </c>
      <c r="C3554" s="48" t="s">
        <v>6</v>
      </c>
      <c r="D3554" s="50">
        <v>134.41999999999999</v>
      </c>
    </row>
    <row r="3555" spans="1:4" ht="13.5">
      <c r="A3555" s="49">
        <v>96675</v>
      </c>
      <c r="B3555" s="48" t="s">
        <v>4817</v>
      </c>
      <c r="C3555" s="48" t="s">
        <v>6</v>
      </c>
      <c r="D3555" s="50">
        <v>234.93</v>
      </c>
    </row>
    <row r="3556" spans="1:4" ht="13.5">
      <c r="A3556" s="49">
        <v>96676</v>
      </c>
      <c r="B3556" s="48" t="s">
        <v>4818</v>
      </c>
      <c r="C3556" s="48" t="s">
        <v>6</v>
      </c>
      <c r="D3556" s="50">
        <v>15.69</v>
      </c>
    </row>
    <row r="3557" spans="1:4" ht="13.5">
      <c r="A3557" s="49">
        <v>96677</v>
      </c>
      <c r="B3557" s="48" t="s">
        <v>4819</v>
      </c>
      <c r="C3557" s="48" t="s">
        <v>6</v>
      </c>
      <c r="D3557" s="50">
        <v>26</v>
      </c>
    </row>
    <row r="3558" spans="1:4" ht="13.5">
      <c r="A3558" s="49">
        <v>96678</v>
      </c>
      <c r="B3558" s="48" t="s">
        <v>4820</v>
      </c>
      <c r="C3558" s="48" t="s">
        <v>6</v>
      </c>
      <c r="D3558" s="50">
        <v>36.1</v>
      </c>
    </row>
    <row r="3559" spans="1:4" ht="13.5">
      <c r="A3559" s="49">
        <v>96679</v>
      </c>
      <c r="B3559" s="48" t="s">
        <v>4821</v>
      </c>
      <c r="C3559" s="48" t="s">
        <v>6</v>
      </c>
      <c r="D3559" s="50">
        <v>52.62</v>
      </c>
    </row>
    <row r="3560" spans="1:4" ht="13.5">
      <c r="A3560" s="49">
        <v>96680</v>
      </c>
      <c r="B3560" s="48" t="s">
        <v>4822</v>
      </c>
      <c r="C3560" s="48" t="s">
        <v>6</v>
      </c>
      <c r="D3560" s="50">
        <v>70.53</v>
      </c>
    </row>
    <row r="3561" spans="1:4" ht="13.5">
      <c r="A3561" s="49">
        <v>96681</v>
      </c>
      <c r="B3561" s="48" t="s">
        <v>4823</v>
      </c>
      <c r="C3561" s="48" t="s">
        <v>6</v>
      </c>
      <c r="D3561" s="50">
        <v>133.05000000000001</v>
      </c>
    </row>
    <row r="3562" spans="1:4" ht="13.5">
      <c r="A3562" s="49">
        <v>96682</v>
      </c>
      <c r="B3562" s="48" t="s">
        <v>4824</v>
      </c>
      <c r="C3562" s="48" t="s">
        <v>6</v>
      </c>
      <c r="D3562" s="50">
        <v>196.48</v>
      </c>
    </row>
    <row r="3563" spans="1:4" ht="13.5">
      <c r="A3563" s="49">
        <v>96683</v>
      </c>
      <c r="B3563" s="48" t="s">
        <v>4825</v>
      </c>
      <c r="C3563" s="48" t="s">
        <v>6</v>
      </c>
      <c r="D3563" s="50">
        <v>268.27999999999997</v>
      </c>
    </row>
    <row r="3564" spans="1:4" ht="13.5">
      <c r="A3564" s="49">
        <v>96718</v>
      </c>
      <c r="B3564" s="48" t="s">
        <v>4826</v>
      </c>
      <c r="C3564" s="48" t="s">
        <v>6</v>
      </c>
      <c r="D3564" s="50">
        <v>10.61</v>
      </c>
    </row>
    <row r="3565" spans="1:4" ht="13.5">
      <c r="A3565" s="49">
        <v>96719</v>
      </c>
      <c r="B3565" s="48" t="s">
        <v>4827</v>
      </c>
      <c r="C3565" s="48" t="s">
        <v>6</v>
      </c>
      <c r="D3565" s="50">
        <v>19.149999999999999</v>
      </c>
    </row>
    <row r="3566" spans="1:4" ht="13.5">
      <c r="A3566" s="49">
        <v>96720</v>
      </c>
      <c r="B3566" s="48" t="s">
        <v>4828</v>
      </c>
      <c r="C3566" s="48" t="s">
        <v>6</v>
      </c>
      <c r="D3566" s="50">
        <v>23.39</v>
      </c>
    </row>
    <row r="3567" spans="1:4" ht="13.5">
      <c r="A3567" s="49">
        <v>96721</v>
      </c>
      <c r="B3567" s="48" t="s">
        <v>4830</v>
      </c>
      <c r="C3567" s="48" t="s">
        <v>6</v>
      </c>
      <c r="D3567" s="50">
        <v>32.49</v>
      </c>
    </row>
    <row r="3568" spans="1:4" ht="13.5">
      <c r="A3568" s="49">
        <v>96722</v>
      </c>
      <c r="B3568" s="48" t="s">
        <v>4831</v>
      </c>
      <c r="C3568" s="48" t="s">
        <v>6</v>
      </c>
      <c r="D3568" s="50">
        <v>43.89</v>
      </c>
    </row>
    <row r="3569" spans="1:4" ht="13.5">
      <c r="A3569" s="49">
        <v>96723</v>
      </c>
      <c r="B3569" s="48" t="s">
        <v>4832</v>
      </c>
      <c r="C3569" s="48" t="s">
        <v>6</v>
      </c>
      <c r="D3569" s="50">
        <v>59.82</v>
      </c>
    </row>
    <row r="3570" spans="1:4" ht="13.5">
      <c r="A3570" s="49">
        <v>96724</v>
      </c>
      <c r="B3570" s="48" t="s">
        <v>4833</v>
      </c>
      <c r="C3570" s="48" t="s">
        <v>6</v>
      </c>
      <c r="D3570" s="50">
        <v>97.61</v>
      </c>
    </row>
    <row r="3571" spans="1:4" ht="13.5">
      <c r="A3571" s="49">
        <v>96725</v>
      </c>
      <c r="B3571" s="48" t="s">
        <v>4834</v>
      </c>
      <c r="C3571" s="48" t="s">
        <v>6</v>
      </c>
      <c r="D3571" s="50">
        <v>130.85</v>
      </c>
    </row>
    <row r="3572" spans="1:4" ht="13.5">
      <c r="A3572" s="49">
        <v>96726</v>
      </c>
      <c r="B3572" s="48" t="s">
        <v>4835</v>
      </c>
      <c r="C3572" s="48" t="s">
        <v>6</v>
      </c>
      <c r="D3572" s="50">
        <v>213.8</v>
      </c>
    </row>
    <row r="3573" spans="1:4" ht="13.5">
      <c r="A3573" s="49">
        <v>96727</v>
      </c>
      <c r="B3573" s="48" t="s">
        <v>4836</v>
      </c>
      <c r="C3573" s="48" t="s">
        <v>6</v>
      </c>
      <c r="D3573" s="50">
        <v>15.92</v>
      </c>
    </row>
    <row r="3574" spans="1:4" ht="13.5">
      <c r="A3574" s="49">
        <v>96728</v>
      </c>
      <c r="B3574" s="48" t="s">
        <v>4837</v>
      </c>
      <c r="C3574" s="48" t="s">
        <v>6</v>
      </c>
      <c r="D3574" s="50">
        <v>19.61</v>
      </c>
    </row>
    <row r="3575" spans="1:4" ht="13.5">
      <c r="A3575" s="49">
        <v>96729</v>
      </c>
      <c r="B3575" s="48" t="s">
        <v>4838</v>
      </c>
      <c r="C3575" s="48" t="s">
        <v>6</v>
      </c>
      <c r="D3575" s="50">
        <v>30.37</v>
      </c>
    </row>
    <row r="3576" spans="1:4" ht="13.5">
      <c r="A3576" s="49">
        <v>96730</v>
      </c>
      <c r="B3576" s="48" t="s">
        <v>4839</v>
      </c>
      <c r="C3576" s="48" t="s">
        <v>6</v>
      </c>
      <c r="D3576" s="50">
        <v>39.299999999999997</v>
      </c>
    </row>
    <row r="3577" spans="1:4" ht="13.5">
      <c r="A3577" s="49">
        <v>96731</v>
      </c>
      <c r="B3577" s="48" t="s">
        <v>4840</v>
      </c>
      <c r="C3577" s="48" t="s">
        <v>6</v>
      </c>
      <c r="D3577" s="50">
        <v>57.29</v>
      </c>
    </row>
    <row r="3578" spans="1:4" ht="13.5">
      <c r="A3578" s="49">
        <v>96732</v>
      </c>
      <c r="B3578" s="48" t="s">
        <v>4841</v>
      </c>
      <c r="C3578" s="48" t="s">
        <v>6</v>
      </c>
      <c r="D3578" s="50">
        <v>72.400000000000006</v>
      </c>
    </row>
    <row r="3579" spans="1:4" ht="13.5">
      <c r="A3579" s="49">
        <v>96733</v>
      </c>
      <c r="B3579" s="48" t="s">
        <v>4842</v>
      </c>
      <c r="C3579" s="48" t="s">
        <v>6</v>
      </c>
      <c r="D3579" s="50">
        <v>133.94</v>
      </c>
    </row>
    <row r="3580" spans="1:4" ht="13.5">
      <c r="A3580" s="49">
        <v>96734</v>
      </c>
      <c r="B3580" s="48" t="s">
        <v>4843</v>
      </c>
      <c r="C3580" s="48" t="s">
        <v>6</v>
      </c>
      <c r="D3580" s="50">
        <v>189.62</v>
      </c>
    </row>
    <row r="3581" spans="1:4" ht="13.5">
      <c r="A3581" s="49">
        <v>96735</v>
      </c>
      <c r="B3581" s="48" t="s">
        <v>4844</v>
      </c>
      <c r="C3581" s="48" t="s">
        <v>6</v>
      </c>
      <c r="D3581" s="50">
        <v>244.84</v>
      </c>
    </row>
    <row r="3582" spans="1:4" ht="13.5">
      <c r="A3582" s="49">
        <v>96794</v>
      </c>
      <c r="B3582" s="48" t="s">
        <v>4845</v>
      </c>
      <c r="C3582" s="48" t="s">
        <v>6</v>
      </c>
      <c r="D3582" s="50">
        <v>8.98</v>
      </c>
    </row>
    <row r="3583" spans="1:4" ht="13.5">
      <c r="A3583" s="49">
        <v>96795</v>
      </c>
      <c r="B3583" s="48" t="s">
        <v>4846</v>
      </c>
      <c r="C3583" s="48" t="s">
        <v>6</v>
      </c>
      <c r="D3583" s="50">
        <v>11.47</v>
      </c>
    </row>
    <row r="3584" spans="1:4" ht="13.5">
      <c r="A3584" s="49">
        <v>96796</v>
      </c>
      <c r="B3584" s="48" t="s">
        <v>4847</v>
      </c>
      <c r="C3584" s="48" t="s">
        <v>6</v>
      </c>
      <c r="D3584" s="50">
        <v>16.190000000000001</v>
      </c>
    </row>
    <row r="3585" spans="1:4" ht="13.5">
      <c r="A3585" s="49">
        <v>96797</v>
      </c>
      <c r="B3585" s="48" t="s">
        <v>4848</v>
      </c>
      <c r="C3585" s="48" t="s">
        <v>6</v>
      </c>
      <c r="D3585" s="50">
        <v>24.68</v>
      </c>
    </row>
    <row r="3586" spans="1:4" ht="13.5">
      <c r="A3586" s="49">
        <v>96798</v>
      </c>
      <c r="B3586" s="48" t="s">
        <v>4849</v>
      </c>
      <c r="C3586" s="48" t="s">
        <v>6</v>
      </c>
      <c r="D3586" s="50">
        <v>9.1</v>
      </c>
    </row>
    <row r="3587" spans="1:4" ht="13.5">
      <c r="A3587" s="49">
        <v>96799</v>
      </c>
      <c r="B3587" s="48" t="s">
        <v>4850</v>
      </c>
      <c r="C3587" s="48" t="s">
        <v>6</v>
      </c>
      <c r="D3587" s="50">
        <v>12.15</v>
      </c>
    </row>
    <row r="3588" spans="1:4" ht="13.5">
      <c r="A3588" s="49">
        <v>96800</v>
      </c>
      <c r="B3588" s="48" t="s">
        <v>4851</v>
      </c>
      <c r="C3588" s="48" t="s">
        <v>6</v>
      </c>
      <c r="D3588" s="50">
        <v>17.600000000000001</v>
      </c>
    </row>
    <row r="3589" spans="1:4" ht="13.5">
      <c r="A3589" s="49">
        <v>96801</v>
      </c>
      <c r="B3589" s="48" t="s">
        <v>4852</v>
      </c>
      <c r="C3589" s="48" t="s">
        <v>6</v>
      </c>
      <c r="D3589" s="50">
        <v>27.11</v>
      </c>
    </row>
    <row r="3590" spans="1:4" ht="13.5">
      <c r="A3590" s="49">
        <v>97327</v>
      </c>
      <c r="B3590" s="48" t="s">
        <v>4853</v>
      </c>
      <c r="C3590" s="48" t="s">
        <v>6</v>
      </c>
      <c r="D3590" s="50">
        <v>30.13</v>
      </c>
    </row>
    <row r="3591" spans="1:4" ht="13.5">
      <c r="A3591" s="49">
        <v>97328</v>
      </c>
      <c r="B3591" s="48" t="s">
        <v>4854</v>
      </c>
      <c r="C3591" s="48" t="s">
        <v>6</v>
      </c>
      <c r="D3591" s="50">
        <v>50.45</v>
      </c>
    </row>
    <row r="3592" spans="1:4" ht="13.5">
      <c r="A3592" s="49">
        <v>97329</v>
      </c>
      <c r="B3592" s="48" t="s">
        <v>4855</v>
      </c>
      <c r="C3592" s="48" t="s">
        <v>6</v>
      </c>
      <c r="D3592" s="50">
        <v>64.489999999999995</v>
      </c>
    </row>
    <row r="3593" spans="1:4" ht="13.5">
      <c r="A3593" s="49">
        <v>97330</v>
      </c>
      <c r="B3593" s="48" t="s">
        <v>4856</v>
      </c>
      <c r="C3593" s="48" t="s">
        <v>6</v>
      </c>
      <c r="D3593" s="50">
        <v>79.06</v>
      </c>
    </row>
    <row r="3594" spans="1:4" ht="13.5">
      <c r="A3594" s="49">
        <v>97331</v>
      </c>
      <c r="B3594" s="48" t="s">
        <v>4857</v>
      </c>
      <c r="C3594" s="48" t="s">
        <v>6</v>
      </c>
      <c r="D3594" s="50">
        <v>30.4</v>
      </c>
    </row>
    <row r="3595" spans="1:4" ht="13.5">
      <c r="A3595" s="49">
        <v>97332</v>
      </c>
      <c r="B3595" s="48" t="s">
        <v>4858</v>
      </c>
      <c r="C3595" s="48" t="s">
        <v>6</v>
      </c>
      <c r="D3595" s="50">
        <v>50.76</v>
      </c>
    </row>
    <row r="3596" spans="1:4" ht="13.5">
      <c r="A3596" s="49">
        <v>97333</v>
      </c>
      <c r="B3596" s="48" t="s">
        <v>4859</v>
      </c>
      <c r="C3596" s="48" t="s">
        <v>6</v>
      </c>
      <c r="D3596" s="50">
        <v>64.89</v>
      </c>
    </row>
    <row r="3597" spans="1:4" ht="13.5">
      <c r="A3597" s="49">
        <v>97334</v>
      </c>
      <c r="B3597" s="48" t="s">
        <v>4860</v>
      </c>
      <c r="C3597" s="48" t="s">
        <v>6</v>
      </c>
      <c r="D3597" s="50">
        <v>79.48</v>
      </c>
    </row>
    <row r="3598" spans="1:4" ht="13.5">
      <c r="A3598" s="49">
        <v>97335</v>
      </c>
      <c r="B3598" s="48" t="s">
        <v>4861</v>
      </c>
      <c r="C3598" s="48" t="s">
        <v>6</v>
      </c>
      <c r="D3598" s="50">
        <v>93.09</v>
      </c>
    </row>
    <row r="3599" spans="1:4" ht="13.5">
      <c r="A3599" s="49">
        <v>97336</v>
      </c>
      <c r="B3599" s="48" t="s">
        <v>4862</v>
      </c>
      <c r="C3599" s="48" t="s">
        <v>6</v>
      </c>
      <c r="D3599" s="50">
        <v>118.28</v>
      </c>
    </row>
    <row r="3600" spans="1:4" ht="13.5">
      <c r="A3600" s="49">
        <v>97337</v>
      </c>
      <c r="B3600" s="48" t="s">
        <v>4863</v>
      </c>
      <c r="C3600" s="48" t="s">
        <v>6</v>
      </c>
      <c r="D3600" s="50">
        <v>177.93</v>
      </c>
    </row>
    <row r="3601" spans="1:4" ht="13.5">
      <c r="A3601" s="49">
        <v>97338</v>
      </c>
      <c r="B3601" s="48" t="s">
        <v>4864</v>
      </c>
      <c r="C3601" s="48" t="s">
        <v>6</v>
      </c>
      <c r="D3601" s="50">
        <v>213.93</v>
      </c>
    </row>
    <row r="3602" spans="1:4" ht="13.5">
      <c r="A3602" s="49">
        <v>97339</v>
      </c>
      <c r="B3602" s="48" t="s">
        <v>4865</v>
      </c>
      <c r="C3602" s="48" t="s">
        <v>6</v>
      </c>
      <c r="D3602" s="50">
        <v>229.87</v>
      </c>
    </row>
    <row r="3603" spans="1:4" ht="13.5">
      <c r="A3603" s="49">
        <v>97340</v>
      </c>
      <c r="B3603" s="48" t="s">
        <v>4866</v>
      </c>
      <c r="C3603" s="48" t="s">
        <v>6</v>
      </c>
      <c r="D3603" s="50">
        <v>230.53</v>
      </c>
    </row>
    <row r="3604" spans="1:4" ht="13.5">
      <c r="A3604" s="49">
        <v>97341</v>
      </c>
      <c r="B3604" s="48" t="s">
        <v>4867</v>
      </c>
      <c r="C3604" s="48" t="s">
        <v>6</v>
      </c>
      <c r="D3604" s="50">
        <v>61.28</v>
      </c>
    </row>
    <row r="3605" spans="1:4" ht="13.5">
      <c r="A3605" s="49">
        <v>97342</v>
      </c>
      <c r="B3605" s="48" t="s">
        <v>4868</v>
      </c>
      <c r="C3605" s="48" t="s">
        <v>6</v>
      </c>
      <c r="D3605" s="50">
        <v>96.88</v>
      </c>
    </row>
    <row r="3606" spans="1:4" ht="13.5">
      <c r="A3606" s="49">
        <v>97343</v>
      </c>
      <c r="B3606" s="48" t="s">
        <v>4869</v>
      </c>
      <c r="C3606" s="48" t="s">
        <v>6</v>
      </c>
      <c r="D3606" s="50">
        <v>122.36</v>
      </c>
    </row>
    <row r="3607" spans="1:4" ht="13.5">
      <c r="A3607" s="49">
        <v>97344</v>
      </c>
      <c r="B3607" s="48" t="s">
        <v>4870</v>
      </c>
      <c r="C3607" s="48" t="s">
        <v>6</v>
      </c>
      <c r="D3607" s="50">
        <v>69.62</v>
      </c>
    </row>
    <row r="3608" spans="1:4" ht="13.5">
      <c r="A3608" s="49">
        <v>97345</v>
      </c>
      <c r="B3608" s="48" t="s">
        <v>4871</v>
      </c>
      <c r="C3608" s="48" t="s">
        <v>6</v>
      </c>
      <c r="D3608" s="50">
        <v>111.2</v>
      </c>
    </row>
    <row r="3609" spans="1:4" ht="13.5">
      <c r="A3609" s="49">
        <v>97346</v>
      </c>
      <c r="B3609" s="48" t="s">
        <v>4872</v>
      </c>
      <c r="C3609" s="48" t="s">
        <v>6</v>
      </c>
      <c r="D3609" s="50">
        <v>141.87</v>
      </c>
    </row>
    <row r="3610" spans="1:4" ht="13.5">
      <c r="A3610" s="49">
        <v>97347</v>
      </c>
      <c r="B3610" s="48" t="s">
        <v>4873</v>
      </c>
      <c r="C3610" s="48" t="s">
        <v>6</v>
      </c>
      <c r="D3610" s="50">
        <v>112.27</v>
      </c>
    </row>
    <row r="3611" spans="1:4" ht="13.5">
      <c r="A3611" s="49">
        <v>97348</v>
      </c>
      <c r="B3611" s="48" t="s">
        <v>4874</v>
      </c>
      <c r="C3611" s="48" t="s">
        <v>6</v>
      </c>
      <c r="D3611" s="50">
        <v>155.19</v>
      </c>
    </row>
    <row r="3612" spans="1:4" ht="13.5">
      <c r="A3612" s="49">
        <v>97349</v>
      </c>
      <c r="B3612" s="48" t="s">
        <v>4875</v>
      </c>
      <c r="C3612" s="48" t="s">
        <v>6</v>
      </c>
      <c r="D3612" s="50">
        <v>223.88</v>
      </c>
    </row>
    <row r="3613" spans="1:4" ht="13.5">
      <c r="A3613" s="49">
        <v>97350</v>
      </c>
      <c r="B3613" s="48" t="s">
        <v>4876</v>
      </c>
      <c r="C3613" s="48" t="s">
        <v>6</v>
      </c>
      <c r="D3613" s="50">
        <v>271.88</v>
      </c>
    </row>
    <row r="3614" spans="1:4" ht="13.5">
      <c r="A3614" s="49">
        <v>97351</v>
      </c>
      <c r="B3614" s="48" t="s">
        <v>4877</v>
      </c>
      <c r="C3614" s="48" t="s">
        <v>6</v>
      </c>
      <c r="D3614" s="50">
        <v>376.08</v>
      </c>
    </row>
    <row r="3615" spans="1:4" ht="13.5">
      <c r="A3615" s="49">
        <v>97352</v>
      </c>
      <c r="B3615" s="48" t="s">
        <v>4878</v>
      </c>
      <c r="C3615" s="48" t="s">
        <v>6</v>
      </c>
      <c r="D3615" s="50">
        <v>487.52</v>
      </c>
    </row>
    <row r="3616" spans="1:4" ht="13.5">
      <c r="A3616" s="49">
        <v>97353</v>
      </c>
      <c r="B3616" s="48" t="s">
        <v>4879</v>
      </c>
      <c r="C3616" s="48" t="s">
        <v>6</v>
      </c>
      <c r="D3616" s="50">
        <v>72.64</v>
      </c>
    </row>
    <row r="3617" spans="1:4" ht="13.5">
      <c r="A3617" s="49">
        <v>97354</v>
      </c>
      <c r="B3617" s="48" t="s">
        <v>4880</v>
      </c>
      <c r="C3617" s="48" t="s">
        <v>6</v>
      </c>
      <c r="D3617" s="50">
        <v>116.06</v>
      </c>
    </row>
    <row r="3618" spans="1:4" ht="13.5">
      <c r="A3618" s="49">
        <v>97355</v>
      </c>
      <c r="B3618" s="48" t="s">
        <v>4881</v>
      </c>
      <c r="C3618" s="48" t="s">
        <v>6</v>
      </c>
      <c r="D3618" s="50">
        <v>159.27000000000001</v>
      </c>
    </row>
    <row r="3619" spans="1:4" ht="13.5">
      <c r="A3619" s="49">
        <v>97356</v>
      </c>
      <c r="B3619" s="48" t="s">
        <v>4882</v>
      </c>
      <c r="C3619" s="48" t="s">
        <v>6</v>
      </c>
      <c r="D3619" s="50">
        <v>80.98</v>
      </c>
    </row>
    <row r="3620" spans="1:4" ht="13.5">
      <c r="A3620" s="49">
        <v>97357</v>
      </c>
      <c r="B3620" s="48" t="s">
        <v>4883</v>
      </c>
      <c r="C3620" s="48" t="s">
        <v>6</v>
      </c>
      <c r="D3620" s="50">
        <v>130.38</v>
      </c>
    </row>
    <row r="3621" spans="1:4" ht="13.5">
      <c r="A3621" s="49">
        <v>97358</v>
      </c>
      <c r="B3621" s="48" t="s">
        <v>4884</v>
      </c>
      <c r="C3621" s="48" t="s">
        <v>6</v>
      </c>
      <c r="D3621" s="50">
        <v>178.78</v>
      </c>
    </row>
    <row r="3622" spans="1:4" ht="13.5">
      <c r="A3622" s="49">
        <v>97498</v>
      </c>
      <c r="B3622" s="48" t="s">
        <v>20753</v>
      </c>
      <c r="C3622" s="48" t="s">
        <v>6</v>
      </c>
      <c r="D3622" s="50">
        <v>67.349999999999994</v>
      </c>
    </row>
    <row r="3623" spans="1:4" ht="13.5">
      <c r="A3623" s="49">
        <v>97535</v>
      </c>
      <c r="B3623" s="48" t="s">
        <v>20754</v>
      </c>
      <c r="C3623" s="48" t="s">
        <v>6</v>
      </c>
      <c r="D3623" s="50">
        <v>71.14</v>
      </c>
    </row>
    <row r="3624" spans="1:4" ht="13.5">
      <c r="A3624" s="49">
        <v>97536</v>
      </c>
      <c r="B3624" s="48" t="s">
        <v>20755</v>
      </c>
      <c r="C3624" s="48" t="s">
        <v>6</v>
      </c>
      <c r="D3624" s="50">
        <v>79.87</v>
      </c>
    </row>
    <row r="3625" spans="1:4" ht="13.5">
      <c r="A3625" s="49">
        <v>100788</v>
      </c>
      <c r="B3625" s="48" t="s">
        <v>4885</v>
      </c>
      <c r="C3625" s="48" t="s">
        <v>32</v>
      </c>
      <c r="D3625" s="50">
        <v>691.53</v>
      </c>
    </row>
    <row r="3626" spans="1:4" ht="13.5">
      <c r="A3626" s="49">
        <v>100791</v>
      </c>
      <c r="B3626" s="48" t="s">
        <v>4886</v>
      </c>
      <c r="C3626" s="48" t="s">
        <v>6</v>
      </c>
      <c r="D3626" s="50">
        <v>18.47</v>
      </c>
    </row>
    <row r="3627" spans="1:4" ht="13.5">
      <c r="A3627" s="49">
        <v>100792</v>
      </c>
      <c r="B3627" s="48" t="s">
        <v>4887</v>
      </c>
      <c r="C3627" s="48" t="s">
        <v>6</v>
      </c>
      <c r="D3627" s="50">
        <v>27.46</v>
      </c>
    </row>
    <row r="3628" spans="1:4" ht="13.5">
      <c r="A3628" s="49">
        <v>100793</v>
      </c>
      <c r="B3628" s="48" t="s">
        <v>4888</v>
      </c>
      <c r="C3628" s="48" t="s">
        <v>6</v>
      </c>
      <c r="D3628" s="50">
        <v>36.64</v>
      </c>
    </row>
    <row r="3629" spans="1:4" ht="13.5">
      <c r="A3629" s="49">
        <v>100794</v>
      </c>
      <c r="B3629" s="48" t="s">
        <v>4889</v>
      </c>
      <c r="C3629" s="48" t="s">
        <v>6</v>
      </c>
      <c r="D3629" s="50">
        <v>49.66</v>
      </c>
    </row>
    <row r="3630" spans="1:4" ht="13.5">
      <c r="A3630" s="49">
        <v>100799</v>
      </c>
      <c r="B3630" s="48" t="s">
        <v>20756</v>
      </c>
      <c r="C3630" s="48" t="s">
        <v>6</v>
      </c>
      <c r="D3630" s="50">
        <v>18.86</v>
      </c>
    </row>
    <row r="3631" spans="1:4" ht="13.5">
      <c r="A3631" s="49">
        <v>100800</v>
      </c>
      <c r="B3631" s="48" t="s">
        <v>20757</v>
      </c>
      <c r="C3631" s="48" t="s">
        <v>6</v>
      </c>
      <c r="D3631" s="50">
        <v>27.85</v>
      </c>
    </row>
    <row r="3632" spans="1:4" ht="13.5">
      <c r="A3632" s="49">
        <v>100801</v>
      </c>
      <c r="B3632" s="48" t="s">
        <v>20758</v>
      </c>
      <c r="C3632" s="48" t="s">
        <v>6</v>
      </c>
      <c r="D3632" s="50">
        <v>37.03</v>
      </c>
    </row>
    <row r="3633" spans="1:4" ht="13.5">
      <c r="A3633" s="49">
        <v>100802</v>
      </c>
      <c r="B3633" s="48" t="s">
        <v>20759</v>
      </c>
      <c r="C3633" s="48" t="s">
        <v>6</v>
      </c>
      <c r="D3633" s="50">
        <v>50.05</v>
      </c>
    </row>
    <row r="3634" spans="1:4" ht="13.5">
      <c r="A3634" s="49">
        <v>100803</v>
      </c>
      <c r="B3634" s="48" t="s">
        <v>4890</v>
      </c>
      <c r="C3634" s="48" t="s">
        <v>6</v>
      </c>
      <c r="D3634" s="50">
        <v>17.670000000000002</v>
      </c>
    </row>
    <row r="3635" spans="1:4" ht="13.5">
      <c r="A3635" s="49">
        <v>100804</v>
      </c>
      <c r="B3635" s="48" t="s">
        <v>4891</v>
      </c>
      <c r="C3635" s="48" t="s">
        <v>6</v>
      </c>
      <c r="D3635" s="50">
        <v>26.51</v>
      </c>
    </row>
    <row r="3636" spans="1:4" ht="13.5">
      <c r="A3636" s="49">
        <v>100805</v>
      </c>
      <c r="B3636" s="48" t="s">
        <v>4892</v>
      </c>
      <c r="C3636" s="48" t="s">
        <v>6</v>
      </c>
      <c r="D3636" s="50">
        <v>35.5</v>
      </c>
    </row>
    <row r="3637" spans="1:4" ht="13.5">
      <c r="A3637" s="49">
        <v>100806</v>
      </c>
      <c r="B3637" s="48" t="s">
        <v>4893</v>
      </c>
      <c r="C3637" s="48" t="s">
        <v>6</v>
      </c>
      <c r="D3637" s="50">
        <v>48.26</v>
      </c>
    </row>
    <row r="3638" spans="1:4" ht="13.5">
      <c r="A3638" s="49">
        <v>100807</v>
      </c>
      <c r="B3638" s="48" t="s">
        <v>20760</v>
      </c>
      <c r="C3638" s="48" t="s">
        <v>6</v>
      </c>
      <c r="D3638" s="50">
        <v>23.43</v>
      </c>
    </row>
    <row r="3639" spans="1:4" ht="13.5">
      <c r="A3639" s="49">
        <v>100808</v>
      </c>
      <c r="B3639" s="48" t="s">
        <v>20761</v>
      </c>
      <c r="C3639" s="48" t="s">
        <v>6</v>
      </c>
      <c r="D3639" s="50">
        <v>33.28</v>
      </c>
    </row>
    <row r="3640" spans="1:4" ht="13.5">
      <c r="A3640" s="49">
        <v>100809</v>
      </c>
      <c r="B3640" s="48" t="s">
        <v>20762</v>
      </c>
      <c r="C3640" s="48" t="s">
        <v>6</v>
      </c>
      <c r="D3640" s="50">
        <v>43.52</v>
      </c>
    </row>
    <row r="3641" spans="1:4" ht="13.5">
      <c r="A3641" s="49">
        <v>100810</v>
      </c>
      <c r="B3641" s="48" t="s">
        <v>20763</v>
      </c>
      <c r="C3641" s="48" t="s">
        <v>6</v>
      </c>
      <c r="D3641" s="50">
        <v>58.03</v>
      </c>
    </row>
    <row r="3642" spans="1:4" ht="13.5">
      <c r="A3642" s="49">
        <v>101918</v>
      </c>
      <c r="B3642" s="48" t="s">
        <v>20764</v>
      </c>
      <c r="C3642" s="48" t="s">
        <v>6</v>
      </c>
      <c r="D3642" s="50">
        <v>320.67</v>
      </c>
    </row>
    <row r="3643" spans="1:4" ht="13.5">
      <c r="A3643" s="49">
        <v>101919</v>
      </c>
      <c r="B3643" s="48" t="s">
        <v>20765</v>
      </c>
      <c r="C3643" s="48" t="s">
        <v>32</v>
      </c>
      <c r="D3643" s="50">
        <v>362.81</v>
      </c>
    </row>
    <row r="3644" spans="1:4" ht="13.5">
      <c r="A3644" s="49">
        <v>101920</v>
      </c>
      <c r="B3644" s="48" t="s">
        <v>20766</v>
      </c>
      <c r="C3644" s="48" t="s">
        <v>32</v>
      </c>
      <c r="D3644" s="50">
        <v>170.69</v>
      </c>
    </row>
    <row r="3645" spans="1:4" ht="13.5">
      <c r="A3645" s="49">
        <v>101921</v>
      </c>
      <c r="B3645" s="48" t="s">
        <v>20767</v>
      </c>
      <c r="C3645" s="48" t="s">
        <v>32</v>
      </c>
      <c r="D3645" s="50">
        <v>195.43</v>
      </c>
    </row>
    <row r="3646" spans="1:4" ht="13.5">
      <c r="A3646" s="49">
        <v>101922</v>
      </c>
      <c r="B3646" s="48" t="s">
        <v>20768</v>
      </c>
      <c r="C3646" s="48" t="s">
        <v>32</v>
      </c>
      <c r="D3646" s="50">
        <v>195.43</v>
      </c>
    </row>
    <row r="3647" spans="1:4" ht="13.5">
      <c r="A3647" s="49">
        <v>101923</v>
      </c>
      <c r="B3647" s="48" t="s">
        <v>20769</v>
      </c>
      <c r="C3647" s="48" t="s">
        <v>32</v>
      </c>
      <c r="D3647" s="50">
        <v>195.43</v>
      </c>
    </row>
    <row r="3648" spans="1:4" ht="13.5">
      <c r="A3648" s="49">
        <v>101924</v>
      </c>
      <c r="B3648" s="48" t="s">
        <v>20770</v>
      </c>
      <c r="C3648" s="48" t="s">
        <v>32</v>
      </c>
      <c r="D3648" s="50">
        <v>160.34</v>
      </c>
    </row>
    <row r="3649" spans="1:4" ht="13.5">
      <c r="A3649" s="49">
        <v>101925</v>
      </c>
      <c r="B3649" s="48" t="s">
        <v>20771</v>
      </c>
      <c r="C3649" s="48" t="s">
        <v>32</v>
      </c>
      <c r="D3649" s="50">
        <v>268.89999999999998</v>
      </c>
    </row>
    <row r="3650" spans="1:4" ht="13.5">
      <c r="A3650" s="49">
        <v>101926</v>
      </c>
      <c r="B3650" s="48" t="s">
        <v>20772</v>
      </c>
      <c r="C3650" s="48" t="s">
        <v>32</v>
      </c>
      <c r="D3650" s="50">
        <v>346.4</v>
      </c>
    </row>
    <row r="3651" spans="1:4" ht="13.5">
      <c r="A3651" s="49">
        <v>101927</v>
      </c>
      <c r="B3651" s="48" t="s">
        <v>20773</v>
      </c>
      <c r="C3651" s="48" t="s">
        <v>6</v>
      </c>
      <c r="D3651" s="50">
        <v>308.83</v>
      </c>
    </row>
    <row r="3652" spans="1:4" ht="13.5">
      <c r="A3652" s="49">
        <v>101928</v>
      </c>
      <c r="B3652" s="48" t="s">
        <v>20774</v>
      </c>
      <c r="C3652" s="48" t="s">
        <v>32</v>
      </c>
      <c r="D3652" s="50">
        <v>367.34</v>
      </c>
    </row>
    <row r="3653" spans="1:4" ht="13.5">
      <c r="A3653" s="49">
        <v>101929</v>
      </c>
      <c r="B3653" s="48" t="s">
        <v>20775</v>
      </c>
      <c r="C3653" s="48" t="s">
        <v>32</v>
      </c>
      <c r="D3653" s="50">
        <v>175.22</v>
      </c>
    </row>
    <row r="3654" spans="1:4" ht="13.5">
      <c r="A3654" s="49">
        <v>101930</v>
      </c>
      <c r="B3654" s="48" t="s">
        <v>20776</v>
      </c>
      <c r="C3654" s="48" t="s">
        <v>32</v>
      </c>
      <c r="D3654" s="50">
        <v>199.96</v>
      </c>
    </row>
    <row r="3655" spans="1:4" ht="13.5">
      <c r="A3655" s="49">
        <v>101931</v>
      </c>
      <c r="B3655" s="48" t="s">
        <v>20777</v>
      </c>
      <c r="C3655" s="48" t="s">
        <v>32</v>
      </c>
      <c r="D3655" s="50">
        <v>199.96</v>
      </c>
    </row>
    <row r="3656" spans="1:4" ht="13.5">
      <c r="A3656" s="49">
        <v>101932</v>
      </c>
      <c r="B3656" s="48" t="s">
        <v>20778</v>
      </c>
      <c r="C3656" s="48" t="s">
        <v>32</v>
      </c>
      <c r="D3656" s="50">
        <v>199.96</v>
      </c>
    </row>
    <row r="3657" spans="1:4" ht="13.5">
      <c r="A3657" s="49">
        <v>101933</v>
      </c>
      <c r="B3657" s="48" t="s">
        <v>20779</v>
      </c>
      <c r="C3657" s="48" t="s">
        <v>32</v>
      </c>
      <c r="D3657" s="50">
        <v>164.87</v>
      </c>
    </row>
    <row r="3658" spans="1:4" ht="13.5">
      <c r="A3658" s="49">
        <v>101934</v>
      </c>
      <c r="B3658" s="48" t="s">
        <v>20780</v>
      </c>
      <c r="C3658" s="48" t="s">
        <v>32</v>
      </c>
      <c r="D3658" s="50">
        <v>275.7</v>
      </c>
    </row>
    <row r="3659" spans="1:4" ht="13.5">
      <c r="A3659" s="49">
        <v>101935</v>
      </c>
      <c r="B3659" s="48" t="s">
        <v>20781</v>
      </c>
      <c r="C3659" s="48" t="s">
        <v>32</v>
      </c>
      <c r="D3659" s="50">
        <v>355.47</v>
      </c>
    </row>
    <row r="3660" spans="1:4" ht="13.5">
      <c r="A3660" s="49">
        <v>89358</v>
      </c>
      <c r="B3660" s="48" t="s">
        <v>4895</v>
      </c>
      <c r="C3660" s="48" t="s">
        <v>32</v>
      </c>
      <c r="D3660" s="50">
        <v>6.89</v>
      </c>
    </row>
    <row r="3661" spans="1:4" ht="13.5">
      <c r="A3661" s="49">
        <v>89359</v>
      </c>
      <c r="B3661" s="48" t="s">
        <v>4896</v>
      </c>
      <c r="C3661" s="48" t="s">
        <v>32</v>
      </c>
      <c r="D3661" s="50">
        <v>7.46</v>
      </c>
    </row>
    <row r="3662" spans="1:4" ht="13.5">
      <c r="A3662" s="49">
        <v>89360</v>
      </c>
      <c r="B3662" s="48" t="s">
        <v>4897</v>
      </c>
      <c r="C3662" s="48" t="s">
        <v>32</v>
      </c>
      <c r="D3662" s="50">
        <v>9.8800000000000008</v>
      </c>
    </row>
    <row r="3663" spans="1:4" ht="13.5">
      <c r="A3663" s="49">
        <v>89361</v>
      </c>
      <c r="B3663" s="48" t="s">
        <v>4898</v>
      </c>
      <c r="C3663" s="48" t="s">
        <v>32</v>
      </c>
      <c r="D3663" s="50">
        <v>8.93</v>
      </c>
    </row>
    <row r="3664" spans="1:4" ht="13.5">
      <c r="A3664" s="49">
        <v>89362</v>
      </c>
      <c r="B3664" s="48" t="s">
        <v>4899</v>
      </c>
      <c r="C3664" s="48" t="s">
        <v>32</v>
      </c>
      <c r="D3664" s="50">
        <v>8.2799999999999994</v>
      </c>
    </row>
    <row r="3665" spans="1:4" ht="13.5">
      <c r="A3665" s="49">
        <v>89363</v>
      </c>
      <c r="B3665" s="48" t="s">
        <v>4900</v>
      </c>
      <c r="C3665" s="48" t="s">
        <v>32</v>
      </c>
      <c r="D3665" s="50">
        <v>9.52</v>
      </c>
    </row>
    <row r="3666" spans="1:4" ht="13.5">
      <c r="A3666" s="49">
        <v>89364</v>
      </c>
      <c r="B3666" s="48" t="s">
        <v>4901</v>
      </c>
      <c r="C3666" s="48" t="s">
        <v>32</v>
      </c>
      <c r="D3666" s="50">
        <v>12.07</v>
      </c>
    </row>
    <row r="3667" spans="1:4" ht="13.5">
      <c r="A3667" s="49">
        <v>89365</v>
      </c>
      <c r="B3667" s="48" t="s">
        <v>4902</v>
      </c>
      <c r="C3667" s="48" t="s">
        <v>32</v>
      </c>
      <c r="D3667" s="50">
        <v>10.93</v>
      </c>
    </row>
    <row r="3668" spans="1:4" ht="13.5">
      <c r="A3668" s="49">
        <v>89366</v>
      </c>
      <c r="B3668" s="48" t="s">
        <v>4903</v>
      </c>
      <c r="C3668" s="48" t="s">
        <v>32</v>
      </c>
      <c r="D3668" s="50">
        <v>18.809999999999999</v>
      </c>
    </row>
    <row r="3669" spans="1:4" ht="13.5">
      <c r="A3669" s="49">
        <v>89367</v>
      </c>
      <c r="B3669" s="48" t="s">
        <v>4904</v>
      </c>
      <c r="C3669" s="48" t="s">
        <v>32</v>
      </c>
      <c r="D3669" s="50">
        <v>12.16</v>
      </c>
    </row>
    <row r="3670" spans="1:4" ht="13.5">
      <c r="A3670" s="49">
        <v>89368</v>
      </c>
      <c r="B3670" s="48" t="s">
        <v>4905</v>
      </c>
      <c r="C3670" s="48" t="s">
        <v>32</v>
      </c>
      <c r="D3670" s="50">
        <v>15.63</v>
      </c>
    </row>
    <row r="3671" spans="1:4" ht="13.5">
      <c r="A3671" s="49">
        <v>89369</v>
      </c>
      <c r="B3671" s="48" t="s">
        <v>4906</v>
      </c>
      <c r="C3671" s="48" t="s">
        <v>32</v>
      </c>
      <c r="D3671" s="50">
        <v>19.920000000000002</v>
      </c>
    </row>
    <row r="3672" spans="1:4" ht="13.5">
      <c r="A3672" s="49">
        <v>89370</v>
      </c>
      <c r="B3672" s="48" t="s">
        <v>4907</v>
      </c>
      <c r="C3672" s="48" t="s">
        <v>32</v>
      </c>
      <c r="D3672" s="50">
        <v>14.9</v>
      </c>
    </row>
    <row r="3673" spans="1:4" ht="13.5">
      <c r="A3673" s="49">
        <v>89371</v>
      </c>
      <c r="B3673" s="48" t="s">
        <v>4908</v>
      </c>
      <c r="C3673" s="48" t="s">
        <v>32</v>
      </c>
      <c r="D3673" s="50">
        <v>5.38</v>
      </c>
    </row>
    <row r="3674" spans="1:4" ht="13.5">
      <c r="A3674" s="49">
        <v>89372</v>
      </c>
      <c r="B3674" s="48" t="s">
        <v>4909</v>
      </c>
      <c r="C3674" s="48" t="s">
        <v>32</v>
      </c>
      <c r="D3674" s="50">
        <v>16.809999999999999</v>
      </c>
    </row>
    <row r="3675" spans="1:4" ht="13.5">
      <c r="A3675" s="49">
        <v>89373</v>
      </c>
      <c r="B3675" s="48" t="s">
        <v>4910</v>
      </c>
      <c r="C3675" s="48" t="s">
        <v>32</v>
      </c>
      <c r="D3675" s="50">
        <v>6.42</v>
      </c>
    </row>
    <row r="3676" spans="1:4" ht="13.5">
      <c r="A3676" s="49">
        <v>89374</v>
      </c>
      <c r="B3676" s="48" t="s">
        <v>4911</v>
      </c>
      <c r="C3676" s="48" t="s">
        <v>32</v>
      </c>
      <c r="D3676" s="50">
        <v>12.61</v>
      </c>
    </row>
    <row r="3677" spans="1:4" ht="13.5">
      <c r="A3677" s="49">
        <v>89375</v>
      </c>
      <c r="B3677" s="48" t="s">
        <v>4912</v>
      </c>
      <c r="C3677" s="48" t="s">
        <v>32</v>
      </c>
      <c r="D3677" s="50">
        <v>16.350000000000001</v>
      </c>
    </row>
    <row r="3678" spans="1:4" ht="13.5">
      <c r="A3678" s="49">
        <v>89376</v>
      </c>
      <c r="B3678" s="48" t="s">
        <v>4913</v>
      </c>
      <c r="C3678" s="48" t="s">
        <v>32</v>
      </c>
      <c r="D3678" s="50">
        <v>5.49</v>
      </c>
    </row>
    <row r="3679" spans="1:4" ht="13.5">
      <c r="A3679" s="49">
        <v>89377</v>
      </c>
      <c r="B3679" s="48" t="s">
        <v>4915</v>
      </c>
      <c r="C3679" s="48" t="s">
        <v>32</v>
      </c>
      <c r="D3679" s="50">
        <v>11.02</v>
      </c>
    </row>
    <row r="3680" spans="1:4" ht="13.5">
      <c r="A3680" s="49">
        <v>89378</v>
      </c>
      <c r="B3680" s="48" t="s">
        <v>4916</v>
      </c>
      <c r="C3680" s="48" t="s">
        <v>32</v>
      </c>
      <c r="D3680" s="50">
        <v>6.41</v>
      </c>
    </row>
    <row r="3681" spans="1:4" ht="13.5">
      <c r="A3681" s="49">
        <v>89379</v>
      </c>
      <c r="B3681" s="48" t="s">
        <v>4917</v>
      </c>
      <c r="C3681" s="48" t="s">
        <v>32</v>
      </c>
      <c r="D3681" s="50">
        <v>21.64</v>
      </c>
    </row>
    <row r="3682" spans="1:4" ht="13.5">
      <c r="A3682" s="49">
        <v>89380</v>
      </c>
      <c r="B3682" s="48" t="s">
        <v>4918</v>
      </c>
      <c r="C3682" s="48" t="s">
        <v>32</v>
      </c>
      <c r="D3682" s="50">
        <v>11.09</v>
      </c>
    </row>
    <row r="3683" spans="1:4" ht="13.5">
      <c r="A3683" s="49">
        <v>89381</v>
      </c>
      <c r="B3683" s="48" t="s">
        <v>4919</v>
      </c>
      <c r="C3683" s="48" t="s">
        <v>32</v>
      </c>
      <c r="D3683" s="50">
        <v>16.04</v>
      </c>
    </row>
    <row r="3684" spans="1:4" ht="13.5">
      <c r="A3684" s="49">
        <v>89382</v>
      </c>
      <c r="B3684" s="48" t="s">
        <v>4920</v>
      </c>
      <c r="C3684" s="48" t="s">
        <v>32</v>
      </c>
      <c r="D3684" s="50">
        <v>19.53</v>
      </c>
    </row>
    <row r="3685" spans="1:4" ht="13.5">
      <c r="A3685" s="49">
        <v>89383</v>
      </c>
      <c r="B3685" s="48" t="s">
        <v>4921</v>
      </c>
      <c r="C3685" s="48" t="s">
        <v>32</v>
      </c>
      <c r="D3685" s="50">
        <v>6.56</v>
      </c>
    </row>
    <row r="3686" spans="1:4" ht="13.5">
      <c r="A3686" s="49">
        <v>89384</v>
      </c>
      <c r="B3686" s="48" t="s">
        <v>4922</v>
      </c>
      <c r="C3686" s="48" t="s">
        <v>32</v>
      </c>
      <c r="D3686" s="50">
        <v>16.29</v>
      </c>
    </row>
    <row r="3687" spans="1:4" ht="13.5">
      <c r="A3687" s="49">
        <v>89385</v>
      </c>
      <c r="B3687" s="48" t="s">
        <v>4923</v>
      </c>
      <c r="C3687" s="48" t="s">
        <v>32</v>
      </c>
      <c r="D3687" s="50">
        <v>7.77</v>
      </c>
    </row>
    <row r="3688" spans="1:4" ht="13.5">
      <c r="A3688" s="49">
        <v>89386</v>
      </c>
      <c r="B3688" s="48" t="s">
        <v>4925</v>
      </c>
      <c r="C3688" s="48" t="s">
        <v>32</v>
      </c>
      <c r="D3688" s="50">
        <v>9.4</v>
      </c>
    </row>
    <row r="3689" spans="1:4" ht="13.5">
      <c r="A3689" s="49">
        <v>89387</v>
      </c>
      <c r="B3689" s="48" t="s">
        <v>4926</v>
      </c>
      <c r="C3689" s="48" t="s">
        <v>32</v>
      </c>
      <c r="D3689" s="50">
        <v>45.75</v>
      </c>
    </row>
    <row r="3690" spans="1:4" ht="13.5">
      <c r="A3690" s="49">
        <v>89388</v>
      </c>
      <c r="B3690" s="48" t="s">
        <v>4927</v>
      </c>
      <c r="C3690" s="48" t="s">
        <v>32</v>
      </c>
      <c r="D3690" s="50">
        <v>13.51</v>
      </c>
    </row>
    <row r="3691" spans="1:4" ht="13.5">
      <c r="A3691" s="49">
        <v>89389</v>
      </c>
      <c r="B3691" s="48" t="s">
        <v>4928</v>
      </c>
      <c r="C3691" s="48" t="s">
        <v>32</v>
      </c>
      <c r="D3691" s="50">
        <v>14.92</v>
      </c>
    </row>
    <row r="3692" spans="1:4" ht="13.5">
      <c r="A3692" s="49">
        <v>89390</v>
      </c>
      <c r="B3692" s="48" t="s">
        <v>4929</v>
      </c>
      <c r="C3692" s="48" t="s">
        <v>32</v>
      </c>
      <c r="D3692" s="50">
        <v>29.9</v>
      </c>
    </row>
    <row r="3693" spans="1:4" ht="13.5">
      <c r="A3693" s="49">
        <v>89391</v>
      </c>
      <c r="B3693" s="48" t="s">
        <v>4930</v>
      </c>
      <c r="C3693" s="48" t="s">
        <v>32</v>
      </c>
      <c r="D3693" s="50">
        <v>9.23</v>
      </c>
    </row>
    <row r="3694" spans="1:4" ht="13.5">
      <c r="A3694" s="49">
        <v>89392</v>
      </c>
      <c r="B3694" s="48" t="s">
        <v>4931</v>
      </c>
      <c r="C3694" s="48" t="s">
        <v>32</v>
      </c>
      <c r="D3694" s="50">
        <v>36.159999999999997</v>
      </c>
    </row>
    <row r="3695" spans="1:4" ht="13.5">
      <c r="A3695" s="49">
        <v>89393</v>
      </c>
      <c r="B3695" s="48" t="s">
        <v>4932</v>
      </c>
      <c r="C3695" s="48" t="s">
        <v>32</v>
      </c>
      <c r="D3695" s="50">
        <v>9.74</v>
      </c>
    </row>
    <row r="3696" spans="1:4" ht="13.5">
      <c r="A3696" s="49">
        <v>89394</v>
      </c>
      <c r="B3696" s="48" t="s">
        <v>4933</v>
      </c>
      <c r="C3696" s="48" t="s">
        <v>32</v>
      </c>
      <c r="D3696" s="50">
        <v>24</v>
      </c>
    </row>
    <row r="3697" spans="1:4" ht="13.5">
      <c r="A3697" s="49">
        <v>89395</v>
      </c>
      <c r="B3697" s="48" t="s">
        <v>4934</v>
      </c>
      <c r="C3697" s="48" t="s">
        <v>32</v>
      </c>
      <c r="D3697" s="50">
        <v>11.71</v>
      </c>
    </row>
    <row r="3698" spans="1:4" ht="13.5">
      <c r="A3698" s="49">
        <v>89396</v>
      </c>
      <c r="B3698" s="48" t="s">
        <v>4935</v>
      </c>
      <c r="C3698" s="48" t="s">
        <v>32</v>
      </c>
      <c r="D3698" s="50">
        <v>23.92</v>
      </c>
    </row>
    <row r="3699" spans="1:4" ht="13.5">
      <c r="A3699" s="49">
        <v>89397</v>
      </c>
      <c r="B3699" s="48" t="s">
        <v>4936</v>
      </c>
      <c r="C3699" s="48" t="s">
        <v>32</v>
      </c>
      <c r="D3699" s="50">
        <v>14.97</v>
      </c>
    </row>
    <row r="3700" spans="1:4" ht="13.5">
      <c r="A3700" s="49">
        <v>89398</v>
      </c>
      <c r="B3700" s="48" t="s">
        <v>4937</v>
      </c>
      <c r="C3700" s="48" t="s">
        <v>32</v>
      </c>
      <c r="D3700" s="50">
        <v>18.54</v>
      </c>
    </row>
    <row r="3701" spans="1:4" ht="13.5">
      <c r="A3701" s="49">
        <v>89399</v>
      </c>
      <c r="B3701" s="48" t="s">
        <v>4938</v>
      </c>
      <c r="C3701" s="48" t="s">
        <v>32</v>
      </c>
      <c r="D3701" s="50">
        <v>39.25</v>
      </c>
    </row>
    <row r="3702" spans="1:4" ht="13.5">
      <c r="A3702" s="49">
        <v>89400</v>
      </c>
      <c r="B3702" s="48" t="s">
        <v>4939</v>
      </c>
      <c r="C3702" s="48" t="s">
        <v>32</v>
      </c>
      <c r="D3702" s="50">
        <v>21.77</v>
      </c>
    </row>
    <row r="3703" spans="1:4" ht="13.5">
      <c r="A3703" s="49">
        <v>89404</v>
      </c>
      <c r="B3703" s="48" t="s">
        <v>4940</v>
      </c>
      <c r="C3703" s="48" t="s">
        <v>32</v>
      </c>
      <c r="D3703" s="50">
        <v>4.82</v>
      </c>
    </row>
    <row r="3704" spans="1:4" ht="13.5">
      <c r="A3704" s="49">
        <v>89405</v>
      </c>
      <c r="B3704" s="48" t="s">
        <v>4941</v>
      </c>
      <c r="C3704" s="48" t="s">
        <v>32</v>
      </c>
      <c r="D3704" s="50">
        <v>5.39</v>
      </c>
    </row>
    <row r="3705" spans="1:4" ht="13.5">
      <c r="A3705" s="49">
        <v>89406</v>
      </c>
      <c r="B3705" s="48" t="s">
        <v>4942</v>
      </c>
      <c r="C3705" s="48" t="s">
        <v>32</v>
      </c>
      <c r="D3705" s="50">
        <v>7.81</v>
      </c>
    </row>
    <row r="3706" spans="1:4" ht="13.5">
      <c r="A3706" s="49">
        <v>89407</v>
      </c>
      <c r="B3706" s="48" t="s">
        <v>4943</v>
      </c>
      <c r="C3706" s="48" t="s">
        <v>32</v>
      </c>
      <c r="D3706" s="50">
        <v>6.86</v>
      </c>
    </row>
    <row r="3707" spans="1:4" ht="13.5">
      <c r="A3707" s="49">
        <v>89408</v>
      </c>
      <c r="B3707" s="48" t="s">
        <v>4944</v>
      </c>
      <c r="C3707" s="48" t="s">
        <v>32</v>
      </c>
      <c r="D3707" s="50">
        <v>5.89</v>
      </c>
    </row>
    <row r="3708" spans="1:4" ht="13.5">
      <c r="A3708" s="49">
        <v>89409</v>
      </c>
      <c r="B3708" s="48" t="s">
        <v>4945</v>
      </c>
      <c r="C3708" s="48" t="s">
        <v>32</v>
      </c>
      <c r="D3708" s="50">
        <v>7.13</v>
      </c>
    </row>
    <row r="3709" spans="1:4" ht="13.5">
      <c r="A3709" s="49">
        <v>89410</v>
      </c>
      <c r="B3709" s="48" t="s">
        <v>4946</v>
      </c>
      <c r="C3709" s="48" t="s">
        <v>32</v>
      </c>
      <c r="D3709" s="50">
        <v>9.68</v>
      </c>
    </row>
    <row r="3710" spans="1:4" ht="13.5">
      <c r="A3710" s="49">
        <v>89411</v>
      </c>
      <c r="B3710" s="48" t="s">
        <v>4947</v>
      </c>
      <c r="C3710" s="48" t="s">
        <v>32</v>
      </c>
      <c r="D3710" s="50">
        <v>8.5399999999999991</v>
      </c>
    </row>
    <row r="3711" spans="1:4" ht="13.5">
      <c r="A3711" s="49">
        <v>89412</v>
      </c>
      <c r="B3711" s="48" t="s">
        <v>4948</v>
      </c>
      <c r="C3711" s="48" t="s">
        <v>32</v>
      </c>
      <c r="D3711" s="50">
        <v>10.1</v>
      </c>
    </row>
    <row r="3712" spans="1:4" ht="13.5">
      <c r="A3712" s="49">
        <v>89413</v>
      </c>
      <c r="B3712" s="48" t="s">
        <v>4949</v>
      </c>
      <c r="C3712" s="48" t="s">
        <v>32</v>
      </c>
      <c r="D3712" s="50">
        <v>9.3000000000000007</v>
      </c>
    </row>
    <row r="3713" spans="1:4" ht="13.5">
      <c r="A3713" s="49">
        <v>89414</v>
      </c>
      <c r="B3713" s="48" t="s">
        <v>4950</v>
      </c>
      <c r="C3713" s="48" t="s">
        <v>32</v>
      </c>
      <c r="D3713" s="50">
        <v>12.77</v>
      </c>
    </row>
    <row r="3714" spans="1:4" ht="13.5">
      <c r="A3714" s="49">
        <v>89415</v>
      </c>
      <c r="B3714" s="48" t="s">
        <v>4951</v>
      </c>
      <c r="C3714" s="48" t="s">
        <v>32</v>
      </c>
      <c r="D3714" s="50">
        <v>17.059999999999999</v>
      </c>
    </row>
    <row r="3715" spans="1:4" ht="13.5">
      <c r="A3715" s="49">
        <v>89416</v>
      </c>
      <c r="B3715" s="48" t="s">
        <v>4952</v>
      </c>
      <c r="C3715" s="48" t="s">
        <v>32</v>
      </c>
      <c r="D3715" s="50">
        <v>12.04</v>
      </c>
    </row>
    <row r="3716" spans="1:4" ht="13.5">
      <c r="A3716" s="49">
        <v>89417</v>
      </c>
      <c r="B3716" s="48" t="s">
        <v>4953</v>
      </c>
      <c r="C3716" s="48" t="s">
        <v>32</v>
      </c>
      <c r="D3716" s="50">
        <v>4.03</v>
      </c>
    </row>
    <row r="3717" spans="1:4" ht="13.5">
      <c r="A3717" s="49">
        <v>89418</v>
      </c>
      <c r="B3717" s="48" t="s">
        <v>4954</v>
      </c>
      <c r="C3717" s="48" t="s">
        <v>32</v>
      </c>
      <c r="D3717" s="50">
        <v>15.46</v>
      </c>
    </row>
    <row r="3718" spans="1:4" ht="13.5">
      <c r="A3718" s="49">
        <v>89419</v>
      </c>
      <c r="B3718" s="48" t="s">
        <v>4955</v>
      </c>
      <c r="C3718" s="48" t="s">
        <v>32</v>
      </c>
      <c r="D3718" s="50">
        <v>5.07</v>
      </c>
    </row>
    <row r="3719" spans="1:4" ht="13.5">
      <c r="A3719" s="49">
        <v>89420</v>
      </c>
      <c r="B3719" s="48" t="s">
        <v>4956</v>
      </c>
      <c r="C3719" s="48" t="s">
        <v>32</v>
      </c>
      <c r="D3719" s="50">
        <v>11.26</v>
      </c>
    </row>
    <row r="3720" spans="1:4" ht="13.5">
      <c r="A3720" s="49">
        <v>89421</v>
      </c>
      <c r="B3720" s="48" t="s">
        <v>4957</v>
      </c>
      <c r="C3720" s="48" t="s">
        <v>32</v>
      </c>
      <c r="D3720" s="50">
        <v>15</v>
      </c>
    </row>
    <row r="3721" spans="1:4" ht="13.5">
      <c r="A3721" s="49">
        <v>89422</v>
      </c>
      <c r="B3721" s="48" t="s">
        <v>4958</v>
      </c>
      <c r="C3721" s="48" t="s">
        <v>32</v>
      </c>
      <c r="D3721" s="50">
        <v>4.1399999999999997</v>
      </c>
    </row>
    <row r="3722" spans="1:4" ht="13.5">
      <c r="A3722" s="49">
        <v>89423</v>
      </c>
      <c r="B3722" s="48" t="s">
        <v>4959</v>
      </c>
      <c r="C3722" s="48" t="s">
        <v>32</v>
      </c>
      <c r="D3722" s="50">
        <v>10.130000000000001</v>
      </c>
    </row>
    <row r="3723" spans="1:4" ht="13.5">
      <c r="A3723" s="49">
        <v>89424</v>
      </c>
      <c r="B3723" s="48" t="s">
        <v>4960</v>
      </c>
      <c r="C3723" s="48" t="s">
        <v>32</v>
      </c>
      <c r="D3723" s="50">
        <v>4.8099999999999996</v>
      </c>
    </row>
    <row r="3724" spans="1:4" ht="13.5">
      <c r="A3724" s="49">
        <v>89425</v>
      </c>
      <c r="B3724" s="48" t="s">
        <v>4961</v>
      </c>
      <c r="C3724" s="48" t="s">
        <v>32</v>
      </c>
      <c r="D3724" s="50">
        <v>20.04</v>
      </c>
    </row>
    <row r="3725" spans="1:4" ht="13.5">
      <c r="A3725" s="49">
        <v>89426</v>
      </c>
      <c r="B3725" s="48" t="s">
        <v>4962</v>
      </c>
      <c r="C3725" s="48" t="s">
        <v>32</v>
      </c>
      <c r="D3725" s="50">
        <v>9.49</v>
      </c>
    </row>
    <row r="3726" spans="1:4" ht="13.5">
      <c r="A3726" s="49">
        <v>89427</v>
      </c>
      <c r="B3726" s="48" t="s">
        <v>4963</v>
      </c>
      <c r="C3726" s="48" t="s">
        <v>32</v>
      </c>
      <c r="D3726" s="50">
        <v>14.44</v>
      </c>
    </row>
    <row r="3727" spans="1:4" ht="13.5">
      <c r="A3727" s="49">
        <v>89428</v>
      </c>
      <c r="B3727" s="48" t="s">
        <v>4964</v>
      </c>
      <c r="C3727" s="48" t="s">
        <v>32</v>
      </c>
      <c r="D3727" s="50">
        <v>17.93</v>
      </c>
    </row>
    <row r="3728" spans="1:4" ht="13.5">
      <c r="A3728" s="49">
        <v>89429</v>
      </c>
      <c r="B3728" s="48" t="s">
        <v>4965</v>
      </c>
      <c r="C3728" s="48" t="s">
        <v>32</v>
      </c>
      <c r="D3728" s="50">
        <v>4.96</v>
      </c>
    </row>
    <row r="3729" spans="1:4" ht="13.5">
      <c r="A3729" s="49">
        <v>89430</v>
      </c>
      <c r="B3729" s="48" t="s">
        <v>4966</v>
      </c>
      <c r="C3729" s="48" t="s">
        <v>32</v>
      </c>
      <c r="D3729" s="50">
        <v>14.69</v>
      </c>
    </row>
    <row r="3730" spans="1:4" ht="13.5">
      <c r="A3730" s="49">
        <v>89431</v>
      </c>
      <c r="B3730" s="48" t="s">
        <v>4967</v>
      </c>
      <c r="C3730" s="48" t="s">
        <v>32</v>
      </c>
      <c r="D3730" s="50">
        <v>7.48</v>
      </c>
    </row>
    <row r="3731" spans="1:4" ht="13.5">
      <c r="A3731" s="49">
        <v>89432</v>
      </c>
      <c r="B3731" s="48" t="s">
        <v>4968</v>
      </c>
      <c r="C3731" s="48" t="s">
        <v>32</v>
      </c>
      <c r="D3731" s="50">
        <v>43.83</v>
      </c>
    </row>
    <row r="3732" spans="1:4" ht="13.5">
      <c r="A3732" s="49">
        <v>89433</v>
      </c>
      <c r="B3732" s="48" t="s">
        <v>4969</v>
      </c>
      <c r="C3732" s="48" t="s">
        <v>32</v>
      </c>
      <c r="D3732" s="50">
        <v>11.59</v>
      </c>
    </row>
    <row r="3733" spans="1:4" ht="13.5">
      <c r="A3733" s="49">
        <v>89434</v>
      </c>
      <c r="B3733" s="48" t="s">
        <v>4970</v>
      </c>
      <c r="C3733" s="48" t="s">
        <v>32</v>
      </c>
      <c r="D3733" s="50">
        <v>13</v>
      </c>
    </row>
    <row r="3734" spans="1:4" ht="13.5">
      <c r="A3734" s="49">
        <v>89435</v>
      </c>
      <c r="B3734" s="48" t="s">
        <v>4971</v>
      </c>
      <c r="C3734" s="48" t="s">
        <v>32</v>
      </c>
      <c r="D3734" s="50">
        <v>27.98</v>
      </c>
    </row>
    <row r="3735" spans="1:4" ht="13.5">
      <c r="A3735" s="49">
        <v>89436</v>
      </c>
      <c r="B3735" s="48" t="s">
        <v>4972</v>
      </c>
      <c r="C3735" s="48" t="s">
        <v>32</v>
      </c>
      <c r="D3735" s="50">
        <v>7.31</v>
      </c>
    </row>
    <row r="3736" spans="1:4" ht="13.5">
      <c r="A3736" s="49">
        <v>89437</v>
      </c>
      <c r="B3736" s="48" t="s">
        <v>4973</v>
      </c>
      <c r="C3736" s="48" t="s">
        <v>32</v>
      </c>
      <c r="D3736" s="50">
        <v>34.24</v>
      </c>
    </row>
    <row r="3737" spans="1:4" ht="13.5">
      <c r="A3737" s="49">
        <v>89438</v>
      </c>
      <c r="B3737" s="48" t="s">
        <v>4974</v>
      </c>
      <c r="C3737" s="48" t="s">
        <v>32</v>
      </c>
      <c r="D3737" s="50">
        <v>6.99</v>
      </c>
    </row>
    <row r="3738" spans="1:4" ht="13.5">
      <c r="A3738" s="49">
        <v>89439</v>
      </c>
      <c r="B3738" s="48" t="s">
        <v>4975</v>
      </c>
      <c r="C3738" s="48" t="s">
        <v>32</v>
      </c>
      <c r="D3738" s="50">
        <v>10.26</v>
      </c>
    </row>
    <row r="3739" spans="1:4" ht="13.5">
      <c r="A3739" s="49">
        <v>89440</v>
      </c>
      <c r="B3739" s="48" t="s">
        <v>4976</v>
      </c>
      <c r="C3739" s="48" t="s">
        <v>32</v>
      </c>
      <c r="D3739" s="50">
        <v>8.5299999999999994</v>
      </c>
    </row>
    <row r="3740" spans="1:4" ht="13.5">
      <c r="A3740" s="49">
        <v>89441</v>
      </c>
      <c r="B3740" s="48" t="s">
        <v>4977</v>
      </c>
      <c r="C3740" s="48" t="s">
        <v>32</v>
      </c>
      <c r="D3740" s="50">
        <v>20.74</v>
      </c>
    </row>
    <row r="3741" spans="1:4" ht="13.5">
      <c r="A3741" s="49">
        <v>89442</v>
      </c>
      <c r="B3741" s="48" t="s">
        <v>4978</v>
      </c>
      <c r="C3741" s="48" t="s">
        <v>32</v>
      </c>
      <c r="D3741" s="50">
        <v>11.79</v>
      </c>
    </row>
    <row r="3742" spans="1:4" ht="13.5">
      <c r="A3742" s="49">
        <v>89443</v>
      </c>
      <c r="B3742" s="48" t="s">
        <v>4979</v>
      </c>
      <c r="C3742" s="48" t="s">
        <v>32</v>
      </c>
      <c r="D3742" s="50">
        <v>14.74</v>
      </c>
    </row>
    <row r="3743" spans="1:4" ht="13.5">
      <c r="A3743" s="49">
        <v>89444</v>
      </c>
      <c r="B3743" s="48" t="s">
        <v>4980</v>
      </c>
      <c r="C3743" s="48" t="s">
        <v>32</v>
      </c>
      <c r="D3743" s="50">
        <v>35.450000000000003</v>
      </c>
    </row>
    <row r="3744" spans="1:4" ht="13.5">
      <c r="A3744" s="49">
        <v>89445</v>
      </c>
      <c r="B3744" s="48" t="s">
        <v>4981</v>
      </c>
      <c r="C3744" s="48" t="s">
        <v>32</v>
      </c>
      <c r="D3744" s="50">
        <v>17.97</v>
      </c>
    </row>
    <row r="3745" spans="1:4" ht="13.5">
      <c r="A3745" s="49">
        <v>89481</v>
      </c>
      <c r="B3745" s="48" t="s">
        <v>4982</v>
      </c>
      <c r="C3745" s="48" t="s">
        <v>32</v>
      </c>
      <c r="D3745" s="50">
        <v>4.6900000000000004</v>
      </c>
    </row>
    <row r="3746" spans="1:4" ht="13.5">
      <c r="A3746" s="49">
        <v>89485</v>
      </c>
      <c r="B3746" s="48" t="s">
        <v>4983</v>
      </c>
      <c r="C3746" s="48" t="s">
        <v>32</v>
      </c>
      <c r="D3746" s="50">
        <v>5.93</v>
      </c>
    </row>
    <row r="3747" spans="1:4" ht="13.5">
      <c r="A3747" s="49">
        <v>89489</v>
      </c>
      <c r="B3747" s="48" t="s">
        <v>4984</v>
      </c>
      <c r="C3747" s="48" t="s">
        <v>32</v>
      </c>
      <c r="D3747" s="50">
        <v>8.48</v>
      </c>
    </row>
    <row r="3748" spans="1:4" ht="13.5">
      <c r="A3748" s="49">
        <v>89490</v>
      </c>
      <c r="B3748" s="48" t="s">
        <v>4985</v>
      </c>
      <c r="C3748" s="48" t="s">
        <v>32</v>
      </c>
      <c r="D3748" s="50">
        <v>7.34</v>
      </c>
    </row>
    <row r="3749" spans="1:4" ht="13.5">
      <c r="A3749" s="49">
        <v>89492</v>
      </c>
      <c r="B3749" s="48" t="s">
        <v>4986</v>
      </c>
      <c r="C3749" s="48" t="s">
        <v>32</v>
      </c>
      <c r="D3749" s="50">
        <v>7.94</v>
      </c>
    </row>
    <row r="3750" spans="1:4" ht="13.5">
      <c r="A3750" s="49">
        <v>89493</v>
      </c>
      <c r="B3750" s="48" t="s">
        <v>4987</v>
      </c>
      <c r="C3750" s="48" t="s">
        <v>32</v>
      </c>
      <c r="D3750" s="50">
        <v>11.41</v>
      </c>
    </row>
    <row r="3751" spans="1:4" ht="13.5">
      <c r="A3751" s="49">
        <v>89494</v>
      </c>
      <c r="B3751" s="48" t="s">
        <v>4988</v>
      </c>
      <c r="C3751" s="48" t="s">
        <v>32</v>
      </c>
      <c r="D3751" s="50">
        <v>15.7</v>
      </c>
    </row>
    <row r="3752" spans="1:4" ht="13.5">
      <c r="A3752" s="49">
        <v>89496</v>
      </c>
      <c r="B3752" s="48" t="s">
        <v>4989</v>
      </c>
      <c r="C3752" s="48" t="s">
        <v>32</v>
      </c>
      <c r="D3752" s="50">
        <v>10.68</v>
      </c>
    </row>
    <row r="3753" spans="1:4" ht="13.5">
      <c r="A3753" s="49">
        <v>89497</v>
      </c>
      <c r="B3753" s="48" t="s">
        <v>4990</v>
      </c>
      <c r="C3753" s="48" t="s">
        <v>32</v>
      </c>
      <c r="D3753" s="50">
        <v>13.87</v>
      </c>
    </row>
    <row r="3754" spans="1:4" ht="13.5">
      <c r="A3754" s="49">
        <v>89498</v>
      </c>
      <c r="B3754" s="48" t="s">
        <v>4991</v>
      </c>
      <c r="C3754" s="48" t="s">
        <v>32</v>
      </c>
      <c r="D3754" s="50">
        <v>15.45</v>
      </c>
    </row>
    <row r="3755" spans="1:4" ht="13.5">
      <c r="A3755" s="49">
        <v>89499</v>
      </c>
      <c r="B3755" s="48" t="s">
        <v>4992</v>
      </c>
      <c r="C3755" s="48" t="s">
        <v>32</v>
      </c>
      <c r="D3755" s="50">
        <v>25.54</v>
      </c>
    </row>
    <row r="3756" spans="1:4" ht="13.5">
      <c r="A3756" s="49">
        <v>89500</v>
      </c>
      <c r="B3756" s="48" t="s">
        <v>4993</v>
      </c>
      <c r="C3756" s="48" t="s">
        <v>32</v>
      </c>
      <c r="D3756" s="50">
        <v>15.76</v>
      </c>
    </row>
    <row r="3757" spans="1:4" ht="13.5">
      <c r="A3757" s="49">
        <v>89501</v>
      </c>
      <c r="B3757" s="48" t="s">
        <v>4994</v>
      </c>
      <c r="C3757" s="48" t="s">
        <v>32</v>
      </c>
      <c r="D3757" s="50">
        <v>16.39</v>
      </c>
    </row>
    <row r="3758" spans="1:4" ht="13.5">
      <c r="A3758" s="49">
        <v>89502</v>
      </c>
      <c r="B3758" s="48" t="s">
        <v>4995</v>
      </c>
      <c r="C3758" s="48" t="s">
        <v>32</v>
      </c>
      <c r="D3758" s="50">
        <v>19.239999999999998</v>
      </c>
    </row>
    <row r="3759" spans="1:4" ht="13.5">
      <c r="A3759" s="49">
        <v>89503</v>
      </c>
      <c r="B3759" s="48" t="s">
        <v>4996</v>
      </c>
      <c r="C3759" s="48" t="s">
        <v>32</v>
      </c>
      <c r="D3759" s="50">
        <v>31.76</v>
      </c>
    </row>
    <row r="3760" spans="1:4" ht="13.5">
      <c r="A3760" s="49">
        <v>89504</v>
      </c>
      <c r="B3760" s="48" t="s">
        <v>4997</v>
      </c>
      <c r="C3760" s="48" t="s">
        <v>32</v>
      </c>
      <c r="D3760" s="50">
        <v>27.23</v>
      </c>
    </row>
    <row r="3761" spans="1:4" ht="13.5">
      <c r="A3761" s="49">
        <v>89505</v>
      </c>
      <c r="B3761" s="48" t="s">
        <v>4998</v>
      </c>
      <c r="C3761" s="48" t="s">
        <v>32</v>
      </c>
      <c r="D3761" s="50">
        <v>48.55</v>
      </c>
    </row>
    <row r="3762" spans="1:4" ht="13.5">
      <c r="A3762" s="49">
        <v>89506</v>
      </c>
      <c r="B3762" s="48" t="s">
        <v>4999</v>
      </c>
      <c r="C3762" s="48" t="s">
        <v>32</v>
      </c>
      <c r="D3762" s="50">
        <v>55.38</v>
      </c>
    </row>
    <row r="3763" spans="1:4" ht="13.5">
      <c r="A3763" s="49">
        <v>89507</v>
      </c>
      <c r="B3763" s="48" t="s">
        <v>5000</v>
      </c>
      <c r="C3763" s="48" t="s">
        <v>32</v>
      </c>
      <c r="D3763" s="50">
        <v>69.61</v>
      </c>
    </row>
    <row r="3764" spans="1:4" ht="13.5">
      <c r="A3764" s="49">
        <v>89510</v>
      </c>
      <c r="B3764" s="48" t="s">
        <v>5001</v>
      </c>
      <c r="C3764" s="48" t="s">
        <v>32</v>
      </c>
      <c r="D3764" s="50">
        <v>43.51</v>
      </c>
    </row>
    <row r="3765" spans="1:4" ht="13.5">
      <c r="A3765" s="49">
        <v>89513</v>
      </c>
      <c r="B3765" s="48" t="s">
        <v>5002</v>
      </c>
      <c r="C3765" s="48" t="s">
        <v>32</v>
      </c>
      <c r="D3765" s="50">
        <v>161.01</v>
      </c>
    </row>
    <row r="3766" spans="1:4" ht="13.5">
      <c r="A3766" s="49">
        <v>89514</v>
      </c>
      <c r="B3766" s="48" t="s">
        <v>5003</v>
      </c>
      <c r="C3766" s="48" t="s">
        <v>32</v>
      </c>
      <c r="D3766" s="50">
        <v>12.98</v>
      </c>
    </row>
    <row r="3767" spans="1:4" ht="13.5">
      <c r="A3767" s="49">
        <v>89515</v>
      </c>
      <c r="B3767" s="48" t="s">
        <v>5004</v>
      </c>
      <c r="C3767" s="48" t="s">
        <v>32</v>
      </c>
      <c r="D3767" s="50">
        <v>119.4</v>
      </c>
    </row>
    <row r="3768" spans="1:4" ht="13.5">
      <c r="A3768" s="49">
        <v>89516</v>
      </c>
      <c r="B3768" s="48" t="s">
        <v>5005</v>
      </c>
      <c r="C3768" s="48" t="s">
        <v>32</v>
      </c>
      <c r="D3768" s="50">
        <v>10.96</v>
      </c>
    </row>
    <row r="3769" spans="1:4" ht="13.5">
      <c r="A3769" s="49">
        <v>89517</v>
      </c>
      <c r="B3769" s="48" t="s">
        <v>5006</v>
      </c>
      <c r="C3769" s="48" t="s">
        <v>32</v>
      </c>
      <c r="D3769" s="50">
        <v>99.17</v>
      </c>
    </row>
    <row r="3770" spans="1:4" ht="13.5">
      <c r="A3770" s="49">
        <v>89518</v>
      </c>
      <c r="B3770" s="48" t="s">
        <v>5007</v>
      </c>
      <c r="C3770" s="48" t="s">
        <v>32</v>
      </c>
      <c r="D3770" s="50">
        <v>19.329999999999998</v>
      </c>
    </row>
    <row r="3771" spans="1:4" ht="13.5">
      <c r="A3771" s="49">
        <v>89519</v>
      </c>
      <c r="B3771" s="48" t="s">
        <v>5008</v>
      </c>
      <c r="C3771" s="48" t="s">
        <v>32</v>
      </c>
      <c r="D3771" s="50">
        <v>64.239999999999995</v>
      </c>
    </row>
    <row r="3772" spans="1:4" ht="13.5">
      <c r="A3772" s="49">
        <v>89520</v>
      </c>
      <c r="B3772" s="48" t="s">
        <v>5009</v>
      </c>
      <c r="C3772" s="48" t="s">
        <v>32</v>
      </c>
      <c r="D3772" s="50">
        <v>16.670000000000002</v>
      </c>
    </row>
    <row r="3773" spans="1:4" ht="13.5">
      <c r="A3773" s="49">
        <v>89521</v>
      </c>
      <c r="B3773" s="48" t="s">
        <v>5010</v>
      </c>
      <c r="C3773" s="48" t="s">
        <v>32</v>
      </c>
      <c r="D3773" s="50">
        <v>190.08</v>
      </c>
    </row>
    <row r="3774" spans="1:4" ht="13.5">
      <c r="A3774" s="49">
        <v>89522</v>
      </c>
      <c r="B3774" s="48" t="s">
        <v>5011</v>
      </c>
      <c r="C3774" s="48" t="s">
        <v>32</v>
      </c>
      <c r="D3774" s="50">
        <v>38.53</v>
      </c>
    </row>
    <row r="3775" spans="1:4" ht="13.5">
      <c r="A3775" s="49">
        <v>89523</v>
      </c>
      <c r="B3775" s="48" t="s">
        <v>5012</v>
      </c>
      <c r="C3775" s="48" t="s">
        <v>32</v>
      </c>
      <c r="D3775" s="50">
        <v>141.09</v>
      </c>
    </row>
    <row r="3776" spans="1:4" ht="13.5">
      <c r="A3776" s="49">
        <v>89524</v>
      </c>
      <c r="B3776" s="48" t="s">
        <v>5013</v>
      </c>
      <c r="C3776" s="48" t="s">
        <v>32</v>
      </c>
      <c r="D3776" s="50">
        <v>33.44</v>
      </c>
    </row>
    <row r="3777" spans="1:4" ht="13.5">
      <c r="A3777" s="49">
        <v>89525</v>
      </c>
      <c r="B3777" s="48" t="s">
        <v>5014</v>
      </c>
      <c r="C3777" s="48" t="s">
        <v>32</v>
      </c>
      <c r="D3777" s="50">
        <v>138.6</v>
      </c>
    </row>
    <row r="3778" spans="1:4" ht="13.5">
      <c r="A3778" s="49">
        <v>89526</v>
      </c>
      <c r="B3778" s="48" t="s">
        <v>5015</v>
      </c>
      <c r="C3778" s="48" t="s">
        <v>32</v>
      </c>
      <c r="D3778" s="50">
        <v>52.01</v>
      </c>
    </row>
    <row r="3779" spans="1:4" ht="13.5">
      <c r="A3779" s="49">
        <v>89527</v>
      </c>
      <c r="B3779" s="48" t="s">
        <v>5016</v>
      </c>
      <c r="C3779" s="48" t="s">
        <v>32</v>
      </c>
      <c r="D3779" s="50">
        <v>104.24</v>
      </c>
    </row>
    <row r="3780" spans="1:4" ht="13.5">
      <c r="A3780" s="49">
        <v>89528</v>
      </c>
      <c r="B3780" s="48" t="s">
        <v>5017</v>
      </c>
      <c r="C3780" s="48" t="s">
        <v>32</v>
      </c>
      <c r="D3780" s="50">
        <v>3.99</v>
      </c>
    </row>
    <row r="3781" spans="1:4" ht="13.5">
      <c r="A3781" s="49">
        <v>89529</v>
      </c>
      <c r="B3781" s="48" t="s">
        <v>5018</v>
      </c>
      <c r="C3781" s="48" t="s">
        <v>32</v>
      </c>
      <c r="D3781" s="50">
        <v>58.24</v>
      </c>
    </row>
    <row r="3782" spans="1:4" ht="13.5">
      <c r="A3782" s="49">
        <v>89530</v>
      </c>
      <c r="B3782" s="48" t="s">
        <v>5019</v>
      </c>
      <c r="C3782" s="48" t="s">
        <v>32</v>
      </c>
      <c r="D3782" s="50">
        <v>19.22</v>
      </c>
    </row>
    <row r="3783" spans="1:4" ht="13.5">
      <c r="A3783" s="49">
        <v>89531</v>
      </c>
      <c r="B3783" s="48" t="s">
        <v>5020</v>
      </c>
      <c r="C3783" s="48" t="s">
        <v>32</v>
      </c>
      <c r="D3783" s="50">
        <v>45.85</v>
      </c>
    </row>
    <row r="3784" spans="1:4" ht="13.5">
      <c r="A3784" s="49">
        <v>89532</v>
      </c>
      <c r="B3784" s="48" t="s">
        <v>5021</v>
      </c>
      <c r="C3784" s="48" t="s">
        <v>32</v>
      </c>
      <c r="D3784" s="50">
        <v>8.67</v>
      </c>
    </row>
    <row r="3785" spans="1:4" ht="13.5">
      <c r="A3785" s="49">
        <v>89533</v>
      </c>
      <c r="B3785" s="48" t="s">
        <v>5022</v>
      </c>
      <c r="C3785" s="48" t="s">
        <v>32</v>
      </c>
      <c r="D3785" s="50">
        <v>45.85</v>
      </c>
    </row>
    <row r="3786" spans="1:4" ht="13.5">
      <c r="A3786" s="49">
        <v>89534</v>
      </c>
      <c r="B3786" s="48" t="s">
        <v>5023</v>
      </c>
      <c r="C3786" s="48" t="s">
        <v>32</v>
      </c>
      <c r="D3786" s="50">
        <v>5.35</v>
      </c>
    </row>
    <row r="3787" spans="1:4" ht="13.5">
      <c r="A3787" s="49">
        <v>89535</v>
      </c>
      <c r="B3787" s="48" t="s">
        <v>5024</v>
      </c>
      <c r="C3787" s="48" t="s">
        <v>32</v>
      </c>
      <c r="D3787" s="50">
        <v>77.680000000000007</v>
      </c>
    </row>
    <row r="3788" spans="1:4" ht="13.5">
      <c r="A3788" s="49">
        <v>89536</v>
      </c>
      <c r="B3788" s="48" t="s">
        <v>5025</v>
      </c>
      <c r="C3788" s="48" t="s">
        <v>32</v>
      </c>
      <c r="D3788" s="50">
        <v>17.11</v>
      </c>
    </row>
    <row r="3789" spans="1:4" ht="13.5">
      <c r="A3789" s="49">
        <v>89538</v>
      </c>
      <c r="B3789" s="48" t="s">
        <v>5026</v>
      </c>
      <c r="C3789" s="48" t="s">
        <v>32</v>
      </c>
      <c r="D3789" s="50">
        <v>4.1399999999999997</v>
      </c>
    </row>
    <row r="3790" spans="1:4" ht="13.5">
      <c r="A3790" s="49">
        <v>89539</v>
      </c>
      <c r="B3790" s="48" t="s">
        <v>20782</v>
      </c>
      <c r="C3790" s="48" t="s">
        <v>32</v>
      </c>
      <c r="D3790" s="50">
        <v>49.3</v>
      </c>
    </row>
    <row r="3791" spans="1:4" ht="13.5">
      <c r="A3791" s="49">
        <v>89540</v>
      </c>
      <c r="B3791" s="48" t="s">
        <v>5027</v>
      </c>
      <c r="C3791" s="48" t="s">
        <v>32</v>
      </c>
      <c r="D3791" s="50">
        <v>13.87</v>
      </c>
    </row>
    <row r="3792" spans="1:4" ht="13.5">
      <c r="A3792" s="49">
        <v>89541</v>
      </c>
      <c r="B3792" s="48" t="s">
        <v>5028</v>
      </c>
      <c r="C3792" s="48" t="s">
        <v>32</v>
      </c>
      <c r="D3792" s="50">
        <v>6.58</v>
      </c>
    </row>
    <row r="3793" spans="1:4" ht="13.5">
      <c r="A3793" s="49">
        <v>89542</v>
      </c>
      <c r="B3793" s="48" t="s">
        <v>5029</v>
      </c>
      <c r="C3793" s="48" t="s">
        <v>32</v>
      </c>
      <c r="D3793" s="50">
        <v>42.93</v>
      </c>
    </row>
    <row r="3794" spans="1:4" ht="13.5">
      <c r="A3794" s="49">
        <v>89544</v>
      </c>
      <c r="B3794" s="48" t="s">
        <v>5030</v>
      </c>
      <c r="C3794" s="48" t="s">
        <v>32</v>
      </c>
      <c r="D3794" s="50">
        <v>11.61</v>
      </c>
    </row>
    <row r="3795" spans="1:4" ht="13.5">
      <c r="A3795" s="49">
        <v>89545</v>
      </c>
      <c r="B3795" s="48" t="s">
        <v>5031</v>
      </c>
      <c r="C3795" s="48" t="s">
        <v>32</v>
      </c>
      <c r="D3795" s="50">
        <v>17.97</v>
      </c>
    </row>
    <row r="3796" spans="1:4" ht="13.5">
      <c r="A3796" s="49">
        <v>89546</v>
      </c>
      <c r="B3796" s="48" t="s">
        <v>5032</v>
      </c>
      <c r="C3796" s="48" t="s">
        <v>32</v>
      </c>
      <c r="D3796" s="50">
        <v>15.29</v>
      </c>
    </row>
    <row r="3797" spans="1:4" ht="13.5">
      <c r="A3797" s="49">
        <v>89547</v>
      </c>
      <c r="B3797" s="48" t="s">
        <v>5033</v>
      </c>
      <c r="C3797" s="48" t="s">
        <v>32</v>
      </c>
      <c r="D3797" s="50">
        <v>25.21</v>
      </c>
    </row>
    <row r="3798" spans="1:4" ht="13.5">
      <c r="A3798" s="49">
        <v>89548</v>
      </c>
      <c r="B3798" s="48" t="s">
        <v>5034</v>
      </c>
      <c r="C3798" s="48" t="s">
        <v>32</v>
      </c>
      <c r="D3798" s="50">
        <v>27.75</v>
      </c>
    </row>
    <row r="3799" spans="1:4" ht="13.5">
      <c r="A3799" s="49">
        <v>89549</v>
      </c>
      <c r="B3799" s="48" t="s">
        <v>5035</v>
      </c>
      <c r="C3799" s="48" t="s">
        <v>32</v>
      </c>
      <c r="D3799" s="50">
        <v>18.420000000000002</v>
      </c>
    </row>
    <row r="3800" spans="1:4" ht="13.5">
      <c r="A3800" s="49">
        <v>89550</v>
      </c>
      <c r="B3800" s="48" t="s">
        <v>5036</v>
      </c>
      <c r="C3800" s="48" t="s">
        <v>32</v>
      </c>
      <c r="D3800" s="50">
        <v>53.03</v>
      </c>
    </row>
    <row r="3801" spans="1:4" ht="13.5">
      <c r="A3801" s="49">
        <v>89551</v>
      </c>
      <c r="B3801" s="48" t="s">
        <v>5037</v>
      </c>
      <c r="C3801" s="48" t="s">
        <v>32</v>
      </c>
      <c r="D3801" s="50">
        <v>12.1</v>
      </c>
    </row>
    <row r="3802" spans="1:4" ht="13.5">
      <c r="A3802" s="49">
        <v>89552</v>
      </c>
      <c r="B3802" s="48" t="s">
        <v>5038</v>
      </c>
      <c r="C3802" s="48" t="s">
        <v>32</v>
      </c>
      <c r="D3802" s="50">
        <v>27.08</v>
      </c>
    </row>
    <row r="3803" spans="1:4" ht="13.5">
      <c r="A3803" s="49">
        <v>89553</v>
      </c>
      <c r="B3803" s="48" t="s">
        <v>5039</v>
      </c>
      <c r="C3803" s="48" t="s">
        <v>32</v>
      </c>
      <c r="D3803" s="50">
        <v>6.41</v>
      </c>
    </row>
    <row r="3804" spans="1:4" ht="13.5">
      <c r="A3804" s="49">
        <v>89554</v>
      </c>
      <c r="B3804" s="48" t="s">
        <v>5040</v>
      </c>
      <c r="C3804" s="48" t="s">
        <v>32</v>
      </c>
      <c r="D3804" s="50">
        <v>30.93</v>
      </c>
    </row>
    <row r="3805" spans="1:4" ht="13.5">
      <c r="A3805" s="49">
        <v>89555</v>
      </c>
      <c r="B3805" s="48" t="s">
        <v>5041</v>
      </c>
      <c r="C3805" s="48" t="s">
        <v>32</v>
      </c>
      <c r="D3805" s="50">
        <v>33.340000000000003</v>
      </c>
    </row>
    <row r="3806" spans="1:4" ht="13.5">
      <c r="A3806" s="49">
        <v>89556</v>
      </c>
      <c r="B3806" s="48" t="s">
        <v>5042</v>
      </c>
      <c r="C3806" s="48" t="s">
        <v>32</v>
      </c>
      <c r="D3806" s="50">
        <v>48.28</v>
      </c>
    </row>
    <row r="3807" spans="1:4" ht="13.5">
      <c r="A3807" s="49">
        <v>89557</v>
      </c>
      <c r="B3807" s="48" t="s">
        <v>5043</v>
      </c>
      <c r="C3807" s="48" t="s">
        <v>32</v>
      </c>
      <c r="D3807" s="50">
        <v>36.880000000000003</v>
      </c>
    </row>
    <row r="3808" spans="1:4" ht="13.5">
      <c r="A3808" s="49">
        <v>89558</v>
      </c>
      <c r="B3808" s="48" t="s">
        <v>5044</v>
      </c>
      <c r="C3808" s="48" t="s">
        <v>32</v>
      </c>
      <c r="D3808" s="50">
        <v>10.65</v>
      </c>
    </row>
    <row r="3809" spans="1:4" ht="13.5">
      <c r="A3809" s="49">
        <v>89559</v>
      </c>
      <c r="B3809" s="48" t="s">
        <v>5045</v>
      </c>
      <c r="C3809" s="48" t="s">
        <v>32</v>
      </c>
      <c r="D3809" s="50">
        <v>89.6</v>
      </c>
    </row>
    <row r="3810" spans="1:4" ht="13.5">
      <c r="A3810" s="49">
        <v>89561</v>
      </c>
      <c r="B3810" s="48" t="s">
        <v>5046</v>
      </c>
      <c r="C3810" s="48" t="s">
        <v>32</v>
      </c>
      <c r="D3810" s="50">
        <v>16.420000000000002</v>
      </c>
    </row>
    <row r="3811" spans="1:4" ht="13.5">
      <c r="A3811" s="49">
        <v>89562</v>
      </c>
      <c r="B3811" s="48" t="s">
        <v>5047</v>
      </c>
      <c r="C3811" s="48" t="s">
        <v>32</v>
      </c>
      <c r="D3811" s="50">
        <v>11.54</v>
      </c>
    </row>
    <row r="3812" spans="1:4" ht="13.5">
      <c r="A3812" s="49">
        <v>89563</v>
      </c>
      <c r="B3812" s="48" t="s">
        <v>5048</v>
      </c>
      <c r="C3812" s="48" t="s">
        <v>32</v>
      </c>
      <c r="D3812" s="50">
        <v>28.78</v>
      </c>
    </row>
    <row r="3813" spans="1:4" ht="13.5">
      <c r="A3813" s="49">
        <v>89564</v>
      </c>
      <c r="B3813" s="48" t="s">
        <v>5049</v>
      </c>
      <c r="C3813" s="48" t="s">
        <v>32</v>
      </c>
      <c r="D3813" s="50">
        <v>23.41</v>
      </c>
    </row>
    <row r="3814" spans="1:4" ht="13.5">
      <c r="A3814" s="49">
        <v>89565</v>
      </c>
      <c r="B3814" s="48" t="s">
        <v>5050</v>
      </c>
      <c r="C3814" s="48" t="s">
        <v>32</v>
      </c>
      <c r="D3814" s="50">
        <v>71.08</v>
      </c>
    </row>
    <row r="3815" spans="1:4" ht="13.5">
      <c r="A3815" s="49">
        <v>89566</v>
      </c>
      <c r="B3815" s="48" t="s">
        <v>5051</v>
      </c>
      <c r="C3815" s="48" t="s">
        <v>32</v>
      </c>
      <c r="D3815" s="50">
        <v>60.09</v>
      </c>
    </row>
    <row r="3816" spans="1:4" ht="13.5">
      <c r="A3816" s="49">
        <v>89567</v>
      </c>
      <c r="B3816" s="48" t="s">
        <v>5052</v>
      </c>
      <c r="C3816" s="48" t="s">
        <v>32</v>
      </c>
      <c r="D3816" s="50">
        <v>107.24</v>
      </c>
    </row>
    <row r="3817" spans="1:4" ht="13.5">
      <c r="A3817" s="49">
        <v>89568</v>
      </c>
      <c r="B3817" s="48" t="s">
        <v>5053</v>
      </c>
      <c r="C3817" s="48" t="s">
        <v>32</v>
      </c>
      <c r="D3817" s="50">
        <v>50.32</v>
      </c>
    </row>
    <row r="3818" spans="1:4" ht="13.5">
      <c r="A3818" s="49">
        <v>89569</v>
      </c>
      <c r="B3818" s="48" t="s">
        <v>5054</v>
      </c>
      <c r="C3818" s="48" t="s">
        <v>32</v>
      </c>
      <c r="D3818" s="50">
        <v>100.93</v>
      </c>
    </row>
    <row r="3819" spans="1:4" ht="13.5">
      <c r="A3819" s="49">
        <v>89570</v>
      </c>
      <c r="B3819" s="48" t="s">
        <v>5055</v>
      </c>
      <c r="C3819" s="48" t="s">
        <v>32</v>
      </c>
      <c r="D3819" s="50">
        <v>15.7</v>
      </c>
    </row>
    <row r="3820" spans="1:4" ht="13.5">
      <c r="A3820" s="49">
        <v>89571</v>
      </c>
      <c r="B3820" s="48" t="s">
        <v>5056</v>
      </c>
      <c r="C3820" s="48" t="s">
        <v>32</v>
      </c>
      <c r="D3820" s="50">
        <v>97.6</v>
      </c>
    </row>
    <row r="3821" spans="1:4" ht="13.5">
      <c r="A3821" s="49">
        <v>89572</v>
      </c>
      <c r="B3821" s="48" t="s">
        <v>5057</v>
      </c>
      <c r="C3821" s="48" t="s">
        <v>32</v>
      </c>
      <c r="D3821" s="50">
        <v>9.93</v>
      </c>
    </row>
    <row r="3822" spans="1:4" ht="13.5">
      <c r="A3822" s="49">
        <v>89573</v>
      </c>
      <c r="B3822" s="48" t="s">
        <v>5058</v>
      </c>
      <c r="C3822" s="48" t="s">
        <v>32</v>
      </c>
      <c r="D3822" s="50">
        <v>87.88</v>
      </c>
    </row>
    <row r="3823" spans="1:4" ht="13.5">
      <c r="A3823" s="49">
        <v>89574</v>
      </c>
      <c r="B3823" s="48" t="s">
        <v>5059</v>
      </c>
      <c r="C3823" s="48" t="s">
        <v>32</v>
      </c>
      <c r="D3823" s="50">
        <v>177.37</v>
      </c>
    </row>
    <row r="3824" spans="1:4" ht="13.5">
      <c r="A3824" s="49">
        <v>89575</v>
      </c>
      <c r="B3824" s="48" t="s">
        <v>5060</v>
      </c>
      <c r="C3824" s="48" t="s">
        <v>32</v>
      </c>
      <c r="D3824" s="50">
        <v>13.34</v>
      </c>
    </row>
    <row r="3825" spans="1:4" ht="13.5">
      <c r="A3825" s="49">
        <v>89577</v>
      </c>
      <c r="B3825" s="48" t="s">
        <v>5061</v>
      </c>
      <c r="C3825" s="48" t="s">
        <v>32</v>
      </c>
      <c r="D3825" s="50">
        <v>50.71</v>
      </c>
    </row>
    <row r="3826" spans="1:4" ht="13.5">
      <c r="A3826" s="49">
        <v>89579</v>
      </c>
      <c r="B3826" s="48" t="s">
        <v>5062</v>
      </c>
      <c r="C3826" s="48" t="s">
        <v>32</v>
      </c>
      <c r="D3826" s="50">
        <v>13.76</v>
      </c>
    </row>
    <row r="3827" spans="1:4" ht="13.5">
      <c r="A3827" s="49">
        <v>89581</v>
      </c>
      <c r="B3827" s="48" t="s">
        <v>5063</v>
      </c>
      <c r="C3827" s="48" t="s">
        <v>32</v>
      </c>
      <c r="D3827" s="50">
        <v>36.97</v>
      </c>
    </row>
    <row r="3828" spans="1:4" ht="13.5">
      <c r="A3828" s="49">
        <v>89582</v>
      </c>
      <c r="B3828" s="48" t="s">
        <v>5064</v>
      </c>
      <c r="C3828" s="48" t="s">
        <v>32</v>
      </c>
      <c r="D3828" s="50">
        <v>31.88</v>
      </c>
    </row>
    <row r="3829" spans="1:4" ht="13.5">
      <c r="A3829" s="49">
        <v>89583</v>
      </c>
      <c r="B3829" s="48" t="s">
        <v>5065</v>
      </c>
      <c r="C3829" s="48" t="s">
        <v>32</v>
      </c>
      <c r="D3829" s="50">
        <v>50.45</v>
      </c>
    </row>
    <row r="3830" spans="1:4" ht="13.5">
      <c r="A3830" s="49">
        <v>89584</v>
      </c>
      <c r="B3830" s="48" t="s">
        <v>5066</v>
      </c>
      <c r="C3830" s="48" t="s">
        <v>32</v>
      </c>
      <c r="D3830" s="50">
        <v>56.67</v>
      </c>
    </row>
    <row r="3831" spans="1:4" ht="13.5">
      <c r="A3831" s="49">
        <v>89585</v>
      </c>
      <c r="B3831" s="48" t="s">
        <v>5067</v>
      </c>
      <c r="C3831" s="48" t="s">
        <v>32</v>
      </c>
      <c r="D3831" s="50">
        <v>44.28</v>
      </c>
    </row>
    <row r="3832" spans="1:4" ht="13.5">
      <c r="A3832" s="49">
        <v>89586</v>
      </c>
      <c r="B3832" s="48" t="s">
        <v>5068</v>
      </c>
      <c r="C3832" s="48" t="s">
        <v>32</v>
      </c>
      <c r="D3832" s="50">
        <v>44.28</v>
      </c>
    </row>
    <row r="3833" spans="1:4" ht="13.5">
      <c r="A3833" s="49">
        <v>89587</v>
      </c>
      <c r="B3833" s="48" t="s">
        <v>5069</v>
      </c>
      <c r="C3833" s="48" t="s">
        <v>32</v>
      </c>
      <c r="D3833" s="50">
        <v>76.11</v>
      </c>
    </row>
    <row r="3834" spans="1:4" ht="13.5">
      <c r="A3834" s="49">
        <v>89589</v>
      </c>
      <c r="B3834" s="48" t="s">
        <v>20783</v>
      </c>
      <c r="C3834" s="48" t="s">
        <v>32</v>
      </c>
      <c r="D3834" s="50">
        <v>47.73</v>
      </c>
    </row>
    <row r="3835" spans="1:4" ht="13.5">
      <c r="A3835" s="49">
        <v>89590</v>
      </c>
      <c r="B3835" s="48" t="s">
        <v>5070</v>
      </c>
      <c r="C3835" s="48" t="s">
        <v>32</v>
      </c>
      <c r="D3835" s="50">
        <v>182.13</v>
      </c>
    </row>
    <row r="3836" spans="1:4" ht="13.5">
      <c r="A3836" s="49">
        <v>89591</v>
      </c>
      <c r="B3836" s="48" t="s">
        <v>5071</v>
      </c>
      <c r="C3836" s="48" t="s">
        <v>32</v>
      </c>
      <c r="D3836" s="50">
        <v>146.54</v>
      </c>
    </row>
    <row r="3837" spans="1:4" ht="13.5">
      <c r="A3837" s="49">
        <v>89592</v>
      </c>
      <c r="B3837" s="48" t="s">
        <v>5072</v>
      </c>
      <c r="C3837" s="48" t="s">
        <v>32</v>
      </c>
      <c r="D3837" s="50">
        <v>250.03</v>
      </c>
    </row>
    <row r="3838" spans="1:4" ht="13.5">
      <c r="A3838" s="49">
        <v>89593</v>
      </c>
      <c r="B3838" s="48" t="s">
        <v>5073</v>
      </c>
      <c r="C3838" s="48" t="s">
        <v>32</v>
      </c>
      <c r="D3838" s="50">
        <v>45.54</v>
      </c>
    </row>
    <row r="3839" spans="1:4" ht="13.5">
      <c r="A3839" s="49">
        <v>89594</v>
      </c>
      <c r="B3839" s="48" t="s">
        <v>5074</v>
      </c>
      <c r="C3839" s="48" t="s">
        <v>32</v>
      </c>
      <c r="D3839" s="50">
        <v>55.72</v>
      </c>
    </row>
    <row r="3840" spans="1:4" ht="13.5">
      <c r="A3840" s="49">
        <v>89595</v>
      </c>
      <c r="B3840" s="48" t="s">
        <v>5075</v>
      </c>
      <c r="C3840" s="48" t="s">
        <v>32</v>
      </c>
      <c r="D3840" s="50">
        <v>19.03</v>
      </c>
    </row>
    <row r="3841" spans="1:4" ht="13.5">
      <c r="A3841" s="49">
        <v>89596</v>
      </c>
      <c r="B3841" s="48" t="s">
        <v>5076</v>
      </c>
      <c r="C3841" s="48" t="s">
        <v>32</v>
      </c>
      <c r="D3841" s="50">
        <v>13.05</v>
      </c>
    </row>
    <row r="3842" spans="1:4" ht="13.5">
      <c r="A3842" s="49">
        <v>89597</v>
      </c>
      <c r="B3842" s="48" t="s">
        <v>5077</v>
      </c>
      <c r="C3842" s="48" t="s">
        <v>32</v>
      </c>
      <c r="D3842" s="50">
        <v>26.87</v>
      </c>
    </row>
    <row r="3843" spans="1:4" ht="13.5">
      <c r="A3843" s="49">
        <v>89598</v>
      </c>
      <c r="B3843" s="48" t="s">
        <v>5078</v>
      </c>
      <c r="C3843" s="48" t="s">
        <v>32</v>
      </c>
      <c r="D3843" s="50">
        <v>77.489999999999995</v>
      </c>
    </row>
    <row r="3844" spans="1:4" ht="13.5">
      <c r="A3844" s="49">
        <v>89599</v>
      </c>
      <c r="B3844" s="48" t="s">
        <v>5079</v>
      </c>
      <c r="C3844" s="48" t="s">
        <v>32</v>
      </c>
      <c r="D3844" s="50">
        <v>24.03</v>
      </c>
    </row>
    <row r="3845" spans="1:4" ht="13.5">
      <c r="A3845" s="49">
        <v>89600</v>
      </c>
      <c r="B3845" s="48" t="s">
        <v>5080</v>
      </c>
      <c r="C3845" s="48" t="s">
        <v>32</v>
      </c>
      <c r="D3845" s="50">
        <v>26.57</v>
      </c>
    </row>
    <row r="3846" spans="1:4" ht="13.5">
      <c r="A3846" s="49">
        <v>89605</v>
      </c>
      <c r="B3846" s="48" t="s">
        <v>5081</v>
      </c>
      <c r="C3846" s="48" t="s">
        <v>32</v>
      </c>
      <c r="D3846" s="50">
        <v>26.13</v>
      </c>
    </row>
    <row r="3847" spans="1:4" ht="13.5">
      <c r="A3847" s="49">
        <v>89609</v>
      </c>
      <c r="B3847" s="48" t="s">
        <v>5082</v>
      </c>
      <c r="C3847" s="48" t="s">
        <v>32</v>
      </c>
      <c r="D3847" s="50">
        <v>132.88</v>
      </c>
    </row>
    <row r="3848" spans="1:4" ht="13.5">
      <c r="A3848" s="49">
        <v>89610</v>
      </c>
      <c r="B3848" s="48" t="s">
        <v>5083</v>
      </c>
      <c r="C3848" s="48" t="s">
        <v>32</v>
      </c>
      <c r="D3848" s="50">
        <v>26.9</v>
      </c>
    </row>
    <row r="3849" spans="1:4" ht="13.5">
      <c r="A3849" s="49">
        <v>89611</v>
      </c>
      <c r="B3849" s="48" t="s">
        <v>5084</v>
      </c>
      <c r="C3849" s="48" t="s">
        <v>32</v>
      </c>
      <c r="D3849" s="50">
        <v>44.88</v>
      </c>
    </row>
    <row r="3850" spans="1:4" ht="13.5">
      <c r="A3850" s="49">
        <v>89612</v>
      </c>
      <c r="B3850" s="48" t="s">
        <v>5085</v>
      </c>
      <c r="C3850" s="48" t="s">
        <v>32</v>
      </c>
      <c r="D3850" s="50">
        <v>264.18</v>
      </c>
    </row>
    <row r="3851" spans="1:4" ht="13.5">
      <c r="A3851" s="49">
        <v>89613</v>
      </c>
      <c r="B3851" s="48" t="s">
        <v>5086</v>
      </c>
      <c r="C3851" s="48" t="s">
        <v>32</v>
      </c>
      <c r="D3851" s="50">
        <v>39.39</v>
      </c>
    </row>
    <row r="3852" spans="1:4" ht="13.5">
      <c r="A3852" s="49">
        <v>89614</v>
      </c>
      <c r="B3852" s="48" t="s">
        <v>5087</v>
      </c>
      <c r="C3852" s="48" t="s">
        <v>32</v>
      </c>
      <c r="D3852" s="50">
        <v>89.93</v>
      </c>
    </row>
    <row r="3853" spans="1:4" ht="13.5">
      <c r="A3853" s="49">
        <v>89615</v>
      </c>
      <c r="B3853" s="48" t="s">
        <v>5088</v>
      </c>
      <c r="C3853" s="48" t="s">
        <v>32</v>
      </c>
      <c r="D3853" s="50">
        <v>401.84</v>
      </c>
    </row>
    <row r="3854" spans="1:4" ht="13.5">
      <c r="A3854" s="49">
        <v>89616</v>
      </c>
      <c r="B3854" s="48" t="s">
        <v>5089</v>
      </c>
      <c r="C3854" s="48" t="s">
        <v>32</v>
      </c>
      <c r="D3854" s="50">
        <v>59.15</v>
      </c>
    </row>
    <row r="3855" spans="1:4" ht="13.5">
      <c r="A3855" s="49">
        <v>89617</v>
      </c>
      <c r="B3855" s="48" t="s">
        <v>5090</v>
      </c>
      <c r="C3855" s="48" t="s">
        <v>32</v>
      </c>
      <c r="D3855" s="50">
        <v>6.91</v>
      </c>
    </row>
    <row r="3856" spans="1:4" ht="13.5">
      <c r="A3856" s="49">
        <v>89618</v>
      </c>
      <c r="B3856" s="48" t="s">
        <v>5091</v>
      </c>
      <c r="C3856" s="48" t="s">
        <v>32</v>
      </c>
      <c r="D3856" s="50">
        <v>19.12</v>
      </c>
    </row>
    <row r="3857" spans="1:4" ht="13.5">
      <c r="A3857" s="49">
        <v>89619</v>
      </c>
      <c r="B3857" s="48" t="s">
        <v>5092</v>
      </c>
      <c r="C3857" s="48" t="s">
        <v>32</v>
      </c>
      <c r="D3857" s="50">
        <v>10.17</v>
      </c>
    </row>
    <row r="3858" spans="1:4" ht="13.5">
      <c r="A3858" s="49">
        <v>89620</v>
      </c>
      <c r="B3858" s="48" t="s">
        <v>5093</v>
      </c>
      <c r="C3858" s="48" t="s">
        <v>32</v>
      </c>
      <c r="D3858" s="50">
        <v>12.93</v>
      </c>
    </row>
    <row r="3859" spans="1:4" ht="13.5">
      <c r="A3859" s="49">
        <v>89621</v>
      </c>
      <c r="B3859" s="48" t="s">
        <v>5094</v>
      </c>
      <c r="C3859" s="48" t="s">
        <v>32</v>
      </c>
      <c r="D3859" s="50">
        <v>33.64</v>
      </c>
    </row>
    <row r="3860" spans="1:4" ht="13.5">
      <c r="A3860" s="49">
        <v>89622</v>
      </c>
      <c r="B3860" s="48" t="s">
        <v>5095</v>
      </c>
      <c r="C3860" s="48" t="s">
        <v>32</v>
      </c>
      <c r="D3860" s="50">
        <v>16.16</v>
      </c>
    </row>
    <row r="3861" spans="1:4" ht="13.5">
      <c r="A3861" s="49">
        <v>89623</v>
      </c>
      <c r="B3861" s="48" t="s">
        <v>5096</v>
      </c>
      <c r="C3861" s="48" t="s">
        <v>32</v>
      </c>
      <c r="D3861" s="50">
        <v>22.29</v>
      </c>
    </row>
    <row r="3862" spans="1:4" ht="13.5">
      <c r="A3862" s="49">
        <v>89624</v>
      </c>
      <c r="B3862" s="48" t="s">
        <v>5097</v>
      </c>
      <c r="C3862" s="48" t="s">
        <v>32</v>
      </c>
      <c r="D3862" s="50">
        <v>23.92</v>
      </c>
    </row>
    <row r="3863" spans="1:4" ht="13.5">
      <c r="A3863" s="49">
        <v>89625</v>
      </c>
      <c r="B3863" s="48" t="s">
        <v>5098</v>
      </c>
      <c r="C3863" s="48" t="s">
        <v>32</v>
      </c>
      <c r="D3863" s="50">
        <v>26.55</v>
      </c>
    </row>
    <row r="3864" spans="1:4" ht="13.5">
      <c r="A3864" s="49">
        <v>89626</v>
      </c>
      <c r="B3864" s="48" t="s">
        <v>5099</v>
      </c>
      <c r="C3864" s="48" t="s">
        <v>32</v>
      </c>
      <c r="D3864" s="50">
        <v>39.119999999999997</v>
      </c>
    </row>
    <row r="3865" spans="1:4" ht="13.5">
      <c r="A3865" s="49">
        <v>89627</v>
      </c>
      <c r="B3865" s="48" t="s">
        <v>5101</v>
      </c>
      <c r="C3865" s="48" t="s">
        <v>32</v>
      </c>
      <c r="D3865" s="50">
        <v>24.67</v>
      </c>
    </row>
    <row r="3866" spans="1:4" ht="13.5">
      <c r="A3866" s="49">
        <v>89628</v>
      </c>
      <c r="B3866" s="48" t="s">
        <v>5102</v>
      </c>
      <c r="C3866" s="48" t="s">
        <v>32</v>
      </c>
      <c r="D3866" s="50">
        <v>61.53</v>
      </c>
    </row>
    <row r="3867" spans="1:4" ht="13.5">
      <c r="A3867" s="49">
        <v>89629</v>
      </c>
      <c r="B3867" s="48" t="s">
        <v>5103</v>
      </c>
      <c r="C3867" s="48" t="s">
        <v>32</v>
      </c>
      <c r="D3867" s="50">
        <v>116.23</v>
      </c>
    </row>
    <row r="3868" spans="1:4" ht="13.5">
      <c r="A3868" s="49">
        <v>89630</v>
      </c>
      <c r="B3868" s="48" t="s">
        <v>5104</v>
      </c>
      <c r="C3868" s="48" t="s">
        <v>32</v>
      </c>
      <c r="D3868" s="50">
        <v>99.12</v>
      </c>
    </row>
    <row r="3869" spans="1:4" ht="13.5">
      <c r="A3869" s="49">
        <v>89631</v>
      </c>
      <c r="B3869" s="48" t="s">
        <v>5105</v>
      </c>
      <c r="C3869" s="48" t="s">
        <v>32</v>
      </c>
      <c r="D3869" s="50">
        <v>181.29</v>
      </c>
    </row>
    <row r="3870" spans="1:4" ht="13.5">
      <c r="A3870" s="49">
        <v>89632</v>
      </c>
      <c r="B3870" s="48" t="s">
        <v>5106</v>
      </c>
      <c r="C3870" s="48" t="s">
        <v>32</v>
      </c>
      <c r="D3870" s="50">
        <v>146.27000000000001</v>
      </c>
    </row>
    <row r="3871" spans="1:4" ht="13.5">
      <c r="A3871" s="49">
        <v>89637</v>
      </c>
      <c r="B3871" s="48" t="s">
        <v>5107</v>
      </c>
      <c r="C3871" s="48" t="s">
        <v>32</v>
      </c>
      <c r="D3871" s="50">
        <v>10.050000000000001</v>
      </c>
    </row>
    <row r="3872" spans="1:4" ht="13.5">
      <c r="A3872" s="49">
        <v>89638</v>
      </c>
      <c r="B3872" s="48" t="s">
        <v>5108</v>
      </c>
      <c r="C3872" s="48" t="s">
        <v>32</v>
      </c>
      <c r="D3872" s="50">
        <v>11.29</v>
      </c>
    </row>
    <row r="3873" spans="1:4" ht="13.5">
      <c r="A3873" s="49">
        <v>89639</v>
      </c>
      <c r="B3873" s="48" t="s">
        <v>5109</v>
      </c>
      <c r="C3873" s="48" t="s">
        <v>32</v>
      </c>
      <c r="D3873" s="50">
        <v>11.77</v>
      </c>
    </row>
    <row r="3874" spans="1:4" ht="13.5">
      <c r="A3874" s="49">
        <v>89640</v>
      </c>
      <c r="B3874" s="48" t="s">
        <v>5110</v>
      </c>
      <c r="C3874" s="48" t="s">
        <v>32</v>
      </c>
      <c r="D3874" s="50">
        <v>19.18</v>
      </c>
    </row>
    <row r="3875" spans="1:4" ht="13.5">
      <c r="A3875" s="49">
        <v>89641</v>
      </c>
      <c r="B3875" s="48" t="s">
        <v>5111</v>
      </c>
      <c r="C3875" s="48" t="s">
        <v>32</v>
      </c>
      <c r="D3875" s="50">
        <v>14.41</v>
      </c>
    </row>
    <row r="3876" spans="1:4" ht="13.5">
      <c r="A3876" s="49">
        <v>89642</v>
      </c>
      <c r="B3876" s="48" t="s">
        <v>5112</v>
      </c>
      <c r="C3876" s="48" t="s">
        <v>32</v>
      </c>
      <c r="D3876" s="50">
        <v>16.8</v>
      </c>
    </row>
    <row r="3877" spans="1:4" ht="13.5">
      <c r="A3877" s="49">
        <v>89643</v>
      </c>
      <c r="B3877" s="48" t="s">
        <v>5113</v>
      </c>
      <c r="C3877" s="48" t="s">
        <v>32</v>
      </c>
      <c r="D3877" s="50">
        <v>17.600000000000001</v>
      </c>
    </row>
    <row r="3878" spans="1:4" ht="13.5">
      <c r="A3878" s="49">
        <v>89644</v>
      </c>
      <c r="B3878" s="48" t="s">
        <v>5114</v>
      </c>
      <c r="C3878" s="48" t="s">
        <v>32</v>
      </c>
      <c r="D3878" s="50">
        <v>28.87</v>
      </c>
    </row>
    <row r="3879" spans="1:4" ht="13.5">
      <c r="A3879" s="49">
        <v>89645</v>
      </c>
      <c r="B3879" s="48" t="s">
        <v>5115</v>
      </c>
      <c r="C3879" s="48" t="s">
        <v>32</v>
      </c>
      <c r="D3879" s="50">
        <v>32.46</v>
      </c>
    </row>
    <row r="3880" spans="1:4" ht="13.5">
      <c r="A3880" s="49">
        <v>89646</v>
      </c>
      <c r="B3880" s="48" t="s">
        <v>5116</v>
      </c>
      <c r="C3880" s="48" t="s">
        <v>32</v>
      </c>
      <c r="D3880" s="50">
        <v>23.09</v>
      </c>
    </row>
    <row r="3881" spans="1:4" ht="13.5">
      <c r="A3881" s="49">
        <v>89647</v>
      </c>
      <c r="B3881" s="48" t="s">
        <v>5117</v>
      </c>
      <c r="C3881" s="48" t="s">
        <v>32</v>
      </c>
      <c r="D3881" s="50">
        <v>22.54</v>
      </c>
    </row>
    <row r="3882" spans="1:4" ht="13.5">
      <c r="A3882" s="49">
        <v>89648</v>
      </c>
      <c r="B3882" s="48" t="s">
        <v>5118</v>
      </c>
      <c r="C3882" s="48" t="s">
        <v>32</v>
      </c>
      <c r="D3882" s="50">
        <v>25.1</v>
      </c>
    </row>
    <row r="3883" spans="1:4" ht="13.5">
      <c r="A3883" s="49">
        <v>89649</v>
      </c>
      <c r="B3883" s="48" t="s">
        <v>5119</v>
      </c>
      <c r="C3883" s="48" t="s">
        <v>32</v>
      </c>
      <c r="D3883" s="50">
        <v>34.6</v>
      </c>
    </row>
    <row r="3884" spans="1:4" ht="13.5">
      <c r="A3884" s="49">
        <v>89650</v>
      </c>
      <c r="B3884" s="48" t="s">
        <v>5120</v>
      </c>
      <c r="C3884" s="48" t="s">
        <v>32</v>
      </c>
      <c r="D3884" s="50">
        <v>34.6</v>
      </c>
    </row>
    <row r="3885" spans="1:4" ht="13.5">
      <c r="A3885" s="49">
        <v>89651</v>
      </c>
      <c r="B3885" s="48" t="s">
        <v>5121</v>
      </c>
      <c r="C3885" s="48" t="s">
        <v>32</v>
      </c>
      <c r="D3885" s="50">
        <v>7.08</v>
      </c>
    </row>
    <row r="3886" spans="1:4" ht="13.5">
      <c r="A3886" s="49">
        <v>89652</v>
      </c>
      <c r="B3886" s="48" t="s">
        <v>5122</v>
      </c>
      <c r="C3886" s="48" t="s">
        <v>32</v>
      </c>
      <c r="D3886" s="50">
        <v>12.54</v>
      </c>
    </row>
    <row r="3887" spans="1:4" ht="13.5">
      <c r="A3887" s="49">
        <v>89653</v>
      </c>
      <c r="B3887" s="48" t="s">
        <v>5123</v>
      </c>
      <c r="C3887" s="48" t="s">
        <v>32</v>
      </c>
      <c r="D3887" s="50">
        <v>20.95</v>
      </c>
    </row>
    <row r="3888" spans="1:4" ht="13.5">
      <c r="A3888" s="49">
        <v>89654</v>
      </c>
      <c r="B3888" s="48" t="s">
        <v>5124</v>
      </c>
      <c r="C3888" s="48" t="s">
        <v>32</v>
      </c>
      <c r="D3888" s="50">
        <v>20.399999999999999</v>
      </c>
    </row>
    <row r="3889" spans="1:4" ht="13.5">
      <c r="A3889" s="49">
        <v>89655</v>
      </c>
      <c r="B3889" s="48" t="s">
        <v>5125</v>
      </c>
      <c r="C3889" s="48" t="s">
        <v>32</v>
      </c>
      <c r="D3889" s="50">
        <v>30.67</v>
      </c>
    </row>
    <row r="3890" spans="1:4" ht="13.5">
      <c r="A3890" s="49">
        <v>89656</v>
      </c>
      <c r="B3890" s="48" t="s">
        <v>5126</v>
      </c>
      <c r="C3890" s="48" t="s">
        <v>32</v>
      </c>
      <c r="D3890" s="50">
        <v>13.41</v>
      </c>
    </row>
    <row r="3891" spans="1:4" ht="13.5">
      <c r="A3891" s="49">
        <v>89657</v>
      </c>
      <c r="B3891" s="48" t="s">
        <v>5127</v>
      </c>
      <c r="C3891" s="48" t="s">
        <v>32</v>
      </c>
      <c r="D3891" s="50">
        <v>13.69</v>
      </c>
    </row>
    <row r="3892" spans="1:4" ht="13.5">
      <c r="A3892" s="49">
        <v>89658</v>
      </c>
      <c r="B3892" s="48" t="s">
        <v>5128</v>
      </c>
      <c r="C3892" s="48" t="s">
        <v>32</v>
      </c>
      <c r="D3892" s="50">
        <v>9.92</v>
      </c>
    </row>
    <row r="3893" spans="1:4" ht="13.5">
      <c r="A3893" s="49">
        <v>89659</v>
      </c>
      <c r="B3893" s="48" t="s">
        <v>5129</v>
      </c>
      <c r="C3893" s="48" t="s">
        <v>32</v>
      </c>
      <c r="D3893" s="50">
        <v>18.29</v>
      </c>
    </row>
    <row r="3894" spans="1:4" ht="13.5">
      <c r="A3894" s="49">
        <v>89660</v>
      </c>
      <c r="B3894" s="48" t="s">
        <v>5130</v>
      </c>
      <c r="C3894" s="48" t="s">
        <v>32</v>
      </c>
      <c r="D3894" s="50">
        <v>9.19</v>
      </c>
    </row>
    <row r="3895" spans="1:4" ht="13.5">
      <c r="A3895" s="49">
        <v>89661</v>
      </c>
      <c r="B3895" s="48" t="s">
        <v>5131</v>
      </c>
      <c r="C3895" s="48" t="s">
        <v>32</v>
      </c>
      <c r="D3895" s="50">
        <v>24.65</v>
      </c>
    </row>
    <row r="3896" spans="1:4" ht="13.5">
      <c r="A3896" s="49">
        <v>89662</v>
      </c>
      <c r="B3896" s="48" t="s">
        <v>5132</v>
      </c>
      <c r="C3896" s="48" t="s">
        <v>32</v>
      </c>
      <c r="D3896" s="50">
        <v>38.28</v>
      </c>
    </row>
    <row r="3897" spans="1:4" ht="13.5">
      <c r="A3897" s="49">
        <v>89663</v>
      </c>
      <c r="B3897" s="48" t="s">
        <v>5133</v>
      </c>
      <c r="C3897" s="48" t="s">
        <v>32</v>
      </c>
      <c r="D3897" s="50">
        <v>15.45</v>
      </c>
    </row>
    <row r="3898" spans="1:4" ht="13.5">
      <c r="A3898" s="49">
        <v>89664</v>
      </c>
      <c r="B3898" s="48" t="s">
        <v>5134</v>
      </c>
      <c r="C3898" s="48" t="s">
        <v>32</v>
      </c>
      <c r="D3898" s="50">
        <v>18.29</v>
      </c>
    </row>
    <row r="3899" spans="1:4" ht="13.5">
      <c r="A3899" s="49">
        <v>89665</v>
      </c>
      <c r="B3899" s="48" t="s">
        <v>5135</v>
      </c>
      <c r="C3899" s="48" t="s">
        <v>32</v>
      </c>
      <c r="D3899" s="50">
        <v>17.239999999999998</v>
      </c>
    </row>
    <row r="3900" spans="1:4" ht="13.5">
      <c r="A3900" s="49">
        <v>89666</v>
      </c>
      <c r="B3900" s="48" t="s">
        <v>5137</v>
      </c>
      <c r="C3900" s="48" t="s">
        <v>32</v>
      </c>
      <c r="D3900" s="50">
        <v>7.94</v>
      </c>
    </row>
    <row r="3901" spans="1:4" ht="13.5">
      <c r="A3901" s="49">
        <v>89667</v>
      </c>
      <c r="B3901" s="48" t="s">
        <v>5139</v>
      </c>
      <c r="C3901" s="48" t="s">
        <v>32</v>
      </c>
      <c r="D3901" s="50">
        <v>51.85</v>
      </c>
    </row>
    <row r="3902" spans="1:4" ht="13.5">
      <c r="A3902" s="49">
        <v>89668</v>
      </c>
      <c r="B3902" s="48" t="s">
        <v>5140</v>
      </c>
      <c r="C3902" s="48" t="s">
        <v>32</v>
      </c>
      <c r="D3902" s="50">
        <v>36.28</v>
      </c>
    </row>
    <row r="3903" spans="1:4" ht="13.5">
      <c r="A3903" s="49">
        <v>89669</v>
      </c>
      <c r="B3903" s="48" t="s">
        <v>5141</v>
      </c>
      <c r="C3903" s="48" t="s">
        <v>32</v>
      </c>
      <c r="D3903" s="50">
        <v>29.95</v>
      </c>
    </row>
    <row r="3904" spans="1:4" ht="13.5">
      <c r="A3904" s="49">
        <v>89670</v>
      </c>
      <c r="B3904" s="48" t="s">
        <v>5142</v>
      </c>
      <c r="C3904" s="48" t="s">
        <v>32</v>
      </c>
      <c r="D3904" s="50">
        <v>15.02</v>
      </c>
    </row>
    <row r="3905" spans="1:4" ht="13.5">
      <c r="A3905" s="49">
        <v>89671</v>
      </c>
      <c r="B3905" s="48" t="s">
        <v>5143</v>
      </c>
      <c r="C3905" s="48" t="s">
        <v>32</v>
      </c>
      <c r="D3905" s="50">
        <v>47.3</v>
      </c>
    </row>
    <row r="3906" spans="1:4" ht="13.5">
      <c r="A3906" s="49">
        <v>89672</v>
      </c>
      <c r="B3906" s="48" t="s">
        <v>5144</v>
      </c>
      <c r="C3906" s="48" t="s">
        <v>32</v>
      </c>
      <c r="D3906" s="50">
        <v>24.6</v>
      </c>
    </row>
    <row r="3907" spans="1:4" ht="13.5">
      <c r="A3907" s="49">
        <v>89673</v>
      </c>
      <c r="B3907" s="48" t="s">
        <v>5145</v>
      </c>
      <c r="C3907" s="48" t="s">
        <v>32</v>
      </c>
      <c r="D3907" s="50">
        <v>35.9</v>
      </c>
    </row>
    <row r="3908" spans="1:4" ht="13.5">
      <c r="A3908" s="49">
        <v>89674</v>
      </c>
      <c r="B3908" s="48" t="s">
        <v>5146</v>
      </c>
      <c r="C3908" s="48" t="s">
        <v>32</v>
      </c>
      <c r="D3908" s="50">
        <v>36.81</v>
      </c>
    </row>
    <row r="3909" spans="1:4" ht="13.5">
      <c r="A3909" s="49">
        <v>89675</v>
      </c>
      <c r="B3909" s="48" t="s">
        <v>5148</v>
      </c>
      <c r="C3909" s="48" t="s">
        <v>32</v>
      </c>
      <c r="D3909" s="50">
        <v>88.62</v>
      </c>
    </row>
    <row r="3910" spans="1:4" ht="13.5">
      <c r="A3910" s="49">
        <v>89676</v>
      </c>
      <c r="B3910" s="48" t="s">
        <v>5149</v>
      </c>
      <c r="C3910" s="48" t="s">
        <v>32</v>
      </c>
      <c r="D3910" s="50">
        <v>56.74</v>
      </c>
    </row>
    <row r="3911" spans="1:4" ht="13.5">
      <c r="A3911" s="49">
        <v>89677</v>
      </c>
      <c r="B3911" s="48" t="s">
        <v>5150</v>
      </c>
      <c r="C3911" s="48" t="s">
        <v>32</v>
      </c>
      <c r="D3911" s="50">
        <v>87.04</v>
      </c>
    </row>
    <row r="3912" spans="1:4" ht="13.5">
      <c r="A3912" s="49">
        <v>89678</v>
      </c>
      <c r="B3912" s="48" t="s">
        <v>5151</v>
      </c>
      <c r="C3912" s="48" t="s">
        <v>32</v>
      </c>
      <c r="D3912" s="50">
        <v>10.76</v>
      </c>
    </row>
    <row r="3913" spans="1:4" ht="13.5">
      <c r="A3913" s="49">
        <v>89679</v>
      </c>
      <c r="B3913" s="48" t="s">
        <v>5152</v>
      </c>
      <c r="C3913" s="48" t="s">
        <v>32</v>
      </c>
      <c r="D3913" s="50">
        <v>148.91999999999999</v>
      </c>
    </row>
    <row r="3914" spans="1:4" ht="13.5">
      <c r="A3914" s="49">
        <v>89680</v>
      </c>
      <c r="B3914" s="48" t="s">
        <v>5153</v>
      </c>
      <c r="C3914" s="48" t="s">
        <v>32</v>
      </c>
      <c r="D3914" s="50">
        <v>23.96</v>
      </c>
    </row>
    <row r="3915" spans="1:4" ht="13.5">
      <c r="A3915" s="49">
        <v>89681</v>
      </c>
      <c r="B3915" s="48" t="s">
        <v>5154</v>
      </c>
      <c r="C3915" s="48" t="s">
        <v>32</v>
      </c>
      <c r="D3915" s="50">
        <v>97.99</v>
      </c>
    </row>
    <row r="3916" spans="1:4" ht="13.5">
      <c r="A3916" s="49">
        <v>89682</v>
      </c>
      <c r="B3916" s="48" t="s">
        <v>5155</v>
      </c>
      <c r="C3916" s="48" t="s">
        <v>32</v>
      </c>
      <c r="D3916" s="50">
        <v>38.28</v>
      </c>
    </row>
    <row r="3917" spans="1:4" ht="13.5">
      <c r="A3917" s="49">
        <v>89683</v>
      </c>
      <c r="B3917" s="48" t="s">
        <v>20784</v>
      </c>
      <c r="C3917" s="48" t="s">
        <v>32</v>
      </c>
      <c r="D3917" s="50">
        <v>401.28</v>
      </c>
    </row>
    <row r="3918" spans="1:4" ht="13.5">
      <c r="A3918" s="49">
        <v>89684</v>
      </c>
      <c r="B3918" s="48" t="s">
        <v>5156</v>
      </c>
      <c r="C3918" s="48" t="s">
        <v>32</v>
      </c>
      <c r="D3918" s="50">
        <v>53.64</v>
      </c>
    </row>
    <row r="3919" spans="1:4" ht="13.5">
      <c r="A3919" s="49">
        <v>89685</v>
      </c>
      <c r="B3919" s="48" t="s">
        <v>5157</v>
      </c>
      <c r="C3919" s="48" t="s">
        <v>32</v>
      </c>
      <c r="D3919" s="50">
        <v>68.92</v>
      </c>
    </row>
    <row r="3920" spans="1:4" ht="13.5">
      <c r="A3920" s="49">
        <v>89686</v>
      </c>
      <c r="B3920" s="48" t="s">
        <v>5158</v>
      </c>
      <c r="C3920" s="48" t="s">
        <v>32</v>
      </c>
      <c r="D3920" s="50">
        <v>205.58</v>
      </c>
    </row>
    <row r="3921" spans="1:4" ht="13.5">
      <c r="A3921" s="49">
        <v>89687</v>
      </c>
      <c r="B3921" s="48" t="s">
        <v>5159</v>
      </c>
      <c r="C3921" s="48" t="s">
        <v>32</v>
      </c>
      <c r="D3921" s="50">
        <v>57.93</v>
      </c>
    </row>
    <row r="3922" spans="1:4" ht="13.5">
      <c r="A3922" s="49">
        <v>89689</v>
      </c>
      <c r="B3922" s="48" t="s">
        <v>5160</v>
      </c>
      <c r="C3922" s="48" t="s">
        <v>32</v>
      </c>
      <c r="D3922" s="50">
        <v>41.36</v>
      </c>
    </row>
    <row r="3923" spans="1:4" ht="13.5">
      <c r="A3923" s="49">
        <v>89690</v>
      </c>
      <c r="B3923" s="48" t="s">
        <v>5161</v>
      </c>
      <c r="C3923" s="48" t="s">
        <v>32</v>
      </c>
      <c r="D3923" s="50">
        <v>105.09</v>
      </c>
    </row>
    <row r="3924" spans="1:4" ht="13.5">
      <c r="A3924" s="49">
        <v>89691</v>
      </c>
      <c r="B3924" s="48" t="s">
        <v>5162</v>
      </c>
      <c r="C3924" s="48" t="s">
        <v>32</v>
      </c>
      <c r="D3924" s="50">
        <v>12.96</v>
      </c>
    </row>
    <row r="3925" spans="1:4" ht="13.5">
      <c r="A3925" s="49">
        <v>89692</v>
      </c>
      <c r="B3925" s="48" t="s">
        <v>5163</v>
      </c>
      <c r="C3925" s="48" t="s">
        <v>32</v>
      </c>
      <c r="D3925" s="50">
        <v>98.78</v>
      </c>
    </row>
    <row r="3926" spans="1:4" ht="13.5">
      <c r="A3926" s="49">
        <v>89693</v>
      </c>
      <c r="B3926" s="48" t="s">
        <v>5164</v>
      </c>
      <c r="C3926" s="48" t="s">
        <v>32</v>
      </c>
      <c r="D3926" s="50">
        <v>95.45</v>
      </c>
    </row>
    <row r="3927" spans="1:4" ht="13.5">
      <c r="A3927" s="49">
        <v>89694</v>
      </c>
      <c r="B3927" s="48" t="s">
        <v>5165</v>
      </c>
      <c r="C3927" s="48" t="s">
        <v>32</v>
      </c>
      <c r="D3927" s="50">
        <v>22.34</v>
      </c>
    </row>
    <row r="3928" spans="1:4" ht="13.5">
      <c r="A3928" s="49">
        <v>89695</v>
      </c>
      <c r="B3928" s="48" t="s">
        <v>5166</v>
      </c>
      <c r="C3928" s="48" t="s">
        <v>32</v>
      </c>
      <c r="D3928" s="50">
        <v>20.57</v>
      </c>
    </row>
    <row r="3929" spans="1:4" ht="13.5">
      <c r="A3929" s="49">
        <v>89696</v>
      </c>
      <c r="B3929" s="48" t="s">
        <v>5167</v>
      </c>
      <c r="C3929" s="48" t="s">
        <v>32</v>
      </c>
      <c r="D3929" s="50">
        <v>85.73</v>
      </c>
    </row>
    <row r="3930" spans="1:4" ht="13.5">
      <c r="A3930" s="49">
        <v>89697</v>
      </c>
      <c r="B3930" s="48" t="s">
        <v>5168</v>
      </c>
      <c r="C3930" s="48" t="s">
        <v>32</v>
      </c>
      <c r="D3930" s="50">
        <v>14.71</v>
      </c>
    </row>
    <row r="3931" spans="1:4" ht="13.5">
      <c r="A3931" s="49">
        <v>89698</v>
      </c>
      <c r="B3931" s="48" t="s">
        <v>5169</v>
      </c>
      <c r="C3931" s="48" t="s">
        <v>32</v>
      </c>
      <c r="D3931" s="50">
        <v>311.44</v>
      </c>
    </row>
    <row r="3932" spans="1:4" ht="13.5">
      <c r="A3932" s="49">
        <v>89699</v>
      </c>
      <c r="B3932" s="48" t="s">
        <v>5170</v>
      </c>
      <c r="C3932" s="48" t="s">
        <v>32</v>
      </c>
      <c r="D3932" s="50">
        <v>270.12</v>
      </c>
    </row>
    <row r="3933" spans="1:4" ht="13.5">
      <c r="A3933" s="49">
        <v>89700</v>
      </c>
      <c r="B3933" s="48" t="s">
        <v>5171</v>
      </c>
      <c r="C3933" s="48" t="s">
        <v>32</v>
      </c>
      <c r="D3933" s="50">
        <v>22.74</v>
      </c>
    </row>
    <row r="3934" spans="1:4" ht="13.5">
      <c r="A3934" s="49">
        <v>89701</v>
      </c>
      <c r="B3934" s="48" t="s">
        <v>5172</v>
      </c>
      <c r="C3934" s="48" t="s">
        <v>32</v>
      </c>
      <c r="D3934" s="50">
        <v>235.94</v>
      </c>
    </row>
    <row r="3935" spans="1:4" ht="13.5">
      <c r="A3935" s="49">
        <v>89702</v>
      </c>
      <c r="B3935" s="48" t="s">
        <v>5173</v>
      </c>
      <c r="C3935" s="48" t="s">
        <v>32</v>
      </c>
      <c r="D3935" s="50">
        <v>22.74</v>
      </c>
    </row>
    <row r="3936" spans="1:4" ht="13.5">
      <c r="A3936" s="49">
        <v>89703</v>
      </c>
      <c r="B3936" s="48" t="s">
        <v>5174</v>
      </c>
      <c r="C3936" s="48" t="s">
        <v>32</v>
      </c>
      <c r="D3936" s="50">
        <v>55.33</v>
      </c>
    </row>
    <row r="3937" spans="1:4" ht="13.5">
      <c r="A3937" s="49">
        <v>89704</v>
      </c>
      <c r="B3937" s="48" t="s">
        <v>5175</v>
      </c>
      <c r="C3937" s="48" t="s">
        <v>32</v>
      </c>
      <c r="D3937" s="50">
        <v>161.87</v>
      </c>
    </row>
    <row r="3938" spans="1:4" ht="13.5">
      <c r="A3938" s="49">
        <v>89705</v>
      </c>
      <c r="B3938" s="48" t="s">
        <v>5176</v>
      </c>
      <c r="C3938" s="48" t="s">
        <v>32</v>
      </c>
      <c r="D3938" s="50">
        <v>27.46</v>
      </c>
    </row>
    <row r="3939" spans="1:4" ht="13.5">
      <c r="A3939" s="49">
        <v>89706</v>
      </c>
      <c r="B3939" s="48" t="s">
        <v>5177</v>
      </c>
      <c r="C3939" s="48" t="s">
        <v>32</v>
      </c>
      <c r="D3939" s="50">
        <v>62.23</v>
      </c>
    </row>
    <row r="3940" spans="1:4" ht="13.5">
      <c r="A3940" s="49">
        <v>89718</v>
      </c>
      <c r="B3940" s="48" t="s">
        <v>5178</v>
      </c>
      <c r="C3940" s="48" t="s">
        <v>6</v>
      </c>
      <c r="D3940" s="50">
        <v>55.45</v>
      </c>
    </row>
    <row r="3941" spans="1:4" ht="13.5">
      <c r="A3941" s="49">
        <v>89719</v>
      </c>
      <c r="B3941" s="48" t="s">
        <v>5179</v>
      </c>
      <c r="C3941" s="48" t="s">
        <v>32</v>
      </c>
      <c r="D3941" s="50">
        <v>12.21</v>
      </c>
    </row>
    <row r="3942" spans="1:4" ht="13.5">
      <c r="A3942" s="49">
        <v>89720</v>
      </c>
      <c r="B3942" s="48" t="s">
        <v>5180</v>
      </c>
      <c r="C3942" s="48" t="s">
        <v>32</v>
      </c>
      <c r="D3942" s="50">
        <v>14.6</v>
      </c>
    </row>
    <row r="3943" spans="1:4" ht="13.5">
      <c r="A3943" s="49">
        <v>89721</v>
      </c>
      <c r="B3943" s="48" t="s">
        <v>5181</v>
      </c>
      <c r="C3943" s="48" t="s">
        <v>32</v>
      </c>
      <c r="D3943" s="50">
        <v>15.4</v>
      </c>
    </row>
    <row r="3944" spans="1:4" ht="13.5">
      <c r="A3944" s="49">
        <v>89722</v>
      </c>
      <c r="B3944" s="48" t="s">
        <v>5182</v>
      </c>
      <c r="C3944" s="48" t="s">
        <v>32</v>
      </c>
      <c r="D3944" s="50">
        <v>26.67</v>
      </c>
    </row>
    <row r="3945" spans="1:4" ht="13.5">
      <c r="A3945" s="49">
        <v>89723</v>
      </c>
      <c r="B3945" s="48" t="s">
        <v>5183</v>
      </c>
      <c r="C3945" s="48" t="s">
        <v>32</v>
      </c>
      <c r="D3945" s="50">
        <v>20.54</v>
      </c>
    </row>
    <row r="3946" spans="1:4" ht="13.5">
      <c r="A3946" s="49">
        <v>89724</v>
      </c>
      <c r="B3946" s="48" t="s">
        <v>5184</v>
      </c>
      <c r="C3946" s="48" t="s">
        <v>32</v>
      </c>
      <c r="D3946" s="50">
        <v>11.49</v>
      </c>
    </row>
    <row r="3947" spans="1:4" ht="13.5">
      <c r="A3947" s="49">
        <v>89725</v>
      </c>
      <c r="B3947" s="48" t="s">
        <v>5185</v>
      </c>
      <c r="C3947" s="48" t="s">
        <v>32</v>
      </c>
      <c r="D3947" s="50">
        <v>19.989999999999998</v>
      </c>
    </row>
    <row r="3948" spans="1:4" ht="13.5">
      <c r="A3948" s="49">
        <v>89726</v>
      </c>
      <c r="B3948" s="48" t="s">
        <v>5186</v>
      </c>
      <c r="C3948" s="48" t="s">
        <v>32</v>
      </c>
      <c r="D3948" s="50">
        <v>7.47</v>
      </c>
    </row>
    <row r="3949" spans="1:4" ht="13.5">
      <c r="A3949" s="49">
        <v>89727</v>
      </c>
      <c r="B3949" s="48" t="s">
        <v>5187</v>
      </c>
      <c r="C3949" s="48" t="s">
        <v>32</v>
      </c>
      <c r="D3949" s="50">
        <v>22.55</v>
      </c>
    </row>
    <row r="3950" spans="1:4" ht="13.5">
      <c r="A3950" s="49">
        <v>89728</v>
      </c>
      <c r="B3950" s="48" t="s">
        <v>5188</v>
      </c>
      <c r="C3950" s="48" t="s">
        <v>32</v>
      </c>
      <c r="D3950" s="50">
        <v>12.48</v>
      </c>
    </row>
    <row r="3951" spans="1:4" ht="13.5">
      <c r="A3951" s="49">
        <v>89729</v>
      </c>
      <c r="B3951" s="48" t="s">
        <v>5189</v>
      </c>
      <c r="C3951" s="48" t="s">
        <v>32</v>
      </c>
      <c r="D3951" s="50">
        <v>31.58</v>
      </c>
    </row>
    <row r="3952" spans="1:4" ht="13.5">
      <c r="A3952" s="49">
        <v>89730</v>
      </c>
      <c r="B3952" s="48" t="s">
        <v>5190</v>
      </c>
      <c r="C3952" s="48" t="s">
        <v>32</v>
      </c>
      <c r="D3952" s="50">
        <v>13.79</v>
      </c>
    </row>
    <row r="3953" spans="1:4" ht="13.5">
      <c r="A3953" s="49">
        <v>89731</v>
      </c>
      <c r="B3953" s="48" t="s">
        <v>5191</v>
      </c>
      <c r="C3953" s="48" t="s">
        <v>32</v>
      </c>
      <c r="D3953" s="50">
        <v>11.53</v>
      </c>
    </row>
    <row r="3954" spans="1:4" ht="13.5">
      <c r="A3954" s="49">
        <v>89732</v>
      </c>
      <c r="B3954" s="48" t="s">
        <v>5192</v>
      </c>
      <c r="C3954" s="48" t="s">
        <v>32</v>
      </c>
      <c r="D3954" s="50">
        <v>12.48</v>
      </c>
    </row>
    <row r="3955" spans="1:4" ht="13.5">
      <c r="A3955" s="49">
        <v>89733</v>
      </c>
      <c r="B3955" s="48" t="s">
        <v>5194</v>
      </c>
      <c r="C3955" s="48" t="s">
        <v>32</v>
      </c>
      <c r="D3955" s="50">
        <v>22.71</v>
      </c>
    </row>
    <row r="3956" spans="1:4" ht="13.5">
      <c r="A3956" s="49">
        <v>89734</v>
      </c>
      <c r="B3956" s="48" t="s">
        <v>5195</v>
      </c>
      <c r="C3956" s="48" t="s">
        <v>32</v>
      </c>
      <c r="D3956" s="50">
        <v>31.58</v>
      </c>
    </row>
    <row r="3957" spans="1:4" ht="13.5">
      <c r="A3957" s="49">
        <v>89735</v>
      </c>
      <c r="B3957" s="48" t="s">
        <v>5196</v>
      </c>
      <c r="C3957" s="48" t="s">
        <v>32</v>
      </c>
      <c r="D3957" s="50">
        <v>24.27</v>
      </c>
    </row>
    <row r="3958" spans="1:4" ht="13.5">
      <c r="A3958" s="49">
        <v>89736</v>
      </c>
      <c r="B3958" s="48" t="s">
        <v>5197</v>
      </c>
      <c r="C3958" s="48" t="s">
        <v>32</v>
      </c>
      <c r="D3958" s="50">
        <v>8.4700000000000006</v>
      </c>
    </row>
    <row r="3959" spans="1:4" ht="13.5">
      <c r="A3959" s="49">
        <v>89737</v>
      </c>
      <c r="B3959" s="48" t="s">
        <v>5198</v>
      </c>
      <c r="C3959" s="48" t="s">
        <v>32</v>
      </c>
      <c r="D3959" s="50">
        <v>21.29</v>
      </c>
    </row>
    <row r="3960" spans="1:4" ht="13.5">
      <c r="A3960" s="49">
        <v>89738</v>
      </c>
      <c r="B3960" s="48" t="s">
        <v>5200</v>
      </c>
      <c r="C3960" s="48" t="s">
        <v>32</v>
      </c>
      <c r="D3960" s="50">
        <v>16.84</v>
      </c>
    </row>
    <row r="3961" spans="1:4" ht="13.5">
      <c r="A3961" s="49">
        <v>89739</v>
      </c>
      <c r="B3961" s="48" t="s">
        <v>5201</v>
      </c>
      <c r="C3961" s="48" t="s">
        <v>32</v>
      </c>
      <c r="D3961" s="50">
        <v>22.64</v>
      </c>
    </row>
    <row r="3962" spans="1:4" ht="13.5">
      <c r="A3962" s="49">
        <v>89740</v>
      </c>
      <c r="B3962" s="48" t="s">
        <v>5202</v>
      </c>
      <c r="C3962" s="48" t="s">
        <v>32</v>
      </c>
      <c r="D3962" s="50">
        <v>7.74</v>
      </c>
    </row>
    <row r="3963" spans="1:4" ht="13.5">
      <c r="A3963" s="49">
        <v>89741</v>
      </c>
      <c r="B3963" s="48" t="s">
        <v>5203</v>
      </c>
      <c r="C3963" s="48" t="s">
        <v>32</v>
      </c>
      <c r="D3963" s="50">
        <v>23.2</v>
      </c>
    </row>
    <row r="3964" spans="1:4" ht="13.5">
      <c r="A3964" s="49">
        <v>89742</v>
      </c>
      <c r="B3964" s="48" t="s">
        <v>5204</v>
      </c>
      <c r="C3964" s="48" t="s">
        <v>32</v>
      </c>
      <c r="D3964" s="50">
        <v>40.67</v>
      </c>
    </row>
    <row r="3965" spans="1:4" ht="13.5">
      <c r="A3965" s="49">
        <v>89743</v>
      </c>
      <c r="B3965" s="48" t="s">
        <v>5205</v>
      </c>
      <c r="C3965" s="48" t="s">
        <v>32</v>
      </c>
      <c r="D3965" s="50">
        <v>60.1</v>
      </c>
    </row>
    <row r="3966" spans="1:4" ht="13.5">
      <c r="A3966" s="49">
        <v>89744</v>
      </c>
      <c r="B3966" s="48" t="s">
        <v>5206</v>
      </c>
      <c r="C3966" s="48" t="s">
        <v>32</v>
      </c>
      <c r="D3966" s="50">
        <v>27.45</v>
      </c>
    </row>
    <row r="3967" spans="1:4" ht="13.5">
      <c r="A3967" s="49">
        <v>89745</v>
      </c>
      <c r="B3967" s="48" t="s">
        <v>5207</v>
      </c>
      <c r="C3967" s="48" t="s">
        <v>32</v>
      </c>
      <c r="D3967" s="50">
        <v>36.83</v>
      </c>
    </row>
    <row r="3968" spans="1:4" ht="13.5">
      <c r="A3968" s="49">
        <v>89746</v>
      </c>
      <c r="B3968" s="48" t="s">
        <v>5208</v>
      </c>
      <c r="C3968" s="48" t="s">
        <v>32</v>
      </c>
      <c r="D3968" s="50">
        <v>27.37</v>
      </c>
    </row>
    <row r="3969" spans="1:4" ht="13.5">
      <c r="A3969" s="49">
        <v>89747</v>
      </c>
      <c r="B3969" s="48" t="s">
        <v>5209</v>
      </c>
      <c r="C3969" s="48" t="s">
        <v>32</v>
      </c>
      <c r="D3969" s="50">
        <v>14</v>
      </c>
    </row>
    <row r="3970" spans="1:4" ht="13.5">
      <c r="A3970" s="49">
        <v>89748</v>
      </c>
      <c r="B3970" s="48" t="s">
        <v>5210</v>
      </c>
      <c r="C3970" s="48" t="s">
        <v>32</v>
      </c>
      <c r="D3970" s="50">
        <v>48.53</v>
      </c>
    </row>
    <row r="3971" spans="1:4" ht="13.5">
      <c r="A3971" s="49">
        <v>89749</v>
      </c>
      <c r="B3971" s="48" t="s">
        <v>5211</v>
      </c>
      <c r="C3971" s="48" t="s">
        <v>32</v>
      </c>
      <c r="D3971" s="50">
        <v>16.84</v>
      </c>
    </row>
    <row r="3972" spans="1:4" ht="13.5">
      <c r="A3972" s="49">
        <v>89750</v>
      </c>
      <c r="B3972" s="48" t="s">
        <v>5212</v>
      </c>
      <c r="C3972" s="48" t="s">
        <v>32</v>
      </c>
      <c r="D3972" s="50">
        <v>85.92</v>
      </c>
    </row>
    <row r="3973" spans="1:4" ht="13.5">
      <c r="A3973" s="49">
        <v>89751</v>
      </c>
      <c r="B3973" s="48" t="s">
        <v>5213</v>
      </c>
      <c r="C3973" s="48" t="s">
        <v>32</v>
      </c>
      <c r="D3973" s="50">
        <v>6.49</v>
      </c>
    </row>
    <row r="3974" spans="1:4" ht="13.5">
      <c r="A3974" s="49">
        <v>89752</v>
      </c>
      <c r="B3974" s="48" t="s">
        <v>5214</v>
      </c>
      <c r="C3974" s="48" t="s">
        <v>32</v>
      </c>
      <c r="D3974" s="50">
        <v>6.7</v>
      </c>
    </row>
    <row r="3975" spans="1:4" ht="13.5">
      <c r="A3975" s="49">
        <v>89753</v>
      </c>
      <c r="B3975" s="48" t="s">
        <v>5215</v>
      </c>
      <c r="C3975" s="48" t="s">
        <v>32</v>
      </c>
      <c r="D3975" s="50">
        <v>10.14</v>
      </c>
    </row>
    <row r="3976" spans="1:4" ht="13.5">
      <c r="A3976" s="49">
        <v>89754</v>
      </c>
      <c r="B3976" s="48" t="s">
        <v>5216</v>
      </c>
      <c r="C3976" s="48" t="s">
        <v>32</v>
      </c>
      <c r="D3976" s="50">
        <v>21.5</v>
      </c>
    </row>
    <row r="3977" spans="1:4" ht="13.5">
      <c r="A3977" s="49">
        <v>89755</v>
      </c>
      <c r="B3977" s="48" t="s">
        <v>5217</v>
      </c>
      <c r="C3977" s="48" t="s">
        <v>32</v>
      </c>
      <c r="D3977" s="50">
        <v>13.34</v>
      </c>
    </row>
    <row r="3978" spans="1:4" ht="13.5">
      <c r="A3978" s="49">
        <v>89756</v>
      </c>
      <c r="B3978" s="48" t="s">
        <v>5218</v>
      </c>
      <c r="C3978" s="48" t="s">
        <v>32</v>
      </c>
      <c r="D3978" s="50">
        <v>22.92</v>
      </c>
    </row>
    <row r="3979" spans="1:4" ht="13.5">
      <c r="A3979" s="49">
        <v>89757</v>
      </c>
      <c r="B3979" s="48" t="s">
        <v>5219</v>
      </c>
      <c r="C3979" s="48" t="s">
        <v>32</v>
      </c>
      <c r="D3979" s="50">
        <v>35.130000000000003</v>
      </c>
    </row>
    <row r="3980" spans="1:4" ht="13.5">
      <c r="A3980" s="49">
        <v>89758</v>
      </c>
      <c r="B3980" s="48" t="s">
        <v>5220</v>
      </c>
      <c r="C3980" s="48" t="s">
        <v>32</v>
      </c>
      <c r="D3980" s="50">
        <v>55.06</v>
      </c>
    </row>
    <row r="3981" spans="1:4" ht="13.5">
      <c r="A3981" s="49">
        <v>89759</v>
      </c>
      <c r="B3981" s="48" t="s">
        <v>5221</v>
      </c>
      <c r="C3981" s="48" t="s">
        <v>32</v>
      </c>
      <c r="D3981" s="50">
        <v>9.08</v>
      </c>
    </row>
    <row r="3982" spans="1:4" ht="13.5">
      <c r="A3982" s="49">
        <v>89760</v>
      </c>
      <c r="B3982" s="48" t="s">
        <v>5222</v>
      </c>
      <c r="C3982" s="48" t="s">
        <v>32</v>
      </c>
      <c r="D3982" s="50">
        <v>21.96</v>
      </c>
    </row>
    <row r="3983" spans="1:4" ht="13.5">
      <c r="A3983" s="49">
        <v>89761</v>
      </c>
      <c r="B3983" s="48" t="s">
        <v>5223</v>
      </c>
      <c r="C3983" s="48" t="s">
        <v>32</v>
      </c>
      <c r="D3983" s="50">
        <v>36.28</v>
      </c>
    </row>
    <row r="3984" spans="1:4" ht="13.5">
      <c r="A3984" s="49">
        <v>89762</v>
      </c>
      <c r="B3984" s="48" t="s">
        <v>5224</v>
      </c>
      <c r="C3984" s="48" t="s">
        <v>32</v>
      </c>
      <c r="D3984" s="50">
        <v>51.64</v>
      </c>
    </row>
    <row r="3985" spans="1:4" ht="13.5">
      <c r="A3985" s="49">
        <v>89763</v>
      </c>
      <c r="B3985" s="48" t="s">
        <v>5225</v>
      </c>
      <c r="C3985" s="48" t="s">
        <v>32</v>
      </c>
      <c r="D3985" s="50">
        <v>203.58</v>
      </c>
    </row>
    <row r="3986" spans="1:4" ht="13.5">
      <c r="A3986" s="49">
        <v>89764</v>
      </c>
      <c r="B3986" s="48" t="s">
        <v>5226</v>
      </c>
      <c r="C3986" s="48" t="s">
        <v>32</v>
      </c>
      <c r="D3986" s="50">
        <v>39.36</v>
      </c>
    </row>
    <row r="3987" spans="1:4" ht="13.5">
      <c r="A3987" s="49">
        <v>89765</v>
      </c>
      <c r="B3987" s="48" t="s">
        <v>5227</v>
      </c>
      <c r="C3987" s="48" t="s">
        <v>32</v>
      </c>
      <c r="D3987" s="50">
        <v>15.83</v>
      </c>
    </row>
    <row r="3988" spans="1:4" ht="13.5">
      <c r="A3988" s="49">
        <v>89766</v>
      </c>
      <c r="B3988" s="48" t="s">
        <v>5228</v>
      </c>
      <c r="C3988" s="48" t="s">
        <v>32</v>
      </c>
      <c r="D3988" s="50">
        <v>23.86</v>
      </c>
    </row>
    <row r="3989" spans="1:4" ht="13.5">
      <c r="A3989" s="49">
        <v>89767</v>
      </c>
      <c r="B3989" s="48" t="s">
        <v>5229</v>
      </c>
      <c r="C3989" s="48" t="s">
        <v>32</v>
      </c>
      <c r="D3989" s="50">
        <v>23.86</v>
      </c>
    </row>
    <row r="3990" spans="1:4" ht="13.5">
      <c r="A3990" s="49">
        <v>89768</v>
      </c>
      <c r="B3990" s="48" t="s">
        <v>5230</v>
      </c>
      <c r="C3990" s="48" t="s">
        <v>32</v>
      </c>
      <c r="D3990" s="50">
        <v>24.06</v>
      </c>
    </row>
    <row r="3991" spans="1:4" ht="13.5">
      <c r="A3991" s="49">
        <v>89769</v>
      </c>
      <c r="B3991" s="48" t="s">
        <v>5231</v>
      </c>
      <c r="C3991" s="48" t="s">
        <v>32</v>
      </c>
      <c r="D3991" s="50">
        <v>58.2</v>
      </c>
    </row>
    <row r="3992" spans="1:4" ht="13.5">
      <c r="A3992" s="49">
        <v>89772</v>
      </c>
      <c r="B3992" s="48" t="s">
        <v>5233</v>
      </c>
      <c r="C3992" s="48" t="s">
        <v>6</v>
      </c>
      <c r="D3992" s="50">
        <v>105.32</v>
      </c>
    </row>
    <row r="3993" spans="1:4" ht="13.5">
      <c r="A3993" s="49">
        <v>89774</v>
      </c>
      <c r="B3993" s="48" t="s">
        <v>5234</v>
      </c>
      <c r="C3993" s="48" t="s">
        <v>32</v>
      </c>
      <c r="D3993" s="50">
        <v>17.3</v>
      </c>
    </row>
    <row r="3994" spans="1:4" ht="13.5">
      <c r="A3994" s="49">
        <v>89776</v>
      </c>
      <c r="B3994" s="48" t="s">
        <v>5235</v>
      </c>
      <c r="C3994" s="48" t="s">
        <v>32</v>
      </c>
      <c r="D3994" s="50">
        <v>26.08</v>
      </c>
    </row>
    <row r="3995" spans="1:4" ht="13.5">
      <c r="A3995" s="49">
        <v>89777</v>
      </c>
      <c r="B3995" s="48" t="s">
        <v>5236</v>
      </c>
      <c r="C3995" s="48" t="s">
        <v>32</v>
      </c>
      <c r="D3995" s="50">
        <v>30.21</v>
      </c>
    </row>
    <row r="3996" spans="1:4" ht="13.5">
      <c r="A3996" s="49">
        <v>89778</v>
      </c>
      <c r="B3996" s="48" t="s">
        <v>5237</v>
      </c>
      <c r="C3996" s="48" t="s">
        <v>32</v>
      </c>
      <c r="D3996" s="50">
        <v>21.28</v>
      </c>
    </row>
    <row r="3997" spans="1:4" ht="13.5">
      <c r="A3997" s="49">
        <v>89779</v>
      </c>
      <c r="B3997" s="48" t="s">
        <v>5238</v>
      </c>
      <c r="C3997" s="48" t="s">
        <v>32</v>
      </c>
      <c r="D3997" s="50">
        <v>37.53</v>
      </c>
    </row>
    <row r="3998" spans="1:4" ht="13.5">
      <c r="A3998" s="49">
        <v>89780</v>
      </c>
      <c r="B3998" s="48" t="s">
        <v>5239</v>
      </c>
      <c r="C3998" s="48" t="s">
        <v>32</v>
      </c>
      <c r="D3998" s="50">
        <v>30.21</v>
      </c>
    </row>
    <row r="3999" spans="1:4" ht="13.5">
      <c r="A3999" s="49">
        <v>89781</v>
      </c>
      <c r="B3999" s="48" t="s">
        <v>5240</v>
      </c>
      <c r="C3999" s="48" t="s">
        <v>32</v>
      </c>
      <c r="D3999" s="50">
        <v>45.17</v>
      </c>
    </row>
    <row r="4000" spans="1:4" ht="13.5">
      <c r="A4000" s="49">
        <v>89782</v>
      </c>
      <c r="B4000" s="48" t="s">
        <v>5241</v>
      </c>
      <c r="C4000" s="48" t="s">
        <v>32</v>
      </c>
      <c r="D4000" s="50">
        <v>13.06</v>
      </c>
    </row>
    <row r="4001" spans="1:4" ht="13.5">
      <c r="A4001" s="49">
        <v>89783</v>
      </c>
      <c r="B4001" s="48" t="s">
        <v>5242</v>
      </c>
      <c r="C4001" s="48" t="s">
        <v>32</v>
      </c>
      <c r="D4001" s="50">
        <v>13.48</v>
      </c>
    </row>
    <row r="4002" spans="1:4" ht="13.5">
      <c r="A4002" s="49">
        <v>89784</v>
      </c>
      <c r="B4002" s="48" t="s">
        <v>5243</v>
      </c>
      <c r="C4002" s="48" t="s">
        <v>32</v>
      </c>
      <c r="D4002" s="50">
        <v>22.71</v>
      </c>
    </row>
    <row r="4003" spans="1:4" ht="13.5">
      <c r="A4003" s="49">
        <v>89785</v>
      </c>
      <c r="B4003" s="48" t="s">
        <v>5244</v>
      </c>
      <c r="C4003" s="48" t="s">
        <v>32</v>
      </c>
      <c r="D4003" s="50">
        <v>25.42</v>
      </c>
    </row>
    <row r="4004" spans="1:4" ht="13.5">
      <c r="A4004" s="49">
        <v>89786</v>
      </c>
      <c r="B4004" s="48" t="s">
        <v>5245</v>
      </c>
      <c r="C4004" s="48" t="s">
        <v>32</v>
      </c>
      <c r="D4004" s="50">
        <v>39.19</v>
      </c>
    </row>
    <row r="4005" spans="1:4" ht="13.5">
      <c r="A4005" s="49">
        <v>89787</v>
      </c>
      <c r="B4005" s="48" t="s">
        <v>5246</v>
      </c>
      <c r="C4005" s="48" t="s">
        <v>32</v>
      </c>
      <c r="D4005" s="50">
        <v>45.17</v>
      </c>
    </row>
    <row r="4006" spans="1:4" ht="13.5">
      <c r="A4006" s="49">
        <v>89788</v>
      </c>
      <c r="B4006" s="48" t="s">
        <v>5247</v>
      </c>
      <c r="C4006" s="48" t="s">
        <v>32</v>
      </c>
      <c r="D4006" s="50">
        <v>88.69</v>
      </c>
    </row>
    <row r="4007" spans="1:4" ht="13.5">
      <c r="A4007" s="49">
        <v>89789</v>
      </c>
      <c r="B4007" s="48" t="s">
        <v>5248</v>
      </c>
      <c r="C4007" s="48" t="s">
        <v>32</v>
      </c>
      <c r="D4007" s="50">
        <v>90.1</v>
      </c>
    </row>
    <row r="4008" spans="1:4" ht="13.5">
      <c r="A4008" s="49">
        <v>89790</v>
      </c>
      <c r="B4008" s="48" t="s">
        <v>5249</v>
      </c>
      <c r="C4008" s="48" t="s">
        <v>32</v>
      </c>
      <c r="D4008" s="50">
        <v>220.52</v>
      </c>
    </row>
    <row r="4009" spans="1:4" ht="13.5">
      <c r="A4009" s="49">
        <v>89791</v>
      </c>
      <c r="B4009" s="48" t="s">
        <v>5250</v>
      </c>
      <c r="C4009" s="48" t="s">
        <v>32</v>
      </c>
      <c r="D4009" s="50">
        <v>225.71</v>
      </c>
    </row>
    <row r="4010" spans="1:4" ht="13.5">
      <c r="A4010" s="49">
        <v>89792</v>
      </c>
      <c r="B4010" s="48" t="s">
        <v>5252</v>
      </c>
      <c r="C4010" s="48" t="s">
        <v>32</v>
      </c>
      <c r="D4010" s="50">
        <v>259.66000000000003</v>
      </c>
    </row>
    <row r="4011" spans="1:4" ht="13.5">
      <c r="A4011" s="49">
        <v>89793</v>
      </c>
      <c r="B4011" s="48" t="s">
        <v>5253</v>
      </c>
      <c r="C4011" s="48" t="s">
        <v>32</v>
      </c>
      <c r="D4011" s="50">
        <v>266.64999999999998</v>
      </c>
    </row>
    <row r="4012" spans="1:4" ht="13.5">
      <c r="A4012" s="49">
        <v>89794</v>
      </c>
      <c r="B4012" s="48" t="s">
        <v>5254</v>
      </c>
      <c r="C4012" s="48" t="s">
        <v>32</v>
      </c>
      <c r="D4012" s="50">
        <v>21.07</v>
      </c>
    </row>
    <row r="4013" spans="1:4" ht="13.5">
      <c r="A4013" s="49">
        <v>89795</v>
      </c>
      <c r="B4013" s="48" t="s">
        <v>5255</v>
      </c>
      <c r="C4013" s="48" t="s">
        <v>32</v>
      </c>
      <c r="D4013" s="50">
        <v>42.91</v>
      </c>
    </row>
    <row r="4014" spans="1:4" ht="13.5">
      <c r="A4014" s="49">
        <v>89796</v>
      </c>
      <c r="B4014" s="48" t="s">
        <v>5256</v>
      </c>
      <c r="C4014" s="48" t="s">
        <v>32</v>
      </c>
      <c r="D4014" s="50">
        <v>47.26</v>
      </c>
    </row>
    <row r="4015" spans="1:4" ht="13.5">
      <c r="A4015" s="49">
        <v>89797</v>
      </c>
      <c r="B4015" s="48" t="s">
        <v>5257</v>
      </c>
      <c r="C4015" s="48" t="s">
        <v>32</v>
      </c>
      <c r="D4015" s="50">
        <v>55.97</v>
      </c>
    </row>
    <row r="4016" spans="1:4" ht="13.5">
      <c r="A4016" s="49">
        <v>89801</v>
      </c>
      <c r="B4016" s="48" t="s">
        <v>5258</v>
      </c>
      <c r="C4016" s="48" t="s">
        <v>32</v>
      </c>
      <c r="D4016" s="50">
        <v>8</v>
      </c>
    </row>
    <row r="4017" spans="1:4" ht="13.5">
      <c r="A4017" s="49">
        <v>89802</v>
      </c>
      <c r="B4017" s="48" t="s">
        <v>5259</v>
      </c>
      <c r="C4017" s="48" t="s">
        <v>32</v>
      </c>
      <c r="D4017" s="50">
        <v>8.9499999999999993</v>
      </c>
    </row>
    <row r="4018" spans="1:4" ht="13.5">
      <c r="A4018" s="49">
        <v>89803</v>
      </c>
      <c r="B4018" s="48" t="s">
        <v>5260</v>
      </c>
      <c r="C4018" s="48" t="s">
        <v>32</v>
      </c>
      <c r="D4018" s="50">
        <v>19.18</v>
      </c>
    </row>
    <row r="4019" spans="1:4" ht="13.5">
      <c r="A4019" s="49">
        <v>89804</v>
      </c>
      <c r="B4019" s="48" t="s">
        <v>5261</v>
      </c>
      <c r="C4019" s="48" t="s">
        <v>32</v>
      </c>
      <c r="D4019" s="50">
        <v>20.74</v>
      </c>
    </row>
    <row r="4020" spans="1:4" ht="13.5">
      <c r="A4020" s="49">
        <v>89805</v>
      </c>
      <c r="B4020" s="48" t="s">
        <v>5262</v>
      </c>
      <c r="C4020" s="48" t="s">
        <v>32</v>
      </c>
      <c r="D4020" s="50">
        <v>16.989999999999998</v>
      </c>
    </row>
    <row r="4021" spans="1:4" ht="13.5">
      <c r="A4021" s="49">
        <v>89806</v>
      </c>
      <c r="B4021" s="48" t="s">
        <v>5263</v>
      </c>
      <c r="C4021" s="48" t="s">
        <v>32</v>
      </c>
      <c r="D4021" s="50">
        <v>18.34</v>
      </c>
    </row>
    <row r="4022" spans="1:4" ht="13.5">
      <c r="A4022" s="49">
        <v>89807</v>
      </c>
      <c r="B4022" s="48" t="s">
        <v>5264</v>
      </c>
      <c r="C4022" s="48" t="s">
        <v>32</v>
      </c>
      <c r="D4022" s="50">
        <v>36.369999999999997</v>
      </c>
    </row>
    <row r="4023" spans="1:4" ht="13.5">
      <c r="A4023" s="49">
        <v>89808</v>
      </c>
      <c r="B4023" s="48" t="s">
        <v>5265</v>
      </c>
      <c r="C4023" s="48" t="s">
        <v>32</v>
      </c>
      <c r="D4023" s="50">
        <v>55.8</v>
      </c>
    </row>
    <row r="4024" spans="1:4" ht="13.5">
      <c r="A4024" s="49">
        <v>89809</v>
      </c>
      <c r="B4024" s="48" t="s">
        <v>5266</v>
      </c>
      <c r="C4024" s="48" t="s">
        <v>32</v>
      </c>
      <c r="D4024" s="50">
        <v>22.37</v>
      </c>
    </row>
    <row r="4025" spans="1:4" ht="13.5">
      <c r="A4025" s="49">
        <v>89810</v>
      </c>
      <c r="B4025" s="48" t="s">
        <v>5267</v>
      </c>
      <c r="C4025" s="48" t="s">
        <v>32</v>
      </c>
      <c r="D4025" s="50">
        <v>22.29</v>
      </c>
    </row>
    <row r="4026" spans="1:4" ht="13.5">
      <c r="A4026" s="49">
        <v>89811</v>
      </c>
      <c r="B4026" s="48" t="s">
        <v>5268</v>
      </c>
      <c r="C4026" s="48" t="s">
        <v>32</v>
      </c>
      <c r="D4026" s="50">
        <v>43.45</v>
      </c>
    </row>
    <row r="4027" spans="1:4" ht="13.5">
      <c r="A4027" s="49">
        <v>89812</v>
      </c>
      <c r="B4027" s="48" t="s">
        <v>5269</v>
      </c>
      <c r="C4027" s="48" t="s">
        <v>32</v>
      </c>
      <c r="D4027" s="50">
        <v>80.84</v>
      </c>
    </row>
    <row r="4028" spans="1:4" ht="13.5">
      <c r="A4028" s="49">
        <v>89813</v>
      </c>
      <c r="B4028" s="48" t="s">
        <v>5270</v>
      </c>
      <c r="C4028" s="48" t="s">
        <v>32</v>
      </c>
      <c r="D4028" s="50">
        <v>8.18</v>
      </c>
    </row>
    <row r="4029" spans="1:4" ht="13.5">
      <c r="A4029" s="49">
        <v>89814</v>
      </c>
      <c r="B4029" s="48" t="s">
        <v>5271</v>
      </c>
      <c r="C4029" s="48" t="s">
        <v>32</v>
      </c>
      <c r="D4029" s="50">
        <v>19.54</v>
      </c>
    </row>
    <row r="4030" spans="1:4" ht="13.5">
      <c r="A4030" s="49">
        <v>89815</v>
      </c>
      <c r="B4030" s="48" t="s">
        <v>5272</v>
      </c>
      <c r="C4030" s="48" t="s">
        <v>32</v>
      </c>
      <c r="D4030" s="50">
        <v>35.39</v>
      </c>
    </row>
    <row r="4031" spans="1:4" ht="13.5">
      <c r="A4031" s="49">
        <v>89816</v>
      </c>
      <c r="B4031" s="48" t="s">
        <v>5273</v>
      </c>
      <c r="C4031" s="48" t="s">
        <v>32</v>
      </c>
      <c r="D4031" s="50">
        <v>50.75</v>
      </c>
    </row>
    <row r="4032" spans="1:4" ht="13.5">
      <c r="A4032" s="49">
        <v>89817</v>
      </c>
      <c r="B4032" s="48" t="s">
        <v>5274</v>
      </c>
      <c r="C4032" s="48" t="s">
        <v>32</v>
      </c>
      <c r="D4032" s="50">
        <v>14.56</v>
      </c>
    </row>
    <row r="4033" spans="1:4" ht="13.5">
      <c r="A4033" s="49">
        <v>89818</v>
      </c>
      <c r="B4033" s="48" t="s">
        <v>5275</v>
      </c>
      <c r="C4033" s="48" t="s">
        <v>32</v>
      </c>
      <c r="D4033" s="50">
        <v>202.69</v>
      </c>
    </row>
    <row r="4034" spans="1:4" ht="13.5">
      <c r="A4034" s="49">
        <v>89819</v>
      </c>
      <c r="B4034" s="48" t="s">
        <v>5276</v>
      </c>
      <c r="C4034" s="48" t="s">
        <v>32</v>
      </c>
      <c r="D4034" s="50">
        <v>23.34</v>
      </c>
    </row>
    <row r="4035" spans="1:4" ht="13.5">
      <c r="A4035" s="49">
        <v>89820</v>
      </c>
      <c r="B4035" s="48" t="s">
        <v>5277</v>
      </c>
      <c r="C4035" s="48" t="s">
        <v>32</v>
      </c>
      <c r="D4035" s="50">
        <v>38.47</v>
      </c>
    </row>
    <row r="4036" spans="1:4" ht="13.5">
      <c r="A4036" s="49">
        <v>89821</v>
      </c>
      <c r="B4036" s="48" t="s">
        <v>5278</v>
      </c>
      <c r="C4036" s="48" t="s">
        <v>32</v>
      </c>
      <c r="D4036" s="50">
        <v>17.760000000000002</v>
      </c>
    </row>
    <row r="4037" spans="1:4" ht="13.5">
      <c r="A4037" s="49">
        <v>89822</v>
      </c>
      <c r="B4037" s="48" t="s">
        <v>5279</v>
      </c>
      <c r="C4037" s="48" t="s">
        <v>32</v>
      </c>
      <c r="D4037" s="50">
        <v>27.7</v>
      </c>
    </row>
    <row r="4038" spans="1:4" ht="13.5">
      <c r="A4038" s="49">
        <v>89823</v>
      </c>
      <c r="B4038" s="48" t="s">
        <v>5280</v>
      </c>
      <c r="C4038" s="48" t="s">
        <v>32</v>
      </c>
      <c r="D4038" s="50">
        <v>34.01</v>
      </c>
    </row>
    <row r="4039" spans="1:4" ht="13.5">
      <c r="A4039" s="49">
        <v>89824</v>
      </c>
      <c r="B4039" s="48" t="s">
        <v>5281</v>
      </c>
      <c r="C4039" s="48" t="s">
        <v>32</v>
      </c>
      <c r="D4039" s="50">
        <v>48.11</v>
      </c>
    </row>
    <row r="4040" spans="1:4" ht="13.5">
      <c r="A4040" s="49">
        <v>89825</v>
      </c>
      <c r="B4040" s="48" t="s">
        <v>5282</v>
      </c>
      <c r="C4040" s="48" t="s">
        <v>32</v>
      </c>
      <c r="D4040" s="50">
        <v>18.41</v>
      </c>
    </row>
    <row r="4041" spans="1:4" ht="13.5">
      <c r="A4041" s="49">
        <v>89826</v>
      </c>
      <c r="B4041" s="48" t="s">
        <v>5283</v>
      </c>
      <c r="C4041" s="48" t="s">
        <v>32</v>
      </c>
      <c r="D4041" s="50">
        <v>207.01</v>
      </c>
    </row>
    <row r="4042" spans="1:4" ht="13.5">
      <c r="A4042" s="49">
        <v>89827</v>
      </c>
      <c r="B4042" s="48" t="s">
        <v>5284</v>
      </c>
      <c r="C4042" s="48" t="s">
        <v>32</v>
      </c>
      <c r="D4042" s="50">
        <v>21.12</v>
      </c>
    </row>
    <row r="4043" spans="1:4" ht="13.5">
      <c r="A4043" s="49">
        <v>89828</v>
      </c>
      <c r="B4043" s="48" t="s">
        <v>5285</v>
      </c>
      <c r="C4043" s="48" t="s">
        <v>32</v>
      </c>
      <c r="D4043" s="50">
        <v>73.3</v>
      </c>
    </row>
    <row r="4044" spans="1:4" ht="13.5">
      <c r="A4044" s="49">
        <v>89829</v>
      </c>
      <c r="B4044" s="48" t="s">
        <v>5286</v>
      </c>
      <c r="C4044" s="48" t="s">
        <v>32</v>
      </c>
      <c r="D4044" s="50">
        <v>33.72</v>
      </c>
    </row>
    <row r="4045" spans="1:4" ht="13.5">
      <c r="A4045" s="49">
        <v>89830</v>
      </c>
      <c r="B4045" s="48" t="s">
        <v>5287</v>
      </c>
      <c r="C4045" s="48" t="s">
        <v>32</v>
      </c>
      <c r="D4045" s="50">
        <v>37.44</v>
      </c>
    </row>
    <row r="4046" spans="1:4" ht="13.5">
      <c r="A4046" s="49">
        <v>89831</v>
      </c>
      <c r="B4046" s="48" t="s">
        <v>5288</v>
      </c>
      <c r="C4046" s="48" t="s">
        <v>32</v>
      </c>
      <c r="D4046" s="50">
        <v>247.52</v>
      </c>
    </row>
    <row r="4047" spans="1:4" ht="13.5">
      <c r="A4047" s="49">
        <v>89832</v>
      </c>
      <c r="B4047" s="48" t="s">
        <v>5289</v>
      </c>
      <c r="C4047" s="48" t="s">
        <v>32</v>
      </c>
      <c r="D4047" s="50">
        <v>50.43</v>
      </c>
    </row>
    <row r="4048" spans="1:4" ht="13.5">
      <c r="A4048" s="49">
        <v>89833</v>
      </c>
      <c r="B4048" s="48" t="s">
        <v>5290</v>
      </c>
      <c r="C4048" s="48" t="s">
        <v>32</v>
      </c>
      <c r="D4048" s="50">
        <v>40.61</v>
      </c>
    </row>
    <row r="4049" spans="1:4" ht="13.5">
      <c r="A4049" s="49">
        <v>89834</v>
      </c>
      <c r="B4049" s="48" t="s">
        <v>5291</v>
      </c>
      <c r="C4049" s="48" t="s">
        <v>32</v>
      </c>
      <c r="D4049" s="50">
        <v>49.32</v>
      </c>
    </row>
    <row r="4050" spans="1:4" ht="13.5">
      <c r="A4050" s="49">
        <v>89835</v>
      </c>
      <c r="B4050" s="48" t="s">
        <v>5292</v>
      </c>
      <c r="C4050" s="48" t="s">
        <v>32</v>
      </c>
      <c r="D4050" s="50">
        <v>49.69</v>
      </c>
    </row>
    <row r="4051" spans="1:4" ht="13.5">
      <c r="A4051" s="49">
        <v>89836</v>
      </c>
      <c r="B4051" s="48" t="s">
        <v>5293</v>
      </c>
      <c r="C4051" s="48" t="s">
        <v>32</v>
      </c>
      <c r="D4051" s="50">
        <v>334.47</v>
      </c>
    </row>
    <row r="4052" spans="1:4" ht="13.5">
      <c r="A4052" s="49">
        <v>89837</v>
      </c>
      <c r="B4052" s="48" t="s">
        <v>5294</v>
      </c>
      <c r="C4052" s="48" t="s">
        <v>32</v>
      </c>
      <c r="D4052" s="50">
        <v>166.55</v>
      </c>
    </row>
    <row r="4053" spans="1:4" ht="13.5">
      <c r="A4053" s="49">
        <v>89838</v>
      </c>
      <c r="B4053" s="48" t="s">
        <v>5295</v>
      </c>
      <c r="C4053" s="48" t="s">
        <v>32</v>
      </c>
      <c r="D4053" s="50">
        <v>181.77</v>
      </c>
    </row>
    <row r="4054" spans="1:4" ht="13.5">
      <c r="A4054" s="49">
        <v>89839</v>
      </c>
      <c r="B4054" s="48" t="s">
        <v>5296</v>
      </c>
      <c r="C4054" s="48" t="s">
        <v>32</v>
      </c>
      <c r="D4054" s="50">
        <v>241.45</v>
      </c>
    </row>
    <row r="4055" spans="1:4" ht="13.5">
      <c r="A4055" s="49">
        <v>89840</v>
      </c>
      <c r="B4055" s="48" t="s">
        <v>5297</v>
      </c>
      <c r="C4055" s="48" t="s">
        <v>32</v>
      </c>
      <c r="D4055" s="50">
        <v>210.39</v>
      </c>
    </row>
    <row r="4056" spans="1:4" ht="13.5">
      <c r="A4056" s="49">
        <v>89841</v>
      </c>
      <c r="B4056" s="48" t="s">
        <v>5298</v>
      </c>
      <c r="C4056" s="48" t="s">
        <v>32</v>
      </c>
      <c r="D4056" s="50">
        <v>354.76</v>
      </c>
    </row>
    <row r="4057" spans="1:4" ht="13.5">
      <c r="A4057" s="49">
        <v>89842</v>
      </c>
      <c r="B4057" s="48" t="s">
        <v>5299</v>
      </c>
      <c r="C4057" s="48" t="s">
        <v>32</v>
      </c>
      <c r="D4057" s="50">
        <v>56.4</v>
      </c>
    </row>
    <row r="4058" spans="1:4" ht="13.5">
      <c r="A4058" s="49">
        <v>89844</v>
      </c>
      <c r="B4058" s="48" t="s">
        <v>5300</v>
      </c>
      <c r="C4058" s="48" t="s">
        <v>32</v>
      </c>
      <c r="D4058" s="50">
        <v>71.97</v>
      </c>
    </row>
    <row r="4059" spans="1:4" ht="13.5">
      <c r="A4059" s="49">
        <v>89845</v>
      </c>
      <c r="B4059" s="48" t="s">
        <v>5301</v>
      </c>
      <c r="C4059" s="48" t="s">
        <v>32</v>
      </c>
      <c r="D4059" s="50">
        <v>111.95</v>
      </c>
    </row>
    <row r="4060" spans="1:4" ht="13.5">
      <c r="A4060" s="49">
        <v>89846</v>
      </c>
      <c r="B4060" s="48" t="s">
        <v>5302</v>
      </c>
      <c r="C4060" s="48" t="s">
        <v>32</v>
      </c>
      <c r="D4060" s="50">
        <v>253.21</v>
      </c>
    </row>
    <row r="4061" spans="1:4" ht="13.5">
      <c r="A4061" s="49">
        <v>89847</v>
      </c>
      <c r="B4061" s="48" t="s">
        <v>5303</v>
      </c>
      <c r="C4061" s="48" t="s">
        <v>32</v>
      </c>
      <c r="D4061" s="50">
        <v>311.82</v>
      </c>
    </row>
    <row r="4062" spans="1:4" ht="13.5">
      <c r="A4062" s="49">
        <v>89850</v>
      </c>
      <c r="B4062" s="48" t="s">
        <v>5304</v>
      </c>
      <c r="C4062" s="48" t="s">
        <v>32</v>
      </c>
      <c r="D4062" s="50">
        <v>27.06</v>
      </c>
    </row>
    <row r="4063" spans="1:4" ht="13.5">
      <c r="A4063" s="49">
        <v>89851</v>
      </c>
      <c r="B4063" s="48" t="s">
        <v>5305</v>
      </c>
      <c r="C4063" s="48" t="s">
        <v>32</v>
      </c>
      <c r="D4063" s="50">
        <v>26.98</v>
      </c>
    </row>
    <row r="4064" spans="1:4" ht="13.5">
      <c r="A4064" s="49">
        <v>89852</v>
      </c>
      <c r="B4064" s="48" t="s">
        <v>5306</v>
      </c>
      <c r="C4064" s="48" t="s">
        <v>32</v>
      </c>
      <c r="D4064" s="50">
        <v>48.14</v>
      </c>
    </row>
    <row r="4065" spans="1:4" ht="13.5">
      <c r="A4065" s="49">
        <v>89853</v>
      </c>
      <c r="B4065" s="48" t="s">
        <v>5307</v>
      </c>
      <c r="C4065" s="48" t="s">
        <v>32</v>
      </c>
      <c r="D4065" s="50">
        <v>85.53</v>
      </c>
    </row>
    <row r="4066" spans="1:4" ht="13.5">
      <c r="A4066" s="49">
        <v>89854</v>
      </c>
      <c r="B4066" s="48" t="s">
        <v>5308</v>
      </c>
      <c r="C4066" s="48" t="s">
        <v>32</v>
      </c>
      <c r="D4066" s="50">
        <v>106.09</v>
      </c>
    </row>
    <row r="4067" spans="1:4" ht="13.5">
      <c r="A4067" s="49">
        <v>89855</v>
      </c>
      <c r="B4067" s="48" t="s">
        <v>5309</v>
      </c>
      <c r="C4067" s="48" t="s">
        <v>32</v>
      </c>
      <c r="D4067" s="50">
        <v>113.62</v>
      </c>
    </row>
    <row r="4068" spans="1:4" ht="13.5">
      <c r="A4068" s="49">
        <v>89856</v>
      </c>
      <c r="B4068" s="48" t="s">
        <v>5310</v>
      </c>
      <c r="C4068" s="48" t="s">
        <v>32</v>
      </c>
      <c r="D4068" s="50">
        <v>20.9</v>
      </c>
    </row>
    <row r="4069" spans="1:4" ht="13.5">
      <c r="A4069" s="49">
        <v>89857</v>
      </c>
      <c r="B4069" s="48" t="s">
        <v>5311</v>
      </c>
      <c r="C4069" s="48" t="s">
        <v>32</v>
      </c>
      <c r="D4069" s="50">
        <v>37.15</v>
      </c>
    </row>
    <row r="4070" spans="1:4" ht="13.5">
      <c r="A4070" s="49">
        <v>89859</v>
      </c>
      <c r="B4070" s="48" t="s">
        <v>5312</v>
      </c>
      <c r="C4070" s="48" t="s">
        <v>32</v>
      </c>
      <c r="D4070" s="50">
        <v>114.49</v>
      </c>
    </row>
    <row r="4071" spans="1:4" ht="13.5">
      <c r="A4071" s="49">
        <v>89860</v>
      </c>
      <c r="B4071" s="48" t="s">
        <v>5313</v>
      </c>
      <c r="C4071" s="48" t="s">
        <v>32</v>
      </c>
      <c r="D4071" s="50">
        <v>46.87</v>
      </c>
    </row>
    <row r="4072" spans="1:4" ht="13.5">
      <c r="A4072" s="49">
        <v>89861</v>
      </c>
      <c r="B4072" s="48" t="s">
        <v>5314</v>
      </c>
      <c r="C4072" s="48" t="s">
        <v>32</v>
      </c>
      <c r="D4072" s="50">
        <v>55.58</v>
      </c>
    </row>
    <row r="4073" spans="1:4" ht="13.5">
      <c r="A4073" s="49">
        <v>89862</v>
      </c>
      <c r="B4073" s="48" t="s">
        <v>5315</v>
      </c>
      <c r="C4073" s="48" t="s">
        <v>32</v>
      </c>
      <c r="D4073" s="50">
        <v>105.82</v>
      </c>
    </row>
    <row r="4074" spans="1:4" ht="13.5">
      <c r="A4074" s="49">
        <v>89863</v>
      </c>
      <c r="B4074" s="48" t="s">
        <v>5316</v>
      </c>
      <c r="C4074" s="48" t="s">
        <v>32</v>
      </c>
      <c r="D4074" s="50">
        <v>251.36</v>
      </c>
    </row>
    <row r="4075" spans="1:4" ht="13.5">
      <c r="A4075" s="49">
        <v>89866</v>
      </c>
      <c r="B4075" s="48" t="s">
        <v>5317</v>
      </c>
      <c r="C4075" s="48" t="s">
        <v>32</v>
      </c>
      <c r="D4075" s="50">
        <v>5.0999999999999996</v>
      </c>
    </row>
    <row r="4076" spans="1:4" ht="13.5">
      <c r="A4076" s="49">
        <v>89867</v>
      </c>
      <c r="B4076" s="48" t="s">
        <v>5318</v>
      </c>
      <c r="C4076" s="48" t="s">
        <v>32</v>
      </c>
      <c r="D4076" s="50">
        <v>6.34</v>
      </c>
    </row>
    <row r="4077" spans="1:4" ht="13.5">
      <c r="A4077" s="49">
        <v>89868</v>
      </c>
      <c r="B4077" s="48" t="s">
        <v>5319</v>
      </c>
      <c r="C4077" s="48" t="s">
        <v>32</v>
      </c>
      <c r="D4077" s="50">
        <v>4.01</v>
      </c>
    </row>
    <row r="4078" spans="1:4" ht="13.5">
      <c r="A4078" s="49">
        <v>89869</v>
      </c>
      <c r="B4078" s="48" t="s">
        <v>5320</v>
      </c>
      <c r="C4078" s="48" t="s">
        <v>32</v>
      </c>
      <c r="D4078" s="50">
        <v>8.4600000000000009</v>
      </c>
    </row>
    <row r="4079" spans="1:4" ht="13.5">
      <c r="A4079" s="49">
        <v>89979</v>
      </c>
      <c r="B4079" s="48" t="s">
        <v>5321</v>
      </c>
      <c r="C4079" s="48" t="s">
        <v>32</v>
      </c>
      <c r="D4079" s="50">
        <v>35.96</v>
      </c>
    </row>
    <row r="4080" spans="1:4" ht="13.5">
      <c r="A4080" s="49">
        <v>89980</v>
      </c>
      <c r="B4080" s="48" t="s">
        <v>5322</v>
      </c>
      <c r="C4080" s="48" t="s">
        <v>32</v>
      </c>
      <c r="D4080" s="50">
        <v>13.62</v>
      </c>
    </row>
    <row r="4081" spans="1:4" ht="13.5">
      <c r="A4081" s="49">
        <v>89981</v>
      </c>
      <c r="B4081" s="48" t="s">
        <v>5323</v>
      </c>
      <c r="C4081" s="48" t="s">
        <v>32</v>
      </c>
      <c r="D4081" s="50">
        <v>33.14</v>
      </c>
    </row>
    <row r="4082" spans="1:4" ht="13.5">
      <c r="A4082" s="49">
        <v>90373</v>
      </c>
      <c r="B4082" s="48" t="s">
        <v>5324</v>
      </c>
      <c r="C4082" s="48" t="s">
        <v>32</v>
      </c>
      <c r="D4082" s="50">
        <v>16.98</v>
      </c>
    </row>
    <row r="4083" spans="1:4" ht="13.5">
      <c r="A4083" s="49">
        <v>90374</v>
      </c>
      <c r="B4083" s="48" t="s">
        <v>5325</v>
      </c>
      <c r="C4083" s="48" t="s">
        <v>32</v>
      </c>
      <c r="D4083" s="50">
        <v>27.47</v>
      </c>
    </row>
    <row r="4084" spans="1:4" ht="13.5">
      <c r="A4084" s="49">
        <v>90375</v>
      </c>
      <c r="B4084" s="48" t="s">
        <v>5326</v>
      </c>
      <c r="C4084" s="48" t="s">
        <v>32</v>
      </c>
      <c r="D4084" s="50">
        <v>9.4600000000000009</v>
      </c>
    </row>
    <row r="4085" spans="1:4" ht="13.5">
      <c r="A4085" s="49">
        <v>92287</v>
      </c>
      <c r="B4085" s="48" t="s">
        <v>5327</v>
      </c>
      <c r="C4085" s="48" t="s">
        <v>32</v>
      </c>
      <c r="D4085" s="50">
        <v>19.350000000000001</v>
      </c>
    </row>
    <row r="4086" spans="1:4" ht="13.5">
      <c r="A4086" s="49">
        <v>92288</v>
      </c>
      <c r="B4086" s="48" t="s">
        <v>5328</v>
      </c>
      <c r="C4086" s="48" t="s">
        <v>32</v>
      </c>
      <c r="D4086" s="50">
        <v>30.44</v>
      </c>
    </row>
    <row r="4087" spans="1:4" ht="13.5">
      <c r="A4087" s="49">
        <v>92289</v>
      </c>
      <c r="B4087" s="48" t="s">
        <v>5329</v>
      </c>
      <c r="C4087" s="48" t="s">
        <v>32</v>
      </c>
      <c r="D4087" s="50">
        <v>54.5</v>
      </c>
    </row>
    <row r="4088" spans="1:4" ht="13.5">
      <c r="A4088" s="49">
        <v>92290</v>
      </c>
      <c r="B4088" s="48" t="s">
        <v>5330</v>
      </c>
      <c r="C4088" s="48" t="s">
        <v>32</v>
      </c>
      <c r="D4088" s="50">
        <v>83.62</v>
      </c>
    </row>
    <row r="4089" spans="1:4" ht="13.5">
      <c r="A4089" s="49">
        <v>92291</v>
      </c>
      <c r="B4089" s="48" t="s">
        <v>5331</v>
      </c>
      <c r="C4089" s="48" t="s">
        <v>32</v>
      </c>
      <c r="D4089" s="50">
        <v>128.86000000000001</v>
      </c>
    </row>
    <row r="4090" spans="1:4" ht="13.5">
      <c r="A4090" s="49">
        <v>92292</v>
      </c>
      <c r="B4090" s="48" t="s">
        <v>5332</v>
      </c>
      <c r="C4090" s="48" t="s">
        <v>32</v>
      </c>
      <c r="D4090" s="50">
        <v>408.7</v>
      </c>
    </row>
    <row r="4091" spans="1:4" ht="13.5">
      <c r="A4091" s="49">
        <v>92293</v>
      </c>
      <c r="B4091" s="48" t="s">
        <v>5333</v>
      </c>
      <c r="C4091" s="48" t="s">
        <v>32</v>
      </c>
      <c r="D4091" s="50">
        <v>10.97</v>
      </c>
    </row>
    <row r="4092" spans="1:4" ht="13.5">
      <c r="A4092" s="49">
        <v>92294</v>
      </c>
      <c r="B4092" s="48" t="s">
        <v>5334</v>
      </c>
      <c r="C4092" s="48" t="s">
        <v>32</v>
      </c>
      <c r="D4092" s="50">
        <v>18.57</v>
      </c>
    </row>
    <row r="4093" spans="1:4" ht="13.5">
      <c r="A4093" s="49">
        <v>92295</v>
      </c>
      <c r="B4093" s="48" t="s">
        <v>5335</v>
      </c>
      <c r="C4093" s="48" t="s">
        <v>32</v>
      </c>
      <c r="D4093" s="50">
        <v>35.44</v>
      </c>
    </row>
    <row r="4094" spans="1:4" ht="13.5">
      <c r="A4094" s="49">
        <v>92296</v>
      </c>
      <c r="B4094" s="48" t="s">
        <v>5336</v>
      </c>
      <c r="C4094" s="48" t="s">
        <v>32</v>
      </c>
      <c r="D4094" s="50">
        <v>47.47</v>
      </c>
    </row>
    <row r="4095" spans="1:4" ht="13.5">
      <c r="A4095" s="49">
        <v>92297</v>
      </c>
      <c r="B4095" s="48" t="s">
        <v>5337</v>
      </c>
      <c r="C4095" s="48" t="s">
        <v>32</v>
      </c>
      <c r="D4095" s="50">
        <v>73.91</v>
      </c>
    </row>
    <row r="4096" spans="1:4" ht="13.5">
      <c r="A4096" s="49">
        <v>92298</v>
      </c>
      <c r="B4096" s="48" t="s">
        <v>5338</v>
      </c>
      <c r="C4096" s="48" t="s">
        <v>32</v>
      </c>
      <c r="D4096" s="50">
        <v>210.97</v>
      </c>
    </row>
    <row r="4097" spans="1:4" ht="13.5">
      <c r="A4097" s="49">
        <v>92299</v>
      </c>
      <c r="B4097" s="48" t="s">
        <v>5339</v>
      </c>
      <c r="C4097" s="48" t="s">
        <v>32</v>
      </c>
      <c r="D4097" s="50">
        <v>25.49</v>
      </c>
    </row>
    <row r="4098" spans="1:4" ht="13.5">
      <c r="A4098" s="49">
        <v>92300</v>
      </c>
      <c r="B4098" s="48" t="s">
        <v>5340</v>
      </c>
      <c r="C4098" s="48" t="s">
        <v>32</v>
      </c>
      <c r="D4098" s="50">
        <v>38.67</v>
      </c>
    </row>
    <row r="4099" spans="1:4" ht="13.5">
      <c r="A4099" s="49">
        <v>92301</v>
      </c>
      <c r="B4099" s="48" t="s">
        <v>5341</v>
      </c>
      <c r="C4099" s="48" t="s">
        <v>32</v>
      </c>
      <c r="D4099" s="50">
        <v>77.739999999999995</v>
      </c>
    </row>
    <row r="4100" spans="1:4" ht="13.5">
      <c r="A4100" s="49">
        <v>92302</v>
      </c>
      <c r="B4100" s="48" t="s">
        <v>5342</v>
      </c>
      <c r="C4100" s="48" t="s">
        <v>32</v>
      </c>
      <c r="D4100" s="50">
        <v>103.43</v>
      </c>
    </row>
    <row r="4101" spans="1:4" ht="13.5">
      <c r="A4101" s="49">
        <v>92303</v>
      </c>
      <c r="B4101" s="48" t="s">
        <v>5343</v>
      </c>
      <c r="C4101" s="48" t="s">
        <v>32</v>
      </c>
      <c r="D4101" s="50">
        <v>191.52</v>
      </c>
    </row>
    <row r="4102" spans="1:4" ht="13.5">
      <c r="A4102" s="49">
        <v>92304</v>
      </c>
      <c r="B4102" s="48" t="s">
        <v>5344</v>
      </c>
      <c r="C4102" s="48" t="s">
        <v>32</v>
      </c>
      <c r="D4102" s="50">
        <v>504</v>
      </c>
    </row>
    <row r="4103" spans="1:4" ht="13.5">
      <c r="A4103" s="49">
        <v>92311</v>
      </c>
      <c r="B4103" s="48" t="s">
        <v>5345</v>
      </c>
      <c r="C4103" s="48" t="s">
        <v>32</v>
      </c>
      <c r="D4103" s="50">
        <v>12.6</v>
      </c>
    </row>
    <row r="4104" spans="1:4" ht="13.5">
      <c r="A4104" s="49">
        <v>92312</v>
      </c>
      <c r="B4104" s="48" t="s">
        <v>5346</v>
      </c>
      <c r="C4104" s="48" t="s">
        <v>32</v>
      </c>
      <c r="D4104" s="50">
        <v>21.79</v>
      </c>
    </row>
    <row r="4105" spans="1:4" ht="13.5">
      <c r="A4105" s="49">
        <v>92313</v>
      </c>
      <c r="B4105" s="48" t="s">
        <v>5347</v>
      </c>
      <c r="C4105" s="48" t="s">
        <v>32</v>
      </c>
      <c r="D4105" s="50">
        <v>32.880000000000003</v>
      </c>
    </row>
    <row r="4106" spans="1:4" ht="13.5">
      <c r="A4106" s="49">
        <v>92314</v>
      </c>
      <c r="B4106" s="48" t="s">
        <v>5348</v>
      </c>
      <c r="C4106" s="48" t="s">
        <v>32</v>
      </c>
      <c r="D4106" s="50">
        <v>8.14</v>
      </c>
    </row>
    <row r="4107" spans="1:4" ht="13.5">
      <c r="A4107" s="49">
        <v>92315</v>
      </c>
      <c r="B4107" s="48" t="s">
        <v>5349</v>
      </c>
      <c r="C4107" s="48" t="s">
        <v>32</v>
      </c>
      <c r="D4107" s="50">
        <v>12.63</v>
      </c>
    </row>
    <row r="4108" spans="1:4" ht="13.5">
      <c r="A4108" s="49">
        <v>92316</v>
      </c>
      <c r="B4108" s="48" t="s">
        <v>5350</v>
      </c>
      <c r="C4108" s="48" t="s">
        <v>32</v>
      </c>
      <c r="D4108" s="50">
        <v>20.22</v>
      </c>
    </row>
    <row r="4109" spans="1:4" ht="13.5">
      <c r="A4109" s="49">
        <v>92317</v>
      </c>
      <c r="B4109" s="48" t="s">
        <v>5351</v>
      </c>
      <c r="C4109" s="48" t="s">
        <v>32</v>
      </c>
      <c r="D4109" s="50">
        <v>17.18</v>
      </c>
    </row>
    <row r="4110" spans="1:4" ht="13.5">
      <c r="A4110" s="49">
        <v>92318</v>
      </c>
      <c r="B4110" s="48" t="s">
        <v>5352</v>
      </c>
      <c r="C4110" s="48" t="s">
        <v>32</v>
      </c>
      <c r="D4110" s="50">
        <v>28.76</v>
      </c>
    </row>
    <row r="4111" spans="1:4" ht="13.5">
      <c r="A4111" s="49">
        <v>92319</v>
      </c>
      <c r="B4111" s="48" t="s">
        <v>5353</v>
      </c>
      <c r="C4111" s="48" t="s">
        <v>32</v>
      </c>
      <c r="D4111" s="50">
        <v>41.93</v>
      </c>
    </row>
    <row r="4112" spans="1:4" ht="13.5">
      <c r="A4112" s="49">
        <v>92326</v>
      </c>
      <c r="B4112" s="48" t="s">
        <v>5354</v>
      </c>
      <c r="C4112" s="48" t="s">
        <v>32</v>
      </c>
      <c r="D4112" s="50">
        <v>13.68</v>
      </c>
    </row>
    <row r="4113" spans="1:4" ht="13.5">
      <c r="A4113" s="49">
        <v>92327</v>
      </c>
      <c r="B4113" s="48" t="s">
        <v>5355</v>
      </c>
      <c r="C4113" s="48" t="s">
        <v>32</v>
      </c>
      <c r="D4113" s="50">
        <v>24.06</v>
      </c>
    </row>
    <row r="4114" spans="1:4" ht="13.5">
      <c r="A4114" s="49">
        <v>92328</v>
      </c>
      <c r="B4114" s="48" t="s">
        <v>5356</v>
      </c>
      <c r="C4114" s="48" t="s">
        <v>32</v>
      </c>
      <c r="D4114" s="50">
        <v>36.9</v>
      </c>
    </row>
    <row r="4115" spans="1:4" ht="13.5">
      <c r="A4115" s="49">
        <v>92329</v>
      </c>
      <c r="B4115" s="48" t="s">
        <v>5357</v>
      </c>
      <c r="C4115" s="48" t="s">
        <v>32</v>
      </c>
      <c r="D4115" s="50">
        <v>8.3000000000000007</v>
      </c>
    </row>
    <row r="4116" spans="1:4" ht="13.5">
      <c r="A4116" s="49">
        <v>92330</v>
      </c>
      <c r="B4116" s="48" t="s">
        <v>5358</v>
      </c>
      <c r="C4116" s="48" t="s">
        <v>32</v>
      </c>
      <c r="D4116" s="50">
        <v>14.11</v>
      </c>
    </row>
    <row r="4117" spans="1:4" ht="13.5">
      <c r="A4117" s="49">
        <v>92331</v>
      </c>
      <c r="B4117" s="48" t="s">
        <v>5359</v>
      </c>
      <c r="C4117" s="48" t="s">
        <v>32</v>
      </c>
      <c r="D4117" s="50">
        <v>22.92</v>
      </c>
    </row>
    <row r="4118" spans="1:4" ht="13.5">
      <c r="A4118" s="49">
        <v>92332</v>
      </c>
      <c r="B4118" s="48" t="s">
        <v>5360</v>
      </c>
      <c r="C4118" s="48" t="s">
        <v>32</v>
      </c>
      <c r="D4118" s="50">
        <v>17.420000000000002</v>
      </c>
    </row>
    <row r="4119" spans="1:4" ht="13.5">
      <c r="A4119" s="49">
        <v>92333</v>
      </c>
      <c r="B4119" s="48" t="s">
        <v>5361</v>
      </c>
      <c r="C4119" s="48" t="s">
        <v>32</v>
      </c>
      <c r="D4119" s="50">
        <v>31.76</v>
      </c>
    </row>
    <row r="4120" spans="1:4" ht="13.5">
      <c r="A4120" s="49">
        <v>92334</v>
      </c>
      <c r="B4120" s="48" t="s">
        <v>5362</v>
      </c>
      <c r="C4120" s="48" t="s">
        <v>32</v>
      </c>
      <c r="D4120" s="50">
        <v>47.28</v>
      </c>
    </row>
    <row r="4121" spans="1:4" ht="13.5">
      <c r="A4121" s="49">
        <v>92344</v>
      </c>
      <c r="B4121" s="48" t="s">
        <v>20785</v>
      </c>
      <c r="C4121" s="48" t="s">
        <v>32</v>
      </c>
      <c r="D4121" s="50">
        <v>57.36</v>
      </c>
    </row>
    <row r="4122" spans="1:4" ht="13.5">
      <c r="A4122" s="49">
        <v>92345</v>
      </c>
      <c r="B4122" s="48" t="s">
        <v>20786</v>
      </c>
      <c r="C4122" s="48" t="s">
        <v>32</v>
      </c>
      <c r="D4122" s="50">
        <v>57.33</v>
      </c>
    </row>
    <row r="4123" spans="1:4" ht="13.5">
      <c r="A4123" s="49">
        <v>92346</v>
      </c>
      <c r="B4123" s="48" t="s">
        <v>20787</v>
      </c>
      <c r="C4123" s="48" t="s">
        <v>32</v>
      </c>
      <c r="D4123" s="50">
        <v>76.459999999999994</v>
      </c>
    </row>
    <row r="4124" spans="1:4" ht="13.5">
      <c r="A4124" s="49">
        <v>92347</v>
      </c>
      <c r="B4124" s="48" t="s">
        <v>20788</v>
      </c>
      <c r="C4124" s="48" t="s">
        <v>32</v>
      </c>
      <c r="D4124" s="50">
        <v>85.69</v>
      </c>
    </row>
    <row r="4125" spans="1:4" ht="13.5">
      <c r="A4125" s="49">
        <v>92348</v>
      </c>
      <c r="B4125" s="48" t="s">
        <v>20789</v>
      </c>
      <c r="C4125" s="48" t="s">
        <v>32</v>
      </c>
      <c r="D4125" s="50">
        <v>109.02</v>
      </c>
    </row>
    <row r="4126" spans="1:4" ht="13.5">
      <c r="A4126" s="49">
        <v>92349</v>
      </c>
      <c r="B4126" s="48" t="s">
        <v>20790</v>
      </c>
      <c r="C4126" s="48" t="s">
        <v>32</v>
      </c>
      <c r="D4126" s="50">
        <v>117.23</v>
      </c>
    </row>
    <row r="4127" spans="1:4" ht="13.5">
      <c r="A4127" s="49">
        <v>92350</v>
      </c>
      <c r="B4127" s="48" t="s">
        <v>20791</v>
      </c>
      <c r="C4127" s="48" t="s">
        <v>32</v>
      </c>
      <c r="D4127" s="50">
        <v>85.24</v>
      </c>
    </row>
    <row r="4128" spans="1:4" ht="13.5">
      <c r="A4128" s="49">
        <v>92351</v>
      </c>
      <c r="B4128" s="48" t="s">
        <v>20792</v>
      </c>
      <c r="C4128" s="48" t="s">
        <v>32</v>
      </c>
      <c r="D4128" s="50">
        <v>83.19</v>
      </c>
    </row>
    <row r="4129" spans="1:4" ht="13.5">
      <c r="A4129" s="49">
        <v>92352</v>
      </c>
      <c r="B4129" s="48" t="s">
        <v>20793</v>
      </c>
      <c r="C4129" s="48" t="s">
        <v>32</v>
      </c>
      <c r="D4129" s="50">
        <v>132.4</v>
      </c>
    </row>
    <row r="4130" spans="1:4" ht="13.5">
      <c r="A4130" s="49">
        <v>92353</v>
      </c>
      <c r="B4130" s="48" t="s">
        <v>20794</v>
      </c>
      <c r="C4130" s="48" t="s">
        <v>32</v>
      </c>
      <c r="D4130" s="50">
        <v>123.38</v>
      </c>
    </row>
    <row r="4131" spans="1:4" ht="13.5">
      <c r="A4131" s="49">
        <v>92354</v>
      </c>
      <c r="B4131" s="48" t="s">
        <v>20795</v>
      </c>
      <c r="C4131" s="48" t="s">
        <v>32</v>
      </c>
      <c r="D4131" s="50">
        <v>177.64</v>
      </c>
    </row>
    <row r="4132" spans="1:4" ht="13.5">
      <c r="A4132" s="49">
        <v>92355</v>
      </c>
      <c r="B4132" s="48" t="s">
        <v>20796</v>
      </c>
      <c r="C4132" s="48" t="s">
        <v>32</v>
      </c>
      <c r="D4132" s="50">
        <v>160.25</v>
      </c>
    </row>
    <row r="4133" spans="1:4" ht="13.5">
      <c r="A4133" s="49">
        <v>92356</v>
      </c>
      <c r="B4133" s="48" t="s">
        <v>20797</v>
      </c>
      <c r="C4133" s="48" t="s">
        <v>32</v>
      </c>
      <c r="D4133" s="50">
        <v>110.89</v>
      </c>
    </row>
    <row r="4134" spans="1:4" ht="13.5">
      <c r="A4134" s="49">
        <v>92357</v>
      </c>
      <c r="B4134" s="48" t="s">
        <v>20798</v>
      </c>
      <c r="C4134" s="48" t="s">
        <v>32</v>
      </c>
      <c r="D4134" s="50">
        <v>169.04</v>
      </c>
    </row>
    <row r="4135" spans="1:4" ht="13.5">
      <c r="A4135" s="49">
        <v>92358</v>
      </c>
      <c r="B4135" s="48" t="s">
        <v>20799</v>
      </c>
      <c r="C4135" s="48" t="s">
        <v>32</v>
      </c>
      <c r="D4135" s="50">
        <v>212.02</v>
      </c>
    </row>
    <row r="4136" spans="1:4" ht="13.5">
      <c r="A4136" s="49">
        <v>92369</v>
      </c>
      <c r="B4136" s="48" t="s">
        <v>20800</v>
      </c>
      <c r="C4136" s="48" t="s">
        <v>32</v>
      </c>
      <c r="D4136" s="50">
        <v>29.84</v>
      </c>
    </row>
    <row r="4137" spans="1:4" ht="13.5">
      <c r="A4137" s="49">
        <v>92370</v>
      </c>
      <c r="B4137" s="48" t="s">
        <v>20801</v>
      </c>
      <c r="C4137" s="48" t="s">
        <v>32</v>
      </c>
      <c r="D4137" s="50">
        <v>31.5</v>
      </c>
    </row>
    <row r="4138" spans="1:4" ht="13.5">
      <c r="A4138" s="49">
        <v>92371</v>
      </c>
      <c r="B4138" s="48" t="s">
        <v>20802</v>
      </c>
      <c r="C4138" s="48" t="s">
        <v>32</v>
      </c>
      <c r="D4138" s="50">
        <v>36.520000000000003</v>
      </c>
    </row>
    <row r="4139" spans="1:4" ht="13.5">
      <c r="A4139" s="49">
        <v>92372</v>
      </c>
      <c r="B4139" s="48" t="s">
        <v>20803</v>
      </c>
      <c r="C4139" s="48" t="s">
        <v>32</v>
      </c>
      <c r="D4139" s="50">
        <v>38.06</v>
      </c>
    </row>
    <row r="4140" spans="1:4" ht="13.5">
      <c r="A4140" s="49">
        <v>92373</v>
      </c>
      <c r="B4140" s="48" t="s">
        <v>20804</v>
      </c>
      <c r="C4140" s="48" t="s">
        <v>32</v>
      </c>
      <c r="D4140" s="50">
        <v>43.51</v>
      </c>
    </row>
    <row r="4141" spans="1:4" ht="13.5">
      <c r="A4141" s="49">
        <v>92374</v>
      </c>
      <c r="B4141" s="48" t="s">
        <v>20805</v>
      </c>
      <c r="C4141" s="48" t="s">
        <v>32</v>
      </c>
      <c r="D4141" s="50">
        <v>43.81</v>
      </c>
    </row>
    <row r="4142" spans="1:4" ht="13.5">
      <c r="A4142" s="49">
        <v>92375</v>
      </c>
      <c r="B4142" s="48" t="s">
        <v>20806</v>
      </c>
      <c r="C4142" s="48" t="s">
        <v>32</v>
      </c>
      <c r="D4142" s="50">
        <v>57.32</v>
      </c>
    </row>
    <row r="4143" spans="1:4" ht="13.5">
      <c r="A4143" s="49">
        <v>92376</v>
      </c>
      <c r="B4143" s="48" t="s">
        <v>20807</v>
      </c>
      <c r="C4143" s="48" t="s">
        <v>32</v>
      </c>
      <c r="D4143" s="50">
        <v>57.29</v>
      </c>
    </row>
    <row r="4144" spans="1:4" ht="13.5">
      <c r="A4144" s="49">
        <v>92377</v>
      </c>
      <c r="B4144" s="48" t="s">
        <v>20808</v>
      </c>
      <c r="C4144" s="48" t="s">
        <v>32</v>
      </c>
      <c r="D4144" s="50">
        <v>77.790000000000006</v>
      </c>
    </row>
    <row r="4145" spans="1:4" ht="13.5">
      <c r="A4145" s="49">
        <v>92378</v>
      </c>
      <c r="B4145" s="48" t="s">
        <v>20809</v>
      </c>
      <c r="C4145" s="48" t="s">
        <v>32</v>
      </c>
      <c r="D4145" s="50">
        <v>87.02</v>
      </c>
    </row>
    <row r="4146" spans="1:4" ht="13.5">
      <c r="A4146" s="49">
        <v>92379</v>
      </c>
      <c r="B4146" s="48" t="s">
        <v>20810</v>
      </c>
      <c r="C4146" s="48" t="s">
        <v>32</v>
      </c>
      <c r="D4146" s="50">
        <v>111.75</v>
      </c>
    </row>
    <row r="4147" spans="1:4" ht="13.5">
      <c r="A4147" s="49">
        <v>92380</v>
      </c>
      <c r="B4147" s="48" t="s">
        <v>20811</v>
      </c>
      <c r="C4147" s="48" t="s">
        <v>32</v>
      </c>
      <c r="D4147" s="50">
        <v>119.96</v>
      </c>
    </row>
    <row r="4148" spans="1:4" ht="13.5">
      <c r="A4148" s="49">
        <v>92381</v>
      </c>
      <c r="B4148" s="48" t="s">
        <v>20812</v>
      </c>
      <c r="C4148" s="48" t="s">
        <v>32</v>
      </c>
      <c r="D4148" s="50">
        <v>45.23</v>
      </c>
    </row>
    <row r="4149" spans="1:4" ht="13.5">
      <c r="A4149" s="49">
        <v>92382</v>
      </c>
      <c r="B4149" s="48" t="s">
        <v>20813</v>
      </c>
      <c r="C4149" s="48" t="s">
        <v>32</v>
      </c>
      <c r="D4149" s="50">
        <v>43.03</v>
      </c>
    </row>
    <row r="4150" spans="1:4" ht="13.5">
      <c r="A4150" s="49">
        <v>92383</v>
      </c>
      <c r="B4150" s="48" t="s">
        <v>20814</v>
      </c>
      <c r="C4150" s="48" t="s">
        <v>32</v>
      </c>
      <c r="D4150" s="50">
        <v>57.95</v>
      </c>
    </row>
    <row r="4151" spans="1:4" ht="13.5">
      <c r="A4151" s="49">
        <v>92384</v>
      </c>
      <c r="B4151" s="48" t="s">
        <v>20815</v>
      </c>
      <c r="C4151" s="48" t="s">
        <v>32</v>
      </c>
      <c r="D4151" s="50">
        <v>53.57</v>
      </c>
    </row>
    <row r="4152" spans="1:4" ht="13.5">
      <c r="A4152" s="49">
        <v>92385</v>
      </c>
      <c r="B4152" s="48" t="s">
        <v>20816</v>
      </c>
      <c r="C4152" s="48" t="s">
        <v>32</v>
      </c>
      <c r="D4152" s="50">
        <v>66.75</v>
      </c>
    </row>
    <row r="4153" spans="1:4" ht="13.5">
      <c r="A4153" s="49">
        <v>92386</v>
      </c>
      <c r="B4153" s="48" t="s">
        <v>20817</v>
      </c>
      <c r="C4153" s="48" t="s">
        <v>32</v>
      </c>
      <c r="D4153" s="50">
        <v>63.73</v>
      </c>
    </row>
    <row r="4154" spans="1:4" ht="13.5">
      <c r="A4154" s="49">
        <v>92387</v>
      </c>
      <c r="B4154" s="48" t="s">
        <v>20818</v>
      </c>
      <c r="C4154" s="48" t="s">
        <v>32</v>
      </c>
      <c r="D4154" s="50">
        <v>85.16</v>
      </c>
    </row>
    <row r="4155" spans="1:4" ht="13.5">
      <c r="A4155" s="49">
        <v>92388</v>
      </c>
      <c r="B4155" s="48" t="s">
        <v>20819</v>
      </c>
      <c r="C4155" s="48" t="s">
        <v>32</v>
      </c>
      <c r="D4155" s="50">
        <v>83.11</v>
      </c>
    </row>
    <row r="4156" spans="1:4" ht="13.5">
      <c r="A4156" s="49">
        <v>92389</v>
      </c>
      <c r="B4156" s="48" t="s">
        <v>20820</v>
      </c>
      <c r="C4156" s="48" t="s">
        <v>32</v>
      </c>
      <c r="D4156" s="50">
        <v>134.43</v>
      </c>
    </row>
    <row r="4157" spans="1:4" ht="13.5">
      <c r="A4157" s="49">
        <v>92390</v>
      </c>
      <c r="B4157" s="48" t="s">
        <v>20821</v>
      </c>
      <c r="C4157" s="48" t="s">
        <v>32</v>
      </c>
      <c r="D4157" s="50">
        <v>125.41</v>
      </c>
    </row>
    <row r="4158" spans="1:4" ht="13.5">
      <c r="A4158" s="49">
        <v>92635</v>
      </c>
      <c r="B4158" s="48" t="s">
        <v>20822</v>
      </c>
      <c r="C4158" s="48" t="s">
        <v>32</v>
      </c>
      <c r="D4158" s="50">
        <v>181.74</v>
      </c>
    </row>
    <row r="4159" spans="1:4" ht="13.5">
      <c r="A4159" s="49">
        <v>92636</v>
      </c>
      <c r="B4159" s="48" t="s">
        <v>20823</v>
      </c>
      <c r="C4159" s="48" t="s">
        <v>32</v>
      </c>
      <c r="D4159" s="50">
        <v>164.35</v>
      </c>
    </row>
    <row r="4160" spans="1:4" ht="13.5">
      <c r="A4160" s="49">
        <v>92637</v>
      </c>
      <c r="B4160" s="48" t="s">
        <v>20824</v>
      </c>
      <c r="C4160" s="48" t="s">
        <v>32</v>
      </c>
      <c r="D4160" s="50">
        <v>58.2</v>
      </c>
    </row>
    <row r="4161" spans="1:4" ht="13.5">
      <c r="A4161" s="49">
        <v>92638</v>
      </c>
      <c r="B4161" s="48" t="s">
        <v>20825</v>
      </c>
      <c r="C4161" s="48" t="s">
        <v>32</v>
      </c>
      <c r="D4161" s="50">
        <v>71.97</v>
      </c>
    </row>
    <row r="4162" spans="1:4" ht="13.5">
      <c r="A4162" s="49">
        <v>92639</v>
      </c>
      <c r="B4162" s="48" t="s">
        <v>20826</v>
      </c>
      <c r="C4162" s="48" t="s">
        <v>32</v>
      </c>
      <c r="D4162" s="50">
        <v>83.82</v>
      </c>
    </row>
    <row r="4163" spans="1:4" ht="13.5">
      <c r="A4163" s="49">
        <v>92640</v>
      </c>
      <c r="B4163" s="48" t="s">
        <v>20827</v>
      </c>
      <c r="C4163" s="48" t="s">
        <v>32</v>
      </c>
      <c r="D4163" s="50">
        <v>110.77</v>
      </c>
    </row>
    <row r="4164" spans="1:4" ht="13.5">
      <c r="A4164" s="49">
        <v>92642</v>
      </c>
      <c r="B4164" s="48" t="s">
        <v>20828</v>
      </c>
      <c r="C4164" s="48" t="s">
        <v>32</v>
      </c>
      <c r="D4164" s="50">
        <v>171.7</v>
      </c>
    </row>
    <row r="4165" spans="1:4" ht="13.5">
      <c r="A4165" s="49">
        <v>92644</v>
      </c>
      <c r="B4165" s="48" t="s">
        <v>20829</v>
      </c>
      <c r="C4165" s="48" t="s">
        <v>32</v>
      </c>
      <c r="D4165" s="50">
        <v>217.49</v>
      </c>
    </row>
    <row r="4166" spans="1:4" ht="13.5">
      <c r="A4166" s="49">
        <v>92657</v>
      </c>
      <c r="B4166" s="48" t="s">
        <v>20830</v>
      </c>
      <c r="C4166" s="48" t="s">
        <v>32</v>
      </c>
      <c r="D4166" s="50">
        <v>22.44</v>
      </c>
    </row>
    <row r="4167" spans="1:4" ht="13.5">
      <c r="A4167" s="49">
        <v>92658</v>
      </c>
      <c r="B4167" s="48" t="s">
        <v>20831</v>
      </c>
      <c r="C4167" s="48" t="s">
        <v>32</v>
      </c>
      <c r="D4167" s="50">
        <v>24.1</v>
      </c>
    </row>
    <row r="4168" spans="1:4" ht="13.5">
      <c r="A4168" s="49">
        <v>92659</v>
      </c>
      <c r="B4168" s="48" t="s">
        <v>20832</v>
      </c>
      <c r="C4168" s="48" t="s">
        <v>32</v>
      </c>
      <c r="D4168" s="50">
        <v>28.1</v>
      </c>
    </row>
    <row r="4169" spans="1:4" ht="13.5">
      <c r="A4169" s="49">
        <v>92660</v>
      </c>
      <c r="B4169" s="48" t="s">
        <v>20833</v>
      </c>
      <c r="C4169" s="48" t="s">
        <v>32</v>
      </c>
      <c r="D4169" s="50">
        <v>29.64</v>
      </c>
    </row>
    <row r="4170" spans="1:4" ht="13.5">
      <c r="A4170" s="49">
        <v>92661</v>
      </c>
      <c r="B4170" s="48" t="s">
        <v>20834</v>
      </c>
      <c r="C4170" s="48" t="s">
        <v>32</v>
      </c>
      <c r="D4170" s="50">
        <v>33.93</v>
      </c>
    </row>
    <row r="4171" spans="1:4" ht="13.5">
      <c r="A4171" s="49">
        <v>92662</v>
      </c>
      <c r="B4171" s="48" t="s">
        <v>20835</v>
      </c>
      <c r="C4171" s="48" t="s">
        <v>32</v>
      </c>
      <c r="D4171" s="50">
        <v>34.229999999999997</v>
      </c>
    </row>
    <row r="4172" spans="1:4" ht="13.5">
      <c r="A4172" s="49">
        <v>92663</v>
      </c>
      <c r="B4172" s="48" t="s">
        <v>20836</v>
      </c>
      <c r="C4172" s="48" t="s">
        <v>32</v>
      </c>
      <c r="D4172" s="50">
        <v>46.29</v>
      </c>
    </row>
    <row r="4173" spans="1:4" ht="13.5">
      <c r="A4173" s="49">
        <v>92664</v>
      </c>
      <c r="B4173" s="48" t="s">
        <v>20837</v>
      </c>
      <c r="C4173" s="48" t="s">
        <v>32</v>
      </c>
      <c r="D4173" s="50">
        <v>46.26</v>
      </c>
    </row>
    <row r="4174" spans="1:4" ht="13.5">
      <c r="A4174" s="49">
        <v>92665</v>
      </c>
      <c r="B4174" s="48" t="s">
        <v>20838</v>
      </c>
      <c r="C4174" s="48" t="s">
        <v>32</v>
      </c>
      <c r="D4174" s="50">
        <v>64.569999999999993</v>
      </c>
    </row>
    <row r="4175" spans="1:4" ht="13.5">
      <c r="A4175" s="49">
        <v>92666</v>
      </c>
      <c r="B4175" s="48" t="s">
        <v>20839</v>
      </c>
      <c r="C4175" s="48" t="s">
        <v>32</v>
      </c>
      <c r="D4175" s="50">
        <v>73.8</v>
      </c>
    </row>
    <row r="4176" spans="1:4" ht="13.5">
      <c r="A4176" s="49">
        <v>92667</v>
      </c>
      <c r="B4176" s="48" t="s">
        <v>20840</v>
      </c>
      <c r="C4176" s="48" t="s">
        <v>32</v>
      </c>
      <c r="D4176" s="50">
        <v>96.37</v>
      </c>
    </row>
    <row r="4177" spans="1:4" ht="13.5">
      <c r="A4177" s="49">
        <v>92668</v>
      </c>
      <c r="B4177" s="48" t="s">
        <v>20841</v>
      </c>
      <c r="C4177" s="48" t="s">
        <v>32</v>
      </c>
      <c r="D4177" s="50">
        <v>104.58</v>
      </c>
    </row>
    <row r="4178" spans="1:4" ht="13.5">
      <c r="A4178" s="49">
        <v>92669</v>
      </c>
      <c r="B4178" s="48" t="s">
        <v>20842</v>
      </c>
      <c r="C4178" s="48" t="s">
        <v>32</v>
      </c>
      <c r="D4178" s="50">
        <v>34.119999999999997</v>
      </c>
    </row>
    <row r="4179" spans="1:4" ht="13.5">
      <c r="A4179" s="49">
        <v>92670</v>
      </c>
      <c r="B4179" s="48" t="s">
        <v>20843</v>
      </c>
      <c r="C4179" s="48" t="s">
        <v>32</v>
      </c>
      <c r="D4179" s="50">
        <v>31.92</v>
      </c>
    </row>
    <row r="4180" spans="1:4" ht="13.5">
      <c r="A4180" s="49">
        <v>92671</v>
      </c>
      <c r="B4180" s="48" t="s">
        <v>20844</v>
      </c>
      <c r="C4180" s="48" t="s">
        <v>32</v>
      </c>
      <c r="D4180" s="50">
        <v>45.34</v>
      </c>
    </row>
    <row r="4181" spans="1:4" ht="13.5">
      <c r="A4181" s="49">
        <v>92672</v>
      </c>
      <c r="B4181" s="48" t="s">
        <v>20845</v>
      </c>
      <c r="C4181" s="48" t="s">
        <v>32</v>
      </c>
      <c r="D4181" s="50">
        <v>40.96</v>
      </c>
    </row>
    <row r="4182" spans="1:4" ht="13.5">
      <c r="A4182" s="49">
        <v>92673</v>
      </c>
      <c r="B4182" s="48" t="s">
        <v>20846</v>
      </c>
      <c r="C4182" s="48" t="s">
        <v>32</v>
      </c>
      <c r="D4182" s="50">
        <v>52.39</v>
      </c>
    </row>
    <row r="4183" spans="1:4" ht="13.5">
      <c r="A4183" s="49">
        <v>92674</v>
      </c>
      <c r="B4183" s="48" t="s">
        <v>20847</v>
      </c>
      <c r="C4183" s="48" t="s">
        <v>32</v>
      </c>
      <c r="D4183" s="50">
        <v>49.37</v>
      </c>
    </row>
    <row r="4184" spans="1:4" ht="13.5">
      <c r="A4184" s="49">
        <v>92675</v>
      </c>
      <c r="B4184" s="48" t="s">
        <v>20848</v>
      </c>
      <c r="C4184" s="48" t="s">
        <v>32</v>
      </c>
      <c r="D4184" s="50">
        <v>68.650000000000006</v>
      </c>
    </row>
    <row r="4185" spans="1:4" ht="13.5">
      <c r="A4185" s="49">
        <v>92676</v>
      </c>
      <c r="B4185" s="48" t="s">
        <v>20849</v>
      </c>
      <c r="C4185" s="48" t="s">
        <v>32</v>
      </c>
      <c r="D4185" s="50">
        <v>66.599999999999994</v>
      </c>
    </row>
    <row r="4186" spans="1:4" ht="13.5">
      <c r="A4186" s="49">
        <v>92677</v>
      </c>
      <c r="B4186" s="48" t="s">
        <v>20850</v>
      </c>
      <c r="C4186" s="48" t="s">
        <v>32</v>
      </c>
      <c r="D4186" s="50">
        <v>114.63</v>
      </c>
    </row>
    <row r="4187" spans="1:4" ht="13.5">
      <c r="A4187" s="49">
        <v>92678</v>
      </c>
      <c r="B4187" s="48" t="s">
        <v>20851</v>
      </c>
      <c r="C4187" s="48" t="s">
        <v>32</v>
      </c>
      <c r="D4187" s="50">
        <v>105.61</v>
      </c>
    </row>
    <row r="4188" spans="1:4" ht="13.5">
      <c r="A4188" s="49">
        <v>92679</v>
      </c>
      <c r="B4188" s="48" t="s">
        <v>20852</v>
      </c>
      <c r="C4188" s="48" t="s">
        <v>32</v>
      </c>
      <c r="D4188" s="50">
        <v>158.69999999999999</v>
      </c>
    </row>
    <row r="4189" spans="1:4" ht="13.5">
      <c r="A4189" s="49">
        <v>92680</v>
      </c>
      <c r="B4189" s="48" t="s">
        <v>20853</v>
      </c>
      <c r="C4189" s="48" t="s">
        <v>32</v>
      </c>
      <c r="D4189" s="50">
        <v>141.31</v>
      </c>
    </row>
    <row r="4190" spans="1:4" ht="13.5">
      <c r="A4190" s="49">
        <v>92681</v>
      </c>
      <c r="B4190" s="48" t="s">
        <v>20854</v>
      </c>
      <c r="C4190" s="48" t="s">
        <v>32</v>
      </c>
      <c r="D4190" s="50">
        <v>43.37</v>
      </c>
    </row>
    <row r="4191" spans="1:4" ht="13.5">
      <c r="A4191" s="49">
        <v>92682</v>
      </c>
      <c r="B4191" s="48" t="s">
        <v>20855</v>
      </c>
      <c r="C4191" s="48" t="s">
        <v>32</v>
      </c>
      <c r="D4191" s="50">
        <v>55.11</v>
      </c>
    </row>
    <row r="4192" spans="1:4" ht="13.5">
      <c r="A4192" s="49">
        <v>92683</v>
      </c>
      <c r="B4192" s="48" t="s">
        <v>20856</v>
      </c>
      <c r="C4192" s="48" t="s">
        <v>32</v>
      </c>
      <c r="D4192" s="50">
        <v>64.69</v>
      </c>
    </row>
    <row r="4193" spans="1:4" ht="13.5">
      <c r="A4193" s="49">
        <v>92684</v>
      </c>
      <c r="B4193" s="48" t="s">
        <v>20857</v>
      </c>
      <c r="C4193" s="48" t="s">
        <v>32</v>
      </c>
      <c r="D4193" s="50">
        <v>88.74</v>
      </c>
    </row>
    <row r="4194" spans="1:4" ht="13.5">
      <c r="A4194" s="49">
        <v>92685</v>
      </c>
      <c r="B4194" s="48" t="s">
        <v>20858</v>
      </c>
      <c r="C4194" s="48" t="s">
        <v>32</v>
      </c>
      <c r="D4194" s="50">
        <v>145.33000000000001</v>
      </c>
    </row>
    <row r="4195" spans="1:4" ht="13.5">
      <c r="A4195" s="49">
        <v>92686</v>
      </c>
      <c r="B4195" s="48" t="s">
        <v>20859</v>
      </c>
      <c r="C4195" s="48" t="s">
        <v>32</v>
      </c>
      <c r="D4195" s="50">
        <v>186.73</v>
      </c>
    </row>
    <row r="4196" spans="1:4" ht="13.5">
      <c r="A4196" s="49">
        <v>92692</v>
      </c>
      <c r="B4196" s="48" t="s">
        <v>20860</v>
      </c>
      <c r="C4196" s="48" t="s">
        <v>32</v>
      </c>
      <c r="D4196" s="50">
        <v>12.02</v>
      </c>
    </row>
    <row r="4197" spans="1:4" ht="13.5">
      <c r="A4197" s="49">
        <v>92693</v>
      </c>
      <c r="B4197" s="48" t="s">
        <v>20861</v>
      </c>
      <c r="C4197" s="48" t="s">
        <v>32</v>
      </c>
      <c r="D4197" s="50">
        <v>12.39</v>
      </c>
    </row>
    <row r="4198" spans="1:4" ht="13.5">
      <c r="A4198" s="49">
        <v>92694</v>
      </c>
      <c r="B4198" s="48" t="s">
        <v>20862</v>
      </c>
      <c r="C4198" s="48" t="s">
        <v>32</v>
      </c>
      <c r="D4198" s="50">
        <v>18.91</v>
      </c>
    </row>
    <row r="4199" spans="1:4" ht="13.5">
      <c r="A4199" s="49">
        <v>92695</v>
      </c>
      <c r="B4199" s="48" t="s">
        <v>20863</v>
      </c>
      <c r="C4199" s="48" t="s">
        <v>32</v>
      </c>
      <c r="D4199" s="50">
        <v>19.28</v>
      </c>
    </row>
    <row r="4200" spans="1:4" ht="13.5">
      <c r="A4200" s="49">
        <v>92696</v>
      </c>
      <c r="B4200" s="48" t="s">
        <v>20864</v>
      </c>
      <c r="C4200" s="48" t="s">
        <v>32</v>
      </c>
      <c r="D4200" s="50">
        <v>29.52</v>
      </c>
    </row>
    <row r="4201" spans="1:4" ht="13.5">
      <c r="A4201" s="49">
        <v>92697</v>
      </c>
      <c r="B4201" s="48" t="s">
        <v>20865</v>
      </c>
      <c r="C4201" s="48" t="s">
        <v>32</v>
      </c>
      <c r="D4201" s="50">
        <v>31.18</v>
      </c>
    </row>
    <row r="4202" spans="1:4" ht="13.5">
      <c r="A4202" s="49">
        <v>92698</v>
      </c>
      <c r="B4202" s="48" t="s">
        <v>20866</v>
      </c>
      <c r="C4202" s="48" t="s">
        <v>32</v>
      </c>
      <c r="D4202" s="50">
        <v>17.739999999999998</v>
      </c>
    </row>
    <row r="4203" spans="1:4" ht="13.5">
      <c r="A4203" s="49">
        <v>92699</v>
      </c>
      <c r="B4203" s="48" t="s">
        <v>20867</v>
      </c>
      <c r="C4203" s="48" t="s">
        <v>32</v>
      </c>
      <c r="D4203" s="50">
        <v>16.54</v>
      </c>
    </row>
    <row r="4204" spans="1:4" ht="13.5">
      <c r="A4204" s="49">
        <v>92700</v>
      </c>
      <c r="B4204" s="48" t="s">
        <v>20868</v>
      </c>
      <c r="C4204" s="48" t="s">
        <v>32</v>
      </c>
      <c r="D4204" s="50">
        <v>28.77</v>
      </c>
    </row>
    <row r="4205" spans="1:4" ht="13.5">
      <c r="A4205" s="49">
        <v>92701</v>
      </c>
      <c r="B4205" s="48" t="s">
        <v>20869</v>
      </c>
      <c r="C4205" s="48" t="s">
        <v>32</v>
      </c>
      <c r="D4205" s="50">
        <v>26.98</v>
      </c>
    </row>
    <row r="4206" spans="1:4" ht="13.5">
      <c r="A4206" s="49">
        <v>92702</v>
      </c>
      <c r="B4206" s="48" t="s">
        <v>20870</v>
      </c>
      <c r="C4206" s="48" t="s">
        <v>32</v>
      </c>
      <c r="D4206" s="50">
        <v>44.8</v>
      </c>
    </row>
    <row r="4207" spans="1:4" ht="13.5">
      <c r="A4207" s="49">
        <v>92703</v>
      </c>
      <c r="B4207" s="48" t="s">
        <v>20871</v>
      </c>
      <c r="C4207" s="48" t="s">
        <v>32</v>
      </c>
      <c r="D4207" s="50">
        <v>42.6</v>
      </c>
    </row>
    <row r="4208" spans="1:4" ht="13.5">
      <c r="A4208" s="49">
        <v>92704</v>
      </c>
      <c r="B4208" s="48" t="s">
        <v>20872</v>
      </c>
      <c r="C4208" s="48" t="s">
        <v>32</v>
      </c>
      <c r="D4208" s="50">
        <v>22.29</v>
      </c>
    </row>
    <row r="4209" spans="1:4" ht="13.5">
      <c r="A4209" s="49">
        <v>92705</v>
      </c>
      <c r="B4209" s="48" t="s">
        <v>20873</v>
      </c>
      <c r="C4209" s="48" t="s">
        <v>32</v>
      </c>
      <c r="D4209" s="50">
        <v>35.619999999999997</v>
      </c>
    </row>
    <row r="4210" spans="1:4" ht="13.5">
      <c r="A4210" s="49">
        <v>92706</v>
      </c>
      <c r="B4210" s="48" t="s">
        <v>20874</v>
      </c>
      <c r="C4210" s="48" t="s">
        <v>32</v>
      </c>
      <c r="D4210" s="50">
        <v>57.61</v>
      </c>
    </row>
    <row r="4211" spans="1:4" ht="13.5">
      <c r="A4211" s="49">
        <v>92889</v>
      </c>
      <c r="B4211" s="48" t="s">
        <v>20875</v>
      </c>
      <c r="C4211" s="48" t="s">
        <v>32</v>
      </c>
      <c r="D4211" s="50">
        <v>117.22</v>
      </c>
    </row>
    <row r="4212" spans="1:4" ht="13.5">
      <c r="A4212" s="49">
        <v>92890</v>
      </c>
      <c r="B4212" s="48" t="s">
        <v>20876</v>
      </c>
      <c r="C4212" s="48" t="s">
        <v>32</v>
      </c>
      <c r="D4212" s="50">
        <v>179.42</v>
      </c>
    </row>
    <row r="4213" spans="1:4" ht="13.5">
      <c r="A4213" s="49">
        <v>92891</v>
      </c>
      <c r="B4213" s="48" t="s">
        <v>20877</v>
      </c>
      <c r="C4213" s="48" t="s">
        <v>32</v>
      </c>
      <c r="D4213" s="50">
        <v>264.77999999999997</v>
      </c>
    </row>
    <row r="4214" spans="1:4" ht="13.5">
      <c r="A4214" s="49">
        <v>92892</v>
      </c>
      <c r="B4214" s="48" t="s">
        <v>20878</v>
      </c>
      <c r="C4214" s="48" t="s">
        <v>32</v>
      </c>
      <c r="D4214" s="50">
        <v>49.32</v>
      </c>
    </row>
    <row r="4215" spans="1:4" ht="13.5">
      <c r="A4215" s="49">
        <v>92893</v>
      </c>
      <c r="B4215" s="48" t="s">
        <v>20879</v>
      </c>
      <c r="C4215" s="48" t="s">
        <v>32</v>
      </c>
      <c r="D4215" s="50">
        <v>71.19</v>
      </c>
    </row>
    <row r="4216" spans="1:4" ht="13.5">
      <c r="A4216" s="49">
        <v>92894</v>
      </c>
      <c r="B4216" s="48" t="s">
        <v>20880</v>
      </c>
      <c r="C4216" s="48" t="s">
        <v>32</v>
      </c>
      <c r="D4216" s="50">
        <v>85.39</v>
      </c>
    </row>
    <row r="4217" spans="1:4" ht="13.5">
      <c r="A4217" s="49">
        <v>92895</v>
      </c>
      <c r="B4217" s="48" t="s">
        <v>20881</v>
      </c>
      <c r="C4217" s="48" t="s">
        <v>32</v>
      </c>
      <c r="D4217" s="50">
        <v>117.18</v>
      </c>
    </row>
    <row r="4218" spans="1:4" ht="13.5">
      <c r="A4218" s="49">
        <v>92896</v>
      </c>
      <c r="B4218" s="48" t="s">
        <v>20882</v>
      </c>
      <c r="C4218" s="48" t="s">
        <v>32</v>
      </c>
      <c r="D4218" s="50">
        <v>180.75</v>
      </c>
    </row>
    <row r="4219" spans="1:4" ht="13.5">
      <c r="A4219" s="49">
        <v>92897</v>
      </c>
      <c r="B4219" s="48" t="s">
        <v>20883</v>
      </c>
      <c r="C4219" s="48" t="s">
        <v>32</v>
      </c>
      <c r="D4219" s="50">
        <v>267.51</v>
      </c>
    </row>
    <row r="4220" spans="1:4" ht="13.5">
      <c r="A4220" s="49">
        <v>92898</v>
      </c>
      <c r="B4220" s="48" t="s">
        <v>20884</v>
      </c>
      <c r="C4220" s="48" t="s">
        <v>32</v>
      </c>
      <c r="D4220" s="50">
        <v>41.92</v>
      </c>
    </row>
    <row r="4221" spans="1:4" ht="13.5">
      <c r="A4221" s="49">
        <v>92899</v>
      </c>
      <c r="B4221" s="48" t="s">
        <v>20885</v>
      </c>
      <c r="C4221" s="48" t="s">
        <v>32</v>
      </c>
      <c r="D4221" s="50">
        <v>62.77</v>
      </c>
    </row>
    <row r="4222" spans="1:4" ht="13.5">
      <c r="A4222" s="49">
        <v>92900</v>
      </c>
      <c r="B4222" s="48" t="s">
        <v>20886</v>
      </c>
      <c r="C4222" s="48" t="s">
        <v>32</v>
      </c>
      <c r="D4222" s="50">
        <v>75.81</v>
      </c>
    </row>
    <row r="4223" spans="1:4" ht="13.5">
      <c r="A4223" s="49">
        <v>92901</v>
      </c>
      <c r="B4223" s="48" t="s">
        <v>20887</v>
      </c>
      <c r="C4223" s="48" t="s">
        <v>32</v>
      </c>
      <c r="D4223" s="50">
        <v>106.15</v>
      </c>
    </row>
    <row r="4224" spans="1:4" ht="13.5">
      <c r="A4224" s="49">
        <v>92902</v>
      </c>
      <c r="B4224" s="48" t="s">
        <v>20888</v>
      </c>
      <c r="C4224" s="48" t="s">
        <v>32</v>
      </c>
      <c r="D4224" s="50">
        <v>167.53</v>
      </c>
    </row>
    <row r="4225" spans="1:4" ht="13.5">
      <c r="A4225" s="49">
        <v>92903</v>
      </c>
      <c r="B4225" s="48" t="s">
        <v>20889</v>
      </c>
      <c r="C4225" s="48" t="s">
        <v>32</v>
      </c>
      <c r="D4225" s="50">
        <v>252.13</v>
      </c>
    </row>
    <row r="4226" spans="1:4" ht="13.5">
      <c r="A4226" s="49">
        <v>92904</v>
      </c>
      <c r="B4226" s="48" t="s">
        <v>20890</v>
      </c>
      <c r="C4226" s="48" t="s">
        <v>32</v>
      </c>
      <c r="D4226" s="50">
        <v>28.74</v>
      </c>
    </row>
    <row r="4227" spans="1:4" ht="13.5">
      <c r="A4227" s="49">
        <v>92905</v>
      </c>
      <c r="B4227" s="48" t="s">
        <v>20891</v>
      </c>
      <c r="C4227" s="48" t="s">
        <v>32</v>
      </c>
      <c r="D4227" s="50">
        <v>40.74</v>
      </c>
    </row>
    <row r="4228" spans="1:4" ht="13.5">
      <c r="A4228" s="49">
        <v>92906</v>
      </c>
      <c r="B4228" s="48" t="s">
        <v>20892</v>
      </c>
      <c r="C4228" s="48" t="s">
        <v>32</v>
      </c>
      <c r="D4228" s="50">
        <v>49</v>
      </c>
    </row>
    <row r="4229" spans="1:4" ht="13.5">
      <c r="A4229" s="49">
        <v>92907</v>
      </c>
      <c r="B4229" s="48" t="s">
        <v>20893</v>
      </c>
      <c r="C4229" s="48" t="s">
        <v>32</v>
      </c>
      <c r="D4229" s="50">
        <v>60.81</v>
      </c>
    </row>
    <row r="4230" spans="1:4" ht="13.5">
      <c r="A4230" s="49">
        <v>92908</v>
      </c>
      <c r="B4230" s="48" t="s">
        <v>20894</v>
      </c>
      <c r="C4230" s="48" t="s">
        <v>32</v>
      </c>
      <c r="D4230" s="50">
        <v>60.81</v>
      </c>
    </row>
    <row r="4231" spans="1:4" ht="13.5">
      <c r="A4231" s="49">
        <v>92909</v>
      </c>
      <c r="B4231" s="48" t="s">
        <v>20895</v>
      </c>
      <c r="C4231" s="48" t="s">
        <v>32</v>
      </c>
      <c r="D4231" s="50">
        <v>60.81</v>
      </c>
    </row>
    <row r="4232" spans="1:4" ht="13.5">
      <c r="A4232" s="49">
        <v>92910</v>
      </c>
      <c r="B4232" s="48" t="s">
        <v>20896</v>
      </c>
      <c r="C4232" s="48" t="s">
        <v>32</v>
      </c>
      <c r="D4232" s="50">
        <v>89.58</v>
      </c>
    </row>
    <row r="4233" spans="1:4" ht="13.5">
      <c r="A4233" s="49">
        <v>92911</v>
      </c>
      <c r="B4233" s="48" t="s">
        <v>20897</v>
      </c>
      <c r="C4233" s="48" t="s">
        <v>32</v>
      </c>
      <c r="D4233" s="50">
        <v>89.58</v>
      </c>
    </row>
    <row r="4234" spans="1:4" ht="13.5">
      <c r="A4234" s="49">
        <v>92912</v>
      </c>
      <c r="B4234" s="48" t="s">
        <v>20898</v>
      </c>
      <c r="C4234" s="48" t="s">
        <v>32</v>
      </c>
      <c r="D4234" s="50">
        <v>121.73</v>
      </c>
    </row>
    <row r="4235" spans="1:4" ht="13.5">
      <c r="A4235" s="49">
        <v>92913</v>
      </c>
      <c r="B4235" s="48" t="s">
        <v>20899</v>
      </c>
      <c r="C4235" s="48" t="s">
        <v>32</v>
      </c>
      <c r="D4235" s="50">
        <v>124.03</v>
      </c>
    </row>
    <row r="4236" spans="1:4" ht="13.5">
      <c r="A4236" s="49">
        <v>92914</v>
      </c>
      <c r="B4236" s="48" t="s">
        <v>20900</v>
      </c>
      <c r="C4236" s="48" t="s">
        <v>32</v>
      </c>
      <c r="D4236" s="50">
        <v>124.03</v>
      </c>
    </row>
    <row r="4237" spans="1:4" ht="13.5">
      <c r="A4237" s="49">
        <v>92918</v>
      </c>
      <c r="B4237" s="48" t="s">
        <v>20901</v>
      </c>
      <c r="C4237" s="48" t="s">
        <v>32</v>
      </c>
      <c r="D4237" s="50">
        <v>31.36</v>
      </c>
    </row>
    <row r="4238" spans="1:4" ht="13.5">
      <c r="A4238" s="49">
        <v>92920</v>
      </c>
      <c r="B4238" s="48" t="s">
        <v>20902</v>
      </c>
      <c r="C4238" s="48" t="s">
        <v>32</v>
      </c>
      <c r="D4238" s="50">
        <v>31.59</v>
      </c>
    </row>
    <row r="4239" spans="1:4" ht="13.5">
      <c r="A4239" s="49">
        <v>92925</v>
      </c>
      <c r="B4239" s="48" t="s">
        <v>20903</v>
      </c>
      <c r="C4239" s="48" t="s">
        <v>32</v>
      </c>
      <c r="D4239" s="50">
        <v>39.299999999999997</v>
      </c>
    </row>
    <row r="4240" spans="1:4" ht="13.5">
      <c r="A4240" s="49">
        <v>92926</v>
      </c>
      <c r="B4240" s="48" t="s">
        <v>20904</v>
      </c>
      <c r="C4240" s="48" t="s">
        <v>32</v>
      </c>
      <c r="D4240" s="50">
        <v>39.29</v>
      </c>
    </row>
    <row r="4241" spans="1:4" ht="13.5">
      <c r="A4241" s="49">
        <v>92927</v>
      </c>
      <c r="B4241" s="48" t="s">
        <v>20905</v>
      </c>
      <c r="C4241" s="48" t="s">
        <v>32</v>
      </c>
      <c r="D4241" s="50">
        <v>39.29</v>
      </c>
    </row>
    <row r="4242" spans="1:4" ht="13.5">
      <c r="A4242" s="49">
        <v>92928</v>
      </c>
      <c r="B4242" s="48" t="s">
        <v>20906</v>
      </c>
      <c r="C4242" s="48" t="s">
        <v>32</v>
      </c>
      <c r="D4242" s="50">
        <v>45.09</v>
      </c>
    </row>
    <row r="4243" spans="1:4" ht="13.5">
      <c r="A4243" s="49">
        <v>92929</v>
      </c>
      <c r="B4243" s="48" t="s">
        <v>20907</v>
      </c>
      <c r="C4243" s="48" t="s">
        <v>32</v>
      </c>
      <c r="D4243" s="50">
        <v>45.09</v>
      </c>
    </row>
    <row r="4244" spans="1:4" ht="13.5">
      <c r="A4244" s="49">
        <v>92930</v>
      </c>
      <c r="B4244" s="48" t="s">
        <v>20908</v>
      </c>
      <c r="C4244" s="48" t="s">
        <v>32</v>
      </c>
      <c r="D4244" s="50">
        <v>45.09</v>
      </c>
    </row>
    <row r="4245" spans="1:4" ht="13.5">
      <c r="A4245" s="49">
        <v>92931</v>
      </c>
      <c r="B4245" s="48" t="s">
        <v>20909</v>
      </c>
      <c r="C4245" s="48" t="s">
        <v>32</v>
      </c>
      <c r="D4245" s="50">
        <v>60.77</v>
      </c>
    </row>
    <row r="4246" spans="1:4" ht="13.5">
      <c r="A4246" s="49">
        <v>92932</v>
      </c>
      <c r="B4246" s="48" t="s">
        <v>20910</v>
      </c>
      <c r="C4246" s="48" t="s">
        <v>32</v>
      </c>
      <c r="D4246" s="50">
        <v>60.77</v>
      </c>
    </row>
    <row r="4247" spans="1:4" ht="13.5">
      <c r="A4247" s="49">
        <v>92933</v>
      </c>
      <c r="B4247" s="48" t="s">
        <v>20911</v>
      </c>
      <c r="C4247" s="48" t="s">
        <v>32</v>
      </c>
      <c r="D4247" s="50">
        <v>60.77</v>
      </c>
    </row>
    <row r="4248" spans="1:4" ht="13.5">
      <c r="A4248" s="49">
        <v>92934</v>
      </c>
      <c r="B4248" s="48" t="s">
        <v>20912</v>
      </c>
      <c r="C4248" s="48" t="s">
        <v>32</v>
      </c>
      <c r="D4248" s="50">
        <v>90.91</v>
      </c>
    </row>
    <row r="4249" spans="1:4" ht="13.5">
      <c r="A4249" s="49">
        <v>92935</v>
      </c>
      <c r="B4249" s="48" t="s">
        <v>20913</v>
      </c>
      <c r="C4249" s="48" t="s">
        <v>32</v>
      </c>
      <c r="D4249" s="50">
        <v>90.91</v>
      </c>
    </row>
    <row r="4250" spans="1:4" ht="13.5">
      <c r="A4250" s="49">
        <v>92936</v>
      </c>
      <c r="B4250" s="48" t="s">
        <v>20914</v>
      </c>
      <c r="C4250" s="48" t="s">
        <v>32</v>
      </c>
      <c r="D4250" s="50">
        <v>126.76</v>
      </c>
    </row>
    <row r="4251" spans="1:4" ht="13.5">
      <c r="A4251" s="49">
        <v>92937</v>
      </c>
      <c r="B4251" s="48" t="s">
        <v>20915</v>
      </c>
      <c r="C4251" s="48" t="s">
        <v>32</v>
      </c>
      <c r="D4251" s="50">
        <v>126.76</v>
      </c>
    </row>
    <row r="4252" spans="1:4" ht="13.5">
      <c r="A4252" s="49">
        <v>92938</v>
      </c>
      <c r="B4252" s="48" t="s">
        <v>20916</v>
      </c>
      <c r="C4252" s="48" t="s">
        <v>32</v>
      </c>
      <c r="D4252" s="50">
        <v>23.96</v>
      </c>
    </row>
    <row r="4253" spans="1:4" ht="13.5">
      <c r="A4253" s="49">
        <v>92939</v>
      </c>
      <c r="B4253" s="48" t="s">
        <v>20917</v>
      </c>
      <c r="C4253" s="48" t="s">
        <v>32</v>
      </c>
      <c r="D4253" s="50">
        <v>24.19</v>
      </c>
    </row>
    <row r="4254" spans="1:4" ht="13.5">
      <c r="A4254" s="49">
        <v>92940</v>
      </c>
      <c r="B4254" s="48" t="s">
        <v>20918</v>
      </c>
      <c r="C4254" s="48" t="s">
        <v>32</v>
      </c>
      <c r="D4254" s="50">
        <v>30.88</v>
      </c>
    </row>
    <row r="4255" spans="1:4" ht="13.5">
      <c r="A4255" s="49">
        <v>92941</v>
      </c>
      <c r="B4255" s="48" t="s">
        <v>20919</v>
      </c>
      <c r="C4255" s="48" t="s">
        <v>32</v>
      </c>
      <c r="D4255" s="50">
        <v>30.87</v>
      </c>
    </row>
    <row r="4256" spans="1:4" ht="13.5">
      <c r="A4256" s="49">
        <v>92942</v>
      </c>
      <c r="B4256" s="48" t="s">
        <v>20920</v>
      </c>
      <c r="C4256" s="48" t="s">
        <v>32</v>
      </c>
      <c r="D4256" s="50">
        <v>30.87</v>
      </c>
    </row>
    <row r="4257" spans="1:4" ht="13.5">
      <c r="A4257" s="49">
        <v>92943</v>
      </c>
      <c r="B4257" s="48" t="s">
        <v>20921</v>
      </c>
      <c r="C4257" s="48" t="s">
        <v>32</v>
      </c>
      <c r="D4257" s="50">
        <v>35.51</v>
      </c>
    </row>
    <row r="4258" spans="1:4" ht="13.5">
      <c r="A4258" s="49">
        <v>92944</v>
      </c>
      <c r="B4258" s="48" t="s">
        <v>20922</v>
      </c>
      <c r="C4258" s="48" t="s">
        <v>32</v>
      </c>
      <c r="D4258" s="50">
        <v>35.51</v>
      </c>
    </row>
    <row r="4259" spans="1:4" ht="13.5">
      <c r="A4259" s="49">
        <v>92945</v>
      </c>
      <c r="B4259" s="48" t="s">
        <v>20923</v>
      </c>
      <c r="C4259" s="48" t="s">
        <v>32</v>
      </c>
      <c r="D4259" s="50">
        <v>35.51</v>
      </c>
    </row>
    <row r="4260" spans="1:4" ht="13.5">
      <c r="A4260" s="49">
        <v>92946</v>
      </c>
      <c r="B4260" s="48" t="s">
        <v>20924</v>
      </c>
      <c r="C4260" s="48" t="s">
        <v>32</v>
      </c>
      <c r="D4260" s="50">
        <v>49.74</v>
      </c>
    </row>
    <row r="4261" spans="1:4" ht="13.5">
      <c r="A4261" s="49">
        <v>92947</v>
      </c>
      <c r="B4261" s="48" t="s">
        <v>20925</v>
      </c>
      <c r="C4261" s="48" t="s">
        <v>32</v>
      </c>
      <c r="D4261" s="50">
        <v>49.74</v>
      </c>
    </row>
    <row r="4262" spans="1:4" ht="13.5">
      <c r="A4262" s="49">
        <v>92948</v>
      </c>
      <c r="B4262" s="48" t="s">
        <v>20926</v>
      </c>
      <c r="C4262" s="48" t="s">
        <v>32</v>
      </c>
      <c r="D4262" s="50">
        <v>49.74</v>
      </c>
    </row>
    <row r="4263" spans="1:4" ht="13.5">
      <c r="A4263" s="49">
        <v>92949</v>
      </c>
      <c r="B4263" s="48" t="s">
        <v>20927</v>
      </c>
      <c r="C4263" s="48" t="s">
        <v>32</v>
      </c>
      <c r="D4263" s="50">
        <v>77.69</v>
      </c>
    </row>
    <row r="4264" spans="1:4" ht="13.5">
      <c r="A4264" s="49">
        <v>92950</v>
      </c>
      <c r="B4264" s="48" t="s">
        <v>20928</v>
      </c>
      <c r="C4264" s="48" t="s">
        <v>32</v>
      </c>
      <c r="D4264" s="50">
        <v>77.69</v>
      </c>
    </row>
    <row r="4265" spans="1:4" ht="13.5">
      <c r="A4265" s="49">
        <v>92951</v>
      </c>
      <c r="B4265" s="48" t="s">
        <v>20929</v>
      </c>
      <c r="C4265" s="48" t="s">
        <v>32</v>
      </c>
      <c r="D4265" s="50">
        <v>111.38</v>
      </c>
    </row>
    <row r="4266" spans="1:4" ht="13.5">
      <c r="A4266" s="49">
        <v>92952</v>
      </c>
      <c r="B4266" s="48" t="s">
        <v>20930</v>
      </c>
      <c r="C4266" s="48" t="s">
        <v>32</v>
      </c>
      <c r="D4266" s="50">
        <v>111.38</v>
      </c>
    </row>
    <row r="4267" spans="1:4" ht="13.5">
      <c r="A4267" s="49">
        <v>92953</v>
      </c>
      <c r="B4267" s="48" t="s">
        <v>20931</v>
      </c>
      <c r="C4267" s="48" t="s">
        <v>32</v>
      </c>
      <c r="D4267" s="50">
        <v>20.47</v>
      </c>
    </row>
    <row r="4268" spans="1:4" ht="13.5">
      <c r="A4268" s="49">
        <v>93050</v>
      </c>
      <c r="B4268" s="48" t="s">
        <v>5365</v>
      </c>
      <c r="C4268" s="48" t="s">
        <v>32</v>
      </c>
      <c r="D4268" s="50">
        <v>12.51</v>
      </c>
    </row>
    <row r="4269" spans="1:4" ht="13.5">
      <c r="A4269" s="49">
        <v>93051</v>
      </c>
      <c r="B4269" s="48" t="s">
        <v>5366</v>
      </c>
      <c r="C4269" s="48" t="s">
        <v>32</v>
      </c>
      <c r="D4269" s="50">
        <v>11.46</v>
      </c>
    </row>
    <row r="4270" spans="1:4" ht="13.5">
      <c r="A4270" s="49">
        <v>93052</v>
      </c>
      <c r="B4270" s="48" t="s">
        <v>5367</v>
      </c>
      <c r="C4270" s="48" t="s">
        <v>32</v>
      </c>
      <c r="D4270" s="50">
        <v>603.97</v>
      </c>
    </row>
    <row r="4271" spans="1:4" ht="13.5">
      <c r="A4271" s="49">
        <v>93054</v>
      </c>
      <c r="B4271" s="48" t="s">
        <v>5368</v>
      </c>
      <c r="C4271" s="48" t="s">
        <v>32</v>
      </c>
      <c r="D4271" s="50">
        <v>24.84</v>
      </c>
    </row>
    <row r="4272" spans="1:4" ht="13.5">
      <c r="A4272" s="49">
        <v>93055</v>
      </c>
      <c r="B4272" s="48" t="s">
        <v>5370</v>
      </c>
      <c r="C4272" s="48" t="s">
        <v>32</v>
      </c>
      <c r="D4272" s="50">
        <v>51.68</v>
      </c>
    </row>
    <row r="4273" spans="1:4" ht="13.5">
      <c r="A4273" s="49">
        <v>93056</v>
      </c>
      <c r="B4273" s="48" t="s">
        <v>5371</v>
      </c>
      <c r="C4273" s="48" t="s">
        <v>32</v>
      </c>
      <c r="D4273" s="50">
        <v>18.57</v>
      </c>
    </row>
    <row r="4274" spans="1:4" ht="13.5">
      <c r="A4274" s="49">
        <v>93057</v>
      </c>
      <c r="B4274" s="48" t="s">
        <v>5372</v>
      </c>
      <c r="C4274" s="48" t="s">
        <v>32</v>
      </c>
      <c r="D4274" s="50">
        <v>16.059999999999999</v>
      </c>
    </row>
    <row r="4275" spans="1:4" ht="13.5">
      <c r="A4275" s="49">
        <v>93058</v>
      </c>
      <c r="B4275" s="48" t="s">
        <v>5373</v>
      </c>
      <c r="C4275" s="48" t="s">
        <v>32</v>
      </c>
      <c r="D4275" s="50">
        <v>664.08</v>
      </c>
    </row>
    <row r="4276" spans="1:4" ht="13.5">
      <c r="A4276" s="49">
        <v>93059</v>
      </c>
      <c r="B4276" s="48" t="s">
        <v>5374</v>
      </c>
      <c r="C4276" s="48" t="s">
        <v>32</v>
      </c>
      <c r="D4276" s="50">
        <v>34.299999999999997</v>
      </c>
    </row>
    <row r="4277" spans="1:4" ht="13.5">
      <c r="A4277" s="49">
        <v>93060</v>
      </c>
      <c r="B4277" s="48" t="s">
        <v>5375</v>
      </c>
      <c r="C4277" s="48" t="s">
        <v>32</v>
      </c>
      <c r="D4277" s="50">
        <v>90.6</v>
      </c>
    </row>
    <row r="4278" spans="1:4" ht="13.5">
      <c r="A4278" s="49">
        <v>93061</v>
      </c>
      <c r="B4278" s="48" t="s">
        <v>5376</v>
      </c>
      <c r="C4278" s="48" t="s">
        <v>32</v>
      </c>
      <c r="D4278" s="50">
        <v>35.590000000000003</v>
      </c>
    </row>
    <row r="4279" spans="1:4" ht="13.5">
      <c r="A4279" s="49">
        <v>93062</v>
      </c>
      <c r="B4279" s="48" t="s">
        <v>5377</v>
      </c>
      <c r="C4279" s="48" t="s">
        <v>32</v>
      </c>
      <c r="D4279" s="50">
        <v>30.72</v>
      </c>
    </row>
    <row r="4280" spans="1:4" ht="13.5">
      <c r="A4280" s="49">
        <v>93063</v>
      </c>
      <c r="B4280" s="48" t="s">
        <v>5378</v>
      </c>
      <c r="C4280" s="48" t="s">
        <v>32</v>
      </c>
      <c r="D4280" s="50">
        <v>760.6</v>
      </c>
    </row>
    <row r="4281" spans="1:4" ht="13.5">
      <c r="A4281" s="49">
        <v>93064</v>
      </c>
      <c r="B4281" s="48" t="s">
        <v>5379</v>
      </c>
      <c r="C4281" s="48" t="s">
        <v>32</v>
      </c>
      <c r="D4281" s="50">
        <v>55.45</v>
      </c>
    </row>
    <row r="4282" spans="1:4" ht="13.5">
      <c r="A4282" s="49">
        <v>93065</v>
      </c>
      <c r="B4282" s="48" t="s">
        <v>5380</v>
      </c>
      <c r="C4282" s="48" t="s">
        <v>32</v>
      </c>
      <c r="D4282" s="50">
        <v>51.85</v>
      </c>
    </row>
    <row r="4283" spans="1:4" ht="13.5">
      <c r="A4283" s="49">
        <v>93066</v>
      </c>
      <c r="B4283" s="48" t="s">
        <v>5381</v>
      </c>
      <c r="C4283" s="48" t="s">
        <v>32</v>
      </c>
      <c r="D4283" s="50">
        <v>954.91</v>
      </c>
    </row>
    <row r="4284" spans="1:4" ht="13.5">
      <c r="A4284" s="49">
        <v>93067</v>
      </c>
      <c r="B4284" s="48" t="s">
        <v>5382</v>
      </c>
      <c r="C4284" s="48" t="s">
        <v>32</v>
      </c>
      <c r="D4284" s="50">
        <v>82.6</v>
      </c>
    </row>
    <row r="4285" spans="1:4" ht="13.5">
      <c r="A4285" s="49">
        <v>93068</v>
      </c>
      <c r="B4285" s="48" t="s">
        <v>5383</v>
      </c>
      <c r="C4285" s="48" t="s">
        <v>32</v>
      </c>
      <c r="D4285" s="50">
        <v>72.05</v>
      </c>
    </row>
    <row r="4286" spans="1:4" ht="13.5">
      <c r="A4286" s="49">
        <v>93069</v>
      </c>
      <c r="B4286" s="48" t="s">
        <v>5384</v>
      </c>
      <c r="C4286" s="48" t="s">
        <v>32</v>
      </c>
      <c r="D4286" s="51">
        <v>1323.63</v>
      </c>
    </row>
    <row r="4287" spans="1:4" ht="13.5">
      <c r="A4287" s="49">
        <v>93070</v>
      </c>
      <c r="B4287" s="48" t="s">
        <v>5385</v>
      </c>
      <c r="C4287" s="48" t="s">
        <v>32</v>
      </c>
      <c r="D4287" s="50">
        <v>210.97</v>
      </c>
    </row>
    <row r="4288" spans="1:4" ht="13.5">
      <c r="A4288" s="49">
        <v>93071</v>
      </c>
      <c r="B4288" s="48" t="s">
        <v>5386</v>
      </c>
      <c r="C4288" s="48" t="s">
        <v>32</v>
      </c>
      <c r="D4288" s="50">
        <v>195.75</v>
      </c>
    </row>
    <row r="4289" spans="1:4" ht="13.5">
      <c r="A4289" s="49">
        <v>93072</v>
      </c>
      <c r="B4289" s="48" t="s">
        <v>5387</v>
      </c>
      <c r="C4289" s="48" t="s">
        <v>32</v>
      </c>
      <c r="D4289" s="51">
        <v>1746.65</v>
      </c>
    </row>
    <row r="4290" spans="1:4" ht="13.5">
      <c r="A4290" s="49">
        <v>93073</v>
      </c>
      <c r="B4290" s="48" t="s">
        <v>5388</v>
      </c>
      <c r="C4290" s="48" t="s">
        <v>32</v>
      </c>
      <c r="D4290" s="50">
        <v>94.36</v>
      </c>
    </row>
    <row r="4291" spans="1:4" ht="13.5">
      <c r="A4291" s="49">
        <v>93074</v>
      </c>
      <c r="B4291" s="48" t="s">
        <v>5389</v>
      </c>
      <c r="C4291" s="48" t="s">
        <v>32</v>
      </c>
      <c r="D4291" s="50">
        <v>12.56</v>
      </c>
    </row>
    <row r="4292" spans="1:4" ht="13.5">
      <c r="A4292" s="49">
        <v>93075</v>
      </c>
      <c r="B4292" s="48" t="s">
        <v>5390</v>
      </c>
      <c r="C4292" s="48" t="s">
        <v>32</v>
      </c>
      <c r="D4292" s="50">
        <v>22.61</v>
      </c>
    </row>
    <row r="4293" spans="1:4" ht="13.5">
      <c r="A4293" s="49">
        <v>93076</v>
      </c>
      <c r="B4293" s="48" t="s">
        <v>5391</v>
      </c>
      <c r="C4293" s="48" t="s">
        <v>32</v>
      </c>
      <c r="D4293" s="50">
        <v>21.45</v>
      </c>
    </row>
    <row r="4294" spans="1:4" ht="13.5">
      <c r="A4294" s="49">
        <v>93077</v>
      </c>
      <c r="B4294" s="48" t="s">
        <v>5392</v>
      </c>
      <c r="C4294" s="48" t="s">
        <v>32</v>
      </c>
      <c r="D4294" s="50">
        <v>32.729999999999997</v>
      </c>
    </row>
    <row r="4295" spans="1:4" ht="13.5">
      <c r="A4295" s="49">
        <v>93078</v>
      </c>
      <c r="B4295" s="48" t="s">
        <v>5393</v>
      </c>
      <c r="C4295" s="48" t="s">
        <v>32</v>
      </c>
      <c r="D4295" s="50">
        <v>35.69</v>
      </c>
    </row>
    <row r="4296" spans="1:4" ht="13.5">
      <c r="A4296" s="49">
        <v>93079</v>
      </c>
      <c r="B4296" s="48" t="s">
        <v>5394</v>
      </c>
      <c r="C4296" s="48" t="s">
        <v>32</v>
      </c>
      <c r="D4296" s="50">
        <v>30.82</v>
      </c>
    </row>
    <row r="4297" spans="1:4" ht="13.5">
      <c r="A4297" s="49">
        <v>93080</v>
      </c>
      <c r="B4297" s="48" t="s">
        <v>5395</v>
      </c>
      <c r="C4297" s="48" t="s">
        <v>32</v>
      </c>
      <c r="D4297" s="50">
        <v>8.18</v>
      </c>
    </row>
    <row r="4298" spans="1:4" ht="13.5">
      <c r="A4298" s="49">
        <v>93081</v>
      </c>
      <c r="B4298" s="48" t="s">
        <v>5396</v>
      </c>
      <c r="C4298" s="48" t="s">
        <v>32</v>
      </c>
      <c r="D4298" s="50">
        <v>20.92</v>
      </c>
    </row>
    <row r="4299" spans="1:4" ht="13.5">
      <c r="A4299" s="49">
        <v>93082</v>
      </c>
      <c r="B4299" s="48" t="s">
        <v>5397</v>
      </c>
      <c r="C4299" s="48" t="s">
        <v>32</v>
      </c>
      <c r="D4299" s="50">
        <v>26</v>
      </c>
    </row>
    <row r="4300" spans="1:4" ht="13.5">
      <c r="A4300" s="49">
        <v>93083</v>
      </c>
      <c r="B4300" s="48" t="s">
        <v>5398</v>
      </c>
      <c r="C4300" s="48" t="s">
        <v>32</v>
      </c>
      <c r="D4300" s="50">
        <v>521.55999999999995</v>
      </c>
    </row>
    <row r="4301" spans="1:4" ht="13.5">
      <c r="A4301" s="49">
        <v>93084</v>
      </c>
      <c r="B4301" s="48" t="s">
        <v>5399</v>
      </c>
      <c r="C4301" s="48" t="s">
        <v>32</v>
      </c>
      <c r="D4301" s="50">
        <v>14.17</v>
      </c>
    </row>
    <row r="4302" spans="1:4" ht="13.5">
      <c r="A4302" s="49">
        <v>93085</v>
      </c>
      <c r="B4302" s="48" t="s">
        <v>5400</v>
      </c>
      <c r="C4302" s="48" t="s">
        <v>32</v>
      </c>
      <c r="D4302" s="50">
        <v>13.12</v>
      </c>
    </row>
    <row r="4303" spans="1:4" ht="13.5">
      <c r="A4303" s="49">
        <v>93086</v>
      </c>
      <c r="B4303" s="48" t="s">
        <v>5401</v>
      </c>
      <c r="C4303" s="48" t="s">
        <v>32</v>
      </c>
      <c r="D4303" s="50">
        <v>605.63</v>
      </c>
    </row>
    <row r="4304" spans="1:4" ht="13.5">
      <c r="A4304" s="49">
        <v>93087</v>
      </c>
      <c r="B4304" s="48" t="s">
        <v>5402</v>
      </c>
      <c r="C4304" s="48" t="s">
        <v>32</v>
      </c>
      <c r="D4304" s="50">
        <v>22.57</v>
      </c>
    </row>
    <row r="4305" spans="1:4" ht="13.5">
      <c r="A4305" s="49">
        <v>93088</v>
      </c>
      <c r="B4305" s="48" t="s">
        <v>5403</v>
      </c>
      <c r="C4305" s="48" t="s">
        <v>32</v>
      </c>
      <c r="D4305" s="50">
        <v>26.68</v>
      </c>
    </row>
    <row r="4306" spans="1:4" ht="13.5">
      <c r="A4306" s="49">
        <v>93089</v>
      </c>
      <c r="B4306" s="48" t="s">
        <v>5404</v>
      </c>
      <c r="C4306" s="48" t="s">
        <v>32</v>
      </c>
      <c r="D4306" s="50">
        <v>53.34</v>
      </c>
    </row>
    <row r="4307" spans="1:4" ht="13.5">
      <c r="A4307" s="49">
        <v>93090</v>
      </c>
      <c r="B4307" s="48" t="s">
        <v>5405</v>
      </c>
      <c r="C4307" s="48" t="s">
        <v>32</v>
      </c>
      <c r="D4307" s="50">
        <v>20.22</v>
      </c>
    </row>
    <row r="4308" spans="1:4" ht="13.5">
      <c r="A4308" s="49">
        <v>93091</v>
      </c>
      <c r="B4308" s="48" t="s">
        <v>5406</v>
      </c>
      <c r="C4308" s="48" t="s">
        <v>32</v>
      </c>
      <c r="D4308" s="50">
        <v>17.71</v>
      </c>
    </row>
    <row r="4309" spans="1:4" ht="13.5">
      <c r="A4309" s="49">
        <v>93092</v>
      </c>
      <c r="B4309" s="48" t="s">
        <v>5407</v>
      </c>
      <c r="C4309" s="48" t="s">
        <v>32</v>
      </c>
      <c r="D4309" s="50">
        <v>665.73</v>
      </c>
    </row>
    <row r="4310" spans="1:4" ht="13.5">
      <c r="A4310" s="49">
        <v>93093</v>
      </c>
      <c r="B4310" s="48" t="s">
        <v>5408</v>
      </c>
      <c r="C4310" s="48" t="s">
        <v>32</v>
      </c>
      <c r="D4310" s="50">
        <v>35.950000000000003</v>
      </c>
    </row>
    <row r="4311" spans="1:4" ht="13.5">
      <c r="A4311" s="49">
        <v>93094</v>
      </c>
      <c r="B4311" s="48" t="s">
        <v>5409</v>
      </c>
      <c r="C4311" s="48" t="s">
        <v>32</v>
      </c>
      <c r="D4311" s="50">
        <v>92.25</v>
      </c>
    </row>
    <row r="4312" spans="1:4" ht="13.5">
      <c r="A4312" s="49">
        <v>93095</v>
      </c>
      <c r="B4312" s="48" t="s">
        <v>5410</v>
      </c>
      <c r="C4312" s="48" t="s">
        <v>32</v>
      </c>
      <c r="D4312" s="50">
        <v>67.87</v>
      </c>
    </row>
    <row r="4313" spans="1:4" ht="13.5">
      <c r="A4313" s="49">
        <v>93096</v>
      </c>
      <c r="B4313" s="48" t="s">
        <v>5411</v>
      </c>
      <c r="C4313" s="48" t="s">
        <v>32</v>
      </c>
      <c r="D4313" s="50">
        <v>97.63</v>
      </c>
    </row>
    <row r="4314" spans="1:4" ht="13.5">
      <c r="A4314" s="49">
        <v>93097</v>
      </c>
      <c r="B4314" s="48" t="s">
        <v>5412</v>
      </c>
      <c r="C4314" s="48" t="s">
        <v>32</v>
      </c>
      <c r="D4314" s="50">
        <v>12.76</v>
      </c>
    </row>
    <row r="4315" spans="1:4" ht="13.5">
      <c r="A4315" s="49">
        <v>93098</v>
      </c>
      <c r="B4315" s="48" t="s">
        <v>5413</v>
      </c>
      <c r="C4315" s="48" t="s">
        <v>32</v>
      </c>
      <c r="D4315" s="50">
        <v>22.81</v>
      </c>
    </row>
    <row r="4316" spans="1:4" ht="13.5">
      <c r="A4316" s="49">
        <v>93099</v>
      </c>
      <c r="B4316" s="48" t="s">
        <v>5414</v>
      </c>
      <c r="C4316" s="48" t="s">
        <v>32</v>
      </c>
      <c r="D4316" s="50">
        <v>23.72</v>
      </c>
    </row>
    <row r="4317" spans="1:4" ht="13.5">
      <c r="A4317" s="49">
        <v>93100</v>
      </c>
      <c r="B4317" s="48" t="s">
        <v>5416</v>
      </c>
      <c r="C4317" s="48" t="s">
        <v>32</v>
      </c>
      <c r="D4317" s="50">
        <v>35</v>
      </c>
    </row>
    <row r="4318" spans="1:4" ht="13.5">
      <c r="A4318" s="49">
        <v>93101</v>
      </c>
      <c r="B4318" s="48" t="s">
        <v>5417</v>
      </c>
      <c r="C4318" s="48" t="s">
        <v>32</v>
      </c>
      <c r="D4318" s="50">
        <v>37.96</v>
      </c>
    </row>
    <row r="4319" spans="1:4" ht="13.5">
      <c r="A4319" s="49">
        <v>93102</v>
      </c>
      <c r="B4319" s="48" t="s">
        <v>5418</v>
      </c>
      <c r="C4319" s="48" t="s">
        <v>32</v>
      </c>
      <c r="D4319" s="50">
        <v>32.89</v>
      </c>
    </row>
    <row r="4320" spans="1:4" ht="13.5">
      <c r="A4320" s="49">
        <v>93103</v>
      </c>
      <c r="B4320" s="48" t="s">
        <v>5419</v>
      </c>
      <c r="C4320" s="48" t="s">
        <v>32</v>
      </c>
      <c r="D4320" s="50">
        <v>8.34</v>
      </c>
    </row>
    <row r="4321" spans="1:4" ht="13.5">
      <c r="A4321" s="49">
        <v>93104</v>
      </c>
      <c r="B4321" s="48" t="s">
        <v>5420</v>
      </c>
      <c r="C4321" s="48" t="s">
        <v>32</v>
      </c>
      <c r="D4321" s="50">
        <v>21.08</v>
      </c>
    </row>
    <row r="4322" spans="1:4" ht="13.5">
      <c r="A4322" s="49">
        <v>93105</v>
      </c>
      <c r="B4322" s="48" t="s">
        <v>5421</v>
      </c>
      <c r="C4322" s="48" t="s">
        <v>32</v>
      </c>
      <c r="D4322" s="50">
        <v>26.16</v>
      </c>
    </row>
    <row r="4323" spans="1:4" ht="13.5">
      <c r="A4323" s="49">
        <v>93106</v>
      </c>
      <c r="B4323" s="48" t="s">
        <v>5422</v>
      </c>
      <c r="C4323" s="48" t="s">
        <v>32</v>
      </c>
      <c r="D4323" s="50">
        <v>521.72</v>
      </c>
    </row>
    <row r="4324" spans="1:4" ht="13.5">
      <c r="A4324" s="49">
        <v>93107</v>
      </c>
      <c r="B4324" s="48" t="s">
        <v>5423</v>
      </c>
      <c r="C4324" s="48" t="s">
        <v>32</v>
      </c>
      <c r="D4324" s="50">
        <v>15.65</v>
      </c>
    </row>
    <row r="4325" spans="1:4" ht="13.5">
      <c r="A4325" s="49">
        <v>93108</v>
      </c>
      <c r="B4325" s="48" t="s">
        <v>5425</v>
      </c>
      <c r="C4325" s="48" t="s">
        <v>32</v>
      </c>
      <c r="D4325" s="50">
        <v>14.6</v>
      </c>
    </row>
    <row r="4326" spans="1:4" ht="13.5">
      <c r="A4326" s="49">
        <v>93109</v>
      </c>
      <c r="B4326" s="48" t="s">
        <v>5426</v>
      </c>
      <c r="C4326" s="48" t="s">
        <v>32</v>
      </c>
      <c r="D4326" s="50">
        <v>607.11</v>
      </c>
    </row>
    <row r="4327" spans="1:4" ht="13.5">
      <c r="A4327" s="49">
        <v>93110</v>
      </c>
      <c r="B4327" s="48" t="s">
        <v>5427</v>
      </c>
      <c r="C4327" s="48" t="s">
        <v>32</v>
      </c>
      <c r="D4327" s="50">
        <v>24.05</v>
      </c>
    </row>
    <row r="4328" spans="1:4" ht="13.5">
      <c r="A4328" s="49">
        <v>93111</v>
      </c>
      <c r="B4328" s="48" t="s">
        <v>5428</v>
      </c>
      <c r="C4328" s="48" t="s">
        <v>32</v>
      </c>
      <c r="D4328" s="50">
        <v>27.98</v>
      </c>
    </row>
    <row r="4329" spans="1:4" ht="13.5">
      <c r="A4329" s="49">
        <v>93112</v>
      </c>
      <c r="B4329" s="48" t="s">
        <v>5429</v>
      </c>
      <c r="C4329" s="48" t="s">
        <v>32</v>
      </c>
      <c r="D4329" s="50">
        <v>54.82</v>
      </c>
    </row>
    <row r="4330" spans="1:4" ht="13.5">
      <c r="A4330" s="49">
        <v>93113</v>
      </c>
      <c r="B4330" s="48" t="s">
        <v>5430</v>
      </c>
      <c r="C4330" s="48" t="s">
        <v>32</v>
      </c>
      <c r="D4330" s="50">
        <v>22.92</v>
      </c>
    </row>
    <row r="4331" spans="1:4" ht="13.5">
      <c r="A4331" s="49">
        <v>93114</v>
      </c>
      <c r="B4331" s="48" t="s">
        <v>5431</v>
      </c>
      <c r="C4331" s="48" t="s">
        <v>32</v>
      </c>
      <c r="D4331" s="50">
        <v>38.65</v>
      </c>
    </row>
    <row r="4332" spans="1:4" ht="13.5">
      <c r="A4332" s="49">
        <v>93115</v>
      </c>
      <c r="B4332" s="48" t="s">
        <v>5432</v>
      </c>
      <c r="C4332" s="48" t="s">
        <v>32</v>
      </c>
      <c r="D4332" s="50">
        <v>94.95</v>
      </c>
    </row>
    <row r="4333" spans="1:4" ht="13.5">
      <c r="A4333" s="49">
        <v>93116</v>
      </c>
      <c r="B4333" s="48" t="s">
        <v>5433</v>
      </c>
      <c r="C4333" s="48" t="s">
        <v>32</v>
      </c>
      <c r="D4333" s="50">
        <v>668.43</v>
      </c>
    </row>
    <row r="4334" spans="1:4" ht="13.5">
      <c r="A4334" s="49">
        <v>93117</v>
      </c>
      <c r="B4334" s="48" t="s">
        <v>5434</v>
      </c>
      <c r="C4334" s="48" t="s">
        <v>32</v>
      </c>
      <c r="D4334" s="50">
        <v>68.11</v>
      </c>
    </row>
    <row r="4335" spans="1:4" ht="13.5">
      <c r="A4335" s="49">
        <v>93118</v>
      </c>
      <c r="B4335" s="48" t="s">
        <v>5435</v>
      </c>
      <c r="C4335" s="48" t="s">
        <v>32</v>
      </c>
      <c r="D4335" s="50">
        <v>100.63</v>
      </c>
    </row>
    <row r="4336" spans="1:4" ht="13.5">
      <c r="A4336" s="49">
        <v>93119</v>
      </c>
      <c r="B4336" s="48" t="s">
        <v>5436</v>
      </c>
      <c r="C4336" s="48" t="s">
        <v>32</v>
      </c>
      <c r="D4336" s="50">
        <v>19.010000000000002</v>
      </c>
    </row>
    <row r="4337" spans="1:4" ht="13.5">
      <c r="A4337" s="49">
        <v>93120</v>
      </c>
      <c r="B4337" s="48" t="s">
        <v>5437</v>
      </c>
      <c r="C4337" s="48" t="s">
        <v>32</v>
      </c>
      <c r="D4337" s="50">
        <v>30.29</v>
      </c>
    </row>
    <row r="4338" spans="1:4" ht="13.5">
      <c r="A4338" s="49">
        <v>93121</v>
      </c>
      <c r="B4338" s="48" t="s">
        <v>5438</v>
      </c>
      <c r="C4338" s="48" t="s">
        <v>32</v>
      </c>
      <c r="D4338" s="50">
        <v>33.25</v>
      </c>
    </row>
    <row r="4339" spans="1:4" ht="13.5">
      <c r="A4339" s="49">
        <v>93122</v>
      </c>
      <c r="B4339" s="48" t="s">
        <v>5439</v>
      </c>
      <c r="C4339" s="48" t="s">
        <v>32</v>
      </c>
      <c r="D4339" s="50">
        <v>28.38</v>
      </c>
    </row>
    <row r="4340" spans="1:4" ht="13.5">
      <c r="A4340" s="49">
        <v>93123</v>
      </c>
      <c r="B4340" s="48" t="s">
        <v>5440</v>
      </c>
      <c r="C4340" s="48" t="s">
        <v>32</v>
      </c>
      <c r="D4340" s="50">
        <v>64.599999999999994</v>
      </c>
    </row>
    <row r="4341" spans="1:4" ht="13.5">
      <c r="A4341" s="49">
        <v>93124</v>
      </c>
      <c r="B4341" s="48" t="s">
        <v>5441</v>
      </c>
      <c r="C4341" s="48" t="s">
        <v>32</v>
      </c>
      <c r="D4341" s="50">
        <v>102.58</v>
      </c>
    </row>
    <row r="4342" spans="1:4" ht="13.5">
      <c r="A4342" s="49">
        <v>93125</v>
      </c>
      <c r="B4342" s="48" t="s">
        <v>5442</v>
      </c>
      <c r="C4342" s="48" t="s">
        <v>32</v>
      </c>
      <c r="D4342" s="50">
        <v>149.87</v>
      </c>
    </row>
    <row r="4343" spans="1:4" ht="13.5">
      <c r="A4343" s="49">
        <v>93126</v>
      </c>
      <c r="B4343" s="48" t="s">
        <v>5443</v>
      </c>
      <c r="C4343" s="48" t="s">
        <v>32</v>
      </c>
      <c r="D4343" s="50">
        <v>335.64</v>
      </c>
    </row>
    <row r="4344" spans="1:4" ht="13.5">
      <c r="A4344" s="49">
        <v>93133</v>
      </c>
      <c r="B4344" s="48" t="s">
        <v>5444</v>
      </c>
      <c r="C4344" s="48" t="s">
        <v>32</v>
      </c>
      <c r="D4344" s="50">
        <v>20.41</v>
      </c>
    </row>
    <row r="4345" spans="1:4" ht="13.5">
      <c r="A4345" s="49">
        <v>94465</v>
      </c>
      <c r="B4345" s="48" t="s">
        <v>5445</v>
      </c>
      <c r="C4345" s="48" t="s">
        <v>32</v>
      </c>
      <c r="D4345" s="50">
        <v>45.65</v>
      </c>
    </row>
    <row r="4346" spans="1:4" ht="13.5">
      <c r="A4346" s="49">
        <v>94466</v>
      </c>
      <c r="B4346" s="48" t="s">
        <v>5446</v>
      </c>
      <c r="C4346" s="48" t="s">
        <v>32</v>
      </c>
      <c r="D4346" s="50">
        <v>45.68</v>
      </c>
    </row>
    <row r="4347" spans="1:4" ht="13.5">
      <c r="A4347" s="49">
        <v>94467</v>
      </c>
      <c r="B4347" s="48" t="s">
        <v>5447</v>
      </c>
      <c r="C4347" s="48" t="s">
        <v>32</v>
      </c>
      <c r="D4347" s="50">
        <v>71.64</v>
      </c>
    </row>
    <row r="4348" spans="1:4" ht="13.5">
      <c r="A4348" s="49">
        <v>94468</v>
      </c>
      <c r="B4348" s="48" t="s">
        <v>5448</v>
      </c>
      <c r="C4348" s="48" t="s">
        <v>32</v>
      </c>
      <c r="D4348" s="50">
        <v>62.41</v>
      </c>
    </row>
    <row r="4349" spans="1:4" ht="13.5">
      <c r="A4349" s="49">
        <v>94469</v>
      </c>
      <c r="B4349" s="48" t="s">
        <v>5449</v>
      </c>
      <c r="C4349" s="48" t="s">
        <v>32</v>
      </c>
      <c r="D4349" s="50">
        <v>104.43</v>
      </c>
    </row>
    <row r="4350" spans="1:4" ht="13.5">
      <c r="A4350" s="49">
        <v>94470</v>
      </c>
      <c r="B4350" s="48" t="s">
        <v>5450</v>
      </c>
      <c r="C4350" s="48" t="s">
        <v>32</v>
      </c>
      <c r="D4350" s="50">
        <v>96.22</v>
      </c>
    </row>
    <row r="4351" spans="1:4" ht="13.5">
      <c r="A4351" s="49">
        <v>94471</v>
      </c>
      <c r="B4351" s="48" t="s">
        <v>5451</v>
      </c>
      <c r="C4351" s="48" t="s">
        <v>32</v>
      </c>
      <c r="D4351" s="50">
        <v>65.72</v>
      </c>
    </row>
    <row r="4352" spans="1:4" ht="13.5">
      <c r="A4352" s="49">
        <v>94472</v>
      </c>
      <c r="B4352" s="48" t="s">
        <v>5452</v>
      </c>
      <c r="C4352" s="48" t="s">
        <v>32</v>
      </c>
      <c r="D4352" s="50">
        <v>67.77</v>
      </c>
    </row>
    <row r="4353" spans="1:4" ht="13.5">
      <c r="A4353" s="49">
        <v>94473</v>
      </c>
      <c r="B4353" s="48" t="s">
        <v>5453</v>
      </c>
      <c r="C4353" s="48" t="s">
        <v>32</v>
      </c>
      <c r="D4353" s="50">
        <v>102.44</v>
      </c>
    </row>
    <row r="4354" spans="1:4" ht="13.5">
      <c r="A4354" s="49">
        <v>94474</v>
      </c>
      <c r="B4354" s="48" t="s">
        <v>5454</v>
      </c>
      <c r="C4354" s="48" t="s">
        <v>32</v>
      </c>
      <c r="D4354" s="50">
        <v>111.46</v>
      </c>
    </row>
    <row r="4355" spans="1:4" ht="13.5">
      <c r="A4355" s="49">
        <v>94475</v>
      </c>
      <c r="B4355" s="48" t="s">
        <v>5455</v>
      </c>
      <c r="C4355" s="48" t="s">
        <v>32</v>
      </c>
      <c r="D4355" s="50">
        <v>141.12</v>
      </c>
    </row>
    <row r="4356" spans="1:4" ht="13.5">
      <c r="A4356" s="49">
        <v>94476</v>
      </c>
      <c r="B4356" s="48" t="s">
        <v>5456</v>
      </c>
      <c r="C4356" s="48" t="s">
        <v>32</v>
      </c>
      <c r="D4356" s="50">
        <v>158.51</v>
      </c>
    </row>
    <row r="4357" spans="1:4" ht="13.5">
      <c r="A4357" s="49">
        <v>94477</v>
      </c>
      <c r="B4357" s="48" t="s">
        <v>5457</v>
      </c>
      <c r="C4357" s="48" t="s">
        <v>32</v>
      </c>
      <c r="D4357" s="50">
        <v>87.46</v>
      </c>
    </row>
    <row r="4358" spans="1:4" ht="13.5">
      <c r="A4358" s="49">
        <v>94478</v>
      </c>
      <c r="B4358" s="48" t="s">
        <v>5458</v>
      </c>
      <c r="C4358" s="48" t="s">
        <v>32</v>
      </c>
      <c r="D4358" s="50">
        <v>140.97</v>
      </c>
    </row>
    <row r="4359" spans="1:4" ht="13.5">
      <c r="A4359" s="49">
        <v>94479</v>
      </c>
      <c r="B4359" s="48" t="s">
        <v>5459</v>
      </c>
      <c r="C4359" s="48" t="s">
        <v>32</v>
      </c>
      <c r="D4359" s="50">
        <v>186.35</v>
      </c>
    </row>
    <row r="4360" spans="1:4" ht="13.5">
      <c r="A4360" s="49">
        <v>94606</v>
      </c>
      <c r="B4360" s="48" t="s">
        <v>5460</v>
      </c>
      <c r="C4360" s="48" t="s">
        <v>32</v>
      </c>
      <c r="D4360" s="50">
        <v>85.99</v>
      </c>
    </row>
    <row r="4361" spans="1:4" ht="13.5">
      <c r="A4361" s="49">
        <v>94608</v>
      </c>
      <c r="B4361" s="48" t="s">
        <v>5461</v>
      </c>
      <c r="C4361" s="48" t="s">
        <v>32</v>
      </c>
      <c r="D4361" s="50">
        <v>219.84</v>
      </c>
    </row>
    <row r="4362" spans="1:4" ht="13.5">
      <c r="A4362" s="49">
        <v>94610</v>
      </c>
      <c r="B4362" s="48" t="s">
        <v>5462</v>
      </c>
      <c r="C4362" s="48" t="s">
        <v>32</v>
      </c>
      <c r="D4362" s="50">
        <v>328.85</v>
      </c>
    </row>
    <row r="4363" spans="1:4" ht="13.5">
      <c r="A4363" s="49">
        <v>94612</v>
      </c>
      <c r="B4363" s="48" t="s">
        <v>5463</v>
      </c>
      <c r="C4363" s="48" t="s">
        <v>32</v>
      </c>
      <c r="D4363" s="50">
        <v>463.98</v>
      </c>
    </row>
    <row r="4364" spans="1:4" ht="13.5">
      <c r="A4364" s="49">
        <v>94614</v>
      </c>
      <c r="B4364" s="48" t="s">
        <v>5464</v>
      </c>
      <c r="C4364" s="48" t="s">
        <v>32</v>
      </c>
      <c r="D4364" s="50">
        <v>146.54</v>
      </c>
    </row>
    <row r="4365" spans="1:4" ht="13.5">
      <c r="A4365" s="49">
        <v>94615</v>
      </c>
      <c r="B4365" s="48" t="s">
        <v>5465</v>
      </c>
      <c r="C4365" s="48" t="s">
        <v>32</v>
      </c>
      <c r="D4365" s="50">
        <v>167.55</v>
      </c>
    </row>
    <row r="4366" spans="1:4" ht="13.5">
      <c r="A4366" s="49">
        <v>94616</v>
      </c>
      <c r="B4366" s="48" t="s">
        <v>5466</v>
      </c>
      <c r="C4366" s="48" t="s">
        <v>32</v>
      </c>
      <c r="D4366" s="50">
        <v>422.7</v>
      </c>
    </row>
    <row r="4367" spans="1:4" ht="13.5">
      <c r="A4367" s="49">
        <v>94617</v>
      </c>
      <c r="B4367" s="48" t="s">
        <v>5467</v>
      </c>
      <c r="C4367" s="48" t="s">
        <v>32</v>
      </c>
      <c r="D4367" s="50">
        <v>349.64</v>
      </c>
    </row>
    <row r="4368" spans="1:4" ht="13.5">
      <c r="A4368" s="49">
        <v>94618</v>
      </c>
      <c r="B4368" s="48" t="s">
        <v>5468</v>
      </c>
      <c r="C4368" s="48" t="s">
        <v>32</v>
      </c>
      <c r="D4368" s="50">
        <v>414.19</v>
      </c>
    </row>
    <row r="4369" spans="1:4" ht="13.5">
      <c r="A4369" s="49">
        <v>94620</v>
      </c>
      <c r="B4369" s="48" t="s">
        <v>5469</v>
      </c>
      <c r="C4369" s="48" t="s">
        <v>32</v>
      </c>
      <c r="D4369" s="50">
        <v>960.67</v>
      </c>
    </row>
    <row r="4370" spans="1:4" ht="13.5">
      <c r="A4370" s="49">
        <v>94622</v>
      </c>
      <c r="B4370" s="48" t="s">
        <v>5470</v>
      </c>
      <c r="C4370" s="48" t="s">
        <v>32</v>
      </c>
      <c r="D4370" s="50">
        <v>215.5</v>
      </c>
    </row>
    <row r="4371" spans="1:4" ht="13.5">
      <c r="A4371" s="49">
        <v>94623</v>
      </c>
      <c r="B4371" s="48" t="s">
        <v>5471</v>
      </c>
      <c r="C4371" s="48" t="s">
        <v>32</v>
      </c>
      <c r="D4371" s="50">
        <v>522.67999999999995</v>
      </c>
    </row>
    <row r="4372" spans="1:4" ht="13.5">
      <c r="A4372" s="49">
        <v>94624</v>
      </c>
      <c r="B4372" s="48" t="s">
        <v>5472</v>
      </c>
      <c r="C4372" s="48" t="s">
        <v>32</v>
      </c>
      <c r="D4372" s="50">
        <v>800.42</v>
      </c>
    </row>
    <row r="4373" spans="1:4" ht="13.5">
      <c r="A4373" s="49">
        <v>94625</v>
      </c>
      <c r="B4373" s="48" t="s">
        <v>5473</v>
      </c>
      <c r="C4373" s="48" t="s">
        <v>32</v>
      </c>
      <c r="D4373" s="51">
        <v>1679.39</v>
      </c>
    </row>
    <row r="4374" spans="1:4" ht="13.5">
      <c r="A4374" s="49">
        <v>94656</v>
      </c>
      <c r="B4374" s="48" t="s">
        <v>5474</v>
      </c>
      <c r="C4374" s="48" t="s">
        <v>32</v>
      </c>
      <c r="D4374" s="50">
        <v>6.29</v>
      </c>
    </row>
    <row r="4375" spans="1:4" ht="13.5">
      <c r="A4375" s="49">
        <v>94657</v>
      </c>
      <c r="B4375" s="48" t="s">
        <v>5475</v>
      </c>
      <c r="C4375" s="48" t="s">
        <v>32</v>
      </c>
      <c r="D4375" s="50">
        <v>6.14</v>
      </c>
    </row>
    <row r="4376" spans="1:4" ht="13.5">
      <c r="A4376" s="49">
        <v>94658</v>
      </c>
      <c r="B4376" s="48" t="s">
        <v>5476</v>
      </c>
      <c r="C4376" s="48" t="s">
        <v>32</v>
      </c>
      <c r="D4376" s="50">
        <v>7.81</v>
      </c>
    </row>
    <row r="4377" spans="1:4" ht="13.5">
      <c r="A4377" s="49">
        <v>94659</v>
      </c>
      <c r="B4377" s="48" t="s">
        <v>5477</v>
      </c>
      <c r="C4377" s="48" t="s">
        <v>32</v>
      </c>
      <c r="D4377" s="50">
        <v>7.98</v>
      </c>
    </row>
    <row r="4378" spans="1:4" ht="13.5">
      <c r="A4378" s="49">
        <v>94660</v>
      </c>
      <c r="B4378" s="48" t="s">
        <v>5478</v>
      </c>
      <c r="C4378" s="48" t="s">
        <v>32</v>
      </c>
      <c r="D4378" s="50">
        <v>13.2</v>
      </c>
    </row>
    <row r="4379" spans="1:4" ht="13.5">
      <c r="A4379" s="49">
        <v>94661</v>
      </c>
      <c r="B4379" s="48" t="s">
        <v>5479</v>
      </c>
      <c r="C4379" s="48" t="s">
        <v>32</v>
      </c>
      <c r="D4379" s="50">
        <v>13.92</v>
      </c>
    </row>
    <row r="4380" spans="1:4" ht="13.5">
      <c r="A4380" s="49">
        <v>94662</v>
      </c>
      <c r="B4380" s="48" t="s">
        <v>5480</v>
      </c>
      <c r="C4380" s="48" t="s">
        <v>32</v>
      </c>
      <c r="D4380" s="50">
        <v>14.73</v>
      </c>
    </row>
    <row r="4381" spans="1:4" ht="13.5">
      <c r="A4381" s="49">
        <v>94663</v>
      </c>
      <c r="B4381" s="48" t="s">
        <v>5481</v>
      </c>
      <c r="C4381" s="48" t="s">
        <v>32</v>
      </c>
      <c r="D4381" s="50">
        <v>15.02</v>
      </c>
    </row>
    <row r="4382" spans="1:4" ht="13.5">
      <c r="A4382" s="49">
        <v>94664</v>
      </c>
      <c r="B4382" s="48" t="s">
        <v>5482</v>
      </c>
      <c r="C4382" s="48" t="s">
        <v>32</v>
      </c>
      <c r="D4382" s="50">
        <v>33.53</v>
      </c>
    </row>
    <row r="4383" spans="1:4" ht="13.5">
      <c r="A4383" s="49">
        <v>94665</v>
      </c>
      <c r="B4383" s="48" t="s">
        <v>5483</v>
      </c>
      <c r="C4383" s="48" t="s">
        <v>32</v>
      </c>
      <c r="D4383" s="50">
        <v>33.5</v>
      </c>
    </row>
    <row r="4384" spans="1:4" ht="13.5">
      <c r="A4384" s="49">
        <v>94666</v>
      </c>
      <c r="B4384" s="48" t="s">
        <v>5484</v>
      </c>
      <c r="C4384" s="48" t="s">
        <v>32</v>
      </c>
      <c r="D4384" s="50">
        <v>42.33</v>
      </c>
    </row>
    <row r="4385" spans="1:4" ht="13.5">
      <c r="A4385" s="49">
        <v>94667</v>
      </c>
      <c r="B4385" s="48" t="s">
        <v>5485</v>
      </c>
      <c r="C4385" s="48" t="s">
        <v>32</v>
      </c>
      <c r="D4385" s="50">
        <v>47.82</v>
      </c>
    </row>
    <row r="4386" spans="1:4" ht="13.5">
      <c r="A4386" s="49">
        <v>94668</v>
      </c>
      <c r="B4386" s="48" t="s">
        <v>5486</v>
      </c>
      <c r="C4386" s="48" t="s">
        <v>32</v>
      </c>
      <c r="D4386" s="50">
        <v>71.91</v>
      </c>
    </row>
    <row r="4387" spans="1:4" ht="13.5">
      <c r="A4387" s="49">
        <v>94669</v>
      </c>
      <c r="B4387" s="48" t="s">
        <v>5487</v>
      </c>
      <c r="C4387" s="48" t="s">
        <v>32</v>
      </c>
      <c r="D4387" s="50">
        <v>102.69</v>
      </c>
    </row>
    <row r="4388" spans="1:4" ht="13.5">
      <c r="A4388" s="49">
        <v>94670</v>
      </c>
      <c r="B4388" s="48" t="s">
        <v>5488</v>
      </c>
      <c r="C4388" s="48" t="s">
        <v>32</v>
      </c>
      <c r="D4388" s="50">
        <v>99.31</v>
      </c>
    </row>
    <row r="4389" spans="1:4" ht="13.5">
      <c r="A4389" s="49">
        <v>94671</v>
      </c>
      <c r="B4389" s="48" t="s">
        <v>5489</v>
      </c>
      <c r="C4389" s="48" t="s">
        <v>32</v>
      </c>
      <c r="D4389" s="50">
        <v>150.63</v>
      </c>
    </row>
    <row r="4390" spans="1:4" ht="13.5">
      <c r="A4390" s="49">
        <v>94672</v>
      </c>
      <c r="B4390" s="48" t="s">
        <v>5490</v>
      </c>
      <c r="C4390" s="48" t="s">
        <v>32</v>
      </c>
      <c r="D4390" s="50">
        <v>11.84</v>
      </c>
    </row>
    <row r="4391" spans="1:4" ht="13.5">
      <c r="A4391" s="49">
        <v>94673</v>
      </c>
      <c r="B4391" s="48" t="s">
        <v>5491</v>
      </c>
      <c r="C4391" s="48" t="s">
        <v>32</v>
      </c>
      <c r="D4391" s="50">
        <v>11.42</v>
      </c>
    </row>
    <row r="4392" spans="1:4" ht="13.5">
      <c r="A4392" s="49">
        <v>94674</v>
      </c>
      <c r="B4392" s="48" t="s">
        <v>5492</v>
      </c>
      <c r="C4392" s="48" t="s">
        <v>32</v>
      </c>
      <c r="D4392" s="50">
        <v>9.98</v>
      </c>
    </row>
    <row r="4393" spans="1:4" ht="13.5">
      <c r="A4393" s="49">
        <v>94675</v>
      </c>
      <c r="B4393" s="48" t="s">
        <v>5493</v>
      </c>
      <c r="C4393" s="48" t="s">
        <v>32</v>
      </c>
      <c r="D4393" s="50">
        <v>17.739999999999998</v>
      </c>
    </row>
    <row r="4394" spans="1:4" ht="13.5">
      <c r="A4394" s="49">
        <v>94676</v>
      </c>
      <c r="B4394" s="48" t="s">
        <v>5494</v>
      </c>
      <c r="C4394" s="48" t="s">
        <v>32</v>
      </c>
      <c r="D4394" s="50">
        <v>18.21</v>
      </c>
    </row>
    <row r="4395" spans="1:4" ht="13.5">
      <c r="A4395" s="49">
        <v>94677</v>
      </c>
      <c r="B4395" s="48" t="s">
        <v>5495</v>
      </c>
      <c r="C4395" s="48" t="s">
        <v>32</v>
      </c>
      <c r="D4395" s="50">
        <v>29.88</v>
      </c>
    </row>
    <row r="4396" spans="1:4" ht="13.5">
      <c r="A4396" s="49">
        <v>94678</v>
      </c>
      <c r="B4396" s="48" t="s">
        <v>5496</v>
      </c>
      <c r="C4396" s="48" t="s">
        <v>32</v>
      </c>
      <c r="D4396" s="50">
        <v>18.899999999999999</v>
      </c>
    </row>
    <row r="4397" spans="1:4" ht="13.5">
      <c r="A4397" s="49">
        <v>94679</v>
      </c>
      <c r="B4397" s="48" t="s">
        <v>5497</v>
      </c>
      <c r="C4397" s="48" t="s">
        <v>32</v>
      </c>
      <c r="D4397" s="50">
        <v>34.270000000000003</v>
      </c>
    </row>
    <row r="4398" spans="1:4" ht="13.5">
      <c r="A4398" s="49">
        <v>94680</v>
      </c>
      <c r="B4398" s="48" t="s">
        <v>5499</v>
      </c>
      <c r="C4398" s="48" t="s">
        <v>32</v>
      </c>
      <c r="D4398" s="50">
        <v>57.12</v>
      </c>
    </row>
    <row r="4399" spans="1:4" ht="13.5">
      <c r="A4399" s="49">
        <v>94681</v>
      </c>
      <c r="B4399" s="48" t="s">
        <v>5500</v>
      </c>
      <c r="C4399" s="48" t="s">
        <v>32</v>
      </c>
      <c r="D4399" s="50">
        <v>78.180000000000007</v>
      </c>
    </row>
    <row r="4400" spans="1:4" ht="13.5">
      <c r="A4400" s="49">
        <v>94682</v>
      </c>
      <c r="B4400" s="48" t="s">
        <v>5501</v>
      </c>
      <c r="C4400" s="48" t="s">
        <v>32</v>
      </c>
      <c r="D4400" s="50">
        <v>165.5</v>
      </c>
    </row>
    <row r="4401" spans="1:4" ht="13.5">
      <c r="A4401" s="49">
        <v>94683</v>
      </c>
      <c r="B4401" s="48" t="s">
        <v>5502</v>
      </c>
      <c r="C4401" s="48" t="s">
        <v>32</v>
      </c>
      <c r="D4401" s="50">
        <v>103.66</v>
      </c>
    </row>
    <row r="4402" spans="1:4" ht="13.5">
      <c r="A4402" s="49">
        <v>94684</v>
      </c>
      <c r="B4402" s="48" t="s">
        <v>5503</v>
      </c>
      <c r="C4402" s="48" t="s">
        <v>32</v>
      </c>
      <c r="D4402" s="50">
        <v>206.9</v>
      </c>
    </row>
    <row r="4403" spans="1:4" ht="13.5">
      <c r="A4403" s="49">
        <v>94685</v>
      </c>
      <c r="B4403" s="48" t="s">
        <v>5504</v>
      </c>
      <c r="C4403" s="48" t="s">
        <v>32</v>
      </c>
      <c r="D4403" s="50">
        <v>155.41999999999999</v>
      </c>
    </row>
    <row r="4404" spans="1:4" ht="13.5">
      <c r="A4404" s="49">
        <v>94686</v>
      </c>
      <c r="B4404" s="48" t="s">
        <v>5505</v>
      </c>
      <c r="C4404" s="48" t="s">
        <v>32</v>
      </c>
      <c r="D4404" s="50">
        <v>400.94</v>
      </c>
    </row>
    <row r="4405" spans="1:4" ht="13.5">
      <c r="A4405" s="49">
        <v>94687</v>
      </c>
      <c r="B4405" s="48" t="s">
        <v>5506</v>
      </c>
      <c r="C4405" s="48" t="s">
        <v>32</v>
      </c>
      <c r="D4405" s="50">
        <v>323.35000000000002</v>
      </c>
    </row>
    <row r="4406" spans="1:4" ht="13.5">
      <c r="A4406" s="49">
        <v>94688</v>
      </c>
      <c r="B4406" s="48" t="s">
        <v>5507</v>
      </c>
      <c r="C4406" s="48" t="s">
        <v>32</v>
      </c>
      <c r="D4406" s="50">
        <v>10.79</v>
      </c>
    </row>
    <row r="4407" spans="1:4" ht="13.5">
      <c r="A4407" s="49">
        <v>94689</v>
      </c>
      <c r="B4407" s="48" t="s">
        <v>5508</v>
      </c>
      <c r="C4407" s="48" t="s">
        <v>32</v>
      </c>
      <c r="D4407" s="50">
        <v>16.36</v>
      </c>
    </row>
    <row r="4408" spans="1:4" ht="13.5">
      <c r="A4408" s="49">
        <v>94690</v>
      </c>
      <c r="B4408" s="48" t="s">
        <v>5509</v>
      </c>
      <c r="C4408" s="48" t="s">
        <v>32</v>
      </c>
      <c r="D4408" s="50">
        <v>15.46</v>
      </c>
    </row>
    <row r="4409" spans="1:4" ht="13.5">
      <c r="A4409" s="49">
        <v>94691</v>
      </c>
      <c r="B4409" s="48" t="s">
        <v>5510</v>
      </c>
      <c r="C4409" s="48" t="s">
        <v>32</v>
      </c>
      <c r="D4409" s="50">
        <v>18.690000000000001</v>
      </c>
    </row>
    <row r="4410" spans="1:4" ht="13.5">
      <c r="A4410" s="49">
        <v>94692</v>
      </c>
      <c r="B4410" s="48" t="s">
        <v>5511</v>
      </c>
      <c r="C4410" s="48" t="s">
        <v>32</v>
      </c>
      <c r="D4410" s="50">
        <v>28.23</v>
      </c>
    </row>
    <row r="4411" spans="1:4" ht="13.5">
      <c r="A4411" s="49">
        <v>94693</v>
      </c>
      <c r="B4411" s="48" t="s">
        <v>5512</v>
      </c>
      <c r="C4411" s="48" t="s">
        <v>32</v>
      </c>
      <c r="D4411" s="50">
        <v>29.86</v>
      </c>
    </row>
    <row r="4412" spans="1:4" ht="13.5">
      <c r="A4412" s="49">
        <v>94694</v>
      </c>
      <c r="B4412" s="48" t="s">
        <v>5513</v>
      </c>
      <c r="C4412" s="48" t="s">
        <v>32</v>
      </c>
      <c r="D4412" s="50">
        <v>29.95</v>
      </c>
    </row>
    <row r="4413" spans="1:4" ht="13.5">
      <c r="A4413" s="49">
        <v>94695</v>
      </c>
      <c r="B4413" s="48" t="s">
        <v>5514</v>
      </c>
      <c r="C4413" s="48" t="s">
        <v>32</v>
      </c>
      <c r="D4413" s="50">
        <v>42.52</v>
      </c>
    </row>
    <row r="4414" spans="1:4" ht="13.5">
      <c r="A4414" s="49">
        <v>94696</v>
      </c>
      <c r="B4414" s="48" t="s">
        <v>5515</v>
      </c>
      <c r="C4414" s="48" t="s">
        <v>32</v>
      </c>
      <c r="D4414" s="50">
        <v>73.59</v>
      </c>
    </row>
    <row r="4415" spans="1:4" ht="13.5">
      <c r="A4415" s="49">
        <v>94697</v>
      </c>
      <c r="B4415" s="48" t="s">
        <v>5516</v>
      </c>
      <c r="C4415" s="48" t="s">
        <v>32</v>
      </c>
      <c r="D4415" s="50">
        <v>122.26</v>
      </c>
    </row>
    <row r="4416" spans="1:4" ht="13.5">
      <c r="A4416" s="49">
        <v>94698</v>
      </c>
      <c r="B4416" s="48" t="s">
        <v>5517</v>
      </c>
      <c r="C4416" s="48" t="s">
        <v>32</v>
      </c>
      <c r="D4416" s="50">
        <v>105.15</v>
      </c>
    </row>
    <row r="4417" spans="1:4" ht="13.5">
      <c r="A4417" s="49">
        <v>94699</v>
      </c>
      <c r="B4417" s="48" t="s">
        <v>5518</v>
      </c>
      <c r="C4417" s="48" t="s">
        <v>32</v>
      </c>
      <c r="D4417" s="50">
        <v>204.47</v>
      </c>
    </row>
    <row r="4418" spans="1:4" ht="13.5">
      <c r="A4418" s="49">
        <v>94700</v>
      </c>
      <c r="B4418" s="48" t="s">
        <v>5519</v>
      </c>
      <c r="C4418" s="48" t="s">
        <v>32</v>
      </c>
      <c r="D4418" s="50">
        <v>169.45</v>
      </c>
    </row>
    <row r="4419" spans="1:4" ht="13.5">
      <c r="A4419" s="49">
        <v>94701</v>
      </c>
      <c r="B4419" s="48" t="s">
        <v>5520</v>
      </c>
      <c r="C4419" s="48" t="s">
        <v>32</v>
      </c>
      <c r="D4419" s="50">
        <v>315.54000000000002</v>
      </c>
    </row>
    <row r="4420" spans="1:4" ht="13.5">
      <c r="A4420" s="49">
        <v>94702</v>
      </c>
      <c r="B4420" s="48" t="s">
        <v>5521</v>
      </c>
      <c r="C4420" s="48" t="s">
        <v>32</v>
      </c>
      <c r="D4420" s="50">
        <v>297.63</v>
      </c>
    </row>
    <row r="4421" spans="1:4" ht="13.5">
      <c r="A4421" s="49">
        <v>94703</v>
      </c>
      <c r="B4421" s="48" t="s">
        <v>5522</v>
      </c>
      <c r="C4421" s="48" t="s">
        <v>32</v>
      </c>
      <c r="D4421" s="50">
        <v>25.3</v>
      </c>
    </row>
    <row r="4422" spans="1:4" ht="13.5">
      <c r="A4422" s="49">
        <v>94704</v>
      </c>
      <c r="B4422" s="48" t="s">
        <v>5523</v>
      </c>
      <c r="C4422" s="48" t="s">
        <v>32</v>
      </c>
      <c r="D4422" s="50">
        <v>30.68</v>
      </c>
    </row>
    <row r="4423" spans="1:4" ht="13.5">
      <c r="A4423" s="49">
        <v>94705</v>
      </c>
      <c r="B4423" s="48" t="s">
        <v>5524</v>
      </c>
      <c r="C4423" s="48" t="s">
        <v>32</v>
      </c>
      <c r="D4423" s="50">
        <v>38.81</v>
      </c>
    </row>
    <row r="4424" spans="1:4" ht="13.5">
      <c r="A4424" s="49">
        <v>94706</v>
      </c>
      <c r="B4424" s="48" t="s">
        <v>5525</v>
      </c>
      <c r="C4424" s="48" t="s">
        <v>32</v>
      </c>
      <c r="D4424" s="50">
        <v>54.1</v>
      </c>
    </row>
    <row r="4425" spans="1:4" ht="13.5">
      <c r="A4425" s="49">
        <v>94707</v>
      </c>
      <c r="B4425" s="48" t="s">
        <v>5526</v>
      </c>
      <c r="C4425" s="48" t="s">
        <v>32</v>
      </c>
      <c r="D4425" s="50">
        <v>69.209999999999994</v>
      </c>
    </row>
    <row r="4426" spans="1:4" ht="13.5">
      <c r="A4426" s="49">
        <v>94708</v>
      </c>
      <c r="B4426" s="48" t="s">
        <v>5527</v>
      </c>
      <c r="C4426" s="48" t="s">
        <v>32</v>
      </c>
      <c r="D4426" s="50">
        <v>31.29</v>
      </c>
    </row>
    <row r="4427" spans="1:4" ht="13.5">
      <c r="A4427" s="49">
        <v>94709</v>
      </c>
      <c r="B4427" s="48" t="s">
        <v>5528</v>
      </c>
      <c r="C4427" s="48" t="s">
        <v>32</v>
      </c>
      <c r="D4427" s="50">
        <v>42</v>
      </c>
    </row>
    <row r="4428" spans="1:4" ht="13.5">
      <c r="A4428" s="49">
        <v>94710</v>
      </c>
      <c r="B4428" s="48" t="s">
        <v>5529</v>
      </c>
      <c r="C4428" s="48" t="s">
        <v>32</v>
      </c>
      <c r="D4428" s="50">
        <v>68.61</v>
      </c>
    </row>
    <row r="4429" spans="1:4" ht="13.5">
      <c r="A4429" s="49">
        <v>94711</v>
      </c>
      <c r="B4429" s="48" t="s">
        <v>5530</v>
      </c>
      <c r="C4429" s="48" t="s">
        <v>32</v>
      </c>
      <c r="D4429" s="50">
        <v>78.650000000000006</v>
      </c>
    </row>
    <row r="4430" spans="1:4" ht="13.5">
      <c r="A4430" s="49">
        <v>94712</v>
      </c>
      <c r="B4430" s="48" t="s">
        <v>5531</v>
      </c>
      <c r="C4430" s="48" t="s">
        <v>32</v>
      </c>
      <c r="D4430" s="50">
        <v>109.19</v>
      </c>
    </row>
    <row r="4431" spans="1:4" ht="13.5">
      <c r="A4431" s="49">
        <v>94713</v>
      </c>
      <c r="B4431" s="48" t="s">
        <v>5533</v>
      </c>
      <c r="C4431" s="48" t="s">
        <v>32</v>
      </c>
      <c r="D4431" s="50">
        <v>302.97000000000003</v>
      </c>
    </row>
    <row r="4432" spans="1:4" ht="13.5">
      <c r="A4432" s="49">
        <v>94714</v>
      </c>
      <c r="B4432" s="48" t="s">
        <v>5534</v>
      </c>
      <c r="C4432" s="48" t="s">
        <v>32</v>
      </c>
      <c r="D4432" s="50">
        <v>414.71</v>
      </c>
    </row>
    <row r="4433" spans="1:4" ht="13.5">
      <c r="A4433" s="49">
        <v>94715</v>
      </c>
      <c r="B4433" s="48" t="s">
        <v>5535</v>
      </c>
      <c r="C4433" s="48" t="s">
        <v>32</v>
      </c>
      <c r="D4433" s="50">
        <v>576.74</v>
      </c>
    </row>
    <row r="4434" spans="1:4" ht="13.5">
      <c r="A4434" s="49">
        <v>94724</v>
      </c>
      <c r="B4434" s="48" t="s">
        <v>5536</v>
      </c>
      <c r="C4434" s="48" t="s">
        <v>32</v>
      </c>
      <c r="D4434" s="50">
        <v>33.24</v>
      </c>
    </row>
    <row r="4435" spans="1:4" ht="13.5">
      <c r="A4435" s="49">
        <v>94725</v>
      </c>
      <c r="B4435" s="48" t="s">
        <v>5537</v>
      </c>
      <c r="C4435" s="48" t="s">
        <v>32</v>
      </c>
      <c r="D4435" s="50">
        <v>6.88</v>
      </c>
    </row>
    <row r="4436" spans="1:4" ht="13.5">
      <c r="A4436" s="49">
        <v>94726</v>
      </c>
      <c r="B4436" s="48" t="s">
        <v>5538</v>
      </c>
      <c r="C4436" s="48" t="s">
        <v>32</v>
      </c>
      <c r="D4436" s="50">
        <v>52.09</v>
      </c>
    </row>
    <row r="4437" spans="1:4" ht="13.5">
      <c r="A4437" s="49">
        <v>94727</v>
      </c>
      <c r="B4437" s="48" t="s">
        <v>5539</v>
      </c>
      <c r="C4437" s="48" t="s">
        <v>32</v>
      </c>
      <c r="D4437" s="50">
        <v>10.37</v>
      </c>
    </row>
    <row r="4438" spans="1:4" ht="13.5">
      <c r="A4438" s="49">
        <v>94728</v>
      </c>
      <c r="B4438" s="48" t="s">
        <v>5540</v>
      </c>
      <c r="C4438" s="48" t="s">
        <v>32</v>
      </c>
      <c r="D4438" s="50">
        <v>200.53</v>
      </c>
    </row>
    <row r="4439" spans="1:4" ht="13.5">
      <c r="A4439" s="49">
        <v>94729</v>
      </c>
      <c r="B4439" s="48" t="s">
        <v>5541</v>
      </c>
      <c r="C4439" s="48" t="s">
        <v>32</v>
      </c>
      <c r="D4439" s="50">
        <v>18.91</v>
      </c>
    </row>
    <row r="4440" spans="1:4" ht="13.5">
      <c r="A4440" s="49">
        <v>94730</v>
      </c>
      <c r="B4440" s="48" t="s">
        <v>5542</v>
      </c>
      <c r="C4440" s="48" t="s">
        <v>32</v>
      </c>
      <c r="D4440" s="50">
        <v>244.02</v>
      </c>
    </row>
    <row r="4441" spans="1:4" ht="13.5">
      <c r="A4441" s="49">
        <v>94731</v>
      </c>
      <c r="B4441" s="48" t="s">
        <v>5543</v>
      </c>
      <c r="C4441" s="48" t="s">
        <v>32</v>
      </c>
      <c r="D4441" s="50">
        <v>24.2</v>
      </c>
    </row>
    <row r="4442" spans="1:4" ht="13.5">
      <c r="A4442" s="49">
        <v>94733</v>
      </c>
      <c r="B4442" s="48" t="s">
        <v>5544</v>
      </c>
      <c r="C4442" s="48" t="s">
        <v>32</v>
      </c>
      <c r="D4442" s="50">
        <v>47.37</v>
      </c>
    </row>
    <row r="4443" spans="1:4" ht="13.5">
      <c r="A4443" s="49">
        <v>94737</v>
      </c>
      <c r="B4443" s="48" t="s">
        <v>5545</v>
      </c>
      <c r="C4443" s="48" t="s">
        <v>32</v>
      </c>
      <c r="D4443" s="50">
        <v>205.23</v>
      </c>
    </row>
    <row r="4444" spans="1:4" ht="13.5">
      <c r="A4444" s="49">
        <v>94740</v>
      </c>
      <c r="B4444" s="48" t="s">
        <v>5546</v>
      </c>
      <c r="C4444" s="48" t="s">
        <v>32</v>
      </c>
      <c r="D4444" s="50">
        <v>11.02</v>
      </c>
    </row>
    <row r="4445" spans="1:4" ht="13.5">
      <c r="A4445" s="49">
        <v>94741</v>
      </c>
      <c r="B4445" s="48" t="s">
        <v>5547</v>
      </c>
      <c r="C4445" s="48" t="s">
        <v>32</v>
      </c>
      <c r="D4445" s="50">
        <v>14.21</v>
      </c>
    </row>
    <row r="4446" spans="1:4" ht="13.5">
      <c r="A4446" s="49">
        <v>94742</v>
      </c>
      <c r="B4446" s="48" t="s">
        <v>5548</v>
      </c>
      <c r="C4446" s="48" t="s">
        <v>32</v>
      </c>
      <c r="D4446" s="50">
        <v>17.77</v>
      </c>
    </row>
    <row r="4447" spans="1:4" ht="13.5">
      <c r="A4447" s="49">
        <v>94743</v>
      </c>
      <c r="B4447" s="48" t="s">
        <v>5549</v>
      </c>
      <c r="C4447" s="48" t="s">
        <v>32</v>
      </c>
      <c r="D4447" s="50">
        <v>19.78</v>
      </c>
    </row>
    <row r="4448" spans="1:4" ht="13.5">
      <c r="A4448" s="49">
        <v>94744</v>
      </c>
      <c r="B4448" s="48" t="s">
        <v>5550</v>
      </c>
      <c r="C4448" s="48" t="s">
        <v>32</v>
      </c>
      <c r="D4448" s="50">
        <v>28.91</v>
      </c>
    </row>
    <row r="4449" spans="1:4" ht="13.5">
      <c r="A4449" s="49">
        <v>94746</v>
      </c>
      <c r="B4449" s="48" t="s">
        <v>5551</v>
      </c>
      <c r="C4449" s="48" t="s">
        <v>32</v>
      </c>
      <c r="D4449" s="50">
        <v>42.33</v>
      </c>
    </row>
    <row r="4450" spans="1:4" ht="13.5">
      <c r="A4450" s="49">
        <v>94748</v>
      </c>
      <c r="B4450" s="48" t="s">
        <v>5552</v>
      </c>
      <c r="C4450" s="48" t="s">
        <v>32</v>
      </c>
      <c r="D4450" s="50">
        <v>88.17</v>
      </c>
    </row>
    <row r="4451" spans="1:4" ht="13.5">
      <c r="A4451" s="49">
        <v>94750</v>
      </c>
      <c r="B4451" s="48" t="s">
        <v>5553</v>
      </c>
      <c r="C4451" s="48" t="s">
        <v>32</v>
      </c>
      <c r="D4451" s="50">
        <v>215.13</v>
      </c>
    </row>
    <row r="4452" spans="1:4" ht="13.5">
      <c r="A4452" s="49">
        <v>94752</v>
      </c>
      <c r="B4452" s="48" t="s">
        <v>5554</v>
      </c>
      <c r="C4452" s="48" t="s">
        <v>32</v>
      </c>
      <c r="D4452" s="50">
        <v>258.88</v>
      </c>
    </row>
    <row r="4453" spans="1:4" ht="13.5">
      <c r="A4453" s="49">
        <v>94756</v>
      </c>
      <c r="B4453" s="48" t="s">
        <v>5555</v>
      </c>
      <c r="C4453" s="48" t="s">
        <v>32</v>
      </c>
      <c r="D4453" s="50">
        <v>13.8</v>
      </c>
    </row>
    <row r="4454" spans="1:4" ht="13.5">
      <c r="A4454" s="49">
        <v>94757</v>
      </c>
      <c r="B4454" s="48" t="s">
        <v>5556</v>
      </c>
      <c r="C4454" s="48" t="s">
        <v>32</v>
      </c>
      <c r="D4454" s="50">
        <v>19.82</v>
      </c>
    </row>
    <row r="4455" spans="1:4" ht="13.5">
      <c r="A4455" s="49">
        <v>94758</v>
      </c>
      <c r="B4455" s="48" t="s">
        <v>5557</v>
      </c>
      <c r="C4455" s="48" t="s">
        <v>32</v>
      </c>
      <c r="D4455" s="50">
        <v>53.92</v>
      </c>
    </row>
    <row r="4456" spans="1:4" ht="13.5">
      <c r="A4456" s="49">
        <v>94759</v>
      </c>
      <c r="B4456" s="48" t="s">
        <v>5558</v>
      </c>
      <c r="C4456" s="48" t="s">
        <v>32</v>
      </c>
      <c r="D4456" s="50">
        <v>67.31</v>
      </c>
    </row>
    <row r="4457" spans="1:4" ht="13.5">
      <c r="A4457" s="49">
        <v>94760</v>
      </c>
      <c r="B4457" s="48" t="s">
        <v>5559</v>
      </c>
      <c r="C4457" s="48" t="s">
        <v>32</v>
      </c>
      <c r="D4457" s="50">
        <v>110.27</v>
      </c>
    </row>
    <row r="4458" spans="1:4" ht="13.5">
      <c r="A4458" s="49">
        <v>94761</v>
      </c>
      <c r="B4458" s="48" t="s">
        <v>5560</v>
      </c>
      <c r="C4458" s="48" t="s">
        <v>32</v>
      </c>
      <c r="D4458" s="50">
        <v>244.47</v>
      </c>
    </row>
    <row r="4459" spans="1:4" ht="13.5">
      <c r="A4459" s="49">
        <v>94762</v>
      </c>
      <c r="B4459" s="48" t="s">
        <v>5561</v>
      </c>
      <c r="C4459" s="48" t="s">
        <v>32</v>
      </c>
      <c r="D4459" s="50">
        <v>308.55</v>
      </c>
    </row>
    <row r="4460" spans="1:4" ht="13.5">
      <c r="A4460" s="49">
        <v>94783</v>
      </c>
      <c r="B4460" s="48" t="s">
        <v>5562</v>
      </c>
      <c r="C4460" s="48" t="s">
        <v>32</v>
      </c>
      <c r="D4460" s="50">
        <v>22.95</v>
      </c>
    </row>
    <row r="4461" spans="1:4" ht="13.5">
      <c r="A4461" s="49">
        <v>94785</v>
      </c>
      <c r="B4461" s="48" t="s">
        <v>5563</v>
      </c>
      <c r="C4461" s="48" t="s">
        <v>32</v>
      </c>
      <c r="D4461" s="50">
        <v>42.77</v>
      </c>
    </row>
    <row r="4462" spans="1:4" ht="13.5">
      <c r="A4462" s="49">
        <v>94786</v>
      </c>
      <c r="B4462" s="48" t="s">
        <v>5564</v>
      </c>
      <c r="C4462" s="48" t="s">
        <v>32</v>
      </c>
      <c r="D4462" s="50">
        <v>57.96</v>
      </c>
    </row>
    <row r="4463" spans="1:4" ht="13.5">
      <c r="A4463" s="49">
        <v>94787</v>
      </c>
      <c r="B4463" s="48" t="s">
        <v>5565</v>
      </c>
      <c r="C4463" s="48" t="s">
        <v>32</v>
      </c>
      <c r="D4463" s="50">
        <v>74.63</v>
      </c>
    </row>
    <row r="4464" spans="1:4" ht="13.5">
      <c r="A4464" s="49">
        <v>94788</v>
      </c>
      <c r="B4464" s="48" t="s">
        <v>5566</v>
      </c>
      <c r="C4464" s="48" t="s">
        <v>32</v>
      </c>
      <c r="D4464" s="50">
        <v>112.82</v>
      </c>
    </row>
    <row r="4465" spans="1:4" ht="13.5">
      <c r="A4465" s="49">
        <v>94789</v>
      </c>
      <c r="B4465" s="48" t="s">
        <v>5567</v>
      </c>
      <c r="C4465" s="48" t="s">
        <v>32</v>
      </c>
      <c r="D4465" s="50">
        <v>377.86</v>
      </c>
    </row>
    <row r="4466" spans="1:4" ht="13.5">
      <c r="A4466" s="49">
        <v>94790</v>
      </c>
      <c r="B4466" s="48" t="s">
        <v>5568</v>
      </c>
      <c r="C4466" s="48" t="s">
        <v>32</v>
      </c>
      <c r="D4466" s="50">
        <v>438.82</v>
      </c>
    </row>
    <row r="4467" spans="1:4" ht="13.5">
      <c r="A4467" s="49">
        <v>94791</v>
      </c>
      <c r="B4467" s="48" t="s">
        <v>5569</v>
      </c>
      <c r="C4467" s="48" t="s">
        <v>32</v>
      </c>
      <c r="D4467" s="50">
        <v>619.17999999999995</v>
      </c>
    </row>
    <row r="4468" spans="1:4" ht="13.5">
      <c r="A4468" s="49">
        <v>94863</v>
      </c>
      <c r="B4468" s="48" t="s">
        <v>5570</v>
      </c>
      <c r="C4468" s="48" t="s">
        <v>32</v>
      </c>
      <c r="D4468" s="50">
        <v>177</v>
      </c>
    </row>
    <row r="4469" spans="1:4" ht="13.5">
      <c r="A4469" s="49">
        <v>95141</v>
      </c>
      <c r="B4469" s="48" t="s">
        <v>5571</v>
      </c>
      <c r="C4469" s="48" t="s">
        <v>32</v>
      </c>
      <c r="D4469" s="50">
        <v>39.47</v>
      </c>
    </row>
    <row r="4470" spans="1:4" ht="13.5">
      <c r="A4470" s="49">
        <v>95237</v>
      </c>
      <c r="B4470" s="48" t="s">
        <v>5572</v>
      </c>
      <c r="C4470" s="48" t="s">
        <v>32</v>
      </c>
      <c r="D4470" s="50">
        <v>34.04</v>
      </c>
    </row>
    <row r="4471" spans="1:4" ht="13.5">
      <c r="A4471" s="49">
        <v>95693</v>
      </c>
      <c r="B4471" s="48" t="s">
        <v>5573</v>
      </c>
      <c r="C4471" s="48" t="s">
        <v>32</v>
      </c>
      <c r="D4471" s="50">
        <v>68.3</v>
      </c>
    </row>
    <row r="4472" spans="1:4" ht="13.5">
      <c r="A4472" s="49">
        <v>95694</v>
      </c>
      <c r="B4472" s="48" t="s">
        <v>5574</v>
      </c>
      <c r="C4472" s="48" t="s">
        <v>32</v>
      </c>
      <c r="D4472" s="50">
        <v>98.69</v>
      </c>
    </row>
    <row r="4473" spans="1:4" ht="13.5">
      <c r="A4473" s="49">
        <v>95695</v>
      </c>
      <c r="B4473" s="48" t="s">
        <v>5575</v>
      </c>
      <c r="C4473" s="48" t="s">
        <v>32</v>
      </c>
      <c r="D4473" s="50">
        <v>97.12</v>
      </c>
    </row>
    <row r="4474" spans="1:4" ht="13.5">
      <c r="A4474" s="49">
        <v>95696</v>
      </c>
      <c r="B4474" s="48" t="s">
        <v>20932</v>
      </c>
      <c r="C4474" s="48" t="s">
        <v>32</v>
      </c>
      <c r="D4474" s="50">
        <v>49.32</v>
      </c>
    </row>
    <row r="4475" spans="1:4" ht="13.5">
      <c r="A4475" s="49">
        <v>96637</v>
      </c>
      <c r="B4475" s="48" t="s">
        <v>5577</v>
      </c>
      <c r="C4475" s="48" t="s">
        <v>32</v>
      </c>
      <c r="D4475" s="50">
        <v>12.97</v>
      </c>
    </row>
    <row r="4476" spans="1:4" ht="13.5">
      <c r="A4476" s="49">
        <v>96638</v>
      </c>
      <c r="B4476" s="48" t="s">
        <v>5578</v>
      </c>
      <c r="C4476" s="48" t="s">
        <v>32</v>
      </c>
      <c r="D4476" s="50">
        <v>12.28</v>
      </c>
    </row>
    <row r="4477" spans="1:4" ht="13.5">
      <c r="A4477" s="49">
        <v>96639</v>
      </c>
      <c r="B4477" s="48" t="s">
        <v>5579</v>
      </c>
      <c r="C4477" s="48" t="s">
        <v>32</v>
      </c>
      <c r="D4477" s="50">
        <v>9.2200000000000006</v>
      </c>
    </row>
    <row r="4478" spans="1:4" ht="13.5">
      <c r="A4478" s="49">
        <v>96640</v>
      </c>
      <c r="B4478" s="48" t="s">
        <v>5580</v>
      </c>
      <c r="C4478" s="48" t="s">
        <v>32</v>
      </c>
      <c r="D4478" s="50">
        <v>28.5</v>
      </c>
    </row>
    <row r="4479" spans="1:4" ht="13.5">
      <c r="A4479" s="49">
        <v>96641</v>
      </c>
      <c r="B4479" s="48" t="s">
        <v>5581</v>
      </c>
      <c r="C4479" s="48" t="s">
        <v>32</v>
      </c>
      <c r="D4479" s="50">
        <v>21.61</v>
      </c>
    </row>
    <row r="4480" spans="1:4" ht="13.5">
      <c r="A4480" s="49">
        <v>96642</v>
      </c>
      <c r="B4480" s="48" t="s">
        <v>5582</v>
      </c>
      <c r="C4480" s="48" t="s">
        <v>32</v>
      </c>
      <c r="D4480" s="50">
        <v>17.13</v>
      </c>
    </row>
    <row r="4481" spans="1:4" ht="13.5">
      <c r="A4481" s="49">
        <v>96643</v>
      </c>
      <c r="B4481" s="48" t="s">
        <v>5583</v>
      </c>
      <c r="C4481" s="48" t="s">
        <v>32</v>
      </c>
      <c r="D4481" s="50">
        <v>57.49</v>
      </c>
    </row>
    <row r="4482" spans="1:4" ht="13.5">
      <c r="A4482" s="49">
        <v>96650</v>
      </c>
      <c r="B4482" s="48" t="s">
        <v>5584</v>
      </c>
      <c r="C4482" s="48" t="s">
        <v>32</v>
      </c>
      <c r="D4482" s="50">
        <v>10.01</v>
      </c>
    </row>
    <row r="4483" spans="1:4" ht="13.5">
      <c r="A4483" s="49">
        <v>96651</v>
      </c>
      <c r="B4483" s="48" t="s">
        <v>5585</v>
      </c>
      <c r="C4483" s="48" t="s">
        <v>32</v>
      </c>
      <c r="D4483" s="50">
        <v>9.32</v>
      </c>
    </row>
    <row r="4484" spans="1:4" ht="13.5">
      <c r="A4484" s="49">
        <v>96652</v>
      </c>
      <c r="B4484" s="48" t="s">
        <v>5586</v>
      </c>
      <c r="C4484" s="48" t="s">
        <v>32</v>
      </c>
      <c r="D4484" s="50">
        <v>18.57</v>
      </c>
    </row>
    <row r="4485" spans="1:4" ht="13.5">
      <c r="A4485" s="49">
        <v>96653</v>
      </c>
      <c r="B4485" s="48" t="s">
        <v>5587</v>
      </c>
      <c r="C4485" s="48" t="s">
        <v>32</v>
      </c>
      <c r="D4485" s="50">
        <v>18.5</v>
      </c>
    </row>
    <row r="4486" spans="1:4" ht="13.5">
      <c r="A4486" s="49">
        <v>96654</v>
      </c>
      <c r="B4486" s="48" t="s">
        <v>5588</v>
      </c>
      <c r="C4486" s="48" t="s">
        <v>32</v>
      </c>
      <c r="D4486" s="50">
        <v>31.25</v>
      </c>
    </row>
    <row r="4487" spans="1:4" ht="13.5">
      <c r="A4487" s="49">
        <v>96655</v>
      </c>
      <c r="B4487" s="48" t="s">
        <v>5589</v>
      </c>
      <c r="C4487" s="48" t="s">
        <v>32</v>
      </c>
      <c r="D4487" s="50">
        <v>30.49</v>
      </c>
    </row>
    <row r="4488" spans="1:4" ht="13.5">
      <c r="A4488" s="49">
        <v>96656</v>
      </c>
      <c r="B4488" s="48" t="s">
        <v>5590</v>
      </c>
      <c r="C4488" s="48" t="s">
        <v>32</v>
      </c>
      <c r="D4488" s="50">
        <v>7.26</v>
      </c>
    </row>
    <row r="4489" spans="1:4" ht="13.5">
      <c r="A4489" s="49">
        <v>96657</v>
      </c>
      <c r="B4489" s="48" t="s">
        <v>5591</v>
      </c>
      <c r="C4489" s="48" t="s">
        <v>32</v>
      </c>
      <c r="D4489" s="50">
        <v>26.54</v>
      </c>
    </row>
    <row r="4490" spans="1:4" ht="13.5">
      <c r="A4490" s="49">
        <v>96658</v>
      </c>
      <c r="B4490" s="48" t="s">
        <v>5592</v>
      </c>
      <c r="C4490" s="48" t="s">
        <v>32</v>
      </c>
      <c r="D4490" s="50">
        <v>19.649999999999999</v>
      </c>
    </row>
    <row r="4491" spans="1:4" ht="13.5">
      <c r="A4491" s="49">
        <v>96659</v>
      </c>
      <c r="B4491" s="48" t="s">
        <v>5593</v>
      </c>
      <c r="C4491" s="48" t="s">
        <v>32</v>
      </c>
      <c r="D4491" s="50">
        <v>12.62</v>
      </c>
    </row>
    <row r="4492" spans="1:4" ht="13.5">
      <c r="A4492" s="49">
        <v>96660</v>
      </c>
      <c r="B4492" s="48" t="s">
        <v>5594</v>
      </c>
      <c r="C4492" s="48" t="s">
        <v>32</v>
      </c>
      <c r="D4492" s="50">
        <v>44.76</v>
      </c>
    </row>
    <row r="4493" spans="1:4" ht="13.5">
      <c r="A4493" s="49">
        <v>96661</v>
      </c>
      <c r="B4493" s="48" t="s">
        <v>5595</v>
      </c>
      <c r="C4493" s="48" t="s">
        <v>32</v>
      </c>
      <c r="D4493" s="50">
        <v>34.18</v>
      </c>
    </row>
    <row r="4494" spans="1:4" ht="13.5">
      <c r="A4494" s="49">
        <v>96662</v>
      </c>
      <c r="B4494" s="48" t="s">
        <v>5596</v>
      </c>
      <c r="C4494" s="48" t="s">
        <v>32</v>
      </c>
      <c r="D4494" s="50">
        <v>12.98</v>
      </c>
    </row>
    <row r="4495" spans="1:4" ht="13.5">
      <c r="A4495" s="49">
        <v>96663</v>
      </c>
      <c r="B4495" s="48" t="s">
        <v>5597</v>
      </c>
      <c r="C4495" s="48" t="s">
        <v>32</v>
      </c>
      <c r="D4495" s="50">
        <v>23.9</v>
      </c>
    </row>
    <row r="4496" spans="1:4" ht="13.5">
      <c r="A4496" s="49">
        <v>96664</v>
      </c>
      <c r="B4496" s="48" t="s">
        <v>5598</v>
      </c>
      <c r="C4496" s="48" t="s">
        <v>32</v>
      </c>
      <c r="D4496" s="50">
        <v>26.17</v>
      </c>
    </row>
    <row r="4497" spans="1:4" ht="13.5">
      <c r="A4497" s="49">
        <v>96665</v>
      </c>
      <c r="B4497" s="48" t="s">
        <v>5599</v>
      </c>
      <c r="C4497" s="48" t="s">
        <v>32</v>
      </c>
      <c r="D4497" s="50">
        <v>13.14</v>
      </c>
    </row>
    <row r="4498" spans="1:4" ht="13.5">
      <c r="A4498" s="49">
        <v>96666</v>
      </c>
      <c r="B4498" s="48" t="s">
        <v>5600</v>
      </c>
      <c r="C4498" s="48" t="s">
        <v>32</v>
      </c>
      <c r="D4498" s="50">
        <v>24.93</v>
      </c>
    </row>
    <row r="4499" spans="1:4" ht="13.5">
      <c r="A4499" s="49">
        <v>96667</v>
      </c>
      <c r="B4499" s="48" t="s">
        <v>5601</v>
      </c>
      <c r="C4499" s="48" t="s">
        <v>32</v>
      </c>
      <c r="D4499" s="50">
        <v>44.8</v>
      </c>
    </row>
    <row r="4500" spans="1:4" ht="13.5">
      <c r="A4500" s="49">
        <v>96684</v>
      </c>
      <c r="B4500" s="48" t="s">
        <v>5602</v>
      </c>
      <c r="C4500" s="48" t="s">
        <v>32</v>
      </c>
      <c r="D4500" s="50">
        <v>5.54</v>
      </c>
    </row>
    <row r="4501" spans="1:4" ht="13.5">
      <c r="A4501" s="49">
        <v>96685</v>
      </c>
      <c r="B4501" s="48" t="s">
        <v>5603</v>
      </c>
      <c r="C4501" s="48" t="s">
        <v>32</v>
      </c>
      <c r="D4501" s="50">
        <v>4.8499999999999996</v>
      </c>
    </row>
    <row r="4502" spans="1:4" ht="13.5">
      <c r="A4502" s="49">
        <v>96686</v>
      </c>
      <c r="B4502" s="48" t="s">
        <v>5604</v>
      </c>
      <c r="C4502" s="48" t="s">
        <v>32</v>
      </c>
      <c r="D4502" s="50">
        <v>8.36</v>
      </c>
    </row>
    <row r="4503" spans="1:4" ht="13.5">
      <c r="A4503" s="49">
        <v>96687</v>
      </c>
      <c r="B4503" s="48" t="s">
        <v>5605</v>
      </c>
      <c r="C4503" s="48" t="s">
        <v>32</v>
      </c>
      <c r="D4503" s="50">
        <v>8.2899999999999991</v>
      </c>
    </row>
    <row r="4504" spans="1:4" ht="13.5">
      <c r="A4504" s="49">
        <v>96688</v>
      </c>
      <c r="B4504" s="48" t="s">
        <v>5606</v>
      </c>
      <c r="C4504" s="48" t="s">
        <v>32</v>
      </c>
      <c r="D4504" s="50">
        <v>14.75</v>
      </c>
    </row>
    <row r="4505" spans="1:4" ht="13.5">
      <c r="A4505" s="49">
        <v>96689</v>
      </c>
      <c r="B4505" s="48" t="s">
        <v>5607</v>
      </c>
      <c r="C4505" s="48" t="s">
        <v>32</v>
      </c>
      <c r="D4505" s="50">
        <v>13.99</v>
      </c>
    </row>
    <row r="4506" spans="1:4" ht="13.5">
      <c r="A4506" s="49">
        <v>96690</v>
      </c>
      <c r="B4506" s="48" t="s">
        <v>5608</v>
      </c>
      <c r="C4506" s="48" t="s">
        <v>32</v>
      </c>
      <c r="D4506" s="50">
        <v>28.24</v>
      </c>
    </row>
    <row r="4507" spans="1:4" ht="13.5">
      <c r="A4507" s="49">
        <v>96691</v>
      </c>
      <c r="B4507" s="48" t="s">
        <v>5609</v>
      </c>
      <c r="C4507" s="48" t="s">
        <v>32</v>
      </c>
      <c r="D4507" s="50">
        <v>29.27</v>
      </c>
    </row>
    <row r="4508" spans="1:4" ht="13.5">
      <c r="A4508" s="49">
        <v>96692</v>
      </c>
      <c r="B4508" s="48" t="s">
        <v>5610</v>
      </c>
      <c r="C4508" s="48" t="s">
        <v>32</v>
      </c>
      <c r="D4508" s="50">
        <v>42.61</v>
      </c>
    </row>
    <row r="4509" spans="1:4" ht="13.5">
      <c r="A4509" s="49">
        <v>96693</v>
      </c>
      <c r="B4509" s="48" t="s">
        <v>5611</v>
      </c>
      <c r="C4509" s="48" t="s">
        <v>32</v>
      </c>
      <c r="D4509" s="50">
        <v>40.08</v>
      </c>
    </row>
    <row r="4510" spans="1:4" ht="13.5">
      <c r="A4510" s="49">
        <v>96694</v>
      </c>
      <c r="B4510" s="48" t="s">
        <v>5612</v>
      </c>
      <c r="C4510" s="48" t="s">
        <v>32</v>
      </c>
      <c r="D4510" s="50">
        <v>97.76</v>
      </c>
    </row>
    <row r="4511" spans="1:4" ht="13.5">
      <c r="A4511" s="49">
        <v>96695</v>
      </c>
      <c r="B4511" s="48" t="s">
        <v>5613</v>
      </c>
      <c r="C4511" s="48" t="s">
        <v>32</v>
      </c>
      <c r="D4511" s="50">
        <v>94.79</v>
      </c>
    </row>
    <row r="4512" spans="1:4" ht="13.5">
      <c r="A4512" s="49">
        <v>96696</v>
      </c>
      <c r="B4512" s="48" t="s">
        <v>5614</v>
      </c>
      <c r="C4512" s="48" t="s">
        <v>32</v>
      </c>
      <c r="D4512" s="50">
        <v>147.79</v>
      </c>
    </row>
    <row r="4513" spans="1:4" ht="13.5">
      <c r="A4513" s="49">
        <v>96697</v>
      </c>
      <c r="B4513" s="48" t="s">
        <v>5615</v>
      </c>
      <c r="C4513" s="48" t="s">
        <v>32</v>
      </c>
      <c r="D4513" s="50">
        <v>221.27</v>
      </c>
    </row>
    <row r="4514" spans="1:4" ht="13.5">
      <c r="A4514" s="49">
        <v>96698</v>
      </c>
      <c r="B4514" s="48" t="s">
        <v>5616</v>
      </c>
      <c r="C4514" s="48" t="s">
        <v>32</v>
      </c>
      <c r="D4514" s="50">
        <v>4.3</v>
      </c>
    </row>
    <row r="4515" spans="1:4" ht="13.5">
      <c r="A4515" s="49">
        <v>96699</v>
      </c>
      <c r="B4515" s="48" t="s">
        <v>5617</v>
      </c>
      <c r="C4515" s="48" t="s">
        <v>32</v>
      </c>
      <c r="D4515" s="50">
        <v>23.58</v>
      </c>
    </row>
    <row r="4516" spans="1:4" ht="13.5">
      <c r="A4516" s="49">
        <v>96700</v>
      </c>
      <c r="B4516" s="48" t="s">
        <v>5618</v>
      </c>
      <c r="C4516" s="48" t="s">
        <v>32</v>
      </c>
      <c r="D4516" s="50">
        <v>16.690000000000001</v>
      </c>
    </row>
    <row r="4517" spans="1:4" ht="13.5">
      <c r="A4517" s="49">
        <v>96701</v>
      </c>
      <c r="B4517" s="48" t="s">
        <v>5619</v>
      </c>
      <c r="C4517" s="48" t="s">
        <v>32</v>
      </c>
      <c r="D4517" s="50">
        <v>5.81</v>
      </c>
    </row>
    <row r="4518" spans="1:4" ht="13.5">
      <c r="A4518" s="49">
        <v>96702</v>
      </c>
      <c r="B4518" s="48" t="s">
        <v>5620</v>
      </c>
      <c r="C4518" s="48" t="s">
        <v>32</v>
      </c>
      <c r="D4518" s="50">
        <v>6.17</v>
      </c>
    </row>
    <row r="4519" spans="1:4" ht="13.5">
      <c r="A4519" s="49">
        <v>96703</v>
      </c>
      <c r="B4519" s="48" t="s">
        <v>5621</v>
      </c>
      <c r="C4519" s="48" t="s">
        <v>32</v>
      </c>
      <c r="D4519" s="50">
        <v>12.86</v>
      </c>
    </row>
    <row r="4520" spans="1:4" ht="13.5">
      <c r="A4520" s="49">
        <v>96704</v>
      </c>
      <c r="B4520" s="48" t="s">
        <v>5622</v>
      </c>
      <c r="C4520" s="48" t="s">
        <v>32</v>
      </c>
      <c r="D4520" s="50">
        <v>15.13</v>
      </c>
    </row>
    <row r="4521" spans="1:4" ht="13.5">
      <c r="A4521" s="49">
        <v>96705</v>
      </c>
      <c r="B4521" s="48" t="s">
        <v>5623</v>
      </c>
      <c r="C4521" s="48" t="s">
        <v>32</v>
      </c>
      <c r="D4521" s="50">
        <v>19.39</v>
      </c>
    </row>
    <row r="4522" spans="1:4" ht="13.5">
      <c r="A4522" s="49">
        <v>96706</v>
      </c>
      <c r="B4522" s="48" t="s">
        <v>5624</v>
      </c>
      <c r="C4522" s="48" t="s">
        <v>32</v>
      </c>
      <c r="D4522" s="50">
        <v>29.05</v>
      </c>
    </row>
    <row r="4523" spans="1:4" ht="13.5">
      <c r="A4523" s="49">
        <v>96707</v>
      </c>
      <c r="B4523" s="48" t="s">
        <v>5625</v>
      </c>
      <c r="C4523" s="48" t="s">
        <v>32</v>
      </c>
      <c r="D4523" s="50">
        <v>62.65</v>
      </c>
    </row>
    <row r="4524" spans="1:4" ht="13.5">
      <c r="A4524" s="49">
        <v>96708</v>
      </c>
      <c r="B4524" s="48" t="s">
        <v>5626</v>
      </c>
      <c r="C4524" s="48" t="s">
        <v>32</v>
      </c>
      <c r="D4524" s="50">
        <v>99.56</v>
      </c>
    </row>
    <row r="4525" spans="1:4" ht="13.5">
      <c r="A4525" s="49">
        <v>96709</v>
      </c>
      <c r="B4525" s="48" t="s">
        <v>5627</v>
      </c>
      <c r="C4525" s="48" t="s">
        <v>32</v>
      </c>
      <c r="D4525" s="50">
        <v>157.91999999999999</v>
      </c>
    </row>
    <row r="4526" spans="1:4" ht="13.5">
      <c r="A4526" s="49">
        <v>96710</v>
      </c>
      <c r="B4526" s="48" t="s">
        <v>5628</v>
      </c>
      <c r="C4526" s="48" t="s">
        <v>32</v>
      </c>
      <c r="D4526" s="50">
        <v>7.23</v>
      </c>
    </row>
    <row r="4527" spans="1:4" ht="13.5">
      <c r="A4527" s="49">
        <v>96711</v>
      </c>
      <c r="B4527" s="48" t="s">
        <v>5629</v>
      </c>
      <c r="C4527" s="48" t="s">
        <v>32</v>
      </c>
      <c r="D4527" s="50">
        <v>11.35</v>
      </c>
    </row>
    <row r="4528" spans="1:4" ht="13.5">
      <c r="A4528" s="49">
        <v>96712</v>
      </c>
      <c r="B4528" s="48" t="s">
        <v>5630</v>
      </c>
      <c r="C4528" s="48" t="s">
        <v>32</v>
      </c>
      <c r="D4528" s="50">
        <v>22.74</v>
      </c>
    </row>
    <row r="4529" spans="1:4" ht="13.5">
      <c r="A4529" s="49">
        <v>96713</v>
      </c>
      <c r="B4529" s="48" t="s">
        <v>5631</v>
      </c>
      <c r="C4529" s="48" t="s">
        <v>32</v>
      </c>
      <c r="D4529" s="50">
        <v>31.25</v>
      </c>
    </row>
    <row r="4530" spans="1:4" ht="13.5">
      <c r="A4530" s="49">
        <v>96714</v>
      </c>
      <c r="B4530" s="48" t="s">
        <v>5632</v>
      </c>
      <c r="C4530" s="48" t="s">
        <v>32</v>
      </c>
      <c r="D4530" s="50">
        <v>53.38</v>
      </c>
    </row>
    <row r="4531" spans="1:4" ht="13.5">
      <c r="A4531" s="49">
        <v>96715</v>
      </c>
      <c r="B4531" s="48" t="s">
        <v>5633</v>
      </c>
      <c r="C4531" s="48" t="s">
        <v>32</v>
      </c>
      <c r="D4531" s="50">
        <v>103.44</v>
      </c>
    </row>
    <row r="4532" spans="1:4" ht="13.5">
      <c r="A4532" s="49">
        <v>96716</v>
      </c>
      <c r="B4532" s="48" t="s">
        <v>5634</v>
      </c>
      <c r="C4532" s="48" t="s">
        <v>32</v>
      </c>
      <c r="D4532" s="50">
        <v>156.1</v>
      </c>
    </row>
    <row r="4533" spans="1:4" ht="13.5">
      <c r="A4533" s="49">
        <v>96717</v>
      </c>
      <c r="B4533" s="48" t="s">
        <v>5635</v>
      </c>
      <c r="C4533" s="48" t="s">
        <v>32</v>
      </c>
      <c r="D4533" s="50">
        <v>247.03</v>
      </c>
    </row>
    <row r="4534" spans="1:4" ht="13.5">
      <c r="A4534" s="49">
        <v>96736</v>
      </c>
      <c r="B4534" s="48" t="s">
        <v>5636</v>
      </c>
      <c r="C4534" s="48" t="s">
        <v>32</v>
      </c>
      <c r="D4534" s="50">
        <v>5.39</v>
      </c>
    </row>
    <row r="4535" spans="1:4" ht="13.5">
      <c r="A4535" s="49">
        <v>96737</v>
      </c>
      <c r="B4535" s="48" t="s">
        <v>5637</v>
      </c>
      <c r="C4535" s="48" t="s">
        <v>32</v>
      </c>
      <c r="D4535" s="50">
        <v>6.44</v>
      </c>
    </row>
    <row r="4536" spans="1:4" ht="13.5">
      <c r="A4536" s="49">
        <v>96738</v>
      </c>
      <c r="B4536" s="48" t="s">
        <v>5638</v>
      </c>
      <c r="C4536" s="48" t="s">
        <v>32</v>
      </c>
      <c r="D4536" s="50">
        <v>25.72</v>
      </c>
    </row>
    <row r="4537" spans="1:4" ht="13.5">
      <c r="A4537" s="49">
        <v>96739</v>
      </c>
      <c r="B4537" s="48" t="s">
        <v>5639</v>
      </c>
      <c r="C4537" s="48" t="s">
        <v>32</v>
      </c>
      <c r="D4537" s="50">
        <v>8.36</v>
      </c>
    </row>
    <row r="4538" spans="1:4" ht="13.5">
      <c r="A4538" s="49">
        <v>96740</v>
      </c>
      <c r="B4538" s="48" t="s">
        <v>5640</v>
      </c>
      <c r="C4538" s="48" t="s">
        <v>32</v>
      </c>
      <c r="D4538" s="50">
        <v>40.5</v>
      </c>
    </row>
    <row r="4539" spans="1:4" ht="13.5">
      <c r="A4539" s="49">
        <v>96741</v>
      </c>
      <c r="B4539" s="48" t="s">
        <v>5641</v>
      </c>
      <c r="C4539" s="48" t="s">
        <v>32</v>
      </c>
      <c r="D4539" s="50">
        <v>14.63</v>
      </c>
    </row>
    <row r="4540" spans="1:4" ht="13.5">
      <c r="A4540" s="49">
        <v>96742</v>
      </c>
      <c r="B4540" s="48" t="s">
        <v>5642</v>
      </c>
      <c r="C4540" s="48" t="s">
        <v>32</v>
      </c>
      <c r="D4540" s="50">
        <v>22.17</v>
      </c>
    </row>
    <row r="4541" spans="1:4" ht="13.5">
      <c r="A4541" s="49">
        <v>96743</v>
      </c>
      <c r="B4541" s="48" t="s">
        <v>5643</v>
      </c>
      <c r="C4541" s="48" t="s">
        <v>32</v>
      </c>
      <c r="D4541" s="50">
        <v>29.79</v>
      </c>
    </row>
    <row r="4542" spans="1:4" ht="13.5">
      <c r="A4542" s="49">
        <v>96744</v>
      </c>
      <c r="B4542" s="48" t="s">
        <v>5644</v>
      </c>
      <c r="C4542" s="48" t="s">
        <v>32</v>
      </c>
      <c r="D4542" s="50">
        <v>65.39</v>
      </c>
    </row>
    <row r="4543" spans="1:4" ht="13.5">
      <c r="A4543" s="49">
        <v>96745</v>
      </c>
      <c r="B4543" s="48" t="s">
        <v>5645</v>
      </c>
      <c r="C4543" s="48" t="s">
        <v>32</v>
      </c>
      <c r="D4543" s="50">
        <v>98.89</v>
      </c>
    </row>
    <row r="4544" spans="1:4" ht="13.5">
      <c r="A4544" s="49">
        <v>96746</v>
      </c>
      <c r="B4544" s="48" t="s">
        <v>5646</v>
      </c>
      <c r="C4544" s="48" t="s">
        <v>32</v>
      </c>
      <c r="D4544" s="50">
        <v>157.88999999999999</v>
      </c>
    </row>
    <row r="4545" spans="1:4" ht="13.5">
      <c r="A4545" s="49">
        <v>96747</v>
      </c>
      <c r="B4545" s="48" t="s">
        <v>5647</v>
      </c>
      <c r="C4545" s="48" t="s">
        <v>32</v>
      </c>
      <c r="D4545" s="50">
        <v>7.47</v>
      </c>
    </row>
    <row r="4546" spans="1:4" ht="13.5">
      <c r="A4546" s="49">
        <v>96748</v>
      </c>
      <c r="B4546" s="48" t="s">
        <v>5648</v>
      </c>
      <c r="C4546" s="48" t="s">
        <v>32</v>
      </c>
      <c r="D4546" s="50">
        <v>8.7899999999999991</v>
      </c>
    </row>
    <row r="4547" spans="1:4" ht="13.5">
      <c r="A4547" s="49">
        <v>96749</v>
      </c>
      <c r="B4547" s="48" t="s">
        <v>5649</v>
      </c>
      <c r="C4547" s="48" t="s">
        <v>32</v>
      </c>
      <c r="D4547" s="50">
        <v>12.2</v>
      </c>
    </row>
    <row r="4548" spans="1:4" ht="13.5">
      <c r="A4548" s="49">
        <v>96750</v>
      </c>
      <c r="B4548" s="48" t="s">
        <v>5650</v>
      </c>
      <c r="C4548" s="48" t="s">
        <v>32</v>
      </c>
      <c r="D4548" s="50">
        <v>17.37</v>
      </c>
    </row>
    <row r="4549" spans="1:4" ht="13.5">
      <c r="A4549" s="49">
        <v>96751</v>
      </c>
      <c r="B4549" s="48" t="s">
        <v>5651</v>
      </c>
      <c r="C4549" s="48" t="s">
        <v>32</v>
      </c>
      <c r="D4549" s="50">
        <v>32.380000000000003</v>
      </c>
    </row>
    <row r="4550" spans="1:4" ht="13.5">
      <c r="A4550" s="49">
        <v>96752</v>
      </c>
      <c r="B4550" s="48" t="s">
        <v>5652</v>
      </c>
      <c r="C4550" s="48" t="s">
        <v>32</v>
      </c>
      <c r="D4550" s="50">
        <v>43.7</v>
      </c>
    </row>
    <row r="4551" spans="1:4" ht="13.5">
      <c r="A4551" s="49">
        <v>96753</v>
      </c>
      <c r="B4551" s="48" t="s">
        <v>5653</v>
      </c>
      <c r="C4551" s="48" t="s">
        <v>32</v>
      </c>
      <c r="D4551" s="50">
        <v>101.87</v>
      </c>
    </row>
    <row r="4552" spans="1:4" ht="13.5">
      <c r="A4552" s="49">
        <v>96754</v>
      </c>
      <c r="B4552" s="48" t="s">
        <v>5654</v>
      </c>
      <c r="C4552" s="48" t="s">
        <v>32</v>
      </c>
      <c r="D4552" s="50">
        <v>146.77000000000001</v>
      </c>
    </row>
    <row r="4553" spans="1:4" ht="13.5">
      <c r="A4553" s="49">
        <v>96755</v>
      </c>
      <c r="B4553" s="48" t="s">
        <v>5655</v>
      </c>
      <c r="C4553" s="48" t="s">
        <v>32</v>
      </c>
      <c r="D4553" s="50">
        <v>221.24</v>
      </c>
    </row>
    <row r="4554" spans="1:4" ht="13.5">
      <c r="A4554" s="49">
        <v>96756</v>
      </c>
      <c r="B4554" s="48" t="s">
        <v>5656</v>
      </c>
      <c r="C4554" s="48" t="s">
        <v>32</v>
      </c>
      <c r="D4554" s="50">
        <v>14.96</v>
      </c>
    </row>
    <row r="4555" spans="1:4" ht="13.5">
      <c r="A4555" s="49">
        <v>96757</v>
      </c>
      <c r="B4555" s="48" t="s">
        <v>5657</v>
      </c>
      <c r="C4555" s="48" t="s">
        <v>32</v>
      </c>
      <c r="D4555" s="50">
        <v>14.26</v>
      </c>
    </row>
    <row r="4556" spans="1:4" ht="13.5">
      <c r="A4556" s="49">
        <v>96758</v>
      </c>
      <c r="B4556" s="48" t="s">
        <v>5658</v>
      </c>
      <c r="C4556" s="48" t="s">
        <v>32</v>
      </c>
      <c r="D4556" s="50">
        <v>16.440000000000001</v>
      </c>
    </row>
    <row r="4557" spans="1:4" ht="13.5">
      <c r="A4557" s="49">
        <v>96759</v>
      </c>
      <c r="B4557" s="48" t="s">
        <v>5660</v>
      </c>
      <c r="C4557" s="48" t="s">
        <v>32</v>
      </c>
      <c r="D4557" s="50">
        <v>26.26</v>
      </c>
    </row>
    <row r="4558" spans="1:4" ht="13.5">
      <c r="A4558" s="49">
        <v>96760</v>
      </c>
      <c r="B4558" s="48" t="s">
        <v>5661</v>
      </c>
      <c r="C4558" s="48" t="s">
        <v>32</v>
      </c>
      <c r="D4558" s="50">
        <v>36.76</v>
      </c>
    </row>
    <row r="4559" spans="1:4" ht="13.5">
      <c r="A4559" s="49">
        <v>96761</v>
      </c>
      <c r="B4559" s="48" t="s">
        <v>5662</v>
      </c>
      <c r="C4559" s="48" t="s">
        <v>32</v>
      </c>
      <c r="D4559" s="50">
        <v>54.86</v>
      </c>
    </row>
    <row r="4560" spans="1:4" ht="13.5">
      <c r="A4560" s="49">
        <v>96762</v>
      </c>
      <c r="B4560" s="48" t="s">
        <v>5663</v>
      </c>
      <c r="C4560" s="48" t="s">
        <v>32</v>
      </c>
      <c r="D4560" s="50">
        <v>108.88</v>
      </c>
    </row>
    <row r="4561" spans="1:4" ht="13.5">
      <c r="A4561" s="49">
        <v>96763</v>
      </c>
      <c r="B4561" s="48" t="s">
        <v>5664</v>
      </c>
      <c r="C4561" s="48" t="s">
        <v>32</v>
      </c>
      <c r="D4561" s="50">
        <v>154.72999999999999</v>
      </c>
    </row>
    <row r="4562" spans="1:4" ht="13.5">
      <c r="A4562" s="49">
        <v>96764</v>
      </c>
      <c r="B4562" s="48" t="s">
        <v>5665</v>
      </c>
      <c r="C4562" s="48" t="s">
        <v>32</v>
      </c>
      <c r="D4562" s="50">
        <v>246.96</v>
      </c>
    </row>
    <row r="4563" spans="1:4" ht="13.5">
      <c r="A4563" s="49">
        <v>96802</v>
      </c>
      <c r="B4563" s="48" t="s">
        <v>5666</v>
      </c>
      <c r="C4563" s="48" t="s">
        <v>32</v>
      </c>
      <c r="D4563" s="50">
        <v>306.45999999999998</v>
      </c>
    </row>
    <row r="4564" spans="1:4" ht="13.5">
      <c r="A4564" s="49">
        <v>96803</v>
      </c>
      <c r="B4564" s="48" t="s">
        <v>5667</v>
      </c>
      <c r="C4564" s="48" t="s">
        <v>32</v>
      </c>
      <c r="D4564" s="50">
        <v>156.25</v>
      </c>
    </row>
    <row r="4565" spans="1:4" ht="13.5">
      <c r="A4565" s="49">
        <v>96804</v>
      </c>
      <c r="B4565" s="48" t="s">
        <v>5668</v>
      </c>
      <c r="C4565" s="48" t="s">
        <v>32</v>
      </c>
      <c r="D4565" s="50">
        <v>276.54000000000002</v>
      </c>
    </row>
    <row r="4566" spans="1:4" ht="13.5">
      <c r="A4566" s="49">
        <v>96805</v>
      </c>
      <c r="B4566" s="48" t="s">
        <v>5669</v>
      </c>
      <c r="C4566" s="48" t="s">
        <v>32</v>
      </c>
      <c r="D4566" s="50">
        <v>314.26</v>
      </c>
    </row>
    <row r="4567" spans="1:4" ht="13.5">
      <c r="A4567" s="49">
        <v>96806</v>
      </c>
      <c r="B4567" s="48" t="s">
        <v>5670</v>
      </c>
      <c r="C4567" s="48" t="s">
        <v>32</v>
      </c>
      <c r="D4567" s="50">
        <v>150.1</v>
      </c>
    </row>
    <row r="4568" spans="1:4" ht="13.5">
      <c r="A4568" s="49">
        <v>96807</v>
      </c>
      <c r="B4568" s="48" t="s">
        <v>5671</v>
      </c>
      <c r="C4568" s="48" t="s">
        <v>32</v>
      </c>
      <c r="D4568" s="50">
        <v>248.3</v>
      </c>
    </row>
    <row r="4569" spans="1:4" ht="13.5">
      <c r="A4569" s="49">
        <v>96808</v>
      </c>
      <c r="B4569" s="48" t="s">
        <v>5672</v>
      </c>
      <c r="C4569" s="48" t="s">
        <v>32</v>
      </c>
      <c r="D4569" s="50">
        <v>13.2</v>
      </c>
    </row>
    <row r="4570" spans="1:4" ht="13.5">
      <c r="A4570" s="49">
        <v>96809</v>
      </c>
      <c r="B4570" s="48" t="s">
        <v>5673</v>
      </c>
      <c r="C4570" s="48" t="s">
        <v>32</v>
      </c>
      <c r="D4570" s="50">
        <v>15.3</v>
      </c>
    </row>
    <row r="4571" spans="1:4" ht="13.5">
      <c r="A4571" s="49">
        <v>96810</v>
      </c>
      <c r="B4571" s="48" t="s">
        <v>5674</v>
      </c>
      <c r="C4571" s="48" t="s">
        <v>32</v>
      </c>
      <c r="D4571" s="50">
        <v>16.72</v>
      </c>
    </row>
    <row r="4572" spans="1:4" ht="13.5">
      <c r="A4572" s="49">
        <v>96811</v>
      </c>
      <c r="B4572" s="48" t="s">
        <v>5675</v>
      </c>
      <c r="C4572" s="48" t="s">
        <v>32</v>
      </c>
      <c r="D4572" s="50">
        <v>17.84</v>
      </c>
    </row>
    <row r="4573" spans="1:4" ht="13.5">
      <c r="A4573" s="49">
        <v>96812</v>
      </c>
      <c r="B4573" s="48" t="s">
        <v>5676</v>
      </c>
      <c r="C4573" s="48" t="s">
        <v>32</v>
      </c>
      <c r="D4573" s="50">
        <v>17.100000000000001</v>
      </c>
    </row>
    <row r="4574" spans="1:4" ht="13.5">
      <c r="A4574" s="49">
        <v>96813</v>
      </c>
      <c r="B4574" s="48" t="s">
        <v>5677</v>
      </c>
      <c r="C4574" s="48" t="s">
        <v>32</v>
      </c>
      <c r="D4574" s="50">
        <v>19.91</v>
      </c>
    </row>
    <row r="4575" spans="1:4" ht="13.5">
      <c r="A4575" s="49">
        <v>96814</v>
      </c>
      <c r="B4575" s="48" t="s">
        <v>5678</v>
      </c>
      <c r="C4575" s="48" t="s">
        <v>32</v>
      </c>
      <c r="D4575" s="50">
        <v>16.62</v>
      </c>
    </row>
    <row r="4576" spans="1:4" ht="13.5">
      <c r="A4576" s="49">
        <v>96815</v>
      </c>
      <c r="B4576" s="48" t="s">
        <v>5679</v>
      </c>
      <c r="C4576" s="48" t="s">
        <v>32</v>
      </c>
      <c r="D4576" s="50">
        <v>28.69</v>
      </c>
    </row>
    <row r="4577" spans="1:4" ht="13.5">
      <c r="A4577" s="49">
        <v>96816</v>
      </c>
      <c r="B4577" s="48" t="s">
        <v>5680</v>
      </c>
      <c r="C4577" s="48" t="s">
        <v>32</v>
      </c>
      <c r="D4577" s="50">
        <v>23.33</v>
      </c>
    </row>
    <row r="4578" spans="1:4" ht="13.5">
      <c r="A4578" s="49">
        <v>96817</v>
      </c>
      <c r="B4578" s="48" t="s">
        <v>5682</v>
      </c>
      <c r="C4578" s="48" t="s">
        <v>32</v>
      </c>
      <c r="D4578" s="50">
        <v>26.74</v>
      </c>
    </row>
    <row r="4579" spans="1:4" ht="13.5">
      <c r="A4579" s="49">
        <v>96818</v>
      </c>
      <c r="B4579" s="48" t="s">
        <v>5683</v>
      </c>
      <c r="C4579" s="48" t="s">
        <v>32</v>
      </c>
      <c r="D4579" s="50">
        <v>24.8</v>
      </c>
    </row>
    <row r="4580" spans="1:4" ht="13.5">
      <c r="A4580" s="49">
        <v>96819</v>
      </c>
      <c r="B4580" s="48" t="s">
        <v>5684</v>
      </c>
      <c r="C4580" s="48" t="s">
        <v>32</v>
      </c>
      <c r="D4580" s="50">
        <v>24.8</v>
      </c>
    </row>
    <row r="4581" spans="1:4" ht="13.5">
      <c r="A4581" s="49">
        <v>96820</v>
      </c>
      <c r="B4581" s="48" t="s">
        <v>5685</v>
      </c>
      <c r="C4581" s="48" t="s">
        <v>32</v>
      </c>
      <c r="D4581" s="50">
        <v>46.03</v>
      </c>
    </row>
    <row r="4582" spans="1:4" ht="13.5">
      <c r="A4582" s="49">
        <v>96821</v>
      </c>
      <c r="B4582" s="48" t="s">
        <v>5687</v>
      </c>
      <c r="C4582" s="48" t="s">
        <v>32</v>
      </c>
      <c r="D4582" s="50">
        <v>38.92</v>
      </c>
    </row>
    <row r="4583" spans="1:4" ht="13.5">
      <c r="A4583" s="49">
        <v>96822</v>
      </c>
      <c r="B4583" s="48" t="s">
        <v>5688</v>
      </c>
      <c r="C4583" s="48" t="s">
        <v>32</v>
      </c>
      <c r="D4583" s="50">
        <v>39.47</v>
      </c>
    </row>
    <row r="4584" spans="1:4" ht="13.5">
      <c r="A4584" s="49">
        <v>96823</v>
      </c>
      <c r="B4584" s="48" t="s">
        <v>5689</v>
      </c>
      <c r="C4584" s="48" t="s">
        <v>32</v>
      </c>
      <c r="D4584" s="50">
        <v>16.23</v>
      </c>
    </row>
    <row r="4585" spans="1:4" ht="13.5">
      <c r="A4585" s="49">
        <v>96824</v>
      </c>
      <c r="B4585" s="48" t="s">
        <v>5690</v>
      </c>
      <c r="C4585" s="48" t="s">
        <v>32</v>
      </c>
      <c r="D4585" s="50">
        <v>18.420000000000002</v>
      </c>
    </row>
    <row r="4586" spans="1:4" ht="13.5">
      <c r="A4586" s="49">
        <v>96825</v>
      </c>
      <c r="B4586" s="48" t="s">
        <v>5691</v>
      </c>
      <c r="C4586" s="48" t="s">
        <v>32</v>
      </c>
      <c r="D4586" s="50">
        <v>25.25</v>
      </c>
    </row>
    <row r="4587" spans="1:4" ht="13.5">
      <c r="A4587" s="49">
        <v>96826</v>
      </c>
      <c r="B4587" s="48" t="s">
        <v>5692</v>
      </c>
      <c r="C4587" s="48" t="s">
        <v>32</v>
      </c>
      <c r="D4587" s="50">
        <v>22.67</v>
      </c>
    </row>
    <row r="4588" spans="1:4" ht="13.5">
      <c r="A4588" s="49">
        <v>96827</v>
      </c>
      <c r="B4588" s="48" t="s">
        <v>5693</v>
      </c>
      <c r="C4588" s="48" t="s">
        <v>32</v>
      </c>
      <c r="D4588" s="50">
        <v>23.55</v>
      </c>
    </row>
    <row r="4589" spans="1:4" ht="13.5">
      <c r="A4589" s="49">
        <v>96828</v>
      </c>
      <c r="B4589" s="48" t="s">
        <v>5694</v>
      </c>
      <c r="C4589" s="48" t="s">
        <v>32</v>
      </c>
      <c r="D4589" s="50">
        <v>29.82</v>
      </c>
    </row>
    <row r="4590" spans="1:4" ht="13.5">
      <c r="A4590" s="49">
        <v>96829</v>
      </c>
      <c r="B4590" s="48" t="s">
        <v>5695</v>
      </c>
      <c r="C4590" s="48" t="s">
        <v>32</v>
      </c>
      <c r="D4590" s="50">
        <v>22.63</v>
      </c>
    </row>
    <row r="4591" spans="1:4" ht="13.5">
      <c r="A4591" s="49">
        <v>96830</v>
      </c>
      <c r="B4591" s="48" t="s">
        <v>5696</v>
      </c>
      <c r="C4591" s="48" t="s">
        <v>32</v>
      </c>
      <c r="D4591" s="50">
        <v>33.14</v>
      </c>
    </row>
    <row r="4592" spans="1:4" ht="13.5">
      <c r="A4592" s="49">
        <v>96831</v>
      </c>
      <c r="B4592" s="48" t="s">
        <v>5697</v>
      </c>
      <c r="C4592" s="48" t="s">
        <v>32</v>
      </c>
      <c r="D4592" s="50">
        <v>26.8</v>
      </c>
    </row>
    <row r="4593" spans="1:4" ht="13.5">
      <c r="A4593" s="49">
        <v>96832</v>
      </c>
      <c r="B4593" s="48" t="s">
        <v>5698</v>
      </c>
      <c r="C4593" s="48" t="s">
        <v>32</v>
      </c>
      <c r="D4593" s="50">
        <v>31.16</v>
      </c>
    </row>
    <row r="4594" spans="1:4" ht="13.5">
      <c r="A4594" s="49">
        <v>96833</v>
      </c>
      <c r="B4594" s="48" t="s">
        <v>5699</v>
      </c>
      <c r="C4594" s="48" t="s">
        <v>32</v>
      </c>
      <c r="D4594" s="50">
        <v>29.11</v>
      </c>
    </row>
    <row r="4595" spans="1:4" ht="13.5">
      <c r="A4595" s="49">
        <v>96834</v>
      </c>
      <c r="B4595" s="48" t="s">
        <v>5700</v>
      </c>
      <c r="C4595" s="48" t="s">
        <v>32</v>
      </c>
      <c r="D4595" s="50">
        <v>48.58</v>
      </c>
    </row>
    <row r="4596" spans="1:4" ht="13.5">
      <c r="A4596" s="49">
        <v>96835</v>
      </c>
      <c r="B4596" s="48" t="s">
        <v>5701</v>
      </c>
      <c r="C4596" s="48" t="s">
        <v>32</v>
      </c>
      <c r="D4596" s="50">
        <v>41.81</v>
      </c>
    </row>
    <row r="4597" spans="1:4" ht="13.5">
      <c r="A4597" s="49">
        <v>96836</v>
      </c>
      <c r="B4597" s="48" t="s">
        <v>5702</v>
      </c>
      <c r="C4597" s="48" t="s">
        <v>32</v>
      </c>
      <c r="D4597" s="50">
        <v>44.62</v>
      </c>
    </row>
    <row r="4598" spans="1:4" ht="13.5">
      <c r="A4598" s="49">
        <v>96837</v>
      </c>
      <c r="B4598" s="48" t="s">
        <v>5703</v>
      </c>
      <c r="C4598" s="48" t="s">
        <v>32</v>
      </c>
      <c r="D4598" s="50">
        <v>23.35</v>
      </c>
    </row>
    <row r="4599" spans="1:4" ht="13.5">
      <c r="A4599" s="49">
        <v>96838</v>
      </c>
      <c r="B4599" s="48" t="s">
        <v>5704</v>
      </c>
      <c r="C4599" s="48" t="s">
        <v>32</v>
      </c>
      <c r="D4599" s="50">
        <v>21.32</v>
      </c>
    </row>
    <row r="4600" spans="1:4" ht="13.5">
      <c r="A4600" s="49">
        <v>96839</v>
      </c>
      <c r="B4600" s="48" t="s">
        <v>5705</v>
      </c>
      <c r="C4600" s="48" t="s">
        <v>32</v>
      </c>
      <c r="D4600" s="50">
        <v>20.96</v>
      </c>
    </row>
    <row r="4601" spans="1:4" ht="13.5">
      <c r="A4601" s="49">
        <v>96840</v>
      </c>
      <c r="B4601" s="48" t="s">
        <v>5706</v>
      </c>
      <c r="C4601" s="48" t="s">
        <v>32</v>
      </c>
      <c r="D4601" s="50">
        <v>27.25</v>
      </c>
    </row>
    <row r="4602" spans="1:4" ht="13.5">
      <c r="A4602" s="49">
        <v>96841</v>
      </c>
      <c r="B4602" s="48" t="s">
        <v>5707</v>
      </c>
      <c r="C4602" s="48" t="s">
        <v>32</v>
      </c>
      <c r="D4602" s="50">
        <v>23.61</v>
      </c>
    </row>
    <row r="4603" spans="1:4" ht="13.5">
      <c r="A4603" s="49">
        <v>96842</v>
      </c>
      <c r="B4603" s="48" t="s">
        <v>5708</v>
      </c>
      <c r="C4603" s="48" t="s">
        <v>32</v>
      </c>
      <c r="D4603" s="50">
        <v>30.58</v>
      </c>
    </row>
    <row r="4604" spans="1:4" ht="13.5">
      <c r="A4604" s="49">
        <v>96843</v>
      </c>
      <c r="B4604" s="48" t="s">
        <v>5709</v>
      </c>
      <c r="C4604" s="48" t="s">
        <v>32</v>
      </c>
      <c r="D4604" s="50">
        <v>29.33</v>
      </c>
    </row>
    <row r="4605" spans="1:4" ht="13.5">
      <c r="A4605" s="49">
        <v>96844</v>
      </c>
      <c r="B4605" s="48" t="s">
        <v>5710</v>
      </c>
      <c r="C4605" s="48" t="s">
        <v>32</v>
      </c>
      <c r="D4605" s="50">
        <v>40.700000000000003</v>
      </c>
    </row>
    <row r="4606" spans="1:4" ht="13.5">
      <c r="A4606" s="49">
        <v>96845</v>
      </c>
      <c r="B4606" s="48" t="s">
        <v>5711</v>
      </c>
      <c r="C4606" s="48" t="s">
        <v>32</v>
      </c>
      <c r="D4606" s="50">
        <v>43.35</v>
      </c>
    </row>
    <row r="4607" spans="1:4" ht="13.5">
      <c r="A4607" s="49">
        <v>96846</v>
      </c>
      <c r="B4607" s="48" t="s">
        <v>5712</v>
      </c>
      <c r="C4607" s="48" t="s">
        <v>32</v>
      </c>
      <c r="D4607" s="50">
        <v>33.630000000000003</v>
      </c>
    </row>
    <row r="4608" spans="1:4" ht="13.5">
      <c r="A4608" s="49">
        <v>96847</v>
      </c>
      <c r="B4608" s="48" t="s">
        <v>5713</v>
      </c>
      <c r="C4608" s="48" t="s">
        <v>32</v>
      </c>
      <c r="D4608" s="50">
        <v>37.200000000000003</v>
      </c>
    </row>
    <row r="4609" spans="1:4" ht="13.5">
      <c r="A4609" s="49">
        <v>96848</v>
      </c>
      <c r="B4609" s="48" t="s">
        <v>5714</v>
      </c>
      <c r="C4609" s="48" t="s">
        <v>32</v>
      </c>
      <c r="D4609" s="50">
        <v>56.37</v>
      </c>
    </row>
    <row r="4610" spans="1:4" ht="13.5">
      <c r="A4610" s="49">
        <v>96849</v>
      </c>
      <c r="B4610" s="48" t="s">
        <v>5715</v>
      </c>
      <c r="C4610" s="48" t="s">
        <v>32</v>
      </c>
      <c r="D4610" s="50">
        <v>20.239999999999998</v>
      </c>
    </row>
    <row r="4611" spans="1:4" ht="13.5">
      <c r="A4611" s="49">
        <v>96850</v>
      </c>
      <c r="B4611" s="48" t="s">
        <v>5716</v>
      </c>
      <c r="C4611" s="48" t="s">
        <v>32</v>
      </c>
      <c r="D4611" s="50">
        <v>23.88</v>
      </c>
    </row>
    <row r="4612" spans="1:4" ht="13.5">
      <c r="A4612" s="49">
        <v>96851</v>
      </c>
      <c r="B4612" s="48" t="s">
        <v>5717</v>
      </c>
      <c r="C4612" s="48" t="s">
        <v>32</v>
      </c>
      <c r="D4612" s="50">
        <v>32.020000000000003</v>
      </c>
    </row>
    <row r="4613" spans="1:4" ht="13.5">
      <c r="A4613" s="49">
        <v>96852</v>
      </c>
      <c r="B4613" s="48" t="s">
        <v>5718</v>
      </c>
      <c r="C4613" s="48" t="s">
        <v>32</v>
      </c>
      <c r="D4613" s="50">
        <v>27.12</v>
      </c>
    </row>
    <row r="4614" spans="1:4" ht="13.5">
      <c r="A4614" s="49">
        <v>96853</v>
      </c>
      <c r="B4614" s="48" t="s">
        <v>5719</v>
      </c>
      <c r="C4614" s="48" t="s">
        <v>32</v>
      </c>
      <c r="D4614" s="50">
        <v>30.67</v>
      </c>
    </row>
    <row r="4615" spans="1:4" ht="13.5">
      <c r="A4615" s="49">
        <v>96854</v>
      </c>
      <c r="B4615" s="48" t="s">
        <v>5720</v>
      </c>
      <c r="C4615" s="48" t="s">
        <v>32</v>
      </c>
      <c r="D4615" s="50">
        <v>36.96</v>
      </c>
    </row>
    <row r="4616" spans="1:4" ht="13.5">
      <c r="A4616" s="49">
        <v>96855</v>
      </c>
      <c r="B4616" s="48" t="s">
        <v>5721</v>
      </c>
      <c r="C4616" s="48" t="s">
        <v>32</v>
      </c>
      <c r="D4616" s="50">
        <v>33.74</v>
      </c>
    </row>
    <row r="4617" spans="1:4" ht="13.5">
      <c r="A4617" s="49">
        <v>96856</v>
      </c>
      <c r="B4617" s="48" t="s">
        <v>5722</v>
      </c>
      <c r="C4617" s="48" t="s">
        <v>32</v>
      </c>
      <c r="D4617" s="50">
        <v>34.26</v>
      </c>
    </row>
    <row r="4618" spans="1:4" ht="13.5">
      <c r="A4618" s="49">
        <v>96857</v>
      </c>
      <c r="B4618" s="48" t="s">
        <v>5723</v>
      </c>
      <c r="C4618" s="48" t="s">
        <v>32</v>
      </c>
      <c r="D4618" s="50">
        <v>55.55</v>
      </c>
    </row>
    <row r="4619" spans="1:4" ht="13.5">
      <c r="A4619" s="49">
        <v>96858</v>
      </c>
      <c r="B4619" s="48" t="s">
        <v>5724</v>
      </c>
      <c r="C4619" s="48" t="s">
        <v>32</v>
      </c>
      <c r="D4619" s="50">
        <v>55.78</v>
      </c>
    </row>
    <row r="4620" spans="1:4" ht="13.5">
      <c r="A4620" s="49">
        <v>96859</v>
      </c>
      <c r="B4620" s="48" t="s">
        <v>5725</v>
      </c>
      <c r="C4620" s="48" t="s">
        <v>32</v>
      </c>
      <c r="D4620" s="50">
        <v>69.61</v>
      </c>
    </row>
    <row r="4621" spans="1:4" ht="13.5">
      <c r="A4621" s="49">
        <v>96860</v>
      </c>
      <c r="B4621" s="48" t="s">
        <v>5726</v>
      </c>
      <c r="C4621" s="48" t="s">
        <v>32</v>
      </c>
      <c r="D4621" s="50">
        <v>26.84</v>
      </c>
    </row>
    <row r="4622" spans="1:4" ht="13.5">
      <c r="A4622" s="49">
        <v>96861</v>
      </c>
      <c r="B4622" s="48" t="s">
        <v>5727</v>
      </c>
      <c r="C4622" s="48" t="s">
        <v>32</v>
      </c>
      <c r="D4622" s="50">
        <v>29.14</v>
      </c>
    </row>
    <row r="4623" spans="1:4" ht="13.5">
      <c r="A4623" s="49">
        <v>96862</v>
      </c>
      <c r="B4623" s="48" t="s">
        <v>5728</v>
      </c>
      <c r="C4623" s="48" t="s">
        <v>32</v>
      </c>
      <c r="D4623" s="50">
        <v>32.380000000000003</v>
      </c>
    </row>
    <row r="4624" spans="1:4" ht="13.5">
      <c r="A4624" s="49">
        <v>96863</v>
      </c>
      <c r="B4624" s="48" t="s">
        <v>5729</v>
      </c>
      <c r="C4624" s="48" t="s">
        <v>32</v>
      </c>
      <c r="D4624" s="50">
        <v>32</v>
      </c>
    </row>
    <row r="4625" spans="1:4" ht="13.5">
      <c r="A4625" s="49">
        <v>96864</v>
      </c>
      <c r="B4625" s="48" t="s">
        <v>5730</v>
      </c>
      <c r="C4625" s="48" t="s">
        <v>32</v>
      </c>
      <c r="D4625" s="50">
        <v>51.63</v>
      </c>
    </row>
    <row r="4626" spans="1:4" ht="13.5">
      <c r="A4626" s="49">
        <v>96865</v>
      </c>
      <c r="B4626" s="48" t="s">
        <v>5731</v>
      </c>
      <c r="C4626" s="48" t="s">
        <v>32</v>
      </c>
      <c r="D4626" s="50">
        <v>50.51</v>
      </c>
    </row>
    <row r="4627" spans="1:4" ht="13.5">
      <c r="A4627" s="49">
        <v>96866</v>
      </c>
      <c r="B4627" s="48" t="s">
        <v>5732</v>
      </c>
      <c r="C4627" s="48" t="s">
        <v>32</v>
      </c>
      <c r="D4627" s="50">
        <v>68.11</v>
      </c>
    </row>
    <row r="4628" spans="1:4" ht="13.5">
      <c r="A4628" s="49">
        <v>96867</v>
      </c>
      <c r="B4628" s="48" t="s">
        <v>5733</v>
      </c>
      <c r="C4628" s="48" t="s">
        <v>32</v>
      </c>
      <c r="D4628" s="50">
        <v>79.72</v>
      </c>
    </row>
    <row r="4629" spans="1:4" ht="13.5">
      <c r="A4629" s="49">
        <v>96868</v>
      </c>
      <c r="B4629" s="48" t="s">
        <v>5734</v>
      </c>
      <c r="C4629" s="48" t="s">
        <v>32</v>
      </c>
      <c r="D4629" s="50">
        <v>31.63</v>
      </c>
    </row>
    <row r="4630" spans="1:4" ht="13.5">
      <c r="A4630" s="49">
        <v>96869</v>
      </c>
      <c r="B4630" s="48" t="s">
        <v>5735</v>
      </c>
      <c r="C4630" s="48" t="s">
        <v>32</v>
      </c>
      <c r="D4630" s="50">
        <v>37.799999999999997</v>
      </c>
    </row>
    <row r="4631" spans="1:4" ht="13.5">
      <c r="A4631" s="49">
        <v>96870</v>
      </c>
      <c r="B4631" s="48" t="s">
        <v>5736</v>
      </c>
      <c r="C4631" s="48" t="s">
        <v>32</v>
      </c>
      <c r="D4631" s="50">
        <v>60.42</v>
      </c>
    </row>
    <row r="4632" spans="1:4" ht="13.5">
      <c r="A4632" s="49">
        <v>96871</v>
      </c>
      <c r="B4632" s="48" t="s">
        <v>5737</v>
      </c>
      <c r="C4632" s="48" t="s">
        <v>32</v>
      </c>
      <c r="D4632" s="50">
        <v>88.06</v>
      </c>
    </row>
    <row r="4633" spans="1:4" ht="13.5">
      <c r="A4633" s="49">
        <v>96872</v>
      </c>
      <c r="B4633" s="48" t="s">
        <v>5738</v>
      </c>
      <c r="C4633" s="48" t="s">
        <v>32</v>
      </c>
      <c r="D4633" s="50">
        <v>78.510000000000005</v>
      </c>
    </row>
    <row r="4634" spans="1:4" ht="13.5">
      <c r="A4634" s="49">
        <v>96873</v>
      </c>
      <c r="B4634" s="48" t="s">
        <v>5739</v>
      </c>
      <c r="C4634" s="48" t="s">
        <v>32</v>
      </c>
      <c r="D4634" s="50">
        <v>91.3</v>
      </c>
    </row>
    <row r="4635" spans="1:4" ht="13.5">
      <c r="A4635" s="49">
        <v>96874</v>
      </c>
      <c r="B4635" s="48" t="s">
        <v>5740</v>
      </c>
      <c r="C4635" s="48" t="s">
        <v>32</v>
      </c>
      <c r="D4635" s="50">
        <v>95.3</v>
      </c>
    </row>
    <row r="4636" spans="1:4" ht="13.5">
      <c r="A4636" s="49">
        <v>96875</v>
      </c>
      <c r="B4636" s="48" t="s">
        <v>5741</v>
      </c>
      <c r="C4636" s="48" t="s">
        <v>32</v>
      </c>
      <c r="D4636" s="50">
        <v>115.89</v>
      </c>
    </row>
    <row r="4637" spans="1:4" ht="13.5">
      <c r="A4637" s="49">
        <v>96876</v>
      </c>
      <c r="B4637" s="48" t="s">
        <v>5742</v>
      </c>
      <c r="C4637" s="48" t="s">
        <v>32</v>
      </c>
      <c r="D4637" s="50">
        <v>212.7</v>
      </c>
    </row>
    <row r="4638" spans="1:4" ht="13.5">
      <c r="A4638" s="49">
        <v>96877</v>
      </c>
      <c r="B4638" s="48" t="s">
        <v>5743</v>
      </c>
      <c r="C4638" s="48" t="s">
        <v>32</v>
      </c>
      <c r="D4638" s="50">
        <v>227.65</v>
      </c>
    </row>
    <row r="4639" spans="1:4" ht="13.5">
      <c r="A4639" s="49">
        <v>96878</v>
      </c>
      <c r="B4639" s="48" t="s">
        <v>5744</v>
      </c>
      <c r="C4639" s="48" t="s">
        <v>32</v>
      </c>
      <c r="D4639" s="50">
        <v>230.45</v>
      </c>
    </row>
    <row r="4640" spans="1:4" ht="13.5">
      <c r="A4640" s="49">
        <v>96879</v>
      </c>
      <c r="B4640" s="48" t="s">
        <v>5745</v>
      </c>
      <c r="C4640" s="48" t="s">
        <v>32</v>
      </c>
      <c r="D4640" s="50">
        <v>230.36</v>
      </c>
    </row>
    <row r="4641" spans="1:4" ht="13.5">
      <c r="A4641" s="49">
        <v>96880</v>
      </c>
      <c r="B4641" s="48" t="s">
        <v>5746</v>
      </c>
      <c r="C4641" s="48" t="s">
        <v>32</v>
      </c>
      <c r="D4641" s="50">
        <v>263.83999999999997</v>
      </c>
    </row>
    <row r="4642" spans="1:4" ht="13.5">
      <c r="A4642" s="49">
        <v>96881</v>
      </c>
      <c r="B4642" s="48" t="s">
        <v>5747</v>
      </c>
      <c r="C4642" s="48" t="s">
        <v>32</v>
      </c>
      <c r="D4642" s="50">
        <v>279</v>
      </c>
    </row>
    <row r="4643" spans="1:4" ht="13.5">
      <c r="A4643" s="49">
        <v>97425</v>
      </c>
      <c r="B4643" s="48" t="s">
        <v>5748</v>
      </c>
      <c r="C4643" s="48" t="s">
        <v>32</v>
      </c>
      <c r="D4643" s="50">
        <v>27</v>
      </c>
    </row>
    <row r="4644" spans="1:4" ht="13.5">
      <c r="A4644" s="49">
        <v>97426</v>
      </c>
      <c r="B4644" s="48" t="s">
        <v>5749</v>
      </c>
      <c r="C4644" s="48" t="s">
        <v>32</v>
      </c>
      <c r="D4644" s="50">
        <v>33.04</v>
      </c>
    </row>
    <row r="4645" spans="1:4" ht="13.5">
      <c r="A4645" s="49">
        <v>97427</v>
      </c>
      <c r="B4645" s="48" t="s">
        <v>5750</v>
      </c>
      <c r="C4645" s="48" t="s">
        <v>32</v>
      </c>
      <c r="D4645" s="50">
        <v>37.61</v>
      </c>
    </row>
    <row r="4646" spans="1:4" ht="13.5">
      <c r="A4646" s="49">
        <v>97428</v>
      </c>
      <c r="B4646" s="48" t="s">
        <v>5751</v>
      </c>
      <c r="C4646" s="48" t="s">
        <v>32</v>
      </c>
      <c r="D4646" s="50">
        <v>48.2</v>
      </c>
    </row>
    <row r="4647" spans="1:4" ht="13.5">
      <c r="A4647" s="49">
        <v>97429</v>
      </c>
      <c r="B4647" s="48" t="s">
        <v>5752</v>
      </c>
      <c r="C4647" s="48" t="s">
        <v>32</v>
      </c>
      <c r="D4647" s="50">
        <v>57.95</v>
      </c>
    </row>
    <row r="4648" spans="1:4" ht="13.5">
      <c r="A4648" s="49">
        <v>97430</v>
      </c>
      <c r="B4648" s="48" t="s">
        <v>20933</v>
      </c>
      <c r="C4648" s="48" t="s">
        <v>32</v>
      </c>
      <c r="D4648" s="50">
        <v>45.47</v>
      </c>
    </row>
    <row r="4649" spans="1:4" ht="13.5">
      <c r="A4649" s="49">
        <v>97431</v>
      </c>
      <c r="B4649" s="48" t="s">
        <v>20934</v>
      </c>
      <c r="C4649" s="48" t="s">
        <v>32</v>
      </c>
      <c r="D4649" s="50">
        <v>50.34</v>
      </c>
    </row>
    <row r="4650" spans="1:4" ht="13.5">
      <c r="A4650" s="49">
        <v>97432</v>
      </c>
      <c r="B4650" s="48" t="s">
        <v>20935</v>
      </c>
      <c r="C4650" s="48" t="s">
        <v>32</v>
      </c>
      <c r="D4650" s="50">
        <v>56.75</v>
      </c>
    </row>
    <row r="4651" spans="1:4" ht="13.5">
      <c r="A4651" s="49">
        <v>97433</v>
      </c>
      <c r="B4651" s="48" t="s">
        <v>20936</v>
      </c>
      <c r="C4651" s="48" t="s">
        <v>32</v>
      </c>
      <c r="D4651" s="50">
        <v>111.32</v>
      </c>
    </row>
    <row r="4652" spans="1:4" ht="13.5">
      <c r="A4652" s="49">
        <v>97434</v>
      </c>
      <c r="B4652" s="48" t="s">
        <v>20937</v>
      </c>
      <c r="C4652" s="48" t="s">
        <v>32</v>
      </c>
      <c r="D4652" s="50">
        <v>113.69</v>
      </c>
    </row>
    <row r="4653" spans="1:4" ht="13.5">
      <c r="A4653" s="49">
        <v>97435</v>
      </c>
      <c r="B4653" s="48" t="s">
        <v>20938</v>
      </c>
      <c r="C4653" s="48" t="s">
        <v>32</v>
      </c>
      <c r="D4653" s="50">
        <v>130.44999999999999</v>
      </c>
    </row>
    <row r="4654" spans="1:4" ht="13.5">
      <c r="A4654" s="49">
        <v>97436</v>
      </c>
      <c r="B4654" s="48" t="s">
        <v>20939</v>
      </c>
      <c r="C4654" s="48" t="s">
        <v>32</v>
      </c>
      <c r="D4654" s="50">
        <v>134.99</v>
      </c>
    </row>
    <row r="4655" spans="1:4" ht="13.5">
      <c r="A4655" s="49">
        <v>97437</v>
      </c>
      <c r="B4655" s="48" t="s">
        <v>20940</v>
      </c>
      <c r="C4655" s="48" t="s">
        <v>32</v>
      </c>
      <c r="D4655" s="50">
        <v>149.46</v>
      </c>
    </row>
    <row r="4656" spans="1:4" ht="13.5">
      <c r="A4656" s="49">
        <v>97438</v>
      </c>
      <c r="B4656" s="48" t="s">
        <v>20941</v>
      </c>
      <c r="C4656" s="48" t="s">
        <v>32</v>
      </c>
      <c r="D4656" s="50">
        <v>154.32</v>
      </c>
    </row>
    <row r="4657" spans="1:4" ht="13.5">
      <c r="A4657" s="49">
        <v>97439</v>
      </c>
      <c r="B4657" s="48" t="s">
        <v>20942</v>
      </c>
      <c r="C4657" s="48" t="s">
        <v>32</v>
      </c>
      <c r="D4657" s="50">
        <v>171.05</v>
      </c>
    </row>
    <row r="4658" spans="1:4" ht="13.5">
      <c r="A4658" s="49">
        <v>97440</v>
      </c>
      <c r="B4658" s="48" t="s">
        <v>20943</v>
      </c>
      <c r="C4658" s="48" t="s">
        <v>32</v>
      </c>
      <c r="D4658" s="50">
        <v>205.94</v>
      </c>
    </row>
    <row r="4659" spans="1:4" ht="13.5">
      <c r="A4659" s="49">
        <v>97442</v>
      </c>
      <c r="B4659" s="48" t="s">
        <v>20944</v>
      </c>
      <c r="C4659" s="48" t="s">
        <v>32</v>
      </c>
      <c r="D4659" s="50">
        <v>226.96</v>
      </c>
    </row>
    <row r="4660" spans="1:4" ht="13.5">
      <c r="A4660" s="49">
        <v>97443</v>
      </c>
      <c r="B4660" s="48" t="s">
        <v>20945</v>
      </c>
      <c r="C4660" s="48" t="s">
        <v>32</v>
      </c>
      <c r="D4660" s="50">
        <v>117.45</v>
      </c>
    </row>
    <row r="4661" spans="1:4" ht="13.5">
      <c r="A4661" s="49">
        <v>97444</v>
      </c>
      <c r="B4661" s="48" t="s">
        <v>20946</v>
      </c>
      <c r="C4661" s="48" t="s">
        <v>32</v>
      </c>
      <c r="D4661" s="50">
        <v>140.56</v>
      </c>
    </row>
    <row r="4662" spans="1:4" ht="13.5">
      <c r="A4662" s="49">
        <v>97446</v>
      </c>
      <c r="B4662" s="48" t="s">
        <v>20947</v>
      </c>
      <c r="C4662" s="48" t="s">
        <v>32</v>
      </c>
      <c r="D4662" s="50">
        <v>251.09</v>
      </c>
    </row>
    <row r="4663" spans="1:4" ht="13.5">
      <c r="A4663" s="49">
        <v>97447</v>
      </c>
      <c r="B4663" s="48" t="s">
        <v>20948</v>
      </c>
      <c r="C4663" s="48" t="s">
        <v>32</v>
      </c>
      <c r="D4663" s="50">
        <v>251.09</v>
      </c>
    </row>
    <row r="4664" spans="1:4" ht="13.5">
      <c r="A4664" s="49">
        <v>97449</v>
      </c>
      <c r="B4664" s="48" t="s">
        <v>20949</v>
      </c>
      <c r="C4664" s="48" t="s">
        <v>32</v>
      </c>
      <c r="D4664" s="50">
        <v>266.81</v>
      </c>
    </row>
    <row r="4665" spans="1:4" ht="13.5">
      <c r="A4665" s="49">
        <v>97450</v>
      </c>
      <c r="B4665" s="48" t="s">
        <v>20950</v>
      </c>
      <c r="C4665" s="48" t="s">
        <v>32</v>
      </c>
      <c r="D4665" s="50">
        <v>329.74</v>
      </c>
    </row>
    <row r="4666" spans="1:4" ht="13.5">
      <c r="A4666" s="49">
        <v>97452</v>
      </c>
      <c r="B4666" s="48" t="s">
        <v>20951</v>
      </c>
      <c r="C4666" s="48" t="s">
        <v>32</v>
      </c>
      <c r="D4666" s="50">
        <v>195.26</v>
      </c>
    </row>
    <row r="4667" spans="1:4" ht="13.5">
      <c r="A4667" s="49">
        <v>97453</v>
      </c>
      <c r="B4667" s="48" t="s">
        <v>20952</v>
      </c>
      <c r="C4667" s="48" t="s">
        <v>32</v>
      </c>
      <c r="D4667" s="50">
        <v>208.45</v>
      </c>
    </row>
    <row r="4668" spans="1:4" ht="13.5">
      <c r="A4668" s="49">
        <v>97454</v>
      </c>
      <c r="B4668" s="48" t="s">
        <v>20953</v>
      </c>
      <c r="C4668" s="48" t="s">
        <v>32</v>
      </c>
      <c r="D4668" s="50">
        <v>343.59</v>
      </c>
    </row>
    <row r="4669" spans="1:4" ht="13.5">
      <c r="A4669" s="49">
        <v>97455</v>
      </c>
      <c r="B4669" s="48" t="s">
        <v>20954</v>
      </c>
      <c r="C4669" s="48" t="s">
        <v>32</v>
      </c>
      <c r="D4669" s="50">
        <v>364.69</v>
      </c>
    </row>
    <row r="4670" spans="1:4" ht="13.5">
      <c r="A4670" s="49">
        <v>97456</v>
      </c>
      <c r="B4670" s="48" t="s">
        <v>20955</v>
      </c>
      <c r="C4670" s="48" t="s">
        <v>32</v>
      </c>
      <c r="D4670" s="50">
        <v>803.21</v>
      </c>
    </row>
    <row r="4671" spans="1:4" ht="13.5">
      <c r="A4671" s="49">
        <v>97457</v>
      </c>
      <c r="B4671" s="48" t="s">
        <v>20956</v>
      </c>
      <c r="C4671" s="48" t="s">
        <v>32</v>
      </c>
      <c r="D4671" s="50">
        <v>708.56</v>
      </c>
    </row>
    <row r="4672" spans="1:4" ht="13.5">
      <c r="A4672" s="49">
        <v>97458</v>
      </c>
      <c r="B4672" s="48" t="s">
        <v>20957</v>
      </c>
      <c r="C4672" s="48" t="s">
        <v>32</v>
      </c>
      <c r="D4672" s="50">
        <v>313.27</v>
      </c>
    </row>
    <row r="4673" spans="1:4" ht="13.5">
      <c r="A4673" s="49">
        <v>97459</v>
      </c>
      <c r="B4673" s="48" t="s">
        <v>20958</v>
      </c>
      <c r="C4673" s="48" t="s">
        <v>32</v>
      </c>
      <c r="D4673" s="50">
        <v>552.77</v>
      </c>
    </row>
    <row r="4674" spans="1:4" ht="13.5">
      <c r="A4674" s="49">
        <v>97460</v>
      </c>
      <c r="B4674" s="48" t="s">
        <v>20959</v>
      </c>
      <c r="C4674" s="48" t="s">
        <v>32</v>
      </c>
      <c r="D4674" s="50">
        <v>862.04</v>
      </c>
    </row>
    <row r="4675" spans="1:4" ht="13.5">
      <c r="A4675" s="49">
        <v>97461</v>
      </c>
      <c r="B4675" s="48" t="s">
        <v>20960</v>
      </c>
      <c r="C4675" s="48" t="s">
        <v>32</v>
      </c>
      <c r="D4675" s="50">
        <v>37.26</v>
      </c>
    </row>
    <row r="4676" spans="1:4" ht="13.5">
      <c r="A4676" s="49">
        <v>97462</v>
      </c>
      <c r="B4676" s="48" t="s">
        <v>20961</v>
      </c>
      <c r="C4676" s="48" t="s">
        <v>32</v>
      </c>
      <c r="D4676" s="50">
        <v>30.49</v>
      </c>
    </row>
    <row r="4677" spans="1:4" ht="13.5">
      <c r="A4677" s="49">
        <v>97464</v>
      </c>
      <c r="B4677" s="48" t="s">
        <v>20962</v>
      </c>
      <c r="C4677" s="48" t="s">
        <v>32</v>
      </c>
      <c r="D4677" s="50">
        <v>54.25</v>
      </c>
    </row>
    <row r="4678" spans="1:4" ht="13.5">
      <c r="A4678" s="49">
        <v>97465</v>
      </c>
      <c r="B4678" s="48" t="s">
        <v>20963</v>
      </c>
      <c r="C4678" s="48" t="s">
        <v>32</v>
      </c>
      <c r="D4678" s="50">
        <v>65.67</v>
      </c>
    </row>
    <row r="4679" spans="1:4" ht="13.5">
      <c r="A4679" s="49">
        <v>97467</v>
      </c>
      <c r="B4679" s="48" t="s">
        <v>20964</v>
      </c>
      <c r="C4679" s="48" t="s">
        <v>32</v>
      </c>
      <c r="D4679" s="50">
        <v>68.930000000000007</v>
      </c>
    </row>
    <row r="4680" spans="1:4" ht="13.5">
      <c r="A4680" s="49">
        <v>97468</v>
      </c>
      <c r="B4680" s="48" t="s">
        <v>20965</v>
      </c>
      <c r="C4680" s="48" t="s">
        <v>32</v>
      </c>
      <c r="D4680" s="50">
        <v>83.55</v>
      </c>
    </row>
    <row r="4681" spans="1:4" ht="13.5">
      <c r="A4681" s="49">
        <v>97470</v>
      </c>
      <c r="B4681" s="48" t="s">
        <v>20966</v>
      </c>
      <c r="C4681" s="48" t="s">
        <v>32</v>
      </c>
      <c r="D4681" s="50">
        <v>103.16</v>
      </c>
    </row>
    <row r="4682" spans="1:4" ht="13.5">
      <c r="A4682" s="49">
        <v>97471</v>
      </c>
      <c r="B4682" s="48" t="s">
        <v>20967</v>
      </c>
      <c r="C4682" s="48" t="s">
        <v>32</v>
      </c>
      <c r="D4682" s="50">
        <v>126.27</v>
      </c>
    </row>
    <row r="4683" spans="1:4" ht="13.5">
      <c r="A4683" s="49">
        <v>97474</v>
      </c>
      <c r="B4683" s="48" t="s">
        <v>20968</v>
      </c>
      <c r="C4683" s="48" t="s">
        <v>32</v>
      </c>
      <c r="D4683" s="50">
        <v>192.52</v>
      </c>
    </row>
    <row r="4684" spans="1:4" ht="13.5">
      <c r="A4684" s="49">
        <v>97475</v>
      </c>
      <c r="B4684" s="48" t="s">
        <v>20969</v>
      </c>
      <c r="C4684" s="48" t="s">
        <v>32</v>
      </c>
      <c r="D4684" s="50">
        <v>239.24</v>
      </c>
    </row>
    <row r="4685" spans="1:4" ht="13.5">
      <c r="A4685" s="49">
        <v>97477</v>
      </c>
      <c r="B4685" s="48" t="s">
        <v>20970</v>
      </c>
      <c r="C4685" s="48" t="s">
        <v>32</v>
      </c>
      <c r="D4685" s="50">
        <v>257.39</v>
      </c>
    </row>
    <row r="4686" spans="1:4" ht="13.5">
      <c r="A4686" s="49">
        <v>97478</v>
      </c>
      <c r="B4686" s="48" t="s">
        <v>20971</v>
      </c>
      <c r="C4686" s="48" t="s">
        <v>32</v>
      </c>
      <c r="D4686" s="50">
        <v>320.32</v>
      </c>
    </row>
    <row r="4687" spans="1:4" ht="13.5">
      <c r="A4687" s="49">
        <v>97479</v>
      </c>
      <c r="B4687" s="48" t="s">
        <v>20972</v>
      </c>
      <c r="C4687" s="48" t="s">
        <v>32</v>
      </c>
      <c r="D4687" s="50">
        <v>60.56</v>
      </c>
    </row>
    <row r="4688" spans="1:4" ht="13.5">
      <c r="A4688" s="49">
        <v>97480</v>
      </c>
      <c r="B4688" s="48" t="s">
        <v>20973</v>
      </c>
      <c r="C4688" s="48" t="s">
        <v>32</v>
      </c>
      <c r="D4688" s="50">
        <v>60.56</v>
      </c>
    </row>
    <row r="4689" spans="1:4" ht="13.5">
      <c r="A4689" s="49">
        <v>97481</v>
      </c>
      <c r="B4689" s="48" t="s">
        <v>20974</v>
      </c>
      <c r="C4689" s="48" t="s">
        <v>32</v>
      </c>
      <c r="D4689" s="50">
        <v>88.7</v>
      </c>
    </row>
    <row r="4690" spans="1:4" ht="13.5">
      <c r="A4690" s="49">
        <v>97482</v>
      </c>
      <c r="B4690" s="48" t="s">
        <v>20975</v>
      </c>
      <c r="C4690" s="48" t="s">
        <v>32</v>
      </c>
      <c r="D4690" s="50">
        <v>88.7</v>
      </c>
    </row>
    <row r="4691" spans="1:4" ht="13.5">
      <c r="A4691" s="49">
        <v>97483</v>
      </c>
      <c r="B4691" s="48" t="s">
        <v>20976</v>
      </c>
      <c r="C4691" s="48" t="s">
        <v>32</v>
      </c>
      <c r="D4691" s="50">
        <v>125.27</v>
      </c>
    </row>
    <row r="4692" spans="1:4" ht="13.5">
      <c r="A4692" s="49">
        <v>97484</v>
      </c>
      <c r="B4692" s="48" t="s">
        <v>20977</v>
      </c>
      <c r="C4692" s="48" t="s">
        <v>32</v>
      </c>
      <c r="D4692" s="50">
        <v>125.27</v>
      </c>
    </row>
    <row r="4693" spans="1:4" ht="13.5">
      <c r="A4693" s="49">
        <v>97485</v>
      </c>
      <c r="B4693" s="48" t="s">
        <v>20978</v>
      </c>
      <c r="C4693" s="48" t="s">
        <v>32</v>
      </c>
      <c r="D4693" s="50">
        <v>173.87</v>
      </c>
    </row>
    <row r="4694" spans="1:4" ht="13.5">
      <c r="A4694" s="49">
        <v>97486</v>
      </c>
      <c r="B4694" s="48" t="s">
        <v>20979</v>
      </c>
      <c r="C4694" s="48" t="s">
        <v>32</v>
      </c>
      <c r="D4694" s="50">
        <v>187.06</v>
      </c>
    </row>
    <row r="4695" spans="1:4" ht="13.5">
      <c r="A4695" s="49">
        <v>97487</v>
      </c>
      <c r="B4695" s="48" t="s">
        <v>20980</v>
      </c>
      <c r="C4695" s="48" t="s">
        <v>32</v>
      </c>
      <c r="D4695" s="50">
        <v>325.83999999999997</v>
      </c>
    </row>
    <row r="4696" spans="1:4" ht="13.5">
      <c r="A4696" s="49">
        <v>97488</v>
      </c>
      <c r="B4696" s="48" t="s">
        <v>20981</v>
      </c>
      <c r="C4696" s="48" t="s">
        <v>32</v>
      </c>
      <c r="D4696" s="50">
        <v>346.94</v>
      </c>
    </row>
    <row r="4697" spans="1:4" ht="13.5">
      <c r="A4697" s="49">
        <v>97489</v>
      </c>
      <c r="B4697" s="48" t="s">
        <v>20982</v>
      </c>
      <c r="C4697" s="48" t="s">
        <v>32</v>
      </c>
      <c r="D4697" s="50">
        <v>789.06</v>
      </c>
    </row>
    <row r="4698" spans="1:4" ht="13.5">
      <c r="A4698" s="49">
        <v>97490</v>
      </c>
      <c r="B4698" s="48" t="s">
        <v>20983</v>
      </c>
      <c r="C4698" s="48" t="s">
        <v>32</v>
      </c>
      <c r="D4698" s="50">
        <v>694.41</v>
      </c>
    </row>
    <row r="4699" spans="1:4" ht="13.5">
      <c r="A4699" s="49">
        <v>97491</v>
      </c>
      <c r="B4699" s="48" t="s">
        <v>20984</v>
      </c>
      <c r="C4699" s="48" t="s">
        <v>32</v>
      </c>
      <c r="D4699" s="50">
        <v>94.73</v>
      </c>
    </row>
    <row r="4700" spans="1:4" ht="13.5">
      <c r="A4700" s="49">
        <v>97492</v>
      </c>
      <c r="B4700" s="48" t="s">
        <v>20985</v>
      </c>
      <c r="C4700" s="48" t="s">
        <v>32</v>
      </c>
      <c r="D4700" s="50">
        <v>140.29</v>
      </c>
    </row>
    <row r="4701" spans="1:4" ht="13.5">
      <c r="A4701" s="49">
        <v>97493</v>
      </c>
      <c r="B4701" s="48" t="s">
        <v>20986</v>
      </c>
      <c r="C4701" s="48" t="s">
        <v>32</v>
      </c>
      <c r="D4701" s="50">
        <v>181.29</v>
      </c>
    </row>
    <row r="4702" spans="1:4" ht="13.5">
      <c r="A4702" s="49">
        <v>97494</v>
      </c>
      <c r="B4702" s="48" t="s">
        <v>20987</v>
      </c>
      <c r="C4702" s="48" t="s">
        <v>32</v>
      </c>
      <c r="D4702" s="50">
        <v>284.7</v>
      </c>
    </row>
    <row r="4703" spans="1:4" ht="13.5">
      <c r="A4703" s="49">
        <v>97495</v>
      </c>
      <c r="B4703" s="48" t="s">
        <v>20988</v>
      </c>
      <c r="C4703" s="48" t="s">
        <v>32</v>
      </c>
      <c r="D4703" s="50">
        <v>529.05999999999995</v>
      </c>
    </row>
    <row r="4704" spans="1:4" ht="13.5">
      <c r="A4704" s="49">
        <v>97496</v>
      </c>
      <c r="B4704" s="48" t="s">
        <v>20989</v>
      </c>
      <c r="C4704" s="48" t="s">
        <v>32</v>
      </c>
      <c r="D4704" s="50">
        <v>843.21</v>
      </c>
    </row>
    <row r="4705" spans="1:4" ht="13.5">
      <c r="A4705" s="49">
        <v>97499</v>
      </c>
      <c r="B4705" s="48" t="s">
        <v>20990</v>
      </c>
      <c r="C4705" s="48" t="s">
        <v>32</v>
      </c>
      <c r="D4705" s="50">
        <v>34.950000000000003</v>
      </c>
    </row>
    <row r="4706" spans="1:4" ht="13.5">
      <c r="A4706" s="49">
        <v>97500</v>
      </c>
      <c r="B4706" s="48" t="s">
        <v>20991</v>
      </c>
      <c r="C4706" s="48" t="s">
        <v>32</v>
      </c>
      <c r="D4706" s="50">
        <v>28.18</v>
      </c>
    </row>
    <row r="4707" spans="1:4" ht="13.5">
      <c r="A4707" s="49">
        <v>97502</v>
      </c>
      <c r="B4707" s="48" t="s">
        <v>20992</v>
      </c>
      <c r="C4707" s="48" t="s">
        <v>32</v>
      </c>
      <c r="D4707" s="50">
        <v>49.97</v>
      </c>
    </row>
    <row r="4708" spans="1:4" ht="13.5">
      <c r="A4708" s="49">
        <v>97503</v>
      </c>
      <c r="B4708" s="48" t="s">
        <v>20993</v>
      </c>
      <c r="C4708" s="48" t="s">
        <v>32</v>
      </c>
      <c r="D4708" s="50">
        <v>61.59</v>
      </c>
    </row>
    <row r="4709" spans="1:4" ht="13.5">
      <c r="A4709" s="49">
        <v>97505</v>
      </c>
      <c r="B4709" s="48" t="s">
        <v>20994</v>
      </c>
      <c r="C4709" s="48" t="s">
        <v>32</v>
      </c>
      <c r="D4709" s="50">
        <v>62.9</v>
      </c>
    </row>
    <row r="4710" spans="1:4" ht="13.5">
      <c r="A4710" s="49">
        <v>97506</v>
      </c>
      <c r="B4710" s="48" t="s">
        <v>20995</v>
      </c>
      <c r="C4710" s="48" t="s">
        <v>32</v>
      </c>
      <c r="D4710" s="50">
        <v>77.52</v>
      </c>
    </row>
    <row r="4711" spans="1:4" ht="13.5">
      <c r="A4711" s="49">
        <v>97508</v>
      </c>
      <c r="B4711" s="48" t="s">
        <v>20996</v>
      </c>
      <c r="C4711" s="48" t="s">
        <v>32</v>
      </c>
      <c r="D4711" s="50">
        <v>94.62</v>
      </c>
    </row>
    <row r="4712" spans="1:4" ht="13.5">
      <c r="A4712" s="49">
        <v>97509</v>
      </c>
      <c r="B4712" s="48" t="s">
        <v>20997</v>
      </c>
      <c r="C4712" s="48" t="s">
        <v>32</v>
      </c>
      <c r="D4712" s="50">
        <v>117.73</v>
      </c>
    </row>
    <row r="4713" spans="1:4" ht="13.5">
      <c r="A4713" s="49">
        <v>97511</v>
      </c>
      <c r="B4713" s="48" t="s">
        <v>20998</v>
      </c>
      <c r="C4713" s="48" t="s">
        <v>32</v>
      </c>
      <c r="D4713" s="50">
        <v>180.26</v>
      </c>
    </row>
    <row r="4714" spans="1:4" ht="13.5">
      <c r="A4714" s="49">
        <v>97512</v>
      </c>
      <c r="B4714" s="48" t="s">
        <v>20999</v>
      </c>
      <c r="C4714" s="48" t="s">
        <v>32</v>
      </c>
      <c r="D4714" s="50">
        <v>226.98</v>
      </c>
    </row>
    <row r="4715" spans="1:4" ht="13.5">
      <c r="A4715" s="49">
        <v>97514</v>
      </c>
      <c r="B4715" s="48" t="s">
        <v>21000</v>
      </c>
      <c r="C4715" s="48" t="s">
        <v>32</v>
      </c>
      <c r="D4715" s="50">
        <v>241.27</v>
      </c>
    </row>
    <row r="4716" spans="1:4" ht="13.5">
      <c r="A4716" s="49">
        <v>97515</v>
      </c>
      <c r="B4716" s="48" t="s">
        <v>21001</v>
      </c>
      <c r="C4716" s="48" t="s">
        <v>32</v>
      </c>
      <c r="D4716" s="50">
        <v>304.2</v>
      </c>
    </row>
    <row r="4717" spans="1:4" ht="13.5">
      <c r="A4717" s="49">
        <v>97517</v>
      </c>
      <c r="B4717" s="48" t="s">
        <v>21002</v>
      </c>
      <c r="C4717" s="48" t="s">
        <v>32</v>
      </c>
      <c r="D4717" s="50">
        <v>57.11</v>
      </c>
    </row>
    <row r="4718" spans="1:4" ht="13.5">
      <c r="A4718" s="49">
        <v>97518</v>
      </c>
      <c r="B4718" s="48" t="s">
        <v>21003</v>
      </c>
      <c r="C4718" s="48" t="s">
        <v>32</v>
      </c>
      <c r="D4718" s="50">
        <v>57.11</v>
      </c>
    </row>
    <row r="4719" spans="1:4" ht="13.5">
      <c r="A4719" s="49">
        <v>97519</v>
      </c>
      <c r="B4719" s="48" t="s">
        <v>21004</v>
      </c>
      <c r="C4719" s="48" t="s">
        <v>32</v>
      </c>
      <c r="D4719" s="50">
        <v>82.61</v>
      </c>
    </row>
    <row r="4720" spans="1:4" ht="13.5">
      <c r="A4720" s="49">
        <v>97520</v>
      </c>
      <c r="B4720" s="48" t="s">
        <v>21005</v>
      </c>
      <c r="C4720" s="48" t="s">
        <v>32</v>
      </c>
      <c r="D4720" s="50">
        <v>82.61</v>
      </c>
    </row>
    <row r="4721" spans="1:4" ht="13.5">
      <c r="A4721" s="49">
        <v>97521</v>
      </c>
      <c r="B4721" s="48" t="s">
        <v>21006</v>
      </c>
      <c r="C4721" s="48" t="s">
        <v>32</v>
      </c>
      <c r="D4721" s="50">
        <v>116.2</v>
      </c>
    </row>
    <row r="4722" spans="1:4" ht="13.5">
      <c r="A4722" s="49">
        <v>97522</v>
      </c>
      <c r="B4722" s="48" t="s">
        <v>21007</v>
      </c>
      <c r="C4722" s="48" t="s">
        <v>32</v>
      </c>
      <c r="D4722" s="50">
        <v>116.2</v>
      </c>
    </row>
    <row r="4723" spans="1:4" ht="13.5">
      <c r="A4723" s="49">
        <v>97523</v>
      </c>
      <c r="B4723" s="48" t="s">
        <v>21008</v>
      </c>
      <c r="C4723" s="48" t="s">
        <v>32</v>
      </c>
      <c r="D4723" s="50">
        <v>161.06</v>
      </c>
    </row>
    <row r="4724" spans="1:4" ht="13.5">
      <c r="A4724" s="49">
        <v>97524</v>
      </c>
      <c r="B4724" s="48" t="s">
        <v>21009</v>
      </c>
      <c r="C4724" s="48" t="s">
        <v>32</v>
      </c>
      <c r="D4724" s="50">
        <v>174.25</v>
      </c>
    </row>
    <row r="4725" spans="1:4" ht="13.5">
      <c r="A4725" s="49">
        <v>97525</v>
      </c>
      <c r="B4725" s="48" t="s">
        <v>21010</v>
      </c>
      <c r="C4725" s="48" t="s">
        <v>32</v>
      </c>
      <c r="D4725" s="50">
        <v>307.36</v>
      </c>
    </row>
    <row r="4726" spans="1:4" ht="13.5">
      <c r="A4726" s="49">
        <v>97526</v>
      </c>
      <c r="B4726" s="48" t="s">
        <v>21011</v>
      </c>
      <c r="C4726" s="48" t="s">
        <v>32</v>
      </c>
      <c r="D4726" s="50">
        <v>328.46</v>
      </c>
    </row>
    <row r="4727" spans="1:4" ht="13.5">
      <c r="A4727" s="49">
        <v>97527</v>
      </c>
      <c r="B4727" s="48" t="s">
        <v>21012</v>
      </c>
      <c r="C4727" s="48" t="s">
        <v>32</v>
      </c>
      <c r="D4727" s="50">
        <v>764.94</v>
      </c>
    </row>
    <row r="4728" spans="1:4" ht="13.5">
      <c r="A4728" s="49">
        <v>97528</v>
      </c>
      <c r="B4728" s="48" t="s">
        <v>21013</v>
      </c>
      <c r="C4728" s="48" t="s">
        <v>32</v>
      </c>
      <c r="D4728" s="50">
        <v>670.29</v>
      </c>
    </row>
    <row r="4729" spans="1:4" ht="13.5">
      <c r="A4729" s="49">
        <v>97529</v>
      </c>
      <c r="B4729" s="48" t="s">
        <v>21014</v>
      </c>
      <c r="C4729" s="48" t="s">
        <v>32</v>
      </c>
      <c r="D4729" s="50">
        <v>90.19</v>
      </c>
    </row>
    <row r="4730" spans="1:4" ht="13.5">
      <c r="A4730" s="49">
        <v>97530</v>
      </c>
      <c r="B4730" s="48" t="s">
        <v>21015</v>
      </c>
      <c r="C4730" s="48" t="s">
        <v>32</v>
      </c>
      <c r="D4730" s="50">
        <v>132.16</v>
      </c>
    </row>
    <row r="4731" spans="1:4" ht="13.5">
      <c r="A4731" s="49">
        <v>97531</v>
      </c>
      <c r="B4731" s="48" t="s">
        <v>21016</v>
      </c>
      <c r="C4731" s="48" t="s">
        <v>32</v>
      </c>
      <c r="D4731" s="50">
        <v>169.16</v>
      </c>
    </row>
    <row r="4732" spans="1:4" ht="13.5">
      <c r="A4732" s="49">
        <v>97532</v>
      </c>
      <c r="B4732" s="48" t="s">
        <v>21017</v>
      </c>
      <c r="C4732" s="48" t="s">
        <v>32</v>
      </c>
      <c r="D4732" s="50">
        <v>267.63</v>
      </c>
    </row>
    <row r="4733" spans="1:4" ht="13.5">
      <c r="A4733" s="49">
        <v>97533</v>
      </c>
      <c r="B4733" s="48" t="s">
        <v>21018</v>
      </c>
      <c r="C4733" s="48" t="s">
        <v>32</v>
      </c>
      <c r="D4733" s="50">
        <v>508.07</v>
      </c>
    </row>
    <row r="4734" spans="1:4" ht="13.5">
      <c r="A4734" s="49">
        <v>97534</v>
      </c>
      <c r="B4734" s="48" t="s">
        <v>21019</v>
      </c>
      <c r="C4734" s="48" t="s">
        <v>32</v>
      </c>
      <c r="D4734" s="50">
        <v>811.04</v>
      </c>
    </row>
    <row r="4735" spans="1:4" ht="13.5">
      <c r="A4735" s="49">
        <v>97537</v>
      </c>
      <c r="B4735" s="48" t="s">
        <v>21020</v>
      </c>
      <c r="C4735" s="48" t="s">
        <v>32</v>
      </c>
      <c r="D4735" s="50">
        <v>25.62</v>
      </c>
    </row>
    <row r="4736" spans="1:4" ht="13.5">
      <c r="A4736" s="49">
        <v>97540</v>
      </c>
      <c r="B4736" s="48" t="s">
        <v>21021</v>
      </c>
      <c r="C4736" s="48" t="s">
        <v>32</v>
      </c>
      <c r="D4736" s="50">
        <v>33.42</v>
      </c>
    </row>
    <row r="4737" spans="1:4" ht="13.5">
      <c r="A4737" s="49">
        <v>97541</v>
      </c>
      <c r="B4737" s="48" t="s">
        <v>21022</v>
      </c>
      <c r="C4737" s="48" t="s">
        <v>32</v>
      </c>
      <c r="D4737" s="50">
        <v>27.79</v>
      </c>
    </row>
    <row r="4738" spans="1:4" ht="13.5">
      <c r="A4738" s="49">
        <v>97543</v>
      </c>
      <c r="B4738" s="48" t="s">
        <v>21023</v>
      </c>
      <c r="C4738" s="48" t="s">
        <v>32</v>
      </c>
      <c r="D4738" s="50">
        <v>52.89</v>
      </c>
    </row>
    <row r="4739" spans="1:4" ht="13.5">
      <c r="A4739" s="49">
        <v>97544</v>
      </c>
      <c r="B4739" s="48" t="s">
        <v>21024</v>
      </c>
      <c r="C4739" s="48" t="s">
        <v>32</v>
      </c>
      <c r="D4739" s="50">
        <v>46.12</v>
      </c>
    </row>
    <row r="4740" spans="1:4" ht="13.5">
      <c r="A4740" s="49">
        <v>97546</v>
      </c>
      <c r="B4740" s="48" t="s">
        <v>21025</v>
      </c>
      <c r="C4740" s="48" t="s">
        <v>32</v>
      </c>
      <c r="D4740" s="50">
        <v>35.57</v>
      </c>
    </row>
    <row r="4741" spans="1:4" ht="13.5">
      <c r="A4741" s="49">
        <v>97547</v>
      </c>
      <c r="B4741" s="48" t="s">
        <v>21026</v>
      </c>
      <c r="C4741" s="48" t="s">
        <v>32</v>
      </c>
      <c r="D4741" s="50">
        <v>35.57</v>
      </c>
    </row>
    <row r="4742" spans="1:4" ht="13.5">
      <c r="A4742" s="49">
        <v>97548</v>
      </c>
      <c r="B4742" s="48" t="s">
        <v>21027</v>
      </c>
      <c r="C4742" s="48" t="s">
        <v>32</v>
      </c>
      <c r="D4742" s="50">
        <v>51.82</v>
      </c>
    </row>
    <row r="4743" spans="1:4" ht="13.5">
      <c r="A4743" s="49">
        <v>97549</v>
      </c>
      <c r="B4743" s="48" t="s">
        <v>21028</v>
      </c>
      <c r="C4743" s="48" t="s">
        <v>32</v>
      </c>
      <c r="D4743" s="50">
        <v>51.82</v>
      </c>
    </row>
    <row r="4744" spans="1:4" ht="13.5">
      <c r="A4744" s="49">
        <v>97550</v>
      </c>
      <c r="B4744" s="48" t="s">
        <v>21029</v>
      </c>
      <c r="C4744" s="48" t="s">
        <v>32</v>
      </c>
      <c r="D4744" s="50">
        <v>84.06</v>
      </c>
    </row>
    <row r="4745" spans="1:4" ht="13.5">
      <c r="A4745" s="49">
        <v>97551</v>
      </c>
      <c r="B4745" s="48" t="s">
        <v>21030</v>
      </c>
      <c r="C4745" s="48" t="s">
        <v>32</v>
      </c>
      <c r="D4745" s="50">
        <v>84.06</v>
      </c>
    </row>
    <row r="4746" spans="1:4" ht="13.5">
      <c r="A4746" s="49">
        <v>97552</v>
      </c>
      <c r="B4746" s="48" t="s">
        <v>21031</v>
      </c>
      <c r="C4746" s="48" t="s">
        <v>32</v>
      </c>
      <c r="D4746" s="50">
        <v>52.32</v>
      </c>
    </row>
    <row r="4747" spans="1:4" ht="13.5">
      <c r="A4747" s="49">
        <v>97553</v>
      </c>
      <c r="B4747" s="48" t="s">
        <v>21032</v>
      </c>
      <c r="C4747" s="48" t="s">
        <v>32</v>
      </c>
      <c r="D4747" s="50">
        <v>73.98</v>
      </c>
    </row>
    <row r="4748" spans="1:4" ht="13.5">
      <c r="A4748" s="49">
        <v>97554</v>
      </c>
      <c r="B4748" s="48" t="s">
        <v>21033</v>
      </c>
      <c r="C4748" s="48" t="s">
        <v>32</v>
      </c>
      <c r="D4748" s="50">
        <v>126.16</v>
      </c>
    </row>
    <row r="4749" spans="1:4" ht="13.5">
      <c r="A4749" s="49">
        <v>98602</v>
      </c>
      <c r="B4749" s="48" t="s">
        <v>5753</v>
      </c>
      <c r="C4749" s="48" t="s">
        <v>32</v>
      </c>
      <c r="D4749" s="50">
        <v>20.91</v>
      </c>
    </row>
    <row r="4750" spans="1:4" ht="13.5">
      <c r="A4750" s="49">
        <v>97895</v>
      </c>
      <c r="B4750" s="48" t="s">
        <v>21034</v>
      </c>
      <c r="C4750" s="48" t="s">
        <v>32</v>
      </c>
      <c r="D4750" s="50">
        <v>110.71</v>
      </c>
    </row>
    <row r="4751" spans="1:4" ht="13.5">
      <c r="A4751" s="49">
        <v>97896</v>
      </c>
      <c r="B4751" s="48" t="s">
        <v>21035</v>
      </c>
      <c r="C4751" s="48" t="s">
        <v>32</v>
      </c>
      <c r="D4751" s="50">
        <v>205.7</v>
      </c>
    </row>
    <row r="4752" spans="1:4" ht="13.5">
      <c r="A4752" s="49">
        <v>97897</v>
      </c>
      <c r="B4752" s="48" t="s">
        <v>21036</v>
      </c>
      <c r="C4752" s="48" t="s">
        <v>32</v>
      </c>
      <c r="D4752" s="50">
        <v>269.79000000000002</v>
      </c>
    </row>
    <row r="4753" spans="1:4" ht="13.5">
      <c r="A4753" s="49">
        <v>97898</v>
      </c>
      <c r="B4753" s="48" t="s">
        <v>21037</v>
      </c>
      <c r="C4753" s="48" t="s">
        <v>32</v>
      </c>
      <c r="D4753" s="50">
        <v>564.72</v>
      </c>
    </row>
    <row r="4754" spans="1:4" ht="13.5">
      <c r="A4754" s="49">
        <v>97900</v>
      </c>
      <c r="B4754" s="48" t="s">
        <v>21038</v>
      </c>
      <c r="C4754" s="48" t="s">
        <v>32</v>
      </c>
      <c r="D4754" s="50">
        <v>171.15</v>
      </c>
    </row>
    <row r="4755" spans="1:4" ht="13.5">
      <c r="A4755" s="49">
        <v>97901</v>
      </c>
      <c r="B4755" s="48" t="s">
        <v>21039</v>
      </c>
      <c r="C4755" s="48" t="s">
        <v>32</v>
      </c>
      <c r="D4755" s="50">
        <v>271.23</v>
      </c>
    </row>
    <row r="4756" spans="1:4" ht="13.5">
      <c r="A4756" s="49">
        <v>97902</v>
      </c>
      <c r="B4756" s="48" t="s">
        <v>21040</v>
      </c>
      <c r="C4756" s="48" t="s">
        <v>32</v>
      </c>
      <c r="D4756" s="50">
        <v>533.70000000000005</v>
      </c>
    </row>
    <row r="4757" spans="1:4" ht="13.5">
      <c r="A4757" s="49">
        <v>97903</v>
      </c>
      <c r="B4757" s="48" t="s">
        <v>21041</v>
      </c>
      <c r="C4757" s="48" t="s">
        <v>32</v>
      </c>
      <c r="D4757" s="50">
        <v>737.81</v>
      </c>
    </row>
    <row r="4758" spans="1:4" ht="13.5">
      <c r="A4758" s="49">
        <v>97904</v>
      </c>
      <c r="B4758" s="48" t="s">
        <v>21042</v>
      </c>
      <c r="C4758" s="48" t="s">
        <v>32</v>
      </c>
      <c r="D4758" s="50">
        <v>872.21</v>
      </c>
    </row>
    <row r="4759" spans="1:4" ht="13.5">
      <c r="A4759" s="49">
        <v>97905</v>
      </c>
      <c r="B4759" s="48" t="s">
        <v>21043</v>
      </c>
      <c r="C4759" s="48" t="s">
        <v>32</v>
      </c>
      <c r="D4759" s="50">
        <v>217.26</v>
      </c>
    </row>
    <row r="4760" spans="1:4" ht="13.5">
      <c r="A4760" s="49">
        <v>97906</v>
      </c>
      <c r="B4760" s="48" t="s">
        <v>21044</v>
      </c>
      <c r="C4760" s="48" t="s">
        <v>32</v>
      </c>
      <c r="D4760" s="50">
        <v>404.4</v>
      </c>
    </row>
    <row r="4761" spans="1:4" ht="13.5">
      <c r="A4761" s="49">
        <v>97907</v>
      </c>
      <c r="B4761" s="48" t="s">
        <v>21045</v>
      </c>
      <c r="C4761" s="48" t="s">
        <v>32</v>
      </c>
      <c r="D4761" s="50">
        <v>572.82000000000005</v>
      </c>
    </row>
    <row r="4762" spans="1:4" ht="13.5">
      <c r="A4762" s="49">
        <v>97908</v>
      </c>
      <c r="B4762" s="48" t="s">
        <v>21046</v>
      </c>
      <c r="C4762" s="48" t="s">
        <v>32</v>
      </c>
      <c r="D4762" s="50">
        <v>676.98</v>
      </c>
    </row>
    <row r="4763" spans="1:4" ht="13.5">
      <c r="A4763" s="49">
        <v>98102</v>
      </c>
      <c r="B4763" s="48" t="s">
        <v>21047</v>
      </c>
      <c r="C4763" s="48" t="s">
        <v>32</v>
      </c>
      <c r="D4763" s="50">
        <v>107.07</v>
      </c>
    </row>
    <row r="4764" spans="1:4" ht="13.5">
      <c r="A4764" s="49">
        <v>98104</v>
      </c>
      <c r="B4764" s="48" t="s">
        <v>21048</v>
      </c>
      <c r="C4764" s="48" t="s">
        <v>32</v>
      </c>
      <c r="D4764" s="50">
        <v>358.44</v>
      </c>
    </row>
    <row r="4765" spans="1:4" ht="13.5">
      <c r="A4765" s="49">
        <v>98105</v>
      </c>
      <c r="B4765" s="48" t="s">
        <v>21049</v>
      </c>
      <c r="C4765" s="48" t="s">
        <v>32</v>
      </c>
      <c r="D4765" s="50">
        <v>619.92999999999995</v>
      </c>
    </row>
    <row r="4766" spans="1:4" ht="13.5">
      <c r="A4766" s="49">
        <v>98106</v>
      </c>
      <c r="B4766" s="48" t="s">
        <v>21050</v>
      </c>
      <c r="C4766" s="48" t="s">
        <v>32</v>
      </c>
      <c r="D4766" s="51">
        <v>1023.24</v>
      </c>
    </row>
    <row r="4767" spans="1:4" ht="13.5">
      <c r="A4767" s="49">
        <v>98107</v>
      </c>
      <c r="B4767" s="48" t="s">
        <v>21051</v>
      </c>
      <c r="C4767" s="48" t="s">
        <v>32</v>
      </c>
      <c r="D4767" s="50">
        <v>257.82</v>
      </c>
    </row>
    <row r="4768" spans="1:4" ht="13.5">
      <c r="A4768" s="49">
        <v>98108</v>
      </c>
      <c r="B4768" s="48" t="s">
        <v>21052</v>
      </c>
      <c r="C4768" s="48" t="s">
        <v>32</v>
      </c>
      <c r="D4768" s="50">
        <v>457.73</v>
      </c>
    </row>
    <row r="4769" spans="1:4" ht="13.5">
      <c r="A4769" s="49">
        <v>99250</v>
      </c>
      <c r="B4769" s="48" t="s">
        <v>21053</v>
      </c>
      <c r="C4769" s="48" t="s">
        <v>32</v>
      </c>
      <c r="D4769" s="50">
        <v>167.18</v>
      </c>
    </row>
    <row r="4770" spans="1:4" ht="13.5">
      <c r="A4770" s="49">
        <v>99251</v>
      </c>
      <c r="B4770" s="48" t="s">
        <v>21054</v>
      </c>
      <c r="C4770" s="48" t="s">
        <v>32</v>
      </c>
      <c r="D4770" s="50">
        <v>264.39999999999998</v>
      </c>
    </row>
    <row r="4771" spans="1:4" ht="13.5">
      <c r="A4771" s="49">
        <v>99253</v>
      </c>
      <c r="B4771" s="48" t="s">
        <v>21055</v>
      </c>
      <c r="C4771" s="48" t="s">
        <v>32</v>
      </c>
      <c r="D4771" s="50">
        <v>518.38</v>
      </c>
    </row>
    <row r="4772" spans="1:4" ht="13.5">
      <c r="A4772" s="49">
        <v>99255</v>
      </c>
      <c r="B4772" s="48" t="s">
        <v>21056</v>
      </c>
      <c r="C4772" s="48" t="s">
        <v>32</v>
      </c>
      <c r="D4772" s="50">
        <v>716.81</v>
      </c>
    </row>
    <row r="4773" spans="1:4" ht="13.5">
      <c r="A4773" s="49">
        <v>99257</v>
      </c>
      <c r="B4773" s="48" t="s">
        <v>21057</v>
      </c>
      <c r="C4773" s="48" t="s">
        <v>32</v>
      </c>
      <c r="D4773" s="50">
        <v>845.05</v>
      </c>
    </row>
    <row r="4774" spans="1:4" ht="13.5">
      <c r="A4774" s="49">
        <v>99258</v>
      </c>
      <c r="B4774" s="48" t="s">
        <v>21058</v>
      </c>
      <c r="C4774" s="48" t="s">
        <v>32</v>
      </c>
      <c r="D4774" s="50">
        <v>211.63</v>
      </c>
    </row>
    <row r="4775" spans="1:4" ht="13.5">
      <c r="A4775" s="49">
        <v>99260</v>
      </c>
      <c r="B4775" s="48" t="s">
        <v>21059</v>
      </c>
      <c r="C4775" s="48" t="s">
        <v>32</v>
      </c>
      <c r="D4775" s="50">
        <v>394.76</v>
      </c>
    </row>
    <row r="4776" spans="1:4" ht="13.5">
      <c r="A4776" s="49">
        <v>99262</v>
      </c>
      <c r="B4776" s="48" t="s">
        <v>21060</v>
      </c>
      <c r="C4776" s="48" t="s">
        <v>32</v>
      </c>
      <c r="D4776" s="50">
        <v>559.04999999999995</v>
      </c>
    </row>
    <row r="4777" spans="1:4" ht="13.5">
      <c r="A4777" s="49">
        <v>99264</v>
      </c>
      <c r="B4777" s="48" t="s">
        <v>21061</v>
      </c>
      <c r="C4777" s="48" t="s">
        <v>32</v>
      </c>
      <c r="D4777" s="50">
        <v>658.37</v>
      </c>
    </row>
    <row r="4778" spans="1:4" ht="13.5">
      <c r="A4778" s="49">
        <v>102587</v>
      </c>
      <c r="B4778" s="48" t="s">
        <v>21062</v>
      </c>
      <c r="C4778" s="48" t="s">
        <v>32</v>
      </c>
      <c r="D4778" s="50">
        <v>2.73</v>
      </c>
    </row>
    <row r="4779" spans="1:4" ht="13.5">
      <c r="A4779" s="49">
        <v>102588</v>
      </c>
      <c r="B4779" s="48" t="s">
        <v>21063</v>
      </c>
      <c r="C4779" s="48" t="s">
        <v>32</v>
      </c>
      <c r="D4779" s="50">
        <v>3.95</v>
      </c>
    </row>
    <row r="4780" spans="1:4" ht="13.5">
      <c r="A4780" s="49">
        <v>102589</v>
      </c>
      <c r="B4780" s="48" t="s">
        <v>21064</v>
      </c>
      <c r="C4780" s="48" t="s">
        <v>32</v>
      </c>
      <c r="D4780" s="50">
        <v>3.03</v>
      </c>
    </row>
    <row r="4781" spans="1:4" ht="13.5">
      <c r="A4781" s="49">
        <v>102590</v>
      </c>
      <c r="B4781" s="48" t="s">
        <v>21065</v>
      </c>
      <c r="C4781" s="48" t="s">
        <v>32</v>
      </c>
      <c r="D4781" s="50">
        <v>4.26</v>
      </c>
    </row>
    <row r="4782" spans="1:4" ht="13.5">
      <c r="A4782" s="49">
        <v>102591</v>
      </c>
      <c r="B4782" s="48" t="s">
        <v>21066</v>
      </c>
      <c r="C4782" s="48" t="s">
        <v>32</v>
      </c>
      <c r="D4782" s="50">
        <v>3.35</v>
      </c>
    </row>
    <row r="4783" spans="1:4" ht="13.5">
      <c r="A4783" s="49">
        <v>102592</v>
      </c>
      <c r="B4783" s="48" t="s">
        <v>21067</v>
      </c>
      <c r="C4783" s="48" t="s">
        <v>32</v>
      </c>
      <c r="D4783" s="50">
        <v>4.5599999999999996</v>
      </c>
    </row>
    <row r="4784" spans="1:4" ht="13.5">
      <c r="A4784" s="49">
        <v>102593</v>
      </c>
      <c r="B4784" s="48" t="s">
        <v>21068</v>
      </c>
      <c r="C4784" s="48" t="s">
        <v>32</v>
      </c>
      <c r="D4784" s="50">
        <v>3.78</v>
      </c>
    </row>
    <row r="4785" spans="1:4" ht="13.5">
      <c r="A4785" s="49">
        <v>102594</v>
      </c>
      <c r="B4785" s="48" t="s">
        <v>21069</v>
      </c>
      <c r="C4785" s="48" t="s">
        <v>32</v>
      </c>
      <c r="D4785" s="50">
        <v>5</v>
      </c>
    </row>
    <row r="4786" spans="1:4" ht="13.5">
      <c r="A4786" s="49">
        <v>102595</v>
      </c>
      <c r="B4786" s="48" t="s">
        <v>21070</v>
      </c>
      <c r="C4786" s="48" t="s">
        <v>32</v>
      </c>
      <c r="D4786" s="50">
        <v>4.26</v>
      </c>
    </row>
    <row r="4787" spans="1:4" ht="13.5">
      <c r="A4787" s="49">
        <v>102596</v>
      </c>
      <c r="B4787" s="48" t="s">
        <v>21071</v>
      </c>
      <c r="C4787" s="48" t="s">
        <v>32</v>
      </c>
      <c r="D4787" s="50">
        <v>5.49</v>
      </c>
    </row>
    <row r="4788" spans="1:4" ht="13.5">
      <c r="A4788" s="49">
        <v>102597</v>
      </c>
      <c r="B4788" s="48" t="s">
        <v>21072</v>
      </c>
      <c r="C4788" s="48" t="s">
        <v>32</v>
      </c>
      <c r="D4788" s="50">
        <v>4.8899999999999997</v>
      </c>
    </row>
    <row r="4789" spans="1:4" ht="13.5">
      <c r="A4789" s="49">
        <v>102598</v>
      </c>
      <c r="B4789" s="48" t="s">
        <v>21073</v>
      </c>
      <c r="C4789" s="48" t="s">
        <v>32</v>
      </c>
      <c r="D4789" s="50">
        <v>6.1</v>
      </c>
    </row>
    <row r="4790" spans="1:4" ht="13.5">
      <c r="A4790" s="49">
        <v>102599</v>
      </c>
      <c r="B4790" s="48" t="s">
        <v>21074</v>
      </c>
      <c r="C4790" s="48" t="s">
        <v>32</v>
      </c>
      <c r="D4790" s="50">
        <v>5.5</v>
      </c>
    </row>
    <row r="4791" spans="1:4" ht="13.5">
      <c r="A4791" s="49">
        <v>102600</v>
      </c>
      <c r="B4791" s="48" t="s">
        <v>21075</v>
      </c>
      <c r="C4791" s="48" t="s">
        <v>32</v>
      </c>
      <c r="D4791" s="50">
        <v>6.72</v>
      </c>
    </row>
    <row r="4792" spans="1:4" ht="13.5">
      <c r="A4792" s="49">
        <v>102601</v>
      </c>
      <c r="B4792" s="48" t="s">
        <v>21076</v>
      </c>
      <c r="C4792" s="48" t="s">
        <v>32</v>
      </c>
      <c r="D4792" s="50">
        <v>6.42</v>
      </c>
    </row>
    <row r="4793" spans="1:4" ht="13.5">
      <c r="A4793" s="49">
        <v>102602</v>
      </c>
      <c r="B4793" s="48" t="s">
        <v>21077</v>
      </c>
      <c r="C4793" s="48" t="s">
        <v>32</v>
      </c>
      <c r="D4793" s="50">
        <v>7.65</v>
      </c>
    </row>
    <row r="4794" spans="1:4" ht="13.5">
      <c r="A4794" s="49">
        <v>102603</v>
      </c>
      <c r="B4794" s="48" t="s">
        <v>21078</v>
      </c>
      <c r="C4794" s="48" t="s">
        <v>32</v>
      </c>
      <c r="D4794" s="50">
        <v>7.97</v>
      </c>
    </row>
    <row r="4795" spans="1:4" ht="13.5">
      <c r="A4795" s="49">
        <v>102604</v>
      </c>
      <c r="B4795" s="48" t="s">
        <v>21079</v>
      </c>
      <c r="C4795" s="48" t="s">
        <v>32</v>
      </c>
      <c r="D4795" s="50">
        <v>9.19</v>
      </c>
    </row>
    <row r="4796" spans="1:4" ht="13.5">
      <c r="A4796" s="49">
        <v>102605</v>
      </c>
      <c r="B4796" s="48" t="s">
        <v>21080</v>
      </c>
      <c r="C4796" s="48" t="s">
        <v>32</v>
      </c>
      <c r="D4796" s="50">
        <v>279.7</v>
      </c>
    </row>
    <row r="4797" spans="1:4" ht="13.5">
      <c r="A4797" s="49">
        <v>102606</v>
      </c>
      <c r="B4797" s="48" t="s">
        <v>21081</v>
      </c>
      <c r="C4797" s="48" t="s">
        <v>32</v>
      </c>
      <c r="D4797" s="50">
        <v>477.68</v>
      </c>
    </row>
    <row r="4798" spans="1:4" ht="13.5">
      <c r="A4798" s="49">
        <v>102607</v>
      </c>
      <c r="B4798" s="48" t="s">
        <v>21082</v>
      </c>
      <c r="C4798" s="48" t="s">
        <v>32</v>
      </c>
      <c r="D4798" s="50">
        <v>485.92</v>
      </c>
    </row>
    <row r="4799" spans="1:4" ht="13.5">
      <c r="A4799" s="49">
        <v>102608</v>
      </c>
      <c r="B4799" s="48" t="s">
        <v>21083</v>
      </c>
      <c r="C4799" s="48" t="s">
        <v>32</v>
      </c>
      <c r="D4799" s="50">
        <v>982.77</v>
      </c>
    </row>
    <row r="4800" spans="1:4" ht="13.5">
      <c r="A4800" s="49">
        <v>102609</v>
      </c>
      <c r="B4800" s="48" t="s">
        <v>21084</v>
      </c>
      <c r="C4800" s="48" t="s">
        <v>32</v>
      </c>
      <c r="D4800" s="51">
        <v>1105.58</v>
      </c>
    </row>
    <row r="4801" spans="1:4" ht="13.5">
      <c r="A4801" s="49">
        <v>102611</v>
      </c>
      <c r="B4801" s="48" t="s">
        <v>21085</v>
      </c>
      <c r="C4801" s="48" t="s">
        <v>32</v>
      </c>
      <c r="D4801" s="50">
        <v>379.49</v>
      </c>
    </row>
    <row r="4802" spans="1:4" ht="13.5">
      <c r="A4802" s="49">
        <v>102613</v>
      </c>
      <c r="B4802" s="48" t="s">
        <v>21086</v>
      </c>
      <c r="C4802" s="48" t="s">
        <v>32</v>
      </c>
      <c r="D4802" s="50">
        <v>521.4</v>
      </c>
    </row>
    <row r="4803" spans="1:4" ht="13.5">
      <c r="A4803" s="49">
        <v>102614</v>
      </c>
      <c r="B4803" s="48" t="s">
        <v>21087</v>
      </c>
      <c r="C4803" s="48" t="s">
        <v>32</v>
      </c>
      <c r="D4803" s="50">
        <v>843.92</v>
      </c>
    </row>
    <row r="4804" spans="1:4" ht="13.5">
      <c r="A4804" s="49">
        <v>102615</v>
      </c>
      <c r="B4804" s="48" t="s">
        <v>21088</v>
      </c>
      <c r="C4804" s="48" t="s">
        <v>32</v>
      </c>
      <c r="D4804" s="51">
        <v>1087.5899999999999</v>
      </c>
    </row>
    <row r="4805" spans="1:4" ht="13.5">
      <c r="A4805" s="49">
        <v>102617</v>
      </c>
      <c r="B4805" s="48" t="s">
        <v>21089</v>
      </c>
      <c r="C4805" s="48" t="s">
        <v>32</v>
      </c>
      <c r="D4805" s="51">
        <v>2900.66</v>
      </c>
    </row>
    <row r="4806" spans="1:4" ht="13.5">
      <c r="A4806" s="49">
        <v>102619</v>
      </c>
      <c r="B4806" s="48" t="s">
        <v>21090</v>
      </c>
      <c r="C4806" s="48" t="s">
        <v>32</v>
      </c>
      <c r="D4806" s="51">
        <v>5478</v>
      </c>
    </row>
    <row r="4807" spans="1:4" ht="13.5">
      <c r="A4807" s="49">
        <v>102622</v>
      </c>
      <c r="B4807" s="48" t="s">
        <v>21091</v>
      </c>
      <c r="C4807" s="48" t="s">
        <v>32</v>
      </c>
      <c r="D4807" s="50">
        <v>664.01</v>
      </c>
    </row>
    <row r="4808" spans="1:4" ht="13.5">
      <c r="A4808" s="49">
        <v>102623</v>
      </c>
      <c r="B4808" s="48" t="s">
        <v>21092</v>
      </c>
      <c r="C4808" s="48" t="s">
        <v>32</v>
      </c>
      <c r="D4808" s="50">
        <v>934.58</v>
      </c>
    </row>
    <row r="4809" spans="1:4" ht="13.5">
      <c r="A4809" s="49">
        <v>89482</v>
      </c>
      <c r="B4809" s="48" t="s">
        <v>5755</v>
      </c>
      <c r="C4809" s="48" t="s">
        <v>32</v>
      </c>
      <c r="D4809" s="50">
        <v>38.159999999999997</v>
      </c>
    </row>
    <row r="4810" spans="1:4" ht="13.5">
      <c r="A4810" s="49">
        <v>89491</v>
      </c>
      <c r="B4810" s="48" t="s">
        <v>5756</v>
      </c>
      <c r="C4810" s="48" t="s">
        <v>32</v>
      </c>
      <c r="D4810" s="50">
        <v>91.78</v>
      </c>
    </row>
    <row r="4811" spans="1:4" ht="13.5">
      <c r="A4811" s="49">
        <v>89495</v>
      </c>
      <c r="B4811" s="48" t="s">
        <v>5757</v>
      </c>
      <c r="C4811" s="48" t="s">
        <v>32</v>
      </c>
      <c r="D4811" s="50">
        <v>15.73</v>
      </c>
    </row>
    <row r="4812" spans="1:4" ht="13.5">
      <c r="A4812" s="49">
        <v>89707</v>
      </c>
      <c r="B4812" s="48" t="s">
        <v>5758</v>
      </c>
      <c r="C4812" s="48" t="s">
        <v>32</v>
      </c>
      <c r="D4812" s="50">
        <v>42.07</v>
      </c>
    </row>
    <row r="4813" spans="1:4" ht="13.5">
      <c r="A4813" s="49">
        <v>89708</v>
      </c>
      <c r="B4813" s="48" t="s">
        <v>5759</v>
      </c>
      <c r="C4813" s="48" t="s">
        <v>32</v>
      </c>
      <c r="D4813" s="50">
        <v>98.23</v>
      </c>
    </row>
    <row r="4814" spans="1:4" ht="13.5">
      <c r="A4814" s="49">
        <v>89709</v>
      </c>
      <c r="B4814" s="48" t="s">
        <v>5760</v>
      </c>
      <c r="C4814" s="48" t="s">
        <v>32</v>
      </c>
      <c r="D4814" s="50">
        <v>17.11</v>
      </c>
    </row>
    <row r="4815" spans="1:4" ht="13.5">
      <c r="A4815" s="49">
        <v>89710</v>
      </c>
      <c r="B4815" s="48" t="s">
        <v>5761</v>
      </c>
      <c r="C4815" s="48" t="s">
        <v>32</v>
      </c>
      <c r="D4815" s="50">
        <v>14.24</v>
      </c>
    </row>
    <row r="4816" spans="1:4" ht="13.5">
      <c r="A4816" s="49">
        <v>86872</v>
      </c>
      <c r="B4816" s="48" t="s">
        <v>5762</v>
      </c>
      <c r="C4816" s="48" t="s">
        <v>32</v>
      </c>
      <c r="D4816" s="50">
        <v>568.20000000000005</v>
      </c>
    </row>
    <row r="4817" spans="1:4" ht="13.5">
      <c r="A4817" s="49">
        <v>86874</v>
      </c>
      <c r="B4817" s="48" t="s">
        <v>5763</v>
      </c>
      <c r="C4817" s="48" t="s">
        <v>32</v>
      </c>
      <c r="D4817" s="50">
        <v>396.3</v>
      </c>
    </row>
    <row r="4818" spans="1:4" ht="13.5">
      <c r="A4818" s="49">
        <v>86875</v>
      </c>
      <c r="B4818" s="48" t="s">
        <v>5764</v>
      </c>
      <c r="C4818" s="48" t="s">
        <v>32</v>
      </c>
      <c r="D4818" s="50">
        <v>378.26</v>
      </c>
    </row>
    <row r="4819" spans="1:4" ht="13.5">
      <c r="A4819" s="49">
        <v>86876</v>
      </c>
      <c r="B4819" s="48" t="s">
        <v>5765</v>
      </c>
      <c r="C4819" s="48" t="s">
        <v>32</v>
      </c>
      <c r="D4819" s="50">
        <v>219.88</v>
      </c>
    </row>
    <row r="4820" spans="1:4" ht="13.5">
      <c r="A4820" s="49">
        <v>86877</v>
      </c>
      <c r="B4820" s="48" t="s">
        <v>5766</v>
      </c>
      <c r="C4820" s="48" t="s">
        <v>32</v>
      </c>
      <c r="D4820" s="50">
        <v>58.41</v>
      </c>
    </row>
    <row r="4821" spans="1:4" ht="13.5">
      <c r="A4821" s="49">
        <v>86878</v>
      </c>
      <c r="B4821" s="48" t="s">
        <v>5767</v>
      </c>
      <c r="C4821" s="48" t="s">
        <v>32</v>
      </c>
      <c r="D4821" s="50">
        <v>62.98</v>
      </c>
    </row>
    <row r="4822" spans="1:4" ht="13.5">
      <c r="A4822" s="49">
        <v>86879</v>
      </c>
      <c r="B4822" s="48" t="s">
        <v>5768</v>
      </c>
      <c r="C4822" s="48" t="s">
        <v>32</v>
      </c>
      <c r="D4822" s="50">
        <v>6.49</v>
      </c>
    </row>
    <row r="4823" spans="1:4" ht="13.5">
      <c r="A4823" s="49">
        <v>86880</v>
      </c>
      <c r="B4823" s="48" t="s">
        <v>5769</v>
      </c>
      <c r="C4823" s="48" t="s">
        <v>32</v>
      </c>
      <c r="D4823" s="50">
        <v>18.22</v>
      </c>
    </row>
    <row r="4824" spans="1:4" ht="13.5">
      <c r="A4824" s="49">
        <v>86881</v>
      </c>
      <c r="B4824" s="48" t="s">
        <v>5770</v>
      </c>
      <c r="C4824" s="48" t="s">
        <v>32</v>
      </c>
      <c r="D4824" s="50">
        <v>177.47</v>
      </c>
    </row>
    <row r="4825" spans="1:4" ht="13.5">
      <c r="A4825" s="49">
        <v>86882</v>
      </c>
      <c r="B4825" s="48" t="s">
        <v>5771</v>
      </c>
      <c r="C4825" s="48" t="s">
        <v>32</v>
      </c>
      <c r="D4825" s="50">
        <v>18.670000000000002</v>
      </c>
    </row>
    <row r="4826" spans="1:4" ht="13.5">
      <c r="A4826" s="49">
        <v>86883</v>
      </c>
      <c r="B4826" s="48" t="s">
        <v>5772</v>
      </c>
      <c r="C4826" s="48" t="s">
        <v>32</v>
      </c>
      <c r="D4826" s="50">
        <v>10.67</v>
      </c>
    </row>
    <row r="4827" spans="1:4" ht="13.5">
      <c r="A4827" s="49">
        <v>86884</v>
      </c>
      <c r="B4827" s="48" t="s">
        <v>5773</v>
      </c>
      <c r="C4827" s="48" t="s">
        <v>32</v>
      </c>
      <c r="D4827" s="50">
        <v>7.98</v>
      </c>
    </row>
    <row r="4828" spans="1:4" ht="13.5">
      <c r="A4828" s="49">
        <v>86885</v>
      </c>
      <c r="B4828" s="48" t="s">
        <v>5774</v>
      </c>
      <c r="C4828" s="48" t="s">
        <v>32</v>
      </c>
      <c r="D4828" s="50">
        <v>11.22</v>
      </c>
    </row>
    <row r="4829" spans="1:4" ht="13.5">
      <c r="A4829" s="49">
        <v>86886</v>
      </c>
      <c r="B4829" s="48" t="s">
        <v>5775</v>
      </c>
      <c r="C4829" s="48" t="s">
        <v>32</v>
      </c>
      <c r="D4829" s="50">
        <v>43.22</v>
      </c>
    </row>
    <row r="4830" spans="1:4" ht="13.5">
      <c r="A4830" s="49">
        <v>86887</v>
      </c>
      <c r="B4830" s="48" t="s">
        <v>5776</v>
      </c>
      <c r="C4830" s="48" t="s">
        <v>32</v>
      </c>
      <c r="D4830" s="50">
        <v>46.91</v>
      </c>
    </row>
    <row r="4831" spans="1:4" ht="13.5">
      <c r="A4831" s="49">
        <v>86888</v>
      </c>
      <c r="B4831" s="48" t="s">
        <v>5777</v>
      </c>
      <c r="C4831" s="48" t="s">
        <v>32</v>
      </c>
      <c r="D4831" s="50">
        <v>385.24</v>
      </c>
    </row>
    <row r="4832" spans="1:4" ht="13.5">
      <c r="A4832" s="49">
        <v>86889</v>
      </c>
      <c r="B4832" s="48" t="s">
        <v>19738</v>
      </c>
      <c r="C4832" s="48" t="s">
        <v>32</v>
      </c>
      <c r="D4832" s="50">
        <v>405.52</v>
      </c>
    </row>
    <row r="4833" spans="1:4" ht="13.5">
      <c r="A4833" s="49">
        <v>86893</v>
      </c>
      <c r="B4833" s="48" t="s">
        <v>19739</v>
      </c>
      <c r="C4833" s="48" t="s">
        <v>32</v>
      </c>
      <c r="D4833" s="50">
        <v>472.48</v>
      </c>
    </row>
    <row r="4834" spans="1:4" ht="13.5">
      <c r="A4834" s="49">
        <v>86894</v>
      </c>
      <c r="B4834" s="48" t="s">
        <v>19740</v>
      </c>
      <c r="C4834" s="48" t="s">
        <v>32</v>
      </c>
      <c r="D4834" s="50">
        <v>235.87</v>
      </c>
    </row>
    <row r="4835" spans="1:4" ht="13.5">
      <c r="A4835" s="49">
        <v>86895</v>
      </c>
      <c r="B4835" s="48" t="s">
        <v>19741</v>
      </c>
      <c r="C4835" s="48" t="s">
        <v>32</v>
      </c>
      <c r="D4835" s="50">
        <v>235.62</v>
      </c>
    </row>
    <row r="4836" spans="1:4" ht="13.5">
      <c r="A4836" s="49">
        <v>86899</v>
      </c>
      <c r="B4836" s="48" t="s">
        <v>19742</v>
      </c>
      <c r="C4836" s="48" t="s">
        <v>32</v>
      </c>
      <c r="D4836" s="50">
        <v>260.74</v>
      </c>
    </row>
    <row r="4837" spans="1:4" ht="13.5">
      <c r="A4837" s="49">
        <v>86900</v>
      </c>
      <c r="B4837" s="48" t="s">
        <v>5778</v>
      </c>
      <c r="C4837" s="48" t="s">
        <v>32</v>
      </c>
      <c r="D4837" s="50">
        <v>200.96</v>
      </c>
    </row>
    <row r="4838" spans="1:4" ht="13.5">
      <c r="A4838" s="49">
        <v>86901</v>
      </c>
      <c r="B4838" s="48" t="s">
        <v>5779</v>
      </c>
      <c r="C4838" s="48" t="s">
        <v>32</v>
      </c>
      <c r="D4838" s="50">
        <v>120</v>
      </c>
    </row>
    <row r="4839" spans="1:4" ht="13.5">
      <c r="A4839" s="49">
        <v>86902</v>
      </c>
      <c r="B4839" s="48" t="s">
        <v>5780</v>
      </c>
      <c r="C4839" s="48" t="s">
        <v>32</v>
      </c>
      <c r="D4839" s="50">
        <v>254.59</v>
      </c>
    </row>
    <row r="4840" spans="1:4" ht="13.5">
      <c r="A4840" s="49">
        <v>86903</v>
      </c>
      <c r="B4840" s="48" t="s">
        <v>5781</v>
      </c>
      <c r="C4840" s="48" t="s">
        <v>32</v>
      </c>
      <c r="D4840" s="50">
        <v>287.19</v>
      </c>
    </row>
    <row r="4841" spans="1:4" ht="13.5">
      <c r="A4841" s="49">
        <v>86904</v>
      </c>
      <c r="B4841" s="48" t="s">
        <v>5782</v>
      </c>
      <c r="C4841" s="48" t="s">
        <v>32</v>
      </c>
      <c r="D4841" s="50">
        <v>117.9</v>
      </c>
    </row>
    <row r="4842" spans="1:4" ht="13.5">
      <c r="A4842" s="49">
        <v>86905</v>
      </c>
      <c r="B4842" s="48" t="s">
        <v>5783</v>
      </c>
      <c r="C4842" s="48" t="s">
        <v>32</v>
      </c>
      <c r="D4842" s="50">
        <v>284.11</v>
      </c>
    </row>
    <row r="4843" spans="1:4" ht="13.5">
      <c r="A4843" s="49">
        <v>86906</v>
      </c>
      <c r="B4843" s="48" t="s">
        <v>5784</v>
      </c>
      <c r="C4843" s="48" t="s">
        <v>32</v>
      </c>
      <c r="D4843" s="50">
        <v>52.62</v>
      </c>
    </row>
    <row r="4844" spans="1:4" ht="13.5">
      <c r="A4844" s="49">
        <v>86908</v>
      </c>
      <c r="B4844" s="48" t="s">
        <v>5785</v>
      </c>
      <c r="C4844" s="48" t="s">
        <v>32</v>
      </c>
      <c r="D4844" s="50">
        <v>338.54</v>
      </c>
    </row>
    <row r="4845" spans="1:4" ht="13.5">
      <c r="A4845" s="49">
        <v>86909</v>
      </c>
      <c r="B4845" s="48" t="s">
        <v>5786</v>
      </c>
      <c r="C4845" s="48" t="s">
        <v>32</v>
      </c>
      <c r="D4845" s="50">
        <v>91.37</v>
      </c>
    </row>
    <row r="4846" spans="1:4" ht="13.5">
      <c r="A4846" s="49">
        <v>86910</v>
      </c>
      <c r="B4846" s="48" t="s">
        <v>5787</v>
      </c>
      <c r="C4846" s="48" t="s">
        <v>32</v>
      </c>
      <c r="D4846" s="50">
        <v>89.71</v>
      </c>
    </row>
    <row r="4847" spans="1:4" ht="13.5">
      <c r="A4847" s="49">
        <v>86911</v>
      </c>
      <c r="B4847" s="48" t="s">
        <v>5788</v>
      </c>
      <c r="C4847" s="48" t="s">
        <v>32</v>
      </c>
      <c r="D4847" s="50">
        <v>61.6</v>
      </c>
    </row>
    <row r="4848" spans="1:4" ht="13.5">
      <c r="A4848" s="49">
        <v>86913</v>
      </c>
      <c r="B4848" s="48" t="s">
        <v>5789</v>
      </c>
      <c r="C4848" s="48" t="s">
        <v>32</v>
      </c>
      <c r="D4848" s="50">
        <v>38.99</v>
      </c>
    </row>
    <row r="4849" spans="1:4" ht="13.5">
      <c r="A4849" s="49">
        <v>86914</v>
      </c>
      <c r="B4849" s="48" t="s">
        <v>5790</v>
      </c>
      <c r="C4849" s="48" t="s">
        <v>32</v>
      </c>
      <c r="D4849" s="50">
        <v>69.28</v>
      </c>
    </row>
    <row r="4850" spans="1:4" ht="13.5">
      <c r="A4850" s="49">
        <v>86915</v>
      </c>
      <c r="B4850" s="48" t="s">
        <v>5791</v>
      </c>
      <c r="C4850" s="48" t="s">
        <v>32</v>
      </c>
      <c r="D4850" s="50">
        <v>100.26</v>
      </c>
    </row>
    <row r="4851" spans="1:4" ht="13.5">
      <c r="A4851" s="49">
        <v>86916</v>
      </c>
      <c r="B4851" s="48" t="s">
        <v>5792</v>
      </c>
      <c r="C4851" s="48" t="s">
        <v>32</v>
      </c>
      <c r="D4851" s="50">
        <v>35.07</v>
      </c>
    </row>
    <row r="4852" spans="1:4" ht="13.5">
      <c r="A4852" s="49">
        <v>86919</v>
      </c>
      <c r="B4852" s="48" t="s">
        <v>5793</v>
      </c>
      <c r="C4852" s="48" t="s">
        <v>32</v>
      </c>
      <c r="D4852" s="50">
        <v>706.56</v>
      </c>
    </row>
    <row r="4853" spans="1:4" ht="13.5">
      <c r="A4853" s="49">
        <v>86920</v>
      </c>
      <c r="B4853" s="48" t="s">
        <v>5794</v>
      </c>
      <c r="C4853" s="48" t="s">
        <v>32</v>
      </c>
      <c r="D4853" s="50">
        <v>624.35</v>
      </c>
    </row>
    <row r="4854" spans="1:4" ht="13.5">
      <c r="A4854" s="49">
        <v>86921</v>
      </c>
      <c r="B4854" s="48" t="s">
        <v>5795</v>
      </c>
      <c r="C4854" s="48" t="s">
        <v>32</v>
      </c>
      <c r="D4854" s="50">
        <v>620.42999999999995</v>
      </c>
    </row>
    <row r="4855" spans="1:4" ht="13.5">
      <c r="A4855" s="49">
        <v>86922</v>
      </c>
      <c r="B4855" s="48" t="s">
        <v>5796</v>
      </c>
      <c r="C4855" s="48" t="s">
        <v>32</v>
      </c>
      <c r="D4855" s="50">
        <v>701.46</v>
      </c>
    </row>
    <row r="4856" spans="1:4" ht="13.5">
      <c r="A4856" s="49">
        <v>86923</v>
      </c>
      <c r="B4856" s="48" t="s">
        <v>5797</v>
      </c>
      <c r="C4856" s="48" t="s">
        <v>32</v>
      </c>
      <c r="D4856" s="50">
        <v>460.45</v>
      </c>
    </row>
    <row r="4857" spans="1:4" ht="13.5">
      <c r="A4857" s="49">
        <v>86924</v>
      </c>
      <c r="B4857" s="48" t="s">
        <v>5798</v>
      </c>
      <c r="C4857" s="48" t="s">
        <v>32</v>
      </c>
      <c r="D4857" s="50">
        <v>456.53</v>
      </c>
    </row>
    <row r="4858" spans="1:4" ht="13.5">
      <c r="A4858" s="49">
        <v>86925</v>
      </c>
      <c r="B4858" s="48" t="s">
        <v>5799</v>
      </c>
      <c r="C4858" s="48" t="s">
        <v>32</v>
      </c>
      <c r="D4858" s="50">
        <v>434.41</v>
      </c>
    </row>
    <row r="4859" spans="1:4" ht="13.5">
      <c r="A4859" s="49">
        <v>86926</v>
      </c>
      <c r="B4859" s="48" t="s">
        <v>5800</v>
      </c>
      <c r="C4859" s="48" t="s">
        <v>32</v>
      </c>
      <c r="D4859" s="50">
        <v>430.49</v>
      </c>
    </row>
    <row r="4860" spans="1:4" ht="13.5">
      <c r="A4860" s="49">
        <v>86927</v>
      </c>
      <c r="B4860" s="48" t="s">
        <v>5801</v>
      </c>
      <c r="C4860" s="48" t="s">
        <v>32</v>
      </c>
      <c r="D4860" s="50">
        <v>284.02999999999997</v>
      </c>
    </row>
    <row r="4861" spans="1:4" ht="13.5">
      <c r="A4861" s="49">
        <v>86928</v>
      </c>
      <c r="B4861" s="48" t="s">
        <v>5802</v>
      </c>
      <c r="C4861" s="48" t="s">
        <v>32</v>
      </c>
      <c r="D4861" s="50">
        <v>280.11</v>
      </c>
    </row>
    <row r="4862" spans="1:4" ht="13.5">
      <c r="A4862" s="49">
        <v>86929</v>
      </c>
      <c r="B4862" s="48" t="s">
        <v>5803</v>
      </c>
      <c r="C4862" s="48" t="s">
        <v>32</v>
      </c>
      <c r="D4862" s="50">
        <v>276.02999999999997</v>
      </c>
    </row>
    <row r="4863" spans="1:4" ht="13.5">
      <c r="A4863" s="49">
        <v>86930</v>
      </c>
      <c r="B4863" s="48" t="s">
        <v>5804</v>
      </c>
      <c r="C4863" s="48" t="s">
        <v>32</v>
      </c>
      <c r="D4863" s="50">
        <v>272.11</v>
      </c>
    </row>
    <row r="4864" spans="1:4" ht="13.5">
      <c r="A4864" s="49">
        <v>86931</v>
      </c>
      <c r="B4864" s="48" t="s">
        <v>5805</v>
      </c>
      <c r="C4864" s="48" t="s">
        <v>32</v>
      </c>
      <c r="D4864" s="50">
        <v>396.46</v>
      </c>
    </row>
    <row r="4865" spans="1:4" ht="13.5">
      <c r="A4865" s="49">
        <v>86932</v>
      </c>
      <c r="B4865" s="48" t="s">
        <v>5806</v>
      </c>
      <c r="C4865" s="48" t="s">
        <v>32</v>
      </c>
      <c r="D4865" s="50">
        <v>432.15</v>
      </c>
    </row>
    <row r="4866" spans="1:4" ht="13.5">
      <c r="A4866" s="49">
        <v>86933</v>
      </c>
      <c r="B4866" s="48" t="s">
        <v>5807</v>
      </c>
      <c r="C4866" s="48" t="s">
        <v>32</v>
      </c>
      <c r="D4866" s="50">
        <v>334.36</v>
      </c>
    </row>
    <row r="4867" spans="1:4" ht="13.5">
      <c r="A4867" s="49">
        <v>86934</v>
      </c>
      <c r="B4867" s="48" t="s">
        <v>5808</v>
      </c>
      <c r="C4867" s="48" t="s">
        <v>32</v>
      </c>
      <c r="D4867" s="50">
        <v>326.36</v>
      </c>
    </row>
    <row r="4868" spans="1:4" ht="13.5">
      <c r="A4868" s="49">
        <v>86935</v>
      </c>
      <c r="B4868" s="48" t="s">
        <v>5809</v>
      </c>
      <c r="C4868" s="48" t="s">
        <v>32</v>
      </c>
      <c r="D4868" s="50">
        <v>274.61</v>
      </c>
    </row>
    <row r="4869" spans="1:4" ht="13.5">
      <c r="A4869" s="49">
        <v>86936</v>
      </c>
      <c r="B4869" s="48" t="s">
        <v>5810</v>
      </c>
      <c r="C4869" s="48" t="s">
        <v>32</v>
      </c>
      <c r="D4869" s="50">
        <v>441.41</v>
      </c>
    </row>
    <row r="4870" spans="1:4" ht="13.5">
      <c r="A4870" s="49">
        <v>86937</v>
      </c>
      <c r="B4870" s="48" t="s">
        <v>5811</v>
      </c>
      <c r="C4870" s="48" t="s">
        <v>32</v>
      </c>
      <c r="D4870" s="50">
        <v>189.08</v>
      </c>
    </row>
    <row r="4871" spans="1:4" ht="13.5">
      <c r="A4871" s="49">
        <v>86938</v>
      </c>
      <c r="B4871" s="48" t="s">
        <v>5812</v>
      </c>
      <c r="C4871" s="48" t="s">
        <v>32</v>
      </c>
      <c r="D4871" s="50">
        <v>355.88</v>
      </c>
    </row>
    <row r="4872" spans="1:4" ht="13.5">
      <c r="A4872" s="49">
        <v>86939</v>
      </c>
      <c r="B4872" s="48" t="s">
        <v>5813</v>
      </c>
      <c r="C4872" s="48" t="s">
        <v>32</v>
      </c>
      <c r="D4872" s="50">
        <v>332.35</v>
      </c>
    </row>
    <row r="4873" spans="1:4" ht="13.5">
      <c r="A4873" s="49">
        <v>86940</v>
      </c>
      <c r="B4873" s="48" t="s">
        <v>5814</v>
      </c>
      <c r="C4873" s="48" t="s">
        <v>32</v>
      </c>
      <c r="D4873" s="50">
        <v>901</v>
      </c>
    </row>
    <row r="4874" spans="1:4" ht="13.5">
      <c r="A4874" s="49">
        <v>86941</v>
      </c>
      <c r="B4874" s="48" t="s">
        <v>5815</v>
      </c>
      <c r="C4874" s="48" t="s">
        <v>32</v>
      </c>
      <c r="D4874" s="50">
        <v>670.24</v>
      </c>
    </row>
    <row r="4875" spans="1:4" ht="13.5">
      <c r="A4875" s="49">
        <v>86942</v>
      </c>
      <c r="B4875" s="48" t="s">
        <v>5816</v>
      </c>
      <c r="C4875" s="48" t="s">
        <v>32</v>
      </c>
      <c r="D4875" s="50">
        <v>203.66</v>
      </c>
    </row>
    <row r="4876" spans="1:4" ht="13.5">
      <c r="A4876" s="49">
        <v>86943</v>
      </c>
      <c r="B4876" s="48" t="s">
        <v>5817</v>
      </c>
      <c r="C4876" s="48" t="s">
        <v>32</v>
      </c>
      <c r="D4876" s="50">
        <v>195.66</v>
      </c>
    </row>
    <row r="4877" spans="1:4" ht="13.5">
      <c r="A4877" s="49">
        <v>86947</v>
      </c>
      <c r="B4877" s="48" t="s">
        <v>5818</v>
      </c>
      <c r="C4877" s="48" t="s">
        <v>32</v>
      </c>
      <c r="D4877" s="50">
        <v>994.55</v>
      </c>
    </row>
    <row r="4878" spans="1:4" ht="13.5">
      <c r="A4878" s="49">
        <v>93396</v>
      </c>
      <c r="B4878" s="48" t="s">
        <v>5819</v>
      </c>
      <c r="C4878" s="48" t="s">
        <v>32</v>
      </c>
      <c r="D4878" s="50">
        <v>485.3</v>
      </c>
    </row>
    <row r="4879" spans="1:4" ht="13.5">
      <c r="A4879" s="49">
        <v>93441</v>
      </c>
      <c r="B4879" s="48" t="s">
        <v>5820</v>
      </c>
      <c r="C4879" s="48" t="s">
        <v>32</v>
      </c>
      <c r="D4879" s="50">
        <v>749.71</v>
      </c>
    </row>
    <row r="4880" spans="1:4" ht="13.5">
      <c r="A4880" s="49">
        <v>93442</v>
      </c>
      <c r="B4880" s="48" t="s">
        <v>5821</v>
      </c>
      <c r="C4880" s="48" t="s">
        <v>32</v>
      </c>
      <c r="D4880" s="51">
        <v>1013.24</v>
      </c>
    </row>
    <row r="4881" spans="1:4" ht="13.5">
      <c r="A4881" s="49">
        <v>95469</v>
      </c>
      <c r="B4881" s="48" t="s">
        <v>5822</v>
      </c>
      <c r="C4881" s="48" t="s">
        <v>32</v>
      </c>
      <c r="D4881" s="50">
        <v>238.45</v>
      </c>
    </row>
    <row r="4882" spans="1:4" ht="13.5">
      <c r="A4882" s="49">
        <v>95470</v>
      </c>
      <c r="B4882" s="48" t="s">
        <v>5823</v>
      </c>
      <c r="C4882" s="48" t="s">
        <v>32</v>
      </c>
      <c r="D4882" s="50">
        <v>248.29</v>
      </c>
    </row>
    <row r="4883" spans="1:4" ht="13.5">
      <c r="A4883" s="49">
        <v>95471</v>
      </c>
      <c r="B4883" s="48" t="s">
        <v>5824</v>
      </c>
      <c r="C4883" s="48" t="s">
        <v>32</v>
      </c>
      <c r="D4883" s="50">
        <v>599.77</v>
      </c>
    </row>
    <row r="4884" spans="1:4" ht="13.5">
      <c r="A4884" s="49">
        <v>95472</v>
      </c>
      <c r="B4884" s="48" t="s">
        <v>5825</v>
      </c>
      <c r="C4884" s="48" t="s">
        <v>32</v>
      </c>
      <c r="D4884" s="50">
        <v>609.61</v>
      </c>
    </row>
    <row r="4885" spans="1:4" ht="13.5">
      <c r="A4885" s="49">
        <v>95542</v>
      </c>
      <c r="B4885" s="48" t="s">
        <v>5826</v>
      </c>
      <c r="C4885" s="48" t="s">
        <v>32</v>
      </c>
      <c r="D4885" s="50">
        <v>31.37</v>
      </c>
    </row>
    <row r="4886" spans="1:4" ht="13.5">
      <c r="A4886" s="49">
        <v>95543</v>
      </c>
      <c r="B4886" s="48" t="s">
        <v>5827</v>
      </c>
      <c r="C4886" s="48" t="s">
        <v>32</v>
      </c>
      <c r="D4886" s="50">
        <v>52.74</v>
      </c>
    </row>
    <row r="4887" spans="1:4" ht="13.5">
      <c r="A4887" s="49">
        <v>95544</v>
      </c>
      <c r="B4887" s="48" t="s">
        <v>5828</v>
      </c>
      <c r="C4887" s="48" t="s">
        <v>32</v>
      </c>
      <c r="D4887" s="50">
        <v>38.369999999999997</v>
      </c>
    </row>
    <row r="4888" spans="1:4" ht="13.5">
      <c r="A4888" s="49">
        <v>95545</v>
      </c>
      <c r="B4888" s="48" t="s">
        <v>5829</v>
      </c>
      <c r="C4888" s="48" t="s">
        <v>32</v>
      </c>
      <c r="D4888" s="50">
        <v>37.630000000000003</v>
      </c>
    </row>
    <row r="4889" spans="1:4" ht="13.5">
      <c r="A4889" s="49">
        <v>95546</v>
      </c>
      <c r="B4889" s="48" t="s">
        <v>5830</v>
      </c>
      <c r="C4889" s="48" t="s">
        <v>32</v>
      </c>
      <c r="D4889" s="50">
        <v>128.63</v>
      </c>
    </row>
    <row r="4890" spans="1:4" ht="13.5">
      <c r="A4890" s="49">
        <v>95547</v>
      </c>
      <c r="B4890" s="48" t="s">
        <v>5831</v>
      </c>
      <c r="C4890" s="48" t="s">
        <v>32</v>
      </c>
      <c r="D4890" s="50">
        <v>78.63</v>
      </c>
    </row>
    <row r="4891" spans="1:4" ht="13.5">
      <c r="A4891" s="49">
        <v>100848</v>
      </c>
      <c r="B4891" s="48" t="s">
        <v>5832</v>
      </c>
      <c r="C4891" s="48" t="s">
        <v>32</v>
      </c>
      <c r="D4891" s="50">
        <v>432.85</v>
      </c>
    </row>
    <row r="4892" spans="1:4" ht="13.5">
      <c r="A4892" s="49">
        <v>100849</v>
      </c>
      <c r="B4892" s="48" t="s">
        <v>5833</v>
      </c>
      <c r="C4892" s="48" t="s">
        <v>32</v>
      </c>
      <c r="D4892" s="50">
        <v>44.13</v>
      </c>
    </row>
    <row r="4893" spans="1:4" ht="13.5">
      <c r="A4893" s="49">
        <v>100851</v>
      </c>
      <c r="B4893" s="48" t="s">
        <v>5834</v>
      </c>
      <c r="C4893" s="48" t="s">
        <v>32</v>
      </c>
      <c r="D4893" s="50">
        <v>89.14</v>
      </c>
    </row>
    <row r="4894" spans="1:4" ht="13.5">
      <c r="A4894" s="49">
        <v>100852</v>
      </c>
      <c r="B4894" s="48" t="s">
        <v>5835</v>
      </c>
      <c r="C4894" s="48" t="s">
        <v>32</v>
      </c>
      <c r="D4894" s="50">
        <v>220.08</v>
      </c>
    </row>
    <row r="4895" spans="1:4" ht="13.5">
      <c r="A4895" s="49">
        <v>100853</v>
      </c>
      <c r="B4895" s="48" t="s">
        <v>26148</v>
      </c>
      <c r="C4895" s="48" t="s">
        <v>32</v>
      </c>
      <c r="D4895" s="50">
        <v>241.81</v>
      </c>
    </row>
    <row r="4896" spans="1:4" ht="13.5">
      <c r="A4896" s="49">
        <v>100854</v>
      </c>
      <c r="B4896" s="48" t="s">
        <v>5836</v>
      </c>
      <c r="C4896" s="48" t="s">
        <v>32</v>
      </c>
      <c r="D4896" s="51">
        <v>1251.18</v>
      </c>
    </row>
    <row r="4897" spans="1:4" ht="13.5">
      <c r="A4897" s="49">
        <v>100855</v>
      </c>
      <c r="B4897" s="48" t="s">
        <v>5837</v>
      </c>
      <c r="C4897" s="48" t="s">
        <v>32</v>
      </c>
      <c r="D4897" s="50">
        <v>37.630000000000003</v>
      </c>
    </row>
    <row r="4898" spans="1:4" ht="13.5">
      <c r="A4898" s="49">
        <v>100856</v>
      </c>
      <c r="B4898" s="48" t="s">
        <v>5838</v>
      </c>
      <c r="C4898" s="48" t="s">
        <v>32</v>
      </c>
      <c r="D4898" s="50">
        <v>26.92</v>
      </c>
    </row>
    <row r="4899" spans="1:4" ht="13.5">
      <c r="A4899" s="49">
        <v>100857</v>
      </c>
      <c r="B4899" s="48" t="s">
        <v>5839</v>
      </c>
      <c r="C4899" s="48" t="s">
        <v>32</v>
      </c>
      <c r="D4899" s="50">
        <v>367.46</v>
      </c>
    </row>
    <row r="4900" spans="1:4" ht="13.5">
      <c r="A4900" s="49">
        <v>100858</v>
      </c>
      <c r="B4900" s="48" t="s">
        <v>5840</v>
      </c>
      <c r="C4900" s="48" t="s">
        <v>32</v>
      </c>
      <c r="D4900" s="50">
        <v>535.13</v>
      </c>
    </row>
    <row r="4901" spans="1:4" ht="13.5">
      <c r="A4901" s="49">
        <v>100859</v>
      </c>
      <c r="B4901" s="48" t="s">
        <v>21093</v>
      </c>
      <c r="C4901" s="48" t="s">
        <v>32</v>
      </c>
      <c r="D4901" s="50">
        <v>786.72</v>
      </c>
    </row>
    <row r="4902" spans="1:4" ht="13.5">
      <c r="A4902" s="49">
        <v>100860</v>
      </c>
      <c r="B4902" s="48" t="s">
        <v>5841</v>
      </c>
      <c r="C4902" s="48" t="s">
        <v>32</v>
      </c>
      <c r="D4902" s="50">
        <v>77.42</v>
      </c>
    </row>
    <row r="4903" spans="1:4" ht="13.5">
      <c r="A4903" s="49">
        <v>100861</v>
      </c>
      <c r="B4903" s="48" t="s">
        <v>5842</v>
      </c>
      <c r="C4903" s="48" t="s">
        <v>32</v>
      </c>
      <c r="D4903" s="50">
        <v>40.15</v>
      </c>
    </row>
    <row r="4904" spans="1:4" ht="13.5">
      <c r="A4904" s="49">
        <v>100862</v>
      </c>
      <c r="B4904" s="48" t="s">
        <v>5843</v>
      </c>
      <c r="C4904" s="48" t="s">
        <v>32</v>
      </c>
      <c r="D4904" s="50">
        <v>45.16</v>
      </c>
    </row>
    <row r="4905" spans="1:4" ht="13.5">
      <c r="A4905" s="49">
        <v>100863</v>
      </c>
      <c r="B4905" s="48" t="s">
        <v>5844</v>
      </c>
      <c r="C4905" s="48" t="s">
        <v>32</v>
      </c>
      <c r="D4905" s="50">
        <v>539.9</v>
      </c>
    </row>
    <row r="4906" spans="1:4" ht="13.5">
      <c r="A4906" s="49">
        <v>100864</v>
      </c>
      <c r="B4906" s="48" t="s">
        <v>5845</v>
      </c>
      <c r="C4906" s="48" t="s">
        <v>32</v>
      </c>
      <c r="D4906" s="50">
        <v>592.83000000000004</v>
      </c>
    </row>
    <row r="4907" spans="1:4" ht="13.5">
      <c r="A4907" s="49">
        <v>100865</v>
      </c>
      <c r="B4907" s="48" t="s">
        <v>5846</v>
      </c>
      <c r="C4907" s="48" t="s">
        <v>32</v>
      </c>
      <c r="D4907" s="50">
        <v>525.75</v>
      </c>
    </row>
    <row r="4908" spans="1:4" ht="13.5">
      <c r="A4908" s="49">
        <v>100866</v>
      </c>
      <c r="B4908" s="48" t="s">
        <v>5847</v>
      </c>
      <c r="C4908" s="48" t="s">
        <v>32</v>
      </c>
      <c r="D4908" s="50">
        <v>278.77999999999997</v>
      </c>
    </row>
    <row r="4909" spans="1:4" ht="13.5">
      <c r="A4909" s="49">
        <v>100867</v>
      </c>
      <c r="B4909" s="48" t="s">
        <v>5848</v>
      </c>
      <c r="C4909" s="48" t="s">
        <v>32</v>
      </c>
      <c r="D4909" s="50">
        <v>296.24</v>
      </c>
    </row>
    <row r="4910" spans="1:4" ht="13.5">
      <c r="A4910" s="49">
        <v>100868</v>
      </c>
      <c r="B4910" s="48" t="s">
        <v>5849</v>
      </c>
      <c r="C4910" s="48" t="s">
        <v>32</v>
      </c>
      <c r="D4910" s="50">
        <v>307.85000000000002</v>
      </c>
    </row>
    <row r="4911" spans="1:4" ht="13.5">
      <c r="A4911" s="49">
        <v>100869</v>
      </c>
      <c r="B4911" s="48" t="s">
        <v>5850</v>
      </c>
      <c r="C4911" s="48" t="s">
        <v>32</v>
      </c>
      <c r="D4911" s="50">
        <v>316.76</v>
      </c>
    </row>
    <row r="4912" spans="1:4" ht="13.5">
      <c r="A4912" s="49">
        <v>100870</v>
      </c>
      <c r="B4912" s="48" t="s">
        <v>5851</v>
      </c>
      <c r="C4912" s="48" t="s">
        <v>32</v>
      </c>
      <c r="D4912" s="50">
        <v>257.22000000000003</v>
      </c>
    </row>
    <row r="4913" spans="1:4" ht="13.5">
      <c r="A4913" s="49">
        <v>100871</v>
      </c>
      <c r="B4913" s="48" t="s">
        <v>5852</v>
      </c>
      <c r="C4913" s="48" t="s">
        <v>32</v>
      </c>
      <c r="D4913" s="50">
        <v>277.2</v>
      </c>
    </row>
    <row r="4914" spans="1:4" ht="13.5">
      <c r="A4914" s="49">
        <v>100872</v>
      </c>
      <c r="B4914" s="48" t="s">
        <v>5853</v>
      </c>
      <c r="C4914" s="48" t="s">
        <v>32</v>
      </c>
      <c r="D4914" s="50">
        <v>289.95999999999998</v>
      </c>
    </row>
    <row r="4915" spans="1:4" ht="13.5">
      <c r="A4915" s="49">
        <v>100873</v>
      </c>
      <c r="B4915" s="48" t="s">
        <v>5854</v>
      </c>
      <c r="C4915" s="48" t="s">
        <v>32</v>
      </c>
      <c r="D4915" s="50">
        <v>297.93</v>
      </c>
    </row>
    <row r="4916" spans="1:4" ht="13.5">
      <c r="A4916" s="49">
        <v>100874</v>
      </c>
      <c r="B4916" s="48" t="s">
        <v>5855</v>
      </c>
      <c r="C4916" s="48" t="s">
        <v>32</v>
      </c>
      <c r="D4916" s="50">
        <v>278.77999999999997</v>
      </c>
    </row>
    <row r="4917" spans="1:4" ht="13.5">
      <c r="A4917" s="49">
        <v>100875</v>
      </c>
      <c r="B4917" s="48" t="s">
        <v>5856</v>
      </c>
      <c r="C4917" s="48" t="s">
        <v>32</v>
      </c>
      <c r="D4917" s="50">
        <v>970.59</v>
      </c>
    </row>
    <row r="4918" spans="1:4" ht="13.5">
      <c r="A4918" s="49">
        <v>100878</v>
      </c>
      <c r="B4918" s="48" t="s">
        <v>21094</v>
      </c>
      <c r="C4918" s="48" t="s">
        <v>32</v>
      </c>
      <c r="D4918" s="50">
        <v>514.83000000000004</v>
      </c>
    </row>
    <row r="4919" spans="1:4" ht="13.5">
      <c r="A4919" s="49">
        <v>98052</v>
      </c>
      <c r="B4919" s="48" t="s">
        <v>21095</v>
      </c>
      <c r="C4919" s="48" t="s">
        <v>32</v>
      </c>
      <c r="D4919" s="51">
        <v>1542.13</v>
      </c>
    </row>
    <row r="4920" spans="1:4" ht="13.5">
      <c r="A4920" s="49">
        <v>98053</v>
      </c>
      <c r="B4920" s="48" t="s">
        <v>21096</v>
      </c>
      <c r="C4920" s="48" t="s">
        <v>32</v>
      </c>
      <c r="D4920" s="51">
        <v>2099.12</v>
      </c>
    </row>
    <row r="4921" spans="1:4" ht="13.5">
      <c r="A4921" s="49">
        <v>98054</v>
      </c>
      <c r="B4921" s="48" t="s">
        <v>21097</v>
      </c>
      <c r="C4921" s="48" t="s">
        <v>32</v>
      </c>
      <c r="D4921" s="51">
        <v>3289.56</v>
      </c>
    </row>
    <row r="4922" spans="1:4" ht="13.5">
      <c r="A4922" s="49">
        <v>98055</v>
      </c>
      <c r="B4922" s="48" t="s">
        <v>21098</v>
      </c>
      <c r="C4922" s="48" t="s">
        <v>32</v>
      </c>
      <c r="D4922" s="51">
        <v>4459.2</v>
      </c>
    </row>
    <row r="4923" spans="1:4" ht="13.5">
      <c r="A4923" s="49">
        <v>98056</v>
      </c>
      <c r="B4923" s="48" t="s">
        <v>21099</v>
      </c>
      <c r="C4923" s="48" t="s">
        <v>32</v>
      </c>
      <c r="D4923" s="51">
        <v>5152.49</v>
      </c>
    </row>
    <row r="4924" spans="1:4" ht="13.5">
      <c r="A4924" s="49">
        <v>98057</v>
      </c>
      <c r="B4924" s="48" t="s">
        <v>21100</v>
      </c>
      <c r="C4924" s="48" t="s">
        <v>32</v>
      </c>
      <c r="D4924" s="51">
        <v>6111.5</v>
      </c>
    </row>
    <row r="4925" spans="1:4" ht="13.5">
      <c r="A4925" s="49">
        <v>98058</v>
      </c>
      <c r="B4925" s="48" t="s">
        <v>21101</v>
      </c>
      <c r="C4925" s="48" t="s">
        <v>32</v>
      </c>
      <c r="D4925" s="51">
        <v>1407.3</v>
      </c>
    </row>
    <row r="4926" spans="1:4" ht="13.5">
      <c r="A4926" s="49">
        <v>98059</v>
      </c>
      <c r="B4926" s="48" t="s">
        <v>21102</v>
      </c>
      <c r="C4926" s="48" t="s">
        <v>32</v>
      </c>
      <c r="D4926" s="51">
        <v>2971.09</v>
      </c>
    </row>
    <row r="4927" spans="1:4" ht="13.5">
      <c r="A4927" s="49">
        <v>98060</v>
      </c>
      <c r="B4927" s="48" t="s">
        <v>21103</v>
      </c>
      <c r="C4927" s="48" t="s">
        <v>32</v>
      </c>
      <c r="D4927" s="51">
        <v>4180.16</v>
      </c>
    </row>
    <row r="4928" spans="1:4" ht="13.5">
      <c r="A4928" s="49">
        <v>98061</v>
      </c>
      <c r="B4928" s="48" t="s">
        <v>21104</v>
      </c>
      <c r="C4928" s="48" t="s">
        <v>32</v>
      </c>
      <c r="D4928" s="51">
        <v>5794.55</v>
      </c>
    </row>
    <row r="4929" spans="1:4" ht="13.5">
      <c r="A4929" s="49">
        <v>98062</v>
      </c>
      <c r="B4929" s="48" t="s">
        <v>21105</v>
      </c>
      <c r="C4929" s="48" t="s">
        <v>32</v>
      </c>
      <c r="D4929" s="51">
        <v>2128.6799999999998</v>
      </c>
    </row>
    <row r="4930" spans="1:4" ht="13.5">
      <c r="A4930" s="49">
        <v>98063</v>
      </c>
      <c r="B4930" s="48" t="s">
        <v>21106</v>
      </c>
      <c r="C4930" s="48" t="s">
        <v>32</v>
      </c>
      <c r="D4930" s="51">
        <v>3230.6</v>
      </c>
    </row>
    <row r="4931" spans="1:4" ht="13.5">
      <c r="A4931" s="49">
        <v>98064</v>
      </c>
      <c r="B4931" s="48" t="s">
        <v>21107</v>
      </c>
      <c r="C4931" s="48" t="s">
        <v>32</v>
      </c>
      <c r="D4931" s="51">
        <v>3681.96</v>
      </c>
    </row>
    <row r="4932" spans="1:4" ht="13.5">
      <c r="A4932" s="49">
        <v>98065</v>
      </c>
      <c r="B4932" s="48" t="s">
        <v>21108</v>
      </c>
      <c r="C4932" s="48" t="s">
        <v>32</v>
      </c>
      <c r="D4932" s="51">
        <v>5076.37</v>
      </c>
    </row>
    <row r="4933" spans="1:4" ht="13.5">
      <c r="A4933" s="49">
        <v>98066</v>
      </c>
      <c r="B4933" s="48" t="s">
        <v>21109</v>
      </c>
      <c r="C4933" s="48" t="s">
        <v>32</v>
      </c>
      <c r="D4933" s="51">
        <v>4697.5200000000004</v>
      </c>
    </row>
    <row r="4934" spans="1:4" ht="13.5">
      <c r="A4934" s="49">
        <v>98067</v>
      </c>
      <c r="B4934" s="48" t="s">
        <v>21110</v>
      </c>
      <c r="C4934" s="48" t="s">
        <v>32</v>
      </c>
      <c r="D4934" s="51">
        <v>6262.4</v>
      </c>
    </row>
    <row r="4935" spans="1:4" ht="13.5">
      <c r="A4935" s="49">
        <v>98068</v>
      </c>
      <c r="B4935" s="48" t="s">
        <v>21111</v>
      </c>
      <c r="C4935" s="48" t="s">
        <v>32</v>
      </c>
      <c r="D4935" s="51">
        <v>8842.81</v>
      </c>
    </row>
    <row r="4936" spans="1:4" ht="13.5">
      <c r="A4936" s="49">
        <v>98069</v>
      </c>
      <c r="B4936" s="48" t="s">
        <v>21112</v>
      </c>
      <c r="C4936" s="48" t="s">
        <v>32</v>
      </c>
      <c r="D4936" s="51">
        <v>11870.46</v>
      </c>
    </row>
    <row r="4937" spans="1:4" ht="13.5">
      <c r="A4937" s="49">
        <v>98070</v>
      </c>
      <c r="B4937" s="48" t="s">
        <v>21113</v>
      </c>
      <c r="C4937" s="48" t="s">
        <v>32</v>
      </c>
      <c r="D4937" s="51">
        <v>13575.32</v>
      </c>
    </row>
    <row r="4938" spans="1:4" ht="13.5">
      <c r="A4938" s="49">
        <v>98071</v>
      </c>
      <c r="B4938" s="48" t="s">
        <v>21114</v>
      </c>
      <c r="C4938" s="48" t="s">
        <v>32</v>
      </c>
      <c r="D4938" s="51">
        <v>14843.25</v>
      </c>
    </row>
    <row r="4939" spans="1:4" ht="13.5">
      <c r="A4939" s="49">
        <v>98072</v>
      </c>
      <c r="B4939" s="48" t="s">
        <v>21115</v>
      </c>
      <c r="C4939" s="48" t="s">
        <v>32</v>
      </c>
      <c r="D4939" s="51">
        <v>3954.97</v>
      </c>
    </row>
    <row r="4940" spans="1:4" ht="13.5">
      <c r="A4940" s="49">
        <v>98073</v>
      </c>
      <c r="B4940" s="48" t="s">
        <v>21116</v>
      </c>
      <c r="C4940" s="48" t="s">
        <v>32</v>
      </c>
      <c r="D4940" s="51">
        <v>6181.6</v>
      </c>
    </row>
    <row r="4941" spans="1:4" ht="13.5">
      <c r="A4941" s="49">
        <v>98074</v>
      </c>
      <c r="B4941" s="48" t="s">
        <v>21117</v>
      </c>
      <c r="C4941" s="48" t="s">
        <v>32</v>
      </c>
      <c r="D4941" s="51">
        <v>9598.67</v>
      </c>
    </row>
    <row r="4942" spans="1:4" ht="13.5">
      <c r="A4942" s="49">
        <v>98075</v>
      </c>
      <c r="B4942" s="48" t="s">
        <v>21118</v>
      </c>
      <c r="C4942" s="48" t="s">
        <v>32</v>
      </c>
      <c r="D4942" s="51">
        <v>12480.77</v>
      </c>
    </row>
    <row r="4943" spans="1:4" ht="13.5">
      <c r="A4943" s="49">
        <v>98076</v>
      </c>
      <c r="B4943" s="48" t="s">
        <v>21119</v>
      </c>
      <c r="C4943" s="48" t="s">
        <v>32</v>
      </c>
      <c r="D4943" s="51">
        <v>14385</v>
      </c>
    </row>
    <row r="4944" spans="1:4" ht="13.5">
      <c r="A4944" s="49">
        <v>98077</v>
      </c>
      <c r="B4944" s="48" t="s">
        <v>21120</v>
      </c>
      <c r="C4944" s="48" t="s">
        <v>32</v>
      </c>
      <c r="D4944" s="51">
        <v>16935.52</v>
      </c>
    </row>
    <row r="4945" spans="1:4" ht="13.5">
      <c r="A4945" s="49">
        <v>98078</v>
      </c>
      <c r="B4945" s="48" t="s">
        <v>21121</v>
      </c>
      <c r="C4945" s="48" t="s">
        <v>32</v>
      </c>
      <c r="D4945" s="51">
        <v>3878.32</v>
      </c>
    </row>
    <row r="4946" spans="1:4" ht="13.5">
      <c r="A4946" s="49">
        <v>98079</v>
      </c>
      <c r="B4946" s="48" t="s">
        <v>21122</v>
      </c>
      <c r="C4946" s="48" t="s">
        <v>32</v>
      </c>
      <c r="D4946" s="51">
        <v>6814.53</v>
      </c>
    </row>
    <row r="4947" spans="1:4" ht="13.5">
      <c r="A4947" s="49">
        <v>98080</v>
      </c>
      <c r="B4947" s="48" t="s">
        <v>21123</v>
      </c>
      <c r="C4947" s="48" t="s">
        <v>32</v>
      </c>
      <c r="D4947" s="51">
        <v>8792.8700000000008</v>
      </c>
    </row>
    <row r="4948" spans="1:4" ht="13.5">
      <c r="A4948" s="49">
        <v>98081</v>
      </c>
      <c r="B4948" s="48" t="s">
        <v>21124</v>
      </c>
      <c r="C4948" s="48" t="s">
        <v>32</v>
      </c>
      <c r="D4948" s="51">
        <v>13049.59</v>
      </c>
    </row>
    <row r="4949" spans="1:4" ht="13.5">
      <c r="A4949" s="49">
        <v>98082</v>
      </c>
      <c r="B4949" s="48" t="s">
        <v>21125</v>
      </c>
      <c r="C4949" s="48" t="s">
        <v>32</v>
      </c>
      <c r="D4949" s="51">
        <v>3632.45</v>
      </c>
    </row>
    <row r="4950" spans="1:4" ht="13.5">
      <c r="A4950" s="49">
        <v>98083</v>
      </c>
      <c r="B4950" s="48" t="s">
        <v>21126</v>
      </c>
      <c r="C4950" s="48" t="s">
        <v>32</v>
      </c>
      <c r="D4950" s="51">
        <v>4791.33</v>
      </c>
    </row>
    <row r="4951" spans="1:4" ht="13.5">
      <c r="A4951" s="49">
        <v>98084</v>
      </c>
      <c r="B4951" s="48" t="s">
        <v>21127</v>
      </c>
      <c r="C4951" s="48" t="s">
        <v>32</v>
      </c>
      <c r="D4951" s="51">
        <v>6718.97</v>
      </c>
    </row>
    <row r="4952" spans="1:4" ht="13.5">
      <c r="A4952" s="49">
        <v>98085</v>
      </c>
      <c r="B4952" s="48" t="s">
        <v>21128</v>
      </c>
      <c r="C4952" s="48" t="s">
        <v>32</v>
      </c>
      <c r="D4952" s="51">
        <v>9112.2999999999993</v>
      </c>
    </row>
    <row r="4953" spans="1:4" ht="13.5">
      <c r="A4953" s="49">
        <v>98086</v>
      </c>
      <c r="B4953" s="48" t="s">
        <v>21129</v>
      </c>
      <c r="C4953" s="48" t="s">
        <v>32</v>
      </c>
      <c r="D4953" s="51">
        <v>10285.280000000001</v>
      </c>
    </row>
    <row r="4954" spans="1:4" ht="13.5">
      <c r="A4954" s="49">
        <v>98087</v>
      </c>
      <c r="B4954" s="48" t="s">
        <v>21130</v>
      </c>
      <c r="C4954" s="48" t="s">
        <v>32</v>
      </c>
      <c r="D4954" s="51">
        <v>10976.7</v>
      </c>
    </row>
    <row r="4955" spans="1:4" ht="13.5">
      <c r="A4955" s="49">
        <v>98088</v>
      </c>
      <c r="B4955" s="48" t="s">
        <v>21131</v>
      </c>
      <c r="C4955" s="48" t="s">
        <v>32</v>
      </c>
      <c r="D4955" s="51">
        <v>3122.36</v>
      </c>
    </row>
    <row r="4956" spans="1:4" ht="13.5">
      <c r="A4956" s="49">
        <v>98089</v>
      </c>
      <c r="B4956" s="48" t="s">
        <v>21132</v>
      </c>
      <c r="C4956" s="48" t="s">
        <v>32</v>
      </c>
      <c r="D4956" s="51">
        <v>4938.74</v>
      </c>
    </row>
    <row r="4957" spans="1:4" ht="13.5">
      <c r="A4957" s="49">
        <v>98090</v>
      </c>
      <c r="B4957" s="48" t="s">
        <v>21133</v>
      </c>
      <c r="C4957" s="48" t="s">
        <v>32</v>
      </c>
      <c r="D4957" s="51">
        <v>7764.86</v>
      </c>
    </row>
    <row r="4958" spans="1:4" ht="13.5">
      <c r="A4958" s="49">
        <v>98091</v>
      </c>
      <c r="B4958" s="48" t="s">
        <v>21134</v>
      </c>
      <c r="C4958" s="48" t="s">
        <v>32</v>
      </c>
      <c r="D4958" s="51">
        <v>10009.82</v>
      </c>
    </row>
    <row r="4959" spans="1:4" ht="13.5">
      <c r="A4959" s="49">
        <v>98092</v>
      </c>
      <c r="B4959" s="48" t="s">
        <v>21135</v>
      </c>
      <c r="C4959" s="48" t="s">
        <v>32</v>
      </c>
      <c r="D4959" s="51">
        <v>11790.22</v>
      </c>
    </row>
    <row r="4960" spans="1:4" ht="13.5">
      <c r="A4960" s="49">
        <v>98093</v>
      </c>
      <c r="B4960" s="48" t="s">
        <v>21136</v>
      </c>
      <c r="C4960" s="48" t="s">
        <v>32</v>
      </c>
      <c r="D4960" s="51">
        <v>13920.2</v>
      </c>
    </row>
    <row r="4961" spans="1:4" ht="13.5">
      <c r="A4961" s="49">
        <v>98094</v>
      </c>
      <c r="B4961" s="48" t="s">
        <v>21137</v>
      </c>
      <c r="C4961" s="48" t="s">
        <v>32</v>
      </c>
      <c r="D4961" s="51">
        <v>2537.3200000000002</v>
      </c>
    </row>
    <row r="4962" spans="1:4" ht="13.5">
      <c r="A4962" s="49">
        <v>98099</v>
      </c>
      <c r="B4962" s="48" t="s">
        <v>21138</v>
      </c>
      <c r="C4962" s="48" t="s">
        <v>32</v>
      </c>
      <c r="D4962" s="51">
        <v>4340.47</v>
      </c>
    </row>
    <row r="4963" spans="1:4" ht="13.5">
      <c r="A4963" s="49">
        <v>98100</v>
      </c>
      <c r="B4963" s="48" t="s">
        <v>21139</v>
      </c>
      <c r="C4963" s="48" t="s">
        <v>32</v>
      </c>
      <c r="D4963" s="51">
        <v>5689.31</v>
      </c>
    </row>
    <row r="4964" spans="1:4" ht="13.5">
      <c r="A4964" s="49">
        <v>98101</v>
      </c>
      <c r="B4964" s="48" t="s">
        <v>21140</v>
      </c>
      <c r="C4964" s="48" t="s">
        <v>32</v>
      </c>
      <c r="D4964" s="51">
        <v>8416.14</v>
      </c>
    </row>
    <row r="4965" spans="1:4" ht="13.5">
      <c r="A4965" s="49">
        <v>98109</v>
      </c>
      <c r="B4965" s="48" t="s">
        <v>21141</v>
      </c>
      <c r="C4965" s="48" t="s">
        <v>32</v>
      </c>
      <c r="D4965" s="50">
        <v>743.37</v>
      </c>
    </row>
    <row r="4966" spans="1:4" ht="13.5">
      <c r="A4966" s="49">
        <v>98110</v>
      </c>
      <c r="B4966" s="48" t="s">
        <v>21142</v>
      </c>
      <c r="C4966" s="48" t="s">
        <v>32</v>
      </c>
      <c r="D4966" s="50">
        <v>439.55</v>
      </c>
    </row>
    <row r="4967" spans="1:4" ht="13.5">
      <c r="A4967" s="49">
        <v>98111</v>
      </c>
      <c r="B4967" s="48" t="s">
        <v>21143</v>
      </c>
      <c r="C4967" s="48" t="s">
        <v>32</v>
      </c>
      <c r="D4967" s="50">
        <v>58.32</v>
      </c>
    </row>
    <row r="4968" spans="1:4" ht="13.5">
      <c r="A4968" s="49">
        <v>98112</v>
      </c>
      <c r="B4968" s="48" t="s">
        <v>21144</v>
      </c>
      <c r="C4968" s="48" t="s">
        <v>32</v>
      </c>
      <c r="D4968" s="50">
        <v>126.66</v>
      </c>
    </row>
    <row r="4969" spans="1:4" ht="13.5">
      <c r="A4969" s="49">
        <v>98114</v>
      </c>
      <c r="B4969" s="48" t="s">
        <v>21145</v>
      </c>
      <c r="C4969" s="48" t="s">
        <v>32</v>
      </c>
      <c r="D4969" s="50">
        <v>731.02</v>
      </c>
    </row>
    <row r="4970" spans="1:4" ht="13.5">
      <c r="A4970" s="49">
        <v>98115</v>
      </c>
      <c r="B4970" s="48" t="s">
        <v>21146</v>
      </c>
      <c r="C4970" s="48" t="s">
        <v>32</v>
      </c>
      <c r="D4970" s="50">
        <v>137.54</v>
      </c>
    </row>
    <row r="4971" spans="1:4" ht="13.5">
      <c r="A4971" s="49">
        <v>89957</v>
      </c>
      <c r="B4971" s="48" t="s">
        <v>5857</v>
      </c>
      <c r="C4971" s="48" t="s">
        <v>32</v>
      </c>
      <c r="D4971" s="50">
        <v>131.05000000000001</v>
      </c>
    </row>
    <row r="4972" spans="1:4" ht="13.5">
      <c r="A4972" s="49">
        <v>89959</v>
      </c>
      <c r="B4972" s="48" t="s">
        <v>5858</v>
      </c>
      <c r="C4972" s="48" t="s">
        <v>32</v>
      </c>
      <c r="D4972" s="50">
        <v>233.06</v>
      </c>
    </row>
    <row r="4973" spans="1:4" ht="13.5">
      <c r="A4973" s="49">
        <v>89349</v>
      </c>
      <c r="B4973" s="48" t="s">
        <v>21147</v>
      </c>
      <c r="C4973" s="48" t="s">
        <v>32</v>
      </c>
      <c r="D4973" s="50">
        <v>27.43</v>
      </c>
    </row>
    <row r="4974" spans="1:4" ht="13.5">
      <c r="A4974" s="49">
        <v>89351</v>
      </c>
      <c r="B4974" s="48" t="s">
        <v>21148</v>
      </c>
      <c r="C4974" s="48" t="s">
        <v>32</v>
      </c>
      <c r="D4974" s="50">
        <v>33.72</v>
      </c>
    </row>
    <row r="4975" spans="1:4" ht="13.5">
      <c r="A4975" s="49">
        <v>89352</v>
      </c>
      <c r="B4975" s="48" t="s">
        <v>21149</v>
      </c>
      <c r="C4975" s="48" t="s">
        <v>32</v>
      </c>
      <c r="D4975" s="50">
        <v>37.5</v>
      </c>
    </row>
    <row r="4976" spans="1:4" ht="13.5">
      <c r="A4976" s="49">
        <v>89353</v>
      </c>
      <c r="B4976" s="48" t="s">
        <v>21150</v>
      </c>
      <c r="C4976" s="48" t="s">
        <v>32</v>
      </c>
      <c r="D4976" s="50">
        <v>40.94</v>
      </c>
    </row>
    <row r="4977" spans="1:4" ht="13.5">
      <c r="A4977" s="49">
        <v>89354</v>
      </c>
      <c r="B4977" s="48" t="s">
        <v>21151</v>
      </c>
      <c r="C4977" s="48" t="s">
        <v>32</v>
      </c>
      <c r="D4977" s="50">
        <v>382.46</v>
      </c>
    </row>
    <row r="4978" spans="1:4" ht="13.5">
      <c r="A4978" s="49">
        <v>89969</v>
      </c>
      <c r="B4978" s="48" t="s">
        <v>5859</v>
      </c>
      <c r="C4978" s="48" t="s">
        <v>32</v>
      </c>
      <c r="D4978" s="50">
        <v>44.18</v>
      </c>
    </row>
    <row r="4979" spans="1:4" ht="13.5">
      <c r="A4979" s="49">
        <v>89970</v>
      </c>
      <c r="B4979" s="48" t="s">
        <v>5860</v>
      </c>
      <c r="C4979" s="48" t="s">
        <v>32</v>
      </c>
      <c r="D4979" s="50">
        <v>48.05</v>
      </c>
    </row>
    <row r="4980" spans="1:4" ht="13.5">
      <c r="A4980" s="49">
        <v>89971</v>
      </c>
      <c r="B4980" s="48" t="s">
        <v>5861</v>
      </c>
      <c r="C4980" s="48" t="s">
        <v>32</v>
      </c>
      <c r="D4980" s="50">
        <v>48.48</v>
      </c>
    </row>
    <row r="4981" spans="1:4" ht="13.5">
      <c r="A4981" s="49">
        <v>89972</v>
      </c>
      <c r="B4981" s="48" t="s">
        <v>5862</v>
      </c>
      <c r="C4981" s="48" t="s">
        <v>32</v>
      </c>
      <c r="D4981" s="50">
        <v>54.06</v>
      </c>
    </row>
    <row r="4982" spans="1:4" ht="13.5">
      <c r="A4982" s="49">
        <v>89973</v>
      </c>
      <c r="B4982" s="48" t="s">
        <v>5863</v>
      </c>
      <c r="C4982" s="48" t="s">
        <v>32</v>
      </c>
      <c r="D4982" s="50">
        <v>624.02</v>
      </c>
    </row>
    <row r="4983" spans="1:4" ht="13.5">
      <c r="A4983" s="49">
        <v>89974</v>
      </c>
      <c r="B4983" s="48" t="s">
        <v>5864</v>
      </c>
      <c r="C4983" s="48" t="s">
        <v>32</v>
      </c>
      <c r="D4983" s="50">
        <v>328.05</v>
      </c>
    </row>
    <row r="4984" spans="1:4" ht="13.5">
      <c r="A4984" s="49">
        <v>89984</v>
      </c>
      <c r="B4984" s="48" t="s">
        <v>21152</v>
      </c>
      <c r="C4984" s="48" t="s">
        <v>32</v>
      </c>
      <c r="D4984" s="50">
        <v>88.47</v>
      </c>
    </row>
    <row r="4985" spans="1:4" ht="13.5">
      <c r="A4985" s="49">
        <v>89985</v>
      </c>
      <c r="B4985" s="48" t="s">
        <v>21153</v>
      </c>
      <c r="C4985" s="48" t="s">
        <v>32</v>
      </c>
      <c r="D4985" s="50">
        <v>92.75</v>
      </c>
    </row>
    <row r="4986" spans="1:4" ht="13.5">
      <c r="A4986" s="49">
        <v>89986</v>
      </c>
      <c r="B4986" s="48" t="s">
        <v>21154</v>
      </c>
      <c r="C4986" s="48" t="s">
        <v>32</v>
      </c>
      <c r="D4986" s="50">
        <v>86.16</v>
      </c>
    </row>
    <row r="4987" spans="1:4" ht="13.5">
      <c r="A4987" s="49">
        <v>89987</v>
      </c>
      <c r="B4987" s="48" t="s">
        <v>21155</v>
      </c>
      <c r="C4987" s="48" t="s">
        <v>32</v>
      </c>
      <c r="D4987" s="50">
        <v>97.81</v>
      </c>
    </row>
    <row r="4988" spans="1:4" ht="13.5">
      <c r="A4988" s="49">
        <v>90371</v>
      </c>
      <c r="B4988" s="48" t="s">
        <v>21156</v>
      </c>
      <c r="C4988" s="48" t="s">
        <v>32</v>
      </c>
      <c r="D4988" s="50">
        <v>36.83</v>
      </c>
    </row>
    <row r="4989" spans="1:4" ht="13.5">
      <c r="A4989" s="49">
        <v>94489</v>
      </c>
      <c r="B4989" s="48" t="s">
        <v>21157</v>
      </c>
      <c r="C4989" s="48" t="s">
        <v>32</v>
      </c>
      <c r="D4989" s="50">
        <v>37.64</v>
      </c>
    </row>
    <row r="4990" spans="1:4" ht="13.5">
      <c r="A4990" s="49">
        <v>94490</v>
      </c>
      <c r="B4990" s="48" t="s">
        <v>21158</v>
      </c>
      <c r="C4990" s="48" t="s">
        <v>32</v>
      </c>
      <c r="D4990" s="50">
        <v>56.93</v>
      </c>
    </row>
    <row r="4991" spans="1:4" ht="13.5">
      <c r="A4991" s="49">
        <v>94491</v>
      </c>
      <c r="B4991" s="48" t="s">
        <v>21159</v>
      </c>
      <c r="C4991" s="48" t="s">
        <v>32</v>
      </c>
      <c r="D4991" s="50">
        <v>77.28</v>
      </c>
    </row>
    <row r="4992" spans="1:4" ht="13.5">
      <c r="A4992" s="49">
        <v>94492</v>
      </c>
      <c r="B4992" s="48" t="s">
        <v>21160</v>
      </c>
      <c r="C4992" s="48" t="s">
        <v>32</v>
      </c>
      <c r="D4992" s="50">
        <v>79.56</v>
      </c>
    </row>
    <row r="4993" spans="1:4" ht="13.5">
      <c r="A4993" s="49">
        <v>94493</v>
      </c>
      <c r="B4993" s="48" t="s">
        <v>21161</v>
      </c>
      <c r="C4993" s="48" t="s">
        <v>32</v>
      </c>
      <c r="D4993" s="50">
        <v>145.99</v>
      </c>
    </row>
    <row r="4994" spans="1:4" ht="13.5">
      <c r="A4994" s="49">
        <v>94495</v>
      </c>
      <c r="B4994" s="48" t="s">
        <v>21162</v>
      </c>
      <c r="C4994" s="48" t="s">
        <v>32</v>
      </c>
      <c r="D4994" s="50">
        <v>63.58</v>
      </c>
    </row>
    <row r="4995" spans="1:4" ht="13.5">
      <c r="A4995" s="49">
        <v>94496</v>
      </c>
      <c r="B4995" s="48" t="s">
        <v>21163</v>
      </c>
      <c r="C4995" s="48" t="s">
        <v>32</v>
      </c>
      <c r="D4995" s="50">
        <v>86.63</v>
      </c>
    </row>
    <row r="4996" spans="1:4" ht="13.5">
      <c r="A4996" s="49">
        <v>94497</v>
      </c>
      <c r="B4996" s="48" t="s">
        <v>21164</v>
      </c>
      <c r="C4996" s="48" t="s">
        <v>32</v>
      </c>
      <c r="D4996" s="50">
        <v>109.66</v>
      </c>
    </row>
    <row r="4997" spans="1:4" ht="13.5">
      <c r="A4997" s="49">
        <v>94498</v>
      </c>
      <c r="B4997" s="48" t="s">
        <v>21165</v>
      </c>
      <c r="C4997" s="48" t="s">
        <v>32</v>
      </c>
      <c r="D4997" s="50">
        <v>151.65</v>
      </c>
    </row>
    <row r="4998" spans="1:4" ht="13.5">
      <c r="A4998" s="49">
        <v>94499</v>
      </c>
      <c r="B4998" s="48" t="s">
        <v>21166</v>
      </c>
      <c r="C4998" s="48" t="s">
        <v>32</v>
      </c>
      <c r="D4998" s="50">
        <v>304.45</v>
      </c>
    </row>
    <row r="4999" spans="1:4" ht="13.5">
      <c r="A4999" s="49">
        <v>94500</v>
      </c>
      <c r="B4999" s="48" t="s">
        <v>21167</v>
      </c>
      <c r="C4999" s="48" t="s">
        <v>32</v>
      </c>
      <c r="D4999" s="50">
        <v>369.32</v>
      </c>
    </row>
    <row r="5000" spans="1:4" ht="13.5">
      <c r="A5000" s="49">
        <v>94501</v>
      </c>
      <c r="B5000" s="48" t="s">
        <v>21168</v>
      </c>
      <c r="C5000" s="48" t="s">
        <v>32</v>
      </c>
      <c r="D5000" s="50">
        <v>750.95</v>
      </c>
    </row>
    <row r="5001" spans="1:4" ht="13.5">
      <c r="A5001" s="49">
        <v>94792</v>
      </c>
      <c r="B5001" s="48" t="s">
        <v>21169</v>
      </c>
      <c r="C5001" s="48" t="s">
        <v>32</v>
      </c>
      <c r="D5001" s="50">
        <v>119.3</v>
      </c>
    </row>
    <row r="5002" spans="1:4" ht="13.5">
      <c r="A5002" s="49">
        <v>94793</v>
      </c>
      <c r="B5002" s="48" t="s">
        <v>21170</v>
      </c>
      <c r="C5002" s="48" t="s">
        <v>32</v>
      </c>
      <c r="D5002" s="50">
        <v>163.96</v>
      </c>
    </row>
    <row r="5003" spans="1:4" ht="13.5">
      <c r="A5003" s="49">
        <v>94794</v>
      </c>
      <c r="B5003" s="48" t="s">
        <v>21171</v>
      </c>
      <c r="C5003" s="48" t="s">
        <v>32</v>
      </c>
      <c r="D5003" s="50">
        <v>173.36</v>
      </c>
    </row>
    <row r="5004" spans="1:4" ht="13.5">
      <c r="A5004" s="49">
        <v>94795</v>
      </c>
      <c r="B5004" s="48" t="s">
        <v>21172</v>
      </c>
      <c r="C5004" s="48" t="s">
        <v>32</v>
      </c>
      <c r="D5004" s="50">
        <v>34.46</v>
      </c>
    </row>
    <row r="5005" spans="1:4" ht="13.5">
      <c r="A5005" s="49">
        <v>94796</v>
      </c>
      <c r="B5005" s="48" t="s">
        <v>21173</v>
      </c>
      <c r="C5005" s="48" t="s">
        <v>32</v>
      </c>
      <c r="D5005" s="50">
        <v>39.43</v>
      </c>
    </row>
    <row r="5006" spans="1:4" ht="13.5">
      <c r="A5006" s="49">
        <v>94797</v>
      </c>
      <c r="B5006" s="48" t="s">
        <v>21174</v>
      </c>
      <c r="C5006" s="48" t="s">
        <v>32</v>
      </c>
      <c r="D5006" s="50">
        <v>81.91</v>
      </c>
    </row>
    <row r="5007" spans="1:4" ht="13.5">
      <c r="A5007" s="49">
        <v>94798</v>
      </c>
      <c r="B5007" s="48" t="s">
        <v>21175</v>
      </c>
      <c r="C5007" s="48" t="s">
        <v>32</v>
      </c>
      <c r="D5007" s="50">
        <v>136.04</v>
      </c>
    </row>
    <row r="5008" spans="1:4" ht="13.5">
      <c r="A5008" s="49">
        <v>94799</v>
      </c>
      <c r="B5008" s="48" t="s">
        <v>21176</v>
      </c>
      <c r="C5008" s="48" t="s">
        <v>32</v>
      </c>
      <c r="D5008" s="50">
        <v>166.96</v>
      </c>
    </row>
    <row r="5009" spans="1:4" ht="13.5">
      <c r="A5009" s="49">
        <v>94800</v>
      </c>
      <c r="B5009" s="48" t="s">
        <v>21177</v>
      </c>
      <c r="C5009" s="48" t="s">
        <v>32</v>
      </c>
      <c r="D5009" s="50">
        <v>214.37</v>
      </c>
    </row>
    <row r="5010" spans="1:4" ht="13.5">
      <c r="A5010" s="49">
        <v>95248</v>
      </c>
      <c r="B5010" s="48" t="s">
        <v>21178</v>
      </c>
      <c r="C5010" s="48" t="s">
        <v>32</v>
      </c>
      <c r="D5010" s="50">
        <v>54.76</v>
      </c>
    </row>
    <row r="5011" spans="1:4" ht="13.5">
      <c r="A5011" s="49">
        <v>95249</v>
      </c>
      <c r="B5011" s="48" t="s">
        <v>21179</v>
      </c>
      <c r="C5011" s="48" t="s">
        <v>32</v>
      </c>
      <c r="D5011" s="50">
        <v>64.3</v>
      </c>
    </row>
    <row r="5012" spans="1:4" ht="13.5">
      <c r="A5012" s="49">
        <v>95250</v>
      </c>
      <c r="B5012" s="48" t="s">
        <v>21180</v>
      </c>
      <c r="C5012" s="48" t="s">
        <v>32</v>
      </c>
      <c r="D5012" s="50">
        <v>86.79</v>
      </c>
    </row>
    <row r="5013" spans="1:4" ht="13.5">
      <c r="A5013" s="49">
        <v>95251</v>
      </c>
      <c r="B5013" s="48" t="s">
        <v>21181</v>
      </c>
      <c r="C5013" s="48" t="s">
        <v>32</v>
      </c>
      <c r="D5013" s="50">
        <v>128.57</v>
      </c>
    </row>
    <row r="5014" spans="1:4" ht="13.5">
      <c r="A5014" s="49">
        <v>95252</v>
      </c>
      <c r="B5014" s="48" t="s">
        <v>21182</v>
      </c>
      <c r="C5014" s="48" t="s">
        <v>32</v>
      </c>
      <c r="D5014" s="50">
        <v>155.68</v>
      </c>
    </row>
    <row r="5015" spans="1:4" ht="13.5">
      <c r="A5015" s="49">
        <v>95253</v>
      </c>
      <c r="B5015" s="48" t="s">
        <v>21183</v>
      </c>
      <c r="C5015" s="48" t="s">
        <v>32</v>
      </c>
      <c r="D5015" s="50">
        <v>237.4</v>
      </c>
    </row>
    <row r="5016" spans="1:4" ht="13.5">
      <c r="A5016" s="49">
        <v>99619</v>
      </c>
      <c r="B5016" s="48" t="s">
        <v>21184</v>
      </c>
      <c r="C5016" s="48" t="s">
        <v>32</v>
      </c>
      <c r="D5016" s="50">
        <v>84.37</v>
      </c>
    </row>
    <row r="5017" spans="1:4" ht="13.5">
      <c r="A5017" s="49">
        <v>99620</v>
      </c>
      <c r="B5017" s="48" t="s">
        <v>21185</v>
      </c>
      <c r="C5017" s="48" t="s">
        <v>32</v>
      </c>
      <c r="D5017" s="50">
        <v>114.62</v>
      </c>
    </row>
    <row r="5018" spans="1:4" ht="13.5">
      <c r="A5018" s="49">
        <v>99621</v>
      </c>
      <c r="B5018" s="48" t="s">
        <v>21186</v>
      </c>
      <c r="C5018" s="48" t="s">
        <v>32</v>
      </c>
      <c r="D5018" s="50">
        <v>170.75</v>
      </c>
    </row>
    <row r="5019" spans="1:4" ht="13.5">
      <c r="A5019" s="49">
        <v>99622</v>
      </c>
      <c r="B5019" s="48" t="s">
        <v>21187</v>
      </c>
      <c r="C5019" s="48" t="s">
        <v>32</v>
      </c>
      <c r="D5019" s="50">
        <v>192.3</v>
      </c>
    </row>
    <row r="5020" spans="1:4" ht="13.5">
      <c r="A5020" s="49">
        <v>99623</v>
      </c>
      <c r="B5020" s="48" t="s">
        <v>21188</v>
      </c>
      <c r="C5020" s="48" t="s">
        <v>32</v>
      </c>
      <c r="D5020" s="50">
        <v>268.24</v>
      </c>
    </row>
    <row r="5021" spans="1:4" ht="13.5">
      <c r="A5021" s="49">
        <v>99624</v>
      </c>
      <c r="B5021" s="48" t="s">
        <v>21189</v>
      </c>
      <c r="C5021" s="48" t="s">
        <v>32</v>
      </c>
      <c r="D5021" s="50">
        <v>382.32</v>
      </c>
    </row>
    <row r="5022" spans="1:4" ht="13.5">
      <c r="A5022" s="49">
        <v>99625</v>
      </c>
      <c r="B5022" s="48" t="s">
        <v>21190</v>
      </c>
      <c r="C5022" s="48" t="s">
        <v>32</v>
      </c>
      <c r="D5022" s="50">
        <v>525.66999999999996</v>
      </c>
    </row>
    <row r="5023" spans="1:4" ht="13.5">
      <c r="A5023" s="49">
        <v>99626</v>
      </c>
      <c r="B5023" s="48" t="s">
        <v>21191</v>
      </c>
      <c r="C5023" s="48" t="s">
        <v>32</v>
      </c>
      <c r="D5023" s="50">
        <v>808.9</v>
      </c>
    </row>
    <row r="5024" spans="1:4" ht="13.5">
      <c r="A5024" s="49">
        <v>99627</v>
      </c>
      <c r="B5024" s="48" t="s">
        <v>21192</v>
      </c>
      <c r="C5024" s="48" t="s">
        <v>32</v>
      </c>
      <c r="D5024" s="50">
        <v>50.93</v>
      </c>
    </row>
    <row r="5025" spans="1:4" ht="13.5">
      <c r="A5025" s="49">
        <v>99628</v>
      </c>
      <c r="B5025" s="48" t="s">
        <v>21193</v>
      </c>
      <c r="C5025" s="48" t="s">
        <v>32</v>
      </c>
      <c r="D5025" s="50">
        <v>55.69</v>
      </c>
    </row>
    <row r="5026" spans="1:4" ht="13.5">
      <c r="A5026" s="49">
        <v>99629</v>
      </c>
      <c r="B5026" s="48" t="s">
        <v>21194</v>
      </c>
      <c r="C5026" s="48" t="s">
        <v>32</v>
      </c>
      <c r="D5026" s="50">
        <v>61.97</v>
      </c>
    </row>
    <row r="5027" spans="1:4" ht="13.5">
      <c r="A5027" s="49">
        <v>99630</v>
      </c>
      <c r="B5027" s="48" t="s">
        <v>21195</v>
      </c>
      <c r="C5027" s="48" t="s">
        <v>32</v>
      </c>
      <c r="D5027" s="50">
        <v>92.12</v>
      </c>
    </row>
    <row r="5028" spans="1:4" ht="13.5">
      <c r="A5028" s="49">
        <v>99631</v>
      </c>
      <c r="B5028" s="48" t="s">
        <v>21196</v>
      </c>
      <c r="C5028" s="48" t="s">
        <v>32</v>
      </c>
      <c r="D5028" s="50">
        <v>107.32</v>
      </c>
    </row>
    <row r="5029" spans="1:4" ht="13.5">
      <c r="A5029" s="49">
        <v>99632</v>
      </c>
      <c r="B5029" s="48" t="s">
        <v>21197</v>
      </c>
      <c r="C5029" s="48" t="s">
        <v>32</v>
      </c>
      <c r="D5029" s="50">
        <v>154.61000000000001</v>
      </c>
    </row>
    <row r="5030" spans="1:4" ht="13.5">
      <c r="A5030" s="49">
        <v>99633</v>
      </c>
      <c r="B5030" s="48" t="s">
        <v>21198</v>
      </c>
      <c r="C5030" s="48" t="s">
        <v>32</v>
      </c>
      <c r="D5030" s="50">
        <v>331.26</v>
      </c>
    </row>
    <row r="5031" spans="1:4" ht="13.5">
      <c r="A5031" s="49">
        <v>99634</v>
      </c>
      <c r="B5031" s="48" t="s">
        <v>21199</v>
      </c>
      <c r="C5031" s="48" t="s">
        <v>32</v>
      </c>
      <c r="D5031" s="50">
        <v>564.28</v>
      </c>
    </row>
    <row r="5032" spans="1:4" ht="13.5">
      <c r="A5032" s="49">
        <v>99635</v>
      </c>
      <c r="B5032" s="48" t="s">
        <v>21200</v>
      </c>
      <c r="C5032" s="48" t="s">
        <v>32</v>
      </c>
      <c r="D5032" s="50">
        <v>254.04</v>
      </c>
    </row>
    <row r="5033" spans="1:4" ht="13.5">
      <c r="A5033" s="49">
        <v>103008</v>
      </c>
      <c r="B5033" s="48" t="s">
        <v>21201</v>
      </c>
      <c r="C5033" s="48" t="s">
        <v>32</v>
      </c>
      <c r="D5033" s="50">
        <v>68.86</v>
      </c>
    </row>
    <row r="5034" spans="1:4" ht="13.5">
      <c r="A5034" s="49">
        <v>103009</v>
      </c>
      <c r="B5034" s="48" t="s">
        <v>21202</v>
      </c>
      <c r="C5034" s="48" t="s">
        <v>32</v>
      </c>
      <c r="D5034" s="50">
        <v>244.11</v>
      </c>
    </row>
    <row r="5035" spans="1:4" ht="13.5">
      <c r="A5035" s="49">
        <v>103010</v>
      </c>
      <c r="B5035" s="48" t="s">
        <v>21203</v>
      </c>
      <c r="C5035" s="48" t="s">
        <v>32</v>
      </c>
      <c r="D5035" s="50">
        <v>52.22</v>
      </c>
    </row>
    <row r="5036" spans="1:4" ht="13.5">
      <c r="A5036" s="49">
        <v>103011</v>
      </c>
      <c r="B5036" s="48" t="s">
        <v>21204</v>
      </c>
      <c r="C5036" s="48" t="s">
        <v>32</v>
      </c>
      <c r="D5036" s="50">
        <v>58.27</v>
      </c>
    </row>
    <row r="5037" spans="1:4" ht="13.5">
      <c r="A5037" s="49">
        <v>103012</v>
      </c>
      <c r="B5037" s="48" t="s">
        <v>21205</v>
      </c>
      <c r="C5037" s="48" t="s">
        <v>32</v>
      </c>
      <c r="D5037" s="50">
        <v>91.82</v>
      </c>
    </row>
    <row r="5038" spans="1:4" ht="13.5">
      <c r="A5038" s="49">
        <v>103013</v>
      </c>
      <c r="B5038" s="48" t="s">
        <v>21206</v>
      </c>
      <c r="C5038" s="48" t="s">
        <v>32</v>
      </c>
      <c r="D5038" s="50">
        <v>98.94</v>
      </c>
    </row>
    <row r="5039" spans="1:4" ht="13.5">
      <c r="A5039" s="49">
        <v>103014</v>
      </c>
      <c r="B5039" s="48" t="s">
        <v>21207</v>
      </c>
      <c r="C5039" s="48" t="s">
        <v>32</v>
      </c>
      <c r="D5039" s="50">
        <v>148.69</v>
      </c>
    </row>
    <row r="5040" spans="1:4" ht="13.5">
      <c r="A5040" s="49">
        <v>103015</v>
      </c>
      <c r="B5040" s="48" t="s">
        <v>21208</v>
      </c>
      <c r="C5040" s="48" t="s">
        <v>32</v>
      </c>
      <c r="D5040" s="50">
        <v>262.64</v>
      </c>
    </row>
    <row r="5041" spans="1:4" ht="13.5">
      <c r="A5041" s="49">
        <v>103016</v>
      </c>
      <c r="B5041" s="48" t="s">
        <v>21209</v>
      </c>
      <c r="C5041" s="48" t="s">
        <v>32</v>
      </c>
      <c r="D5041" s="50">
        <v>358.96</v>
      </c>
    </row>
    <row r="5042" spans="1:4" ht="13.5">
      <c r="A5042" s="49">
        <v>103017</v>
      </c>
      <c r="B5042" s="48" t="s">
        <v>21210</v>
      </c>
      <c r="C5042" s="48" t="s">
        <v>32</v>
      </c>
      <c r="D5042" s="50">
        <v>626.14</v>
      </c>
    </row>
    <row r="5043" spans="1:4" ht="13.5">
      <c r="A5043" s="49">
        <v>103018</v>
      </c>
      <c r="B5043" s="48" t="s">
        <v>21211</v>
      </c>
      <c r="C5043" s="48" t="s">
        <v>32</v>
      </c>
      <c r="D5043" s="50">
        <v>207.9</v>
      </c>
    </row>
    <row r="5044" spans="1:4" ht="13.5">
      <c r="A5044" s="49">
        <v>103019</v>
      </c>
      <c r="B5044" s="48" t="s">
        <v>21212</v>
      </c>
      <c r="C5044" s="48" t="s">
        <v>32</v>
      </c>
      <c r="D5044" s="50">
        <v>201.74</v>
      </c>
    </row>
    <row r="5045" spans="1:4" ht="13.5">
      <c r="A5045" s="49">
        <v>103029</v>
      </c>
      <c r="B5045" s="48" t="s">
        <v>21213</v>
      </c>
      <c r="C5045" s="48" t="s">
        <v>32</v>
      </c>
      <c r="D5045" s="50">
        <v>46.96</v>
      </c>
    </row>
    <row r="5046" spans="1:4" ht="13.5">
      <c r="A5046" s="49">
        <v>103036</v>
      </c>
      <c r="B5046" s="48" t="s">
        <v>21214</v>
      </c>
      <c r="C5046" s="48" t="s">
        <v>32</v>
      </c>
      <c r="D5046" s="50">
        <v>29.94</v>
      </c>
    </row>
    <row r="5047" spans="1:4" ht="13.5">
      <c r="A5047" s="49">
        <v>103037</v>
      </c>
      <c r="B5047" s="48" t="s">
        <v>21215</v>
      </c>
      <c r="C5047" s="48" t="s">
        <v>32</v>
      </c>
      <c r="D5047" s="50">
        <v>58.82</v>
      </c>
    </row>
    <row r="5048" spans="1:4" ht="13.5">
      <c r="A5048" s="49">
        <v>103038</v>
      </c>
      <c r="B5048" s="48" t="s">
        <v>21216</v>
      </c>
      <c r="C5048" s="48" t="s">
        <v>32</v>
      </c>
      <c r="D5048" s="50">
        <v>78.680000000000007</v>
      </c>
    </row>
    <row r="5049" spans="1:4" ht="13.5">
      <c r="A5049" s="49">
        <v>103039</v>
      </c>
      <c r="B5049" s="48" t="s">
        <v>21217</v>
      </c>
      <c r="C5049" s="48" t="s">
        <v>32</v>
      </c>
      <c r="D5049" s="50">
        <v>84.64</v>
      </c>
    </row>
    <row r="5050" spans="1:4" ht="13.5">
      <c r="A5050" s="49">
        <v>103040</v>
      </c>
      <c r="B5050" s="48" t="s">
        <v>21218</v>
      </c>
      <c r="C5050" s="48" t="s">
        <v>32</v>
      </c>
      <c r="D5050" s="50">
        <v>126.99</v>
      </c>
    </row>
    <row r="5051" spans="1:4" ht="13.5">
      <c r="A5051" s="49">
        <v>103041</v>
      </c>
      <c r="B5051" s="48" t="s">
        <v>21219</v>
      </c>
      <c r="C5051" s="48" t="s">
        <v>32</v>
      </c>
      <c r="D5051" s="50">
        <v>24.67</v>
      </c>
    </row>
    <row r="5052" spans="1:4" ht="13.5">
      <c r="A5052" s="49">
        <v>103042</v>
      </c>
      <c r="B5052" s="48" t="s">
        <v>21220</v>
      </c>
      <c r="C5052" s="48" t="s">
        <v>32</v>
      </c>
      <c r="D5052" s="50">
        <v>30.02</v>
      </c>
    </row>
    <row r="5053" spans="1:4" ht="13.5">
      <c r="A5053" s="49">
        <v>103043</v>
      </c>
      <c r="B5053" s="48" t="s">
        <v>21221</v>
      </c>
      <c r="C5053" s="48" t="s">
        <v>32</v>
      </c>
      <c r="D5053" s="50">
        <v>28.75</v>
      </c>
    </row>
    <row r="5054" spans="1:4" ht="13.5">
      <c r="A5054" s="49">
        <v>103044</v>
      </c>
      <c r="B5054" s="48" t="s">
        <v>21222</v>
      </c>
      <c r="C5054" s="48" t="s">
        <v>32</v>
      </c>
      <c r="D5054" s="50">
        <v>38.5</v>
      </c>
    </row>
    <row r="5055" spans="1:4" ht="13.5">
      <c r="A5055" s="49">
        <v>103045</v>
      </c>
      <c r="B5055" s="48" t="s">
        <v>21223</v>
      </c>
      <c r="C5055" s="48" t="s">
        <v>32</v>
      </c>
      <c r="D5055" s="50">
        <v>11.28</v>
      </c>
    </row>
    <row r="5056" spans="1:4" ht="13.5">
      <c r="A5056" s="49">
        <v>103046</v>
      </c>
      <c r="B5056" s="48" t="s">
        <v>21224</v>
      </c>
      <c r="C5056" s="48" t="s">
        <v>32</v>
      </c>
      <c r="D5056" s="50">
        <v>28.31</v>
      </c>
    </row>
    <row r="5057" spans="1:4" ht="13.5">
      <c r="A5057" s="49">
        <v>103047</v>
      </c>
      <c r="B5057" s="48" t="s">
        <v>21225</v>
      </c>
      <c r="C5057" s="48" t="s">
        <v>32</v>
      </c>
      <c r="D5057" s="50">
        <v>30.07</v>
      </c>
    </row>
    <row r="5058" spans="1:4" ht="13.5">
      <c r="A5058" s="49">
        <v>103048</v>
      </c>
      <c r="B5058" s="48" t="s">
        <v>21226</v>
      </c>
      <c r="C5058" s="48" t="s">
        <v>32</v>
      </c>
      <c r="D5058" s="50">
        <v>21.98</v>
      </c>
    </row>
    <row r="5059" spans="1:4" ht="13.5">
      <c r="A5059" s="49">
        <v>103049</v>
      </c>
      <c r="B5059" s="48" t="s">
        <v>21227</v>
      </c>
      <c r="C5059" s="48" t="s">
        <v>32</v>
      </c>
      <c r="D5059" s="50">
        <v>24.16</v>
      </c>
    </row>
    <row r="5060" spans="1:4" ht="13.5">
      <c r="A5060" s="49">
        <v>103050</v>
      </c>
      <c r="B5060" s="48" t="s">
        <v>21228</v>
      </c>
      <c r="C5060" s="48" t="s">
        <v>32</v>
      </c>
      <c r="D5060" s="50">
        <v>22.58</v>
      </c>
    </row>
    <row r="5061" spans="1:4" ht="13.5">
      <c r="A5061" s="49">
        <v>103051</v>
      </c>
      <c r="B5061" s="48" t="s">
        <v>21229</v>
      </c>
      <c r="C5061" s="48" t="s">
        <v>32</v>
      </c>
      <c r="D5061" s="50">
        <v>27.63</v>
      </c>
    </row>
    <row r="5062" spans="1:4" ht="13.5">
      <c r="A5062" s="49">
        <v>103052</v>
      </c>
      <c r="B5062" s="48" t="s">
        <v>21230</v>
      </c>
      <c r="C5062" s="48" t="s">
        <v>32</v>
      </c>
      <c r="D5062" s="50">
        <v>39.18</v>
      </c>
    </row>
    <row r="5063" spans="1:4" ht="13.5">
      <c r="A5063" s="49">
        <v>95634</v>
      </c>
      <c r="B5063" s="48" t="s">
        <v>5865</v>
      </c>
      <c r="C5063" s="48" t="s">
        <v>32</v>
      </c>
      <c r="D5063" s="50">
        <v>194.02</v>
      </c>
    </row>
    <row r="5064" spans="1:4" ht="13.5">
      <c r="A5064" s="49">
        <v>95635</v>
      </c>
      <c r="B5064" s="48" t="s">
        <v>5866</v>
      </c>
      <c r="C5064" s="48" t="s">
        <v>32</v>
      </c>
      <c r="D5064" s="50">
        <v>205.67</v>
      </c>
    </row>
    <row r="5065" spans="1:4" ht="13.5">
      <c r="A5065" s="49">
        <v>95636</v>
      </c>
      <c r="B5065" s="48" t="s">
        <v>21231</v>
      </c>
      <c r="C5065" s="48" t="s">
        <v>32</v>
      </c>
      <c r="D5065" s="50">
        <v>351.97</v>
      </c>
    </row>
    <row r="5066" spans="1:4" ht="13.5">
      <c r="A5066" s="49">
        <v>95637</v>
      </c>
      <c r="B5066" s="48" t="s">
        <v>5867</v>
      </c>
      <c r="C5066" s="48" t="s">
        <v>32</v>
      </c>
      <c r="D5066" s="50">
        <v>534.38</v>
      </c>
    </row>
    <row r="5067" spans="1:4" ht="13.5">
      <c r="A5067" s="49">
        <v>95638</v>
      </c>
      <c r="B5067" s="48" t="s">
        <v>5868</v>
      </c>
      <c r="C5067" s="48" t="s">
        <v>32</v>
      </c>
      <c r="D5067" s="50">
        <v>649.82000000000005</v>
      </c>
    </row>
    <row r="5068" spans="1:4" ht="13.5">
      <c r="A5068" s="49">
        <v>95639</v>
      </c>
      <c r="B5068" s="48" t="s">
        <v>5869</v>
      </c>
      <c r="C5068" s="48" t="s">
        <v>32</v>
      </c>
      <c r="D5068" s="50">
        <v>847.6</v>
      </c>
    </row>
    <row r="5069" spans="1:4" ht="13.5">
      <c r="A5069" s="49">
        <v>95641</v>
      </c>
      <c r="B5069" s="48" t="s">
        <v>5870</v>
      </c>
      <c r="C5069" s="48" t="s">
        <v>32</v>
      </c>
      <c r="D5069" s="50">
        <v>326.26</v>
      </c>
    </row>
    <row r="5070" spans="1:4" ht="13.5">
      <c r="A5070" s="49">
        <v>95642</v>
      </c>
      <c r="B5070" s="48" t="s">
        <v>5871</v>
      </c>
      <c r="C5070" s="48" t="s">
        <v>32</v>
      </c>
      <c r="D5070" s="50">
        <v>481.79</v>
      </c>
    </row>
    <row r="5071" spans="1:4" ht="13.5">
      <c r="A5071" s="49">
        <v>95643</v>
      </c>
      <c r="B5071" s="48" t="s">
        <v>5872</v>
      </c>
      <c r="C5071" s="48" t="s">
        <v>32</v>
      </c>
      <c r="D5071" s="50">
        <v>630.49</v>
      </c>
    </row>
    <row r="5072" spans="1:4" ht="13.5">
      <c r="A5072" s="49">
        <v>95644</v>
      </c>
      <c r="B5072" s="48" t="s">
        <v>5873</v>
      </c>
      <c r="C5072" s="48" t="s">
        <v>32</v>
      </c>
      <c r="D5072" s="50">
        <v>245.69</v>
      </c>
    </row>
    <row r="5073" spans="1:4" ht="13.5">
      <c r="A5073" s="49">
        <v>95645</v>
      </c>
      <c r="B5073" s="48" t="s">
        <v>5874</v>
      </c>
      <c r="C5073" s="48" t="s">
        <v>32</v>
      </c>
      <c r="D5073" s="50">
        <v>449.96</v>
      </c>
    </row>
    <row r="5074" spans="1:4" ht="13.5">
      <c r="A5074" s="49">
        <v>95646</v>
      </c>
      <c r="B5074" s="48" t="s">
        <v>5875</v>
      </c>
      <c r="C5074" s="48" t="s">
        <v>32</v>
      </c>
      <c r="D5074" s="50">
        <v>670.76</v>
      </c>
    </row>
    <row r="5075" spans="1:4" ht="13.5">
      <c r="A5075" s="49">
        <v>95647</v>
      </c>
      <c r="B5075" s="48" t="s">
        <v>5876</v>
      </c>
      <c r="C5075" s="48" t="s">
        <v>32</v>
      </c>
      <c r="D5075" s="50">
        <v>879.69</v>
      </c>
    </row>
    <row r="5076" spans="1:4" ht="13.5">
      <c r="A5076" s="49">
        <v>95673</v>
      </c>
      <c r="B5076" s="48" t="s">
        <v>5877</v>
      </c>
      <c r="C5076" s="48" t="s">
        <v>32</v>
      </c>
      <c r="D5076" s="50">
        <v>114.02</v>
      </c>
    </row>
    <row r="5077" spans="1:4" ht="13.5">
      <c r="A5077" s="49">
        <v>95674</v>
      </c>
      <c r="B5077" s="48" t="s">
        <v>5878</v>
      </c>
      <c r="C5077" s="48" t="s">
        <v>32</v>
      </c>
      <c r="D5077" s="50">
        <v>121.07</v>
      </c>
    </row>
    <row r="5078" spans="1:4" ht="13.5">
      <c r="A5078" s="49">
        <v>95675</v>
      </c>
      <c r="B5078" s="48" t="s">
        <v>5879</v>
      </c>
      <c r="C5078" s="48" t="s">
        <v>32</v>
      </c>
      <c r="D5078" s="50">
        <v>147.91999999999999</v>
      </c>
    </row>
    <row r="5079" spans="1:4" ht="13.5">
      <c r="A5079" s="49">
        <v>95676</v>
      </c>
      <c r="B5079" s="48" t="s">
        <v>5880</v>
      </c>
      <c r="C5079" s="48" t="s">
        <v>32</v>
      </c>
      <c r="D5079" s="50">
        <v>77.67</v>
      </c>
    </row>
    <row r="5080" spans="1:4" ht="13.5">
      <c r="A5080" s="49">
        <v>97741</v>
      </c>
      <c r="B5080" s="48" t="s">
        <v>5881</v>
      </c>
      <c r="C5080" s="48" t="s">
        <v>32</v>
      </c>
      <c r="D5080" s="50">
        <v>183.17</v>
      </c>
    </row>
    <row r="5081" spans="1:4" ht="13.5">
      <c r="A5081" s="49">
        <v>90436</v>
      </c>
      <c r="B5081" s="48" t="s">
        <v>5882</v>
      </c>
      <c r="C5081" s="48" t="s">
        <v>32</v>
      </c>
      <c r="D5081" s="50">
        <v>12.15</v>
      </c>
    </row>
    <row r="5082" spans="1:4" ht="13.5">
      <c r="A5082" s="49">
        <v>90437</v>
      </c>
      <c r="B5082" s="48" t="s">
        <v>5883</v>
      </c>
      <c r="C5082" s="48" t="s">
        <v>32</v>
      </c>
      <c r="D5082" s="50">
        <v>29.53</v>
      </c>
    </row>
    <row r="5083" spans="1:4" ht="13.5">
      <c r="A5083" s="49">
        <v>90438</v>
      </c>
      <c r="B5083" s="48" t="s">
        <v>5884</v>
      </c>
      <c r="C5083" s="48" t="s">
        <v>32</v>
      </c>
      <c r="D5083" s="50">
        <v>42.33</v>
      </c>
    </row>
    <row r="5084" spans="1:4" ht="13.5">
      <c r="A5084" s="49">
        <v>90439</v>
      </c>
      <c r="B5084" s="48" t="s">
        <v>5885</v>
      </c>
      <c r="C5084" s="48" t="s">
        <v>32</v>
      </c>
      <c r="D5084" s="50">
        <v>49.98</v>
      </c>
    </row>
    <row r="5085" spans="1:4" ht="13.5">
      <c r="A5085" s="49">
        <v>90440</v>
      </c>
      <c r="B5085" s="48" t="s">
        <v>5886</v>
      </c>
      <c r="C5085" s="48" t="s">
        <v>32</v>
      </c>
      <c r="D5085" s="50">
        <v>80.05</v>
      </c>
    </row>
    <row r="5086" spans="1:4" ht="13.5">
      <c r="A5086" s="49">
        <v>90441</v>
      </c>
      <c r="B5086" s="48" t="s">
        <v>5887</v>
      </c>
      <c r="C5086" s="48" t="s">
        <v>32</v>
      </c>
      <c r="D5086" s="50">
        <v>102.25</v>
      </c>
    </row>
    <row r="5087" spans="1:4" ht="13.5">
      <c r="A5087" s="49">
        <v>90443</v>
      </c>
      <c r="B5087" s="48" t="s">
        <v>5888</v>
      </c>
      <c r="C5087" s="48" t="s">
        <v>6</v>
      </c>
      <c r="D5087" s="50">
        <v>11.05</v>
      </c>
    </row>
    <row r="5088" spans="1:4" ht="13.5">
      <c r="A5088" s="49">
        <v>90444</v>
      </c>
      <c r="B5088" s="48" t="s">
        <v>5889</v>
      </c>
      <c r="C5088" s="48" t="s">
        <v>6</v>
      </c>
      <c r="D5088" s="50">
        <v>21.44</v>
      </c>
    </row>
    <row r="5089" spans="1:4" ht="13.5">
      <c r="A5089" s="49">
        <v>90445</v>
      </c>
      <c r="B5089" s="48" t="s">
        <v>5890</v>
      </c>
      <c r="C5089" s="48" t="s">
        <v>6</v>
      </c>
      <c r="D5089" s="50">
        <v>22.89</v>
      </c>
    </row>
    <row r="5090" spans="1:4" ht="13.5">
      <c r="A5090" s="49">
        <v>90446</v>
      </c>
      <c r="B5090" s="48" t="s">
        <v>5891</v>
      </c>
      <c r="C5090" s="48" t="s">
        <v>6</v>
      </c>
      <c r="D5090" s="50">
        <v>24.87</v>
      </c>
    </row>
    <row r="5091" spans="1:4" ht="13.5">
      <c r="A5091" s="49">
        <v>90447</v>
      </c>
      <c r="B5091" s="48" t="s">
        <v>5892</v>
      </c>
      <c r="C5091" s="48" t="s">
        <v>6</v>
      </c>
      <c r="D5091" s="50">
        <v>6.47</v>
      </c>
    </row>
    <row r="5092" spans="1:4" ht="13.5">
      <c r="A5092" s="49">
        <v>90451</v>
      </c>
      <c r="B5092" s="48" t="s">
        <v>5893</v>
      </c>
      <c r="C5092" s="48" t="s">
        <v>32</v>
      </c>
      <c r="D5092" s="50">
        <v>3.75</v>
      </c>
    </row>
    <row r="5093" spans="1:4" ht="13.5">
      <c r="A5093" s="49">
        <v>90452</v>
      </c>
      <c r="B5093" s="48" t="s">
        <v>5894</v>
      </c>
      <c r="C5093" s="48" t="s">
        <v>32</v>
      </c>
      <c r="D5093" s="50">
        <v>14.65</v>
      </c>
    </row>
    <row r="5094" spans="1:4" ht="13.5">
      <c r="A5094" s="49">
        <v>90453</v>
      </c>
      <c r="B5094" s="48" t="s">
        <v>5895</v>
      </c>
      <c r="C5094" s="48" t="s">
        <v>32</v>
      </c>
      <c r="D5094" s="50">
        <v>2.97</v>
      </c>
    </row>
    <row r="5095" spans="1:4" ht="13.5">
      <c r="A5095" s="49">
        <v>90454</v>
      </c>
      <c r="B5095" s="48" t="s">
        <v>5896</v>
      </c>
      <c r="C5095" s="48" t="s">
        <v>32</v>
      </c>
      <c r="D5095" s="50">
        <v>5.62</v>
      </c>
    </row>
    <row r="5096" spans="1:4" ht="13.5">
      <c r="A5096" s="49">
        <v>90455</v>
      </c>
      <c r="B5096" s="48" t="s">
        <v>5897</v>
      </c>
      <c r="C5096" s="48" t="s">
        <v>32</v>
      </c>
      <c r="D5096" s="50">
        <v>7.13</v>
      </c>
    </row>
    <row r="5097" spans="1:4" ht="13.5">
      <c r="A5097" s="49">
        <v>90456</v>
      </c>
      <c r="B5097" s="48" t="s">
        <v>5898</v>
      </c>
      <c r="C5097" s="48" t="s">
        <v>32</v>
      </c>
      <c r="D5097" s="50">
        <v>3.54</v>
      </c>
    </row>
    <row r="5098" spans="1:4" ht="13.5">
      <c r="A5098" s="49">
        <v>90457</v>
      </c>
      <c r="B5098" s="48" t="s">
        <v>5899</v>
      </c>
      <c r="C5098" s="48" t="s">
        <v>32</v>
      </c>
      <c r="D5098" s="50">
        <v>8.08</v>
      </c>
    </row>
    <row r="5099" spans="1:4" ht="13.5">
      <c r="A5099" s="49">
        <v>90458</v>
      </c>
      <c r="B5099" s="48" t="s">
        <v>5900</v>
      </c>
      <c r="C5099" s="48" t="s">
        <v>32</v>
      </c>
      <c r="D5099" s="50">
        <v>22.94</v>
      </c>
    </row>
    <row r="5100" spans="1:4" ht="13.5">
      <c r="A5100" s="49">
        <v>90459</v>
      </c>
      <c r="B5100" s="48" t="s">
        <v>5901</v>
      </c>
      <c r="C5100" s="48" t="s">
        <v>32</v>
      </c>
      <c r="D5100" s="50">
        <v>32.369999999999997</v>
      </c>
    </row>
    <row r="5101" spans="1:4" ht="13.5">
      <c r="A5101" s="49">
        <v>90460</v>
      </c>
      <c r="B5101" s="48" t="s">
        <v>21232</v>
      </c>
      <c r="C5101" s="48" t="s">
        <v>6</v>
      </c>
      <c r="D5101" s="50">
        <v>10.119999999999999</v>
      </c>
    </row>
    <row r="5102" spans="1:4" ht="13.5">
      <c r="A5102" s="49">
        <v>90461</v>
      </c>
      <c r="B5102" s="48" t="s">
        <v>21233</v>
      </c>
      <c r="C5102" s="48" t="s">
        <v>6</v>
      </c>
      <c r="D5102" s="50">
        <v>6.59</v>
      </c>
    </row>
    <row r="5103" spans="1:4" ht="13.5">
      <c r="A5103" s="49">
        <v>90462</v>
      </c>
      <c r="B5103" s="48" t="s">
        <v>21234</v>
      </c>
      <c r="C5103" s="48" t="s">
        <v>6</v>
      </c>
      <c r="D5103" s="50">
        <v>1.35</v>
      </c>
    </row>
    <row r="5104" spans="1:4" ht="13.5">
      <c r="A5104" s="49">
        <v>90463</v>
      </c>
      <c r="B5104" s="48" t="s">
        <v>21235</v>
      </c>
      <c r="C5104" s="48" t="s">
        <v>6</v>
      </c>
      <c r="D5104" s="50">
        <v>1.19</v>
      </c>
    </row>
    <row r="5105" spans="1:4" ht="13.5">
      <c r="A5105" s="49">
        <v>90466</v>
      </c>
      <c r="B5105" s="48" t="s">
        <v>5902</v>
      </c>
      <c r="C5105" s="48" t="s">
        <v>6</v>
      </c>
      <c r="D5105" s="50">
        <v>10.94</v>
      </c>
    </row>
    <row r="5106" spans="1:4" ht="13.5">
      <c r="A5106" s="49">
        <v>90467</v>
      </c>
      <c r="B5106" s="48" t="s">
        <v>5903</v>
      </c>
      <c r="C5106" s="48" t="s">
        <v>6</v>
      </c>
      <c r="D5106" s="50">
        <v>17.29</v>
      </c>
    </row>
    <row r="5107" spans="1:4" ht="13.5">
      <c r="A5107" s="49">
        <v>90468</v>
      </c>
      <c r="B5107" s="48" t="s">
        <v>5904</v>
      </c>
      <c r="C5107" s="48" t="s">
        <v>6</v>
      </c>
      <c r="D5107" s="50">
        <v>4.75</v>
      </c>
    </row>
    <row r="5108" spans="1:4" ht="13.5">
      <c r="A5108" s="49">
        <v>90469</v>
      </c>
      <c r="B5108" s="48" t="s">
        <v>5905</v>
      </c>
      <c r="C5108" s="48" t="s">
        <v>6</v>
      </c>
      <c r="D5108" s="50">
        <v>7.6</v>
      </c>
    </row>
    <row r="5109" spans="1:4" ht="13.5">
      <c r="A5109" s="49">
        <v>90470</v>
      </c>
      <c r="B5109" s="48" t="s">
        <v>5906</v>
      </c>
      <c r="C5109" s="48" t="s">
        <v>6</v>
      </c>
      <c r="D5109" s="50">
        <v>10.43</v>
      </c>
    </row>
    <row r="5110" spans="1:4" ht="13.5">
      <c r="A5110" s="49">
        <v>91166</v>
      </c>
      <c r="B5110" s="48" t="s">
        <v>5907</v>
      </c>
      <c r="C5110" s="48" t="s">
        <v>6</v>
      </c>
      <c r="D5110" s="50">
        <v>3.49</v>
      </c>
    </row>
    <row r="5111" spans="1:4" ht="13.5">
      <c r="A5111" s="49">
        <v>91167</v>
      </c>
      <c r="B5111" s="48" t="s">
        <v>5908</v>
      </c>
      <c r="C5111" s="48" t="s">
        <v>6</v>
      </c>
      <c r="D5111" s="50">
        <v>11.65</v>
      </c>
    </row>
    <row r="5112" spans="1:4" ht="13.5">
      <c r="A5112" s="49">
        <v>91168</v>
      </c>
      <c r="B5112" s="48" t="s">
        <v>5909</v>
      </c>
      <c r="C5112" s="48" t="s">
        <v>6</v>
      </c>
      <c r="D5112" s="50">
        <v>8.89</v>
      </c>
    </row>
    <row r="5113" spans="1:4" ht="13.5">
      <c r="A5113" s="49">
        <v>91169</v>
      </c>
      <c r="B5113" s="48" t="s">
        <v>5910</v>
      </c>
      <c r="C5113" s="48" t="s">
        <v>6</v>
      </c>
      <c r="D5113" s="50">
        <v>10.49</v>
      </c>
    </row>
    <row r="5114" spans="1:4" ht="13.5">
      <c r="A5114" s="49">
        <v>91170</v>
      </c>
      <c r="B5114" s="48" t="s">
        <v>5911</v>
      </c>
      <c r="C5114" s="48" t="s">
        <v>6</v>
      </c>
      <c r="D5114" s="50">
        <v>3</v>
      </c>
    </row>
    <row r="5115" spans="1:4" ht="13.5">
      <c r="A5115" s="49">
        <v>91171</v>
      </c>
      <c r="B5115" s="48" t="s">
        <v>5912</v>
      </c>
      <c r="C5115" s="48" t="s">
        <v>6</v>
      </c>
      <c r="D5115" s="50">
        <v>3.78</v>
      </c>
    </row>
    <row r="5116" spans="1:4" ht="13.5">
      <c r="A5116" s="49">
        <v>91172</v>
      </c>
      <c r="B5116" s="48" t="s">
        <v>5913</v>
      </c>
      <c r="C5116" s="48" t="s">
        <v>6</v>
      </c>
      <c r="D5116" s="50">
        <v>5.55</v>
      </c>
    </row>
    <row r="5117" spans="1:4" ht="13.5">
      <c r="A5117" s="49">
        <v>91173</v>
      </c>
      <c r="B5117" s="48" t="s">
        <v>5914</v>
      </c>
      <c r="C5117" s="48" t="s">
        <v>6</v>
      </c>
      <c r="D5117" s="50">
        <v>1.51</v>
      </c>
    </row>
    <row r="5118" spans="1:4" ht="13.5">
      <c r="A5118" s="49">
        <v>91174</v>
      </c>
      <c r="B5118" s="48" t="s">
        <v>5915</v>
      </c>
      <c r="C5118" s="48" t="s">
        <v>6</v>
      </c>
      <c r="D5118" s="50">
        <v>3</v>
      </c>
    </row>
    <row r="5119" spans="1:4" ht="13.5">
      <c r="A5119" s="49">
        <v>91175</v>
      </c>
      <c r="B5119" s="48" t="s">
        <v>5916</v>
      </c>
      <c r="C5119" s="48" t="s">
        <v>6</v>
      </c>
      <c r="D5119" s="50">
        <v>4.87</v>
      </c>
    </row>
    <row r="5120" spans="1:4" ht="13.5">
      <c r="A5120" s="49">
        <v>91176</v>
      </c>
      <c r="B5120" s="48" t="s">
        <v>5917</v>
      </c>
      <c r="C5120" s="48" t="s">
        <v>6</v>
      </c>
      <c r="D5120" s="50">
        <v>25.2</v>
      </c>
    </row>
    <row r="5121" spans="1:4" ht="13.5">
      <c r="A5121" s="49">
        <v>91177</v>
      </c>
      <c r="B5121" s="48" t="s">
        <v>5918</v>
      </c>
      <c r="C5121" s="48" t="s">
        <v>6</v>
      </c>
      <c r="D5121" s="50">
        <v>12.02</v>
      </c>
    </row>
    <row r="5122" spans="1:4" ht="13.5">
      <c r="A5122" s="49">
        <v>91178</v>
      </c>
      <c r="B5122" s="48" t="s">
        <v>5919</v>
      </c>
      <c r="C5122" s="48" t="s">
        <v>6</v>
      </c>
      <c r="D5122" s="50">
        <v>14.32</v>
      </c>
    </row>
    <row r="5123" spans="1:4" ht="13.5">
      <c r="A5123" s="49">
        <v>91179</v>
      </c>
      <c r="B5123" s="48" t="s">
        <v>5920</v>
      </c>
      <c r="C5123" s="48" t="s">
        <v>6</v>
      </c>
      <c r="D5123" s="50">
        <v>6.48</v>
      </c>
    </row>
    <row r="5124" spans="1:4" ht="13.5">
      <c r="A5124" s="49">
        <v>91180</v>
      </c>
      <c r="B5124" s="48" t="s">
        <v>5921</v>
      </c>
      <c r="C5124" s="48" t="s">
        <v>6</v>
      </c>
      <c r="D5124" s="50">
        <v>5.98</v>
      </c>
    </row>
    <row r="5125" spans="1:4" ht="13.5">
      <c r="A5125" s="49">
        <v>91181</v>
      </c>
      <c r="B5125" s="48" t="s">
        <v>5922</v>
      </c>
      <c r="C5125" s="48" t="s">
        <v>6</v>
      </c>
      <c r="D5125" s="50">
        <v>6.63</v>
      </c>
    </row>
    <row r="5126" spans="1:4" ht="13.5">
      <c r="A5126" s="49">
        <v>91182</v>
      </c>
      <c r="B5126" s="48" t="s">
        <v>5923</v>
      </c>
      <c r="C5126" s="48" t="s">
        <v>6</v>
      </c>
      <c r="D5126" s="50">
        <v>24.03</v>
      </c>
    </row>
    <row r="5127" spans="1:4" ht="13.5">
      <c r="A5127" s="49">
        <v>91183</v>
      </c>
      <c r="B5127" s="48" t="s">
        <v>5924</v>
      </c>
      <c r="C5127" s="48" t="s">
        <v>6</v>
      </c>
      <c r="D5127" s="50">
        <v>11.77</v>
      </c>
    </row>
    <row r="5128" spans="1:4" ht="13.5">
      <c r="A5128" s="49">
        <v>91184</v>
      </c>
      <c r="B5128" s="48" t="s">
        <v>5925</v>
      </c>
      <c r="C5128" s="48" t="s">
        <v>6</v>
      </c>
      <c r="D5128" s="50">
        <v>10.94</v>
      </c>
    </row>
    <row r="5129" spans="1:4" ht="13.5">
      <c r="A5129" s="49">
        <v>91185</v>
      </c>
      <c r="B5129" s="48" t="s">
        <v>5926</v>
      </c>
      <c r="C5129" s="48" t="s">
        <v>6</v>
      </c>
      <c r="D5129" s="50">
        <v>6.16</v>
      </c>
    </row>
    <row r="5130" spans="1:4" ht="13.5">
      <c r="A5130" s="49">
        <v>91186</v>
      </c>
      <c r="B5130" s="48" t="s">
        <v>5927</v>
      </c>
      <c r="C5130" s="48" t="s">
        <v>6</v>
      </c>
      <c r="D5130" s="50">
        <v>5.0199999999999996</v>
      </c>
    </row>
    <row r="5131" spans="1:4" ht="13.5">
      <c r="A5131" s="49">
        <v>91187</v>
      </c>
      <c r="B5131" s="48" t="s">
        <v>5928</v>
      </c>
      <c r="C5131" s="48" t="s">
        <v>6</v>
      </c>
      <c r="D5131" s="50">
        <v>5.77</v>
      </c>
    </row>
    <row r="5132" spans="1:4" ht="13.5">
      <c r="A5132" s="49">
        <v>91188</v>
      </c>
      <c r="B5132" s="48" t="s">
        <v>5929</v>
      </c>
      <c r="C5132" s="48" t="s">
        <v>32</v>
      </c>
      <c r="D5132" s="50">
        <v>6.3</v>
      </c>
    </row>
    <row r="5133" spans="1:4" ht="13.5">
      <c r="A5133" s="49">
        <v>91189</v>
      </c>
      <c r="B5133" s="48" t="s">
        <v>5930</v>
      </c>
      <c r="C5133" s="48" t="s">
        <v>32</v>
      </c>
      <c r="D5133" s="50">
        <v>46.47</v>
      </c>
    </row>
    <row r="5134" spans="1:4" ht="13.5">
      <c r="A5134" s="49">
        <v>91190</v>
      </c>
      <c r="B5134" s="48" t="s">
        <v>5931</v>
      </c>
      <c r="C5134" s="48" t="s">
        <v>32</v>
      </c>
      <c r="D5134" s="50">
        <v>4.24</v>
      </c>
    </row>
    <row r="5135" spans="1:4" ht="13.5">
      <c r="A5135" s="49">
        <v>91191</v>
      </c>
      <c r="B5135" s="48" t="s">
        <v>5932</v>
      </c>
      <c r="C5135" s="48" t="s">
        <v>32</v>
      </c>
      <c r="D5135" s="50">
        <v>4.5</v>
      </c>
    </row>
    <row r="5136" spans="1:4" ht="13.5">
      <c r="A5136" s="49">
        <v>91192</v>
      </c>
      <c r="B5136" s="48" t="s">
        <v>5933</v>
      </c>
      <c r="C5136" s="48" t="s">
        <v>32</v>
      </c>
      <c r="D5136" s="50">
        <v>4.99</v>
      </c>
    </row>
    <row r="5137" spans="1:4" ht="13.5">
      <c r="A5137" s="49">
        <v>91222</v>
      </c>
      <c r="B5137" s="48" t="s">
        <v>5934</v>
      </c>
      <c r="C5137" s="48" t="s">
        <v>6</v>
      </c>
      <c r="D5137" s="50">
        <v>11.89</v>
      </c>
    </row>
    <row r="5138" spans="1:4" ht="13.5">
      <c r="A5138" s="49">
        <v>94480</v>
      </c>
      <c r="B5138" s="48" t="s">
        <v>5935</v>
      </c>
      <c r="C5138" s="48" t="s">
        <v>32</v>
      </c>
      <c r="D5138" s="51">
        <v>2453.86</v>
      </c>
    </row>
    <row r="5139" spans="1:4" ht="13.5">
      <c r="A5139" s="49">
        <v>94481</v>
      </c>
      <c r="B5139" s="48" t="s">
        <v>5936</v>
      </c>
      <c r="C5139" s="48" t="s">
        <v>32</v>
      </c>
      <c r="D5139" s="51">
        <v>1708.44</v>
      </c>
    </row>
    <row r="5140" spans="1:4" ht="13.5">
      <c r="A5140" s="49">
        <v>94482</v>
      </c>
      <c r="B5140" s="48" t="s">
        <v>5937</v>
      </c>
      <c r="C5140" s="48" t="s">
        <v>32</v>
      </c>
      <c r="D5140" s="51">
        <v>1340.76</v>
      </c>
    </row>
    <row r="5141" spans="1:4" ht="13.5">
      <c r="A5141" s="49">
        <v>94483</v>
      </c>
      <c r="B5141" s="48" t="s">
        <v>5938</v>
      </c>
      <c r="C5141" s="48" t="s">
        <v>32</v>
      </c>
      <c r="D5141" s="51">
        <v>1122.0899999999999</v>
      </c>
    </row>
    <row r="5142" spans="1:4" ht="13.5">
      <c r="A5142" s="49">
        <v>95541</v>
      </c>
      <c r="B5142" s="48" t="s">
        <v>5939</v>
      </c>
      <c r="C5142" s="48" t="s">
        <v>32</v>
      </c>
      <c r="D5142" s="50">
        <v>3.94</v>
      </c>
    </row>
    <row r="5143" spans="1:4" ht="13.5">
      <c r="A5143" s="49">
        <v>96559</v>
      </c>
      <c r="B5143" s="48" t="s">
        <v>21236</v>
      </c>
      <c r="C5143" s="48" t="s">
        <v>26764</v>
      </c>
      <c r="D5143" s="50">
        <v>28.06</v>
      </c>
    </row>
    <row r="5144" spans="1:4" ht="13.5">
      <c r="A5144" s="49">
        <v>96560</v>
      </c>
      <c r="B5144" s="48" t="s">
        <v>21237</v>
      </c>
      <c r="C5144" s="48" t="s">
        <v>26764</v>
      </c>
      <c r="D5144" s="50">
        <v>19.47</v>
      </c>
    </row>
    <row r="5145" spans="1:4" ht="13.5">
      <c r="A5145" s="49">
        <v>96561</v>
      </c>
      <c r="B5145" s="48" t="s">
        <v>21238</v>
      </c>
      <c r="C5145" s="48" t="s">
        <v>26764</v>
      </c>
      <c r="D5145" s="50">
        <v>14.79</v>
      </c>
    </row>
    <row r="5146" spans="1:4" ht="13.5">
      <c r="A5146" s="49">
        <v>96562</v>
      </c>
      <c r="B5146" s="48" t="s">
        <v>21239</v>
      </c>
      <c r="C5146" s="48" t="s">
        <v>6</v>
      </c>
      <c r="D5146" s="50">
        <v>17.75</v>
      </c>
    </row>
    <row r="5147" spans="1:4" ht="13.5">
      <c r="A5147" s="49">
        <v>96563</v>
      </c>
      <c r="B5147" s="48" t="s">
        <v>21240</v>
      </c>
      <c r="C5147" s="48" t="s">
        <v>6</v>
      </c>
      <c r="D5147" s="50">
        <v>23.13</v>
      </c>
    </row>
    <row r="5148" spans="1:4" ht="13.5">
      <c r="A5148" s="49">
        <v>101802</v>
      </c>
      <c r="B5148" s="48" t="s">
        <v>21241</v>
      </c>
      <c r="C5148" s="48" t="s">
        <v>32</v>
      </c>
      <c r="D5148" s="51">
        <v>1369.32</v>
      </c>
    </row>
    <row r="5149" spans="1:4" ht="13.5">
      <c r="A5149" s="49">
        <v>101803</v>
      </c>
      <c r="B5149" s="48" t="s">
        <v>21242</v>
      </c>
      <c r="C5149" s="48" t="s">
        <v>32</v>
      </c>
      <c r="D5149" s="50">
        <v>854.05</v>
      </c>
    </row>
    <row r="5150" spans="1:4" ht="13.5">
      <c r="A5150" s="49">
        <v>101804</v>
      </c>
      <c r="B5150" s="48" t="s">
        <v>21243</v>
      </c>
      <c r="C5150" s="48" t="s">
        <v>32</v>
      </c>
      <c r="D5150" s="51">
        <v>1071.5899999999999</v>
      </c>
    </row>
    <row r="5151" spans="1:4" ht="13.5">
      <c r="A5151" s="49">
        <v>101805</v>
      </c>
      <c r="B5151" s="48" t="s">
        <v>21244</v>
      </c>
      <c r="C5151" s="48" t="s">
        <v>32</v>
      </c>
      <c r="D5151" s="51">
        <v>1369.1</v>
      </c>
    </row>
    <row r="5152" spans="1:4" ht="13.5">
      <c r="A5152" s="49">
        <v>102111</v>
      </c>
      <c r="B5152" s="48" t="s">
        <v>21245</v>
      </c>
      <c r="C5152" s="48" t="s">
        <v>32</v>
      </c>
      <c r="D5152" s="50">
        <v>909.54</v>
      </c>
    </row>
    <row r="5153" spans="1:4" ht="13.5">
      <c r="A5153" s="49">
        <v>102112</v>
      </c>
      <c r="B5153" s="48" t="s">
        <v>21246</v>
      </c>
      <c r="C5153" s="48" t="s">
        <v>32</v>
      </c>
      <c r="D5153" s="50">
        <v>115.13</v>
      </c>
    </row>
    <row r="5154" spans="1:4" ht="13.5">
      <c r="A5154" s="49">
        <v>102113</v>
      </c>
      <c r="B5154" s="48" t="s">
        <v>21247</v>
      </c>
      <c r="C5154" s="48" t="s">
        <v>32</v>
      </c>
      <c r="D5154" s="51">
        <v>1457.05</v>
      </c>
    </row>
    <row r="5155" spans="1:4" ht="13.5">
      <c r="A5155" s="49">
        <v>102114</v>
      </c>
      <c r="B5155" s="48" t="s">
        <v>21248</v>
      </c>
      <c r="C5155" s="48" t="s">
        <v>32</v>
      </c>
      <c r="D5155" s="50">
        <v>117.94</v>
      </c>
    </row>
    <row r="5156" spans="1:4" ht="13.5">
      <c r="A5156" s="49">
        <v>102115</v>
      </c>
      <c r="B5156" s="48" t="s">
        <v>21249</v>
      </c>
      <c r="C5156" s="48" t="s">
        <v>32</v>
      </c>
      <c r="D5156" s="51">
        <v>2546.11</v>
      </c>
    </row>
    <row r="5157" spans="1:4" ht="13.5">
      <c r="A5157" s="49">
        <v>102116</v>
      </c>
      <c r="B5157" s="48" t="s">
        <v>21250</v>
      </c>
      <c r="C5157" s="48" t="s">
        <v>32</v>
      </c>
      <c r="D5157" s="51">
        <v>1556.9</v>
      </c>
    </row>
    <row r="5158" spans="1:4" ht="13.5">
      <c r="A5158" s="49">
        <v>102117</v>
      </c>
      <c r="B5158" s="48" t="s">
        <v>21251</v>
      </c>
      <c r="C5158" s="48" t="s">
        <v>32</v>
      </c>
      <c r="D5158" s="50">
        <v>121.37</v>
      </c>
    </row>
    <row r="5159" spans="1:4" ht="13.5">
      <c r="A5159" s="49">
        <v>102118</v>
      </c>
      <c r="B5159" s="48" t="s">
        <v>21252</v>
      </c>
      <c r="C5159" s="48" t="s">
        <v>32</v>
      </c>
      <c r="D5159" s="51">
        <v>2127.3200000000002</v>
      </c>
    </row>
    <row r="5160" spans="1:4" ht="13.5">
      <c r="A5160" s="49">
        <v>102119</v>
      </c>
      <c r="B5160" s="48" t="s">
        <v>21253</v>
      </c>
      <c r="C5160" s="48" t="s">
        <v>32</v>
      </c>
      <c r="D5160" s="50">
        <v>124.31</v>
      </c>
    </row>
    <row r="5161" spans="1:4" ht="13.5">
      <c r="A5161" s="49">
        <v>102121</v>
      </c>
      <c r="B5161" s="48" t="s">
        <v>21254</v>
      </c>
      <c r="C5161" s="48" t="s">
        <v>32</v>
      </c>
      <c r="D5161" s="50">
        <v>155.12</v>
      </c>
    </row>
    <row r="5162" spans="1:4" ht="13.5">
      <c r="A5162" s="49">
        <v>102122</v>
      </c>
      <c r="B5162" s="48" t="s">
        <v>21255</v>
      </c>
      <c r="C5162" s="48" t="s">
        <v>32</v>
      </c>
      <c r="D5162" s="51">
        <v>7228.24</v>
      </c>
    </row>
    <row r="5163" spans="1:4" ht="13.5">
      <c r="A5163" s="49">
        <v>102123</v>
      </c>
      <c r="B5163" s="48" t="s">
        <v>21256</v>
      </c>
      <c r="C5163" s="48" t="s">
        <v>32</v>
      </c>
      <c r="D5163" s="50">
        <v>163.9</v>
      </c>
    </row>
    <row r="5164" spans="1:4" ht="13.5">
      <c r="A5164" s="49">
        <v>102136</v>
      </c>
      <c r="B5164" s="48" t="s">
        <v>21257</v>
      </c>
      <c r="C5164" s="48" t="s">
        <v>32</v>
      </c>
      <c r="D5164" s="50">
        <v>67.459999999999994</v>
      </c>
    </row>
    <row r="5165" spans="1:4" ht="13.5">
      <c r="A5165" s="49">
        <v>102137</v>
      </c>
      <c r="B5165" s="48" t="s">
        <v>21258</v>
      </c>
      <c r="C5165" s="48" t="s">
        <v>32</v>
      </c>
      <c r="D5165" s="50">
        <v>72.8</v>
      </c>
    </row>
    <row r="5166" spans="1:4" ht="13.5">
      <c r="A5166" s="49">
        <v>102138</v>
      </c>
      <c r="B5166" s="48" t="s">
        <v>21259</v>
      </c>
      <c r="C5166" s="48" t="s">
        <v>32</v>
      </c>
      <c r="D5166" s="50">
        <v>178.19</v>
      </c>
    </row>
    <row r="5167" spans="1:4" ht="13.5">
      <c r="A5167" s="49">
        <v>103517</v>
      </c>
      <c r="B5167" s="48" t="s">
        <v>28352</v>
      </c>
      <c r="C5167" s="48" t="s">
        <v>32</v>
      </c>
      <c r="D5167" s="51">
        <v>3314.83</v>
      </c>
    </row>
    <row r="5168" spans="1:4" ht="13.5">
      <c r="A5168" s="49">
        <v>103519</v>
      </c>
      <c r="B5168" s="48" t="s">
        <v>28353</v>
      </c>
      <c r="C5168" s="48" t="s">
        <v>32</v>
      </c>
      <c r="D5168" s="50">
        <v>8.49</v>
      </c>
    </row>
    <row r="5169" spans="1:4" ht="13.5">
      <c r="A5169" s="49">
        <v>103520</v>
      </c>
      <c r="B5169" s="48" t="s">
        <v>28354</v>
      </c>
      <c r="C5169" s="48" t="s">
        <v>32</v>
      </c>
      <c r="D5169" s="51">
        <v>5493.64</v>
      </c>
    </row>
    <row r="5170" spans="1:4" ht="13.5">
      <c r="A5170" s="49">
        <v>103521</v>
      </c>
      <c r="B5170" s="48" t="s">
        <v>28355</v>
      </c>
      <c r="C5170" s="48" t="s">
        <v>32</v>
      </c>
      <c r="D5170" s="51">
        <v>7293.81</v>
      </c>
    </row>
    <row r="5171" spans="1:4" ht="13.5">
      <c r="A5171" s="49">
        <v>103522</v>
      </c>
      <c r="B5171" s="48" t="s">
        <v>28356</v>
      </c>
      <c r="C5171" s="48" t="s">
        <v>32</v>
      </c>
      <c r="D5171" s="51">
        <v>7317.82</v>
      </c>
    </row>
    <row r="5172" spans="1:4" ht="13.5">
      <c r="A5172" s="49">
        <v>103523</v>
      </c>
      <c r="B5172" s="48" t="s">
        <v>28357</v>
      </c>
      <c r="C5172" s="48" t="s">
        <v>32</v>
      </c>
      <c r="D5172" s="51">
        <v>11032.05</v>
      </c>
    </row>
    <row r="5173" spans="1:4" ht="13.5">
      <c r="A5173" s="49">
        <v>93350</v>
      </c>
      <c r="B5173" s="48" t="s">
        <v>5942</v>
      </c>
      <c r="C5173" s="48" t="s">
        <v>32</v>
      </c>
      <c r="D5173" s="51">
        <v>1176.1400000000001</v>
      </c>
    </row>
    <row r="5174" spans="1:4" ht="13.5">
      <c r="A5174" s="49">
        <v>93351</v>
      </c>
      <c r="B5174" s="48" t="s">
        <v>5943</v>
      </c>
      <c r="C5174" s="48" t="s">
        <v>32</v>
      </c>
      <c r="D5174" s="50">
        <v>968.49</v>
      </c>
    </row>
    <row r="5175" spans="1:4" ht="13.5">
      <c r="A5175" s="49">
        <v>93352</v>
      </c>
      <c r="B5175" s="48" t="s">
        <v>5944</v>
      </c>
      <c r="C5175" s="48" t="s">
        <v>32</v>
      </c>
      <c r="D5175" s="50">
        <v>761.67</v>
      </c>
    </row>
    <row r="5176" spans="1:4" ht="13.5">
      <c r="A5176" s="49">
        <v>93353</v>
      </c>
      <c r="B5176" s="48" t="s">
        <v>5945</v>
      </c>
      <c r="C5176" s="48" t="s">
        <v>32</v>
      </c>
      <c r="D5176" s="50">
        <v>559.35</v>
      </c>
    </row>
    <row r="5177" spans="1:4" ht="13.5">
      <c r="A5177" s="49">
        <v>93354</v>
      </c>
      <c r="B5177" s="48" t="s">
        <v>5946</v>
      </c>
      <c r="C5177" s="48" t="s">
        <v>32</v>
      </c>
      <c r="D5177" s="50">
        <v>867.24</v>
      </c>
    </row>
    <row r="5178" spans="1:4" ht="13.5">
      <c r="A5178" s="49">
        <v>93355</v>
      </c>
      <c r="B5178" s="48" t="s">
        <v>5947</v>
      </c>
      <c r="C5178" s="48" t="s">
        <v>32</v>
      </c>
      <c r="D5178" s="50">
        <v>725.05</v>
      </c>
    </row>
    <row r="5179" spans="1:4" ht="13.5">
      <c r="A5179" s="49">
        <v>93356</v>
      </c>
      <c r="B5179" s="48" t="s">
        <v>5948</v>
      </c>
      <c r="C5179" s="48" t="s">
        <v>32</v>
      </c>
      <c r="D5179" s="50">
        <v>581.85</v>
      </c>
    </row>
    <row r="5180" spans="1:4" ht="13.5">
      <c r="A5180" s="49">
        <v>93357</v>
      </c>
      <c r="B5180" s="48" t="s">
        <v>5949</v>
      </c>
      <c r="C5180" s="48" t="s">
        <v>32</v>
      </c>
      <c r="D5180" s="50">
        <v>441.3</v>
      </c>
    </row>
    <row r="5181" spans="1:4" ht="13.5">
      <c r="A5181" s="49">
        <v>96520</v>
      </c>
      <c r="B5181" s="48" t="s">
        <v>21260</v>
      </c>
      <c r="C5181" s="48" t="s">
        <v>28764</v>
      </c>
      <c r="D5181" s="50">
        <v>93.48</v>
      </c>
    </row>
    <row r="5182" spans="1:4" ht="13.5">
      <c r="A5182" s="49">
        <v>96521</v>
      </c>
      <c r="B5182" s="48" t="s">
        <v>21261</v>
      </c>
      <c r="C5182" s="48" t="s">
        <v>28764</v>
      </c>
      <c r="D5182" s="50">
        <v>41.15</v>
      </c>
    </row>
    <row r="5183" spans="1:4" ht="13.5">
      <c r="A5183" s="49">
        <v>96522</v>
      </c>
      <c r="B5183" s="48" t="s">
        <v>21262</v>
      </c>
      <c r="C5183" s="48" t="s">
        <v>28764</v>
      </c>
      <c r="D5183" s="50">
        <v>134.71</v>
      </c>
    </row>
    <row r="5184" spans="1:4" ht="13.5">
      <c r="A5184" s="49">
        <v>96523</v>
      </c>
      <c r="B5184" s="48" t="s">
        <v>21263</v>
      </c>
      <c r="C5184" s="48" t="s">
        <v>28764</v>
      </c>
      <c r="D5184" s="50">
        <v>85.3</v>
      </c>
    </row>
    <row r="5185" spans="1:4" ht="13.5">
      <c r="A5185" s="49">
        <v>96524</v>
      </c>
      <c r="B5185" s="48" t="s">
        <v>21264</v>
      </c>
      <c r="C5185" s="48" t="s">
        <v>28764</v>
      </c>
      <c r="D5185" s="50">
        <v>163.69</v>
      </c>
    </row>
    <row r="5186" spans="1:4" ht="13.5">
      <c r="A5186" s="49">
        <v>96525</v>
      </c>
      <c r="B5186" s="48" t="s">
        <v>21265</v>
      </c>
      <c r="C5186" s="48" t="s">
        <v>28764</v>
      </c>
      <c r="D5186" s="50">
        <v>35.1</v>
      </c>
    </row>
    <row r="5187" spans="1:4" ht="13.5">
      <c r="A5187" s="49">
        <v>96526</v>
      </c>
      <c r="B5187" s="48" t="s">
        <v>21266</v>
      </c>
      <c r="C5187" s="48" t="s">
        <v>28764</v>
      </c>
      <c r="D5187" s="50">
        <v>272.73</v>
      </c>
    </row>
    <row r="5188" spans="1:4" ht="13.5">
      <c r="A5188" s="49">
        <v>96527</v>
      </c>
      <c r="B5188" s="48" t="s">
        <v>21267</v>
      </c>
      <c r="C5188" s="48" t="s">
        <v>28764</v>
      </c>
      <c r="D5188" s="50">
        <v>111.76</v>
      </c>
    </row>
    <row r="5189" spans="1:4" ht="13.5">
      <c r="A5189" s="49">
        <v>96528</v>
      </c>
      <c r="B5189" s="48" t="s">
        <v>5950</v>
      </c>
      <c r="C5189" s="48" t="s">
        <v>26764</v>
      </c>
      <c r="D5189" s="50">
        <v>204.23</v>
      </c>
    </row>
    <row r="5190" spans="1:4" ht="13.5">
      <c r="A5190" s="49">
        <v>101114</v>
      </c>
      <c r="B5190" s="48" t="s">
        <v>21268</v>
      </c>
      <c r="C5190" s="48" t="s">
        <v>28764</v>
      </c>
      <c r="D5190" s="50">
        <v>3.66</v>
      </c>
    </row>
    <row r="5191" spans="1:4" ht="13.5">
      <c r="A5191" s="49">
        <v>101115</v>
      </c>
      <c r="B5191" s="48" t="s">
        <v>21269</v>
      </c>
      <c r="C5191" s="48" t="s">
        <v>28764</v>
      </c>
      <c r="D5191" s="50">
        <v>3.04</v>
      </c>
    </row>
    <row r="5192" spans="1:4" ht="13.5">
      <c r="A5192" s="49">
        <v>101116</v>
      </c>
      <c r="B5192" s="48" t="s">
        <v>21270</v>
      </c>
      <c r="C5192" s="48" t="s">
        <v>28764</v>
      </c>
      <c r="D5192" s="50">
        <v>1.89</v>
      </c>
    </row>
    <row r="5193" spans="1:4" ht="13.5">
      <c r="A5193" s="49">
        <v>101117</v>
      </c>
      <c r="B5193" s="48" t="s">
        <v>21271</v>
      </c>
      <c r="C5193" s="48" t="s">
        <v>28764</v>
      </c>
      <c r="D5193" s="50">
        <v>2.56</v>
      </c>
    </row>
    <row r="5194" spans="1:4" ht="13.5">
      <c r="A5194" s="49">
        <v>101118</v>
      </c>
      <c r="B5194" s="48" t="s">
        <v>21272</v>
      </c>
      <c r="C5194" s="48" t="s">
        <v>28764</v>
      </c>
      <c r="D5194" s="50">
        <v>3.14</v>
      </c>
    </row>
    <row r="5195" spans="1:4" ht="13.5">
      <c r="A5195" s="49">
        <v>101119</v>
      </c>
      <c r="B5195" s="48" t="s">
        <v>21273</v>
      </c>
      <c r="C5195" s="48" t="s">
        <v>28764</v>
      </c>
      <c r="D5195" s="50">
        <v>6.99</v>
      </c>
    </row>
    <row r="5196" spans="1:4" ht="13.5">
      <c r="A5196" s="49">
        <v>101120</v>
      </c>
      <c r="B5196" s="48" t="s">
        <v>21274</v>
      </c>
      <c r="C5196" s="48" t="s">
        <v>28764</v>
      </c>
      <c r="D5196" s="50">
        <v>5.82</v>
      </c>
    </row>
    <row r="5197" spans="1:4" ht="13.5">
      <c r="A5197" s="49">
        <v>101121</v>
      </c>
      <c r="B5197" s="48" t="s">
        <v>21275</v>
      </c>
      <c r="C5197" s="48" t="s">
        <v>28764</v>
      </c>
      <c r="D5197" s="50">
        <v>3.64</v>
      </c>
    </row>
    <row r="5198" spans="1:4" ht="13.5">
      <c r="A5198" s="49">
        <v>101122</v>
      </c>
      <c r="B5198" s="48" t="s">
        <v>21276</v>
      </c>
      <c r="C5198" s="48" t="s">
        <v>28764</v>
      </c>
      <c r="D5198" s="50">
        <v>4.8899999999999997</v>
      </c>
    </row>
    <row r="5199" spans="1:4" ht="13.5">
      <c r="A5199" s="49">
        <v>101123</v>
      </c>
      <c r="B5199" s="48" t="s">
        <v>21277</v>
      </c>
      <c r="C5199" s="48" t="s">
        <v>28764</v>
      </c>
      <c r="D5199" s="50">
        <v>6</v>
      </c>
    </row>
    <row r="5200" spans="1:4" ht="13.5">
      <c r="A5200" s="49">
        <v>101124</v>
      </c>
      <c r="B5200" s="48" t="s">
        <v>21278</v>
      </c>
      <c r="C5200" s="48" t="s">
        <v>28764</v>
      </c>
      <c r="D5200" s="50">
        <v>11.68</v>
      </c>
    </row>
    <row r="5201" spans="1:4" ht="13.5">
      <c r="A5201" s="49">
        <v>101125</v>
      </c>
      <c r="B5201" s="48" t="s">
        <v>21279</v>
      </c>
      <c r="C5201" s="48" t="s">
        <v>28764</v>
      </c>
      <c r="D5201" s="50">
        <v>11.06</v>
      </c>
    </row>
    <row r="5202" spans="1:4" ht="13.5">
      <c r="A5202" s="49">
        <v>101126</v>
      </c>
      <c r="B5202" s="48" t="s">
        <v>21280</v>
      </c>
      <c r="C5202" s="48" t="s">
        <v>28764</v>
      </c>
      <c r="D5202" s="50">
        <v>9.91</v>
      </c>
    </row>
    <row r="5203" spans="1:4" ht="13.5">
      <c r="A5203" s="49">
        <v>101127</v>
      </c>
      <c r="B5203" s="48" t="s">
        <v>21281</v>
      </c>
      <c r="C5203" s="48" t="s">
        <v>28764</v>
      </c>
      <c r="D5203" s="50">
        <v>10.58</v>
      </c>
    </row>
    <row r="5204" spans="1:4" ht="13.5">
      <c r="A5204" s="49">
        <v>101128</v>
      </c>
      <c r="B5204" s="48" t="s">
        <v>21282</v>
      </c>
      <c r="C5204" s="48" t="s">
        <v>28764</v>
      </c>
      <c r="D5204" s="50">
        <v>11.16</v>
      </c>
    </row>
    <row r="5205" spans="1:4" ht="13.5">
      <c r="A5205" s="49">
        <v>101129</v>
      </c>
      <c r="B5205" s="48" t="s">
        <v>21283</v>
      </c>
      <c r="C5205" s="48" t="s">
        <v>28764</v>
      </c>
      <c r="D5205" s="50">
        <v>15.33</v>
      </c>
    </row>
    <row r="5206" spans="1:4" ht="13.5">
      <c r="A5206" s="49">
        <v>101130</v>
      </c>
      <c r="B5206" s="48" t="s">
        <v>21284</v>
      </c>
      <c r="C5206" s="48" t="s">
        <v>28764</v>
      </c>
      <c r="D5206" s="50">
        <v>14.16</v>
      </c>
    </row>
    <row r="5207" spans="1:4" ht="13.5">
      <c r="A5207" s="49">
        <v>101131</v>
      </c>
      <c r="B5207" s="48" t="s">
        <v>21285</v>
      </c>
      <c r="C5207" s="48" t="s">
        <v>28764</v>
      </c>
      <c r="D5207" s="50">
        <v>11.98</v>
      </c>
    </row>
    <row r="5208" spans="1:4" ht="13.5">
      <c r="A5208" s="49">
        <v>101132</v>
      </c>
      <c r="B5208" s="48" t="s">
        <v>21286</v>
      </c>
      <c r="C5208" s="48" t="s">
        <v>28764</v>
      </c>
      <c r="D5208" s="50">
        <v>13.23</v>
      </c>
    </row>
    <row r="5209" spans="1:4" ht="13.5">
      <c r="A5209" s="49">
        <v>101133</v>
      </c>
      <c r="B5209" s="48" t="s">
        <v>21287</v>
      </c>
      <c r="C5209" s="48" t="s">
        <v>28764</v>
      </c>
      <c r="D5209" s="50">
        <v>14.34</v>
      </c>
    </row>
    <row r="5210" spans="1:4" ht="13.5">
      <c r="A5210" s="49">
        <v>101134</v>
      </c>
      <c r="B5210" s="48" t="s">
        <v>21288</v>
      </c>
      <c r="C5210" s="48" t="s">
        <v>28764</v>
      </c>
      <c r="D5210" s="50">
        <v>12.13</v>
      </c>
    </row>
    <row r="5211" spans="1:4" ht="13.5">
      <c r="A5211" s="49">
        <v>101135</v>
      </c>
      <c r="B5211" s="48" t="s">
        <v>21289</v>
      </c>
      <c r="C5211" s="48" t="s">
        <v>28764</v>
      </c>
      <c r="D5211" s="50">
        <v>11.51</v>
      </c>
    </row>
    <row r="5212" spans="1:4" ht="13.5">
      <c r="A5212" s="49">
        <v>101136</v>
      </c>
      <c r="B5212" s="48" t="s">
        <v>21290</v>
      </c>
      <c r="C5212" s="48" t="s">
        <v>28764</v>
      </c>
      <c r="D5212" s="50">
        <v>10.36</v>
      </c>
    </row>
    <row r="5213" spans="1:4" ht="13.5">
      <c r="A5213" s="49">
        <v>101137</v>
      </c>
      <c r="B5213" s="48" t="s">
        <v>21291</v>
      </c>
      <c r="C5213" s="48" t="s">
        <v>28764</v>
      </c>
      <c r="D5213" s="50">
        <v>11.03</v>
      </c>
    </row>
    <row r="5214" spans="1:4" ht="13.5">
      <c r="A5214" s="49">
        <v>101138</v>
      </c>
      <c r="B5214" s="48" t="s">
        <v>21292</v>
      </c>
      <c r="C5214" s="48" t="s">
        <v>28764</v>
      </c>
      <c r="D5214" s="50">
        <v>11.61</v>
      </c>
    </row>
    <row r="5215" spans="1:4" ht="13.5">
      <c r="A5215" s="49">
        <v>101139</v>
      </c>
      <c r="B5215" s="48" t="s">
        <v>21293</v>
      </c>
      <c r="C5215" s="48" t="s">
        <v>28764</v>
      </c>
      <c r="D5215" s="50">
        <v>15.79</v>
      </c>
    </row>
    <row r="5216" spans="1:4" ht="13.5">
      <c r="A5216" s="49">
        <v>101140</v>
      </c>
      <c r="B5216" s="48" t="s">
        <v>21294</v>
      </c>
      <c r="C5216" s="48" t="s">
        <v>28764</v>
      </c>
      <c r="D5216" s="50">
        <v>14.62</v>
      </c>
    </row>
    <row r="5217" spans="1:4" ht="13.5">
      <c r="A5217" s="49">
        <v>101141</v>
      </c>
      <c r="B5217" s="48" t="s">
        <v>21295</v>
      </c>
      <c r="C5217" s="48" t="s">
        <v>28764</v>
      </c>
      <c r="D5217" s="50">
        <v>12.44</v>
      </c>
    </row>
    <row r="5218" spans="1:4" ht="13.5">
      <c r="A5218" s="49">
        <v>101142</v>
      </c>
      <c r="B5218" s="48" t="s">
        <v>21296</v>
      </c>
      <c r="C5218" s="48" t="s">
        <v>28764</v>
      </c>
      <c r="D5218" s="50">
        <v>13.69</v>
      </c>
    </row>
    <row r="5219" spans="1:4" ht="13.5">
      <c r="A5219" s="49">
        <v>101143</v>
      </c>
      <c r="B5219" s="48" t="s">
        <v>21297</v>
      </c>
      <c r="C5219" s="48" t="s">
        <v>28764</v>
      </c>
      <c r="D5219" s="50">
        <v>14.8</v>
      </c>
    </row>
    <row r="5220" spans="1:4" ht="13.5">
      <c r="A5220" s="49">
        <v>101144</v>
      </c>
      <c r="B5220" s="48" t="s">
        <v>21298</v>
      </c>
      <c r="C5220" s="48" t="s">
        <v>28764</v>
      </c>
      <c r="D5220" s="50">
        <v>13.26</v>
      </c>
    </row>
    <row r="5221" spans="1:4" ht="13.5">
      <c r="A5221" s="49">
        <v>101145</v>
      </c>
      <c r="B5221" s="48" t="s">
        <v>21299</v>
      </c>
      <c r="C5221" s="48" t="s">
        <v>28764</v>
      </c>
      <c r="D5221" s="50">
        <v>12.64</v>
      </c>
    </row>
    <row r="5222" spans="1:4" ht="13.5">
      <c r="A5222" s="49">
        <v>101146</v>
      </c>
      <c r="B5222" s="48" t="s">
        <v>21300</v>
      </c>
      <c r="C5222" s="48" t="s">
        <v>28764</v>
      </c>
      <c r="D5222" s="50">
        <v>11.49</v>
      </c>
    </row>
    <row r="5223" spans="1:4" ht="13.5">
      <c r="A5223" s="49">
        <v>101147</v>
      </c>
      <c r="B5223" s="48" t="s">
        <v>21301</v>
      </c>
      <c r="C5223" s="48" t="s">
        <v>28764</v>
      </c>
      <c r="D5223" s="50">
        <v>12.16</v>
      </c>
    </row>
    <row r="5224" spans="1:4" ht="13.5">
      <c r="A5224" s="49">
        <v>101148</v>
      </c>
      <c r="B5224" s="48" t="s">
        <v>21302</v>
      </c>
      <c r="C5224" s="48" t="s">
        <v>28764</v>
      </c>
      <c r="D5224" s="50">
        <v>12.74</v>
      </c>
    </row>
    <row r="5225" spans="1:4" ht="13.5">
      <c r="A5225" s="49">
        <v>101149</v>
      </c>
      <c r="B5225" s="48" t="s">
        <v>21303</v>
      </c>
      <c r="C5225" s="48" t="s">
        <v>28764</v>
      </c>
      <c r="D5225" s="50">
        <v>16.98</v>
      </c>
    </row>
    <row r="5226" spans="1:4" ht="13.5">
      <c r="A5226" s="49">
        <v>101150</v>
      </c>
      <c r="B5226" s="48" t="s">
        <v>21304</v>
      </c>
      <c r="C5226" s="48" t="s">
        <v>28764</v>
      </c>
      <c r="D5226" s="50">
        <v>15.81</v>
      </c>
    </row>
    <row r="5227" spans="1:4" ht="13.5">
      <c r="A5227" s="49">
        <v>101151</v>
      </c>
      <c r="B5227" s="48" t="s">
        <v>21305</v>
      </c>
      <c r="C5227" s="48" t="s">
        <v>28764</v>
      </c>
      <c r="D5227" s="50">
        <v>13.63</v>
      </c>
    </row>
    <row r="5228" spans="1:4" ht="13.5">
      <c r="A5228" s="49">
        <v>101152</v>
      </c>
      <c r="B5228" s="48" t="s">
        <v>21306</v>
      </c>
      <c r="C5228" s="48" t="s">
        <v>28764</v>
      </c>
      <c r="D5228" s="50">
        <v>14.88</v>
      </c>
    </row>
    <row r="5229" spans="1:4" ht="13.5">
      <c r="A5229" s="49">
        <v>101153</v>
      </c>
      <c r="B5229" s="48" t="s">
        <v>21307</v>
      </c>
      <c r="C5229" s="48" t="s">
        <v>28764</v>
      </c>
      <c r="D5229" s="50">
        <v>15.99</v>
      </c>
    </row>
    <row r="5230" spans="1:4" ht="13.5">
      <c r="A5230" s="49">
        <v>101206</v>
      </c>
      <c r="B5230" s="48" t="s">
        <v>21308</v>
      </c>
      <c r="C5230" s="48" t="s">
        <v>28764</v>
      </c>
      <c r="D5230" s="50">
        <v>10.57</v>
      </c>
    </row>
    <row r="5231" spans="1:4" ht="13.5">
      <c r="A5231" s="49">
        <v>101207</v>
      </c>
      <c r="B5231" s="48" t="s">
        <v>21309</v>
      </c>
      <c r="C5231" s="48" t="s">
        <v>28764</v>
      </c>
      <c r="D5231" s="50">
        <v>9.23</v>
      </c>
    </row>
    <row r="5232" spans="1:4" ht="13.5">
      <c r="A5232" s="49">
        <v>101208</v>
      </c>
      <c r="B5232" s="48" t="s">
        <v>21310</v>
      </c>
      <c r="C5232" s="48" t="s">
        <v>28764</v>
      </c>
      <c r="D5232" s="50">
        <v>8.9600000000000009</v>
      </c>
    </row>
    <row r="5233" spans="1:4" ht="13.5">
      <c r="A5233" s="49">
        <v>101209</v>
      </c>
      <c r="B5233" s="48" t="s">
        <v>21311</v>
      </c>
      <c r="C5233" s="48" t="s">
        <v>28764</v>
      </c>
      <c r="D5233" s="50">
        <v>8.32</v>
      </c>
    </row>
    <row r="5234" spans="1:4" ht="13.5">
      <c r="A5234" s="49">
        <v>101210</v>
      </c>
      <c r="B5234" s="48" t="s">
        <v>21312</v>
      </c>
      <c r="C5234" s="48" t="s">
        <v>28764</v>
      </c>
      <c r="D5234" s="50">
        <v>14.73</v>
      </c>
    </row>
    <row r="5235" spans="1:4" ht="13.5">
      <c r="A5235" s="49">
        <v>101211</v>
      </c>
      <c r="B5235" s="48" t="s">
        <v>21313</v>
      </c>
      <c r="C5235" s="48" t="s">
        <v>28764</v>
      </c>
      <c r="D5235" s="50">
        <v>15.79</v>
      </c>
    </row>
    <row r="5236" spans="1:4" ht="13.5">
      <c r="A5236" s="49">
        <v>101212</v>
      </c>
      <c r="B5236" s="48" t="s">
        <v>21314</v>
      </c>
      <c r="C5236" s="48" t="s">
        <v>28764</v>
      </c>
      <c r="D5236" s="50">
        <v>18.36</v>
      </c>
    </row>
    <row r="5237" spans="1:4" ht="13.5">
      <c r="A5237" s="49">
        <v>101213</v>
      </c>
      <c r="B5237" s="48" t="s">
        <v>21315</v>
      </c>
      <c r="C5237" s="48" t="s">
        <v>28764</v>
      </c>
      <c r="D5237" s="50">
        <v>20.46</v>
      </c>
    </row>
    <row r="5238" spans="1:4" ht="13.5">
      <c r="A5238" s="49">
        <v>101214</v>
      </c>
      <c r="B5238" s="48" t="s">
        <v>21316</v>
      </c>
      <c r="C5238" s="48" t="s">
        <v>28764</v>
      </c>
      <c r="D5238" s="50">
        <v>24.71</v>
      </c>
    </row>
    <row r="5239" spans="1:4" ht="13.5">
      <c r="A5239" s="49">
        <v>101215</v>
      </c>
      <c r="B5239" s="48" t="s">
        <v>21317</v>
      </c>
      <c r="C5239" s="48" t="s">
        <v>28764</v>
      </c>
      <c r="D5239" s="50">
        <v>14.16</v>
      </c>
    </row>
    <row r="5240" spans="1:4" ht="13.5">
      <c r="A5240" s="49">
        <v>101216</v>
      </c>
      <c r="B5240" s="48" t="s">
        <v>21318</v>
      </c>
      <c r="C5240" s="48" t="s">
        <v>28764</v>
      </c>
      <c r="D5240" s="50">
        <v>14.85</v>
      </c>
    </row>
    <row r="5241" spans="1:4" ht="13.5">
      <c r="A5241" s="49">
        <v>101217</v>
      </c>
      <c r="B5241" s="48" t="s">
        <v>21319</v>
      </c>
      <c r="C5241" s="48" t="s">
        <v>28764</v>
      </c>
      <c r="D5241" s="50">
        <v>17.23</v>
      </c>
    </row>
    <row r="5242" spans="1:4" ht="13.5">
      <c r="A5242" s="49">
        <v>101218</v>
      </c>
      <c r="B5242" s="48" t="s">
        <v>21320</v>
      </c>
      <c r="C5242" s="48" t="s">
        <v>28764</v>
      </c>
      <c r="D5242" s="50">
        <v>18.25</v>
      </c>
    </row>
    <row r="5243" spans="1:4" ht="13.5">
      <c r="A5243" s="49">
        <v>101219</v>
      </c>
      <c r="B5243" s="48" t="s">
        <v>21321</v>
      </c>
      <c r="C5243" s="48" t="s">
        <v>28764</v>
      </c>
      <c r="D5243" s="50">
        <v>22.09</v>
      </c>
    </row>
    <row r="5244" spans="1:4" ht="13.5">
      <c r="A5244" s="49">
        <v>101220</v>
      </c>
      <c r="B5244" s="48" t="s">
        <v>21322</v>
      </c>
      <c r="C5244" s="48" t="s">
        <v>28764</v>
      </c>
      <c r="D5244" s="50">
        <v>13.84</v>
      </c>
    </row>
    <row r="5245" spans="1:4" ht="13.5">
      <c r="A5245" s="49">
        <v>101221</v>
      </c>
      <c r="B5245" s="48" t="s">
        <v>21323</v>
      </c>
      <c r="C5245" s="48" t="s">
        <v>28764</v>
      </c>
      <c r="D5245" s="50">
        <v>14.64</v>
      </c>
    </row>
    <row r="5246" spans="1:4" ht="13.5">
      <c r="A5246" s="49">
        <v>101222</v>
      </c>
      <c r="B5246" s="48" t="s">
        <v>21324</v>
      </c>
      <c r="C5246" s="48" t="s">
        <v>28764</v>
      </c>
      <c r="D5246" s="50">
        <v>16.98</v>
      </c>
    </row>
    <row r="5247" spans="1:4" ht="13.5">
      <c r="A5247" s="49">
        <v>101223</v>
      </c>
      <c r="B5247" s="48" t="s">
        <v>21325</v>
      </c>
      <c r="C5247" s="48" t="s">
        <v>28764</v>
      </c>
      <c r="D5247" s="50">
        <v>18.86</v>
      </c>
    </row>
    <row r="5248" spans="1:4" ht="13.5">
      <c r="A5248" s="49">
        <v>101224</v>
      </c>
      <c r="B5248" s="48" t="s">
        <v>21326</v>
      </c>
      <c r="C5248" s="48" t="s">
        <v>28764</v>
      </c>
      <c r="D5248" s="50">
        <v>23.58</v>
      </c>
    </row>
    <row r="5249" spans="1:4" ht="13.5">
      <c r="A5249" s="49">
        <v>101225</v>
      </c>
      <c r="B5249" s="48" t="s">
        <v>21327</v>
      </c>
      <c r="C5249" s="48" t="s">
        <v>28764</v>
      </c>
      <c r="D5249" s="50">
        <v>12.73</v>
      </c>
    </row>
    <row r="5250" spans="1:4" ht="13.5">
      <c r="A5250" s="49">
        <v>101226</v>
      </c>
      <c r="B5250" s="48" t="s">
        <v>21328</v>
      </c>
      <c r="C5250" s="48" t="s">
        <v>28764</v>
      </c>
      <c r="D5250" s="50">
        <v>13.42</v>
      </c>
    </row>
    <row r="5251" spans="1:4" ht="13.5">
      <c r="A5251" s="49">
        <v>101227</v>
      </c>
      <c r="B5251" s="48" t="s">
        <v>21329</v>
      </c>
      <c r="C5251" s="48" t="s">
        <v>28764</v>
      </c>
      <c r="D5251" s="50">
        <v>15.52</v>
      </c>
    </row>
    <row r="5252" spans="1:4" ht="13.5">
      <c r="A5252" s="49">
        <v>101228</v>
      </c>
      <c r="B5252" s="48" t="s">
        <v>21330</v>
      </c>
      <c r="C5252" s="48" t="s">
        <v>28764</v>
      </c>
      <c r="D5252" s="50">
        <v>16.57</v>
      </c>
    </row>
    <row r="5253" spans="1:4" ht="13.5">
      <c r="A5253" s="49">
        <v>101229</v>
      </c>
      <c r="B5253" s="48" t="s">
        <v>21331</v>
      </c>
      <c r="C5253" s="48" t="s">
        <v>28764</v>
      </c>
      <c r="D5253" s="50">
        <v>20.83</v>
      </c>
    </row>
    <row r="5254" spans="1:4" ht="13.5">
      <c r="A5254" s="49">
        <v>101230</v>
      </c>
      <c r="B5254" s="48" t="s">
        <v>21332</v>
      </c>
      <c r="C5254" s="48" t="s">
        <v>28764</v>
      </c>
      <c r="D5254" s="50">
        <v>9.33</v>
      </c>
    </row>
    <row r="5255" spans="1:4" ht="13.5">
      <c r="A5255" s="49">
        <v>101231</v>
      </c>
      <c r="B5255" s="48" t="s">
        <v>21333</v>
      </c>
      <c r="C5255" s="48" t="s">
        <v>28764</v>
      </c>
      <c r="D5255" s="50">
        <v>8.89</v>
      </c>
    </row>
    <row r="5256" spans="1:4" ht="13.5">
      <c r="A5256" s="49">
        <v>101232</v>
      </c>
      <c r="B5256" s="48" t="s">
        <v>21334</v>
      </c>
      <c r="C5256" s="48" t="s">
        <v>28764</v>
      </c>
      <c r="D5256" s="50">
        <v>7.99</v>
      </c>
    </row>
    <row r="5257" spans="1:4" ht="13.5">
      <c r="A5257" s="49">
        <v>101233</v>
      </c>
      <c r="B5257" s="48" t="s">
        <v>21335</v>
      </c>
      <c r="C5257" s="48" t="s">
        <v>28764</v>
      </c>
      <c r="D5257" s="50">
        <v>7.38</v>
      </c>
    </row>
    <row r="5258" spans="1:4" ht="13.5">
      <c r="A5258" s="49">
        <v>101234</v>
      </c>
      <c r="B5258" s="48" t="s">
        <v>21336</v>
      </c>
      <c r="C5258" s="48" t="s">
        <v>28764</v>
      </c>
      <c r="D5258" s="50">
        <v>14.38</v>
      </c>
    </row>
    <row r="5259" spans="1:4" ht="13.5">
      <c r="A5259" s="49">
        <v>101235</v>
      </c>
      <c r="B5259" s="48" t="s">
        <v>21337</v>
      </c>
      <c r="C5259" s="48" t="s">
        <v>28764</v>
      </c>
      <c r="D5259" s="50">
        <v>15.15</v>
      </c>
    </row>
    <row r="5260" spans="1:4" ht="13.5">
      <c r="A5260" s="49">
        <v>101236</v>
      </c>
      <c r="B5260" s="48" t="s">
        <v>21338</v>
      </c>
      <c r="C5260" s="48" t="s">
        <v>28764</v>
      </c>
      <c r="D5260" s="50">
        <v>17.600000000000001</v>
      </c>
    </row>
    <row r="5261" spans="1:4" ht="13.5">
      <c r="A5261" s="49">
        <v>101237</v>
      </c>
      <c r="B5261" s="48" t="s">
        <v>21339</v>
      </c>
      <c r="C5261" s="48" t="s">
        <v>28764</v>
      </c>
      <c r="D5261" s="50">
        <v>18.77</v>
      </c>
    </row>
    <row r="5262" spans="1:4" ht="13.5">
      <c r="A5262" s="49">
        <v>101238</v>
      </c>
      <c r="B5262" s="48" t="s">
        <v>21340</v>
      </c>
      <c r="C5262" s="48" t="s">
        <v>28764</v>
      </c>
      <c r="D5262" s="50">
        <v>23.65</v>
      </c>
    </row>
    <row r="5263" spans="1:4" ht="13.5">
      <c r="A5263" s="49">
        <v>101239</v>
      </c>
      <c r="B5263" s="48" t="s">
        <v>21341</v>
      </c>
      <c r="C5263" s="48" t="s">
        <v>28764</v>
      </c>
      <c r="D5263" s="50">
        <v>12.7</v>
      </c>
    </row>
    <row r="5264" spans="1:4" ht="13.5">
      <c r="A5264" s="49">
        <v>101240</v>
      </c>
      <c r="B5264" s="48" t="s">
        <v>21342</v>
      </c>
      <c r="C5264" s="48" t="s">
        <v>28764</v>
      </c>
      <c r="D5264" s="50">
        <v>13.41</v>
      </c>
    </row>
    <row r="5265" spans="1:4" ht="13.5">
      <c r="A5265" s="49">
        <v>101241</v>
      </c>
      <c r="B5265" s="48" t="s">
        <v>21343</v>
      </c>
      <c r="C5265" s="48" t="s">
        <v>28764</v>
      </c>
      <c r="D5265" s="50">
        <v>15.62</v>
      </c>
    </row>
    <row r="5266" spans="1:4" ht="13.5">
      <c r="A5266" s="49">
        <v>101242</v>
      </c>
      <c r="B5266" s="48" t="s">
        <v>21344</v>
      </c>
      <c r="C5266" s="48" t="s">
        <v>28764</v>
      </c>
      <c r="D5266" s="50">
        <v>17.41</v>
      </c>
    </row>
    <row r="5267" spans="1:4" ht="13.5">
      <c r="A5267" s="49">
        <v>101243</v>
      </c>
      <c r="B5267" s="48" t="s">
        <v>21345</v>
      </c>
      <c r="C5267" s="48" t="s">
        <v>28764</v>
      </c>
      <c r="D5267" s="50">
        <v>21.1</v>
      </c>
    </row>
    <row r="5268" spans="1:4" ht="13.5">
      <c r="A5268" s="49">
        <v>101244</v>
      </c>
      <c r="B5268" s="48" t="s">
        <v>21346</v>
      </c>
      <c r="C5268" s="48" t="s">
        <v>28764</v>
      </c>
      <c r="D5268" s="50">
        <v>13.27</v>
      </c>
    </row>
    <row r="5269" spans="1:4" ht="13.5">
      <c r="A5269" s="49">
        <v>101245</v>
      </c>
      <c r="B5269" s="48" t="s">
        <v>21347</v>
      </c>
      <c r="C5269" s="48" t="s">
        <v>28764</v>
      </c>
      <c r="D5269" s="50">
        <v>14.05</v>
      </c>
    </row>
    <row r="5270" spans="1:4" ht="13.5">
      <c r="A5270" s="49">
        <v>101246</v>
      </c>
      <c r="B5270" s="48" t="s">
        <v>21348</v>
      </c>
      <c r="C5270" s="48" t="s">
        <v>28764</v>
      </c>
      <c r="D5270" s="50">
        <v>16.29</v>
      </c>
    </row>
    <row r="5271" spans="1:4" ht="13.5">
      <c r="A5271" s="49">
        <v>101247</v>
      </c>
      <c r="B5271" s="48" t="s">
        <v>21349</v>
      </c>
      <c r="C5271" s="48" t="s">
        <v>28764</v>
      </c>
      <c r="D5271" s="50">
        <v>18.07</v>
      </c>
    </row>
    <row r="5272" spans="1:4" ht="13.5">
      <c r="A5272" s="49">
        <v>101248</v>
      </c>
      <c r="B5272" s="48" t="s">
        <v>21350</v>
      </c>
      <c r="C5272" s="48" t="s">
        <v>28764</v>
      </c>
      <c r="D5272" s="50">
        <v>22.57</v>
      </c>
    </row>
    <row r="5273" spans="1:4" ht="13.5">
      <c r="A5273" s="49">
        <v>101249</v>
      </c>
      <c r="B5273" s="48" t="s">
        <v>21351</v>
      </c>
      <c r="C5273" s="48" t="s">
        <v>28764</v>
      </c>
      <c r="D5273" s="50">
        <v>11.59</v>
      </c>
    </row>
    <row r="5274" spans="1:4" ht="13.5">
      <c r="A5274" s="49">
        <v>101250</v>
      </c>
      <c r="B5274" s="48" t="s">
        <v>21352</v>
      </c>
      <c r="C5274" s="48" t="s">
        <v>28764</v>
      </c>
      <c r="D5274" s="50">
        <v>12.84</v>
      </c>
    </row>
    <row r="5275" spans="1:4" ht="13.5">
      <c r="A5275" s="49">
        <v>101251</v>
      </c>
      <c r="B5275" s="48" t="s">
        <v>21353</v>
      </c>
      <c r="C5275" s="48" t="s">
        <v>28764</v>
      </c>
      <c r="D5275" s="50">
        <v>14.67</v>
      </c>
    </row>
    <row r="5276" spans="1:4" ht="13.5">
      <c r="A5276" s="49">
        <v>101252</v>
      </c>
      <c r="B5276" s="48" t="s">
        <v>21354</v>
      </c>
      <c r="C5276" s="48" t="s">
        <v>28764</v>
      </c>
      <c r="D5276" s="50">
        <v>15.86</v>
      </c>
    </row>
    <row r="5277" spans="1:4" ht="13.5">
      <c r="A5277" s="49">
        <v>101253</v>
      </c>
      <c r="B5277" s="48" t="s">
        <v>21355</v>
      </c>
      <c r="C5277" s="48" t="s">
        <v>28764</v>
      </c>
      <c r="D5277" s="50">
        <v>19.940000000000001</v>
      </c>
    </row>
    <row r="5278" spans="1:4" ht="13.5">
      <c r="A5278" s="49">
        <v>101254</v>
      </c>
      <c r="B5278" s="48" t="s">
        <v>21356</v>
      </c>
      <c r="C5278" s="48" t="s">
        <v>28764</v>
      </c>
      <c r="D5278" s="50">
        <v>9.4600000000000009</v>
      </c>
    </row>
    <row r="5279" spans="1:4" ht="13.5">
      <c r="A5279" s="49">
        <v>101255</v>
      </c>
      <c r="B5279" s="48" t="s">
        <v>21357</v>
      </c>
      <c r="C5279" s="48" t="s">
        <v>28764</v>
      </c>
      <c r="D5279" s="50">
        <v>8.35</v>
      </c>
    </row>
    <row r="5280" spans="1:4" ht="13.5">
      <c r="A5280" s="49">
        <v>101256</v>
      </c>
      <c r="B5280" s="48" t="s">
        <v>21358</v>
      </c>
      <c r="C5280" s="48" t="s">
        <v>28764</v>
      </c>
      <c r="D5280" s="50">
        <v>14.14</v>
      </c>
    </row>
    <row r="5281" spans="1:4" ht="13.5">
      <c r="A5281" s="49">
        <v>101257</v>
      </c>
      <c r="B5281" s="48" t="s">
        <v>21359</v>
      </c>
      <c r="C5281" s="48" t="s">
        <v>28764</v>
      </c>
      <c r="D5281" s="50">
        <v>14.83</v>
      </c>
    </row>
    <row r="5282" spans="1:4" ht="13.5">
      <c r="A5282" s="49">
        <v>101258</v>
      </c>
      <c r="B5282" s="48" t="s">
        <v>21360</v>
      </c>
      <c r="C5282" s="48" t="s">
        <v>28764</v>
      </c>
      <c r="D5282" s="50">
        <v>17.079999999999998</v>
      </c>
    </row>
    <row r="5283" spans="1:4" ht="13.5">
      <c r="A5283" s="49">
        <v>101259</v>
      </c>
      <c r="B5283" s="48" t="s">
        <v>21361</v>
      </c>
      <c r="C5283" s="48" t="s">
        <v>28764</v>
      </c>
      <c r="D5283" s="50">
        <v>18.91</v>
      </c>
    </row>
    <row r="5284" spans="1:4" ht="13.5">
      <c r="A5284" s="49">
        <v>101260</v>
      </c>
      <c r="B5284" s="48" t="s">
        <v>21362</v>
      </c>
      <c r="C5284" s="48" t="s">
        <v>28764</v>
      </c>
      <c r="D5284" s="50">
        <v>23.44</v>
      </c>
    </row>
    <row r="5285" spans="1:4" ht="13.5">
      <c r="A5285" s="49">
        <v>101261</v>
      </c>
      <c r="B5285" s="48" t="s">
        <v>21363</v>
      </c>
      <c r="C5285" s="48" t="s">
        <v>28764</v>
      </c>
      <c r="D5285" s="50">
        <v>13.35</v>
      </c>
    </row>
    <row r="5286" spans="1:4" ht="13.5">
      <c r="A5286" s="49">
        <v>101262</v>
      </c>
      <c r="B5286" s="48" t="s">
        <v>21364</v>
      </c>
      <c r="C5286" s="48" t="s">
        <v>28764</v>
      </c>
      <c r="D5286" s="50">
        <v>14.02</v>
      </c>
    </row>
    <row r="5287" spans="1:4" ht="13.5">
      <c r="A5287" s="49">
        <v>101263</v>
      </c>
      <c r="B5287" s="48" t="s">
        <v>21365</v>
      </c>
      <c r="C5287" s="48" t="s">
        <v>28764</v>
      </c>
      <c r="D5287" s="50">
        <v>16.09</v>
      </c>
    </row>
    <row r="5288" spans="1:4" ht="13.5">
      <c r="A5288" s="49">
        <v>101264</v>
      </c>
      <c r="B5288" s="48" t="s">
        <v>21366</v>
      </c>
      <c r="C5288" s="48" t="s">
        <v>28764</v>
      </c>
      <c r="D5288" s="50">
        <v>17.760000000000002</v>
      </c>
    </row>
    <row r="5289" spans="1:4" ht="13.5">
      <c r="A5289" s="49">
        <v>101265</v>
      </c>
      <c r="B5289" s="48" t="s">
        <v>21367</v>
      </c>
      <c r="C5289" s="48" t="s">
        <v>28764</v>
      </c>
      <c r="D5289" s="50">
        <v>21.94</v>
      </c>
    </row>
    <row r="5290" spans="1:4" ht="13.5">
      <c r="A5290" s="49">
        <v>101266</v>
      </c>
      <c r="B5290" s="48" t="s">
        <v>21368</v>
      </c>
      <c r="C5290" s="48" t="s">
        <v>28764</v>
      </c>
      <c r="D5290" s="50">
        <v>8.35</v>
      </c>
    </row>
    <row r="5291" spans="1:4" ht="13.5">
      <c r="A5291" s="49">
        <v>101267</v>
      </c>
      <c r="B5291" s="48" t="s">
        <v>21369</v>
      </c>
      <c r="C5291" s="48" t="s">
        <v>28764</v>
      </c>
      <c r="D5291" s="50">
        <v>8.0299999999999994</v>
      </c>
    </row>
    <row r="5292" spans="1:4" ht="13.5">
      <c r="A5292" s="49">
        <v>101268</v>
      </c>
      <c r="B5292" s="48" t="s">
        <v>21370</v>
      </c>
      <c r="C5292" s="48" t="s">
        <v>28764</v>
      </c>
      <c r="D5292" s="50">
        <v>12.75</v>
      </c>
    </row>
    <row r="5293" spans="1:4" ht="13.5">
      <c r="A5293" s="49">
        <v>101269</v>
      </c>
      <c r="B5293" s="48" t="s">
        <v>21371</v>
      </c>
      <c r="C5293" s="48" t="s">
        <v>28764</v>
      </c>
      <c r="D5293" s="50">
        <v>14.16</v>
      </c>
    </row>
    <row r="5294" spans="1:4" ht="13.5">
      <c r="A5294" s="49">
        <v>101270</v>
      </c>
      <c r="B5294" s="48" t="s">
        <v>21372</v>
      </c>
      <c r="C5294" s="48" t="s">
        <v>28764</v>
      </c>
      <c r="D5294" s="50">
        <v>16.28</v>
      </c>
    </row>
    <row r="5295" spans="1:4" ht="13.5">
      <c r="A5295" s="49">
        <v>101271</v>
      </c>
      <c r="B5295" s="48" t="s">
        <v>21373</v>
      </c>
      <c r="C5295" s="48" t="s">
        <v>28764</v>
      </c>
      <c r="D5295" s="50">
        <v>17.989999999999998</v>
      </c>
    </row>
    <row r="5296" spans="1:4" ht="13.5">
      <c r="A5296" s="49">
        <v>101272</v>
      </c>
      <c r="B5296" s="48" t="s">
        <v>21374</v>
      </c>
      <c r="C5296" s="48" t="s">
        <v>28764</v>
      </c>
      <c r="D5296" s="50">
        <v>22.27</v>
      </c>
    </row>
    <row r="5297" spans="1:4" ht="13.5">
      <c r="A5297" s="49">
        <v>101273</v>
      </c>
      <c r="B5297" s="48" t="s">
        <v>21375</v>
      </c>
      <c r="C5297" s="48" t="s">
        <v>28764</v>
      </c>
      <c r="D5297" s="50">
        <v>12.17</v>
      </c>
    </row>
    <row r="5298" spans="1:4" ht="13.5">
      <c r="A5298" s="49">
        <v>101274</v>
      </c>
      <c r="B5298" s="48" t="s">
        <v>21376</v>
      </c>
      <c r="C5298" s="48" t="s">
        <v>28764</v>
      </c>
      <c r="D5298" s="50">
        <v>13.4</v>
      </c>
    </row>
    <row r="5299" spans="1:4" ht="13.5">
      <c r="A5299" s="49">
        <v>101275</v>
      </c>
      <c r="B5299" s="48" t="s">
        <v>21377</v>
      </c>
      <c r="C5299" s="48" t="s">
        <v>28764</v>
      </c>
      <c r="D5299" s="50">
        <v>15.4</v>
      </c>
    </row>
    <row r="5300" spans="1:4" ht="13.5">
      <c r="A5300" s="49">
        <v>101276</v>
      </c>
      <c r="B5300" s="48" t="s">
        <v>21378</v>
      </c>
      <c r="C5300" s="48" t="s">
        <v>28764</v>
      </c>
      <c r="D5300" s="50">
        <v>16.96</v>
      </c>
    </row>
    <row r="5301" spans="1:4" ht="13.5">
      <c r="A5301" s="49">
        <v>101277</v>
      </c>
      <c r="B5301" s="48" t="s">
        <v>21379</v>
      </c>
      <c r="C5301" s="48" t="s">
        <v>28764</v>
      </c>
      <c r="D5301" s="50">
        <v>21.51</v>
      </c>
    </row>
    <row r="5302" spans="1:4" ht="13.5">
      <c r="A5302" s="49">
        <v>102354</v>
      </c>
      <c r="B5302" s="48" t="s">
        <v>21380</v>
      </c>
      <c r="C5302" s="48" t="s">
        <v>28764</v>
      </c>
      <c r="D5302" s="50">
        <v>117.58</v>
      </c>
    </row>
    <row r="5303" spans="1:4" ht="13.5">
      <c r="A5303" s="49">
        <v>102355</v>
      </c>
      <c r="B5303" s="48" t="s">
        <v>21381</v>
      </c>
      <c r="C5303" s="48" t="s">
        <v>28764</v>
      </c>
      <c r="D5303" s="50">
        <v>136.11000000000001</v>
      </c>
    </row>
    <row r="5304" spans="1:4" ht="13.5">
      <c r="A5304" s="49">
        <v>102360</v>
      </c>
      <c r="B5304" s="48" t="s">
        <v>21382</v>
      </c>
      <c r="C5304" s="48" t="s">
        <v>28764</v>
      </c>
      <c r="D5304" s="50">
        <v>22.86</v>
      </c>
    </row>
    <row r="5305" spans="1:4" ht="13.5">
      <c r="A5305" s="49">
        <v>102361</v>
      </c>
      <c r="B5305" s="48" t="s">
        <v>21383</v>
      </c>
      <c r="C5305" s="48" t="s">
        <v>28764</v>
      </c>
      <c r="D5305" s="50">
        <v>33.549999999999997</v>
      </c>
    </row>
    <row r="5306" spans="1:4" ht="13.5">
      <c r="A5306" s="49">
        <v>90082</v>
      </c>
      <c r="B5306" s="48" t="s">
        <v>26149</v>
      </c>
      <c r="C5306" s="48" t="s">
        <v>28764</v>
      </c>
      <c r="D5306" s="50">
        <v>10.5</v>
      </c>
    </row>
    <row r="5307" spans="1:4" ht="13.5">
      <c r="A5307" s="49">
        <v>90084</v>
      </c>
      <c r="B5307" s="48" t="s">
        <v>26150</v>
      </c>
      <c r="C5307" s="48" t="s">
        <v>28764</v>
      </c>
      <c r="D5307" s="50">
        <v>10.17</v>
      </c>
    </row>
    <row r="5308" spans="1:4" ht="13.5">
      <c r="A5308" s="49">
        <v>90086</v>
      </c>
      <c r="B5308" s="48" t="s">
        <v>26151</v>
      </c>
      <c r="C5308" s="48" t="s">
        <v>28764</v>
      </c>
      <c r="D5308" s="50">
        <v>9.6199999999999992</v>
      </c>
    </row>
    <row r="5309" spans="1:4" ht="13.5">
      <c r="A5309" s="49">
        <v>90087</v>
      </c>
      <c r="B5309" s="48" t="s">
        <v>26152</v>
      </c>
      <c r="C5309" s="48" t="s">
        <v>28764</v>
      </c>
      <c r="D5309" s="50">
        <v>8.75</v>
      </c>
    </row>
    <row r="5310" spans="1:4" ht="13.5">
      <c r="A5310" s="49">
        <v>90090</v>
      </c>
      <c r="B5310" s="48" t="s">
        <v>26153</v>
      </c>
      <c r="C5310" s="48" t="s">
        <v>28764</v>
      </c>
      <c r="D5310" s="50">
        <v>8.5500000000000007</v>
      </c>
    </row>
    <row r="5311" spans="1:4" ht="13.5">
      <c r="A5311" s="49">
        <v>90091</v>
      </c>
      <c r="B5311" s="48" t="s">
        <v>26154</v>
      </c>
      <c r="C5311" s="48" t="s">
        <v>28764</v>
      </c>
      <c r="D5311" s="50">
        <v>5.68</v>
      </c>
    </row>
    <row r="5312" spans="1:4" ht="13.5">
      <c r="A5312" s="49">
        <v>90092</v>
      </c>
      <c r="B5312" s="48" t="s">
        <v>26155</v>
      </c>
      <c r="C5312" s="48" t="s">
        <v>28764</v>
      </c>
      <c r="D5312" s="50">
        <v>5.61</v>
      </c>
    </row>
    <row r="5313" spans="1:4" ht="13.5">
      <c r="A5313" s="49">
        <v>90094</v>
      </c>
      <c r="B5313" s="48" t="s">
        <v>26156</v>
      </c>
      <c r="C5313" s="48" t="s">
        <v>28764</v>
      </c>
      <c r="D5313" s="50">
        <v>5.3</v>
      </c>
    </row>
    <row r="5314" spans="1:4" ht="13.5">
      <c r="A5314" s="49">
        <v>90095</v>
      </c>
      <c r="B5314" s="48" t="s">
        <v>26157</v>
      </c>
      <c r="C5314" s="48" t="s">
        <v>28764</v>
      </c>
      <c r="D5314" s="50">
        <v>4.8099999999999996</v>
      </c>
    </row>
    <row r="5315" spans="1:4" ht="13.5">
      <c r="A5315" s="49">
        <v>90098</v>
      </c>
      <c r="B5315" s="48" t="s">
        <v>26158</v>
      </c>
      <c r="C5315" s="48" t="s">
        <v>28764</v>
      </c>
      <c r="D5315" s="50">
        <v>4.7300000000000004</v>
      </c>
    </row>
    <row r="5316" spans="1:4" ht="13.5">
      <c r="A5316" s="49">
        <v>90099</v>
      </c>
      <c r="B5316" s="48" t="s">
        <v>26159</v>
      </c>
      <c r="C5316" s="48" t="s">
        <v>28764</v>
      </c>
      <c r="D5316" s="50">
        <v>14.27</v>
      </c>
    </row>
    <row r="5317" spans="1:4" ht="13.5">
      <c r="A5317" s="49">
        <v>90100</v>
      </c>
      <c r="B5317" s="48" t="s">
        <v>26160</v>
      </c>
      <c r="C5317" s="48" t="s">
        <v>28764</v>
      </c>
      <c r="D5317" s="50">
        <v>12.11</v>
      </c>
    </row>
    <row r="5318" spans="1:4" ht="13.5">
      <c r="A5318" s="49">
        <v>90101</v>
      </c>
      <c r="B5318" s="48" t="s">
        <v>26161</v>
      </c>
      <c r="C5318" s="48" t="s">
        <v>28764</v>
      </c>
      <c r="D5318" s="50">
        <v>11.97</v>
      </c>
    </row>
    <row r="5319" spans="1:4" ht="13.5">
      <c r="A5319" s="49">
        <v>90102</v>
      </c>
      <c r="B5319" s="48" t="s">
        <v>26162</v>
      </c>
      <c r="C5319" s="48" t="s">
        <v>28764</v>
      </c>
      <c r="D5319" s="50">
        <v>10.89</v>
      </c>
    </row>
    <row r="5320" spans="1:4" ht="13.5">
      <c r="A5320" s="49">
        <v>90105</v>
      </c>
      <c r="B5320" s="48" t="s">
        <v>26163</v>
      </c>
      <c r="C5320" s="48" t="s">
        <v>28764</v>
      </c>
      <c r="D5320" s="50">
        <v>7.86</v>
      </c>
    </row>
    <row r="5321" spans="1:4" ht="13.5">
      <c r="A5321" s="49">
        <v>90106</v>
      </c>
      <c r="B5321" s="48" t="s">
        <v>26164</v>
      </c>
      <c r="C5321" s="48" t="s">
        <v>28764</v>
      </c>
      <c r="D5321" s="50">
        <v>6.69</v>
      </c>
    </row>
    <row r="5322" spans="1:4" ht="13.5">
      <c r="A5322" s="49">
        <v>90107</v>
      </c>
      <c r="B5322" s="48" t="s">
        <v>26165</v>
      </c>
      <c r="C5322" s="48" t="s">
        <v>28764</v>
      </c>
      <c r="D5322" s="50">
        <v>6.59</v>
      </c>
    </row>
    <row r="5323" spans="1:4" ht="13.5">
      <c r="A5323" s="49">
        <v>90108</v>
      </c>
      <c r="B5323" s="48" t="s">
        <v>26166</v>
      </c>
      <c r="C5323" s="48" t="s">
        <v>28764</v>
      </c>
      <c r="D5323" s="50">
        <v>6.01</v>
      </c>
    </row>
    <row r="5324" spans="1:4" ht="13.5">
      <c r="A5324" s="49">
        <v>93358</v>
      </c>
      <c r="B5324" s="48" t="s">
        <v>21384</v>
      </c>
      <c r="C5324" s="48" t="s">
        <v>28764</v>
      </c>
      <c r="D5324" s="50">
        <v>71.64</v>
      </c>
    </row>
    <row r="5325" spans="1:4" ht="13.5">
      <c r="A5325" s="49">
        <v>102276</v>
      </c>
      <c r="B5325" s="48" t="s">
        <v>26167</v>
      </c>
      <c r="C5325" s="48" t="s">
        <v>28764</v>
      </c>
      <c r="D5325" s="50">
        <v>11.81</v>
      </c>
    </row>
    <row r="5326" spans="1:4" ht="13.5">
      <c r="A5326" s="49">
        <v>102277</v>
      </c>
      <c r="B5326" s="48" t="s">
        <v>26168</v>
      </c>
      <c r="C5326" s="48" t="s">
        <v>28764</v>
      </c>
      <c r="D5326" s="50">
        <v>9.33</v>
      </c>
    </row>
    <row r="5327" spans="1:4" ht="13.5">
      <c r="A5327" s="49">
        <v>102278</v>
      </c>
      <c r="B5327" s="48" t="s">
        <v>26169</v>
      </c>
      <c r="C5327" s="48" t="s">
        <v>28764</v>
      </c>
      <c r="D5327" s="50">
        <v>9.1</v>
      </c>
    </row>
    <row r="5328" spans="1:4" ht="13.5">
      <c r="A5328" s="49">
        <v>102279</v>
      </c>
      <c r="B5328" s="48" t="s">
        <v>26170</v>
      </c>
      <c r="C5328" s="48" t="s">
        <v>28764</v>
      </c>
      <c r="D5328" s="50">
        <v>6.52</v>
      </c>
    </row>
    <row r="5329" spans="1:4" ht="13.5">
      <c r="A5329" s="49">
        <v>102280</v>
      </c>
      <c r="B5329" s="48" t="s">
        <v>26171</v>
      </c>
      <c r="C5329" s="48" t="s">
        <v>28764</v>
      </c>
      <c r="D5329" s="50">
        <v>5.14</v>
      </c>
    </row>
    <row r="5330" spans="1:4" ht="13.5">
      <c r="A5330" s="49">
        <v>102281</v>
      </c>
      <c r="B5330" s="48" t="s">
        <v>26172</v>
      </c>
      <c r="C5330" s="48" t="s">
        <v>28764</v>
      </c>
      <c r="D5330" s="50">
        <v>5.0199999999999996</v>
      </c>
    </row>
    <row r="5331" spans="1:4" ht="13.5">
      <c r="A5331" s="49">
        <v>102282</v>
      </c>
      <c r="B5331" s="48" t="s">
        <v>26173</v>
      </c>
      <c r="C5331" s="48" t="s">
        <v>28764</v>
      </c>
      <c r="D5331" s="50">
        <v>13.12</v>
      </c>
    </row>
    <row r="5332" spans="1:4" ht="13.5">
      <c r="A5332" s="49">
        <v>102283</v>
      </c>
      <c r="B5332" s="48" t="s">
        <v>26174</v>
      </c>
      <c r="C5332" s="48" t="s">
        <v>28764</v>
      </c>
      <c r="D5332" s="50">
        <v>11.66</v>
      </c>
    </row>
    <row r="5333" spans="1:4" ht="13.5">
      <c r="A5333" s="49">
        <v>102284</v>
      </c>
      <c r="B5333" s="48" t="s">
        <v>26175</v>
      </c>
      <c r="C5333" s="48" t="s">
        <v>28764</v>
      </c>
      <c r="D5333" s="50">
        <v>11.29</v>
      </c>
    </row>
    <row r="5334" spans="1:4" ht="13.5">
      <c r="A5334" s="49">
        <v>102285</v>
      </c>
      <c r="B5334" s="48" t="s">
        <v>26176</v>
      </c>
      <c r="C5334" s="48" t="s">
        <v>28764</v>
      </c>
      <c r="D5334" s="50">
        <v>10.67</v>
      </c>
    </row>
    <row r="5335" spans="1:4" ht="13.5">
      <c r="A5335" s="49">
        <v>102286</v>
      </c>
      <c r="B5335" s="48" t="s">
        <v>26177</v>
      </c>
      <c r="C5335" s="48" t="s">
        <v>28764</v>
      </c>
      <c r="D5335" s="50">
        <v>10.37</v>
      </c>
    </row>
    <row r="5336" spans="1:4" ht="13.5">
      <c r="A5336" s="49">
        <v>102287</v>
      </c>
      <c r="B5336" s="48" t="s">
        <v>26178</v>
      </c>
      <c r="C5336" s="48" t="s">
        <v>28764</v>
      </c>
      <c r="D5336" s="50">
        <v>10.130000000000001</v>
      </c>
    </row>
    <row r="5337" spans="1:4" ht="13.5">
      <c r="A5337" s="49">
        <v>102288</v>
      </c>
      <c r="B5337" s="48" t="s">
        <v>26179</v>
      </c>
      <c r="C5337" s="48" t="s">
        <v>28764</v>
      </c>
      <c r="D5337" s="50">
        <v>9.73</v>
      </c>
    </row>
    <row r="5338" spans="1:4" ht="13.5">
      <c r="A5338" s="49">
        <v>102289</v>
      </c>
      <c r="B5338" s="48" t="s">
        <v>26180</v>
      </c>
      <c r="C5338" s="48" t="s">
        <v>28764</v>
      </c>
      <c r="D5338" s="50">
        <v>9.5</v>
      </c>
    </row>
    <row r="5339" spans="1:4" ht="13.5">
      <c r="A5339" s="49">
        <v>102290</v>
      </c>
      <c r="B5339" s="48" t="s">
        <v>26181</v>
      </c>
      <c r="C5339" s="48" t="s">
        <v>28764</v>
      </c>
      <c r="D5339" s="50">
        <v>7.24</v>
      </c>
    </row>
    <row r="5340" spans="1:4" ht="13.5">
      <c r="A5340" s="49">
        <v>102291</v>
      </c>
      <c r="B5340" s="48" t="s">
        <v>26182</v>
      </c>
      <c r="C5340" s="48" t="s">
        <v>28764</v>
      </c>
      <c r="D5340" s="50">
        <v>6.43</v>
      </c>
    </row>
    <row r="5341" spans="1:4" ht="13.5">
      <c r="A5341" s="49">
        <v>102292</v>
      </c>
      <c r="B5341" s="48" t="s">
        <v>26183</v>
      </c>
      <c r="C5341" s="48" t="s">
        <v>28764</v>
      </c>
      <c r="D5341" s="50">
        <v>6.23</v>
      </c>
    </row>
    <row r="5342" spans="1:4" ht="13.5">
      <c r="A5342" s="49">
        <v>102293</v>
      </c>
      <c r="B5342" s="48" t="s">
        <v>26184</v>
      </c>
      <c r="C5342" s="48" t="s">
        <v>28764</v>
      </c>
      <c r="D5342" s="50">
        <v>5.9</v>
      </c>
    </row>
    <row r="5343" spans="1:4" ht="13.5">
      <c r="A5343" s="49">
        <v>102294</v>
      </c>
      <c r="B5343" s="48" t="s">
        <v>26185</v>
      </c>
      <c r="C5343" s="48" t="s">
        <v>28764</v>
      </c>
      <c r="D5343" s="50">
        <v>5.73</v>
      </c>
    </row>
    <row r="5344" spans="1:4" ht="13.5">
      <c r="A5344" s="49">
        <v>102295</v>
      </c>
      <c r="B5344" s="48" t="s">
        <v>26186</v>
      </c>
      <c r="C5344" s="48" t="s">
        <v>28764</v>
      </c>
      <c r="D5344" s="50">
        <v>5.58</v>
      </c>
    </row>
    <row r="5345" spans="1:4" ht="13.5">
      <c r="A5345" s="49">
        <v>102296</v>
      </c>
      <c r="B5345" s="48" t="s">
        <v>26187</v>
      </c>
      <c r="C5345" s="48" t="s">
        <v>28764</v>
      </c>
      <c r="D5345" s="50">
        <v>5.36</v>
      </c>
    </row>
    <row r="5346" spans="1:4" ht="13.5">
      <c r="A5346" s="49">
        <v>102297</v>
      </c>
      <c r="B5346" s="48" t="s">
        <v>26188</v>
      </c>
      <c r="C5346" s="48" t="s">
        <v>28764</v>
      </c>
      <c r="D5346" s="50">
        <v>5.23</v>
      </c>
    </row>
    <row r="5347" spans="1:4" ht="13.5">
      <c r="A5347" s="49">
        <v>102298</v>
      </c>
      <c r="B5347" s="48" t="s">
        <v>26189</v>
      </c>
      <c r="C5347" s="48" t="s">
        <v>28764</v>
      </c>
      <c r="D5347" s="50">
        <v>15.85</v>
      </c>
    </row>
    <row r="5348" spans="1:4" ht="13.5">
      <c r="A5348" s="49">
        <v>102299</v>
      </c>
      <c r="B5348" s="48" t="s">
        <v>26190</v>
      </c>
      <c r="C5348" s="48" t="s">
        <v>28764</v>
      </c>
      <c r="D5348" s="50">
        <v>13.46</v>
      </c>
    </row>
    <row r="5349" spans="1:4" ht="13.5">
      <c r="A5349" s="49">
        <v>102300</v>
      </c>
      <c r="B5349" s="48" t="s">
        <v>26191</v>
      </c>
      <c r="C5349" s="48" t="s">
        <v>28764</v>
      </c>
      <c r="D5349" s="50">
        <v>13.29</v>
      </c>
    </row>
    <row r="5350" spans="1:4" ht="13.5">
      <c r="A5350" s="49">
        <v>102301</v>
      </c>
      <c r="B5350" s="48" t="s">
        <v>26192</v>
      </c>
      <c r="C5350" s="48" t="s">
        <v>28764</v>
      </c>
      <c r="D5350" s="50">
        <v>12.08</v>
      </c>
    </row>
    <row r="5351" spans="1:4" ht="13.5">
      <c r="A5351" s="49">
        <v>102302</v>
      </c>
      <c r="B5351" s="48" t="s">
        <v>26193</v>
      </c>
      <c r="C5351" s="48" t="s">
        <v>28764</v>
      </c>
      <c r="D5351" s="50">
        <v>8.74</v>
      </c>
    </row>
    <row r="5352" spans="1:4" ht="13.5">
      <c r="A5352" s="49">
        <v>102303</v>
      </c>
      <c r="B5352" s="48" t="s">
        <v>26194</v>
      </c>
      <c r="C5352" s="48" t="s">
        <v>28764</v>
      </c>
      <c r="D5352" s="50">
        <v>7.42</v>
      </c>
    </row>
    <row r="5353" spans="1:4" ht="13.5">
      <c r="A5353" s="49">
        <v>102304</v>
      </c>
      <c r="B5353" s="48" t="s">
        <v>26195</v>
      </c>
      <c r="C5353" s="48" t="s">
        <v>28764</v>
      </c>
      <c r="D5353" s="50">
        <v>7.32</v>
      </c>
    </row>
    <row r="5354" spans="1:4" ht="13.5">
      <c r="A5354" s="49">
        <v>102305</v>
      </c>
      <c r="B5354" s="48" t="s">
        <v>26196</v>
      </c>
      <c r="C5354" s="48" t="s">
        <v>28764</v>
      </c>
      <c r="D5354" s="50">
        <v>6.68</v>
      </c>
    </row>
    <row r="5355" spans="1:4" ht="13.5">
      <c r="A5355" s="49">
        <v>102306</v>
      </c>
      <c r="B5355" s="48" t="s">
        <v>26197</v>
      </c>
      <c r="C5355" s="48" t="s">
        <v>28764</v>
      </c>
      <c r="D5355" s="50">
        <v>14.78</v>
      </c>
    </row>
    <row r="5356" spans="1:4" ht="13.5">
      <c r="A5356" s="49">
        <v>102307</v>
      </c>
      <c r="B5356" s="48" t="s">
        <v>26198</v>
      </c>
      <c r="C5356" s="48" t="s">
        <v>28764</v>
      </c>
      <c r="D5356" s="50">
        <v>13.11</v>
      </c>
    </row>
    <row r="5357" spans="1:4" ht="13.5">
      <c r="A5357" s="49">
        <v>102308</v>
      </c>
      <c r="B5357" s="48" t="s">
        <v>26199</v>
      </c>
      <c r="C5357" s="48" t="s">
        <v>28764</v>
      </c>
      <c r="D5357" s="50">
        <v>12.72</v>
      </c>
    </row>
    <row r="5358" spans="1:4" ht="13.5">
      <c r="A5358" s="49">
        <v>102309</v>
      </c>
      <c r="B5358" s="48" t="s">
        <v>26200</v>
      </c>
      <c r="C5358" s="48" t="s">
        <v>28764</v>
      </c>
      <c r="D5358" s="50">
        <v>12.03</v>
      </c>
    </row>
    <row r="5359" spans="1:4" ht="13.5">
      <c r="A5359" s="49">
        <v>102310</v>
      </c>
      <c r="B5359" s="48" t="s">
        <v>26201</v>
      </c>
      <c r="C5359" s="48" t="s">
        <v>28764</v>
      </c>
      <c r="D5359" s="50">
        <v>11.68</v>
      </c>
    </row>
    <row r="5360" spans="1:4" ht="13.5">
      <c r="A5360" s="49">
        <v>102311</v>
      </c>
      <c r="B5360" s="48" t="s">
        <v>26202</v>
      </c>
      <c r="C5360" s="48" t="s">
        <v>28764</v>
      </c>
      <c r="D5360" s="50">
        <v>11.38</v>
      </c>
    </row>
    <row r="5361" spans="1:4" ht="13.5">
      <c r="A5361" s="49">
        <v>102312</v>
      </c>
      <c r="B5361" s="48" t="s">
        <v>26203</v>
      </c>
      <c r="C5361" s="48" t="s">
        <v>28764</v>
      </c>
      <c r="D5361" s="50">
        <v>10.95</v>
      </c>
    </row>
    <row r="5362" spans="1:4" ht="13.5">
      <c r="A5362" s="49">
        <v>102313</v>
      </c>
      <c r="B5362" s="48" t="s">
        <v>26204</v>
      </c>
      <c r="C5362" s="48" t="s">
        <v>28764</v>
      </c>
      <c r="D5362" s="50">
        <v>10.7</v>
      </c>
    </row>
    <row r="5363" spans="1:4" ht="13.5">
      <c r="A5363" s="49">
        <v>102314</v>
      </c>
      <c r="B5363" s="48" t="s">
        <v>26205</v>
      </c>
      <c r="C5363" s="48" t="s">
        <v>28764</v>
      </c>
      <c r="D5363" s="50">
        <v>8.16</v>
      </c>
    </row>
    <row r="5364" spans="1:4" ht="13.5">
      <c r="A5364" s="49">
        <v>102315</v>
      </c>
      <c r="B5364" s="48" t="s">
        <v>26206</v>
      </c>
      <c r="C5364" s="48" t="s">
        <v>28764</v>
      </c>
      <c r="D5364" s="50">
        <v>7.23</v>
      </c>
    </row>
    <row r="5365" spans="1:4" ht="13.5">
      <c r="A5365" s="49">
        <v>102316</v>
      </c>
      <c r="B5365" s="48" t="s">
        <v>26207</v>
      </c>
      <c r="C5365" s="48" t="s">
        <v>28764</v>
      </c>
      <c r="D5365" s="50">
        <v>7.01</v>
      </c>
    </row>
    <row r="5366" spans="1:4" ht="13.5">
      <c r="A5366" s="49">
        <v>102317</v>
      </c>
      <c r="B5366" s="48" t="s">
        <v>26208</v>
      </c>
      <c r="C5366" s="48" t="s">
        <v>28764</v>
      </c>
      <c r="D5366" s="50">
        <v>6.62</v>
      </c>
    </row>
    <row r="5367" spans="1:4" ht="13.5">
      <c r="A5367" s="49">
        <v>102318</v>
      </c>
      <c r="B5367" s="48" t="s">
        <v>26209</v>
      </c>
      <c r="C5367" s="48" t="s">
        <v>28764</v>
      </c>
      <c r="D5367" s="50">
        <v>6.45</v>
      </c>
    </row>
    <row r="5368" spans="1:4" ht="13.5">
      <c r="A5368" s="49">
        <v>102319</v>
      </c>
      <c r="B5368" s="48" t="s">
        <v>26210</v>
      </c>
      <c r="C5368" s="48" t="s">
        <v>28764</v>
      </c>
      <c r="D5368" s="50">
        <v>6.27</v>
      </c>
    </row>
    <row r="5369" spans="1:4" ht="13.5">
      <c r="A5369" s="49">
        <v>102320</v>
      </c>
      <c r="B5369" s="48" t="s">
        <v>26211</v>
      </c>
      <c r="C5369" s="48" t="s">
        <v>28764</v>
      </c>
      <c r="D5369" s="50">
        <v>6.03</v>
      </c>
    </row>
    <row r="5370" spans="1:4" ht="13.5">
      <c r="A5370" s="49">
        <v>102321</v>
      </c>
      <c r="B5370" s="48" t="s">
        <v>26212</v>
      </c>
      <c r="C5370" s="48" t="s">
        <v>28764</v>
      </c>
      <c r="D5370" s="50">
        <v>5.9</v>
      </c>
    </row>
    <row r="5371" spans="1:4" ht="13.5">
      <c r="A5371" s="49">
        <v>102322</v>
      </c>
      <c r="B5371" s="48" t="s">
        <v>26213</v>
      </c>
      <c r="C5371" s="48" t="s">
        <v>28764</v>
      </c>
      <c r="D5371" s="50">
        <v>17.829999999999998</v>
      </c>
    </row>
    <row r="5372" spans="1:4" ht="13.5">
      <c r="A5372" s="49">
        <v>102323</v>
      </c>
      <c r="B5372" s="48" t="s">
        <v>26214</v>
      </c>
      <c r="C5372" s="48" t="s">
        <v>28764</v>
      </c>
      <c r="D5372" s="50">
        <v>15.15</v>
      </c>
    </row>
    <row r="5373" spans="1:4" ht="13.5">
      <c r="A5373" s="49">
        <v>102324</v>
      </c>
      <c r="B5373" s="48" t="s">
        <v>26215</v>
      </c>
      <c r="C5373" s="48" t="s">
        <v>28764</v>
      </c>
      <c r="D5373" s="50">
        <v>14.95</v>
      </c>
    </row>
    <row r="5374" spans="1:4" ht="13.5">
      <c r="A5374" s="49">
        <v>102325</v>
      </c>
      <c r="B5374" s="48" t="s">
        <v>26216</v>
      </c>
      <c r="C5374" s="48" t="s">
        <v>28764</v>
      </c>
      <c r="D5374" s="50">
        <v>13.61</v>
      </c>
    </row>
    <row r="5375" spans="1:4" ht="13.5">
      <c r="A5375" s="49">
        <v>102326</v>
      </c>
      <c r="B5375" s="48" t="s">
        <v>26217</v>
      </c>
      <c r="C5375" s="48" t="s">
        <v>28764</v>
      </c>
      <c r="D5375" s="50">
        <v>9.85</v>
      </c>
    </row>
    <row r="5376" spans="1:4" ht="13.5">
      <c r="A5376" s="49">
        <v>102327</v>
      </c>
      <c r="B5376" s="48" t="s">
        <v>26218</v>
      </c>
      <c r="C5376" s="48" t="s">
        <v>28764</v>
      </c>
      <c r="D5376" s="50">
        <v>8.36</v>
      </c>
    </row>
    <row r="5377" spans="1:4" ht="13.5">
      <c r="A5377" s="49">
        <v>102328</v>
      </c>
      <c r="B5377" s="48" t="s">
        <v>26219</v>
      </c>
      <c r="C5377" s="48" t="s">
        <v>28764</v>
      </c>
      <c r="D5377" s="50">
        <v>8.25</v>
      </c>
    </row>
    <row r="5378" spans="1:4" ht="13.5">
      <c r="A5378" s="49">
        <v>102329</v>
      </c>
      <c r="B5378" s="48" t="s">
        <v>26220</v>
      </c>
      <c r="C5378" s="48" t="s">
        <v>28764</v>
      </c>
      <c r="D5378" s="50">
        <v>7.51</v>
      </c>
    </row>
    <row r="5379" spans="1:4" ht="13.5">
      <c r="A5379" s="49">
        <v>94304</v>
      </c>
      <c r="B5379" s="48" t="s">
        <v>5952</v>
      </c>
      <c r="C5379" s="48" t="s">
        <v>28764</v>
      </c>
      <c r="D5379" s="50">
        <v>33.56</v>
      </c>
    </row>
    <row r="5380" spans="1:4" ht="13.5">
      <c r="A5380" s="49">
        <v>94305</v>
      </c>
      <c r="B5380" s="48" t="s">
        <v>5953</v>
      </c>
      <c r="C5380" s="48" t="s">
        <v>28764</v>
      </c>
      <c r="D5380" s="50">
        <v>29.59</v>
      </c>
    </row>
    <row r="5381" spans="1:4" ht="13.5">
      <c r="A5381" s="49">
        <v>94306</v>
      </c>
      <c r="B5381" s="48" t="s">
        <v>5954</v>
      </c>
      <c r="C5381" s="48" t="s">
        <v>28764</v>
      </c>
      <c r="D5381" s="50">
        <v>24.54</v>
      </c>
    </row>
    <row r="5382" spans="1:4" ht="13.5">
      <c r="A5382" s="49">
        <v>94307</v>
      </c>
      <c r="B5382" s="48" t="s">
        <v>5955</v>
      </c>
      <c r="C5382" s="48" t="s">
        <v>28764</v>
      </c>
      <c r="D5382" s="50">
        <v>25.69</v>
      </c>
    </row>
    <row r="5383" spans="1:4" ht="13.5">
      <c r="A5383" s="49">
        <v>94308</v>
      </c>
      <c r="B5383" s="48" t="s">
        <v>5956</v>
      </c>
      <c r="C5383" s="48" t="s">
        <v>28764</v>
      </c>
      <c r="D5383" s="50">
        <v>22.64</v>
      </c>
    </row>
    <row r="5384" spans="1:4" ht="13.5">
      <c r="A5384" s="49">
        <v>94309</v>
      </c>
      <c r="B5384" s="48" t="s">
        <v>5957</v>
      </c>
      <c r="C5384" s="48" t="s">
        <v>28764</v>
      </c>
      <c r="D5384" s="50">
        <v>24.02</v>
      </c>
    </row>
    <row r="5385" spans="1:4" ht="13.5">
      <c r="A5385" s="49">
        <v>94310</v>
      </c>
      <c r="B5385" s="48" t="s">
        <v>5958</v>
      </c>
      <c r="C5385" s="48" t="s">
        <v>28764</v>
      </c>
      <c r="D5385" s="50">
        <v>21.7</v>
      </c>
    </row>
    <row r="5386" spans="1:4" ht="13.5">
      <c r="A5386" s="49">
        <v>94315</v>
      </c>
      <c r="B5386" s="48" t="s">
        <v>5959</v>
      </c>
      <c r="C5386" s="48" t="s">
        <v>28764</v>
      </c>
      <c r="D5386" s="50">
        <v>41.67</v>
      </c>
    </row>
    <row r="5387" spans="1:4" ht="13.5">
      <c r="A5387" s="49">
        <v>94316</v>
      </c>
      <c r="B5387" s="48" t="s">
        <v>5960</v>
      </c>
      <c r="C5387" s="48" t="s">
        <v>28764</v>
      </c>
      <c r="D5387" s="50">
        <v>32.409999999999997</v>
      </c>
    </row>
    <row r="5388" spans="1:4" ht="13.5">
      <c r="A5388" s="49">
        <v>94317</v>
      </c>
      <c r="B5388" s="48" t="s">
        <v>5961</v>
      </c>
      <c r="C5388" s="48" t="s">
        <v>28764</v>
      </c>
      <c r="D5388" s="50">
        <v>28.3</v>
      </c>
    </row>
    <row r="5389" spans="1:4" ht="13.5">
      <c r="A5389" s="49">
        <v>94318</v>
      </c>
      <c r="B5389" s="48" t="s">
        <v>5962</v>
      </c>
      <c r="C5389" s="48" t="s">
        <v>28764</v>
      </c>
      <c r="D5389" s="50">
        <v>23</v>
      </c>
    </row>
    <row r="5390" spans="1:4" ht="13.5">
      <c r="A5390" s="49">
        <v>94319</v>
      </c>
      <c r="B5390" s="48" t="s">
        <v>5963</v>
      </c>
      <c r="C5390" s="48" t="s">
        <v>28764</v>
      </c>
      <c r="D5390" s="50">
        <v>44.1</v>
      </c>
    </row>
    <row r="5391" spans="1:4" ht="13.5">
      <c r="A5391" s="49">
        <v>94327</v>
      </c>
      <c r="B5391" s="48" t="s">
        <v>5964</v>
      </c>
      <c r="C5391" s="48" t="s">
        <v>28764</v>
      </c>
      <c r="D5391" s="50">
        <v>89.88</v>
      </c>
    </row>
    <row r="5392" spans="1:4" ht="13.5">
      <c r="A5392" s="49">
        <v>94328</v>
      </c>
      <c r="B5392" s="48" t="s">
        <v>5965</v>
      </c>
      <c r="C5392" s="48" t="s">
        <v>28764</v>
      </c>
      <c r="D5392" s="50">
        <v>85.91</v>
      </c>
    </row>
    <row r="5393" spans="1:4" ht="13.5">
      <c r="A5393" s="49">
        <v>94329</v>
      </c>
      <c r="B5393" s="48" t="s">
        <v>5967</v>
      </c>
      <c r="C5393" s="48" t="s">
        <v>28764</v>
      </c>
      <c r="D5393" s="50">
        <v>80.86</v>
      </c>
    </row>
    <row r="5394" spans="1:4" ht="13.5">
      <c r="A5394" s="49">
        <v>94330</v>
      </c>
      <c r="B5394" s="48" t="s">
        <v>5968</v>
      </c>
      <c r="C5394" s="48" t="s">
        <v>28764</v>
      </c>
      <c r="D5394" s="50">
        <v>82.01</v>
      </c>
    </row>
    <row r="5395" spans="1:4" ht="13.5">
      <c r="A5395" s="49">
        <v>94331</v>
      </c>
      <c r="B5395" s="48" t="s">
        <v>5969</v>
      </c>
      <c r="C5395" s="48" t="s">
        <v>28764</v>
      </c>
      <c r="D5395" s="50">
        <v>78.959999999999994</v>
      </c>
    </row>
    <row r="5396" spans="1:4" ht="13.5">
      <c r="A5396" s="49">
        <v>94332</v>
      </c>
      <c r="B5396" s="48" t="s">
        <v>5971</v>
      </c>
      <c r="C5396" s="48" t="s">
        <v>28764</v>
      </c>
      <c r="D5396" s="50">
        <v>80.34</v>
      </c>
    </row>
    <row r="5397" spans="1:4" ht="13.5">
      <c r="A5397" s="49">
        <v>94333</v>
      </c>
      <c r="B5397" s="48" t="s">
        <v>5972</v>
      </c>
      <c r="C5397" s="48" t="s">
        <v>28764</v>
      </c>
      <c r="D5397" s="50">
        <v>78.02</v>
      </c>
    </row>
    <row r="5398" spans="1:4" ht="13.5">
      <c r="A5398" s="49">
        <v>94338</v>
      </c>
      <c r="B5398" s="48" t="s">
        <v>5973</v>
      </c>
      <c r="C5398" s="48" t="s">
        <v>28764</v>
      </c>
      <c r="D5398" s="50">
        <v>97.99</v>
      </c>
    </row>
    <row r="5399" spans="1:4" ht="13.5">
      <c r="A5399" s="49">
        <v>94339</v>
      </c>
      <c r="B5399" s="48" t="s">
        <v>5974</v>
      </c>
      <c r="C5399" s="48" t="s">
        <v>28764</v>
      </c>
      <c r="D5399" s="50">
        <v>88.73</v>
      </c>
    </row>
    <row r="5400" spans="1:4" ht="13.5">
      <c r="A5400" s="49">
        <v>94340</v>
      </c>
      <c r="B5400" s="48" t="s">
        <v>5975</v>
      </c>
      <c r="C5400" s="48" t="s">
        <v>28764</v>
      </c>
      <c r="D5400" s="50">
        <v>84.62</v>
      </c>
    </row>
    <row r="5401" spans="1:4" ht="13.5">
      <c r="A5401" s="49">
        <v>94341</v>
      </c>
      <c r="B5401" s="48" t="s">
        <v>5976</v>
      </c>
      <c r="C5401" s="48" t="s">
        <v>28764</v>
      </c>
      <c r="D5401" s="50">
        <v>79.319999999999993</v>
      </c>
    </row>
    <row r="5402" spans="1:4" ht="13.5">
      <c r="A5402" s="49">
        <v>94342</v>
      </c>
      <c r="B5402" s="48" t="s">
        <v>5977</v>
      </c>
      <c r="C5402" s="48" t="s">
        <v>28764</v>
      </c>
      <c r="D5402" s="50">
        <v>100.42</v>
      </c>
    </row>
    <row r="5403" spans="1:4" ht="13.5">
      <c r="A5403" s="49">
        <v>96385</v>
      </c>
      <c r="B5403" s="48" t="s">
        <v>5978</v>
      </c>
      <c r="C5403" s="48" t="s">
        <v>28764</v>
      </c>
      <c r="D5403" s="50">
        <v>9.9</v>
      </c>
    </row>
    <row r="5404" spans="1:4" ht="13.5">
      <c r="A5404" s="49">
        <v>96386</v>
      </c>
      <c r="B5404" s="48" t="s">
        <v>5979</v>
      </c>
      <c r="C5404" s="48" t="s">
        <v>28764</v>
      </c>
      <c r="D5404" s="50">
        <v>7.12</v>
      </c>
    </row>
    <row r="5405" spans="1:4" ht="13.5">
      <c r="A5405" s="49">
        <v>93360</v>
      </c>
      <c r="B5405" s="48" t="s">
        <v>5980</v>
      </c>
      <c r="C5405" s="48" t="s">
        <v>28764</v>
      </c>
      <c r="D5405" s="50">
        <v>21.9</v>
      </c>
    </row>
    <row r="5406" spans="1:4" ht="13.5">
      <c r="A5406" s="49">
        <v>93361</v>
      </c>
      <c r="B5406" s="48" t="s">
        <v>5981</v>
      </c>
      <c r="C5406" s="48" t="s">
        <v>28764</v>
      </c>
      <c r="D5406" s="50">
        <v>18.03</v>
      </c>
    </row>
    <row r="5407" spans="1:4" ht="13.5">
      <c r="A5407" s="49">
        <v>93362</v>
      </c>
      <c r="B5407" s="48" t="s">
        <v>5982</v>
      </c>
      <c r="C5407" s="48" t="s">
        <v>28764</v>
      </c>
      <c r="D5407" s="50">
        <v>12.91</v>
      </c>
    </row>
    <row r="5408" spans="1:4" ht="13.5">
      <c r="A5408" s="49">
        <v>93363</v>
      </c>
      <c r="B5408" s="48" t="s">
        <v>5983</v>
      </c>
      <c r="C5408" s="48" t="s">
        <v>28764</v>
      </c>
      <c r="D5408" s="50">
        <v>14.02</v>
      </c>
    </row>
    <row r="5409" spans="1:4" ht="13.5">
      <c r="A5409" s="49">
        <v>93364</v>
      </c>
      <c r="B5409" s="48" t="s">
        <v>5984</v>
      </c>
      <c r="C5409" s="48" t="s">
        <v>28764</v>
      </c>
      <c r="D5409" s="50">
        <v>10.97</v>
      </c>
    </row>
    <row r="5410" spans="1:4" ht="13.5">
      <c r="A5410" s="49">
        <v>93365</v>
      </c>
      <c r="B5410" s="48" t="s">
        <v>5985</v>
      </c>
      <c r="C5410" s="48" t="s">
        <v>28764</v>
      </c>
      <c r="D5410" s="50">
        <v>12.26</v>
      </c>
    </row>
    <row r="5411" spans="1:4" ht="13.5">
      <c r="A5411" s="49">
        <v>93366</v>
      </c>
      <c r="B5411" s="48" t="s">
        <v>5986</v>
      </c>
      <c r="C5411" s="48" t="s">
        <v>28764</v>
      </c>
      <c r="D5411" s="50">
        <v>10.050000000000001</v>
      </c>
    </row>
    <row r="5412" spans="1:4" ht="13.5">
      <c r="A5412" s="49">
        <v>93367</v>
      </c>
      <c r="B5412" s="48" t="s">
        <v>5987</v>
      </c>
      <c r="C5412" s="48" t="s">
        <v>28764</v>
      </c>
      <c r="D5412" s="50">
        <v>20.49</v>
      </c>
    </row>
    <row r="5413" spans="1:4" ht="13.5">
      <c r="A5413" s="49">
        <v>93368</v>
      </c>
      <c r="B5413" s="48" t="s">
        <v>5988</v>
      </c>
      <c r="C5413" s="48" t="s">
        <v>28764</v>
      </c>
      <c r="D5413" s="50">
        <v>16.53</v>
      </c>
    </row>
    <row r="5414" spans="1:4" ht="13.5">
      <c r="A5414" s="49">
        <v>93369</v>
      </c>
      <c r="B5414" s="48" t="s">
        <v>5989</v>
      </c>
      <c r="C5414" s="48" t="s">
        <v>28764</v>
      </c>
      <c r="D5414" s="50">
        <v>11.49</v>
      </c>
    </row>
    <row r="5415" spans="1:4" ht="13.5">
      <c r="A5415" s="49">
        <v>93370</v>
      </c>
      <c r="B5415" s="48" t="s">
        <v>5990</v>
      </c>
      <c r="C5415" s="48" t="s">
        <v>28764</v>
      </c>
      <c r="D5415" s="50">
        <v>12.64</v>
      </c>
    </row>
    <row r="5416" spans="1:4" ht="13.5">
      <c r="A5416" s="49">
        <v>93371</v>
      </c>
      <c r="B5416" s="48" t="s">
        <v>5991</v>
      </c>
      <c r="C5416" s="48" t="s">
        <v>28764</v>
      </c>
      <c r="D5416" s="50">
        <v>9.59</v>
      </c>
    </row>
    <row r="5417" spans="1:4" ht="13.5">
      <c r="A5417" s="49">
        <v>93372</v>
      </c>
      <c r="B5417" s="48" t="s">
        <v>5992</v>
      </c>
      <c r="C5417" s="48" t="s">
        <v>28764</v>
      </c>
      <c r="D5417" s="50">
        <v>10.96</v>
      </c>
    </row>
    <row r="5418" spans="1:4" ht="13.5">
      <c r="A5418" s="49">
        <v>93373</v>
      </c>
      <c r="B5418" s="48" t="s">
        <v>5993</v>
      </c>
      <c r="C5418" s="48" t="s">
        <v>28764</v>
      </c>
      <c r="D5418" s="50">
        <v>8.66</v>
      </c>
    </row>
    <row r="5419" spans="1:4" ht="13.5">
      <c r="A5419" s="49">
        <v>93374</v>
      </c>
      <c r="B5419" s="48" t="s">
        <v>5994</v>
      </c>
      <c r="C5419" s="48" t="s">
        <v>28764</v>
      </c>
      <c r="D5419" s="50">
        <v>25.75</v>
      </c>
    </row>
    <row r="5420" spans="1:4" ht="13.5">
      <c r="A5420" s="49">
        <v>93375</v>
      </c>
      <c r="B5420" s="48" t="s">
        <v>5995</v>
      </c>
      <c r="C5420" s="48" t="s">
        <v>28764</v>
      </c>
      <c r="D5420" s="50">
        <v>19.84</v>
      </c>
    </row>
    <row r="5421" spans="1:4" ht="13.5">
      <c r="A5421" s="49">
        <v>93376</v>
      </c>
      <c r="B5421" s="48" t="s">
        <v>5996</v>
      </c>
      <c r="C5421" s="48" t="s">
        <v>28764</v>
      </c>
      <c r="D5421" s="50">
        <v>16.14</v>
      </c>
    </row>
    <row r="5422" spans="1:4" ht="13.5">
      <c r="A5422" s="49">
        <v>93377</v>
      </c>
      <c r="B5422" s="48" t="s">
        <v>5997</v>
      </c>
      <c r="C5422" s="48" t="s">
        <v>28764</v>
      </c>
      <c r="D5422" s="50">
        <v>10.6</v>
      </c>
    </row>
    <row r="5423" spans="1:4" ht="13.5">
      <c r="A5423" s="49">
        <v>93378</v>
      </c>
      <c r="B5423" s="48" t="s">
        <v>5998</v>
      </c>
      <c r="C5423" s="48" t="s">
        <v>28764</v>
      </c>
      <c r="D5423" s="50">
        <v>24.2</v>
      </c>
    </row>
    <row r="5424" spans="1:4" ht="13.5">
      <c r="A5424" s="49">
        <v>93379</v>
      </c>
      <c r="B5424" s="48" t="s">
        <v>5999</v>
      </c>
      <c r="C5424" s="48" t="s">
        <v>28764</v>
      </c>
      <c r="D5424" s="50">
        <v>18.66</v>
      </c>
    </row>
    <row r="5425" spans="1:4" ht="13.5">
      <c r="A5425" s="49">
        <v>93380</v>
      </c>
      <c r="B5425" s="48" t="s">
        <v>6000</v>
      </c>
      <c r="C5425" s="48" t="s">
        <v>28764</v>
      </c>
      <c r="D5425" s="50">
        <v>15.23</v>
      </c>
    </row>
    <row r="5426" spans="1:4" ht="13.5">
      <c r="A5426" s="49">
        <v>93381</v>
      </c>
      <c r="B5426" s="48" t="s">
        <v>6001</v>
      </c>
      <c r="C5426" s="48" t="s">
        <v>28764</v>
      </c>
      <c r="D5426" s="50">
        <v>9.9499999999999993</v>
      </c>
    </row>
    <row r="5427" spans="1:4" ht="13.5">
      <c r="A5427" s="49">
        <v>93382</v>
      </c>
      <c r="B5427" s="48" t="s">
        <v>6002</v>
      </c>
      <c r="C5427" s="48" t="s">
        <v>28764</v>
      </c>
      <c r="D5427" s="50">
        <v>31.05</v>
      </c>
    </row>
    <row r="5428" spans="1:4" ht="13.5">
      <c r="A5428" s="49">
        <v>96995</v>
      </c>
      <c r="B5428" s="48" t="s">
        <v>6003</v>
      </c>
      <c r="C5428" s="48" t="s">
        <v>28764</v>
      </c>
      <c r="D5428" s="50">
        <v>43.43</v>
      </c>
    </row>
    <row r="5429" spans="1:4" ht="13.5">
      <c r="A5429" s="49">
        <v>97916</v>
      </c>
      <c r="B5429" s="48" t="s">
        <v>21385</v>
      </c>
      <c r="C5429" s="48" t="s">
        <v>6004</v>
      </c>
      <c r="D5429" s="50">
        <v>2</v>
      </c>
    </row>
    <row r="5430" spans="1:4" ht="13.5">
      <c r="A5430" s="49">
        <v>97917</v>
      </c>
      <c r="B5430" s="48" t="s">
        <v>21386</v>
      </c>
      <c r="C5430" s="48" t="s">
        <v>6004</v>
      </c>
      <c r="D5430" s="50">
        <v>1.71</v>
      </c>
    </row>
    <row r="5431" spans="1:4" ht="13.5">
      <c r="A5431" s="49">
        <v>97918</v>
      </c>
      <c r="B5431" s="48" t="s">
        <v>21387</v>
      </c>
      <c r="C5431" s="48" t="s">
        <v>6004</v>
      </c>
      <c r="D5431" s="50">
        <v>1.58</v>
      </c>
    </row>
    <row r="5432" spans="1:4" ht="13.5">
      <c r="A5432" s="49">
        <v>97919</v>
      </c>
      <c r="B5432" s="48" t="s">
        <v>21388</v>
      </c>
      <c r="C5432" s="48" t="s">
        <v>6004</v>
      </c>
      <c r="D5432" s="50">
        <v>0.62</v>
      </c>
    </row>
    <row r="5433" spans="1:4" ht="13.5">
      <c r="A5433" s="49">
        <v>101616</v>
      </c>
      <c r="B5433" s="48" t="s">
        <v>21389</v>
      </c>
      <c r="C5433" s="48" t="s">
        <v>26764</v>
      </c>
      <c r="D5433" s="50">
        <v>5.57</v>
      </c>
    </row>
    <row r="5434" spans="1:4" ht="13.5">
      <c r="A5434" s="49">
        <v>101617</v>
      </c>
      <c r="B5434" s="48" t="s">
        <v>21390</v>
      </c>
      <c r="C5434" s="48" t="s">
        <v>26764</v>
      </c>
      <c r="D5434" s="50">
        <v>2.74</v>
      </c>
    </row>
    <row r="5435" spans="1:4" ht="13.5">
      <c r="A5435" s="49">
        <v>101618</v>
      </c>
      <c r="B5435" s="48" t="s">
        <v>21391</v>
      </c>
      <c r="C5435" s="48" t="s">
        <v>28764</v>
      </c>
      <c r="D5435" s="50">
        <v>169.2</v>
      </c>
    </row>
    <row r="5436" spans="1:4" ht="13.5">
      <c r="A5436" s="49">
        <v>101619</v>
      </c>
      <c r="B5436" s="48" t="s">
        <v>21392</v>
      </c>
      <c r="C5436" s="48" t="s">
        <v>28764</v>
      </c>
      <c r="D5436" s="50">
        <v>253.37</v>
      </c>
    </row>
    <row r="5437" spans="1:4" ht="13.5">
      <c r="A5437" s="49">
        <v>101620</v>
      </c>
      <c r="B5437" s="48" t="s">
        <v>21393</v>
      </c>
      <c r="C5437" s="48" t="s">
        <v>28764</v>
      </c>
      <c r="D5437" s="50">
        <v>146.54</v>
      </c>
    </row>
    <row r="5438" spans="1:4" ht="13.5">
      <c r="A5438" s="49">
        <v>101621</v>
      </c>
      <c r="B5438" s="48" t="s">
        <v>21394</v>
      </c>
      <c r="C5438" s="48" t="s">
        <v>28764</v>
      </c>
      <c r="D5438" s="50">
        <v>230.71</v>
      </c>
    </row>
    <row r="5439" spans="1:4" ht="13.5">
      <c r="A5439" s="49">
        <v>101622</v>
      </c>
      <c r="B5439" s="48" t="s">
        <v>21395</v>
      </c>
      <c r="C5439" s="48" t="s">
        <v>28764</v>
      </c>
      <c r="D5439" s="50">
        <v>146.22</v>
      </c>
    </row>
    <row r="5440" spans="1:4" ht="13.5">
      <c r="A5440" s="49">
        <v>101623</v>
      </c>
      <c r="B5440" s="48" t="s">
        <v>21396</v>
      </c>
      <c r="C5440" s="48" t="s">
        <v>28764</v>
      </c>
      <c r="D5440" s="50">
        <v>225.04</v>
      </c>
    </row>
    <row r="5441" spans="1:4" ht="13.5">
      <c r="A5441" s="49">
        <v>101624</v>
      </c>
      <c r="B5441" s="48" t="s">
        <v>21397</v>
      </c>
      <c r="C5441" s="48" t="s">
        <v>28764</v>
      </c>
      <c r="D5441" s="50">
        <v>183.71</v>
      </c>
    </row>
    <row r="5442" spans="1:4" ht="13.5">
      <c r="A5442" s="49">
        <v>101625</v>
      </c>
      <c r="B5442" s="48" t="s">
        <v>21398</v>
      </c>
      <c r="C5442" s="48" t="s">
        <v>28764</v>
      </c>
      <c r="D5442" s="50">
        <v>110.06</v>
      </c>
    </row>
    <row r="5443" spans="1:4" ht="13.5">
      <c r="A5443" s="49">
        <v>95606</v>
      </c>
      <c r="B5443" s="48" t="s">
        <v>6006</v>
      </c>
      <c r="C5443" s="48" t="s">
        <v>28764</v>
      </c>
      <c r="D5443" s="50">
        <v>1.86</v>
      </c>
    </row>
    <row r="5444" spans="1:4" ht="13.5">
      <c r="A5444" s="49">
        <v>101159</v>
      </c>
      <c r="B5444" s="48" t="s">
        <v>21399</v>
      </c>
      <c r="C5444" s="48" t="s">
        <v>26764</v>
      </c>
      <c r="D5444" s="50">
        <v>110.41</v>
      </c>
    </row>
    <row r="5445" spans="1:4" ht="13.5">
      <c r="A5445" s="49">
        <v>103322</v>
      </c>
      <c r="B5445" s="48" t="s">
        <v>28358</v>
      </c>
      <c r="C5445" s="48" t="s">
        <v>26764</v>
      </c>
      <c r="D5445" s="50">
        <v>44.51</v>
      </c>
    </row>
    <row r="5446" spans="1:4" ht="13.5">
      <c r="A5446" s="49">
        <v>103323</v>
      </c>
      <c r="B5446" s="48" t="s">
        <v>28359</v>
      </c>
      <c r="C5446" s="48" t="s">
        <v>26764</v>
      </c>
      <c r="D5446" s="50">
        <v>45.45</v>
      </c>
    </row>
    <row r="5447" spans="1:4" ht="13.5">
      <c r="A5447" s="49">
        <v>103324</v>
      </c>
      <c r="B5447" s="48" t="s">
        <v>28360</v>
      </c>
      <c r="C5447" s="48" t="s">
        <v>26764</v>
      </c>
      <c r="D5447" s="50">
        <v>60.49</v>
      </c>
    </row>
    <row r="5448" spans="1:4" ht="13.5">
      <c r="A5448" s="49">
        <v>103325</v>
      </c>
      <c r="B5448" s="48" t="s">
        <v>28361</v>
      </c>
      <c r="C5448" s="48" t="s">
        <v>26764</v>
      </c>
      <c r="D5448" s="50">
        <v>61.56</v>
      </c>
    </row>
    <row r="5449" spans="1:4" ht="13.5">
      <c r="A5449" s="49">
        <v>103326</v>
      </c>
      <c r="B5449" s="48" t="s">
        <v>28362</v>
      </c>
      <c r="C5449" s="48" t="s">
        <v>26764</v>
      </c>
      <c r="D5449" s="50">
        <v>73.260000000000005</v>
      </c>
    </row>
    <row r="5450" spans="1:4" ht="13.5">
      <c r="A5450" s="49">
        <v>103327</v>
      </c>
      <c r="B5450" s="48" t="s">
        <v>28363</v>
      </c>
      <c r="C5450" s="48" t="s">
        <v>26764</v>
      </c>
      <c r="D5450" s="50">
        <v>74.510000000000005</v>
      </c>
    </row>
    <row r="5451" spans="1:4" ht="13.5">
      <c r="A5451" s="49">
        <v>103328</v>
      </c>
      <c r="B5451" s="48" t="s">
        <v>28364</v>
      </c>
      <c r="C5451" s="48" t="s">
        <v>26764</v>
      </c>
      <c r="D5451" s="50">
        <v>75.53</v>
      </c>
    </row>
    <row r="5452" spans="1:4" ht="13.5">
      <c r="A5452" s="49">
        <v>103329</v>
      </c>
      <c r="B5452" s="48" t="s">
        <v>28365</v>
      </c>
      <c r="C5452" s="48" t="s">
        <v>26764</v>
      </c>
      <c r="D5452" s="50">
        <v>76.36</v>
      </c>
    </row>
    <row r="5453" spans="1:4" ht="13.5">
      <c r="A5453" s="49">
        <v>103330</v>
      </c>
      <c r="B5453" s="48" t="s">
        <v>28366</v>
      </c>
      <c r="C5453" s="48" t="s">
        <v>26764</v>
      </c>
      <c r="D5453" s="50">
        <v>67.349999999999994</v>
      </c>
    </row>
    <row r="5454" spans="1:4" ht="13.5">
      <c r="A5454" s="49">
        <v>103331</v>
      </c>
      <c r="B5454" s="48" t="s">
        <v>28367</v>
      </c>
      <c r="C5454" s="48" t="s">
        <v>26764</v>
      </c>
      <c r="D5454" s="50">
        <v>68.239999999999995</v>
      </c>
    </row>
    <row r="5455" spans="1:4" ht="13.5">
      <c r="A5455" s="49">
        <v>103332</v>
      </c>
      <c r="B5455" s="48" t="s">
        <v>28368</v>
      </c>
      <c r="C5455" s="48" t="s">
        <v>26764</v>
      </c>
      <c r="D5455" s="50">
        <v>100.06</v>
      </c>
    </row>
    <row r="5456" spans="1:4" ht="13.5">
      <c r="A5456" s="49">
        <v>103333</v>
      </c>
      <c r="B5456" s="48" t="s">
        <v>28369</v>
      </c>
      <c r="C5456" s="48" t="s">
        <v>26764</v>
      </c>
      <c r="D5456" s="50">
        <v>101.01</v>
      </c>
    </row>
    <row r="5457" spans="1:4" ht="13.5">
      <c r="A5457" s="49">
        <v>103334</v>
      </c>
      <c r="B5457" s="48" t="s">
        <v>28370</v>
      </c>
      <c r="C5457" s="48" t="s">
        <v>26764</v>
      </c>
      <c r="D5457" s="50">
        <v>119.84</v>
      </c>
    </row>
    <row r="5458" spans="1:4" ht="13.5">
      <c r="A5458" s="49">
        <v>103335</v>
      </c>
      <c r="B5458" s="48" t="s">
        <v>28371</v>
      </c>
      <c r="C5458" s="48" t="s">
        <v>26764</v>
      </c>
      <c r="D5458" s="50">
        <v>121.5</v>
      </c>
    </row>
    <row r="5459" spans="1:4" ht="13.5">
      <c r="A5459" s="49">
        <v>103350</v>
      </c>
      <c r="B5459" s="48" t="s">
        <v>28372</v>
      </c>
      <c r="C5459" s="48" t="s">
        <v>26764</v>
      </c>
      <c r="D5459" s="50">
        <v>146.25</v>
      </c>
    </row>
    <row r="5460" spans="1:4" ht="13.5">
      <c r="A5460" s="49">
        <v>103351</v>
      </c>
      <c r="B5460" s="48" t="s">
        <v>28373</v>
      </c>
      <c r="C5460" s="48" t="s">
        <v>26764</v>
      </c>
      <c r="D5460" s="50">
        <v>147.47</v>
      </c>
    </row>
    <row r="5461" spans="1:4" ht="13.5">
      <c r="A5461" s="49">
        <v>103356</v>
      </c>
      <c r="B5461" s="48" t="s">
        <v>28374</v>
      </c>
      <c r="C5461" s="48" t="s">
        <v>26764</v>
      </c>
      <c r="D5461" s="50">
        <v>44.98</v>
      </c>
    </row>
    <row r="5462" spans="1:4" ht="13.5">
      <c r="A5462" s="49">
        <v>103357</v>
      </c>
      <c r="B5462" s="48" t="s">
        <v>28375</v>
      </c>
      <c r="C5462" s="48" t="s">
        <v>26764</v>
      </c>
      <c r="D5462" s="50">
        <v>45.68</v>
      </c>
    </row>
    <row r="5463" spans="1:4" ht="13.5">
      <c r="A5463" s="49">
        <v>89282</v>
      </c>
      <c r="B5463" s="48" t="s">
        <v>6007</v>
      </c>
      <c r="C5463" s="48" t="s">
        <v>26764</v>
      </c>
      <c r="D5463" s="50">
        <v>59.06</v>
      </c>
    </row>
    <row r="5464" spans="1:4" ht="13.5">
      <c r="A5464" s="49">
        <v>89283</v>
      </c>
      <c r="B5464" s="48" t="s">
        <v>6008</v>
      </c>
      <c r="C5464" s="48" t="s">
        <v>26764</v>
      </c>
      <c r="D5464" s="50">
        <v>60.1</v>
      </c>
    </row>
    <row r="5465" spans="1:4" ht="13.5">
      <c r="A5465" s="49">
        <v>89284</v>
      </c>
      <c r="B5465" s="48" t="s">
        <v>6009</v>
      </c>
      <c r="C5465" s="48" t="s">
        <v>26764</v>
      </c>
      <c r="D5465" s="50">
        <v>51.61</v>
      </c>
    </row>
    <row r="5466" spans="1:4" ht="13.5">
      <c r="A5466" s="49">
        <v>89285</v>
      </c>
      <c r="B5466" s="48" t="s">
        <v>6010</v>
      </c>
      <c r="C5466" s="48" t="s">
        <v>26764</v>
      </c>
      <c r="D5466" s="50">
        <v>52.65</v>
      </c>
    </row>
    <row r="5467" spans="1:4" ht="13.5">
      <c r="A5467" s="49">
        <v>89286</v>
      </c>
      <c r="B5467" s="48" t="s">
        <v>6011</v>
      </c>
      <c r="C5467" s="48" t="s">
        <v>26764</v>
      </c>
      <c r="D5467" s="50">
        <v>63.52</v>
      </c>
    </row>
    <row r="5468" spans="1:4" ht="13.5">
      <c r="A5468" s="49">
        <v>89287</v>
      </c>
      <c r="B5468" s="48" t="s">
        <v>6012</v>
      </c>
      <c r="C5468" s="48" t="s">
        <v>26764</v>
      </c>
      <c r="D5468" s="50">
        <v>64.56</v>
      </c>
    </row>
    <row r="5469" spans="1:4" ht="13.5">
      <c r="A5469" s="49">
        <v>89288</v>
      </c>
      <c r="B5469" s="48" t="s">
        <v>6013</v>
      </c>
      <c r="C5469" s="48" t="s">
        <v>26764</v>
      </c>
      <c r="D5469" s="50">
        <v>54.01</v>
      </c>
    </row>
    <row r="5470" spans="1:4" ht="13.5">
      <c r="A5470" s="49">
        <v>89289</v>
      </c>
      <c r="B5470" s="48" t="s">
        <v>6014</v>
      </c>
      <c r="C5470" s="48" t="s">
        <v>26764</v>
      </c>
      <c r="D5470" s="50">
        <v>55.05</v>
      </c>
    </row>
    <row r="5471" spans="1:4" ht="13.5">
      <c r="A5471" s="49">
        <v>89290</v>
      </c>
      <c r="B5471" s="48" t="s">
        <v>6015</v>
      </c>
      <c r="C5471" s="48" t="s">
        <v>26764</v>
      </c>
      <c r="D5471" s="50">
        <v>69.069999999999993</v>
      </c>
    </row>
    <row r="5472" spans="1:4" ht="13.5">
      <c r="A5472" s="49">
        <v>89291</v>
      </c>
      <c r="B5472" s="48" t="s">
        <v>6016</v>
      </c>
      <c r="C5472" s="48" t="s">
        <v>26764</v>
      </c>
      <c r="D5472" s="50">
        <v>70.209999999999994</v>
      </c>
    </row>
    <row r="5473" spans="1:4" ht="13.5">
      <c r="A5473" s="49">
        <v>89292</v>
      </c>
      <c r="B5473" s="48" t="s">
        <v>6017</v>
      </c>
      <c r="C5473" s="48" t="s">
        <v>26764</v>
      </c>
      <c r="D5473" s="50">
        <v>61.6</v>
      </c>
    </row>
    <row r="5474" spans="1:4" ht="13.5">
      <c r="A5474" s="49">
        <v>89293</v>
      </c>
      <c r="B5474" s="48" t="s">
        <v>6018</v>
      </c>
      <c r="C5474" s="48" t="s">
        <v>26764</v>
      </c>
      <c r="D5474" s="50">
        <v>62.74</v>
      </c>
    </row>
    <row r="5475" spans="1:4" ht="13.5">
      <c r="A5475" s="49">
        <v>89294</v>
      </c>
      <c r="B5475" s="48" t="s">
        <v>6019</v>
      </c>
      <c r="C5475" s="48" t="s">
        <v>26764</v>
      </c>
      <c r="D5475" s="50">
        <v>75.569999999999993</v>
      </c>
    </row>
    <row r="5476" spans="1:4" ht="13.5">
      <c r="A5476" s="49">
        <v>89295</v>
      </c>
      <c r="B5476" s="48" t="s">
        <v>6020</v>
      </c>
      <c r="C5476" s="48" t="s">
        <v>26764</v>
      </c>
      <c r="D5476" s="50">
        <v>76.709999999999994</v>
      </c>
    </row>
    <row r="5477" spans="1:4" ht="13.5">
      <c r="A5477" s="49">
        <v>89296</v>
      </c>
      <c r="B5477" s="48" t="s">
        <v>6021</v>
      </c>
      <c r="C5477" s="48" t="s">
        <v>26764</v>
      </c>
      <c r="D5477" s="50">
        <v>65.099999999999994</v>
      </c>
    </row>
    <row r="5478" spans="1:4" ht="13.5">
      <c r="A5478" s="49">
        <v>89297</v>
      </c>
      <c r="B5478" s="48" t="s">
        <v>6022</v>
      </c>
      <c r="C5478" s="48" t="s">
        <v>26764</v>
      </c>
      <c r="D5478" s="50">
        <v>66.239999999999995</v>
      </c>
    </row>
    <row r="5479" spans="1:4" ht="13.5">
      <c r="A5479" s="49">
        <v>89298</v>
      </c>
      <c r="B5479" s="48" t="s">
        <v>6023</v>
      </c>
      <c r="C5479" s="48" t="s">
        <v>26764</v>
      </c>
      <c r="D5479" s="50">
        <v>71.25</v>
      </c>
    </row>
    <row r="5480" spans="1:4" ht="13.5">
      <c r="A5480" s="49">
        <v>89299</v>
      </c>
      <c r="B5480" s="48" t="s">
        <v>6024</v>
      </c>
      <c r="C5480" s="48" t="s">
        <v>26764</v>
      </c>
      <c r="D5480" s="50">
        <v>72.709999999999994</v>
      </c>
    </row>
    <row r="5481" spans="1:4" ht="13.5">
      <c r="A5481" s="49">
        <v>89300</v>
      </c>
      <c r="B5481" s="48" t="s">
        <v>6025</v>
      </c>
      <c r="C5481" s="48" t="s">
        <v>26764</v>
      </c>
      <c r="D5481" s="50">
        <v>63.8</v>
      </c>
    </row>
    <row r="5482" spans="1:4" ht="13.5">
      <c r="A5482" s="49">
        <v>89301</v>
      </c>
      <c r="B5482" s="48" t="s">
        <v>6026</v>
      </c>
      <c r="C5482" s="48" t="s">
        <v>26764</v>
      </c>
      <c r="D5482" s="50">
        <v>65.260000000000005</v>
      </c>
    </row>
    <row r="5483" spans="1:4" ht="13.5">
      <c r="A5483" s="49">
        <v>89302</v>
      </c>
      <c r="B5483" s="48" t="s">
        <v>6027</v>
      </c>
      <c r="C5483" s="48" t="s">
        <v>26764</v>
      </c>
      <c r="D5483" s="50">
        <v>79.319999999999993</v>
      </c>
    </row>
    <row r="5484" spans="1:4" ht="13.5">
      <c r="A5484" s="49">
        <v>89303</v>
      </c>
      <c r="B5484" s="48" t="s">
        <v>6028</v>
      </c>
      <c r="C5484" s="48" t="s">
        <v>26764</v>
      </c>
      <c r="D5484" s="50">
        <v>80.78</v>
      </c>
    </row>
    <row r="5485" spans="1:4" ht="13.5">
      <c r="A5485" s="49">
        <v>89304</v>
      </c>
      <c r="B5485" s="48" t="s">
        <v>6029</v>
      </c>
      <c r="C5485" s="48" t="s">
        <v>26764</v>
      </c>
      <c r="D5485" s="50">
        <v>68.44</v>
      </c>
    </row>
    <row r="5486" spans="1:4" ht="13.5">
      <c r="A5486" s="49">
        <v>89305</v>
      </c>
      <c r="B5486" s="48" t="s">
        <v>6030</v>
      </c>
      <c r="C5486" s="48" t="s">
        <v>26764</v>
      </c>
      <c r="D5486" s="50">
        <v>69.900000000000006</v>
      </c>
    </row>
    <row r="5487" spans="1:4" ht="13.5">
      <c r="A5487" s="49">
        <v>89306</v>
      </c>
      <c r="B5487" s="48" t="s">
        <v>6031</v>
      </c>
      <c r="C5487" s="48" t="s">
        <v>26764</v>
      </c>
      <c r="D5487" s="50">
        <v>81.510000000000005</v>
      </c>
    </row>
    <row r="5488" spans="1:4" ht="13.5">
      <c r="A5488" s="49">
        <v>89307</v>
      </c>
      <c r="B5488" s="48" t="s">
        <v>6032</v>
      </c>
      <c r="C5488" s="48" t="s">
        <v>26764</v>
      </c>
      <c r="D5488" s="50">
        <v>83.13</v>
      </c>
    </row>
    <row r="5489" spans="1:4" ht="13.5">
      <c r="A5489" s="49">
        <v>89308</v>
      </c>
      <c r="B5489" s="48" t="s">
        <v>6033</v>
      </c>
      <c r="C5489" s="48" t="s">
        <v>26764</v>
      </c>
      <c r="D5489" s="50">
        <v>74.05</v>
      </c>
    </row>
    <row r="5490" spans="1:4" ht="13.5">
      <c r="A5490" s="49">
        <v>89309</v>
      </c>
      <c r="B5490" s="48" t="s">
        <v>6034</v>
      </c>
      <c r="C5490" s="48" t="s">
        <v>26764</v>
      </c>
      <c r="D5490" s="50">
        <v>75.67</v>
      </c>
    </row>
    <row r="5491" spans="1:4" ht="13.5">
      <c r="A5491" s="49">
        <v>89310</v>
      </c>
      <c r="B5491" s="48" t="s">
        <v>6035</v>
      </c>
      <c r="C5491" s="48" t="s">
        <v>26764</v>
      </c>
      <c r="D5491" s="50">
        <v>95.77</v>
      </c>
    </row>
    <row r="5492" spans="1:4" ht="13.5">
      <c r="A5492" s="49">
        <v>89311</v>
      </c>
      <c r="B5492" s="48" t="s">
        <v>6036</v>
      </c>
      <c r="C5492" s="48" t="s">
        <v>26764</v>
      </c>
      <c r="D5492" s="50">
        <v>97.39</v>
      </c>
    </row>
    <row r="5493" spans="1:4" ht="13.5">
      <c r="A5493" s="49">
        <v>89312</v>
      </c>
      <c r="B5493" s="48" t="s">
        <v>6037</v>
      </c>
      <c r="C5493" s="48" t="s">
        <v>26764</v>
      </c>
      <c r="D5493" s="50">
        <v>79.790000000000006</v>
      </c>
    </row>
    <row r="5494" spans="1:4" ht="13.5">
      <c r="A5494" s="49">
        <v>89313</v>
      </c>
      <c r="B5494" s="48" t="s">
        <v>6038</v>
      </c>
      <c r="C5494" s="48" t="s">
        <v>26764</v>
      </c>
      <c r="D5494" s="50">
        <v>81.41</v>
      </c>
    </row>
    <row r="5495" spans="1:4" ht="13.5">
      <c r="A5495" s="49">
        <v>101157</v>
      </c>
      <c r="B5495" s="48" t="s">
        <v>26221</v>
      </c>
      <c r="C5495" s="48" t="s">
        <v>26764</v>
      </c>
      <c r="D5495" s="50">
        <v>56.47</v>
      </c>
    </row>
    <row r="5496" spans="1:4" ht="13.5">
      <c r="A5496" s="49">
        <v>101158</v>
      </c>
      <c r="B5496" s="48" t="s">
        <v>26222</v>
      </c>
      <c r="C5496" s="48" t="s">
        <v>26764</v>
      </c>
      <c r="D5496" s="50">
        <v>73.81</v>
      </c>
    </row>
    <row r="5497" spans="1:4" ht="13.5">
      <c r="A5497" s="49">
        <v>101162</v>
      </c>
      <c r="B5497" s="48" t="s">
        <v>21400</v>
      </c>
      <c r="C5497" s="48" t="s">
        <v>26764</v>
      </c>
      <c r="D5497" s="50">
        <v>121.84</v>
      </c>
    </row>
    <row r="5498" spans="1:4" ht="13.5">
      <c r="A5498" s="49">
        <v>103316</v>
      </c>
      <c r="B5498" s="48" t="s">
        <v>28376</v>
      </c>
      <c r="C5498" s="48" t="s">
        <v>26764</v>
      </c>
      <c r="D5498" s="50">
        <v>58.91</v>
      </c>
    </row>
    <row r="5499" spans="1:4" ht="13.5">
      <c r="A5499" s="49">
        <v>103317</v>
      </c>
      <c r="B5499" s="48" t="s">
        <v>28377</v>
      </c>
      <c r="C5499" s="48" t="s">
        <v>26764</v>
      </c>
      <c r="D5499" s="50">
        <v>59.7</v>
      </c>
    </row>
    <row r="5500" spans="1:4" ht="13.5">
      <c r="A5500" s="49">
        <v>103318</v>
      </c>
      <c r="B5500" s="48" t="s">
        <v>28378</v>
      </c>
      <c r="C5500" s="48" t="s">
        <v>26764</v>
      </c>
      <c r="D5500" s="50">
        <v>77.11</v>
      </c>
    </row>
    <row r="5501" spans="1:4" ht="13.5">
      <c r="A5501" s="49">
        <v>103319</v>
      </c>
      <c r="B5501" s="48" t="s">
        <v>28379</v>
      </c>
      <c r="C5501" s="48" t="s">
        <v>26764</v>
      </c>
      <c r="D5501" s="50">
        <v>78.03</v>
      </c>
    </row>
    <row r="5502" spans="1:4" ht="13.5">
      <c r="A5502" s="49">
        <v>103320</v>
      </c>
      <c r="B5502" s="48" t="s">
        <v>28380</v>
      </c>
      <c r="C5502" s="48" t="s">
        <v>26764</v>
      </c>
      <c r="D5502" s="50">
        <v>93</v>
      </c>
    </row>
    <row r="5503" spans="1:4" ht="13.5">
      <c r="A5503" s="49">
        <v>103321</v>
      </c>
      <c r="B5503" s="48" t="s">
        <v>28381</v>
      </c>
      <c r="C5503" s="48" t="s">
        <v>26764</v>
      </c>
      <c r="D5503" s="50">
        <v>94.16</v>
      </c>
    </row>
    <row r="5504" spans="1:4" ht="13.5">
      <c r="A5504" s="49">
        <v>103336</v>
      </c>
      <c r="B5504" s="48" t="s">
        <v>28382</v>
      </c>
      <c r="C5504" s="48" t="s">
        <v>26764</v>
      </c>
      <c r="D5504" s="50">
        <v>66.989999999999995</v>
      </c>
    </row>
    <row r="5505" spans="1:4" ht="13.5">
      <c r="A5505" s="49">
        <v>103337</v>
      </c>
      <c r="B5505" s="48" t="s">
        <v>28383</v>
      </c>
      <c r="C5505" s="48" t="s">
        <v>26764</v>
      </c>
      <c r="D5505" s="50">
        <v>67.78</v>
      </c>
    </row>
    <row r="5506" spans="1:4" ht="13.5">
      <c r="A5506" s="49">
        <v>103338</v>
      </c>
      <c r="B5506" s="48" t="s">
        <v>28384</v>
      </c>
      <c r="C5506" s="48" t="s">
        <v>26764</v>
      </c>
      <c r="D5506" s="50">
        <v>88.76</v>
      </c>
    </row>
    <row r="5507" spans="1:4" ht="13.5">
      <c r="A5507" s="49">
        <v>103339</v>
      </c>
      <c r="B5507" s="48" t="s">
        <v>28385</v>
      </c>
      <c r="C5507" s="48" t="s">
        <v>26764</v>
      </c>
      <c r="D5507" s="50">
        <v>89.68</v>
      </c>
    </row>
    <row r="5508" spans="1:4" ht="13.5">
      <c r="A5508" s="49">
        <v>103340</v>
      </c>
      <c r="B5508" s="48" t="s">
        <v>28386</v>
      </c>
      <c r="C5508" s="48" t="s">
        <v>26764</v>
      </c>
      <c r="D5508" s="50">
        <v>107.51</v>
      </c>
    </row>
    <row r="5509" spans="1:4" ht="13.5">
      <c r="A5509" s="49">
        <v>103341</v>
      </c>
      <c r="B5509" s="48" t="s">
        <v>28387</v>
      </c>
      <c r="C5509" s="48" t="s">
        <v>26764</v>
      </c>
      <c r="D5509" s="50">
        <v>108.67</v>
      </c>
    </row>
    <row r="5510" spans="1:4" ht="13.5">
      <c r="A5510" s="49">
        <v>103342</v>
      </c>
      <c r="B5510" s="48" t="s">
        <v>28388</v>
      </c>
      <c r="C5510" s="48" t="s">
        <v>26764</v>
      </c>
      <c r="D5510" s="50">
        <v>89.32</v>
      </c>
    </row>
    <row r="5511" spans="1:4" ht="13.5">
      <c r="A5511" s="49">
        <v>103343</v>
      </c>
      <c r="B5511" s="48" t="s">
        <v>28389</v>
      </c>
      <c r="C5511" s="48" t="s">
        <v>26764</v>
      </c>
      <c r="D5511" s="50">
        <v>90.35</v>
      </c>
    </row>
    <row r="5512" spans="1:4" ht="13.5">
      <c r="A5512" s="49">
        <v>89453</v>
      </c>
      <c r="B5512" s="48" t="s">
        <v>6039</v>
      </c>
      <c r="C5512" s="48" t="s">
        <v>26764</v>
      </c>
      <c r="D5512" s="50">
        <v>69.16</v>
      </c>
    </row>
    <row r="5513" spans="1:4" ht="13.5">
      <c r="A5513" s="49">
        <v>89454</v>
      </c>
      <c r="B5513" s="48" t="s">
        <v>6040</v>
      </c>
      <c r="C5513" s="48" t="s">
        <v>26764</v>
      </c>
      <c r="D5513" s="50">
        <v>64.180000000000007</v>
      </c>
    </row>
    <row r="5514" spans="1:4" ht="13.5">
      <c r="A5514" s="49">
        <v>89455</v>
      </c>
      <c r="B5514" s="48" t="s">
        <v>6041</v>
      </c>
      <c r="C5514" s="48" t="s">
        <v>26764</v>
      </c>
      <c r="D5514" s="50">
        <v>84.67</v>
      </c>
    </row>
    <row r="5515" spans="1:4" ht="13.5">
      <c r="A5515" s="49">
        <v>89456</v>
      </c>
      <c r="B5515" s="48" t="s">
        <v>6042</v>
      </c>
      <c r="C5515" s="48" t="s">
        <v>26764</v>
      </c>
      <c r="D5515" s="50">
        <v>79.209999999999994</v>
      </c>
    </row>
    <row r="5516" spans="1:4" ht="13.5">
      <c r="A5516" s="49">
        <v>89457</v>
      </c>
      <c r="B5516" s="48" t="s">
        <v>6043</v>
      </c>
      <c r="C5516" s="48" t="s">
        <v>26764</v>
      </c>
      <c r="D5516" s="50">
        <v>73.38</v>
      </c>
    </row>
    <row r="5517" spans="1:4" ht="13.5">
      <c r="A5517" s="49">
        <v>89458</v>
      </c>
      <c r="B5517" s="48" t="s">
        <v>6044</v>
      </c>
      <c r="C5517" s="48" t="s">
        <v>26764</v>
      </c>
      <c r="D5517" s="50">
        <v>66.63</v>
      </c>
    </row>
    <row r="5518" spans="1:4" ht="13.5">
      <c r="A5518" s="49">
        <v>89459</v>
      </c>
      <c r="B5518" s="48" t="s">
        <v>6045</v>
      </c>
      <c r="C5518" s="48" t="s">
        <v>26764</v>
      </c>
      <c r="D5518" s="50">
        <v>89.31</v>
      </c>
    </row>
    <row r="5519" spans="1:4" ht="13.5">
      <c r="A5519" s="49">
        <v>89460</v>
      </c>
      <c r="B5519" s="48" t="s">
        <v>6046</v>
      </c>
      <c r="C5519" s="48" t="s">
        <v>26764</v>
      </c>
      <c r="D5519" s="50">
        <v>82.03</v>
      </c>
    </row>
    <row r="5520" spans="1:4" ht="13.5">
      <c r="A5520" s="49">
        <v>89462</v>
      </c>
      <c r="B5520" s="48" t="s">
        <v>6047</v>
      </c>
      <c r="C5520" s="48" t="s">
        <v>26764</v>
      </c>
      <c r="D5520" s="50">
        <v>82.21</v>
      </c>
    </row>
    <row r="5521" spans="1:4" ht="13.5">
      <c r="A5521" s="49">
        <v>89463</v>
      </c>
      <c r="B5521" s="48" t="s">
        <v>6048</v>
      </c>
      <c r="C5521" s="48" t="s">
        <v>26764</v>
      </c>
      <c r="D5521" s="50">
        <v>77.209999999999994</v>
      </c>
    </row>
    <row r="5522" spans="1:4" ht="13.5">
      <c r="A5522" s="49">
        <v>89464</v>
      </c>
      <c r="B5522" s="48" t="s">
        <v>6049</v>
      </c>
      <c r="C5522" s="48" t="s">
        <v>26764</v>
      </c>
      <c r="D5522" s="50">
        <v>97.77</v>
      </c>
    </row>
    <row r="5523" spans="1:4" ht="13.5">
      <c r="A5523" s="49">
        <v>89465</v>
      </c>
      <c r="B5523" s="48" t="s">
        <v>6050</v>
      </c>
      <c r="C5523" s="48" t="s">
        <v>26764</v>
      </c>
      <c r="D5523" s="50">
        <v>92.43</v>
      </c>
    </row>
    <row r="5524" spans="1:4" ht="13.5">
      <c r="A5524" s="49">
        <v>89466</v>
      </c>
      <c r="B5524" s="48" t="s">
        <v>6051</v>
      </c>
      <c r="C5524" s="48" t="s">
        <v>26764</v>
      </c>
      <c r="D5524" s="50">
        <v>88.01</v>
      </c>
    </row>
    <row r="5525" spans="1:4" ht="13.5">
      <c r="A5525" s="49">
        <v>89467</v>
      </c>
      <c r="B5525" s="48" t="s">
        <v>6053</v>
      </c>
      <c r="C5525" s="48" t="s">
        <v>26764</v>
      </c>
      <c r="D5525" s="50">
        <v>80.599999999999994</v>
      </c>
    </row>
    <row r="5526" spans="1:4" ht="13.5">
      <c r="A5526" s="49">
        <v>89468</v>
      </c>
      <c r="B5526" s="48" t="s">
        <v>6054</v>
      </c>
      <c r="C5526" s="48" t="s">
        <v>26764</v>
      </c>
      <c r="D5526" s="50">
        <v>103.91</v>
      </c>
    </row>
    <row r="5527" spans="1:4" ht="13.5">
      <c r="A5527" s="49">
        <v>89469</v>
      </c>
      <c r="B5527" s="48" t="s">
        <v>6055</v>
      </c>
      <c r="C5527" s="48" t="s">
        <v>26764</v>
      </c>
      <c r="D5527" s="50">
        <v>96.14</v>
      </c>
    </row>
    <row r="5528" spans="1:4" ht="13.5">
      <c r="A5528" s="49">
        <v>89470</v>
      </c>
      <c r="B5528" s="48" t="s">
        <v>6056</v>
      </c>
      <c r="C5528" s="48" t="s">
        <v>26764</v>
      </c>
      <c r="D5528" s="50">
        <v>83.18</v>
      </c>
    </row>
    <row r="5529" spans="1:4" ht="13.5">
      <c r="A5529" s="49">
        <v>89471</v>
      </c>
      <c r="B5529" s="48" t="s">
        <v>6057</v>
      </c>
      <c r="C5529" s="48" t="s">
        <v>26764</v>
      </c>
      <c r="D5529" s="50">
        <v>78.22</v>
      </c>
    </row>
    <row r="5530" spans="1:4" ht="13.5">
      <c r="A5530" s="49">
        <v>89472</v>
      </c>
      <c r="B5530" s="48" t="s">
        <v>6058</v>
      </c>
      <c r="C5530" s="48" t="s">
        <v>26764</v>
      </c>
      <c r="D5530" s="50">
        <v>98.43</v>
      </c>
    </row>
    <row r="5531" spans="1:4" ht="13.5">
      <c r="A5531" s="49">
        <v>89473</v>
      </c>
      <c r="B5531" s="48" t="s">
        <v>6059</v>
      </c>
      <c r="C5531" s="48" t="s">
        <v>26764</v>
      </c>
      <c r="D5531" s="50">
        <v>93.22</v>
      </c>
    </row>
    <row r="5532" spans="1:4" ht="13.5">
      <c r="A5532" s="49">
        <v>89474</v>
      </c>
      <c r="B5532" s="48" t="s">
        <v>6060</v>
      </c>
      <c r="C5532" s="48" t="s">
        <v>26764</v>
      </c>
      <c r="D5532" s="50">
        <v>91.39</v>
      </c>
    </row>
    <row r="5533" spans="1:4" ht="13.5">
      <c r="A5533" s="49">
        <v>89475</v>
      </c>
      <c r="B5533" s="48" t="s">
        <v>6061</v>
      </c>
      <c r="C5533" s="48" t="s">
        <v>26764</v>
      </c>
      <c r="D5533" s="50">
        <v>82.83</v>
      </c>
    </row>
    <row r="5534" spans="1:4" ht="13.5">
      <c r="A5534" s="49">
        <v>89476</v>
      </c>
      <c r="B5534" s="48" t="s">
        <v>6062</v>
      </c>
      <c r="C5534" s="48" t="s">
        <v>26764</v>
      </c>
      <c r="D5534" s="50">
        <v>107.3</v>
      </c>
    </row>
    <row r="5535" spans="1:4" ht="13.5">
      <c r="A5535" s="49">
        <v>89477</v>
      </c>
      <c r="B5535" s="48" t="s">
        <v>6063</v>
      </c>
      <c r="C5535" s="48" t="s">
        <v>26764</v>
      </c>
      <c r="D5535" s="50">
        <v>98.46</v>
      </c>
    </row>
    <row r="5536" spans="1:4" ht="13.5">
      <c r="A5536" s="49">
        <v>89478</v>
      </c>
      <c r="B5536" s="48" t="s">
        <v>6064</v>
      </c>
      <c r="C5536" s="48" t="s">
        <v>26764</v>
      </c>
      <c r="D5536" s="50">
        <v>96.49</v>
      </c>
    </row>
    <row r="5537" spans="1:4" ht="13.5">
      <c r="A5537" s="49">
        <v>89479</v>
      </c>
      <c r="B5537" s="48" t="s">
        <v>6065</v>
      </c>
      <c r="C5537" s="48" t="s">
        <v>26764</v>
      </c>
      <c r="D5537" s="50">
        <v>91.49</v>
      </c>
    </row>
    <row r="5538" spans="1:4" ht="13.5">
      <c r="A5538" s="49">
        <v>89480</v>
      </c>
      <c r="B5538" s="48" t="s">
        <v>6066</v>
      </c>
      <c r="C5538" s="48" t="s">
        <v>26764</v>
      </c>
      <c r="D5538" s="50">
        <v>111.78</v>
      </c>
    </row>
    <row r="5539" spans="1:4" ht="13.5">
      <c r="A5539" s="49">
        <v>89483</v>
      </c>
      <c r="B5539" s="48" t="s">
        <v>6067</v>
      </c>
      <c r="C5539" s="48" t="s">
        <v>26764</v>
      </c>
      <c r="D5539" s="50">
        <v>106.69</v>
      </c>
    </row>
    <row r="5540" spans="1:4" ht="13.5">
      <c r="A5540" s="49">
        <v>89484</v>
      </c>
      <c r="B5540" s="48" t="s">
        <v>6068</v>
      </c>
      <c r="C5540" s="48" t="s">
        <v>26764</v>
      </c>
      <c r="D5540" s="50">
        <v>106.27</v>
      </c>
    </row>
    <row r="5541" spans="1:4" ht="13.5">
      <c r="A5541" s="49">
        <v>89486</v>
      </c>
      <c r="B5541" s="48" t="s">
        <v>6069</v>
      </c>
      <c r="C5541" s="48" t="s">
        <v>26764</v>
      </c>
      <c r="D5541" s="50">
        <v>97.3</v>
      </c>
    </row>
    <row r="5542" spans="1:4" ht="13.5">
      <c r="A5542" s="49">
        <v>89487</v>
      </c>
      <c r="B5542" s="48" t="s">
        <v>6070</v>
      </c>
      <c r="C5542" s="48" t="s">
        <v>26764</v>
      </c>
      <c r="D5542" s="50">
        <v>122.14</v>
      </c>
    </row>
    <row r="5543" spans="1:4" ht="13.5">
      <c r="A5543" s="49">
        <v>89488</v>
      </c>
      <c r="B5543" s="48" t="s">
        <v>6071</v>
      </c>
      <c r="C5543" s="48" t="s">
        <v>26764</v>
      </c>
      <c r="D5543" s="50">
        <v>112.81</v>
      </c>
    </row>
    <row r="5544" spans="1:4" ht="13.5">
      <c r="A5544" s="49">
        <v>91815</v>
      </c>
      <c r="B5544" s="48" t="s">
        <v>6072</v>
      </c>
      <c r="C5544" s="48" t="s">
        <v>26764</v>
      </c>
      <c r="D5544" s="50">
        <v>68.27</v>
      </c>
    </row>
    <row r="5545" spans="1:4" ht="13.5">
      <c r="A5545" s="49">
        <v>91816</v>
      </c>
      <c r="B5545" s="48" t="s">
        <v>6073</v>
      </c>
      <c r="C5545" s="48" t="s">
        <v>26764</v>
      </c>
      <c r="D5545" s="50">
        <v>81.849999999999994</v>
      </c>
    </row>
    <row r="5546" spans="1:4" ht="13.5">
      <c r="A5546" s="49">
        <v>101161</v>
      </c>
      <c r="B5546" s="48" t="s">
        <v>21401</v>
      </c>
      <c r="C5546" s="48" t="s">
        <v>26764</v>
      </c>
      <c r="D5546" s="50">
        <v>169.45</v>
      </c>
    </row>
    <row r="5547" spans="1:4" ht="13.5">
      <c r="A5547" s="49">
        <v>101163</v>
      </c>
      <c r="B5547" s="48" t="s">
        <v>21402</v>
      </c>
      <c r="C5547" s="48" t="s">
        <v>26764</v>
      </c>
      <c r="D5547" s="50">
        <v>649.55999999999995</v>
      </c>
    </row>
    <row r="5548" spans="1:4" ht="13.5">
      <c r="A5548" s="49">
        <v>101164</v>
      </c>
      <c r="B5548" s="48" t="s">
        <v>21403</v>
      </c>
      <c r="C5548" s="48" t="s">
        <v>26764</v>
      </c>
      <c r="D5548" s="50">
        <v>658.55</v>
      </c>
    </row>
    <row r="5549" spans="1:4" ht="13.5">
      <c r="A5549" s="49">
        <v>96358</v>
      </c>
      <c r="B5549" s="48" t="s">
        <v>6074</v>
      </c>
      <c r="C5549" s="48" t="s">
        <v>26764</v>
      </c>
      <c r="D5549" s="50">
        <v>93.81</v>
      </c>
    </row>
    <row r="5550" spans="1:4" ht="13.5">
      <c r="A5550" s="49">
        <v>96359</v>
      </c>
      <c r="B5550" s="48" t="s">
        <v>6075</v>
      </c>
      <c r="C5550" s="48" t="s">
        <v>26764</v>
      </c>
      <c r="D5550" s="50">
        <v>108.1</v>
      </c>
    </row>
    <row r="5551" spans="1:4" ht="13.5">
      <c r="A5551" s="49">
        <v>96360</v>
      </c>
      <c r="B5551" s="48" t="s">
        <v>6077</v>
      </c>
      <c r="C5551" s="48" t="s">
        <v>26764</v>
      </c>
      <c r="D5551" s="50">
        <v>130.4</v>
      </c>
    </row>
    <row r="5552" spans="1:4" ht="13.5">
      <c r="A5552" s="49">
        <v>96361</v>
      </c>
      <c r="B5552" s="48" t="s">
        <v>6078</v>
      </c>
      <c r="C5552" s="48" t="s">
        <v>26764</v>
      </c>
      <c r="D5552" s="50">
        <v>158.35</v>
      </c>
    </row>
    <row r="5553" spans="1:4" ht="13.5">
      <c r="A5553" s="49">
        <v>96362</v>
      </c>
      <c r="B5553" s="48" t="s">
        <v>6079</v>
      </c>
      <c r="C5553" s="48" t="s">
        <v>26764</v>
      </c>
      <c r="D5553" s="50">
        <v>118.35</v>
      </c>
    </row>
    <row r="5554" spans="1:4" ht="13.5">
      <c r="A5554" s="49">
        <v>96363</v>
      </c>
      <c r="B5554" s="48" t="s">
        <v>6080</v>
      </c>
      <c r="C5554" s="48" t="s">
        <v>26764</v>
      </c>
      <c r="D5554" s="50">
        <v>133.07</v>
      </c>
    </row>
    <row r="5555" spans="1:4" ht="13.5">
      <c r="A5555" s="49">
        <v>96364</v>
      </c>
      <c r="B5555" s="48" t="s">
        <v>6081</v>
      </c>
      <c r="C5555" s="48" t="s">
        <v>26764</v>
      </c>
      <c r="D5555" s="50">
        <v>154.93</v>
      </c>
    </row>
    <row r="5556" spans="1:4" ht="13.5">
      <c r="A5556" s="49">
        <v>96365</v>
      </c>
      <c r="B5556" s="48" t="s">
        <v>6082</v>
      </c>
      <c r="C5556" s="48" t="s">
        <v>26764</v>
      </c>
      <c r="D5556" s="50">
        <v>183.3</v>
      </c>
    </row>
    <row r="5557" spans="1:4" ht="13.5">
      <c r="A5557" s="49">
        <v>96366</v>
      </c>
      <c r="B5557" s="48" t="s">
        <v>6083</v>
      </c>
      <c r="C5557" s="48" t="s">
        <v>26764</v>
      </c>
      <c r="D5557" s="50">
        <v>142.88999999999999</v>
      </c>
    </row>
    <row r="5558" spans="1:4" ht="13.5">
      <c r="A5558" s="49">
        <v>96367</v>
      </c>
      <c r="B5558" s="48" t="s">
        <v>6084</v>
      </c>
      <c r="C5558" s="48" t="s">
        <v>26764</v>
      </c>
      <c r="D5558" s="50">
        <v>158.01</v>
      </c>
    </row>
    <row r="5559" spans="1:4" ht="13.5">
      <c r="A5559" s="49">
        <v>96368</v>
      </c>
      <c r="B5559" s="48" t="s">
        <v>6085</v>
      </c>
      <c r="C5559" s="48" t="s">
        <v>26764</v>
      </c>
      <c r="D5559" s="50">
        <v>179.48</v>
      </c>
    </row>
    <row r="5560" spans="1:4" ht="13.5">
      <c r="A5560" s="49">
        <v>96369</v>
      </c>
      <c r="B5560" s="48" t="s">
        <v>6086</v>
      </c>
      <c r="C5560" s="48" t="s">
        <v>26764</v>
      </c>
      <c r="D5560" s="50">
        <v>208.26</v>
      </c>
    </row>
    <row r="5561" spans="1:4" ht="13.5">
      <c r="A5561" s="49">
        <v>96370</v>
      </c>
      <c r="B5561" s="48" t="s">
        <v>6087</v>
      </c>
      <c r="C5561" s="48" t="s">
        <v>26764</v>
      </c>
      <c r="D5561" s="50">
        <v>65.84</v>
      </c>
    </row>
    <row r="5562" spans="1:4" ht="13.5">
      <c r="A5562" s="49">
        <v>96371</v>
      </c>
      <c r="B5562" s="48" t="s">
        <v>6088</v>
      </c>
      <c r="C5562" s="48" t="s">
        <v>26764</v>
      </c>
      <c r="D5562" s="50">
        <v>79.89</v>
      </c>
    </row>
    <row r="5563" spans="1:4" ht="13.5">
      <c r="A5563" s="49">
        <v>96373</v>
      </c>
      <c r="B5563" s="48" t="s">
        <v>6089</v>
      </c>
      <c r="C5563" s="48" t="s">
        <v>6</v>
      </c>
      <c r="D5563" s="50">
        <v>13.56</v>
      </c>
    </row>
    <row r="5564" spans="1:4" ht="13.5">
      <c r="A5564" s="49">
        <v>96374</v>
      </c>
      <c r="B5564" s="48" t="s">
        <v>6090</v>
      </c>
      <c r="C5564" s="48" t="s">
        <v>6</v>
      </c>
      <c r="D5564" s="50">
        <v>30.04</v>
      </c>
    </row>
    <row r="5565" spans="1:4" ht="13.5">
      <c r="A5565" s="49">
        <v>102235</v>
      </c>
      <c r="B5565" s="48" t="s">
        <v>21404</v>
      </c>
      <c r="C5565" s="48" t="s">
        <v>26764</v>
      </c>
      <c r="D5565" s="50">
        <v>573.86</v>
      </c>
    </row>
    <row r="5566" spans="1:4" ht="13.5">
      <c r="A5566" s="49">
        <v>102253</v>
      </c>
      <c r="B5566" s="48" t="s">
        <v>21405</v>
      </c>
      <c r="C5566" s="48" t="s">
        <v>26764</v>
      </c>
      <c r="D5566" s="50">
        <v>419.7</v>
      </c>
    </row>
    <row r="5567" spans="1:4" ht="13.5">
      <c r="A5567" s="49">
        <v>102254</v>
      </c>
      <c r="B5567" s="48" t="s">
        <v>21406</v>
      </c>
      <c r="C5567" s="48" t="s">
        <v>26764</v>
      </c>
      <c r="D5567" s="50">
        <v>552.44000000000005</v>
      </c>
    </row>
    <row r="5568" spans="1:4" ht="13.5">
      <c r="A5568" s="49">
        <v>102255</v>
      </c>
      <c r="B5568" s="48" t="s">
        <v>21407</v>
      </c>
      <c r="C5568" s="48" t="s">
        <v>26764</v>
      </c>
      <c r="D5568" s="50">
        <v>466.92</v>
      </c>
    </row>
    <row r="5569" spans="1:4" ht="13.5">
      <c r="A5569" s="49">
        <v>102256</v>
      </c>
      <c r="B5569" s="48" t="s">
        <v>21408</v>
      </c>
      <c r="C5569" s="48" t="s">
        <v>26764</v>
      </c>
      <c r="D5569" s="50">
        <v>690.11</v>
      </c>
    </row>
    <row r="5570" spans="1:4" ht="13.5">
      <c r="A5570" s="49">
        <v>102257</v>
      </c>
      <c r="B5570" s="48" t="s">
        <v>21409</v>
      </c>
      <c r="C5570" s="48" t="s">
        <v>26764</v>
      </c>
      <c r="D5570" s="50">
        <v>278.13</v>
      </c>
    </row>
    <row r="5571" spans="1:4" ht="13.5">
      <c r="A5571" s="49">
        <v>102258</v>
      </c>
      <c r="B5571" s="48" t="s">
        <v>21410</v>
      </c>
      <c r="C5571" s="48" t="s">
        <v>26764</v>
      </c>
      <c r="D5571" s="50">
        <v>324.70999999999998</v>
      </c>
    </row>
    <row r="5572" spans="1:4" ht="13.5">
      <c r="A5572" s="49">
        <v>101154</v>
      </c>
      <c r="B5572" s="48" t="s">
        <v>21411</v>
      </c>
      <c r="C5572" s="48" t="s">
        <v>26764</v>
      </c>
      <c r="D5572" s="50">
        <v>106.73</v>
      </c>
    </row>
    <row r="5573" spans="1:4" ht="13.5">
      <c r="A5573" s="49">
        <v>101155</v>
      </c>
      <c r="B5573" s="48" t="s">
        <v>21412</v>
      </c>
      <c r="C5573" s="48" t="s">
        <v>26764</v>
      </c>
      <c r="D5573" s="50">
        <v>150.13</v>
      </c>
    </row>
    <row r="5574" spans="1:4" ht="13.5">
      <c r="A5574" s="49">
        <v>101156</v>
      </c>
      <c r="B5574" s="48" t="s">
        <v>21413</v>
      </c>
      <c r="C5574" s="48" t="s">
        <v>26764</v>
      </c>
      <c r="D5574" s="50">
        <v>220.94</v>
      </c>
    </row>
    <row r="5575" spans="1:4" ht="13.5">
      <c r="A5575" s="49">
        <v>101810</v>
      </c>
      <c r="B5575" s="48" t="s">
        <v>21414</v>
      </c>
      <c r="C5575" s="48" t="s">
        <v>28764</v>
      </c>
      <c r="D5575" s="51">
        <v>1373.92</v>
      </c>
    </row>
    <row r="5576" spans="1:4" ht="13.5">
      <c r="A5576" s="49">
        <v>101811</v>
      </c>
      <c r="B5576" s="48" t="s">
        <v>21415</v>
      </c>
      <c r="C5576" s="48" t="s">
        <v>28764</v>
      </c>
      <c r="D5576" s="51">
        <v>1254.31</v>
      </c>
    </row>
    <row r="5577" spans="1:4" ht="13.5">
      <c r="A5577" s="49">
        <v>101812</v>
      </c>
      <c r="B5577" s="48" t="s">
        <v>21416</v>
      </c>
      <c r="C5577" s="48" t="s">
        <v>28764</v>
      </c>
      <c r="D5577" s="51">
        <v>1540.78</v>
      </c>
    </row>
    <row r="5578" spans="1:4" ht="13.5">
      <c r="A5578" s="49">
        <v>101813</v>
      </c>
      <c r="B5578" s="48" t="s">
        <v>21417</v>
      </c>
      <c r="C5578" s="48" t="s">
        <v>28764</v>
      </c>
      <c r="D5578" s="51">
        <v>1421.17</v>
      </c>
    </row>
    <row r="5579" spans="1:4" ht="13.5">
      <c r="A5579" s="49">
        <v>101814</v>
      </c>
      <c r="B5579" s="48" t="s">
        <v>21418</v>
      </c>
      <c r="C5579" s="48" t="s">
        <v>26764</v>
      </c>
      <c r="D5579" s="50">
        <v>37.85</v>
      </c>
    </row>
    <row r="5580" spans="1:4" ht="13.5">
      <c r="A5580" s="49">
        <v>101815</v>
      </c>
      <c r="B5580" s="48" t="s">
        <v>21419</v>
      </c>
      <c r="C5580" s="48" t="s">
        <v>26764</v>
      </c>
      <c r="D5580" s="50">
        <v>76.88</v>
      </c>
    </row>
    <row r="5581" spans="1:4" ht="13.5">
      <c r="A5581" s="49">
        <v>101816</v>
      </c>
      <c r="B5581" s="48" t="s">
        <v>21420</v>
      </c>
      <c r="C5581" s="48" t="s">
        <v>26764</v>
      </c>
      <c r="D5581" s="50">
        <v>55.4</v>
      </c>
    </row>
    <row r="5582" spans="1:4" ht="13.5">
      <c r="A5582" s="49">
        <v>101817</v>
      </c>
      <c r="B5582" s="48" t="s">
        <v>21421</v>
      </c>
      <c r="C5582" s="48" t="s">
        <v>26764</v>
      </c>
      <c r="D5582" s="50">
        <v>41.3</v>
      </c>
    </row>
    <row r="5583" spans="1:4" ht="13.5">
      <c r="A5583" s="49">
        <v>101818</v>
      </c>
      <c r="B5583" s="48" t="s">
        <v>21422</v>
      </c>
      <c r="C5583" s="48" t="s">
        <v>26764</v>
      </c>
      <c r="D5583" s="50">
        <v>60.65</v>
      </c>
    </row>
    <row r="5584" spans="1:4" ht="13.5">
      <c r="A5584" s="49">
        <v>101819</v>
      </c>
      <c r="B5584" s="48" t="s">
        <v>21423</v>
      </c>
      <c r="C5584" s="48" t="s">
        <v>26764</v>
      </c>
      <c r="D5584" s="50">
        <v>51.44</v>
      </c>
    </row>
    <row r="5585" spans="1:4" ht="13.5">
      <c r="A5585" s="49">
        <v>101820</v>
      </c>
      <c r="B5585" s="48" t="s">
        <v>21424</v>
      </c>
      <c r="C5585" s="48" t="s">
        <v>26764</v>
      </c>
      <c r="D5585" s="50">
        <v>33.46</v>
      </c>
    </row>
    <row r="5586" spans="1:4" ht="13.5">
      <c r="A5586" s="49">
        <v>101822</v>
      </c>
      <c r="B5586" s="48" t="s">
        <v>21425</v>
      </c>
      <c r="C5586" s="48" t="s">
        <v>28764</v>
      </c>
      <c r="D5586" s="50">
        <v>108.04</v>
      </c>
    </row>
    <row r="5587" spans="1:4" ht="13.5">
      <c r="A5587" s="49">
        <v>101823</v>
      </c>
      <c r="B5587" s="48" t="s">
        <v>21426</v>
      </c>
      <c r="C5587" s="48" t="s">
        <v>28764</v>
      </c>
      <c r="D5587" s="50">
        <v>134.53</v>
      </c>
    </row>
    <row r="5588" spans="1:4" ht="13.5">
      <c r="A5588" s="49">
        <v>101824</v>
      </c>
      <c r="B5588" s="48" t="s">
        <v>21427</v>
      </c>
      <c r="C5588" s="48" t="s">
        <v>28764</v>
      </c>
      <c r="D5588" s="50">
        <v>159.19999999999999</v>
      </c>
    </row>
    <row r="5589" spans="1:4" ht="13.5">
      <c r="A5589" s="49">
        <v>101825</v>
      </c>
      <c r="B5589" s="48" t="s">
        <v>21428</v>
      </c>
      <c r="C5589" s="48" t="s">
        <v>28764</v>
      </c>
      <c r="D5589" s="50">
        <v>183.2</v>
      </c>
    </row>
    <row r="5590" spans="1:4" ht="13.5">
      <c r="A5590" s="49">
        <v>101826</v>
      </c>
      <c r="B5590" s="48" t="s">
        <v>21429</v>
      </c>
      <c r="C5590" s="48" t="s">
        <v>28764</v>
      </c>
      <c r="D5590" s="50">
        <v>206.89</v>
      </c>
    </row>
    <row r="5591" spans="1:4" ht="13.5">
      <c r="A5591" s="49">
        <v>101827</v>
      </c>
      <c r="B5591" s="48" t="s">
        <v>21430</v>
      </c>
      <c r="C5591" s="48" t="s">
        <v>28764</v>
      </c>
      <c r="D5591" s="50">
        <v>184.79</v>
      </c>
    </row>
    <row r="5592" spans="1:4" ht="13.5">
      <c r="A5592" s="49">
        <v>101828</v>
      </c>
      <c r="B5592" s="48" t="s">
        <v>21431</v>
      </c>
      <c r="C5592" s="48" t="s">
        <v>28764</v>
      </c>
      <c r="D5592" s="50">
        <v>172</v>
      </c>
    </row>
    <row r="5593" spans="1:4" ht="13.5">
      <c r="A5593" s="49">
        <v>101829</v>
      </c>
      <c r="B5593" s="48" t="s">
        <v>28390</v>
      </c>
      <c r="C5593" s="48" t="s">
        <v>28764</v>
      </c>
      <c r="D5593" s="50">
        <v>232.88</v>
      </c>
    </row>
    <row r="5594" spans="1:4" ht="13.5">
      <c r="A5594" s="49">
        <v>101830</v>
      </c>
      <c r="B5594" s="48" t="s">
        <v>28391</v>
      </c>
      <c r="C5594" s="48" t="s">
        <v>28764</v>
      </c>
      <c r="D5594" s="50">
        <v>255.34</v>
      </c>
    </row>
    <row r="5595" spans="1:4" ht="13.5">
      <c r="A5595" s="49">
        <v>101831</v>
      </c>
      <c r="B5595" s="48" t="s">
        <v>28392</v>
      </c>
      <c r="C5595" s="48" t="s">
        <v>28764</v>
      </c>
      <c r="D5595" s="50">
        <v>277.5</v>
      </c>
    </row>
    <row r="5596" spans="1:4" ht="13.5">
      <c r="A5596" s="49">
        <v>101832</v>
      </c>
      <c r="B5596" s="48" t="s">
        <v>21432</v>
      </c>
      <c r="C5596" s="48" t="s">
        <v>28764</v>
      </c>
      <c r="D5596" s="50">
        <v>220.6</v>
      </c>
    </row>
    <row r="5597" spans="1:4" ht="13.5">
      <c r="A5597" s="49">
        <v>101833</v>
      </c>
      <c r="B5597" s="48" t="s">
        <v>21433</v>
      </c>
      <c r="C5597" s="48" t="s">
        <v>28764</v>
      </c>
      <c r="D5597" s="50">
        <v>243.32</v>
      </c>
    </row>
    <row r="5598" spans="1:4" ht="13.5">
      <c r="A5598" s="49">
        <v>101834</v>
      </c>
      <c r="B5598" s="48" t="s">
        <v>21434</v>
      </c>
      <c r="C5598" s="48" t="s">
        <v>28764</v>
      </c>
      <c r="D5598" s="50">
        <v>265.73</v>
      </c>
    </row>
    <row r="5599" spans="1:4" ht="13.5">
      <c r="A5599" s="49">
        <v>101835</v>
      </c>
      <c r="B5599" s="48" t="s">
        <v>21435</v>
      </c>
      <c r="C5599" s="48" t="s">
        <v>28764</v>
      </c>
      <c r="D5599" s="50">
        <v>255.54</v>
      </c>
    </row>
    <row r="5600" spans="1:4" ht="13.5">
      <c r="A5600" s="49">
        <v>101836</v>
      </c>
      <c r="B5600" s="48" t="s">
        <v>21436</v>
      </c>
      <c r="C5600" s="48" t="s">
        <v>28764</v>
      </c>
      <c r="D5600" s="50">
        <v>23.28</v>
      </c>
    </row>
    <row r="5601" spans="1:4" ht="13.5">
      <c r="A5601" s="49">
        <v>101837</v>
      </c>
      <c r="B5601" s="48" t="s">
        <v>21437</v>
      </c>
      <c r="C5601" s="48" t="s">
        <v>28764</v>
      </c>
      <c r="D5601" s="50">
        <v>49.77</v>
      </c>
    </row>
    <row r="5602" spans="1:4" ht="13.5">
      <c r="A5602" s="49">
        <v>101838</v>
      </c>
      <c r="B5602" s="48" t="s">
        <v>21438</v>
      </c>
      <c r="C5602" s="48" t="s">
        <v>28764</v>
      </c>
      <c r="D5602" s="50">
        <v>74.44</v>
      </c>
    </row>
    <row r="5603" spans="1:4" ht="13.5">
      <c r="A5603" s="49">
        <v>101839</v>
      </c>
      <c r="B5603" s="48" t="s">
        <v>21439</v>
      </c>
      <c r="C5603" s="48" t="s">
        <v>28764</v>
      </c>
      <c r="D5603" s="50">
        <v>98.43</v>
      </c>
    </row>
    <row r="5604" spans="1:4" ht="13.5">
      <c r="A5604" s="49">
        <v>101840</v>
      </c>
      <c r="B5604" s="48" t="s">
        <v>21440</v>
      </c>
      <c r="C5604" s="48" t="s">
        <v>28764</v>
      </c>
      <c r="D5604" s="50">
        <v>166.62</v>
      </c>
    </row>
    <row r="5605" spans="1:4" ht="13.5">
      <c r="A5605" s="49">
        <v>101841</v>
      </c>
      <c r="B5605" s="48" t="s">
        <v>21441</v>
      </c>
      <c r="C5605" s="48" t="s">
        <v>28764</v>
      </c>
      <c r="D5605" s="50">
        <v>100.03</v>
      </c>
    </row>
    <row r="5606" spans="1:4" ht="13.5">
      <c r="A5606" s="49">
        <v>101842</v>
      </c>
      <c r="B5606" s="48" t="s">
        <v>21442</v>
      </c>
      <c r="C5606" s="48" t="s">
        <v>28764</v>
      </c>
      <c r="D5606" s="50">
        <v>87.24</v>
      </c>
    </row>
    <row r="5607" spans="1:4" ht="13.5">
      <c r="A5607" s="49">
        <v>101843</v>
      </c>
      <c r="B5607" s="48" t="s">
        <v>28393</v>
      </c>
      <c r="C5607" s="48" t="s">
        <v>28764</v>
      </c>
      <c r="D5607" s="50">
        <v>148.12</v>
      </c>
    </row>
    <row r="5608" spans="1:4" ht="13.5">
      <c r="A5608" s="49">
        <v>101844</v>
      </c>
      <c r="B5608" s="48" t="s">
        <v>28394</v>
      </c>
      <c r="C5608" s="48" t="s">
        <v>28764</v>
      </c>
      <c r="D5608" s="50">
        <v>170.58</v>
      </c>
    </row>
    <row r="5609" spans="1:4" ht="13.5">
      <c r="A5609" s="49">
        <v>101845</v>
      </c>
      <c r="B5609" s="48" t="s">
        <v>28395</v>
      </c>
      <c r="C5609" s="48" t="s">
        <v>28764</v>
      </c>
      <c r="D5609" s="50">
        <v>192.74</v>
      </c>
    </row>
    <row r="5610" spans="1:4" ht="13.5">
      <c r="A5610" s="49">
        <v>101846</v>
      </c>
      <c r="B5610" s="48" t="s">
        <v>21443</v>
      </c>
      <c r="C5610" s="48" t="s">
        <v>28764</v>
      </c>
      <c r="D5610" s="50">
        <v>135.84</v>
      </c>
    </row>
    <row r="5611" spans="1:4" ht="13.5">
      <c r="A5611" s="49">
        <v>101847</v>
      </c>
      <c r="B5611" s="48" t="s">
        <v>21444</v>
      </c>
      <c r="C5611" s="48" t="s">
        <v>28764</v>
      </c>
      <c r="D5611" s="50">
        <v>158.56</v>
      </c>
    </row>
    <row r="5612" spans="1:4" ht="13.5">
      <c r="A5612" s="49">
        <v>101848</v>
      </c>
      <c r="B5612" s="48" t="s">
        <v>21445</v>
      </c>
      <c r="C5612" s="48" t="s">
        <v>28764</v>
      </c>
      <c r="D5612" s="50">
        <v>180.97</v>
      </c>
    </row>
    <row r="5613" spans="1:4" ht="13.5">
      <c r="A5613" s="49">
        <v>101849</v>
      </c>
      <c r="B5613" s="48" t="s">
        <v>21446</v>
      </c>
      <c r="C5613" s="48" t="s">
        <v>28764</v>
      </c>
      <c r="D5613" s="50">
        <v>170.78</v>
      </c>
    </row>
    <row r="5614" spans="1:4" ht="13.5">
      <c r="A5614" s="49">
        <v>101850</v>
      </c>
      <c r="B5614" s="48" t="s">
        <v>21447</v>
      </c>
      <c r="C5614" s="48" t="s">
        <v>26764</v>
      </c>
      <c r="D5614" s="50">
        <v>50.36</v>
      </c>
    </row>
    <row r="5615" spans="1:4" ht="13.5">
      <c r="A5615" s="49">
        <v>101851</v>
      </c>
      <c r="B5615" s="48" t="s">
        <v>21448</v>
      </c>
      <c r="C5615" s="48" t="s">
        <v>26764</v>
      </c>
      <c r="D5615" s="50">
        <v>125</v>
      </c>
    </row>
    <row r="5616" spans="1:4" ht="13.5">
      <c r="A5616" s="49">
        <v>101852</v>
      </c>
      <c r="B5616" s="48" t="s">
        <v>21449</v>
      </c>
      <c r="C5616" s="48" t="s">
        <v>26764</v>
      </c>
      <c r="D5616" s="50">
        <v>60.99</v>
      </c>
    </row>
    <row r="5617" spans="1:4" ht="13.5">
      <c r="A5617" s="49">
        <v>101853</v>
      </c>
      <c r="B5617" s="48" t="s">
        <v>21450</v>
      </c>
      <c r="C5617" s="48" t="s">
        <v>26764</v>
      </c>
      <c r="D5617" s="50">
        <v>45.08</v>
      </c>
    </row>
    <row r="5618" spans="1:4" ht="13.5">
      <c r="A5618" s="49">
        <v>101854</v>
      </c>
      <c r="B5618" s="48" t="s">
        <v>21451</v>
      </c>
      <c r="C5618" s="48" t="s">
        <v>26764</v>
      </c>
      <c r="D5618" s="50">
        <v>129.88</v>
      </c>
    </row>
    <row r="5619" spans="1:4" ht="13.5">
      <c r="A5619" s="49">
        <v>101855</v>
      </c>
      <c r="B5619" s="48" t="s">
        <v>21452</v>
      </c>
      <c r="C5619" s="48" t="s">
        <v>26764</v>
      </c>
      <c r="D5619" s="50">
        <v>63.05</v>
      </c>
    </row>
    <row r="5620" spans="1:4" ht="13.5">
      <c r="A5620" s="49">
        <v>101856</v>
      </c>
      <c r="B5620" s="48" t="s">
        <v>21453</v>
      </c>
      <c r="C5620" s="48" t="s">
        <v>26764</v>
      </c>
      <c r="D5620" s="50">
        <v>20.59</v>
      </c>
    </row>
    <row r="5621" spans="1:4" ht="13.5">
      <c r="A5621" s="49">
        <v>101857</v>
      </c>
      <c r="B5621" s="48" t="s">
        <v>21454</v>
      </c>
      <c r="C5621" s="48" t="s">
        <v>26764</v>
      </c>
      <c r="D5621" s="50">
        <v>26.29</v>
      </c>
    </row>
    <row r="5622" spans="1:4" ht="13.5">
      <c r="A5622" s="49">
        <v>101858</v>
      </c>
      <c r="B5622" s="48" t="s">
        <v>21455</v>
      </c>
      <c r="C5622" s="48" t="s">
        <v>26764</v>
      </c>
      <c r="D5622" s="50">
        <v>21.07</v>
      </c>
    </row>
    <row r="5623" spans="1:4" ht="13.5">
      <c r="A5623" s="49">
        <v>101859</v>
      </c>
      <c r="B5623" s="48" t="s">
        <v>21456</v>
      </c>
      <c r="C5623" s="48" t="s">
        <v>26764</v>
      </c>
      <c r="D5623" s="50">
        <v>23.52</v>
      </c>
    </row>
    <row r="5624" spans="1:4" ht="13.5">
      <c r="A5624" s="49">
        <v>101860</v>
      </c>
      <c r="B5624" s="48" t="s">
        <v>21457</v>
      </c>
      <c r="C5624" s="48" t="s">
        <v>26764</v>
      </c>
      <c r="D5624" s="50">
        <v>27.39</v>
      </c>
    </row>
    <row r="5625" spans="1:4" ht="13.5">
      <c r="A5625" s="49">
        <v>101861</v>
      </c>
      <c r="B5625" s="48" t="s">
        <v>21458</v>
      </c>
      <c r="C5625" s="48" t="s">
        <v>26764</v>
      </c>
      <c r="D5625" s="50">
        <v>25.46</v>
      </c>
    </row>
    <row r="5626" spans="1:4" ht="13.5">
      <c r="A5626" s="49">
        <v>101862</v>
      </c>
      <c r="B5626" s="48" t="s">
        <v>21459</v>
      </c>
      <c r="C5626" s="48" t="s">
        <v>26764</v>
      </c>
      <c r="D5626" s="50">
        <v>27.96</v>
      </c>
    </row>
    <row r="5627" spans="1:4" ht="13.5">
      <c r="A5627" s="49">
        <v>101863</v>
      </c>
      <c r="B5627" s="48" t="s">
        <v>21460</v>
      </c>
      <c r="C5627" s="48" t="s">
        <v>26764</v>
      </c>
      <c r="D5627" s="50">
        <v>21.41</v>
      </c>
    </row>
    <row r="5628" spans="1:4" ht="13.5">
      <c r="A5628" s="49">
        <v>101864</v>
      </c>
      <c r="B5628" s="48" t="s">
        <v>21461</v>
      </c>
      <c r="C5628" s="48" t="s">
        <v>26764</v>
      </c>
      <c r="D5628" s="50">
        <v>25.27</v>
      </c>
    </row>
    <row r="5629" spans="1:4" ht="13.5">
      <c r="A5629" s="49">
        <v>101865</v>
      </c>
      <c r="B5629" s="48" t="s">
        <v>21462</v>
      </c>
      <c r="C5629" s="48" t="s">
        <v>26764</v>
      </c>
      <c r="D5629" s="50">
        <v>29.12</v>
      </c>
    </row>
    <row r="5630" spans="1:4" ht="13.5">
      <c r="A5630" s="49">
        <v>101866</v>
      </c>
      <c r="B5630" s="48" t="s">
        <v>21463</v>
      </c>
      <c r="C5630" s="48" t="s">
        <v>26764</v>
      </c>
      <c r="D5630" s="50">
        <v>25.64</v>
      </c>
    </row>
    <row r="5631" spans="1:4" ht="13.5">
      <c r="A5631" s="49">
        <v>101867</v>
      </c>
      <c r="B5631" s="48" t="s">
        <v>21464</v>
      </c>
      <c r="C5631" s="48" t="s">
        <v>26764</v>
      </c>
      <c r="D5631" s="50">
        <v>29.51</v>
      </c>
    </row>
    <row r="5632" spans="1:4" ht="13.5">
      <c r="A5632" s="49">
        <v>101868</v>
      </c>
      <c r="B5632" s="48" t="s">
        <v>21465</v>
      </c>
      <c r="C5632" s="48" t="s">
        <v>26764</v>
      </c>
      <c r="D5632" s="50">
        <v>22.96</v>
      </c>
    </row>
    <row r="5633" spans="1:4" ht="13.5">
      <c r="A5633" s="49">
        <v>101869</v>
      </c>
      <c r="B5633" s="48" t="s">
        <v>21466</v>
      </c>
      <c r="C5633" s="48" t="s">
        <v>26764</v>
      </c>
      <c r="D5633" s="50">
        <v>26.81</v>
      </c>
    </row>
    <row r="5634" spans="1:4" ht="13.5">
      <c r="A5634" s="49">
        <v>101870</v>
      </c>
      <c r="B5634" s="48" t="s">
        <v>21467</v>
      </c>
      <c r="C5634" s="48" t="s">
        <v>26764</v>
      </c>
      <c r="D5634" s="50">
        <v>30.67</v>
      </c>
    </row>
    <row r="5635" spans="1:4" ht="13.5">
      <c r="A5635" s="49">
        <v>102096</v>
      </c>
      <c r="B5635" s="48" t="s">
        <v>21468</v>
      </c>
      <c r="C5635" s="48" t="s">
        <v>28764</v>
      </c>
      <c r="D5635" s="51">
        <v>1763.01</v>
      </c>
    </row>
    <row r="5636" spans="1:4" ht="13.5">
      <c r="A5636" s="49">
        <v>102098</v>
      </c>
      <c r="B5636" s="48" t="s">
        <v>21469</v>
      </c>
      <c r="C5636" s="48" t="s">
        <v>28764</v>
      </c>
      <c r="D5636" s="51">
        <v>1929.87</v>
      </c>
    </row>
    <row r="5637" spans="1:4" ht="13.5">
      <c r="A5637" s="49">
        <v>102101</v>
      </c>
      <c r="B5637" s="48" t="s">
        <v>21470</v>
      </c>
      <c r="C5637" s="48" t="s">
        <v>26764</v>
      </c>
      <c r="D5637" s="50">
        <v>3.66</v>
      </c>
    </row>
    <row r="5638" spans="1:4" ht="13.5">
      <c r="A5638" s="49">
        <v>102988</v>
      </c>
      <c r="B5638" s="48" t="s">
        <v>21471</v>
      </c>
      <c r="C5638" s="48" t="s">
        <v>26764</v>
      </c>
      <c r="D5638" s="50">
        <v>45.12</v>
      </c>
    </row>
    <row r="5639" spans="1:4" ht="13.5">
      <c r="A5639" s="49">
        <v>100576</v>
      </c>
      <c r="B5639" s="48" t="s">
        <v>6091</v>
      </c>
      <c r="C5639" s="48" t="s">
        <v>26764</v>
      </c>
      <c r="D5639" s="50">
        <v>2.13</v>
      </c>
    </row>
    <row r="5640" spans="1:4" ht="13.5">
      <c r="A5640" s="49">
        <v>100577</v>
      </c>
      <c r="B5640" s="48" t="s">
        <v>6092</v>
      </c>
      <c r="C5640" s="48" t="s">
        <v>26764</v>
      </c>
      <c r="D5640" s="50">
        <v>1</v>
      </c>
    </row>
    <row r="5641" spans="1:4" ht="13.5">
      <c r="A5641" s="49">
        <v>96388</v>
      </c>
      <c r="B5641" s="48" t="s">
        <v>6093</v>
      </c>
      <c r="C5641" s="48" t="s">
        <v>28764</v>
      </c>
      <c r="D5641" s="50">
        <v>10.08</v>
      </c>
    </row>
    <row r="5642" spans="1:4" ht="13.5">
      <c r="A5642" s="49">
        <v>96389</v>
      </c>
      <c r="B5642" s="48" t="s">
        <v>19743</v>
      </c>
      <c r="C5642" s="48" t="s">
        <v>28764</v>
      </c>
      <c r="D5642" s="50">
        <v>40.9</v>
      </c>
    </row>
    <row r="5643" spans="1:4" ht="13.5">
      <c r="A5643" s="49">
        <v>96390</v>
      </c>
      <c r="B5643" s="48" t="s">
        <v>19744</v>
      </c>
      <c r="C5643" s="48" t="s">
        <v>28764</v>
      </c>
      <c r="D5643" s="50">
        <v>63.93</v>
      </c>
    </row>
    <row r="5644" spans="1:4" ht="13.5">
      <c r="A5644" s="49">
        <v>96391</v>
      </c>
      <c r="B5644" s="48" t="s">
        <v>6094</v>
      </c>
      <c r="C5644" s="48" t="s">
        <v>28764</v>
      </c>
      <c r="D5644" s="50">
        <v>88.7</v>
      </c>
    </row>
    <row r="5645" spans="1:4" ht="13.5">
      <c r="A5645" s="49">
        <v>96392</v>
      </c>
      <c r="B5645" s="48" t="s">
        <v>6095</v>
      </c>
      <c r="C5645" s="48" t="s">
        <v>28764</v>
      </c>
      <c r="D5645" s="50">
        <v>112.39</v>
      </c>
    </row>
    <row r="5646" spans="1:4" ht="13.5">
      <c r="A5646" s="49">
        <v>96396</v>
      </c>
      <c r="B5646" s="48" t="s">
        <v>6096</v>
      </c>
      <c r="C5646" s="48" t="s">
        <v>28764</v>
      </c>
      <c r="D5646" s="50">
        <v>158.74</v>
      </c>
    </row>
    <row r="5647" spans="1:4" ht="13.5">
      <c r="A5647" s="49">
        <v>96397</v>
      </c>
      <c r="B5647" s="48" t="s">
        <v>6097</v>
      </c>
      <c r="C5647" s="48" t="s">
        <v>28764</v>
      </c>
      <c r="D5647" s="50">
        <v>205.64</v>
      </c>
    </row>
    <row r="5648" spans="1:4" ht="13.5">
      <c r="A5648" s="49">
        <v>96398</v>
      </c>
      <c r="B5648" s="48" t="s">
        <v>6098</v>
      </c>
      <c r="C5648" s="48" t="s">
        <v>28764</v>
      </c>
      <c r="D5648" s="50">
        <v>268.20999999999998</v>
      </c>
    </row>
    <row r="5649" spans="1:4" ht="13.5">
      <c r="A5649" s="49">
        <v>96399</v>
      </c>
      <c r="B5649" s="48" t="s">
        <v>19745</v>
      </c>
      <c r="C5649" s="48" t="s">
        <v>28764</v>
      </c>
      <c r="D5649" s="50">
        <v>109.5</v>
      </c>
    </row>
    <row r="5650" spans="1:4" ht="13.5">
      <c r="A5650" s="49">
        <v>96400</v>
      </c>
      <c r="B5650" s="48" t="s">
        <v>6099</v>
      </c>
      <c r="C5650" s="48" t="s">
        <v>28764</v>
      </c>
      <c r="D5650" s="50">
        <v>142.12</v>
      </c>
    </row>
    <row r="5651" spans="1:4" ht="13.5">
      <c r="A5651" s="49">
        <v>96402</v>
      </c>
      <c r="B5651" s="48" t="s">
        <v>6100</v>
      </c>
      <c r="C5651" s="48" t="s">
        <v>26764</v>
      </c>
      <c r="D5651" s="50">
        <v>2.71</v>
      </c>
    </row>
    <row r="5652" spans="1:4" ht="13.5">
      <c r="A5652" s="49">
        <v>100564</v>
      </c>
      <c r="B5652" s="48" t="s">
        <v>6101</v>
      </c>
      <c r="C5652" s="48" t="s">
        <v>28764</v>
      </c>
      <c r="D5652" s="50">
        <v>96.25</v>
      </c>
    </row>
    <row r="5653" spans="1:4" ht="13.5">
      <c r="A5653" s="49">
        <v>100565</v>
      </c>
      <c r="B5653" s="48" t="s">
        <v>6102</v>
      </c>
      <c r="C5653" s="48" t="s">
        <v>28764</v>
      </c>
      <c r="D5653" s="50">
        <v>83.51</v>
      </c>
    </row>
    <row r="5654" spans="1:4" ht="13.5">
      <c r="A5654" s="49">
        <v>100566</v>
      </c>
      <c r="B5654" s="48" t="s">
        <v>6103</v>
      </c>
      <c r="C5654" s="48" t="s">
        <v>28764</v>
      </c>
      <c r="D5654" s="50">
        <v>144.34</v>
      </c>
    </row>
    <row r="5655" spans="1:4" ht="13.5">
      <c r="A5655" s="49">
        <v>100567</v>
      </c>
      <c r="B5655" s="48" t="s">
        <v>6104</v>
      </c>
      <c r="C5655" s="48" t="s">
        <v>28764</v>
      </c>
      <c r="D5655" s="50">
        <v>166.85</v>
      </c>
    </row>
    <row r="5656" spans="1:4" ht="13.5">
      <c r="A5656" s="49">
        <v>100568</v>
      </c>
      <c r="B5656" s="48" t="s">
        <v>6105</v>
      </c>
      <c r="C5656" s="48" t="s">
        <v>28764</v>
      </c>
      <c r="D5656" s="50">
        <v>188.96</v>
      </c>
    </row>
    <row r="5657" spans="1:4" ht="13.5">
      <c r="A5657" s="49">
        <v>100569</v>
      </c>
      <c r="B5657" s="48" t="s">
        <v>6106</v>
      </c>
      <c r="C5657" s="48" t="s">
        <v>28764</v>
      </c>
      <c r="D5657" s="50">
        <v>132.06</v>
      </c>
    </row>
    <row r="5658" spans="1:4" ht="13.5">
      <c r="A5658" s="49">
        <v>100570</v>
      </c>
      <c r="B5658" s="48" t="s">
        <v>6107</v>
      </c>
      <c r="C5658" s="48" t="s">
        <v>28764</v>
      </c>
      <c r="D5658" s="50">
        <v>156.78</v>
      </c>
    </row>
    <row r="5659" spans="1:4" ht="13.5">
      <c r="A5659" s="49">
        <v>100571</v>
      </c>
      <c r="B5659" s="48" t="s">
        <v>6108</v>
      </c>
      <c r="C5659" s="48" t="s">
        <v>28764</v>
      </c>
      <c r="D5659" s="50">
        <v>177.24</v>
      </c>
    </row>
    <row r="5660" spans="1:4" ht="13.5">
      <c r="A5660" s="49">
        <v>100572</v>
      </c>
      <c r="B5660" s="48" t="s">
        <v>6109</v>
      </c>
      <c r="C5660" s="48" t="s">
        <v>28764</v>
      </c>
      <c r="D5660" s="50">
        <v>101.04</v>
      </c>
    </row>
    <row r="5661" spans="1:4" ht="13.5">
      <c r="A5661" s="49">
        <v>100573</v>
      </c>
      <c r="B5661" s="48" t="s">
        <v>6110</v>
      </c>
      <c r="C5661" s="48" t="s">
        <v>28764</v>
      </c>
      <c r="D5661" s="50">
        <v>88.3</v>
      </c>
    </row>
    <row r="5662" spans="1:4" ht="13.5">
      <c r="A5662" s="49">
        <v>100574</v>
      </c>
      <c r="B5662" s="48" t="s">
        <v>6111</v>
      </c>
      <c r="C5662" s="48" t="s">
        <v>28764</v>
      </c>
      <c r="D5662" s="50">
        <v>1.23</v>
      </c>
    </row>
    <row r="5663" spans="1:4" ht="13.5">
      <c r="A5663" s="49">
        <v>100575</v>
      </c>
      <c r="B5663" s="48" t="s">
        <v>6112</v>
      </c>
      <c r="C5663" s="48" t="s">
        <v>26764</v>
      </c>
      <c r="D5663" s="50">
        <v>0.11</v>
      </c>
    </row>
    <row r="5664" spans="1:4" ht="13.5">
      <c r="A5664" s="49">
        <v>101767</v>
      </c>
      <c r="B5664" s="48" t="s">
        <v>21472</v>
      </c>
      <c r="C5664" s="48" t="s">
        <v>28764</v>
      </c>
      <c r="D5664" s="50">
        <v>24.27</v>
      </c>
    </row>
    <row r="5665" spans="1:4" ht="13.5">
      <c r="A5665" s="49">
        <v>101768</v>
      </c>
      <c r="B5665" s="48" t="s">
        <v>21473</v>
      </c>
      <c r="C5665" s="48" t="s">
        <v>28764</v>
      </c>
      <c r="D5665" s="50">
        <v>37.270000000000003</v>
      </c>
    </row>
    <row r="5666" spans="1:4" ht="13.5">
      <c r="A5666" s="49">
        <v>92391</v>
      </c>
      <c r="B5666" s="48" t="s">
        <v>6113</v>
      </c>
      <c r="C5666" s="48" t="s">
        <v>26764</v>
      </c>
      <c r="D5666" s="50">
        <v>51.97</v>
      </c>
    </row>
    <row r="5667" spans="1:4" ht="13.5">
      <c r="A5667" s="49">
        <v>92392</v>
      </c>
      <c r="B5667" s="48" t="s">
        <v>6114</v>
      </c>
      <c r="C5667" s="48" t="s">
        <v>26764</v>
      </c>
      <c r="D5667" s="50">
        <v>108.23</v>
      </c>
    </row>
    <row r="5668" spans="1:4" ht="13.5">
      <c r="A5668" s="49">
        <v>92393</v>
      </c>
      <c r="B5668" s="48" t="s">
        <v>6115</v>
      </c>
      <c r="C5668" s="48" t="s">
        <v>26764</v>
      </c>
      <c r="D5668" s="50">
        <v>51.9</v>
      </c>
    </row>
    <row r="5669" spans="1:4" ht="13.5">
      <c r="A5669" s="49">
        <v>92394</v>
      </c>
      <c r="B5669" s="48" t="s">
        <v>6116</v>
      </c>
      <c r="C5669" s="48" t="s">
        <v>26764</v>
      </c>
      <c r="D5669" s="50">
        <v>65.52</v>
      </c>
    </row>
    <row r="5670" spans="1:4" ht="13.5">
      <c r="A5670" s="49">
        <v>92395</v>
      </c>
      <c r="B5670" s="48" t="s">
        <v>6117</v>
      </c>
      <c r="C5670" s="48" t="s">
        <v>26764</v>
      </c>
      <c r="D5670" s="50">
        <v>80.27</v>
      </c>
    </row>
    <row r="5671" spans="1:4" ht="13.5">
      <c r="A5671" s="49">
        <v>92396</v>
      </c>
      <c r="B5671" s="48" t="s">
        <v>6118</v>
      </c>
      <c r="C5671" s="48" t="s">
        <v>26764</v>
      </c>
      <c r="D5671" s="50">
        <v>64.61</v>
      </c>
    </row>
    <row r="5672" spans="1:4" ht="13.5">
      <c r="A5672" s="49">
        <v>92397</v>
      </c>
      <c r="B5672" s="48" t="s">
        <v>6119</v>
      </c>
      <c r="C5672" s="48" t="s">
        <v>26764</v>
      </c>
      <c r="D5672" s="50">
        <v>52.29</v>
      </c>
    </row>
    <row r="5673" spans="1:4" ht="13.5">
      <c r="A5673" s="49">
        <v>92398</v>
      </c>
      <c r="B5673" s="48" t="s">
        <v>6120</v>
      </c>
      <c r="C5673" s="48" t="s">
        <v>26764</v>
      </c>
      <c r="D5673" s="50">
        <v>67.459999999999994</v>
      </c>
    </row>
    <row r="5674" spans="1:4" ht="13.5">
      <c r="A5674" s="49">
        <v>92399</v>
      </c>
      <c r="B5674" s="48" t="s">
        <v>6121</v>
      </c>
      <c r="C5674" s="48" t="s">
        <v>26764</v>
      </c>
      <c r="D5674" s="50">
        <v>68.819999999999993</v>
      </c>
    </row>
    <row r="5675" spans="1:4" ht="13.5">
      <c r="A5675" s="49">
        <v>92400</v>
      </c>
      <c r="B5675" s="48" t="s">
        <v>6122</v>
      </c>
      <c r="C5675" s="48" t="s">
        <v>26764</v>
      </c>
      <c r="D5675" s="50">
        <v>81.06</v>
      </c>
    </row>
    <row r="5676" spans="1:4" ht="13.5">
      <c r="A5676" s="49">
        <v>92401</v>
      </c>
      <c r="B5676" s="48" t="s">
        <v>6123</v>
      </c>
      <c r="C5676" s="48" t="s">
        <v>26764</v>
      </c>
      <c r="D5676" s="50">
        <v>82.51</v>
      </c>
    </row>
    <row r="5677" spans="1:4" ht="13.5">
      <c r="A5677" s="49">
        <v>92402</v>
      </c>
      <c r="B5677" s="48" t="s">
        <v>6124</v>
      </c>
      <c r="C5677" s="48" t="s">
        <v>26764</v>
      </c>
      <c r="D5677" s="50">
        <v>66.38</v>
      </c>
    </row>
    <row r="5678" spans="1:4" ht="13.5">
      <c r="A5678" s="49">
        <v>92403</v>
      </c>
      <c r="B5678" s="48" t="s">
        <v>6125</v>
      </c>
      <c r="C5678" s="48" t="s">
        <v>26764</v>
      </c>
      <c r="D5678" s="50">
        <v>53.94</v>
      </c>
    </row>
    <row r="5679" spans="1:4" ht="13.5">
      <c r="A5679" s="49">
        <v>92404</v>
      </c>
      <c r="B5679" s="48" t="s">
        <v>6126</v>
      </c>
      <c r="C5679" s="48" t="s">
        <v>26764</v>
      </c>
      <c r="D5679" s="50">
        <v>69.099999999999994</v>
      </c>
    </row>
    <row r="5680" spans="1:4" ht="13.5">
      <c r="A5680" s="49">
        <v>92405</v>
      </c>
      <c r="B5680" s="48" t="s">
        <v>6127</v>
      </c>
      <c r="C5680" s="48" t="s">
        <v>26764</v>
      </c>
      <c r="D5680" s="50">
        <v>70.430000000000007</v>
      </c>
    </row>
    <row r="5681" spans="1:4" ht="13.5">
      <c r="A5681" s="49">
        <v>92406</v>
      </c>
      <c r="B5681" s="48" t="s">
        <v>6128</v>
      </c>
      <c r="C5681" s="48" t="s">
        <v>26764</v>
      </c>
      <c r="D5681" s="50">
        <v>82.74</v>
      </c>
    </row>
    <row r="5682" spans="1:4" ht="13.5">
      <c r="A5682" s="49">
        <v>92407</v>
      </c>
      <c r="B5682" s="48" t="s">
        <v>6129</v>
      </c>
      <c r="C5682" s="48" t="s">
        <v>26764</v>
      </c>
      <c r="D5682" s="50">
        <v>84.15</v>
      </c>
    </row>
    <row r="5683" spans="1:4" ht="13.5">
      <c r="A5683" s="49">
        <v>93679</v>
      </c>
      <c r="B5683" s="48" t="s">
        <v>6130</v>
      </c>
      <c r="C5683" s="48" t="s">
        <v>26764</v>
      </c>
      <c r="D5683" s="50">
        <v>71.58</v>
      </c>
    </row>
    <row r="5684" spans="1:4" ht="13.5">
      <c r="A5684" s="49">
        <v>93680</v>
      </c>
      <c r="B5684" s="48" t="s">
        <v>6131</v>
      </c>
      <c r="C5684" s="48" t="s">
        <v>26764</v>
      </c>
      <c r="D5684" s="50">
        <v>58.96</v>
      </c>
    </row>
    <row r="5685" spans="1:4" ht="13.5">
      <c r="A5685" s="49">
        <v>93681</v>
      </c>
      <c r="B5685" s="48" t="s">
        <v>6132</v>
      </c>
      <c r="C5685" s="48" t="s">
        <v>26764</v>
      </c>
      <c r="D5685" s="50">
        <v>72.790000000000006</v>
      </c>
    </row>
    <row r="5686" spans="1:4" ht="13.5">
      <c r="A5686" s="49">
        <v>93682</v>
      </c>
      <c r="B5686" s="48" t="s">
        <v>6133</v>
      </c>
      <c r="C5686" s="48" t="s">
        <v>26764</v>
      </c>
      <c r="D5686" s="50">
        <v>74.2</v>
      </c>
    </row>
    <row r="5687" spans="1:4" ht="13.5">
      <c r="A5687" s="49">
        <v>97104</v>
      </c>
      <c r="B5687" s="48" t="s">
        <v>21474</v>
      </c>
      <c r="C5687" s="48" t="s">
        <v>26764</v>
      </c>
      <c r="D5687" s="50">
        <v>104.13</v>
      </c>
    </row>
    <row r="5688" spans="1:4" ht="13.5">
      <c r="A5688" s="49">
        <v>97105</v>
      </c>
      <c r="B5688" s="48" t="s">
        <v>21475</v>
      </c>
      <c r="C5688" s="48" t="s">
        <v>26764</v>
      </c>
      <c r="D5688" s="50">
        <v>122.92</v>
      </c>
    </row>
    <row r="5689" spans="1:4" ht="13.5">
      <c r="A5689" s="49">
        <v>97106</v>
      </c>
      <c r="B5689" s="48" t="s">
        <v>21476</v>
      </c>
      <c r="C5689" s="48" t="s">
        <v>26764</v>
      </c>
      <c r="D5689" s="50">
        <v>133.55000000000001</v>
      </c>
    </row>
    <row r="5690" spans="1:4" ht="13.5">
      <c r="A5690" s="49">
        <v>97107</v>
      </c>
      <c r="B5690" s="48" t="s">
        <v>21477</v>
      </c>
      <c r="C5690" s="48" t="s">
        <v>26764</v>
      </c>
      <c r="D5690" s="50">
        <v>144.13</v>
      </c>
    </row>
    <row r="5691" spans="1:4" ht="13.5">
      <c r="A5691" s="49">
        <v>97108</v>
      </c>
      <c r="B5691" s="48" t="s">
        <v>21478</v>
      </c>
      <c r="C5691" s="48" t="s">
        <v>26764</v>
      </c>
      <c r="D5691" s="50">
        <v>171.13</v>
      </c>
    </row>
    <row r="5692" spans="1:4" ht="13.5">
      <c r="A5692" s="49">
        <v>97109</v>
      </c>
      <c r="B5692" s="48" t="s">
        <v>21479</v>
      </c>
      <c r="C5692" s="48" t="s">
        <v>26764</v>
      </c>
      <c r="D5692" s="50">
        <v>181.66</v>
      </c>
    </row>
    <row r="5693" spans="1:4" ht="13.5">
      <c r="A5693" s="49">
        <v>97110</v>
      </c>
      <c r="B5693" s="48" t="s">
        <v>21480</v>
      </c>
      <c r="C5693" s="48" t="s">
        <v>26764</v>
      </c>
      <c r="D5693" s="50">
        <v>194.45</v>
      </c>
    </row>
    <row r="5694" spans="1:4" ht="13.5">
      <c r="A5694" s="49">
        <v>97111</v>
      </c>
      <c r="B5694" s="48" t="s">
        <v>21481</v>
      </c>
      <c r="C5694" s="48" t="s">
        <v>26764</v>
      </c>
      <c r="D5694" s="50">
        <v>221.73</v>
      </c>
    </row>
    <row r="5695" spans="1:4" ht="13.5">
      <c r="A5695" s="49">
        <v>97112</v>
      </c>
      <c r="B5695" s="48" t="s">
        <v>21482</v>
      </c>
      <c r="C5695" s="48" t="s">
        <v>26764</v>
      </c>
      <c r="D5695" s="50">
        <v>236.07</v>
      </c>
    </row>
    <row r="5696" spans="1:4" ht="13.5">
      <c r="A5696" s="49">
        <v>97113</v>
      </c>
      <c r="B5696" s="48" t="s">
        <v>21483</v>
      </c>
      <c r="C5696" s="48" t="s">
        <v>26764</v>
      </c>
      <c r="D5696" s="50">
        <v>1.73</v>
      </c>
    </row>
    <row r="5697" spans="1:4" ht="13.5">
      <c r="A5697" s="49">
        <v>97114</v>
      </c>
      <c r="B5697" s="48" t="s">
        <v>6134</v>
      </c>
      <c r="C5697" s="48" t="s">
        <v>6</v>
      </c>
      <c r="D5697" s="50">
        <v>0.4</v>
      </c>
    </row>
    <row r="5698" spans="1:4" ht="13.5">
      <c r="A5698" s="49">
        <v>97115</v>
      </c>
      <c r="B5698" s="48" t="s">
        <v>6135</v>
      </c>
      <c r="C5698" s="48" t="s">
        <v>8</v>
      </c>
      <c r="D5698" s="50">
        <v>51.16</v>
      </c>
    </row>
    <row r="5699" spans="1:4" ht="13.5">
      <c r="A5699" s="49">
        <v>97116</v>
      </c>
      <c r="B5699" s="48" t="s">
        <v>21484</v>
      </c>
      <c r="C5699" s="48" t="s">
        <v>8</v>
      </c>
      <c r="D5699" s="50">
        <v>23.78</v>
      </c>
    </row>
    <row r="5700" spans="1:4" ht="13.5">
      <c r="A5700" s="49">
        <v>97117</v>
      </c>
      <c r="B5700" s="48" t="s">
        <v>21485</v>
      </c>
      <c r="C5700" s="48" t="s">
        <v>8</v>
      </c>
      <c r="D5700" s="50">
        <v>23.36</v>
      </c>
    </row>
    <row r="5701" spans="1:4" ht="13.5">
      <c r="A5701" s="49">
        <v>97118</v>
      </c>
      <c r="B5701" s="48" t="s">
        <v>21486</v>
      </c>
      <c r="C5701" s="48" t="s">
        <v>8</v>
      </c>
      <c r="D5701" s="50">
        <v>20.72</v>
      </c>
    </row>
    <row r="5702" spans="1:4" ht="13.5">
      <c r="A5702" s="49">
        <v>97119</v>
      </c>
      <c r="B5702" s="48" t="s">
        <v>21487</v>
      </c>
      <c r="C5702" s="48" t="s">
        <v>8</v>
      </c>
      <c r="D5702" s="50">
        <v>19.97</v>
      </c>
    </row>
    <row r="5703" spans="1:4" ht="13.5">
      <c r="A5703" s="49">
        <v>97120</v>
      </c>
      <c r="B5703" s="48" t="s">
        <v>6136</v>
      </c>
      <c r="C5703" s="48" t="s">
        <v>8</v>
      </c>
      <c r="D5703" s="50">
        <v>14.61</v>
      </c>
    </row>
    <row r="5704" spans="1:4" ht="13.5">
      <c r="A5704" s="49">
        <v>97802</v>
      </c>
      <c r="B5704" s="48" t="s">
        <v>6137</v>
      </c>
      <c r="C5704" s="48" t="s">
        <v>26764</v>
      </c>
      <c r="D5704" s="50">
        <v>7.37</v>
      </c>
    </row>
    <row r="5705" spans="1:4" ht="13.5">
      <c r="A5705" s="49">
        <v>97803</v>
      </c>
      <c r="B5705" s="48" t="s">
        <v>6138</v>
      </c>
      <c r="C5705" s="48" t="s">
        <v>26764</v>
      </c>
      <c r="D5705" s="50">
        <v>11.12</v>
      </c>
    </row>
    <row r="5706" spans="1:4" ht="13.5">
      <c r="A5706" s="49">
        <v>97805</v>
      </c>
      <c r="B5706" s="48" t="s">
        <v>6139</v>
      </c>
      <c r="C5706" s="48" t="s">
        <v>26764</v>
      </c>
      <c r="D5706" s="50">
        <v>18.57</v>
      </c>
    </row>
    <row r="5707" spans="1:4" ht="13.5">
      <c r="A5707" s="49">
        <v>97806</v>
      </c>
      <c r="B5707" s="48" t="s">
        <v>6140</v>
      </c>
      <c r="C5707" s="48" t="s">
        <v>26764</v>
      </c>
      <c r="D5707" s="50">
        <v>22.29</v>
      </c>
    </row>
    <row r="5708" spans="1:4" ht="13.5">
      <c r="A5708" s="49">
        <v>97807</v>
      </c>
      <c r="B5708" s="48" t="s">
        <v>6141</v>
      </c>
      <c r="C5708" s="48" t="s">
        <v>26764</v>
      </c>
      <c r="D5708" s="50">
        <v>25.19</v>
      </c>
    </row>
    <row r="5709" spans="1:4" ht="13.5">
      <c r="A5709" s="49">
        <v>97809</v>
      </c>
      <c r="B5709" s="48" t="s">
        <v>6142</v>
      </c>
      <c r="C5709" s="48" t="s">
        <v>26764</v>
      </c>
      <c r="D5709" s="50">
        <v>20.6</v>
      </c>
    </row>
    <row r="5710" spans="1:4" ht="13.5">
      <c r="A5710" s="49">
        <v>97810</v>
      </c>
      <c r="B5710" s="48" t="s">
        <v>6143</v>
      </c>
      <c r="C5710" s="48" t="s">
        <v>26764</v>
      </c>
      <c r="D5710" s="50">
        <v>22.31</v>
      </c>
    </row>
    <row r="5711" spans="1:4" ht="13.5">
      <c r="A5711" s="49">
        <v>97811</v>
      </c>
      <c r="B5711" s="48" t="s">
        <v>6144</v>
      </c>
      <c r="C5711" s="48" t="s">
        <v>26764</v>
      </c>
      <c r="D5711" s="50">
        <v>25.29</v>
      </c>
    </row>
    <row r="5712" spans="1:4" ht="13.5">
      <c r="A5712" s="49">
        <v>101167</v>
      </c>
      <c r="B5712" s="48" t="s">
        <v>21488</v>
      </c>
      <c r="C5712" s="48" t="s">
        <v>26764</v>
      </c>
      <c r="D5712" s="50">
        <v>144.56</v>
      </c>
    </row>
    <row r="5713" spans="1:4" ht="13.5">
      <c r="A5713" s="49">
        <v>101168</v>
      </c>
      <c r="B5713" s="48" t="s">
        <v>21489</v>
      </c>
      <c r="C5713" s="48" t="s">
        <v>26764</v>
      </c>
      <c r="D5713" s="50">
        <v>192.86</v>
      </c>
    </row>
    <row r="5714" spans="1:4" ht="13.5">
      <c r="A5714" s="49">
        <v>101169</v>
      </c>
      <c r="B5714" s="48" t="s">
        <v>21490</v>
      </c>
      <c r="C5714" s="48" t="s">
        <v>26764</v>
      </c>
      <c r="D5714" s="50">
        <v>155.22999999999999</v>
      </c>
    </row>
    <row r="5715" spans="1:4" ht="13.5">
      <c r="A5715" s="49">
        <v>101170</v>
      </c>
      <c r="B5715" s="48" t="s">
        <v>21491</v>
      </c>
      <c r="C5715" s="48" t="s">
        <v>26764</v>
      </c>
      <c r="D5715" s="50">
        <v>36.17</v>
      </c>
    </row>
    <row r="5716" spans="1:4" ht="13.5">
      <c r="A5716" s="49">
        <v>101171</v>
      </c>
      <c r="B5716" s="48" t="s">
        <v>21492</v>
      </c>
      <c r="C5716" s="48" t="s">
        <v>26764</v>
      </c>
      <c r="D5716" s="50">
        <v>98.79</v>
      </c>
    </row>
    <row r="5717" spans="1:4" ht="13.5">
      <c r="A5717" s="49">
        <v>101172</v>
      </c>
      <c r="B5717" s="48" t="s">
        <v>21493</v>
      </c>
      <c r="C5717" s="48" t="s">
        <v>26764</v>
      </c>
      <c r="D5717" s="50">
        <v>54.25</v>
      </c>
    </row>
    <row r="5718" spans="1:4" ht="13.5">
      <c r="A5718" s="49">
        <v>95995</v>
      </c>
      <c r="B5718" s="48" t="s">
        <v>6145</v>
      </c>
      <c r="C5718" s="48" t="s">
        <v>28764</v>
      </c>
      <c r="D5718" s="51">
        <v>1556.28</v>
      </c>
    </row>
    <row r="5719" spans="1:4" ht="13.5">
      <c r="A5719" s="49">
        <v>95996</v>
      </c>
      <c r="B5719" s="48" t="s">
        <v>6146</v>
      </c>
      <c r="C5719" s="48" t="s">
        <v>28764</v>
      </c>
      <c r="D5719" s="51">
        <v>1347.21</v>
      </c>
    </row>
    <row r="5720" spans="1:4" ht="13.5">
      <c r="A5720" s="49">
        <v>96001</v>
      </c>
      <c r="B5720" s="48" t="s">
        <v>6147</v>
      </c>
      <c r="C5720" s="48" t="s">
        <v>26764</v>
      </c>
      <c r="D5720" s="50">
        <v>7.99</v>
      </c>
    </row>
    <row r="5721" spans="1:4" ht="13.5">
      <c r="A5721" s="49">
        <v>96393</v>
      </c>
      <c r="B5721" s="48" t="s">
        <v>19746</v>
      </c>
      <c r="C5721" s="48" t="s">
        <v>28764</v>
      </c>
      <c r="D5721" s="50">
        <v>147.5</v>
      </c>
    </row>
    <row r="5722" spans="1:4" ht="13.5">
      <c r="A5722" s="49">
        <v>96394</v>
      </c>
      <c r="B5722" s="48" t="s">
        <v>19747</v>
      </c>
      <c r="C5722" s="48" t="s">
        <v>28764</v>
      </c>
      <c r="D5722" s="50">
        <v>192.88</v>
      </c>
    </row>
    <row r="5723" spans="1:4" ht="13.5">
      <c r="A5723" s="49">
        <v>96395</v>
      </c>
      <c r="B5723" s="48" t="s">
        <v>19748</v>
      </c>
      <c r="C5723" s="48" t="s">
        <v>28764</v>
      </c>
      <c r="D5723" s="50">
        <v>256.97000000000003</v>
      </c>
    </row>
    <row r="5724" spans="1:4" ht="13.5">
      <c r="A5724" s="49">
        <v>100624</v>
      </c>
      <c r="B5724" s="48" t="s">
        <v>21494</v>
      </c>
      <c r="C5724" s="48" t="s">
        <v>28764</v>
      </c>
      <c r="D5724" s="51">
        <v>1004.35</v>
      </c>
    </row>
    <row r="5725" spans="1:4" ht="13.5">
      <c r="A5725" s="49">
        <v>100625</v>
      </c>
      <c r="B5725" s="48" t="s">
        <v>21495</v>
      </c>
      <c r="C5725" s="48" t="s">
        <v>28764</v>
      </c>
      <c r="D5725" s="50">
        <v>960.41</v>
      </c>
    </row>
    <row r="5726" spans="1:4" ht="13.5">
      <c r="A5726" s="49">
        <v>101020</v>
      </c>
      <c r="B5726" s="48" t="s">
        <v>19749</v>
      </c>
      <c r="C5726" s="48" t="s">
        <v>6005</v>
      </c>
      <c r="D5726" s="50">
        <v>410.34</v>
      </c>
    </row>
    <row r="5727" spans="1:4" ht="13.5">
      <c r="A5727" s="49">
        <v>101021</v>
      </c>
      <c r="B5727" s="48" t="s">
        <v>19750</v>
      </c>
      <c r="C5727" s="48" t="s">
        <v>6005</v>
      </c>
      <c r="D5727" s="50">
        <v>442.04</v>
      </c>
    </row>
    <row r="5728" spans="1:4" ht="13.5">
      <c r="A5728" s="49">
        <v>101022</v>
      </c>
      <c r="B5728" s="48" t="s">
        <v>19751</v>
      </c>
      <c r="C5728" s="48" t="s">
        <v>6005</v>
      </c>
      <c r="D5728" s="50">
        <v>381.49</v>
      </c>
    </row>
    <row r="5729" spans="1:4" ht="13.5">
      <c r="A5729" s="49">
        <v>101023</v>
      </c>
      <c r="B5729" s="48" t="s">
        <v>19752</v>
      </c>
      <c r="C5729" s="48" t="s">
        <v>6005</v>
      </c>
      <c r="D5729" s="50">
        <v>413.2</v>
      </c>
    </row>
    <row r="5730" spans="1:4" ht="13.5">
      <c r="A5730" s="49">
        <v>101024</v>
      </c>
      <c r="B5730" s="48" t="s">
        <v>19753</v>
      </c>
      <c r="C5730" s="48" t="s">
        <v>6005</v>
      </c>
      <c r="D5730" s="50">
        <v>387.8</v>
      </c>
    </row>
    <row r="5731" spans="1:4" ht="13.5">
      <c r="A5731" s="49">
        <v>101025</v>
      </c>
      <c r="B5731" s="48" t="s">
        <v>19754</v>
      </c>
      <c r="C5731" s="48" t="s">
        <v>6005</v>
      </c>
      <c r="D5731" s="50">
        <v>419.5</v>
      </c>
    </row>
    <row r="5732" spans="1:4" ht="13.5">
      <c r="A5732" s="49">
        <v>101026</v>
      </c>
      <c r="B5732" s="48" t="s">
        <v>19755</v>
      </c>
      <c r="C5732" s="48" t="s">
        <v>6005</v>
      </c>
      <c r="D5732" s="50">
        <v>372.12</v>
      </c>
    </row>
    <row r="5733" spans="1:4" ht="13.5">
      <c r="A5733" s="49">
        <v>101027</v>
      </c>
      <c r="B5733" s="48" t="s">
        <v>19756</v>
      </c>
      <c r="C5733" s="48" t="s">
        <v>6005</v>
      </c>
      <c r="D5733" s="50">
        <v>382.32</v>
      </c>
    </row>
    <row r="5734" spans="1:4" ht="13.5">
      <c r="A5734" s="49">
        <v>88411</v>
      </c>
      <c r="B5734" s="48" t="s">
        <v>6148</v>
      </c>
      <c r="C5734" s="48" t="s">
        <v>26764</v>
      </c>
      <c r="D5734" s="50">
        <v>3.08</v>
      </c>
    </row>
    <row r="5735" spans="1:4" ht="13.5">
      <c r="A5735" s="49">
        <v>88412</v>
      </c>
      <c r="B5735" s="48" t="s">
        <v>6149</v>
      </c>
      <c r="C5735" s="48" t="s">
        <v>26764</v>
      </c>
      <c r="D5735" s="50">
        <v>2.39</v>
      </c>
    </row>
    <row r="5736" spans="1:4" ht="13.5">
      <c r="A5736" s="49">
        <v>88413</v>
      </c>
      <c r="B5736" s="48" t="s">
        <v>6150</v>
      </c>
      <c r="C5736" s="48" t="s">
        <v>26764</v>
      </c>
      <c r="D5736" s="50">
        <v>4.46</v>
      </c>
    </row>
    <row r="5737" spans="1:4" ht="13.5">
      <c r="A5737" s="49">
        <v>88414</v>
      </c>
      <c r="B5737" s="48" t="s">
        <v>6151</v>
      </c>
      <c r="C5737" s="48" t="s">
        <v>26764</v>
      </c>
      <c r="D5737" s="50">
        <v>4.9000000000000004</v>
      </c>
    </row>
    <row r="5738" spans="1:4" ht="13.5">
      <c r="A5738" s="49">
        <v>88415</v>
      </c>
      <c r="B5738" s="48" t="s">
        <v>6152</v>
      </c>
      <c r="C5738" s="48" t="s">
        <v>26764</v>
      </c>
      <c r="D5738" s="50">
        <v>3.3</v>
      </c>
    </row>
    <row r="5739" spans="1:4" ht="13.5">
      <c r="A5739" s="49">
        <v>88416</v>
      </c>
      <c r="B5739" s="48" t="s">
        <v>6153</v>
      </c>
      <c r="C5739" s="48" t="s">
        <v>26764</v>
      </c>
      <c r="D5739" s="50">
        <v>15</v>
      </c>
    </row>
    <row r="5740" spans="1:4" ht="13.5">
      <c r="A5740" s="49">
        <v>88417</v>
      </c>
      <c r="B5740" s="48" t="s">
        <v>6154</v>
      </c>
      <c r="C5740" s="48" t="s">
        <v>26764</v>
      </c>
      <c r="D5740" s="50">
        <v>12.56</v>
      </c>
    </row>
    <row r="5741" spans="1:4" ht="13.5">
      <c r="A5741" s="49">
        <v>88420</v>
      </c>
      <c r="B5741" s="48" t="s">
        <v>6155</v>
      </c>
      <c r="C5741" s="48" t="s">
        <v>26764</v>
      </c>
      <c r="D5741" s="50">
        <v>19.96</v>
      </c>
    </row>
    <row r="5742" spans="1:4" ht="13.5">
      <c r="A5742" s="49">
        <v>88421</v>
      </c>
      <c r="B5742" s="48" t="s">
        <v>6156</v>
      </c>
      <c r="C5742" s="48" t="s">
        <v>26764</v>
      </c>
      <c r="D5742" s="50">
        <v>21.52</v>
      </c>
    </row>
    <row r="5743" spans="1:4" ht="13.5">
      <c r="A5743" s="49">
        <v>88423</v>
      </c>
      <c r="B5743" s="48" t="s">
        <v>6157</v>
      </c>
      <c r="C5743" s="48" t="s">
        <v>26764</v>
      </c>
      <c r="D5743" s="50">
        <v>15.77</v>
      </c>
    </row>
    <row r="5744" spans="1:4" ht="13.5">
      <c r="A5744" s="49">
        <v>88424</v>
      </c>
      <c r="B5744" s="48" t="s">
        <v>6158</v>
      </c>
      <c r="C5744" s="48" t="s">
        <v>26764</v>
      </c>
      <c r="D5744" s="50">
        <v>18.37</v>
      </c>
    </row>
    <row r="5745" spans="1:4" ht="13.5">
      <c r="A5745" s="49">
        <v>88426</v>
      </c>
      <c r="B5745" s="48" t="s">
        <v>6159</v>
      </c>
      <c r="C5745" s="48" t="s">
        <v>26764</v>
      </c>
      <c r="D5745" s="50">
        <v>14.14</v>
      </c>
    </row>
    <row r="5746" spans="1:4" ht="13.5">
      <c r="A5746" s="49">
        <v>88428</v>
      </c>
      <c r="B5746" s="48" t="s">
        <v>6160</v>
      </c>
      <c r="C5746" s="48" t="s">
        <v>26764</v>
      </c>
      <c r="D5746" s="50">
        <v>26.88</v>
      </c>
    </row>
    <row r="5747" spans="1:4" ht="13.5">
      <c r="A5747" s="49">
        <v>88429</v>
      </c>
      <c r="B5747" s="48" t="s">
        <v>6161</v>
      </c>
      <c r="C5747" s="48" t="s">
        <v>26764</v>
      </c>
      <c r="D5747" s="50">
        <v>29.61</v>
      </c>
    </row>
    <row r="5748" spans="1:4" ht="13.5">
      <c r="A5748" s="49">
        <v>88431</v>
      </c>
      <c r="B5748" s="48" t="s">
        <v>6162</v>
      </c>
      <c r="C5748" s="48" t="s">
        <v>26764</v>
      </c>
      <c r="D5748" s="50">
        <v>19.71</v>
      </c>
    </row>
    <row r="5749" spans="1:4" ht="13.5">
      <c r="A5749" s="49">
        <v>88432</v>
      </c>
      <c r="B5749" s="48" t="s">
        <v>6163</v>
      </c>
      <c r="C5749" s="48" t="s">
        <v>26764</v>
      </c>
      <c r="D5749" s="50">
        <v>15.72</v>
      </c>
    </row>
    <row r="5750" spans="1:4" ht="13.5">
      <c r="A5750" s="49">
        <v>88484</v>
      </c>
      <c r="B5750" s="48" t="s">
        <v>6164</v>
      </c>
      <c r="C5750" s="48" t="s">
        <v>26764</v>
      </c>
      <c r="D5750" s="50">
        <v>3.31</v>
      </c>
    </row>
    <row r="5751" spans="1:4" ht="13.5">
      <c r="A5751" s="49">
        <v>88485</v>
      </c>
      <c r="B5751" s="48" t="s">
        <v>6165</v>
      </c>
      <c r="C5751" s="48" t="s">
        <v>26764</v>
      </c>
      <c r="D5751" s="50">
        <v>2.9</v>
      </c>
    </row>
    <row r="5752" spans="1:4" ht="13.5">
      <c r="A5752" s="49">
        <v>88488</v>
      </c>
      <c r="B5752" s="48" t="s">
        <v>6166</v>
      </c>
      <c r="C5752" s="48" t="s">
        <v>26764</v>
      </c>
      <c r="D5752" s="50">
        <v>15.44</v>
      </c>
    </row>
    <row r="5753" spans="1:4" ht="13.5">
      <c r="A5753" s="49">
        <v>88489</v>
      </c>
      <c r="B5753" s="48" t="s">
        <v>6167</v>
      </c>
      <c r="C5753" s="48" t="s">
        <v>26764</v>
      </c>
      <c r="D5753" s="50">
        <v>13.56</v>
      </c>
    </row>
    <row r="5754" spans="1:4" ht="13.5">
      <c r="A5754" s="49">
        <v>88494</v>
      </c>
      <c r="B5754" s="48" t="s">
        <v>6168</v>
      </c>
      <c r="C5754" s="48" t="s">
        <v>26764</v>
      </c>
      <c r="D5754" s="50">
        <v>21.63</v>
      </c>
    </row>
    <row r="5755" spans="1:4" ht="13.5">
      <c r="A5755" s="49">
        <v>88495</v>
      </c>
      <c r="B5755" s="48" t="s">
        <v>6169</v>
      </c>
      <c r="C5755" s="48" t="s">
        <v>26764</v>
      </c>
      <c r="D5755" s="50">
        <v>12.69</v>
      </c>
    </row>
    <row r="5756" spans="1:4" ht="13.5">
      <c r="A5756" s="49">
        <v>88496</v>
      </c>
      <c r="B5756" s="48" t="s">
        <v>6170</v>
      </c>
      <c r="C5756" s="48" t="s">
        <v>26764</v>
      </c>
      <c r="D5756" s="50">
        <v>29.63</v>
      </c>
    </row>
    <row r="5757" spans="1:4" ht="13.5">
      <c r="A5757" s="49">
        <v>88497</v>
      </c>
      <c r="B5757" s="48" t="s">
        <v>6171</v>
      </c>
      <c r="C5757" s="48" t="s">
        <v>26764</v>
      </c>
      <c r="D5757" s="50">
        <v>17.71</v>
      </c>
    </row>
    <row r="5758" spans="1:4" ht="13.5">
      <c r="A5758" s="49">
        <v>95305</v>
      </c>
      <c r="B5758" s="48" t="s">
        <v>6172</v>
      </c>
      <c r="C5758" s="48" t="s">
        <v>26764</v>
      </c>
      <c r="D5758" s="50">
        <v>12.28</v>
      </c>
    </row>
    <row r="5759" spans="1:4" ht="13.5">
      <c r="A5759" s="49">
        <v>95306</v>
      </c>
      <c r="B5759" s="48" t="s">
        <v>6173</v>
      </c>
      <c r="C5759" s="48" t="s">
        <v>26764</v>
      </c>
      <c r="D5759" s="50">
        <v>14.65</v>
      </c>
    </row>
    <row r="5760" spans="1:4" ht="13.5">
      <c r="A5760" s="49">
        <v>95622</v>
      </c>
      <c r="B5760" s="48" t="s">
        <v>6174</v>
      </c>
      <c r="C5760" s="48" t="s">
        <v>26764</v>
      </c>
      <c r="D5760" s="50">
        <v>14.03</v>
      </c>
    </row>
    <row r="5761" spans="1:4" ht="13.5">
      <c r="A5761" s="49">
        <v>95623</v>
      </c>
      <c r="B5761" s="48" t="s">
        <v>6175</v>
      </c>
      <c r="C5761" s="48" t="s">
        <v>26764</v>
      </c>
      <c r="D5761" s="50">
        <v>10.68</v>
      </c>
    </row>
    <row r="5762" spans="1:4" ht="13.5">
      <c r="A5762" s="49">
        <v>95624</v>
      </c>
      <c r="B5762" s="48" t="s">
        <v>6176</v>
      </c>
      <c r="C5762" s="48" t="s">
        <v>26764</v>
      </c>
      <c r="D5762" s="50">
        <v>20.84</v>
      </c>
    </row>
    <row r="5763" spans="1:4" ht="13.5">
      <c r="A5763" s="49">
        <v>95625</v>
      </c>
      <c r="B5763" s="48" t="s">
        <v>6177</v>
      </c>
      <c r="C5763" s="48" t="s">
        <v>26764</v>
      </c>
      <c r="D5763" s="50">
        <v>22.98</v>
      </c>
    </row>
    <row r="5764" spans="1:4" ht="13.5">
      <c r="A5764" s="49">
        <v>95626</v>
      </c>
      <c r="B5764" s="48" t="s">
        <v>6178</v>
      </c>
      <c r="C5764" s="48" t="s">
        <v>26764</v>
      </c>
      <c r="D5764" s="50">
        <v>15.11</v>
      </c>
    </row>
    <row r="5765" spans="1:4" ht="13.5">
      <c r="A5765" s="49">
        <v>96126</v>
      </c>
      <c r="B5765" s="48" t="s">
        <v>6179</v>
      </c>
      <c r="C5765" s="48" t="s">
        <v>26764</v>
      </c>
      <c r="D5765" s="50">
        <v>20.81</v>
      </c>
    </row>
    <row r="5766" spans="1:4" ht="13.5">
      <c r="A5766" s="49">
        <v>96127</v>
      </c>
      <c r="B5766" s="48" t="s">
        <v>6180</v>
      </c>
      <c r="C5766" s="48" t="s">
        <v>26764</v>
      </c>
      <c r="D5766" s="50">
        <v>16.63</v>
      </c>
    </row>
    <row r="5767" spans="1:4" ht="13.5">
      <c r="A5767" s="49">
        <v>96128</v>
      </c>
      <c r="B5767" s="48" t="s">
        <v>6181</v>
      </c>
      <c r="C5767" s="48" t="s">
        <v>26764</v>
      </c>
      <c r="D5767" s="50">
        <v>29.28</v>
      </c>
    </row>
    <row r="5768" spans="1:4" ht="13.5">
      <c r="A5768" s="49">
        <v>96129</v>
      </c>
      <c r="B5768" s="48" t="s">
        <v>6182</v>
      </c>
      <c r="C5768" s="48" t="s">
        <v>26764</v>
      </c>
      <c r="D5768" s="50">
        <v>31.97</v>
      </c>
    </row>
    <row r="5769" spans="1:4" ht="13.5">
      <c r="A5769" s="49">
        <v>96130</v>
      </c>
      <c r="B5769" s="48" t="s">
        <v>6183</v>
      </c>
      <c r="C5769" s="48" t="s">
        <v>26764</v>
      </c>
      <c r="D5769" s="50">
        <v>22.12</v>
      </c>
    </row>
    <row r="5770" spans="1:4" ht="13.5">
      <c r="A5770" s="49">
        <v>96131</v>
      </c>
      <c r="B5770" s="48" t="s">
        <v>6184</v>
      </c>
      <c r="C5770" s="48" t="s">
        <v>26764</v>
      </c>
      <c r="D5770" s="50">
        <v>29.09</v>
      </c>
    </row>
    <row r="5771" spans="1:4" ht="13.5">
      <c r="A5771" s="49">
        <v>96132</v>
      </c>
      <c r="B5771" s="48" t="s">
        <v>6185</v>
      </c>
      <c r="C5771" s="48" t="s">
        <v>26764</v>
      </c>
      <c r="D5771" s="50">
        <v>23.53</v>
      </c>
    </row>
    <row r="5772" spans="1:4" ht="13.5">
      <c r="A5772" s="49">
        <v>96133</v>
      </c>
      <c r="B5772" s="48" t="s">
        <v>6186</v>
      </c>
      <c r="C5772" s="48" t="s">
        <v>26764</v>
      </c>
      <c r="D5772" s="50">
        <v>40.35</v>
      </c>
    </row>
    <row r="5773" spans="1:4" ht="13.5">
      <c r="A5773" s="49">
        <v>96134</v>
      </c>
      <c r="B5773" s="48" t="s">
        <v>6187</v>
      </c>
      <c r="C5773" s="48" t="s">
        <v>26764</v>
      </c>
      <c r="D5773" s="50">
        <v>43.95</v>
      </c>
    </row>
    <row r="5774" spans="1:4" ht="13.5">
      <c r="A5774" s="49">
        <v>96135</v>
      </c>
      <c r="B5774" s="48" t="s">
        <v>6188</v>
      </c>
      <c r="C5774" s="48" t="s">
        <v>26764</v>
      </c>
      <c r="D5774" s="50">
        <v>30.87</v>
      </c>
    </row>
    <row r="5775" spans="1:4" ht="13.5">
      <c r="A5775" s="49">
        <v>102193</v>
      </c>
      <c r="B5775" s="48" t="s">
        <v>21496</v>
      </c>
      <c r="C5775" s="48" t="s">
        <v>26764</v>
      </c>
      <c r="D5775" s="50">
        <v>2.0499999999999998</v>
      </c>
    </row>
    <row r="5776" spans="1:4" ht="13.5">
      <c r="A5776" s="49">
        <v>102194</v>
      </c>
      <c r="B5776" s="48" t="s">
        <v>21497</v>
      </c>
      <c r="C5776" s="48" t="s">
        <v>26764</v>
      </c>
      <c r="D5776" s="50">
        <v>7.67</v>
      </c>
    </row>
    <row r="5777" spans="1:4" ht="13.5">
      <c r="A5777" s="49">
        <v>102197</v>
      </c>
      <c r="B5777" s="48" t="s">
        <v>21498</v>
      </c>
      <c r="C5777" s="48" t="s">
        <v>26764</v>
      </c>
      <c r="D5777" s="50">
        <v>31.3</v>
      </c>
    </row>
    <row r="5778" spans="1:4" ht="13.5">
      <c r="A5778" s="49">
        <v>102200</v>
      </c>
      <c r="B5778" s="48" t="s">
        <v>21499</v>
      </c>
      <c r="C5778" s="48" t="s">
        <v>26764</v>
      </c>
      <c r="D5778" s="50">
        <v>23.01</v>
      </c>
    </row>
    <row r="5779" spans="1:4" ht="13.5">
      <c r="A5779" s="49">
        <v>102202</v>
      </c>
      <c r="B5779" s="48" t="s">
        <v>21500</v>
      </c>
      <c r="C5779" s="48" t="s">
        <v>26764</v>
      </c>
      <c r="D5779" s="50">
        <v>62.26</v>
      </c>
    </row>
    <row r="5780" spans="1:4" ht="13.5">
      <c r="A5780" s="49">
        <v>102203</v>
      </c>
      <c r="B5780" s="48" t="s">
        <v>21501</v>
      </c>
      <c r="C5780" s="48" t="s">
        <v>26764</v>
      </c>
      <c r="D5780" s="50">
        <v>8.9</v>
      </c>
    </row>
    <row r="5781" spans="1:4" ht="13.5">
      <c r="A5781" s="49">
        <v>102204</v>
      </c>
      <c r="B5781" s="48" t="s">
        <v>21502</v>
      </c>
      <c r="C5781" s="48" t="s">
        <v>26764</v>
      </c>
      <c r="D5781" s="50">
        <v>9.15</v>
      </c>
    </row>
    <row r="5782" spans="1:4" ht="13.5">
      <c r="A5782" s="49">
        <v>102205</v>
      </c>
      <c r="B5782" s="48" t="s">
        <v>21503</v>
      </c>
      <c r="C5782" s="48" t="s">
        <v>26764</v>
      </c>
      <c r="D5782" s="50">
        <v>8.3699999999999992</v>
      </c>
    </row>
    <row r="5783" spans="1:4" ht="13.5">
      <c r="A5783" s="49">
        <v>102207</v>
      </c>
      <c r="B5783" s="48" t="s">
        <v>21504</v>
      </c>
      <c r="C5783" s="48" t="s">
        <v>26764</v>
      </c>
      <c r="D5783" s="50">
        <v>7.75</v>
      </c>
    </row>
    <row r="5784" spans="1:4" ht="13.5">
      <c r="A5784" s="49">
        <v>102208</v>
      </c>
      <c r="B5784" s="48" t="s">
        <v>21505</v>
      </c>
      <c r="C5784" s="48" t="s">
        <v>26764</v>
      </c>
      <c r="D5784" s="50">
        <v>7.41</v>
      </c>
    </row>
    <row r="5785" spans="1:4" ht="13.5">
      <c r="A5785" s="49">
        <v>102209</v>
      </c>
      <c r="B5785" s="48" t="s">
        <v>21506</v>
      </c>
      <c r="C5785" s="48" t="s">
        <v>26764</v>
      </c>
      <c r="D5785" s="50">
        <v>7.64</v>
      </c>
    </row>
    <row r="5786" spans="1:4" ht="13.5">
      <c r="A5786" s="49">
        <v>102210</v>
      </c>
      <c r="B5786" s="48" t="s">
        <v>21507</v>
      </c>
      <c r="C5786" s="48" t="s">
        <v>26764</v>
      </c>
      <c r="D5786" s="50">
        <v>7.28</v>
      </c>
    </row>
    <row r="5787" spans="1:4" ht="13.5">
      <c r="A5787" s="49">
        <v>102213</v>
      </c>
      <c r="B5787" s="48" t="s">
        <v>21508</v>
      </c>
      <c r="C5787" s="48" t="s">
        <v>26764</v>
      </c>
      <c r="D5787" s="50">
        <v>17.809999999999999</v>
      </c>
    </row>
    <row r="5788" spans="1:4" ht="13.5">
      <c r="A5788" s="49">
        <v>102214</v>
      </c>
      <c r="B5788" s="48" t="s">
        <v>21509</v>
      </c>
      <c r="C5788" s="48" t="s">
        <v>26764</v>
      </c>
      <c r="D5788" s="50">
        <v>18.309999999999999</v>
      </c>
    </row>
    <row r="5789" spans="1:4" ht="13.5">
      <c r="A5789" s="49">
        <v>102215</v>
      </c>
      <c r="B5789" s="48" t="s">
        <v>21510</v>
      </c>
      <c r="C5789" s="48" t="s">
        <v>26764</v>
      </c>
      <c r="D5789" s="50">
        <v>16.75</v>
      </c>
    </row>
    <row r="5790" spans="1:4" ht="13.5">
      <c r="A5790" s="49">
        <v>102217</v>
      </c>
      <c r="B5790" s="48" t="s">
        <v>21511</v>
      </c>
      <c r="C5790" s="48" t="s">
        <v>26764</v>
      </c>
      <c r="D5790" s="50">
        <v>15.51</v>
      </c>
    </row>
    <row r="5791" spans="1:4" ht="13.5">
      <c r="A5791" s="49">
        <v>102218</v>
      </c>
      <c r="B5791" s="48" t="s">
        <v>21512</v>
      </c>
      <c r="C5791" s="48" t="s">
        <v>26764</v>
      </c>
      <c r="D5791" s="50">
        <v>14.81</v>
      </c>
    </row>
    <row r="5792" spans="1:4" ht="13.5">
      <c r="A5792" s="49">
        <v>102219</v>
      </c>
      <c r="B5792" s="48" t="s">
        <v>21513</v>
      </c>
      <c r="C5792" s="48" t="s">
        <v>26764</v>
      </c>
      <c r="D5792" s="50">
        <v>15.28</v>
      </c>
    </row>
    <row r="5793" spans="1:4" ht="13.5">
      <c r="A5793" s="49">
        <v>102220</v>
      </c>
      <c r="B5793" s="48" t="s">
        <v>21514</v>
      </c>
      <c r="C5793" s="48" t="s">
        <v>26764</v>
      </c>
      <c r="D5793" s="50">
        <v>14.57</v>
      </c>
    </row>
    <row r="5794" spans="1:4" ht="13.5">
      <c r="A5794" s="49">
        <v>102223</v>
      </c>
      <c r="B5794" s="48" t="s">
        <v>21515</v>
      </c>
      <c r="C5794" s="48" t="s">
        <v>26764</v>
      </c>
      <c r="D5794" s="50">
        <v>26.72</v>
      </c>
    </row>
    <row r="5795" spans="1:4" ht="13.5">
      <c r="A5795" s="49">
        <v>102224</v>
      </c>
      <c r="B5795" s="48" t="s">
        <v>21516</v>
      </c>
      <c r="C5795" s="48" t="s">
        <v>26764</v>
      </c>
      <c r="D5795" s="50">
        <v>27.46</v>
      </c>
    </row>
    <row r="5796" spans="1:4" ht="13.5">
      <c r="A5796" s="49">
        <v>102225</v>
      </c>
      <c r="B5796" s="48" t="s">
        <v>21517</v>
      </c>
      <c r="C5796" s="48" t="s">
        <v>26764</v>
      </c>
      <c r="D5796" s="50">
        <v>25.11</v>
      </c>
    </row>
    <row r="5797" spans="1:4" ht="13.5">
      <c r="A5797" s="49">
        <v>102227</v>
      </c>
      <c r="B5797" s="48" t="s">
        <v>21518</v>
      </c>
      <c r="C5797" s="48" t="s">
        <v>26764</v>
      </c>
      <c r="D5797" s="50">
        <v>23.28</v>
      </c>
    </row>
    <row r="5798" spans="1:4" ht="13.5">
      <c r="A5798" s="49">
        <v>102228</v>
      </c>
      <c r="B5798" s="48" t="s">
        <v>21519</v>
      </c>
      <c r="C5798" s="48" t="s">
        <v>26764</v>
      </c>
      <c r="D5798" s="50">
        <v>22.24</v>
      </c>
    </row>
    <row r="5799" spans="1:4" ht="13.5">
      <c r="A5799" s="49">
        <v>102229</v>
      </c>
      <c r="B5799" s="48" t="s">
        <v>21520</v>
      </c>
      <c r="C5799" s="48" t="s">
        <v>26764</v>
      </c>
      <c r="D5799" s="50">
        <v>22.94</v>
      </c>
    </row>
    <row r="5800" spans="1:4" ht="13.5">
      <c r="A5800" s="49">
        <v>102230</v>
      </c>
      <c r="B5800" s="48" t="s">
        <v>21521</v>
      </c>
      <c r="C5800" s="48" t="s">
        <v>26764</v>
      </c>
      <c r="D5800" s="50">
        <v>21.88</v>
      </c>
    </row>
    <row r="5801" spans="1:4" ht="13.5">
      <c r="A5801" s="49">
        <v>102233</v>
      </c>
      <c r="B5801" s="48" t="s">
        <v>21522</v>
      </c>
      <c r="C5801" s="48" t="s">
        <v>26764</v>
      </c>
      <c r="D5801" s="50">
        <v>9.93</v>
      </c>
    </row>
    <row r="5802" spans="1:4" ht="13.5">
      <c r="A5802" s="49">
        <v>102234</v>
      </c>
      <c r="B5802" s="48" t="s">
        <v>21523</v>
      </c>
      <c r="C5802" s="48" t="s">
        <v>26764</v>
      </c>
      <c r="D5802" s="50">
        <v>19.850000000000001</v>
      </c>
    </row>
    <row r="5803" spans="1:4" ht="13.5">
      <c r="A5803" s="49">
        <v>100716</v>
      </c>
      <c r="B5803" s="48" t="s">
        <v>6189</v>
      </c>
      <c r="C5803" s="48" t="s">
        <v>26764</v>
      </c>
      <c r="D5803" s="50">
        <v>25.3</v>
      </c>
    </row>
    <row r="5804" spans="1:4" ht="13.5">
      <c r="A5804" s="49">
        <v>100717</v>
      </c>
      <c r="B5804" s="48" t="s">
        <v>6190</v>
      </c>
      <c r="C5804" s="48" t="s">
        <v>26764</v>
      </c>
      <c r="D5804" s="50">
        <v>9.2899999999999991</v>
      </c>
    </row>
    <row r="5805" spans="1:4" ht="13.5">
      <c r="A5805" s="49">
        <v>100718</v>
      </c>
      <c r="B5805" s="48" t="s">
        <v>6191</v>
      </c>
      <c r="C5805" s="48" t="s">
        <v>6</v>
      </c>
      <c r="D5805" s="50">
        <v>1.24</v>
      </c>
    </row>
    <row r="5806" spans="1:4" ht="13.5">
      <c r="A5806" s="49">
        <v>100719</v>
      </c>
      <c r="B5806" s="48" t="s">
        <v>21524</v>
      </c>
      <c r="C5806" s="48" t="s">
        <v>26764</v>
      </c>
      <c r="D5806" s="50">
        <v>9.7200000000000006</v>
      </c>
    </row>
    <row r="5807" spans="1:4" ht="13.5">
      <c r="A5807" s="49">
        <v>100720</v>
      </c>
      <c r="B5807" s="48" t="s">
        <v>6192</v>
      </c>
      <c r="C5807" s="48" t="s">
        <v>26764</v>
      </c>
      <c r="D5807" s="50">
        <v>9.8000000000000007</v>
      </c>
    </row>
    <row r="5808" spans="1:4" ht="13.5">
      <c r="A5808" s="49">
        <v>100721</v>
      </c>
      <c r="B5808" s="48" t="s">
        <v>21525</v>
      </c>
      <c r="C5808" s="48" t="s">
        <v>26764</v>
      </c>
      <c r="D5808" s="50">
        <v>22.62</v>
      </c>
    </row>
    <row r="5809" spans="1:4" ht="13.5">
      <c r="A5809" s="49">
        <v>100722</v>
      </c>
      <c r="B5809" s="48" t="s">
        <v>6193</v>
      </c>
      <c r="C5809" s="48" t="s">
        <v>26764</v>
      </c>
      <c r="D5809" s="50">
        <v>22.18</v>
      </c>
    </row>
    <row r="5810" spans="1:4" ht="13.5">
      <c r="A5810" s="49">
        <v>100723</v>
      </c>
      <c r="B5810" s="48" t="s">
        <v>21526</v>
      </c>
      <c r="C5810" s="48" t="s">
        <v>26764</v>
      </c>
      <c r="D5810" s="50">
        <v>10.43</v>
      </c>
    </row>
    <row r="5811" spans="1:4" ht="13.5">
      <c r="A5811" s="49">
        <v>100724</v>
      </c>
      <c r="B5811" s="48" t="s">
        <v>6194</v>
      </c>
      <c r="C5811" s="48" t="s">
        <v>26764</v>
      </c>
      <c r="D5811" s="50">
        <v>12.7</v>
      </c>
    </row>
    <row r="5812" spans="1:4" ht="13.5">
      <c r="A5812" s="49">
        <v>100725</v>
      </c>
      <c r="B5812" s="48" t="s">
        <v>21527</v>
      </c>
      <c r="C5812" s="48" t="s">
        <v>26764</v>
      </c>
      <c r="D5812" s="50">
        <v>22.85</v>
      </c>
    </row>
    <row r="5813" spans="1:4" ht="13.5">
      <c r="A5813" s="49">
        <v>100726</v>
      </c>
      <c r="B5813" s="48" t="s">
        <v>6195</v>
      </c>
      <c r="C5813" s="48" t="s">
        <v>26764</v>
      </c>
      <c r="D5813" s="50">
        <v>24.99</v>
      </c>
    </row>
    <row r="5814" spans="1:4" ht="13.5">
      <c r="A5814" s="49">
        <v>100727</v>
      </c>
      <c r="B5814" s="48" t="s">
        <v>21528</v>
      </c>
      <c r="C5814" s="48" t="s">
        <v>26764</v>
      </c>
      <c r="D5814" s="50">
        <v>24.09</v>
      </c>
    </row>
    <row r="5815" spans="1:4" ht="13.5">
      <c r="A5815" s="49">
        <v>100728</v>
      </c>
      <c r="B5815" s="48" t="s">
        <v>6197</v>
      </c>
      <c r="C5815" s="48" t="s">
        <v>26764</v>
      </c>
      <c r="D5815" s="50">
        <v>21.95</v>
      </c>
    </row>
    <row r="5816" spans="1:4" ht="13.5">
      <c r="A5816" s="49">
        <v>100729</v>
      </c>
      <c r="B5816" s="48" t="s">
        <v>21529</v>
      </c>
      <c r="C5816" s="48" t="s">
        <v>26764</v>
      </c>
      <c r="D5816" s="50">
        <v>18.100000000000001</v>
      </c>
    </row>
    <row r="5817" spans="1:4" ht="13.5">
      <c r="A5817" s="49">
        <v>100730</v>
      </c>
      <c r="B5817" s="48" t="s">
        <v>6198</v>
      </c>
      <c r="C5817" s="48" t="s">
        <v>26764</v>
      </c>
      <c r="D5817" s="50">
        <v>21.53</v>
      </c>
    </row>
    <row r="5818" spans="1:4" ht="13.5">
      <c r="A5818" s="49">
        <v>100733</v>
      </c>
      <c r="B5818" s="48" t="s">
        <v>21530</v>
      </c>
      <c r="C5818" s="48" t="s">
        <v>26764</v>
      </c>
      <c r="D5818" s="50">
        <v>11.79</v>
      </c>
    </row>
    <row r="5819" spans="1:4" ht="13.5">
      <c r="A5819" s="49">
        <v>100734</v>
      </c>
      <c r="B5819" s="48" t="s">
        <v>6199</v>
      </c>
      <c r="C5819" s="48" t="s">
        <v>26764</v>
      </c>
      <c r="D5819" s="50">
        <v>14.83</v>
      </c>
    </row>
    <row r="5820" spans="1:4" ht="13.5">
      <c r="A5820" s="49">
        <v>100735</v>
      </c>
      <c r="B5820" s="48" t="s">
        <v>21531</v>
      </c>
      <c r="C5820" s="48" t="s">
        <v>26764</v>
      </c>
      <c r="D5820" s="50">
        <v>10.130000000000001</v>
      </c>
    </row>
    <row r="5821" spans="1:4" ht="13.5">
      <c r="A5821" s="49">
        <v>100736</v>
      </c>
      <c r="B5821" s="48" t="s">
        <v>6200</v>
      </c>
      <c r="C5821" s="48" t="s">
        <v>26764</v>
      </c>
      <c r="D5821" s="50">
        <v>13.47</v>
      </c>
    </row>
    <row r="5822" spans="1:4" ht="13.5">
      <c r="A5822" s="49">
        <v>100739</v>
      </c>
      <c r="B5822" s="48" t="s">
        <v>21532</v>
      </c>
      <c r="C5822" s="48" t="s">
        <v>26764</v>
      </c>
      <c r="D5822" s="50">
        <v>9.56</v>
      </c>
    </row>
    <row r="5823" spans="1:4" ht="13.5">
      <c r="A5823" s="49">
        <v>100740</v>
      </c>
      <c r="B5823" s="48" t="s">
        <v>6201</v>
      </c>
      <c r="C5823" s="48" t="s">
        <v>26764</v>
      </c>
      <c r="D5823" s="50">
        <v>10.31</v>
      </c>
    </row>
    <row r="5824" spans="1:4" ht="13.5">
      <c r="A5824" s="49">
        <v>100741</v>
      </c>
      <c r="B5824" s="48" t="s">
        <v>21533</v>
      </c>
      <c r="C5824" s="48" t="s">
        <v>26764</v>
      </c>
      <c r="D5824" s="50">
        <v>22.29</v>
      </c>
    </row>
    <row r="5825" spans="1:4" ht="13.5">
      <c r="A5825" s="49">
        <v>100742</v>
      </c>
      <c r="B5825" s="48" t="s">
        <v>6202</v>
      </c>
      <c r="C5825" s="48" t="s">
        <v>26764</v>
      </c>
      <c r="D5825" s="50">
        <v>22.66</v>
      </c>
    </row>
    <row r="5826" spans="1:4" ht="13.5">
      <c r="A5826" s="49">
        <v>100743</v>
      </c>
      <c r="B5826" s="48" t="s">
        <v>21534</v>
      </c>
      <c r="C5826" s="48" t="s">
        <v>26764</v>
      </c>
      <c r="D5826" s="50">
        <v>9.34</v>
      </c>
    </row>
    <row r="5827" spans="1:4" ht="13.5">
      <c r="A5827" s="49">
        <v>100744</v>
      </c>
      <c r="B5827" s="48" t="s">
        <v>6204</v>
      </c>
      <c r="C5827" s="48" t="s">
        <v>26764</v>
      </c>
      <c r="D5827" s="50">
        <v>10.17</v>
      </c>
    </row>
    <row r="5828" spans="1:4" ht="13.5">
      <c r="A5828" s="49">
        <v>100745</v>
      </c>
      <c r="B5828" s="48" t="s">
        <v>21535</v>
      </c>
      <c r="C5828" s="48" t="s">
        <v>26764</v>
      </c>
      <c r="D5828" s="50">
        <v>22.05</v>
      </c>
    </row>
    <row r="5829" spans="1:4" ht="13.5">
      <c r="A5829" s="49">
        <v>100746</v>
      </c>
      <c r="B5829" s="48" t="s">
        <v>6205</v>
      </c>
      <c r="C5829" s="48" t="s">
        <v>26764</v>
      </c>
      <c r="D5829" s="50">
        <v>22.52</v>
      </c>
    </row>
    <row r="5830" spans="1:4" ht="13.5">
      <c r="A5830" s="49">
        <v>100747</v>
      </c>
      <c r="B5830" s="48" t="s">
        <v>21536</v>
      </c>
      <c r="C5830" s="48" t="s">
        <v>26764</v>
      </c>
      <c r="D5830" s="50">
        <v>9.43</v>
      </c>
    </row>
    <row r="5831" spans="1:4" ht="13.5">
      <c r="A5831" s="49">
        <v>100748</v>
      </c>
      <c r="B5831" s="48" t="s">
        <v>6206</v>
      </c>
      <c r="C5831" s="48" t="s">
        <v>26764</v>
      </c>
      <c r="D5831" s="50">
        <v>10.23</v>
      </c>
    </row>
    <row r="5832" spans="1:4" ht="13.5">
      <c r="A5832" s="49">
        <v>100749</v>
      </c>
      <c r="B5832" s="48" t="s">
        <v>21537</v>
      </c>
      <c r="C5832" s="48" t="s">
        <v>26764</v>
      </c>
      <c r="D5832" s="50">
        <v>22.15</v>
      </c>
    </row>
    <row r="5833" spans="1:4" ht="13.5">
      <c r="A5833" s="49">
        <v>100750</v>
      </c>
      <c r="B5833" s="48" t="s">
        <v>6207</v>
      </c>
      <c r="C5833" s="48" t="s">
        <v>26764</v>
      </c>
      <c r="D5833" s="50">
        <v>22.58</v>
      </c>
    </row>
    <row r="5834" spans="1:4" ht="13.5">
      <c r="A5834" s="49">
        <v>100751</v>
      </c>
      <c r="B5834" s="48" t="s">
        <v>21538</v>
      </c>
      <c r="C5834" s="48" t="s">
        <v>26764</v>
      </c>
      <c r="D5834" s="50">
        <v>36.229999999999997</v>
      </c>
    </row>
    <row r="5835" spans="1:4" ht="13.5">
      <c r="A5835" s="49">
        <v>100752</v>
      </c>
      <c r="B5835" s="48" t="s">
        <v>6208</v>
      </c>
      <c r="C5835" s="48" t="s">
        <v>26764</v>
      </c>
      <c r="D5835" s="50">
        <v>43.06</v>
      </c>
    </row>
    <row r="5836" spans="1:4" ht="13.5">
      <c r="A5836" s="49">
        <v>100753</v>
      </c>
      <c r="B5836" s="48" t="s">
        <v>21539</v>
      </c>
      <c r="C5836" s="48" t="s">
        <v>26764</v>
      </c>
      <c r="D5836" s="50">
        <v>20.27</v>
      </c>
    </row>
    <row r="5837" spans="1:4" ht="13.5">
      <c r="A5837" s="49">
        <v>100754</v>
      </c>
      <c r="B5837" s="48" t="s">
        <v>6209</v>
      </c>
      <c r="C5837" s="48" t="s">
        <v>26764</v>
      </c>
      <c r="D5837" s="50">
        <v>26.95</v>
      </c>
    </row>
    <row r="5838" spans="1:4" ht="13.5">
      <c r="A5838" s="49">
        <v>100757</v>
      </c>
      <c r="B5838" s="48" t="s">
        <v>21540</v>
      </c>
      <c r="C5838" s="48" t="s">
        <v>26764</v>
      </c>
      <c r="D5838" s="50">
        <v>44.59</v>
      </c>
    </row>
    <row r="5839" spans="1:4" ht="13.5">
      <c r="A5839" s="49">
        <v>100758</v>
      </c>
      <c r="B5839" s="48" t="s">
        <v>6210</v>
      </c>
      <c r="C5839" s="48" t="s">
        <v>26764</v>
      </c>
      <c r="D5839" s="50">
        <v>45.33</v>
      </c>
    </row>
    <row r="5840" spans="1:4" ht="13.5">
      <c r="A5840" s="49">
        <v>100759</v>
      </c>
      <c r="B5840" s="48" t="s">
        <v>21541</v>
      </c>
      <c r="C5840" s="48" t="s">
        <v>26764</v>
      </c>
      <c r="D5840" s="50">
        <v>44.11</v>
      </c>
    </row>
    <row r="5841" spans="1:4" ht="13.5">
      <c r="A5841" s="49">
        <v>100760</v>
      </c>
      <c r="B5841" s="48" t="s">
        <v>6212</v>
      </c>
      <c r="C5841" s="48" t="s">
        <v>26764</v>
      </c>
      <c r="D5841" s="50">
        <v>45.04</v>
      </c>
    </row>
    <row r="5842" spans="1:4" ht="13.5">
      <c r="A5842" s="49">
        <v>100761</v>
      </c>
      <c r="B5842" s="48" t="s">
        <v>21542</v>
      </c>
      <c r="C5842" s="48" t="s">
        <v>26764</v>
      </c>
      <c r="D5842" s="50">
        <v>44.31</v>
      </c>
    </row>
    <row r="5843" spans="1:4" ht="13.5">
      <c r="A5843" s="49">
        <v>100762</v>
      </c>
      <c r="B5843" s="48" t="s">
        <v>6213</v>
      </c>
      <c r="C5843" s="48" t="s">
        <v>26764</v>
      </c>
      <c r="D5843" s="50">
        <v>45.16</v>
      </c>
    </row>
    <row r="5844" spans="1:4" ht="13.5">
      <c r="A5844" s="49">
        <v>102488</v>
      </c>
      <c r="B5844" s="48" t="s">
        <v>21543</v>
      </c>
      <c r="C5844" s="48" t="s">
        <v>26764</v>
      </c>
      <c r="D5844" s="50">
        <v>3.2</v>
      </c>
    </row>
    <row r="5845" spans="1:4" ht="13.5">
      <c r="A5845" s="49">
        <v>102489</v>
      </c>
      <c r="B5845" s="48" t="s">
        <v>21544</v>
      </c>
      <c r="C5845" s="48" t="s">
        <v>26764</v>
      </c>
      <c r="D5845" s="50">
        <v>24.6</v>
      </c>
    </row>
    <row r="5846" spans="1:4" ht="13.5">
      <c r="A5846" s="49">
        <v>102491</v>
      </c>
      <c r="B5846" s="48" t="s">
        <v>21545</v>
      </c>
      <c r="C5846" s="48" t="s">
        <v>26764</v>
      </c>
      <c r="D5846" s="50">
        <v>17.46</v>
      </c>
    </row>
    <row r="5847" spans="1:4" ht="13.5">
      <c r="A5847" s="49">
        <v>102492</v>
      </c>
      <c r="B5847" s="48" t="s">
        <v>21546</v>
      </c>
      <c r="C5847" s="48" t="s">
        <v>26764</v>
      </c>
      <c r="D5847" s="50">
        <v>20.5</v>
      </c>
    </row>
    <row r="5848" spans="1:4" ht="13.5">
      <c r="A5848" s="49">
        <v>102494</v>
      </c>
      <c r="B5848" s="48" t="s">
        <v>21547</v>
      </c>
      <c r="C5848" s="48" t="s">
        <v>26764</v>
      </c>
      <c r="D5848" s="50">
        <v>56.5</v>
      </c>
    </row>
    <row r="5849" spans="1:4" ht="13.5">
      <c r="A5849" s="49">
        <v>102496</v>
      </c>
      <c r="B5849" s="48" t="s">
        <v>21548</v>
      </c>
      <c r="C5849" s="48" t="s">
        <v>6</v>
      </c>
      <c r="D5849" s="50">
        <v>11.84</v>
      </c>
    </row>
    <row r="5850" spans="1:4" ht="13.5">
      <c r="A5850" s="49">
        <v>102497</v>
      </c>
      <c r="B5850" s="48" t="s">
        <v>21549</v>
      </c>
      <c r="C5850" s="48" t="s">
        <v>6</v>
      </c>
      <c r="D5850" s="50">
        <v>4.24</v>
      </c>
    </row>
    <row r="5851" spans="1:4" ht="13.5">
      <c r="A5851" s="49">
        <v>102498</v>
      </c>
      <c r="B5851" s="48" t="s">
        <v>21550</v>
      </c>
      <c r="C5851" s="48" t="s">
        <v>6</v>
      </c>
      <c r="D5851" s="50">
        <v>1.41</v>
      </c>
    </row>
    <row r="5852" spans="1:4" ht="13.5">
      <c r="A5852" s="49">
        <v>102499</v>
      </c>
      <c r="B5852" s="48" t="s">
        <v>21551</v>
      </c>
      <c r="C5852" s="48" t="s">
        <v>26764</v>
      </c>
      <c r="D5852" s="50">
        <v>2.58</v>
      </c>
    </row>
    <row r="5853" spans="1:4" ht="13.5">
      <c r="A5853" s="49">
        <v>102500</v>
      </c>
      <c r="B5853" s="48" t="s">
        <v>21552</v>
      </c>
      <c r="C5853" s="48" t="s">
        <v>6</v>
      </c>
      <c r="D5853" s="50">
        <v>3.78</v>
      </c>
    </row>
    <row r="5854" spans="1:4" ht="13.5">
      <c r="A5854" s="49">
        <v>102501</v>
      </c>
      <c r="B5854" s="48" t="s">
        <v>21553</v>
      </c>
      <c r="C5854" s="48" t="s">
        <v>26764</v>
      </c>
      <c r="D5854" s="50">
        <v>21.15</v>
      </c>
    </row>
    <row r="5855" spans="1:4" ht="13.5">
      <c r="A5855" s="49">
        <v>102504</v>
      </c>
      <c r="B5855" s="48" t="s">
        <v>21554</v>
      </c>
      <c r="C5855" s="48" t="s">
        <v>6</v>
      </c>
      <c r="D5855" s="50">
        <v>8.75</v>
      </c>
    </row>
    <row r="5856" spans="1:4" ht="13.5">
      <c r="A5856" s="49">
        <v>102505</v>
      </c>
      <c r="B5856" s="48" t="s">
        <v>21555</v>
      </c>
      <c r="C5856" s="48" t="s">
        <v>6</v>
      </c>
      <c r="D5856" s="50">
        <v>9.33</v>
      </c>
    </row>
    <row r="5857" spans="1:4" ht="13.5">
      <c r="A5857" s="49">
        <v>102506</v>
      </c>
      <c r="B5857" s="48" t="s">
        <v>21556</v>
      </c>
      <c r="C5857" s="48" t="s">
        <v>6</v>
      </c>
      <c r="D5857" s="50">
        <v>9.68</v>
      </c>
    </row>
    <row r="5858" spans="1:4" ht="13.5">
      <c r="A5858" s="49">
        <v>102507</v>
      </c>
      <c r="B5858" s="48" t="s">
        <v>21557</v>
      </c>
      <c r="C5858" s="48" t="s">
        <v>6</v>
      </c>
      <c r="D5858" s="50">
        <v>5.64</v>
      </c>
    </row>
    <row r="5859" spans="1:4" ht="13.5">
      <c r="A5859" s="49">
        <v>102508</v>
      </c>
      <c r="B5859" s="48" t="s">
        <v>21558</v>
      </c>
      <c r="C5859" s="48" t="s">
        <v>26764</v>
      </c>
      <c r="D5859" s="50">
        <v>40.090000000000003</v>
      </c>
    </row>
    <row r="5860" spans="1:4" ht="13.5">
      <c r="A5860" s="49">
        <v>102509</v>
      </c>
      <c r="B5860" s="48" t="s">
        <v>21559</v>
      </c>
      <c r="C5860" s="48" t="s">
        <v>26764</v>
      </c>
      <c r="D5860" s="50">
        <v>26.32</v>
      </c>
    </row>
    <row r="5861" spans="1:4" ht="13.5">
      <c r="A5861" s="49">
        <v>102512</v>
      </c>
      <c r="B5861" s="48" t="s">
        <v>21560</v>
      </c>
      <c r="C5861" s="48" t="s">
        <v>6</v>
      </c>
      <c r="D5861" s="50">
        <v>4.4800000000000004</v>
      </c>
    </row>
    <row r="5862" spans="1:4" ht="13.5">
      <c r="A5862" s="49">
        <v>102513</v>
      </c>
      <c r="B5862" s="48" t="s">
        <v>21561</v>
      </c>
      <c r="C5862" s="48" t="s">
        <v>26764</v>
      </c>
      <c r="D5862" s="50">
        <v>40.880000000000003</v>
      </c>
    </row>
    <row r="5863" spans="1:4" ht="13.5">
      <c r="A5863" s="49">
        <v>102520</v>
      </c>
      <c r="B5863" s="48" t="s">
        <v>21562</v>
      </c>
      <c r="C5863" s="48" t="s">
        <v>26764</v>
      </c>
      <c r="D5863" s="50">
        <v>71.36</v>
      </c>
    </row>
    <row r="5864" spans="1:4" ht="13.5">
      <c r="A5864" s="49">
        <v>101749</v>
      </c>
      <c r="B5864" s="48" t="s">
        <v>21563</v>
      </c>
      <c r="C5864" s="48" t="s">
        <v>26764</v>
      </c>
      <c r="D5864" s="50">
        <v>42.12</v>
      </c>
    </row>
    <row r="5865" spans="1:4" ht="13.5">
      <c r="A5865" s="49">
        <v>101750</v>
      </c>
      <c r="B5865" s="48" t="s">
        <v>21564</v>
      </c>
      <c r="C5865" s="48" t="s">
        <v>26764</v>
      </c>
      <c r="D5865" s="50">
        <v>39.93</v>
      </c>
    </row>
    <row r="5866" spans="1:4" ht="13.5">
      <c r="A5866" s="49">
        <v>101729</v>
      </c>
      <c r="B5866" s="48" t="s">
        <v>21565</v>
      </c>
      <c r="C5866" s="48" t="s">
        <v>26764</v>
      </c>
      <c r="D5866" s="50">
        <v>189.87</v>
      </c>
    </row>
    <row r="5867" spans="1:4" ht="13.5">
      <c r="A5867" s="49">
        <v>101746</v>
      </c>
      <c r="B5867" s="48" t="s">
        <v>21566</v>
      </c>
      <c r="C5867" s="48" t="s">
        <v>26764</v>
      </c>
      <c r="D5867" s="50">
        <v>289.38</v>
      </c>
    </row>
    <row r="5868" spans="1:4" ht="13.5">
      <c r="A5868" s="49">
        <v>101751</v>
      </c>
      <c r="B5868" s="48" t="s">
        <v>21567</v>
      </c>
      <c r="C5868" s="48" t="s">
        <v>26764</v>
      </c>
      <c r="D5868" s="50">
        <v>196.5</v>
      </c>
    </row>
    <row r="5869" spans="1:4" ht="13.5">
      <c r="A5869" s="49">
        <v>87246</v>
      </c>
      <c r="B5869" s="48" t="s">
        <v>6214</v>
      </c>
      <c r="C5869" s="48" t="s">
        <v>26764</v>
      </c>
      <c r="D5869" s="50">
        <v>59.33</v>
      </c>
    </row>
    <row r="5870" spans="1:4" ht="13.5">
      <c r="A5870" s="49">
        <v>87247</v>
      </c>
      <c r="B5870" s="48" t="s">
        <v>6215</v>
      </c>
      <c r="C5870" s="48" t="s">
        <v>26764</v>
      </c>
      <c r="D5870" s="50">
        <v>52.12</v>
      </c>
    </row>
    <row r="5871" spans="1:4" ht="13.5">
      <c r="A5871" s="49">
        <v>87248</v>
      </c>
      <c r="B5871" s="48" t="s">
        <v>6216</v>
      </c>
      <c r="C5871" s="48" t="s">
        <v>26764</v>
      </c>
      <c r="D5871" s="50">
        <v>46.25</v>
      </c>
    </row>
    <row r="5872" spans="1:4" ht="13.5">
      <c r="A5872" s="49">
        <v>87249</v>
      </c>
      <c r="B5872" s="48" t="s">
        <v>6217</v>
      </c>
      <c r="C5872" s="48" t="s">
        <v>26764</v>
      </c>
      <c r="D5872" s="50">
        <v>66.11</v>
      </c>
    </row>
    <row r="5873" spans="1:4" ht="13.5">
      <c r="A5873" s="49">
        <v>87250</v>
      </c>
      <c r="B5873" s="48" t="s">
        <v>6218</v>
      </c>
      <c r="C5873" s="48" t="s">
        <v>26764</v>
      </c>
      <c r="D5873" s="50">
        <v>54.72</v>
      </c>
    </row>
    <row r="5874" spans="1:4" ht="13.5">
      <c r="A5874" s="49">
        <v>87251</v>
      </c>
      <c r="B5874" s="48" t="s">
        <v>6219</v>
      </c>
      <c r="C5874" s="48" t="s">
        <v>26764</v>
      </c>
      <c r="D5874" s="50">
        <v>47.3</v>
      </c>
    </row>
    <row r="5875" spans="1:4" ht="13.5">
      <c r="A5875" s="49">
        <v>87255</v>
      </c>
      <c r="B5875" s="48" t="s">
        <v>6220</v>
      </c>
      <c r="C5875" s="48" t="s">
        <v>26764</v>
      </c>
      <c r="D5875" s="50">
        <v>108.55</v>
      </c>
    </row>
    <row r="5876" spans="1:4" ht="13.5">
      <c r="A5876" s="49">
        <v>87256</v>
      </c>
      <c r="B5876" s="48" t="s">
        <v>6221</v>
      </c>
      <c r="C5876" s="48" t="s">
        <v>26764</v>
      </c>
      <c r="D5876" s="50">
        <v>94.73</v>
      </c>
    </row>
    <row r="5877" spans="1:4" ht="13.5">
      <c r="A5877" s="49">
        <v>87257</v>
      </c>
      <c r="B5877" s="48" t="s">
        <v>6222</v>
      </c>
      <c r="C5877" s="48" t="s">
        <v>26764</v>
      </c>
      <c r="D5877" s="50">
        <v>86.02</v>
      </c>
    </row>
    <row r="5878" spans="1:4" ht="13.5">
      <c r="A5878" s="49">
        <v>87258</v>
      </c>
      <c r="B5878" s="48" t="s">
        <v>6223</v>
      </c>
      <c r="C5878" s="48" t="s">
        <v>26764</v>
      </c>
      <c r="D5878" s="50">
        <v>141.61000000000001</v>
      </c>
    </row>
    <row r="5879" spans="1:4" ht="13.5">
      <c r="A5879" s="49">
        <v>87259</v>
      </c>
      <c r="B5879" s="48" t="s">
        <v>6224</v>
      </c>
      <c r="C5879" s="48" t="s">
        <v>26764</v>
      </c>
      <c r="D5879" s="50">
        <v>128.49</v>
      </c>
    </row>
    <row r="5880" spans="1:4" ht="13.5">
      <c r="A5880" s="49">
        <v>87260</v>
      </c>
      <c r="B5880" s="48" t="s">
        <v>6225</v>
      </c>
      <c r="C5880" s="48" t="s">
        <v>26764</v>
      </c>
      <c r="D5880" s="50">
        <v>120.8</v>
      </c>
    </row>
    <row r="5881" spans="1:4" ht="13.5">
      <c r="A5881" s="49">
        <v>87261</v>
      </c>
      <c r="B5881" s="48" t="s">
        <v>6226</v>
      </c>
      <c r="C5881" s="48" t="s">
        <v>26764</v>
      </c>
      <c r="D5881" s="50">
        <v>164.07</v>
      </c>
    </row>
    <row r="5882" spans="1:4" ht="13.5">
      <c r="A5882" s="49">
        <v>87262</v>
      </c>
      <c r="B5882" s="48" t="s">
        <v>6227</v>
      </c>
      <c r="C5882" s="48" t="s">
        <v>26764</v>
      </c>
      <c r="D5882" s="50">
        <v>148.75</v>
      </c>
    </row>
    <row r="5883" spans="1:4" ht="13.5">
      <c r="A5883" s="49">
        <v>87263</v>
      </c>
      <c r="B5883" s="48" t="s">
        <v>6229</v>
      </c>
      <c r="C5883" s="48" t="s">
        <v>26764</v>
      </c>
      <c r="D5883" s="50">
        <v>139.66999999999999</v>
      </c>
    </row>
    <row r="5884" spans="1:4" ht="13.5">
      <c r="A5884" s="49">
        <v>89046</v>
      </c>
      <c r="B5884" s="48" t="s">
        <v>21568</v>
      </c>
      <c r="C5884" s="48" t="s">
        <v>26764</v>
      </c>
      <c r="D5884" s="50">
        <v>51.79</v>
      </c>
    </row>
    <row r="5885" spans="1:4" ht="13.5">
      <c r="A5885" s="49">
        <v>89171</v>
      </c>
      <c r="B5885" s="48" t="s">
        <v>21569</v>
      </c>
      <c r="C5885" s="48" t="s">
        <v>26764</v>
      </c>
      <c r="D5885" s="50">
        <v>48.93</v>
      </c>
    </row>
    <row r="5886" spans="1:4" ht="13.5">
      <c r="A5886" s="49">
        <v>93389</v>
      </c>
      <c r="B5886" s="48" t="s">
        <v>6230</v>
      </c>
      <c r="C5886" s="48" t="s">
        <v>26764</v>
      </c>
      <c r="D5886" s="50">
        <v>53.44</v>
      </c>
    </row>
    <row r="5887" spans="1:4" ht="13.5">
      <c r="A5887" s="49">
        <v>93390</v>
      </c>
      <c r="B5887" s="48" t="s">
        <v>6231</v>
      </c>
      <c r="C5887" s="48" t="s">
        <v>26764</v>
      </c>
      <c r="D5887" s="50">
        <v>46.34</v>
      </c>
    </row>
    <row r="5888" spans="1:4" ht="13.5">
      <c r="A5888" s="49">
        <v>93391</v>
      </c>
      <c r="B5888" s="48" t="s">
        <v>6232</v>
      </c>
      <c r="C5888" s="48" t="s">
        <v>26764</v>
      </c>
      <c r="D5888" s="50">
        <v>40.47</v>
      </c>
    </row>
    <row r="5889" spans="1:4" ht="13.5">
      <c r="A5889" s="49">
        <v>98671</v>
      </c>
      <c r="B5889" s="48" t="s">
        <v>21570</v>
      </c>
      <c r="C5889" s="48" t="s">
        <v>26764</v>
      </c>
      <c r="D5889" s="50">
        <v>209.68</v>
      </c>
    </row>
    <row r="5890" spans="1:4" ht="13.5">
      <c r="A5890" s="49">
        <v>98672</v>
      </c>
      <c r="B5890" s="48" t="s">
        <v>21571</v>
      </c>
      <c r="C5890" s="48" t="s">
        <v>26764</v>
      </c>
      <c r="D5890" s="50">
        <v>375.48</v>
      </c>
    </row>
    <row r="5891" spans="1:4" ht="13.5">
      <c r="A5891" s="49">
        <v>98678</v>
      </c>
      <c r="B5891" s="48" t="s">
        <v>21572</v>
      </c>
      <c r="C5891" s="48" t="s">
        <v>26764</v>
      </c>
      <c r="D5891" s="50">
        <v>397.09</v>
      </c>
    </row>
    <row r="5892" spans="1:4" ht="13.5">
      <c r="A5892" s="49">
        <v>98679</v>
      </c>
      <c r="B5892" s="48" t="s">
        <v>21573</v>
      </c>
      <c r="C5892" s="48" t="s">
        <v>26764</v>
      </c>
      <c r="D5892" s="50">
        <v>29.24</v>
      </c>
    </row>
    <row r="5893" spans="1:4" ht="13.5">
      <c r="A5893" s="49">
        <v>98680</v>
      </c>
      <c r="B5893" s="48" t="s">
        <v>21574</v>
      </c>
      <c r="C5893" s="48" t="s">
        <v>26764</v>
      </c>
      <c r="D5893" s="50">
        <v>36.33</v>
      </c>
    </row>
    <row r="5894" spans="1:4" ht="13.5">
      <c r="A5894" s="49">
        <v>98681</v>
      </c>
      <c r="B5894" s="48" t="s">
        <v>21575</v>
      </c>
      <c r="C5894" s="48" t="s">
        <v>26764</v>
      </c>
      <c r="D5894" s="50">
        <v>27.05</v>
      </c>
    </row>
    <row r="5895" spans="1:4" ht="13.5">
      <c r="A5895" s="49">
        <v>98682</v>
      </c>
      <c r="B5895" s="48" t="s">
        <v>21576</v>
      </c>
      <c r="C5895" s="48" t="s">
        <v>26764</v>
      </c>
      <c r="D5895" s="50">
        <v>34.130000000000003</v>
      </c>
    </row>
    <row r="5896" spans="1:4" ht="13.5">
      <c r="A5896" s="49">
        <v>98685</v>
      </c>
      <c r="B5896" s="48" t="s">
        <v>21577</v>
      </c>
      <c r="C5896" s="48" t="s">
        <v>6</v>
      </c>
      <c r="D5896" s="50">
        <v>39.39</v>
      </c>
    </row>
    <row r="5897" spans="1:4" ht="13.5">
      <c r="A5897" s="49">
        <v>98686</v>
      </c>
      <c r="B5897" s="48" t="s">
        <v>21578</v>
      </c>
      <c r="C5897" s="48" t="s">
        <v>6</v>
      </c>
      <c r="D5897" s="50">
        <v>37.75</v>
      </c>
    </row>
    <row r="5898" spans="1:4" ht="13.5">
      <c r="A5898" s="49">
        <v>98688</v>
      </c>
      <c r="B5898" s="48" t="s">
        <v>21579</v>
      </c>
      <c r="C5898" s="48" t="s">
        <v>6</v>
      </c>
      <c r="D5898" s="50">
        <v>62.64</v>
      </c>
    </row>
    <row r="5899" spans="1:4" ht="13.5">
      <c r="A5899" s="49">
        <v>98689</v>
      </c>
      <c r="B5899" s="48" t="s">
        <v>21580</v>
      </c>
      <c r="C5899" s="48" t="s">
        <v>6</v>
      </c>
      <c r="D5899" s="50">
        <v>58.22</v>
      </c>
    </row>
    <row r="5900" spans="1:4" ht="13.5">
      <c r="A5900" s="49">
        <v>101090</v>
      </c>
      <c r="B5900" s="48" t="s">
        <v>21581</v>
      </c>
      <c r="C5900" s="48" t="s">
        <v>26764</v>
      </c>
      <c r="D5900" s="50">
        <v>186.04</v>
      </c>
    </row>
    <row r="5901" spans="1:4" ht="13.5">
      <c r="A5901" s="49">
        <v>101091</v>
      </c>
      <c r="B5901" s="48" t="s">
        <v>21582</v>
      </c>
      <c r="C5901" s="48" t="s">
        <v>26764</v>
      </c>
      <c r="D5901" s="50">
        <v>120.22</v>
      </c>
    </row>
    <row r="5902" spans="1:4" ht="13.5">
      <c r="A5902" s="49">
        <v>101725</v>
      </c>
      <c r="B5902" s="48" t="s">
        <v>21583</v>
      </c>
      <c r="C5902" s="48" t="s">
        <v>26764</v>
      </c>
      <c r="D5902" s="50">
        <v>241.89</v>
      </c>
    </row>
    <row r="5903" spans="1:4" ht="13.5">
      <c r="A5903" s="49">
        <v>101726</v>
      </c>
      <c r="B5903" s="48" t="s">
        <v>21584</v>
      </c>
      <c r="C5903" s="48" t="s">
        <v>26764</v>
      </c>
      <c r="D5903" s="50">
        <v>157.69</v>
      </c>
    </row>
    <row r="5904" spans="1:4" ht="13.5">
      <c r="A5904" s="49">
        <v>101731</v>
      </c>
      <c r="B5904" s="48" t="s">
        <v>21585</v>
      </c>
      <c r="C5904" s="48" t="s">
        <v>26764</v>
      </c>
      <c r="D5904" s="50">
        <v>281.32</v>
      </c>
    </row>
    <row r="5905" spans="1:4" ht="13.5">
      <c r="A5905" s="49">
        <v>101732</v>
      </c>
      <c r="B5905" s="48" t="s">
        <v>21586</v>
      </c>
      <c r="C5905" s="48" t="s">
        <v>26764</v>
      </c>
      <c r="D5905" s="50">
        <v>83.3</v>
      </c>
    </row>
    <row r="5906" spans="1:4" ht="13.5">
      <c r="A5906" s="49">
        <v>101094</v>
      </c>
      <c r="B5906" s="48" t="s">
        <v>21587</v>
      </c>
      <c r="C5906" s="48" t="s">
        <v>6</v>
      </c>
      <c r="D5906" s="50">
        <v>152.11000000000001</v>
      </c>
    </row>
    <row r="5907" spans="1:4" ht="13.5">
      <c r="A5907" s="49">
        <v>101727</v>
      </c>
      <c r="B5907" s="48" t="s">
        <v>21588</v>
      </c>
      <c r="C5907" s="48" t="s">
        <v>26764</v>
      </c>
      <c r="D5907" s="50">
        <v>180.23</v>
      </c>
    </row>
    <row r="5908" spans="1:4" ht="13.5">
      <c r="A5908" s="49">
        <v>101733</v>
      </c>
      <c r="B5908" s="48" t="s">
        <v>21589</v>
      </c>
      <c r="C5908" s="48" t="s">
        <v>26764</v>
      </c>
      <c r="D5908" s="50">
        <v>245.32</v>
      </c>
    </row>
    <row r="5909" spans="1:4" ht="13.5">
      <c r="A5909" s="49">
        <v>101734</v>
      </c>
      <c r="B5909" s="48" t="s">
        <v>21590</v>
      </c>
      <c r="C5909" s="48" t="s">
        <v>26764</v>
      </c>
      <c r="D5909" s="50">
        <v>372.1</v>
      </c>
    </row>
    <row r="5910" spans="1:4" ht="13.5">
      <c r="A5910" s="49">
        <v>101735</v>
      </c>
      <c r="B5910" s="48" t="s">
        <v>21591</v>
      </c>
      <c r="C5910" s="48" t="s">
        <v>26764</v>
      </c>
      <c r="D5910" s="50">
        <v>381.29</v>
      </c>
    </row>
    <row r="5911" spans="1:4" ht="13.5">
      <c r="A5911" s="49">
        <v>101736</v>
      </c>
      <c r="B5911" s="48" t="s">
        <v>21592</v>
      </c>
      <c r="C5911" s="48" t="s">
        <v>26764</v>
      </c>
      <c r="D5911" s="50">
        <v>98.45</v>
      </c>
    </row>
    <row r="5912" spans="1:4" ht="13.5">
      <c r="A5912" s="49">
        <v>101737</v>
      </c>
      <c r="B5912" s="48" t="s">
        <v>21593</v>
      </c>
      <c r="C5912" s="48" t="s">
        <v>26764</v>
      </c>
      <c r="D5912" s="50">
        <v>116.64</v>
      </c>
    </row>
    <row r="5913" spans="1:4" ht="13.5">
      <c r="A5913" s="49">
        <v>101748</v>
      </c>
      <c r="B5913" s="48" t="s">
        <v>21594</v>
      </c>
      <c r="C5913" s="48" t="s">
        <v>26764</v>
      </c>
      <c r="D5913" s="50">
        <v>3.22</v>
      </c>
    </row>
    <row r="5914" spans="1:4" ht="13.5">
      <c r="A5914" s="49">
        <v>101092</v>
      </c>
      <c r="B5914" s="48" t="s">
        <v>21595</v>
      </c>
      <c r="C5914" s="48" t="s">
        <v>26764</v>
      </c>
      <c r="D5914" s="50">
        <v>219.78</v>
      </c>
    </row>
    <row r="5915" spans="1:4" ht="13.5">
      <c r="A5915" s="49">
        <v>101093</v>
      </c>
      <c r="B5915" s="48" t="s">
        <v>21596</v>
      </c>
      <c r="C5915" s="48" t="s">
        <v>26764</v>
      </c>
      <c r="D5915" s="50">
        <v>385.58</v>
      </c>
    </row>
    <row r="5916" spans="1:4" ht="13.5">
      <c r="A5916" s="49">
        <v>98695</v>
      </c>
      <c r="B5916" s="48" t="s">
        <v>21597</v>
      </c>
      <c r="C5916" s="48" t="s">
        <v>6</v>
      </c>
      <c r="D5916" s="50">
        <v>70.209999999999994</v>
      </c>
    </row>
    <row r="5917" spans="1:4" ht="13.5">
      <c r="A5917" s="49">
        <v>98697</v>
      </c>
      <c r="B5917" s="48" t="s">
        <v>21598</v>
      </c>
      <c r="C5917" s="48" t="s">
        <v>6</v>
      </c>
      <c r="D5917" s="50">
        <v>45.81</v>
      </c>
    </row>
    <row r="5918" spans="1:4" ht="13.5">
      <c r="A5918" s="49">
        <v>101738</v>
      </c>
      <c r="B5918" s="48" t="s">
        <v>21599</v>
      </c>
      <c r="C5918" s="48" t="s">
        <v>6</v>
      </c>
      <c r="D5918" s="50">
        <v>29.41</v>
      </c>
    </row>
    <row r="5919" spans="1:4" ht="13.5">
      <c r="A5919" s="49">
        <v>101739</v>
      </c>
      <c r="B5919" s="48" t="s">
        <v>21600</v>
      </c>
      <c r="C5919" s="48" t="s">
        <v>6</v>
      </c>
      <c r="D5919" s="50">
        <v>32.47</v>
      </c>
    </row>
    <row r="5920" spans="1:4" ht="13.5">
      <c r="A5920" s="49">
        <v>88648</v>
      </c>
      <c r="B5920" s="48" t="s">
        <v>6233</v>
      </c>
      <c r="C5920" s="48" t="s">
        <v>6</v>
      </c>
      <c r="D5920" s="50">
        <v>6.89</v>
      </c>
    </row>
    <row r="5921" spans="1:4" ht="13.5">
      <c r="A5921" s="49">
        <v>88649</v>
      </c>
      <c r="B5921" s="48" t="s">
        <v>6234</v>
      </c>
      <c r="C5921" s="48" t="s">
        <v>6</v>
      </c>
      <c r="D5921" s="50">
        <v>7.86</v>
      </c>
    </row>
    <row r="5922" spans="1:4" ht="13.5">
      <c r="A5922" s="49">
        <v>88650</v>
      </c>
      <c r="B5922" s="48" t="s">
        <v>6235</v>
      </c>
      <c r="C5922" s="48" t="s">
        <v>6</v>
      </c>
      <c r="D5922" s="50">
        <v>15.6</v>
      </c>
    </row>
    <row r="5923" spans="1:4" ht="13.5">
      <c r="A5923" s="49">
        <v>96467</v>
      </c>
      <c r="B5923" s="48" t="s">
        <v>6236</v>
      </c>
      <c r="C5923" s="48" t="s">
        <v>6</v>
      </c>
      <c r="D5923" s="50">
        <v>6.22</v>
      </c>
    </row>
    <row r="5924" spans="1:4" ht="13.5">
      <c r="A5924" s="49">
        <v>101740</v>
      </c>
      <c r="B5924" s="48" t="s">
        <v>21601</v>
      </c>
      <c r="C5924" s="48" t="s">
        <v>6</v>
      </c>
      <c r="D5924" s="50">
        <v>43.75</v>
      </c>
    </row>
    <row r="5925" spans="1:4" ht="13.5">
      <c r="A5925" s="49">
        <v>101741</v>
      </c>
      <c r="B5925" s="48" t="s">
        <v>21602</v>
      </c>
      <c r="C5925" s="48" t="s">
        <v>6</v>
      </c>
      <c r="D5925" s="50">
        <v>20.84</v>
      </c>
    </row>
    <row r="5926" spans="1:4" ht="13.5">
      <c r="A5926" s="49">
        <v>94990</v>
      </c>
      <c r="B5926" s="48" t="s">
        <v>6237</v>
      </c>
      <c r="C5926" s="48" t="s">
        <v>28764</v>
      </c>
      <c r="D5926" s="50">
        <v>645.23</v>
      </c>
    </row>
    <row r="5927" spans="1:4" ht="13.5">
      <c r="A5927" s="49">
        <v>94991</v>
      </c>
      <c r="B5927" s="48" t="s">
        <v>6238</v>
      </c>
      <c r="C5927" s="48" t="s">
        <v>28764</v>
      </c>
      <c r="D5927" s="50">
        <v>545.82000000000005</v>
      </c>
    </row>
    <row r="5928" spans="1:4" ht="13.5">
      <c r="A5928" s="49">
        <v>94992</v>
      </c>
      <c r="B5928" s="48" t="s">
        <v>6239</v>
      </c>
      <c r="C5928" s="48" t="s">
        <v>26764</v>
      </c>
      <c r="D5928" s="50">
        <v>103.44</v>
      </c>
    </row>
    <row r="5929" spans="1:4" ht="13.5">
      <c r="A5929" s="49">
        <v>94993</v>
      </c>
      <c r="B5929" s="48" t="s">
        <v>6240</v>
      </c>
      <c r="C5929" s="48" t="s">
        <v>26764</v>
      </c>
      <c r="D5929" s="50">
        <v>97.48</v>
      </c>
    </row>
    <row r="5930" spans="1:4" ht="13.5">
      <c r="A5930" s="49">
        <v>94994</v>
      </c>
      <c r="B5930" s="48" t="s">
        <v>6241</v>
      </c>
      <c r="C5930" s="48" t="s">
        <v>26764</v>
      </c>
      <c r="D5930" s="50">
        <v>118.13</v>
      </c>
    </row>
    <row r="5931" spans="1:4" ht="13.5">
      <c r="A5931" s="49">
        <v>94995</v>
      </c>
      <c r="B5931" s="48" t="s">
        <v>6242</v>
      </c>
      <c r="C5931" s="48" t="s">
        <v>26764</v>
      </c>
      <c r="D5931" s="50">
        <v>110.19</v>
      </c>
    </row>
    <row r="5932" spans="1:4" ht="13.5">
      <c r="A5932" s="49">
        <v>94996</v>
      </c>
      <c r="B5932" s="48" t="s">
        <v>6243</v>
      </c>
      <c r="C5932" s="48" t="s">
        <v>26764</v>
      </c>
      <c r="D5932" s="50">
        <v>131.13999999999999</v>
      </c>
    </row>
    <row r="5933" spans="1:4" ht="13.5">
      <c r="A5933" s="49">
        <v>94997</v>
      </c>
      <c r="B5933" s="48" t="s">
        <v>6244</v>
      </c>
      <c r="C5933" s="48" t="s">
        <v>26764</v>
      </c>
      <c r="D5933" s="50">
        <v>121.2</v>
      </c>
    </row>
    <row r="5934" spans="1:4" ht="13.5">
      <c r="A5934" s="49">
        <v>94998</v>
      </c>
      <c r="B5934" s="48" t="s">
        <v>6245</v>
      </c>
      <c r="C5934" s="48" t="s">
        <v>26764</v>
      </c>
      <c r="D5934" s="50">
        <v>145.19999999999999</v>
      </c>
    </row>
    <row r="5935" spans="1:4" ht="13.5">
      <c r="A5935" s="49">
        <v>94999</v>
      </c>
      <c r="B5935" s="48" t="s">
        <v>6246</v>
      </c>
      <c r="C5935" s="48" t="s">
        <v>26764</v>
      </c>
      <c r="D5935" s="50">
        <v>133.27000000000001</v>
      </c>
    </row>
    <row r="5936" spans="1:4" ht="13.5">
      <c r="A5936" s="49">
        <v>101747</v>
      </c>
      <c r="B5936" s="48" t="s">
        <v>21603</v>
      </c>
      <c r="C5936" s="48" t="s">
        <v>26764</v>
      </c>
      <c r="D5936" s="50">
        <v>62.24</v>
      </c>
    </row>
    <row r="5937" spans="1:4" ht="13.5">
      <c r="A5937" s="49">
        <v>101743</v>
      </c>
      <c r="B5937" s="48" t="s">
        <v>21604</v>
      </c>
      <c r="C5937" s="48" t="s">
        <v>26764</v>
      </c>
      <c r="D5937" s="50">
        <v>158.97999999999999</v>
      </c>
    </row>
    <row r="5938" spans="1:4" ht="13.5">
      <c r="A5938" s="49">
        <v>101744</v>
      </c>
      <c r="B5938" s="48" t="s">
        <v>21605</v>
      </c>
      <c r="C5938" s="48" t="s">
        <v>26764</v>
      </c>
      <c r="D5938" s="50">
        <v>126.73</v>
      </c>
    </row>
    <row r="5939" spans="1:4" ht="13.5">
      <c r="A5939" s="49">
        <v>101745</v>
      </c>
      <c r="B5939" s="48" t="s">
        <v>21606</v>
      </c>
      <c r="C5939" s="48" t="s">
        <v>26764</v>
      </c>
      <c r="D5939" s="50">
        <v>155.69</v>
      </c>
    </row>
    <row r="5940" spans="1:4" ht="13.5">
      <c r="A5940" s="49">
        <v>87620</v>
      </c>
      <c r="B5940" s="48" t="s">
        <v>21607</v>
      </c>
      <c r="C5940" s="48" t="s">
        <v>26764</v>
      </c>
      <c r="D5940" s="50">
        <v>23.89</v>
      </c>
    </row>
    <row r="5941" spans="1:4" ht="13.5">
      <c r="A5941" s="49">
        <v>87622</v>
      </c>
      <c r="B5941" s="48" t="s">
        <v>21608</v>
      </c>
      <c r="C5941" s="48" t="s">
        <v>26764</v>
      </c>
      <c r="D5941" s="50">
        <v>26.48</v>
      </c>
    </row>
    <row r="5942" spans="1:4" ht="13.5">
      <c r="A5942" s="49">
        <v>87623</v>
      </c>
      <c r="B5942" s="48" t="s">
        <v>21609</v>
      </c>
      <c r="C5942" s="48" t="s">
        <v>26764</v>
      </c>
      <c r="D5942" s="50">
        <v>52.86</v>
      </c>
    </row>
    <row r="5943" spans="1:4" ht="13.5">
      <c r="A5943" s="49">
        <v>87624</v>
      </c>
      <c r="B5943" s="48" t="s">
        <v>21609</v>
      </c>
      <c r="C5943" s="48" t="s">
        <v>26764</v>
      </c>
      <c r="D5943" s="50">
        <v>58.01</v>
      </c>
    </row>
    <row r="5944" spans="1:4" ht="13.5">
      <c r="A5944" s="49">
        <v>87630</v>
      </c>
      <c r="B5944" s="48" t="s">
        <v>21610</v>
      </c>
      <c r="C5944" s="48" t="s">
        <v>26764</v>
      </c>
      <c r="D5944" s="50">
        <v>30.26</v>
      </c>
    </row>
    <row r="5945" spans="1:4" ht="13.5">
      <c r="A5945" s="49">
        <v>87632</v>
      </c>
      <c r="B5945" s="48" t="s">
        <v>21611</v>
      </c>
      <c r="C5945" s="48" t="s">
        <v>26764</v>
      </c>
      <c r="D5945" s="50">
        <v>33.869999999999997</v>
      </c>
    </row>
    <row r="5946" spans="1:4" ht="13.5">
      <c r="A5946" s="49">
        <v>87633</v>
      </c>
      <c r="B5946" s="48" t="s">
        <v>21612</v>
      </c>
      <c r="C5946" s="48" t="s">
        <v>26764</v>
      </c>
      <c r="D5946" s="50">
        <v>70.540000000000006</v>
      </c>
    </row>
    <row r="5947" spans="1:4" ht="13.5">
      <c r="A5947" s="49">
        <v>87634</v>
      </c>
      <c r="B5947" s="48" t="s">
        <v>21613</v>
      </c>
      <c r="C5947" s="48" t="s">
        <v>26764</v>
      </c>
      <c r="D5947" s="50">
        <v>77.7</v>
      </c>
    </row>
    <row r="5948" spans="1:4" ht="13.5">
      <c r="A5948" s="49">
        <v>87640</v>
      </c>
      <c r="B5948" s="48" t="s">
        <v>21614</v>
      </c>
      <c r="C5948" s="48" t="s">
        <v>26764</v>
      </c>
      <c r="D5948" s="50">
        <v>35.5</v>
      </c>
    </row>
    <row r="5949" spans="1:4" ht="13.5">
      <c r="A5949" s="49">
        <v>87642</v>
      </c>
      <c r="B5949" s="48" t="s">
        <v>21615</v>
      </c>
      <c r="C5949" s="48" t="s">
        <v>26764</v>
      </c>
      <c r="D5949" s="50">
        <v>39.93</v>
      </c>
    </row>
    <row r="5950" spans="1:4" ht="13.5">
      <c r="A5950" s="49">
        <v>87643</v>
      </c>
      <c r="B5950" s="48" t="s">
        <v>21616</v>
      </c>
      <c r="C5950" s="48" t="s">
        <v>26764</v>
      </c>
      <c r="D5950" s="50">
        <v>85.02</v>
      </c>
    </row>
    <row r="5951" spans="1:4" ht="13.5">
      <c r="A5951" s="49">
        <v>87644</v>
      </c>
      <c r="B5951" s="48" t="s">
        <v>21617</v>
      </c>
      <c r="C5951" s="48" t="s">
        <v>26764</v>
      </c>
      <c r="D5951" s="50">
        <v>93.83</v>
      </c>
    </row>
    <row r="5952" spans="1:4" ht="13.5">
      <c r="A5952" s="49">
        <v>87680</v>
      </c>
      <c r="B5952" s="48" t="s">
        <v>21618</v>
      </c>
      <c r="C5952" s="48" t="s">
        <v>26764</v>
      </c>
      <c r="D5952" s="50">
        <v>31.71</v>
      </c>
    </row>
    <row r="5953" spans="1:4" ht="13.5">
      <c r="A5953" s="49">
        <v>87682</v>
      </c>
      <c r="B5953" s="48" t="s">
        <v>21619</v>
      </c>
      <c r="C5953" s="48" t="s">
        <v>26764</v>
      </c>
      <c r="D5953" s="50">
        <v>36.14</v>
      </c>
    </row>
    <row r="5954" spans="1:4" ht="13.5">
      <c r="A5954" s="49">
        <v>87683</v>
      </c>
      <c r="B5954" s="48" t="s">
        <v>21620</v>
      </c>
      <c r="C5954" s="48" t="s">
        <v>26764</v>
      </c>
      <c r="D5954" s="50">
        <v>81.23</v>
      </c>
    </row>
    <row r="5955" spans="1:4" ht="13.5">
      <c r="A5955" s="49">
        <v>87684</v>
      </c>
      <c r="B5955" s="48" t="s">
        <v>21621</v>
      </c>
      <c r="C5955" s="48" t="s">
        <v>26764</v>
      </c>
      <c r="D5955" s="50">
        <v>90.04</v>
      </c>
    </row>
    <row r="5956" spans="1:4" ht="13.5">
      <c r="A5956" s="49">
        <v>87690</v>
      </c>
      <c r="B5956" s="48" t="s">
        <v>21622</v>
      </c>
      <c r="C5956" s="48" t="s">
        <v>26764</v>
      </c>
      <c r="D5956" s="50">
        <v>36.340000000000003</v>
      </c>
    </row>
    <row r="5957" spans="1:4" ht="13.5">
      <c r="A5957" s="49">
        <v>87692</v>
      </c>
      <c r="B5957" s="48" t="s">
        <v>21623</v>
      </c>
      <c r="C5957" s="48" t="s">
        <v>26764</v>
      </c>
      <c r="D5957" s="50">
        <v>41.41</v>
      </c>
    </row>
    <row r="5958" spans="1:4" ht="13.5">
      <c r="A5958" s="49">
        <v>87693</v>
      </c>
      <c r="B5958" s="48" t="s">
        <v>21624</v>
      </c>
      <c r="C5958" s="48" t="s">
        <v>26764</v>
      </c>
      <c r="D5958" s="50">
        <v>93.06</v>
      </c>
    </row>
    <row r="5959" spans="1:4" ht="13.5">
      <c r="A5959" s="49">
        <v>87694</v>
      </c>
      <c r="B5959" s="48" t="s">
        <v>21625</v>
      </c>
      <c r="C5959" s="48" t="s">
        <v>26764</v>
      </c>
      <c r="D5959" s="50">
        <v>103.15</v>
      </c>
    </row>
    <row r="5960" spans="1:4" ht="13.5">
      <c r="A5960" s="49">
        <v>87700</v>
      </c>
      <c r="B5960" s="48" t="s">
        <v>21626</v>
      </c>
      <c r="C5960" s="48" t="s">
        <v>26764</v>
      </c>
      <c r="D5960" s="50">
        <v>39.18</v>
      </c>
    </row>
    <row r="5961" spans="1:4" ht="13.5">
      <c r="A5961" s="49">
        <v>87702</v>
      </c>
      <c r="B5961" s="48" t="s">
        <v>21627</v>
      </c>
      <c r="C5961" s="48" t="s">
        <v>26764</v>
      </c>
      <c r="D5961" s="50">
        <v>44.7</v>
      </c>
    </row>
    <row r="5962" spans="1:4" ht="13.5">
      <c r="A5962" s="49">
        <v>87703</v>
      </c>
      <c r="B5962" s="48" t="s">
        <v>21628</v>
      </c>
      <c r="C5962" s="48" t="s">
        <v>26764</v>
      </c>
      <c r="D5962" s="50">
        <v>100.94</v>
      </c>
    </row>
    <row r="5963" spans="1:4" ht="13.5">
      <c r="A5963" s="49">
        <v>87704</v>
      </c>
      <c r="B5963" s="48" t="s">
        <v>21629</v>
      </c>
      <c r="C5963" s="48" t="s">
        <v>26764</v>
      </c>
      <c r="D5963" s="50">
        <v>111.93</v>
      </c>
    </row>
    <row r="5964" spans="1:4" ht="13.5">
      <c r="A5964" s="49">
        <v>87735</v>
      </c>
      <c r="B5964" s="48" t="s">
        <v>21630</v>
      </c>
      <c r="C5964" s="48" t="s">
        <v>26764</v>
      </c>
      <c r="D5964" s="50">
        <v>34.700000000000003</v>
      </c>
    </row>
    <row r="5965" spans="1:4" ht="13.5">
      <c r="A5965" s="49">
        <v>87737</v>
      </c>
      <c r="B5965" s="48" t="s">
        <v>21631</v>
      </c>
      <c r="C5965" s="48" t="s">
        <v>26764</v>
      </c>
      <c r="D5965" s="50">
        <v>37.29</v>
      </c>
    </row>
    <row r="5966" spans="1:4" ht="13.5">
      <c r="A5966" s="49">
        <v>87738</v>
      </c>
      <c r="B5966" s="48" t="s">
        <v>21632</v>
      </c>
      <c r="C5966" s="48" t="s">
        <v>26764</v>
      </c>
      <c r="D5966" s="50">
        <v>63.67</v>
      </c>
    </row>
    <row r="5967" spans="1:4" ht="13.5">
      <c r="A5967" s="49">
        <v>87739</v>
      </c>
      <c r="B5967" s="48" t="s">
        <v>21633</v>
      </c>
      <c r="C5967" s="48" t="s">
        <v>26764</v>
      </c>
      <c r="D5967" s="50">
        <v>68.819999999999993</v>
      </c>
    </row>
    <row r="5968" spans="1:4" ht="13.5">
      <c r="A5968" s="49">
        <v>87745</v>
      </c>
      <c r="B5968" s="48" t="s">
        <v>21634</v>
      </c>
      <c r="C5968" s="48" t="s">
        <v>26764</v>
      </c>
      <c r="D5968" s="50">
        <v>41.09</v>
      </c>
    </row>
    <row r="5969" spans="1:4" ht="13.5">
      <c r="A5969" s="49">
        <v>87747</v>
      </c>
      <c r="B5969" s="48" t="s">
        <v>21635</v>
      </c>
      <c r="C5969" s="48" t="s">
        <v>26764</v>
      </c>
      <c r="D5969" s="50">
        <v>44.7</v>
      </c>
    </row>
    <row r="5970" spans="1:4" ht="13.5">
      <c r="A5970" s="49">
        <v>87748</v>
      </c>
      <c r="B5970" s="48" t="s">
        <v>21636</v>
      </c>
      <c r="C5970" s="48" t="s">
        <v>26764</v>
      </c>
      <c r="D5970" s="50">
        <v>81.37</v>
      </c>
    </row>
    <row r="5971" spans="1:4" ht="13.5">
      <c r="A5971" s="49">
        <v>87749</v>
      </c>
      <c r="B5971" s="48" t="s">
        <v>21637</v>
      </c>
      <c r="C5971" s="48" t="s">
        <v>26764</v>
      </c>
      <c r="D5971" s="50">
        <v>88.53</v>
      </c>
    </row>
    <row r="5972" spans="1:4" ht="13.5">
      <c r="A5972" s="49">
        <v>87755</v>
      </c>
      <c r="B5972" s="48" t="s">
        <v>21638</v>
      </c>
      <c r="C5972" s="48" t="s">
        <v>26764</v>
      </c>
      <c r="D5972" s="50">
        <v>39.33</v>
      </c>
    </row>
    <row r="5973" spans="1:4" ht="13.5">
      <c r="A5973" s="49">
        <v>87757</v>
      </c>
      <c r="B5973" s="48" t="s">
        <v>21639</v>
      </c>
      <c r="C5973" s="48" t="s">
        <v>26764</v>
      </c>
      <c r="D5973" s="50">
        <v>42.94</v>
      </c>
    </row>
    <row r="5974" spans="1:4" ht="13.5">
      <c r="A5974" s="49">
        <v>87758</v>
      </c>
      <c r="B5974" s="48" t="s">
        <v>21640</v>
      </c>
      <c r="C5974" s="48" t="s">
        <v>26764</v>
      </c>
      <c r="D5974" s="50">
        <v>79.61</v>
      </c>
    </row>
    <row r="5975" spans="1:4" ht="13.5">
      <c r="A5975" s="49">
        <v>87759</v>
      </c>
      <c r="B5975" s="48" t="s">
        <v>21641</v>
      </c>
      <c r="C5975" s="48" t="s">
        <v>26764</v>
      </c>
      <c r="D5975" s="50">
        <v>86.77</v>
      </c>
    </row>
    <row r="5976" spans="1:4" ht="13.5">
      <c r="A5976" s="49">
        <v>87765</v>
      </c>
      <c r="B5976" s="48" t="s">
        <v>21642</v>
      </c>
      <c r="C5976" s="48" t="s">
        <v>26764</v>
      </c>
      <c r="D5976" s="50">
        <v>44.6</v>
      </c>
    </row>
    <row r="5977" spans="1:4" ht="13.5">
      <c r="A5977" s="49">
        <v>87767</v>
      </c>
      <c r="B5977" s="48" t="s">
        <v>21643</v>
      </c>
      <c r="C5977" s="48" t="s">
        <v>26764</v>
      </c>
      <c r="D5977" s="50">
        <v>49.03</v>
      </c>
    </row>
    <row r="5978" spans="1:4" ht="13.5">
      <c r="A5978" s="49">
        <v>87768</v>
      </c>
      <c r="B5978" s="48" t="s">
        <v>21644</v>
      </c>
      <c r="C5978" s="48" t="s">
        <v>26764</v>
      </c>
      <c r="D5978" s="50">
        <v>94.12</v>
      </c>
    </row>
    <row r="5979" spans="1:4" ht="13.5">
      <c r="A5979" s="49">
        <v>87769</v>
      </c>
      <c r="B5979" s="48" t="s">
        <v>21645</v>
      </c>
      <c r="C5979" s="48" t="s">
        <v>26764</v>
      </c>
      <c r="D5979" s="50">
        <v>102.93</v>
      </c>
    </row>
    <row r="5980" spans="1:4" ht="13.5">
      <c r="A5980" s="49">
        <v>88470</v>
      </c>
      <c r="B5980" s="48" t="s">
        <v>21646</v>
      </c>
      <c r="C5980" s="48" t="s">
        <v>26764</v>
      </c>
      <c r="D5980" s="50">
        <v>18.61</v>
      </c>
    </row>
    <row r="5981" spans="1:4" ht="13.5">
      <c r="A5981" s="49">
        <v>88471</v>
      </c>
      <c r="B5981" s="48" t="s">
        <v>21647</v>
      </c>
      <c r="C5981" s="48" t="s">
        <v>26764</v>
      </c>
      <c r="D5981" s="50">
        <v>23.38</v>
      </c>
    </row>
    <row r="5982" spans="1:4" ht="13.5">
      <c r="A5982" s="49">
        <v>88472</v>
      </c>
      <c r="B5982" s="48" t="s">
        <v>21648</v>
      </c>
      <c r="C5982" s="48" t="s">
        <v>26764</v>
      </c>
      <c r="D5982" s="50">
        <v>27.15</v>
      </c>
    </row>
    <row r="5983" spans="1:4" ht="13.5">
      <c r="A5983" s="49">
        <v>88476</v>
      </c>
      <c r="B5983" s="48" t="s">
        <v>21649</v>
      </c>
      <c r="C5983" s="48" t="s">
        <v>26764</v>
      </c>
      <c r="D5983" s="50">
        <v>15.88</v>
      </c>
    </row>
    <row r="5984" spans="1:4" ht="13.5">
      <c r="A5984" s="49">
        <v>88477</v>
      </c>
      <c r="B5984" s="48" t="s">
        <v>21650</v>
      </c>
      <c r="C5984" s="48" t="s">
        <v>26764</v>
      </c>
      <c r="D5984" s="50">
        <v>21.9</v>
      </c>
    </row>
    <row r="5985" spans="1:4" ht="13.5">
      <c r="A5985" s="49">
        <v>88478</v>
      </c>
      <c r="B5985" s="48" t="s">
        <v>21651</v>
      </c>
      <c r="C5985" s="48" t="s">
        <v>26764</v>
      </c>
      <c r="D5985" s="50">
        <v>26.87</v>
      </c>
    </row>
    <row r="5986" spans="1:4" ht="13.5">
      <c r="A5986" s="49">
        <v>90930</v>
      </c>
      <c r="B5986" s="48" t="s">
        <v>21652</v>
      </c>
      <c r="C5986" s="48" t="s">
        <v>26764</v>
      </c>
      <c r="D5986" s="50">
        <v>67.86</v>
      </c>
    </row>
    <row r="5987" spans="1:4" ht="13.5">
      <c r="A5987" s="49">
        <v>90932</v>
      </c>
      <c r="B5987" s="48" t="s">
        <v>21653</v>
      </c>
      <c r="C5987" s="48" t="s">
        <v>26764</v>
      </c>
      <c r="D5987" s="50">
        <v>72.930000000000007</v>
      </c>
    </row>
    <row r="5988" spans="1:4" ht="13.5">
      <c r="A5988" s="49">
        <v>90933</v>
      </c>
      <c r="B5988" s="48" t="s">
        <v>21654</v>
      </c>
      <c r="C5988" s="48" t="s">
        <v>26764</v>
      </c>
      <c r="D5988" s="50">
        <v>124.58</v>
      </c>
    </row>
    <row r="5989" spans="1:4" ht="13.5">
      <c r="A5989" s="49">
        <v>90934</v>
      </c>
      <c r="B5989" s="48" t="s">
        <v>21655</v>
      </c>
      <c r="C5989" s="48" t="s">
        <v>26764</v>
      </c>
      <c r="D5989" s="50">
        <v>134.66999999999999</v>
      </c>
    </row>
    <row r="5990" spans="1:4" ht="13.5">
      <c r="A5990" s="49">
        <v>90940</v>
      </c>
      <c r="B5990" s="48" t="s">
        <v>21656</v>
      </c>
      <c r="C5990" s="48" t="s">
        <v>26764</v>
      </c>
      <c r="D5990" s="50">
        <v>71.87</v>
      </c>
    </row>
    <row r="5991" spans="1:4" ht="13.5">
      <c r="A5991" s="49">
        <v>90942</v>
      </c>
      <c r="B5991" s="48" t="s">
        <v>21657</v>
      </c>
      <c r="C5991" s="48" t="s">
        <v>26764</v>
      </c>
      <c r="D5991" s="50">
        <v>77.39</v>
      </c>
    </row>
    <row r="5992" spans="1:4" ht="13.5">
      <c r="A5992" s="49">
        <v>90943</v>
      </c>
      <c r="B5992" s="48" t="s">
        <v>21658</v>
      </c>
      <c r="C5992" s="48" t="s">
        <v>26764</v>
      </c>
      <c r="D5992" s="50">
        <v>133.63</v>
      </c>
    </row>
    <row r="5993" spans="1:4" ht="13.5">
      <c r="A5993" s="49">
        <v>90944</v>
      </c>
      <c r="B5993" s="48" t="s">
        <v>21659</v>
      </c>
      <c r="C5993" s="48" t="s">
        <v>26764</v>
      </c>
      <c r="D5993" s="50">
        <v>144.62</v>
      </c>
    </row>
    <row r="5994" spans="1:4" ht="13.5">
      <c r="A5994" s="49">
        <v>90950</v>
      </c>
      <c r="B5994" s="48" t="s">
        <v>21660</v>
      </c>
      <c r="C5994" s="48" t="s">
        <v>26764</v>
      </c>
      <c r="D5994" s="50">
        <v>79.209999999999994</v>
      </c>
    </row>
    <row r="5995" spans="1:4" ht="13.5">
      <c r="A5995" s="49">
        <v>90952</v>
      </c>
      <c r="B5995" s="48" t="s">
        <v>21661</v>
      </c>
      <c r="C5995" s="48" t="s">
        <v>26764</v>
      </c>
      <c r="D5995" s="50">
        <v>85.56</v>
      </c>
    </row>
    <row r="5996" spans="1:4" ht="13.5">
      <c r="A5996" s="49">
        <v>90953</v>
      </c>
      <c r="B5996" s="48" t="s">
        <v>21662</v>
      </c>
      <c r="C5996" s="48" t="s">
        <v>26764</v>
      </c>
      <c r="D5996" s="50">
        <v>150.22</v>
      </c>
    </row>
    <row r="5997" spans="1:4" ht="13.5">
      <c r="A5997" s="49">
        <v>90954</v>
      </c>
      <c r="B5997" s="48" t="s">
        <v>21663</v>
      </c>
      <c r="C5997" s="48" t="s">
        <v>26764</v>
      </c>
      <c r="D5997" s="50">
        <v>162.85</v>
      </c>
    </row>
    <row r="5998" spans="1:4" ht="13.5">
      <c r="A5998" s="49">
        <v>94438</v>
      </c>
      <c r="B5998" s="48" t="s">
        <v>6248</v>
      </c>
      <c r="C5998" s="48" t="s">
        <v>26764</v>
      </c>
      <c r="D5998" s="50">
        <v>33.880000000000003</v>
      </c>
    </row>
    <row r="5999" spans="1:4" ht="13.5">
      <c r="A5999" s="49">
        <v>94439</v>
      </c>
      <c r="B5999" s="48" t="s">
        <v>26223</v>
      </c>
      <c r="C5999" s="48" t="s">
        <v>26764</v>
      </c>
      <c r="D5999" s="50">
        <v>38.08</v>
      </c>
    </row>
    <row r="6000" spans="1:4" ht="13.5">
      <c r="A6000" s="49">
        <v>94779</v>
      </c>
      <c r="B6000" s="48" t="s">
        <v>6249</v>
      </c>
      <c r="C6000" s="48" t="s">
        <v>26764</v>
      </c>
      <c r="D6000" s="50">
        <v>32.49</v>
      </c>
    </row>
    <row r="6001" spans="1:4" ht="13.5">
      <c r="A6001" s="49">
        <v>94782</v>
      </c>
      <c r="B6001" s="48" t="s">
        <v>26224</v>
      </c>
      <c r="C6001" s="48" t="s">
        <v>26764</v>
      </c>
      <c r="D6001" s="50">
        <v>37.15</v>
      </c>
    </row>
    <row r="6002" spans="1:4" ht="13.5">
      <c r="A6002" s="49">
        <v>102803</v>
      </c>
      <c r="B6002" s="48" t="s">
        <v>21664</v>
      </c>
      <c r="C6002" s="48" t="s">
        <v>26764</v>
      </c>
      <c r="D6002" s="50">
        <v>2.0499999999999998</v>
      </c>
    </row>
    <row r="6003" spans="1:4" ht="13.5">
      <c r="A6003" s="49">
        <v>101742</v>
      </c>
      <c r="B6003" s="48" t="s">
        <v>21665</v>
      </c>
      <c r="C6003" s="48" t="s">
        <v>6</v>
      </c>
      <c r="D6003" s="50">
        <v>53.79</v>
      </c>
    </row>
    <row r="6004" spans="1:4" ht="13.5">
      <c r="A6004" s="49">
        <v>87871</v>
      </c>
      <c r="B6004" s="48" t="s">
        <v>6251</v>
      </c>
      <c r="C6004" s="48" t="s">
        <v>26764</v>
      </c>
      <c r="D6004" s="50">
        <v>11.74</v>
      </c>
    </row>
    <row r="6005" spans="1:4" ht="13.5">
      <c r="A6005" s="49">
        <v>87872</v>
      </c>
      <c r="B6005" s="48" t="s">
        <v>6252</v>
      </c>
      <c r="C6005" s="48" t="s">
        <v>26764</v>
      </c>
      <c r="D6005" s="50">
        <v>11.15</v>
      </c>
    </row>
    <row r="6006" spans="1:4" ht="13.5">
      <c r="A6006" s="49">
        <v>87873</v>
      </c>
      <c r="B6006" s="48" t="s">
        <v>6253</v>
      </c>
      <c r="C6006" s="48" t="s">
        <v>26764</v>
      </c>
      <c r="D6006" s="50">
        <v>5.4</v>
      </c>
    </row>
    <row r="6007" spans="1:4" ht="13.5">
      <c r="A6007" s="49">
        <v>87874</v>
      </c>
      <c r="B6007" s="48" t="s">
        <v>6254</v>
      </c>
      <c r="C6007" s="48" t="s">
        <v>26764</v>
      </c>
      <c r="D6007" s="50">
        <v>5.28</v>
      </c>
    </row>
    <row r="6008" spans="1:4" ht="13.5">
      <c r="A6008" s="49">
        <v>87876</v>
      </c>
      <c r="B6008" s="48" t="s">
        <v>6256</v>
      </c>
      <c r="C6008" s="48" t="s">
        <v>26764</v>
      </c>
      <c r="D6008" s="50">
        <v>6.85</v>
      </c>
    </row>
    <row r="6009" spans="1:4" ht="13.5">
      <c r="A6009" s="49">
        <v>87877</v>
      </c>
      <c r="B6009" s="48" t="s">
        <v>6257</v>
      </c>
      <c r="C6009" s="48" t="s">
        <v>26764</v>
      </c>
      <c r="D6009" s="50">
        <v>6.56</v>
      </c>
    </row>
    <row r="6010" spans="1:4" ht="13.5">
      <c r="A6010" s="49">
        <v>87878</v>
      </c>
      <c r="B6010" s="48" t="s">
        <v>6258</v>
      </c>
      <c r="C6010" s="48" t="s">
        <v>26764</v>
      </c>
      <c r="D6010" s="50">
        <v>3.98</v>
      </c>
    </row>
    <row r="6011" spans="1:4" ht="13.5">
      <c r="A6011" s="49">
        <v>87879</v>
      </c>
      <c r="B6011" s="48" t="s">
        <v>6259</v>
      </c>
      <c r="C6011" s="48" t="s">
        <v>26764</v>
      </c>
      <c r="D6011" s="50">
        <v>3.58</v>
      </c>
    </row>
    <row r="6012" spans="1:4" ht="13.5">
      <c r="A6012" s="49">
        <v>87881</v>
      </c>
      <c r="B6012" s="48" t="s">
        <v>6260</v>
      </c>
      <c r="C6012" s="48" t="s">
        <v>26764</v>
      </c>
      <c r="D6012" s="50">
        <v>5.28</v>
      </c>
    </row>
    <row r="6013" spans="1:4" ht="13.5">
      <c r="A6013" s="49">
        <v>87882</v>
      </c>
      <c r="B6013" s="48" t="s">
        <v>6261</v>
      </c>
      <c r="C6013" s="48" t="s">
        <v>26764</v>
      </c>
      <c r="D6013" s="50">
        <v>5.16</v>
      </c>
    </row>
    <row r="6014" spans="1:4" ht="13.5">
      <c r="A6014" s="49">
        <v>87884</v>
      </c>
      <c r="B6014" s="48" t="s">
        <v>6262</v>
      </c>
      <c r="C6014" s="48" t="s">
        <v>26764</v>
      </c>
      <c r="D6014" s="50">
        <v>6.73</v>
      </c>
    </row>
    <row r="6015" spans="1:4" ht="13.5">
      <c r="A6015" s="49">
        <v>87885</v>
      </c>
      <c r="B6015" s="48" t="s">
        <v>6263</v>
      </c>
      <c r="C6015" s="48" t="s">
        <v>26764</v>
      </c>
      <c r="D6015" s="50">
        <v>6.44</v>
      </c>
    </row>
    <row r="6016" spans="1:4" ht="13.5">
      <c r="A6016" s="49">
        <v>87886</v>
      </c>
      <c r="B6016" s="48" t="s">
        <v>6264</v>
      </c>
      <c r="C6016" s="48" t="s">
        <v>26764</v>
      </c>
      <c r="D6016" s="50">
        <v>18.309999999999999</v>
      </c>
    </row>
    <row r="6017" spans="1:4" ht="13.5">
      <c r="A6017" s="49">
        <v>87887</v>
      </c>
      <c r="B6017" s="48" t="s">
        <v>6265</v>
      </c>
      <c r="C6017" s="48" t="s">
        <v>26764</v>
      </c>
      <c r="D6017" s="50">
        <v>17.72</v>
      </c>
    </row>
    <row r="6018" spans="1:4" ht="13.5">
      <c r="A6018" s="49">
        <v>87888</v>
      </c>
      <c r="B6018" s="48" t="s">
        <v>6266</v>
      </c>
      <c r="C6018" s="48" t="s">
        <v>26764</v>
      </c>
      <c r="D6018" s="50">
        <v>6.76</v>
      </c>
    </row>
    <row r="6019" spans="1:4" ht="13.5">
      <c r="A6019" s="49">
        <v>87889</v>
      </c>
      <c r="B6019" s="48" t="s">
        <v>6267</v>
      </c>
      <c r="C6019" s="48" t="s">
        <v>26764</v>
      </c>
      <c r="D6019" s="50">
        <v>6.64</v>
      </c>
    </row>
    <row r="6020" spans="1:4" ht="13.5">
      <c r="A6020" s="49">
        <v>87891</v>
      </c>
      <c r="B6020" s="48" t="s">
        <v>6268</v>
      </c>
      <c r="C6020" s="48" t="s">
        <v>26764</v>
      </c>
      <c r="D6020" s="50">
        <v>8.2100000000000009</v>
      </c>
    </row>
    <row r="6021" spans="1:4" ht="13.5">
      <c r="A6021" s="49">
        <v>87892</v>
      </c>
      <c r="B6021" s="48" t="s">
        <v>6269</v>
      </c>
      <c r="C6021" s="48" t="s">
        <v>26764</v>
      </c>
      <c r="D6021" s="50">
        <v>7.92</v>
      </c>
    </row>
    <row r="6022" spans="1:4" ht="13.5">
      <c r="A6022" s="49">
        <v>87893</v>
      </c>
      <c r="B6022" s="48" t="s">
        <v>6270</v>
      </c>
      <c r="C6022" s="48" t="s">
        <v>26764</v>
      </c>
      <c r="D6022" s="50">
        <v>6.35</v>
      </c>
    </row>
    <row r="6023" spans="1:4" ht="13.5">
      <c r="A6023" s="49">
        <v>87894</v>
      </c>
      <c r="B6023" s="48" t="s">
        <v>6271</v>
      </c>
      <c r="C6023" s="48" t="s">
        <v>26764</v>
      </c>
      <c r="D6023" s="50">
        <v>5.95</v>
      </c>
    </row>
    <row r="6024" spans="1:4" ht="13.5">
      <c r="A6024" s="49">
        <v>87896</v>
      </c>
      <c r="B6024" s="48" t="s">
        <v>6272</v>
      </c>
      <c r="C6024" s="48" t="s">
        <v>26764</v>
      </c>
      <c r="D6024" s="50">
        <v>5.74</v>
      </c>
    </row>
    <row r="6025" spans="1:4" ht="13.5">
      <c r="A6025" s="49">
        <v>87897</v>
      </c>
      <c r="B6025" s="48" t="s">
        <v>6273</v>
      </c>
      <c r="C6025" s="48" t="s">
        <v>26764</v>
      </c>
      <c r="D6025" s="50">
        <v>5.34</v>
      </c>
    </row>
    <row r="6026" spans="1:4" ht="13.5">
      <c r="A6026" s="49">
        <v>87899</v>
      </c>
      <c r="B6026" s="48" t="s">
        <v>6274</v>
      </c>
      <c r="C6026" s="48" t="s">
        <v>26764</v>
      </c>
      <c r="D6026" s="50">
        <v>7.96</v>
      </c>
    </row>
    <row r="6027" spans="1:4" ht="13.5">
      <c r="A6027" s="49">
        <v>87900</v>
      </c>
      <c r="B6027" s="48" t="s">
        <v>6275</v>
      </c>
      <c r="C6027" s="48" t="s">
        <v>26764</v>
      </c>
      <c r="D6027" s="50">
        <v>7.84</v>
      </c>
    </row>
    <row r="6028" spans="1:4" ht="13.5">
      <c r="A6028" s="49">
        <v>87902</v>
      </c>
      <c r="B6028" s="48" t="s">
        <v>6276</v>
      </c>
      <c r="C6028" s="48" t="s">
        <v>26764</v>
      </c>
      <c r="D6028" s="50">
        <v>9.41</v>
      </c>
    </row>
    <row r="6029" spans="1:4" ht="13.5">
      <c r="A6029" s="49">
        <v>87903</v>
      </c>
      <c r="B6029" s="48" t="s">
        <v>6277</v>
      </c>
      <c r="C6029" s="48" t="s">
        <v>26764</v>
      </c>
      <c r="D6029" s="50">
        <v>9.1199999999999992</v>
      </c>
    </row>
    <row r="6030" spans="1:4" ht="13.5">
      <c r="A6030" s="49">
        <v>87904</v>
      </c>
      <c r="B6030" s="48" t="s">
        <v>6278</v>
      </c>
      <c r="C6030" s="48" t="s">
        <v>26764</v>
      </c>
      <c r="D6030" s="50">
        <v>8.36</v>
      </c>
    </row>
    <row r="6031" spans="1:4" ht="13.5">
      <c r="A6031" s="49">
        <v>87905</v>
      </c>
      <c r="B6031" s="48" t="s">
        <v>6279</v>
      </c>
      <c r="C6031" s="48" t="s">
        <v>26764</v>
      </c>
      <c r="D6031" s="50">
        <v>7.96</v>
      </c>
    </row>
    <row r="6032" spans="1:4" ht="13.5">
      <c r="A6032" s="49">
        <v>87907</v>
      </c>
      <c r="B6032" s="48" t="s">
        <v>6280</v>
      </c>
      <c r="C6032" s="48" t="s">
        <v>26764</v>
      </c>
      <c r="D6032" s="50">
        <v>7.49</v>
      </c>
    </row>
    <row r="6033" spans="1:4" ht="13.5">
      <c r="A6033" s="49">
        <v>87908</v>
      </c>
      <c r="B6033" s="48" t="s">
        <v>6281</v>
      </c>
      <c r="C6033" s="48" t="s">
        <v>26764</v>
      </c>
      <c r="D6033" s="50">
        <v>7.09</v>
      </c>
    </row>
    <row r="6034" spans="1:4" ht="13.5">
      <c r="A6034" s="49">
        <v>87910</v>
      </c>
      <c r="B6034" s="48" t="s">
        <v>6282</v>
      </c>
      <c r="C6034" s="48" t="s">
        <v>26764</v>
      </c>
      <c r="D6034" s="50">
        <v>17.940000000000001</v>
      </c>
    </row>
    <row r="6035" spans="1:4" ht="13.5">
      <c r="A6035" s="49">
        <v>87911</v>
      </c>
      <c r="B6035" s="48" t="s">
        <v>6283</v>
      </c>
      <c r="C6035" s="48" t="s">
        <v>26764</v>
      </c>
      <c r="D6035" s="50">
        <v>17.350000000000001</v>
      </c>
    </row>
    <row r="6036" spans="1:4" ht="13.5">
      <c r="A6036" s="49">
        <v>87411</v>
      </c>
      <c r="B6036" s="48" t="s">
        <v>6284</v>
      </c>
      <c r="C6036" s="48" t="s">
        <v>26764</v>
      </c>
      <c r="D6036" s="50">
        <v>14.16</v>
      </c>
    </row>
    <row r="6037" spans="1:4" ht="13.5">
      <c r="A6037" s="49">
        <v>87412</v>
      </c>
      <c r="B6037" s="48" t="s">
        <v>6285</v>
      </c>
      <c r="C6037" s="48" t="s">
        <v>26764</v>
      </c>
      <c r="D6037" s="50">
        <v>19.71</v>
      </c>
    </row>
    <row r="6038" spans="1:4" ht="13.5">
      <c r="A6038" s="49">
        <v>87413</v>
      </c>
      <c r="B6038" s="48" t="s">
        <v>6286</v>
      </c>
      <c r="C6038" s="48" t="s">
        <v>26764</v>
      </c>
      <c r="D6038" s="50">
        <v>22.87</v>
      </c>
    </row>
    <row r="6039" spans="1:4" ht="13.5">
      <c r="A6039" s="49">
        <v>87414</v>
      </c>
      <c r="B6039" s="48" t="s">
        <v>6287</v>
      </c>
      <c r="C6039" s="48" t="s">
        <v>26764</v>
      </c>
      <c r="D6039" s="50">
        <v>21.39</v>
      </c>
    </row>
    <row r="6040" spans="1:4" ht="13.5">
      <c r="A6040" s="49">
        <v>87415</v>
      </c>
      <c r="B6040" s="48" t="s">
        <v>6288</v>
      </c>
      <c r="C6040" s="48" t="s">
        <v>26764</v>
      </c>
      <c r="D6040" s="50">
        <v>26.76</v>
      </c>
    </row>
    <row r="6041" spans="1:4" ht="13.5">
      <c r="A6041" s="49">
        <v>87416</v>
      </c>
      <c r="B6041" s="48" t="s">
        <v>6289</v>
      </c>
      <c r="C6041" s="48" t="s">
        <v>26764</v>
      </c>
      <c r="D6041" s="50">
        <v>30.12</v>
      </c>
    </row>
    <row r="6042" spans="1:4" ht="13.5">
      <c r="A6042" s="49">
        <v>87417</v>
      </c>
      <c r="B6042" s="48" t="s">
        <v>6290</v>
      </c>
      <c r="C6042" s="48" t="s">
        <v>26764</v>
      </c>
      <c r="D6042" s="50">
        <v>14.95</v>
      </c>
    </row>
    <row r="6043" spans="1:4" ht="13.5">
      <c r="A6043" s="49">
        <v>87418</v>
      </c>
      <c r="B6043" s="48" t="s">
        <v>6291</v>
      </c>
      <c r="C6043" s="48" t="s">
        <v>26764</v>
      </c>
      <c r="D6043" s="50">
        <v>15.35</v>
      </c>
    </row>
    <row r="6044" spans="1:4" ht="13.5">
      <c r="A6044" s="49">
        <v>87419</v>
      </c>
      <c r="B6044" s="48" t="s">
        <v>6292</v>
      </c>
      <c r="C6044" s="48" t="s">
        <v>26764</v>
      </c>
      <c r="D6044" s="50">
        <v>16.54</v>
      </c>
    </row>
    <row r="6045" spans="1:4" ht="13.5">
      <c r="A6045" s="49">
        <v>87420</v>
      </c>
      <c r="B6045" s="48" t="s">
        <v>6293</v>
      </c>
      <c r="C6045" s="48" t="s">
        <v>26764</v>
      </c>
      <c r="D6045" s="50">
        <v>22.78</v>
      </c>
    </row>
    <row r="6046" spans="1:4" ht="13.5">
      <c r="A6046" s="49">
        <v>87421</v>
      </c>
      <c r="B6046" s="48" t="s">
        <v>6294</v>
      </c>
      <c r="C6046" s="48" t="s">
        <v>26764</v>
      </c>
      <c r="D6046" s="50">
        <v>23.19</v>
      </c>
    </row>
    <row r="6047" spans="1:4" ht="13.5">
      <c r="A6047" s="49">
        <v>87422</v>
      </c>
      <c r="B6047" s="48" t="s">
        <v>6295</v>
      </c>
      <c r="C6047" s="48" t="s">
        <v>26764</v>
      </c>
      <c r="D6047" s="50">
        <v>24.39</v>
      </c>
    </row>
    <row r="6048" spans="1:4" ht="13.5">
      <c r="A6048" s="49">
        <v>87423</v>
      </c>
      <c r="B6048" s="48" t="s">
        <v>6296</v>
      </c>
      <c r="C6048" s="48" t="s">
        <v>26764</v>
      </c>
      <c r="D6048" s="50">
        <v>29.52</v>
      </c>
    </row>
    <row r="6049" spans="1:4" ht="13.5">
      <c r="A6049" s="49">
        <v>87424</v>
      </c>
      <c r="B6049" s="48" t="s">
        <v>6297</v>
      </c>
      <c r="C6049" s="48" t="s">
        <v>26764</v>
      </c>
      <c r="D6049" s="50">
        <v>30.12</v>
      </c>
    </row>
    <row r="6050" spans="1:4" ht="13.5">
      <c r="A6050" s="49">
        <v>87425</v>
      </c>
      <c r="B6050" s="48" t="s">
        <v>6298</v>
      </c>
      <c r="C6050" s="48" t="s">
        <v>26764</v>
      </c>
      <c r="D6050" s="50">
        <v>31.11</v>
      </c>
    </row>
    <row r="6051" spans="1:4" ht="13.5">
      <c r="A6051" s="49">
        <v>87426</v>
      </c>
      <c r="B6051" s="48" t="s">
        <v>6299</v>
      </c>
      <c r="C6051" s="48" t="s">
        <v>26764</v>
      </c>
      <c r="D6051" s="50">
        <v>34.979999999999997</v>
      </c>
    </row>
    <row r="6052" spans="1:4" ht="13.5">
      <c r="A6052" s="49">
        <v>87427</v>
      </c>
      <c r="B6052" s="48" t="s">
        <v>6300</v>
      </c>
      <c r="C6052" s="48" t="s">
        <v>26764</v>
      </c>
      <c r="D6052" s="50">
        <v>35.58</v>
      </c>
    </row>
    <row r="6053" spans="1:4" ht="13.5">
      <c r="A6053" s="49">
        <v>87428</v>
      </c>
      <c r="B6053" s="48" t="s">
        <v>6301</v>
      </c>
      <c r="C6053" s="48" t="s">
        <v>26764</v>
      </c>
      <c r="D6053" s="50">
        <v>36.57</v>
      </c>
    </row>
    <row r="6054" spans="1:4" ht="13.5">
      <c r="A6054" s="49">
        <v>87429</v>
      </c>
      <c r="B6054" s="48" t="s">
        <v>6302</v>
      </c>
      <c r="C6054" s="48" t="s">
        <v>26764</v>
      </c>
      <c r="D6054" s="50">
        <v>15.62</v>
      </c>
    </row>
    <row r="6055" spans="1:4" ht="13.5">
      <c r="A6055" s="49">
        <v>87430</v>
      </c>
      <c r="B6055" s="48" t="s">
        <v>6303</v>
      </c>
      <c r="C6055" s="48" t="s">
        <v>26764</v>
      </c>
      <c r="D6055" s="50">
        <v>16.02</v>
      </c>
    </row>
    <row r="6056" spans="1:4" ht="13.5">
      <c r="A6056" s="49">
        <v>87431</v>
      </c>
      <c r="B6056" s="48" t="s">
        <v>6304</v>
      </c>
      <c r="C6056" s="48" t="s">
        <v>26764</v>
      </c>
      <c r="D6056" s="50">
        <v>16.22</v>
      </c>
    </row>
    <row r="6057" spans="1:4" ht="13.5">
      <c r="A6057" s="49">
        <v>87432</v>
      </c>
      <c r="B6057" s="48" t="s">
        <v>6305</v>
      </c>
      <c r="C6057" s="48" t="s">
        <v>26764</v>
      </c>
      <c r="D6057" s="50">
        <v>22.57</v>
      </c>
    </row>
    <row r="6058" spans="1:4" ht="13.5">
      <c r="A6058" s="49">
        <v>87433</v>
      </c>
      <c r="B6058" s="48" t="s">
        <v>6306</v>
      </c>
      <c r="C6058" s="48" t="s">
        <v>26764</v>
      </c>
      <c r="D6058" s="50">
        <v>23.38</v>
      </c>
    </row>
    <row r="6059" spans="1:4" ht="13.5">
      <c r="A6059" s="49">
        <v>87434</v>
      </c>
      <c r="B6059" s="48" t="s">
        <v>6307</v>
      </c>
      <c r="C6059" s="48" t="s">
        <v>26764</v>
      </c>
      <c r="D6059" s="50">
        <v>23.96</v>
      </c>
    </row>
    <row r="6060" spans="1:4" ht="13.5">
      <c r="A6060" s="49">
        <v>87435</v>
      </c>
      <c r="B6060" s="48" t="s">
        <v>6308</v>
      </c>
      <c r="C6060" s="48" t="s">
        <v>26764</v>
      </c>
      <c r="D6060" s="50">
        <v>25.16</v>
      </c>
    </row>
    <row r="6061" spans="1:4" ht="13.5">
      <c r="A6061" s="49">
        <v>87436</v>
      </c>
      <c r="B6061" s="48" t="s">
        <v>6309</v>
      </c>
      <c r="C6061" s="48" t="s">
        <v>26764</v>
      </c>
      <c r="D6061" s="50">
        <v>26.55</v>
      </c>
    </row>
    <row r="6062" spans="1:4" ht="13.5">
      <c r="A6062" s="49">
        <v>87437</v>
      </c>
      <c r="B6062" s="48" t="s">
        <v>6310</v>
      </c>
      <c r="C6062" s="48" t="s">
        <v>26764</v>
      </c>
      <c r="D6062" s="50">
        <v>27.54</v>
      </c>
    </row>
    <row r="6063" spans="1:4" ht="13.5">
      <c r="A6063" s="49">
        <v>87438</v>
      </c>
      <c r="B6063" s="48" t="s">
        <v>6311</v>
      </c>
      <c r="C6063" s="48" t="s">
        <v>26764</v>
      </c>
      <c r="D6063" s="50">
        <v>31.04</v>
      </c>
    </row>
    <row r="6064" spans="1:4" ht="13.5">
      <c r="A6064" s="49">
        <v>87439</v>
      </c>
      <c r="B6064" s="48" t="s">
        <v>6312</v>
      </c>
      <c r="C6064" s="48" t="s">
        <v>26764</v>
      </c>
      <c r="D6064" s="50">
        <v>32.81</v>
      </c>
    </row>
    <row r="6065" spans="1:4" ht="13.5">
      <c r="A6065" s="49">
        <v>87440</v>
      </c>
      <c r="B6065" s="48" t="s">
        <v>6313</v>
      </c>
      <c r="C6065" s="48" t="s">
        <v>26764</v>
      </c>
      <c r="D6065" s="50">
        <v>33.619999999999997</v>
      </c>
    </row>
    <row r="6066" spans="1:4" ht="13.5">
      <c r="A6066" s="49">
        <v>87527</v>
      </c>
      <c r="B6066" s="48" t="s">
        <v>6314</v>
      </c>
      <c r="C6066" s="48" t="s">
        <v>26764</v>
      </c>
      <c r="D6066" s="50">
        <v>34.979999999999997</v>
      </c>
    </row>
    <row r="6067" spans="1:4" ht="13.5">
      <c r="A6067" s="49">
        <v>87528</v>
      </c>
      <c r="B6067" s="48" t="s">
        <v>6315</v>
      </c>
      <c r="C6067" s="48" t="s">
        <v>26764</v>
      </c>
      <c r="D6067" s="50">
        <v>38.39</v>
      </c>
    </row>
    <row r="6068" spans="1:4" ht="13.5">
      <c r="A6068" s="49">
        <v>87529</v>
      </c>
      <c r="B6068" s="48" t="s">
        <v>6316</v>
      </c>
      <c r="C6068" s="48" t="s">
        <v>26764</v>
      </c>
      <c r="D6068" s="50">
        <v>31.47</v>
      </c>
    </row>
    <row r="6069" spans="1:4" ht="13.5">
      <c r="A6069" s="49">
        <v>87530</v>
      </c>
      <c r="B6069" s="48" t="s">
        <v>6317</v>
      </c>
      <c r="C6069" s="48" t="s">
        <v>26764</v>
      </c>
      <c r="D6069" s="50">
        <v>34.880000000000003</v>
      </c>
    </row>
    <row r="6070" spans="1:4" ht="13.5">
      <c r="A6070" s="49">
        <v>87531</v>
      </c>
      <c r="B6070" s="48" t="s">
        <v>6318</v>
      </c>
      <c r="C6070" s="48" t="s">
        <v>26764</v>
      </c>
      <c r="D6070" s="50">
        <v>30.23</v>
      </c>
    </row>
    <row r="6071" spans="1:4" ht="13.5">
      <c r="A6071" s="49">
        <v>87532</v>
      </c>
      <c r="B6071" s="48" t="s">
        <v>6319</v>
      </c>
      <c r="C6071" s="48" t="s">
        <v>26764</v>
      </c>
      <c r="D6071" s="50">
        <v>33.64</v>
      </c>
    </row>
    <row r="6072" spans="1:4" ht="13.5">
      <c r="A6072" s="49">
        <v>87535</v>
      </c>
      <c r="B6072" s="48" t="s">
        <v>6320</v>
      </c>
      <c r="C6072" s="48" t="s">
        <v>26764</v>
      </c>
      <c r="D6072" s="50">
        <v>26.73</v>
      </c>
    </row>
    <row r="6073" spans="1:4" ht="13.5">
      <c r="A6073" s="49">
        <v>87536</v>
      </c>
      <c r="B6073" s="48" t="s">
        <v>6321</v>
      </c>
      <c r="C6073" s="48" t="s">
        <v>26764</v>
      </c>
      <c r="D6073" s="50">
        <v>30.14</v>
      </c>
    </row>
    <row r="6074" spans="1:4" ht="13.5">
      <c r="A6074" s="49">
        <v>87537</v>
      </c>
      <c r="B6074" s="48" t="s">
        <v>6322</v>
      </c>
      <c r="C6074" s="48" t="s">
        <v>26764</v>
      </c>
      <c r="D6074" s="50">
        <v>60.71</v>
      </c>
    </row>
    <row r="6075" spans="1:4" ht="13.5">
      <c r="A6075" s="49">
        <v>87538</v>
      </c>
      <c r="B6075" s="48" t="s">
        <v>6323</v>
      </c>
      <c r="C6075" s="48" t="s">
        <v>26764</v>
      </c>
      <c r="D6075" s="50">
        <v>57.67</v>
      </c>
    </row>
    <row r="6076" spans="1:4" ht="13.5">
      <c r="A6076" s="49">
        <v>87539</v>
      </c>
      <c r="B6076" s="48" t="s">
        <v>6324</v>
      </c>
      <c r="C6076" s="48" t="s">
        <v>26764</v>
      </c>
      <c r="D6076" s="50">
        <v>56.59</v>
      </c>
    </row>
    <row r="6077" spans="1:4" ht="13.5">
      <c r="A6077" s="49">
        <v>87541</v>
      </c>
      <c r="B6077" s="48" t="s">
        <v>6325</v>
      </c>
      <c r="C6077" s="48" t="s">
        <v>26764</v>
      </c>
      <c r="D6077" s="50">
        <v>53.57</v>
      </c>
    </row>
    <row r="6078" spans="1:4" ht="13.5">
      <c r="A6078" s="49">
        <v>87543</v>
      </c>
      <c r="B6078" s="48" t="s">
        <v>6326</v>
      </c>
      <c r="C6078" s="48" t="s">
        <v>26764</v>
      </c>
      <c r="D6078" s="50">
        <v>19.28</v>
      </c>
    </row>
    <row r="6079" spans="1:4" ht="13.5">
      <c r="A6079" s="49">
        <v>87545</v>
      </c>
      <c r="B6079" s="48" t="s">
        <v>6327</v>
      </c>
      <c r="C6079" s="48" t="s">
        <v>26764</v>
      </c>
      <c r="D6079" s="50">
        <v>23.99</v>
      </c>
    </row>
    <row r="6080" spans="1:4" ht="13.5">
      <c r="A6080" s="49">
        <v>87546</v>
      </c>
      <c r="B6080" s="48" t="s">
        <v>6328</v>
      </c>
      <c r="C6080" s="48" t="s">
        <v>26764</v>
      </c>
      <c r="D6080" s="50">
        <v>25.92</v>
      </c>
    </row>
    <row r="6081" spans="1:4" ht="13.5">
      <c r="A6081" s="49">
        <v>87547</v>
      </c>
      <c r="B6081" s="48" t="s">
        <v>6329</v>
      </c>
      <c r="C6081" s="48" t="s">
        <v>26764</v>
      </c>
      <c r="D6081" s="50">
        <v>20.5</v>
      </c>
    </row>
    <row r="6082" spans="1:4" ht="13.5">
      <c r="A6082" s="49">
        <v>87548</v>
      </c>
      <c r="B6082" s="48" t="s">
        <v>6330</v>
      </c>
      <c r="C6082" s="48" t="s">
        <v>26764</v>
      </c>
      <c r="D6082" s="50">
        <v>22.43</v>
      </c>
    </row>
    <row r="6083" spans="1:4" ht="13.5">
      <c r="A6083" s="49">
        <v>87549</v>
      </c>
      <c r="B6083" s="48" t="s">
        <v>6331</v>
      </c>
      <c r="C6083" s="48" t="s">
        <v>26764</v>
      </c>
      <c r="D6083" s="50">
        <v>19.239999999999998</v>
      </c>
    </row>
    <row r="6084" spans="1:4" ht="13.5">
      <c r="A6084" s="49">
        <v>87550</v>
      </c>
      <c r="B6084" s="48" t="s">
        <v>6332</v>
      </c>
      <c r="C6084" s="48" t="s">
        <v>26764</v>
      </c>
      <c r="D6084" s="50">
        <v>21.17</v>
      </c>
    </row>
    <row r="6085" spans="1:4" ht="13.5">
      <c r="A6085" s="49">
        <v>87553</v>
      </c>
      <c r="B6085" s="48" t="s">
        <v>6333</v>
      </c>
      <c r="C6085" s="48" t="s">
        <v>26764</v>
      </c>
      <c r="D6085" s="50">
        <v>15.75</v>
      </c>
    </row>
    <row r="6086" spans="1:4" ht="13.5">
      <c r="A6086" s="49">
        <v>87554</v>
      </c>
      <c r="B6086" s="48" t="s">
        <v>6334</v>
      </c>
      <c r="C6086" s="48" t="s">
        <v>26764</v>
      </c>
      <c r="D6086" s="50">
        <v>17.68</v>
      </c>
    </row>
    <row r="6087" spans="1:4" ht="13.5">
      <c r="A6087" s="49">
        <v>87555</v>
      </c>
      <c r="B6087" s="48" t="s">
        <v>6335</v>
      </c>
      <c r="C6087" s="48" t="s">
        <v>26764</v>
      </c>
      <c r="D6087" s="50">
        <v>37.520000000000003</v>
      </c>
    </row>
    <row r="6088" spans="1:4" ht="13.5">
      <c r="A6088" s="49">
        <v>87556</v>
      </c>
      <c r="B6088" s="48" t="s">
        <v>6336</v>
      </c>
      <c r="C6088" s="48" t="s">
        <v>26764</v>
      </c>
      <c r="D6088" s="50">
        <v>34.5</v>
      </c>
    </row>
    <row r="6089" spans="1:4" ht="13.5">
      <c r="A6089" s="49">
        <v>87557</v>
      </c>
      <c r="B6089" s="48" t="s">
        <v>6337</v>
      </c>
      <c r="C6089" s="48" t="s">
        <v>26764</v>
      </c>
      <c r="D6089" s="50">
        <v>33.4</v>
      </c>
    </row>
    <row r="6090" spans="1:4" ht="13.5">
      <c r="A6090" s="49">
        <v>87559</v>
      </c>
      <c r="B6090" s="48" t="s">
        <v>6338</v>
      </c>
      <c r="C6090" s="48" t="s">
        <v>26764</v>
      </c>
      <c r="D6090" s="50">
        <v>30.38</v>
      </c>
    </row>
    <row r="6091" spans="1:4" ht="13.5">
      <c r="A6091" s="49">
        <v>87561</v>
      </c>
      <c r="B6091" s="48" t="s">
        <v>6339</v>
      </c>
      <c r="C6091" s="48" t="s">
        <v>26764</v>
      </c>
      <c r="D6091" s="50">
        <v>33.68</v>
      </c>
    </row>
    <row r="6092" spans="1:4" ht="13.5">
      <c r="A6092" s="49">
        <v>87775</v>
      </c>
      <c r="B6092" s="48" t="s">
        <v>6340</v>
      </c>
      <c r="C6092" s="48" t="s">
        <v>26764</v>
      </c>
      <c r="D6092" s="50">
        <v>52.37</v>
      </c>
    </row>
    <row r="6093" spans="1:4" ht="13.5">
      <c r="A6093" s="49">
        <v>87777</v>
      </c>
      <c r="B6093" s="48" t="s">
        <v>6341</v>
      </c>
      <c r="C6093" s="48" t="s">
        <v>26764</v>
      </c>
      <c r="D6093" s="50">
        <v>55.23</v>
      </c>
    </row>
    <row r="6094" spans="1:4" ht="13.5">
      <c r="A6094" s="49">
        <v>87778</v>
      </c>
      <c r="B6094" s="48" t="s">
        <v>6342</v>
      </c>
      <c r="C6094" s="48" t="s">
        <v>26764</v>
      </c>
      <c r="D6094" s="50">
        <v>71.260000000000005</v>
      </c>
    </row>
    <row r="6095" spans="1:4" ht="13.5">
      <c r="A6095" s="49">
        <v>87779</v>
      </c>
      <c r="B6095" s="48" t="s">
        <v>6343</v>
      </c>
      <c r="C6095" s="48" t="s">
        <v>26764</v>
      </c>
      <c r="D6095" s="50">
        <v>60.55</v>
      </c>
    </row>
    <row r="6096" spans="1:4" ht="13.5">
      <c r="A6096" s="49">
        <v>87781</v>
      </c>
      <c r="B6096" s="48" t="s">
        <v>6344</v>
      </c>
      <c r="C6096" s="48" t="s">
        <v>26764</v>
      </c>
      <c r="D6096" s="50">
        <v>64.37</v>
      </c>
    </row>
    <row r="6097" spans="1:4" ht="13.5">
      <c r="A6097" s="49">
        <v>87783</v>
      </c>
      <c r="B6097" s="48" t="s">
        <v>6345</v>
      </c>
      <c r="C6097" s="48" t="s">
        <v>26764</v>
      </c>
      <c r="D6097" s="50">
        <v>87.78</v>
      </c>
    </row>
    <row r="6098" spans="1:4" ht="13.5">
      <c r="A6098" s="49">
        <v>87784</v>
      </c>
      <c r="B6098" s="48" t="s">
        <v>6346</v>
      </c>
      <c r="C6098" s="48" t="s">
        <v>26764</v>
      </c>
      <c r="D6098" s="50">
        <v>68.72</v>
      </c>
    </row>
    <row r="6099" spans="1:4" ht="13.5">
      <c r="A6099" s="49">
        <v>87786</v>
      </c>
      <c r="B6099" s="48" t="s">
        <v>6347</v>
      </c>
      <c r="C6099" s="48" t="s">
        <v>26764</v>
      </c>
      <c r="D6099" s="50">
        <v>73.510000000000005</v>
      </c>
    </row>
    <row r="6100" spans="1:4" ht="13.5">
      <c r="A6100" s="49">
        <v>87787</v>
      </c>
      <c r="B6100" s="48" t="s">
        <v>6349</v>
      </c>
      <c r="C6100" s="48" t="s">
        <v>26764</v>
      </c>
      <c r="D6100" s="50">
        <v>104.3</v>
      </c>
    </row>
    <row r="6101" spans="1:4" ht="13.5">
      <c r="A6101" s="49">
        <v>87788</v>
      </c>
      <c r="B6101" s="48" t="s">
        <v>6350</v>
      </c>
      <c r="C6101" s="48" t="s">
        <v>26764</v>
      </c>
      <c r="D6101" s="50">
        <v>87.96</v>
      </c>
    </row>
    <row r="6102" spans="1:4" ht="13.5">
      <c r="A6102" s="49">
        <v>87790</v>
      </c>
      <c r="B6102" s="48" t="s">
        <v>6351</v>
      </c>
      <c r="C6102" s="48" t="s">
        <v>26764</v>
      </c>
      <c r="D6102" s="50">
        <v>93.23</v>
      </c>
    </row>
    <row r="6103" spans="1:4" ht="13.5">
      <c r="A6103" s="49">
        <v>87791</v>
      </c>
      <c r="B6103" s="48" t="s">
        <v>6352</v>
      </c>
      <c r="C6103" s="48" t="s">
        <v>26764</v>
      </c>
      <c r="D6103" s="50">
        <v>123.77</v>
      </c>
    </row>
    <row r="6104" spans="1:4" ht="13.5">
      <c r="A6104" s="49">
        <v>87792</v>
      </c>
      <c r="B6104" s="48" t="s">
        <v>6353</v>
      </c>
      <c r="C6104" s="48" t="s">
        <v>26764</v>
      </c>
      <c r="D6104" s="50">
        <v>35.65</v>
      </c>
    </row>
    <row r="6105" spans="1:4" ht="13.5">
      <c r="A6105" s="49">
        <v>87794</v>
      </c>
      <c r="B6105" s="48" t="s">
        <v>6354</v>
      </c>
      <c r="C6105" s="48" t="s">
        <v>26764</v>
      </c>
      <c r="D6105" s="50">
        <v>38.31</v>
      </c>
    </row>
    <row r="6106" spans="1:4" ht="13.5">
      <c r="A6106" s="49">
        <v>87795</v>
      </c>
      <c r="B6106" s="48" t="s">
        <v>6355</v>
      </c>
      <c r="C6106" s="48" t="s">
        <v>26764</v>
      </c>
      <c r="D6106" s="50">
        <v>52.87</v>
      </c>
    </row>
    <row r="6107" spans="1:4" ht="13.5">
      <c r="A6107" s="49">
        <v>87797</v>
      </c>
      <c r="B6107" s="48" t="s">
        <v>6356</v>
      </c>
      <c r="C6107" s="48" t="s">
        <v>26764</v>
      </c>
      <c r="D6107" s="50">
        <v>43.51</v>
      </c>
    </row>
    <row r="6108" spans="1:4" ht="13.5">
      <c r="A6108" s="49">
        <v>87799</v>
      </c>
      <c r="B6108" s="48" t="s">
        <v>6357</v>
      </c>
      <c r="C6108" s="48" t="s">
        <v>26764</v>
      </c>
      <c r="D6108" s="50">
        <v>47.08</v>
      </c>
    </row>
    <row r="6109" spans="1:4" ht="13.5">
      <c r="A6109" s="49">
        <v>87800</v>
      </c>
      <c r="B6109" s="48" t="s">
        <v>6358</v>
      </c>
      <c r="C6109" s="48" t="s">
        <v>26764</v>
      </c>
      <c r="D6109" s="50">
        <v>68.55</v>
      </c>
    </row>
    <row r="6110" spans="1:4" ht="13.5">
      <c r="A6110" s="49">
        <v>87801</v>
      </c>
      <c r="B6110" s="48" t="s">
        <v>6359</v>
      </c>
      <c r="C6110" s="48" t="s">
        <v>26764</v>
      </c>
      <c r="D6110" s="50">
        <v>51.38</v>
      </c>
    </row>
    <row r="6111" spans="1:4" ht="13.5">
      <c r="A6111" s="49">
        <v>87803</v>
      </c>
      <c r="B6111" s="48" t="s">
        <v>6360</v>
      </c>
      <c r="C6111" s="48" t="s">
        <v>26764</v>
      </c>
      <c r="D6111" s="50">
        <v>55.86</v>
      </c>
    </row>
    <row r="6112" spans="1:4" ht="13.5">
      <c r="A6112" s="49">
        <v>87804</v>
      </c>
      <c r="B6112" s="48" t="s">
        <v>6361</v>
      </c>
      <c r="C6112" s="48" t="s">
        <v>26764</v>
      </c>
      <c r="D6112" s="50">
        <v>84.22</v>
      </c>
    </row>
    <row r="6113" spans="1:4" ht="13.5">
      <c r="A6113" s="49">
        <v>87805</v>
      </c>
      <c r="B6113" s="48" t="s">
        <v>6362</v>
      </c>
      <c r="C6113" s="48" t="s">
        <v>26764</v>
      </c>
      <c r="D6113" s="50">
        <v>58.78</v>
      </c>
    </row>
    <row r="6114" spans="1:4" ht="13.5">
      <c r="A6114" s="49">
        <v>87807</v>
      </c>
      <c r="B6114" s="48" t="s">
        <v>6363</v>
      </c>
      <c r="C6114" s="48" t="s">
        <v>26764</v>
      </c>
      <c r="D6114" s="50">
        <v>63.71</v>
      </c>
    </row>
    <row r="6115" spans="1:4" ht="13.5">
      <c r="A6115" s="49">
        <v>87808</v>
      </c>
      <c r="B6115" s="48" t="s">
        <v>6364</v>
      </c>
      <c r="C6115" s="48" t="s">
        <v>26764</v>
      </c>
      <c r="D6115" s="50">
        <v>91.63</v>
      </c>
    </row>
    <row r="6116" spans="1:4" ht="13.5">
      <c r="A6116" s="49">
        <v>87809</v>
      </c>
      <c r="B6116" s="48" t="s">
        <v>6365</v>
      </c>
      <c r="C6116" s="48" t="s">
        <v>26764</v>
      </c>
      <c r="D6116" s="50">
        <v>80.069999999999993</v>
      </c>
    </row>
    <row r="6117" spans="1:4" ht="13.5">
      <c r="A6117" s="49">
        <v>87811</v>
      </c>
      <c r="B6117" s="48" t="s">
        <v>6366</v>
      </c>
      <c r="C6117" s="48" t="s">
        <v>26764</v>
      </c>
      <c r="D6117" s="50">
        <v>82.73</v>
      </c>
    </row>
    <row r="6118" spans="1:4" ht="13.5">
      <c r="A6118" s="49">
        <v>87812</v>
      </c>
      <c r="B6118" s="48" t="s">
        <v>6367</v>
      </c>
      <c r="C6118" s="48" t="s">
        <v>26764</v>
      </c>
      <c r="D6118" s="50">
        <v>96.87</v>
      </c>
    </row>
    <row r="6119" spans="1:4" ht="13.5">
      <c r="A6119" s="49">
        <v>87813</v>
      </c>
      <c r="B6119" s="48" t="s">
        <v>6368</v>
      </c>
      <c r="C6119" s="48" t="s">
        <v>26764</v>
      </c>
      <c r="D6119" s="50">
        <v>87.92</v>
      </c>
    </row>
    <row r="6120" spans="1:4" ht="13.5">
      <c r="A6120" s="49">
        <v>87815</v>
      </c>
      <c r="B6120" s="48" t="s">
        <v>6369</v>
      </c>
      <c r="C6120" s="48" t="s">
        <v>26764</v>
      </c>
      <c r="D6120" s="50">
        <v>91.49</v>
      </c>
    </row>
    <row r="6121" spans="1:4" ht="13.5">
      <c r="A6121" s="49">
        <v>87816</v>
      </c>
      <c r="B6121" s="48" t="s">
        <v>6370</v>
      </c>
      <c r="C6121" s="48" t="s">
        <v>26764</v>
      </c>
      <c r="D6121" s="50">
        <v>112.55</v>
      </c>
    </row>
    <row r="6122" spans="1:4" ht="13.5">
      <c r="A6122" s="49">
        <v>87817</v>
      </c>
      <c r="B6122" s="48" t="s">
        <v>6371</v>
      </c>
      <c r="C6122" s="48" t="s">
        <v>26764</v>
      </c>
      <c r="D6122" s="50">
        <v>95.36</v>
      </c>
    </row>
    <row r="6123" spans="1:4" ht="13.5">
      <c r="A6123" s="49">
        <v>87819</v>
      </c>
      <c r="B6123" s="48" t="s">
        <v>6372</v>
      </c>
      <c r="C6123" s="48" t="s">
        <v>26764</v>
      </c>
      <c r="D6123" s="50">
        <v>99.84</v>
      </c>
    </row>
    <row r="6124" spans="1:4" ht="13.5">
      <c r="A6124" s="49">
        <v>87820</v>
      </c>
      <c r="B6124" s="48" t="s">
        <v>6373</v>
      </c>
      <c r="C6124" s="48" t="s">
        <v>26764</v>
      </c>
      <c r="D6124" s="50">
        <v>128.22</v>
      </c>
    </row>
    <row r="6125" spans="1:4" ht="13.5">
      <c r="A6125" s="49">
        <v>87821</v>
      </c>
      <c r="B6125" s="48" t="s">
        <v>6374</v>
      </c>
      <c r="C6125" s="48" t="s">
        <v>26764</v>
      </c>
      <c r="D6125" s="50">
        <v>137.88</v>
      </c>
    </row>
    <row r="6126" spans="1:4" ht="13.5">
      <c r="A6126" s="49">
        <v>87823</v>
      </c>
      <c r="B6126" s="48" t="s">
        <v>6375</v>
      </c>
      <c r="C6126" s="48" t="s">
        <v>26764</v>
      </c>
      <c r="D6126" s="50">
        <v>142.81</v>
      </c>
    </row>
    <row r="6127" spans="1:4" ht="13.5">
      <c r="A6127" s="49">
        <v>87824</v>
      </c>
      <c r="B6127" s="48" t="s">
        <v>6376</v>
      </c>
      <c r="C6127" s="48" t="s">
        <v>26764</v>
      </c>
      <c r="D6127" s="50">
        <v>170.31</v>
      </c>
    </row>
    <row r="6128" spans="1:4" ht="13.5">
      <c r="A6128" s="49">
        <v>87825</v>
      </c>
      <c r="B6128" s="48" t="s">
        <v>6377</v>
      </c>
      <c r="C6128" s="48" t="s">
        <v>26764</v>
      </c>
      <c r="D6128" s="50">
        <v>63.02</v>
      </c>
    </row>
    <row r="6129" spans="1:4" ht="13.5">
      <c r="A6129" s="49">
        <v>87827</v>
      </c>
      <c r="B6129" s="48" t="s">
        <v>6378</v>
      </c>
      <c r="C6129" s="48" t="s">
        <v>26764</v>
      </c>
      <c r="D6129" s="50">
        <v>66.28</v>
      </c>
    </row>
    <row r="6130" spans="1:4" ht="13.5">
      <c r="A6130" s="49">
        <v>87828</v>
      </c>
      <c r="B6130" s="48" t="s">
        <v>6379</v>
      </c>
      <c r="C6130" s="48" t="s">
        <v>26764</v>
      </c>
      <c r="D6130" s="50">
        <v>85.42</v>
      </c>
    </row>
    <row r="6131" spans="1:4" ht="13.5">
      <c r="A6131" s="49">
        <v>87829</v>
      </c>
      <c r="B6131" s="48" t="s">
        <v>6380</v>
      </c>
      <c r="C6131" s="48" t="s">
        <v>26764</v>
      </c>
      <c r="D6131" s="50">
        <v>71.849999999999994</v>
      </c>
    </row>
    <row r="6132" spans="1:4" ht="13.5">
      <c r="A6132" s="49">
        <v>87831</v>
      </c>
      <c r="B6132" s="48" t="s">
        <v>6381</v>
      </c>
      <c r="C6132" s="48" t="s">
        <v>26764</v>
      </c>
      <c r="D6132" s="50">
        <v>76.22</v>
      </c>
    </row>
    <row r="6133" spans="1:4" ht="13.5">
      <c r="A6133" s="49">
        <v>87832</v>
      </c>
      <c r="B6133" s="48" t="s">
        <v>6382</v>
      </c>
      <c r="C6133" s="48" t="s">
        <v>26764</v>
      </c>
      <c r="D6133" s="50">
        <v>103.77</v>
      </c>
    </row>
    <row r="6134" spans="1:4" ht="13.5">
      <c r="A6134" s="49">
        <v>87834</v>
      </c>
      <c r="B6134" s="48" t="s">
        <v>6383</v>
      </c>
      <c r="C6134" s="48" t="s">
        <v>26764</v>
      </c>
      <c r="D6134" s="50">
        <v>137.91</v>
      </c>
    </row>
    <row r="6135" spans="1:4" ht="13.5">
      <c r="A6135" s="49">
        <v>87835</v>
      </c>
      <c r="B6135" s="48" t="s">
        <v>6384</v>
      </c>
      <c r="C6135" s="48" t="s">
        <v>26764</v>
      </c>
      <c r="D6135" s="50">
        <v>95.71</v>
      </c>
    </row>
    <row r="6136" spans="1:4" ht="13.5">
      <c r="A6136" s="49">
        <v>87836</v>
      </c>
      <c r="B6136" s="48" t="s">
        <v>6385</v>
      </c>
      <c r="C6136" s="48" t="s">
        <v>26764</v>
      </c>
      <c r="D6136" s="50">
        <v>131.44999999999999</v>
      </c>
    </row>
    <row r="6137" spans="1:4" ht="13.5">
      <c r="A6137" s="49">
        <v>87837</v>
      </c>
      <c r="B6137" s="48" t="s">
        <v>6386</v>
      </c>
      <c r="C6137" s="48" t="s">
        <v>26764</v>
      </c>
      <c r="D6137" s="50">
        <v>89.79</v>
      </c>
    </row>
    <row r="6138" spans="1:4" ht="13.5">
      <c r="A6138" s="49">
        <v>87838</v>
      </c>
      <c r="B6138" s="48" t="s">
        <v>6387</v>
      </c>
      <c r="C6138" s="48" t="s">
        <v>26764</v>
      </c>
      <c r="D6138" s="50">
        <v>144.76</v>
      </c>
    </row>
    <row r="6139" spans="1:4" ht="13.5">
      <c r="A6139" s="49">
        <v>87839</v>
      </c>
      <c r="B6139" s="48" t="s">
        <v>6388</v>
      </c>
      <c r="C6139" s="48" t="s">
        <v>26764</v>
      </c>
      <c r="D6139" s="50">
        <v>100.96</v>
      </c>
    </row>
    <row r="6140" spans="1:4" ht="13.5">
      <c r="A6140" s="49">
        <v>87840</v>
      </c>
      <c r="B6140" s="48" t="s">
        <v>6389</v>
      </c>
      <c r="C6140" s="48" t="s">
        <v>26764</v>
      </c>
      <c r="D6140" s="50">
        <v>136.63999999999999</v>
      </c>
    </row>
    <row r="6141" spans="1:4" ht="13.5">
      <c r="A6141" s="49">
        <v>87841</v>
      </c>
      <c r="B6141" s="48" t="s">
        <v>6390</v>
      </c>
      <c r="C6141" s="48" t="s">
        <v>26764</v>
      </c>
      <c r="D6141" s="50">
        <v>93.37</v>
      </c>
    </row>
    <row r="6142" spans="1:4" ht="13.5">
      <c r="A6142" s="49">
        <v>87842</v>
      </c>
      <c r="B6142" s="48" t="s">
        <v>6391</v>
      </c>
      <c r="C6142" s="48" t="s">
        <v>26764</v>
      </c>
      <c r="D6142" s="50">
        <v>148.12</v>
      </c>
    </row>
    <row r="6143" spans="1:4" ht="13.5">
      <c r="A6143" s="49">
        <v>87843</v>
      </c>
      <c r="B6143" s="48" t="s">
        <v>6392</v>
      </c>
      <c r="C6143" s="48" t="s">
        <v>26764</v>
      </c>
      <c r="D6143" s="50">
        <v>111.01</v>
      </c>
    </row>
    <row r="6144" spans="1:4" ht="13.5">
      <c r="A6144" s="49">
        <v>87844</v>
      </c>
      <c r="B6144" s="48" t="s">
        <v>6393</v>
      </c>
      <c r="C6144" s="48" t="s">
        <v>26764</v>
      </c>
      <c r="D6144" s="50">
        <v>135.59</v>
      </c>
    </row>
    <row r="6145" spans="1:4" ht="13.5">
      <c r="A6145" s="49">
        <v>87845</v>
      </c>
      <c r="B6145" s="48" t="s">
        <v>6394</v>
      </c>
      <c r="C6145" s="48" t="s">
        <v>26764</v>
      </c>
      <c r="D6145" s="50">
        <v>99.06</v>
      </c>
    </row>
    <row r="6146" spans="1:4" ht="13.5">
      <c r="A6146" s="49">
        <v>87846</v>
      </c>
      <c r="B6146" s="48" t="s">
        <v>6395</v>
      </c>
      <c r="C6146" s="48" t="s">
        <v>26764</v>
      </c>
      <c r="D6146" s="50">
        <v>150.24</v>
      </c>
    </row>
    <row r="6147" spans="1:4" ht="13.5">
      <c r="A6147" s="49">
        <v>87847</v>
      </c>
      <c r="B6147" s="48" t="s">
        <v>6396</v>
      </c>
      <c r="C6147" s="48" t="s">
        <v>26764</v>
      </c>
      <c r="D6147" s="50">
        <v>108.02</v>
      </c>
    </row>
    <row r="6148" spans="1:4" ht="13.5">
      <c r="A6148" s="49">
        <v>87848</v>
      </c>
      <c r="B6148" s="48" t="s">
        <v>6397</v>
      </c>
      <c r="C6148" s="48" t="s">
        <v>26764</v>
      </c>
      <c r="D6148" s="50">
        <v>142.55000000000001</v>
      </c>
    </row>
    <row r="6149" spans="1:4" ht="13.5">
      <c r="A6149" s="49">
        <v>87849</v>
      </c>
      <c r="B6149" s="48" t="s">
        <v>6398</v>
      </c>
      <c r="C6149" s="48" t="s">
        <v>26764</v>
      </c>
      <c r="D6149" s="50">
        <v>100.9</v>
      </c>
    </row>
    <row r="6150" spans="1:4" ht="13.5">
      <c r="A6150" s="49">
        <v>87850</v>
      </c>
      <c r="B6150" s="48" t="s">
        <v>6399</v>
      </c>
      <c r="C6150" s="48" t="s">
        <v>26764</v>
      </c>
      <c r="D6150" s="50">
        <v>157.11000000000001</v>
      </c>
    </row>
    <row r="6151" spans="1:4" ht="13.5">
      <c r="A6151" s="49">
        <v>87851</v>
      </c>
      <c r="B6151" s="48" t="s">
        <v>6400</v>
      </c>
      <c r="C6151" s="48" t="s">
        <v>26764</v>
      </c>
      <c r="D6151" s="50">
        <v>113.3</v>
      </c>
    </row>
    <row r="6152" spans="1:4" ht="13.5">
      <c r="A6152" s="49">
        <v>87852</v>
      </c>
      <c r="B6152" s="48" t="s">
        <v>6401</v>
      </c>
      <c r="C6152" s="48" t="s">
        <v>26764</v>
      </c>
      <c r="D6152" s="50">
        <v>147.71</v>
      </c>
    </row>
    <row r="6153" spans="1:4" ht="13.5">
      <c r="A6153" s="49">
        <v>87853</v>
      </c>
      <c r="B6153" s="48" t="s">
        <v>6402</v>
      </c>
      <c r="C6153" s="48" t="s">
        <v>26764</v>
      </c>
      <c r="D6153" s="50">
        <v>104.45</v>
      </c>
    </row>
    <row r="6154" spans="1:4" ht="13.5">
      <c r="A6154" s="49">
        <v>87854</v>
      </c>
      <c r="B6154" s="48" t="s">
        <v>6403</v>
      </c>
      <c r="C6154" s="48" t="s">
        <v>26764</v>
      </c>
      <c r="D6154" s="50">
        <v>160.44</v>
      </c>
    </row>
    <row r="6155" spans="1:4" ht="13.5">
      <c r="A6155" s="49">
        <v>87855</v>
      </c>
      <c r="B6155" s="48" t="s">
        <v>6404</v>
      </c>
      <c r="C6155" s="48" t="s">
        <v>26764</v>
      </c>
      <c r="D6155" s="50">
        <v>123.36</v>
      </c>
    </row>
    <row r="6156" spans="1:4" ht="13.5">
      <c r="A6156" s="49">
        <v>87856</v>
      </c>
      <c r="B6156" s="48" t="s">
        <v>6405</v>
      </c>
      <c r="C6156" s="48" t="s">
        <v>26764</v>
      </c>
      <c r="D6156" s="50">
        <v>146.69</v>
      </c>
    </row>
    <row r="6157" spans="1:4" ht="13.5">
      <c r="A6157" s="49">
        <v>87857</v>
      </c>
      <c r="B6157" s="48" t="s">
        <v>6406</v>
      </c>
      <c r="C6157" s="48" t="s">
        <v>26764</v>
      </c>
      <c r="D6157" s="50">
        <v>110.14</v>
      </c>
    </row>
    <row r="6158" spans="1:4" ht="13.5">
      <c r="A6158" s="49">
        <v>87858</v>
      </c>
      <c r="B6158" s="48" t="s">
        <v>6407</v>
      </c>
      <c r="C6158" s="48" t="s">
        <v>26764</v>
      </c>
      <c r="D6158" s="50">
        <v>105.63</v>
      </c>
    </row>
    <row r="6159" spans="1:4" ht="13.5">
      <c r="A6159" s="49">
        <v>87859</v>
      </c>
      <c r="B6159" s="48" t="s">
        <v>6408</v>
      </c>
      <c r="C6159" s="48" t="s">
        <v>26764</v>
      </c>
      <c r="D6159" s="50">
        <v>123.66</v>
      </c>
    </row>
    <row r="6160" spans="1:4" ht="13.5">
      <c r="A6160" s="49">
        <v>89048</v>
      </c>
      <c r="B6160" s="48" t="s">
        <v>6409</v>
      </c>
      <c r="C6160" s="48" t="s">
        <v>26764</v>
      </c>
      <c r="D6160" s="50">
        <v>32.21</v>
      </c>
    </row>
    <row r="6161" spans="1:4" ht="13.5">
      <c r="A6161" s="49">
        <v>89049</v>
      </c>
      <c r="B6161" s="48" t="s">
        <v>6410</v>
      </c>
      <c r="C6161" s="48" t="s">
        <v>26764</v>
      </c>
      <c r="D6161" s="50">
        <v>19.23</v>
      </c>
    </row>
    <row r="6162" spans="1:4" ht="13.5">
      <c r="A6162" s="49">
        <v>89173</v>
      </c>
      <c r="B6162" s="48" t="s">
        <v>6411</v>
      </c>
      <c r="C6162" s="48" t="s">
        <v>26764</v>
      </c>
      <c r="D6162" s="50">
        <v>31.66</v>
      </c>
    </row>
    <row r="6163" spans="1:4" ht="13.5">
      <c r="A6163" s="49">
        <v>90406</v>
      </c>
      <c r="B6163" s="48" t="s">
        <v>6412</v>
      </c>
      <c r="C6163" s="48" t="s">
        <v>26764</v>
      </c>
      <c r="D6163" s="50">
        <v>41.69</v>
      </c>
    </row>
    <row r="6164" spans="1:4" ht="13.5">
      <c r="A6164" s="49">
        <v>90407</v>
      </c>
      <c r="B6164" s="48" t="s">
        <v>6413</v>
      </c>
      <c r="C6164" s="48" t="s">
        <v>26764</v>
      </c>
      <c r="D6164" s="50">
        <v>45.1</v>
      </c>
    </row>
    <row r="6165" spans="1:4" ht="13.5">
      <c r="A6165" s="49">
        <v>90408</v>
      </c>
      <c r="B6165" s="48" t="s">
        <v>6414</v>
      </c>
      <c r="C6165" s="48" t="s">
        <v>26764</v>
      </c>
      <c r="D6165" s="50">
        <v>30.42</v>
      </c>
    </row>
    <row r="6166" spans="1:4" ht="13.5">
      <c r="A6166" s="49">
        <v>90409</v>
      </c>
      <c r="B6166" s="48" t="s">
        <v>6415</v>
      </c>
      <c r="C6166" s="48" t="s">
        <v>26764</v>
      </c>
      <c r="D6166" s="50">
        <v>32.35</v>
      </c>
    </row>
    <row r="6167" spans="1:4" ht="13.5">
      <c r="A6167" s="49">
        <v>87242</v>
      </c>
      <c r="B6167" s="48" t="s">
        <v>6416</v>
      </c>
      <c r="C6167" s="48" t="s">
        <v>26764</v>
      </c>
      <c r="D6167" s="50">
        <v>229.21</v>
      </c>
    </row>
    <row r="6168" spans="1:4" ht="13.5">
      <c r="A6168" s="49">
        <v>87243</v>
      </c>
      <c r="B6168" s="48" t="s">
        <v>6417</v>
      </c>
      <c r="C6168" s="48" t="s">
        <v>26764</v>
      </c>
      <c r="D6168" s="50">
        <v>209.67</v>
      </c>
    </row>
    <row r="6169" spans="1:4" ht="13.5">
      <c r="A6169" s="49">
        <v>87244</v>
      </c>
      <c r="B6169" s="48" t="s">
        <v>6418</v>
      </c>
      <c r="C6169" s="48" t="s">
        <v>26764</v>
      </c>
      <c r="D6169" s="50">
        <v>222.07</v>
      </c>
    </row>
    <row r="6170" spans="1:4" ht="13.5">
      <c r="A6170" s="49">
        <v>87245</v>
      </c>
      <c r="B6170" s="48" t="s">
        <v>6419</v>
      </c>
      <c r="C6170" s="48" t="s">
        <v>26764</v>
      </c>
      <c r="D6170" s="50">
        <v>268.32</v>
      </c>
    </row>
    <row r="6171" spans="1:4" ht="13.5">
      <c r="A6171" s="49">
        <v>87264</v>
      </c>
      <c r="B6171" s="48" t="s">
        <v>6420</v>
      </c>
      <c r="C6171" s="48" t="s">
        <v>26764</v>
      </c>
      <c r="D6171" s="50">
        <v>68.680000000000007</v>
      </c>
    </row>
    <row r="6172" spans="1:4" ht="13.5">
      <c r="A6172" s="49">
        <v>87265</v>
      </c>
      <c r="B6172" s="48" t="s">
        <v>6421</v>
      </c>
      <c r="C6172" s="48" t="s">
        <v>26764</v>
      </c>
      <c r="D6172" s="50">
        <v>60.68</v>
      </c>
    </row>
    <row r="6173" spans="1:4" ht="13.5">
      <c r="A6173" s="49">
        <v>87266</v>
      </c>
      <c r="B6173" s="48" t="s">
        <v>6422</v>
      </c>
      <c r="C6173" s="48" t="s">
        <v>26764</v>
      </c>
      <c r="D6173" s="50">
        <v>71.489999999999995</v>
      </c>
    </row>
    <row r="6174" spans="1:4" ht="13.5">
      <c r="A6174" s="49">
        <v>87267</v>
      </c>
      <c r="B6174" s="48" t="s">
        <v>6423</v>
      </c>
      <c r="C6174" s="48" t="s">
        <v>26764</v>
      </c>
      <c r="D6174" s="50">
        <v>67.98</v>
      </c>
    </row>
    <row r="6175" spans="1:4" ht="13.5">
      <c r="A6175" s="49">
        <v>87268</v>
      </c>
      <c r="B6175" s="48" t="s">
        <v>6424</v>
      </c>
      <c r="C6175" s="48" t="s">
        <v>26764</v>
      </c>
      <c r="D6175" s="50">
        <v>73.73</v>
      </c>
    </row>
    <row r="6176" spans="1:4" ht="13.5">
      <c r="A6176" s="49">
        <v>87269</v>
      </c>
      <c r="B6176" s="48" t="s">
        <v>6425</v>
      </c>
      <c r="C6176" s="48" t="s">
        <v>26764</v>
      </c>
      <c r="D6176" s="50">
        <v>65.02</v>
      </c>
    </row>
    <row r="6177" spans="1:4" ht="13.5">
      <c r="A6177" s="49">
        <v>87270</v>
      </c>
      <c r="B6177" s="48" t="s">
        <v>6426</v>
      </c>
      <c r="C6177" s="48" t="s">
        <v>26764</v>
      </c>
      <c r="D6177" s="50">
        <v>76.11</v>
      </c>
    </row>
    <row r="6178" spans="1:4" ht="13.5">
      <c r="A6178" s="49">
        <v>87271</v>
      </c>
      <c r="B6178" s="48" t="s">
        <v>6427</v>
      </c>
      <c r="C6178" s="48" t="s">
        <v>26764</v>
      </c>
      <c r="D6178" s="50">
        <v>71.959999999999994</v>
      </c>
    </row>
    <row r="6179" spans="1:4" ht="13.5">
      <c r="A6179" s="49">
        <v>87272</v>
      </c>
      <c r="B6179" s="48" t="s">
        <v>6428</v>
      </c>
      <c r="C6179" s="48" t="s">
        <v>26764</v>
      </c>
      <c r="D6179" s="50">
        <v>78.17</v>
      </c>
    </row>
    <row r="6180" spans="1:4" ht="13.5">
      <c r="A6180" s="49">
        <v>87273</v>
      </c>
      <c r="B6180" s="48" t="s">
        <v>6429</v>
      </c>
      <c r="C6180" s="48" t="s">
        <v>26764</v>
      </c>
      <c r="D6180" s="50">
        <v>67.53</v>
      </c>
    </row>
    <row r="6181" spans="1:4" ht="13.5">
      <c r="A6181" s="49">
        <v>87274</v>
      </c>
      <c r="B6181" s="48" t="s">
        <v>6430</v>
      </c>
      <c r="C6181" s="48" t="s">
        <v>26764</v>
      </c>
      <c r="D6181" s="50">
        <v>79.84</v>
      </c>
    </row>
    <row r="6182" spans="1:4" ht="13.5">
      <c r="A6182" s="49">
        <v>87275</v>
      </c>
      <c r="B6182" s="48" t="s">
        <v>6431</v>
      </c>
      <c r="C6182" s="48" t="s">
        <v>26764</v>
      </c>
      <c r="D6182" s="50">
        <v>76.25</v>
      </c>
    </row>
    <row r="6183" spans="1:4" ht="13.5">
      <c r="A6183" s="49">
        <v>88786</v>
      </c>
      <c r="B6183" s="48" t="s">
        <v>6432</v>
      </c>
      <c r="C6183" s="48" t="s">
        <v>26764</v>
      </c>
      <c r="D6183" s="50">
        <v>326.77999999999997</v>
      </c>
    </row>
    <row r="6184" spans="1:4" ht="13.5">
      <c r="A6184" s="49">
        <v>88787</v>
      </c>
      <c r="B6184" s="48" t="s">
        <v>6433</v>
      </c>
      <c r="C6184" s="48" t="s">
        <v>26764</v>
      </c>
      <c r="D6184" s="50">
        <v>301.60000000000002</v>
      </c>
    </row>
    <row r="6185" spans="1:4" ht="13.5">
      <c r="A6185" s="49">
        <v>88788</v>
      </c>
      <c r="B6185" s="48" t="s">
        <v>6434</v>
      </c>
      <c r="C6185" s="48" t="s">
        <v>26764</v>
      </c>
      <c r="D6185" s="50">
        <v>314</v>
      </c>
    </row>
    <row r="6186" spans="1:4" ht="13.5">
      <c r="A6186" s="49">
        <v>88789</v>
      </c>
      <c r="B6186" s="48" t="s">
        <v>6435</v>
      </c>
      <c r="C6186" s="48" t="s">
        <v>26764</v>
      </c>
      <c r="D6186" s="50">
        <v>379.59</v>
      </c>
    </row>
    <row r="6187" spans="1:4" ht="13.5">
      <c r="A6187" s="49">
        <v>89045</v>
      </c>
      <c r="B6187" s="48" t="s">
        <v>21666</v>
      </c>
      <c r="C6187" s="48" t="s">
        <v>26764</v>
      </c>
      <c r="D6187" s="50">
        <v>68.48</v>
      </c>
    </row>
    <row r="6188" spans="1:4" ht="13.5">
      <c r="A6188" s="49">
        <v>89170</v>
      </c>
      <c r="B6188" s="48" t="s">
        <v>26225</v>
      </c>
      <c r="C6188" s="48" t="s">
        <v>26764</v>
      </c>
      <c r="D6188" s="50">
        <v>66.47</v>
      </c>
    </row>
    <row r="6189" spans="1:4" ht="13.5">
      <c r="A6189" s="49">
        <v>93392</v>
      </c>
      <c r="B6189" s="48" t="s">
        <v>6437</v>
      </c>
      <c r="C6189" s="48" t="s">
        <v>26764</v>
      </c>
      <c r="D6189" s="50">
        <v>58.24</v>
      </c>
    </row>
    <row r="6190" spans="1:4" ht="13.5">
      <c r="A6190" s="49">
        <v>93393</v>
      </c>
      <c r="B6190" s="48" t="s">
        <v>6438</v>
      </c>
      <c r="C6190" s="48" t="s">
        <v>26764</v>
      </c>
      <c r="D6190" s="50">
        <v>50.34</v>
      </c>
    </row>
    <row r="6191" spans="1:4" ht="13.5">
      <c r="A6191" s="49">
        <v>93394</v>
      </c>
      <c r="B6191" s="48" t="s">
        <v>6439</v>
      </c>
      <c r="C6191" s="48" t="s">
        <v>26764</v>
      </c>
      <c r="D6191" s="50">
        <v>61.05</v>
      </c>
    </row>
    <row r="6192" spans="1:4" ht="13.5">
      <c r="A6192" s="49">
        <v>93395</v>
      </c>
      <c r="B6192" s="48" t="s">
        <v>6440</v>
      </c>
      <c r="C6192" s="48" t="s">
        <v>26764</v>
      </c>
      <c r="D6192" s="50">
        <v>57.54</v>
      </c>
    </row>
    <row r="6193" spans="1:4" ht="13.5">
      <c r="A6193" s="49">
        <v>99194</v>
      </c>
      <c r="B6193" s="48" t="s">
        <v>6441</v>
      </c>
      <c r="C6193" s="48" t="s">
        <v>26764</v>
      </c>
      <c r="D6193" s="50">
        <v>63.68</v>
      </c>
    </row>
    <row r="6194" spans="1:4" ht="13.5">
      <c r="A6194" s="49">
        <v>99195</v>
      </c>
      <c r="B6194" s="48" t="s">
        <v>6442</v>
      </c>
      <c r="C6194" s="48" t="s">
        <v>26764</v>
      </c>
      <c r="D6194" s="50">
        <v>55.78</v>
      </c>
    </row>
    <row r="6195" spans="1:4" ht="13.5">
      <c r="A6195" s="49">
        <v>99196</v>
      </c>
      <c r="B6195" s="48" t="s">
        <v>6443</v>
      </c>
      <c r="C6195" s="48" t="s">
        <v>26764</v>
      </c>
      <c r="D6195" s="50">
        <v>66.489999999999995</v>
      </c>
    </row>
    <row r="6196" spans="1:4" ht="13.5">
      <c r="A6196" s="49">
        <v>99198</v>
      </c>
      <c r="B6196" s="48" t="s">
        <v>6444</v>
      </c>
      <c r="C6196" s="48" t="s">
        <v>26764</v>
      </c>
      <c r="D6196" s="50">
        <v>62.98</v>
      </c>
    </row>
    <row r="6197" spans="1:4" ht="13.5">
      <c r="A6197" s="49">
        <v>101965</v>
      </c>
      <c r="B6197" s="48" t="s">
        <v>21667</v>
      </c>
      <c r="C6197" s="48" t="s">
        <v>6</v>
      </c>
      <c r="D6197" s="50">
        <v>96.07</v>
      </c>
    </row>
    <row r="6198" spans="1:4" ht="13.5">
      <c r="A6198" s="49">
        <v>101966</v>
      </c>
      <c r="B6198" s="48" t="s">
        <v>21668</v>
      </c>
      <c r="C6198" s="48" t="s">
        <v>6</v>
      </c>
      <c r="D6198" s="50">
        <v>114.42</v>
      </c>
    </row>
    <row r="6199" spans="1:4" ht="13.5">
      <c r="A6199" s="49">
        <v>101979</v>
      </c>
      <c r="B6199" s="48" t="s">
        <v>21669</v>
      </c>
      <c r="C6199" s="48" t="s">
        <v>6</v>
      </c>
      <c r="D6199" s="50">
        <v>58.81</v>
      </c>
    </row>
    <row r="6200" spans="1:4" ht="13.5">
      <c r="A6200" s="49">
        <v>96112</v>
      </c>
      <c r="B6200" s="48" t="s">
        <v>6445</v>
      </c>
      <c r="C6200" s="48" t="s">
        <v>26764</v>
      </c>
      <c r="D6200" s="50">
        <v>138.44</v>
      </c>
    </row>
    <row r="6201" spans="1:4" ht="13.5">
      <c r="A6201" s="49">
        <v>96117</v>
      </c>
      <c r="B6201" s="48" t="s">
        <v>6446</v>
      </c>
      <c r="C6201" s="48" t="s">
        <v>26764</v>
      </c>
      <c r="D6201" s="50">
        <v>177.01</v>
      </c>
    </row>
    <row r="6202" spans="1:4" ht="13.5">
      <c r="A6202" s="49">
        <v>96122</v>
      </c>
      <c r="B6202" s="48" t="s">
        <v>6447</v>
      </c>
      <c r="C6202" s="48" t="s">
        <v>6</v>
      </c>
      <c r="D6202" s="50">
        <v>42.78</v>
      </c>
    </row>
    <row r="6203" spans="1:4" ht="13.5">
      <c r="A6203" s="49">
        <v>96109</v>
      </c>
      <c r="B6203" s="48" t="s">
        <v>6448</v>
      </c>
      <c r="C6203" s="48" t="s">
        <v>26764</v>
      </c>
      <c r="D6203" s="50">
        <v>36.65</v>
      </c>
    </row>
    <row r="6204" spans="1:4" ht="13.5">
      <c r="A6204" s="49">
        <v>96110</v>
      </c>
      <c r="B6204" s="48" t="s">
        <v>6449</v>
      </c>
      <c r="C6204" s="48" t="s">
        <v>26764</v>
      </c>
      <c r="D6204" s="50">
        <v>72.08</v>
      </c>
    </row>
    <row r="6205" spans="1:4" ht="13.5">
      <c r="A6205" s="49">
        <v>96113</v>
      </c>
      <c r="B6205" s="48" t="s">
        <v>6450</v>
      </c>
      <c r="C6205" s="48" t="s">
        <v>26764</v>
      </c>
      <c r="D6205" s="50">
        <v>32.24</v>
      </c>
    </row>
    <row r="6206" spans="1:4" ht="13.5">
      <c r="A6206" s="49">
        <v>96114</v>
      </c>
      <c r="B6206" s="48" t="s">
        <v>6451</v>
      </c>
      <c r="C6206" s="48" t="s">
        <v>26764</v>
      </c>
      <c r="D6206" s="50">
        <v>75.63</v>
      </c>
    </row>
    <row r="6207" spans="1:4" ht="13.5">
      <c r="A6207" s="49">
        <v>96120</v>
      </c>
      <c r="B6207" s="48" t="s">
        <v>6452</v>
      </c>
      <c r="C6207" s="48" t="s">
        <v>6</v>
      </c>
      <c r="D6207" s="50">
        <v>2.56</v>
      </c>
    </row>
    <row r="6208" spans="1:4" ht="13.5">
      <c r="A6208" s="49">
        <v>96123</v>
      </c>
      <c r="B6208" s="48" t="s">
        <v>6453</v>
      </c>
      <c r="C6208" s="48" t="s">
        <v>6</v>
      </c>
      <c r="D6208" s="50">
        <v>35.82</v>
      </c>
    </row>
    <row r="6209" spans="1:4" ht="13.5">
      <c r="A6209" s="49">
        <v>99054</v>
      </c>
      <c r="B6209" s="48" t="s">
        <v>6454</v>
      </c>
      <c r="C6209" s="48" t="s">
        <v>26764</v>
      </c>
      <c r="D6209" s="50">
        <v>45.31</v>
      </c>
    </row>
    <row r="6210" spans="1:4" ht="13.5">
      <c r="A6210" s="49">
        <v>96111</v>
      </c>
      <c r="B6210" s="48" t="s">
        <v>6455</v>
      </c>
      <c r="C6210" s="48" t="s">
        <v>26764</v>
      </c>
      <c r="D6210" s="50">
        <v>66.98</v>
      </c>
    </row>
    <row r="6211" spans="1:4" ht="13.5">
      <c r="A6211" s="49">
        <v>96116</v>
      </c>
      <c r="B6211" s="48" t="s">
        <v>6456</v>
      </c>
      <c r="C6211" s="48" t="s">
        <v>26764</v>
      </c>
      <c r="D6211" s="50">
        <v>73.83</v>
      </c>
    </row>
    <row r="6212" spans="1:4" ht="13.5">
      <c r="A6212" s="49">
        <v>96121</v>
      </c>
      <c r="B6212" s="48" t="s">
        <v>6457</v>
      </c>
      <c r="C6212" s="48" t="s">
        <v>6</v>
      </c>
      <c r="D6212" s="50">
        <v>11.87</v>
      </c>
    </row>
    <row r="6213" spans="1:4" ht="13.5">
      <c r="A6213" s="49">
        <v>96485</v>
      </c>
      <c r="B6213" s="48" t="s">
        <v>6458</v>
      </c>
      <c r="C6213" s="48" t="s">
        <v>26764</v>
      </c>
      <c r="D6213" s="50">
        <v>76.66</v>
      </c>
    </row>
    <row r="6214" spans="1:4" ht="13.5">
      <c r="A6214" s="49">
        <v>96486</v>
      </c>
      <c r="B6214" s="48" t="s">
        <v>6459</v>
      </c>
      <c r="C6214" s="48" t="s">
        <v>26764</v>
      </c>
      <c r="D6214" s="50">
        <v>84.1</v>
      </c>
    </row>
    <row r="6215" spans="1:4" ht="13.5">
      <c r="A6215" s="49">
        <v>91514</v>
      </c>
      <c r="B6215" s="48" t="s">
        <v>6460</v>
      </c>
      <c r="C6215" s="48" t="s">
        <v>26764</v>
      </c>
      <c r="D6215" s="50">
        <v>6.49</v>
      </c>
    </row>
    <row r="6216" spans="1:4" ht="13.5">
      <c r="A6216" s="49">
        <v>91515</v>
      </c>
      <c r="B6216" s="48" t="s">
        <v>6461</v>
      </c>
      <c r="C6216" s="48" t="s">
        <v>26764</v>
      </c>
      <c r="D6216" s="50">
        <v>8.6</v>
      </c>
    </row>
    <row r="6217" spans="1:4" ht="13.5">
      <c r="A6217" s="49">
        <v>91516</v>
      </c>
      <c r="B6217" s="48" t="s">
        <v>6462</v>
      </c>
      <c r="C6217" s="48" t="s">
        <v>26764</v>
      </c>
      <c r="D6217" s="50">
        <v>12.59</v>
      </c>
    </row>
    <row r="6218" spans="1:4" ht="13.5">
      <c r="A6218" s="49">
        <v>91517</v>
      </c>
      <c r="B6218" s="48" t="s">
        <v>6463</v>
      </c>
      <c r="C6218" s="48" t="s">
        <v>26764</v>
      </c>
      <c r="D6218" s="50">
        <v>14.01</v>
      </c>
    </row>
    <row r="6219" spans="1:4" ht="13.5">
      <c r="A6219" s="49">
        <v>91519</v>
      </c>
      <c r="B6219" s="48" t="s">
        <v>6464</v>
      </c>
      <c r="C6219" s="48" t="s">
        <v>26764</v>
      </c>
      <c r="D6219" s="50">
        <v>16.100000000000001</v>
      </c>
    </row>
    <row r="6220" spans="1:4" ht="13.5">
      <c r="A6220" s="49">
        <v>91520</v>
      </c>
      <c r="B6220" s="48" t="s">
        <v>6465</v>
      </c>
      <c r="C6220" s="48" t="s">
        <v>26764</v>
      </c>
      <c r="D6220" s="50">
        <v>2.33</v>
      </c>
    </row>
    <row r="6221" spans="1:4" ht="13.5">
      <c r="A6221" s="49">
        <v>91522</v>
      </c>
      <c r="B6221" s="48" t="s">
        <v>6466</v>
      </c>
      <c r="C6221" s="48" t="s">
        <v>26764</v>
      </c>
      <c r="D6221" s="50">
        <v>2.81</v>
      </c>
    </row>
    <row r="6222" spans="1:4" ht="13.5">
      <c r="A6222" s="49">
        <v>91525</v>
      </c>
      <c r="B6222" s="48" t="s">
        <v>6467</v>
      </c>
      <c r="C6222" s="48" t="s">
        <v>26764</v>
      </c>
      <c r="D6222" s="50">
        <v>5.03</v>
      </c>
    </row>
    <row r="6223" spans="1:4" ht="13.5">
      <c r="A6223" s="49">
        <v>87280</v>
      </c>
      <c r="B6223" s="48" t="s">
        <v>6468</v>
      </c>
      <c r="C6223" s="48" t="s">
        <v>28764</v>
      </c>
      <c r="D6223" s="50">
        <v>317.52999999999997</v>
      </c>
    </row>
    <row r="6224" spans="1:4" ht="13.5">
      <c r="A6224" s="49">
        <v>87281</v>
      </c>
      <c r="B6224" s="48" t="s">
        <v>6469</v>
      </c>
      <c r="C6224" s="48" t="s">
        <v>28764</v>
      </c>
      <c r="D6224" s="50">
        <v>306.8</v>
      </c>
    </row>
    <row r="6225" spans="1:4" ht="13.5">
      <c r="A6225" s="49">
        <v>87283</v>
      </c>
      <c r="B6225" s="48" t="s">
        <v>6470</v>
      </c>
      <c r="C6225" s="48" t="s">
        <v>28764</v>
      </c>
      <c r="D6225" s="50">
        <v>327.18</v>
      </c>
    </row>
    <row r="6226" spans="1:4" ht="13.5">
      <c r="A6226" s="49">
        <v>87284</v>
      </c>
      <c r="B6226" s="48" t="s">
        <v>6471</v>
      </c>
      <c r="C6226" s="48" t="s">
        <v>28764</v>
      </c>
      <c r="D6226" s="50">
        <v>314.85000000000002</v>
      </c>
    </row>
    <row r="6227" spans="1:4" ht="13.5">
      <c r="A6227" s="49">
        <v>87286</v>
      </c>
      <c r="B6227" s="48" t="s">
        <v>6472</v>
      </c>
      <c r="C6227" s="48" t="s">
        <v>28764</v>
      </c>
      <c r="D6227" s="50">
        <v>438.58</v>
      </c>
    </row>
    <row r="6228" spans="1:4" ht="13.5">
      <c r="A6228" s="49">
        <v>87287</v>
      </c>
      <c r="B6228" s="48" t="s">
        <v>6473</v>
      </c>
      <c r="C6228" s="48" t="s">
        <v>28764</v>
      </c>
      <c r="D6228" s="50">
        <v>414.56</v>
      </c>
    </row>
    <row r="6229" spans="1:4" ht="13.5">
      <c r="A6229" s="49">
        <v>87289</v>
      </c>
      <c r="B6229" s="48" t="s">
        <v>6474</v>
      </c>
      <c r="C6229" s="48" t="s">
        <v>28764</v>
      </c>
      <c r="D6229" s="50">
        <v>426.37</v>
      </c>
    </row>
    <row r="6230" spans="1:4" ht="13.5">
      <c r="A6230" s="49">
        <v>87290</v>
      </c>
      <c r="B6230" s="48" t="s">
        <v>6475</v>
      </c>
      <c r="C6230" s="48" t="s">
        <v>28764</v>
      </c>
      <c r="D6230" s="50">
        <v>412.74</v>
      </c>
    </row>
    <row r="6231" spans="1:4" ht="13.5">
      <c r="A6231" s="49">
        <v>87292</v>
      </c>
      <c r="B6231" s="48" t="s">
        <v>6476</v>
      </c>
      <c r="C6231" s="48" t="s">
        <v>28764</v>
      </c>
      <c r="D6231" s="50">
        <v>439.44</v>
      </c>
    </row>
    <row r="6232" spans="1:4" ht="13.5">
      <c r="A6232" s="49">
        <v>87294</v>
      </c>
      <c r="B6232" s="48" t="s">
        <v>6477</v>
      </c>
      <c r="C6232" s="48" t="s">
        <v>28764</v>
      </c>
      <c r="D6232" s="50">
        <v>414.78</v>
      </c>
    </row>
    <row r="6233" spans="1:4" ht="13.5">
      <c r="A6233" s="49">
        <v>87295</v>
      </c>
      <c r="B6233" s="48" t="s">
        <v>6478</v>
      </c>
      <c r="C6233" s="48" t="s">
        <v>28764</v>
      </c>
      <c r="D6233" s="50">
        <v>437.2</v>
      </c>
    </row>
    <row r="6234" spans="1:4" ht="13.5">
      <c r="A6234" s="49">
        <v>87296</v>
      </c>
      <c r="B6234" s="48" t="s">
        <v>6479</v>
      </c>
      <c r="C6234" s="48" t="s">
        <v>28764</v>
      </c>
      <c r="D6234" s="50">
        <v>403.82</v>
      </c>
    </row>
    <row r="6235" spans="1:4" ht="13.5">
      <c r="A6235" s="49">
        <v>87298</v>
      </c>
      <c r="B6235" s="48" t="s">
        <v>6480</v>
      </c>
      <c r="C6235" s="48" t="s">
        <v>28764</v>
      </c>
      <c r="D6235" s="50">
        <v>485.82</v>
      </c>
    </row>
    <row r="6236" spans="1:4" ht="13.5">
      <c r="A6236" s="49">
        <v>87299</v>
      </c>
      <c r="B6236" s="48" t="s">
        <v>6481</v>
      </c>
      <c r="C6236" s="48" t="s">
        <v>28764</v>
      </c>
      <c r="D6236" s="50">
        <v>314.32</v>
      </c>
    </row>
    <row r="6237" spans="1:4" ht="13.5">
      <c r="A6237" s="49">
        <v>87301</v>
      </c>
      <c r="B6237" s="48" t="s">
        <v>6482</v>
      </c>
      <c r="C6237" s="48" t="s">
        <v>28764</v>
      </c>
      <c r="D6237" s="50">
        <v>438.03</v>
      </c>
    </row>
    <row r="6238" spans="1:4" ht="13.5">
      <c r="A6238" s="49">
        <v>87302</v>
      </c>
      <c r="B6238" s="48" t="s">
        <v>6484</v>
      </c>
      <c r="C6238" s="48" t="s">
        <v>28764</v>
      </c>
      <c r="D6238" s="50">
        <v>423.87</v>
      </c>
    </row>
    <row r="6239" spans="1:4" ht="13.5">
      <c r="A6239" s="49">
        <v>87304</v>
      </c>
      <c r="B6239" s="48" t="s">
        <v>6485</v>
      </c>
      <c r="C6239" s="48" t="s">
        <v>28764</v>
      </c>
      <c r="D6239" s="50">
        <v>391.37</v>
      </c>
    </row>
    <row r="6240" spans="1:4" ht="13.5">
      <c r="A6240" s="49">
        <v>87305</v>
      </c>
      <c r="B6240" s="48" t="s">
        <v>6486</v>
      </c>
      <c r="C6240" s="48" t="s">
        <v>28764</v>
      </c>
      <c r="D6240" s="50">
        <v>389.82</v>
      </c>
    </row>
    <row r="6241" spans="1:4" ht="13.5">
      <c r="A6241" s="49">
        <v>87307</v>
      </c>
      <c r="B6241" s="48" t="s">
        <v>6487</v>
      </c>
      <c r="C6241" s="48" t="s">
        <v>28764</v>
      </c>
      <c r="D6241" s="50">
        <v>374.33</v>
      </c>
    </row>
    <row r="6242" spans="1:4" ht="13.5">
      <c r="A6242" s="49">
        <v>87308</v>
      </c>
      <c r="B6242" s="48" t="s">
        <v>6488</v>
      </c>
      <c r="C6242" s="48" t="s">
        <v>28764</v>
      </c>
      <c r="D6242" s="50">
        <v>361</v>
      </c>
    </row>
    <row r="6243" spans="1:4" ht="13.5">
      <c r="A6243" s="49">
        <v>87310</v>
      </c>
      <c r="B6243" s="48" t="s">
        <v>6489</v>
      </c>
      <c r="C6243" s="48" t="s">
        <v>28764</v>
      </c>
      <c r="D6243" s="50">
        <v>338.13</v>
      </c>
    </row>
    <row r="6244" spans="1:4" ht="13.5">
      <c r="A6244" s="49">
        <v>87311</v>
      </c>
      <c r="B6244" s="48" t="s">
        <v>6490</v>
      </c>
      <c r="C6244" s="48" t="s">
        <v>28764</v>
      </c>
      <c r="D6244" s="50">
        <v>324.77</v>
      </c>
    </row>
    <row r="6245" spans="1:4" ht="13.5">
      <c r="A6245" s="49">
        <v>87313</v>
      </c>
      <c r="B6245" s="48" t="s">
        <v>6491</v>
      </c>
      <c r="C6245" s="48" t="s">
        <v>28764</v>
      </c>
      <c r="D6245" s="50">
        <v>405.14</v>
      </c>
    </row>
    <row r="6246" spans="1:4" ht="13.5">
      <c r="A6246" s="49">
        <v>87314</v>
      </c>
      <c r="B6246" s="48" t="s">
        <v>6492</v>
      </c>
      <c r="C6246" s="48" t="s">
        <v>28764</v>
      </c>
      <c r="D6246" s="50">
        <v>393.08</v>
      </c>
    </row>
    <row r="6247" spans="1:4" ht="13.5">
      <c r="A6247" s="49">
        <v>87316</v>
      </c>
      <c r="B6247" s="48" t="s">
        <v>6493</v>
      </c>
      <c r="C6247" s="48" t="s">
        <v>28764</v>
      </c>
      <c r="D6247" s="50">
        <v>372.12</v>
      </c>
    </row>
    <row r="6248" spans="1:4" ht="13.5">
      <c r="A6248" s="49">
        <v>87317</v>
      </c>
      <c r="B6248" s="48" t="s">
        <v>6494</v>
      </c>
      <c r="C6248" s="48" t="s">
        <v>28764</v>
      </c>
      <c r="D6248" s="50">
        <v>352.73</v>
      </c>
    </row>
    <row r="6249" spans="1:4" ht="13.5">
      <c r="A6249" s="49">
        <v>87319</v>
      </c>
      <c r="B6249" s="48" t="s">
        <v>6495</v>
      </c>
      <c r="C6249" s="48" t="s">
        <v>28764</v>
      </c>
      <c r="D6249" s="51">
        <v>2750.1</v>
      </c>
    </row>
    <row r="6250" spans="1:4" ht="13.5">
      <c r="A6250" s="49">
        <v>87320</v>
      </c>
      <c r="B6250" s="48" t="s">
        <v>6496</v>
      </c>
      <c r="C6250" s="48" t="s">
        <v>28764</v>
      </c>
      <c r="D6250" s="51">
        <v>2748.83</v>
      </c>
    </row>
    <row r="6251" spans="1:4" ht="13.5">
      <c r="A6251" s="49">
        <v>87322</v>
      </c>
      <c r="B6251" s="48" t="s">
        <v>6497</v>
      </c>
      <c r="C6251" s="48" t="s">
        <v>28764</v>
      </c>
      <c r="D6251" s="51">
        <v>2832.64</v>
      </c>
    </row>
    <row r="6252" spans="1:4" ht="13.5">
      <c r="A6252" s="49">
        <v>87323</v>
      </c>
      <c r="B6252" s="48" t="s">
        <v>6498</v>
      </c>
      <c r="C6252" s="48" t="s">
        <v>28764</v>
      </c>
      <c r="D6252" s="51">
        <v>2824.15</v>
      </c>
    </row>
    <row r="6253" spans="1:4" ht="13.5">
      <c r="A6253" s="49">
        <v>87325</v>
      </c>
      <c r="B6253" s="48" t="s">
        <v>6499</v>
      </c>
      <c r="C6253" s="48" t="s">
        <v>28764</v>
      </c>
      <c r="D6253" s="51">
        <v>2772.32</v>
      </c>
    </row>
    <row r="6254" spans="1:4" ht="13.5">
      <c r="A6254" s="49">
        <v>87326</v>
      </c>
      <c r="B6254" s="48" t="s">
        <v>6500</v>
      </c>
      <c r="C6254" s="48" t="s">
        <v>28764</v>
      </c>
      <c r="D6254" s="51">
        <v>2769.77</v>
      </c>
    </row>
    <row r="6255" spans="1:4" ht="13.5">
      <c r="A6255" s="49">
        <v>87327</v>
      </c>
      <c r="B6255" s="48" t="s">
        <v>6501</v>
      </c>
      <c r="C6255" s="48" t="s">
        <v>28764</v>
      </c>
      <c r="D6255" s="50">
        <v>343.33</v>
      </c>
    </row>
    <row r="6256" spans="1:4" ht="13.5">
      <c r="A6256" s="49">
        <v>87328</v>
      </c>
      <c r="B6256" s="48" t="s">
        <v>6502</v>
      </c>
      <c r="C6256" s="48" t="s">
        <v>28764</v>
      </c>
      <c r="D6256" s="50">
        <v>280.05</v>
      </c>
    </row>
    <row r="6257" spans="1:4" ht="13.5">
      <c r="A6257" s="49">
        <v>87329</v>
      </c>
      <c r="B6257" s="48" t="s">
        <v>6503</v>
      </c>
      <c r="C6257" s="48" t="s">
        <v>28764</v>
      </c>
      <c r="D6257" s="50">
        <v>371.84</v>
      </c>
    </row>
    <row r="6258" spans="1:4" ht="13.5">
      <c r="A6258" s="49">
        <v>87330</v>
      </c>
      <c r="B6258" s="48" t="s">
        <v>6504</v>
      </c>
      <c r="C6258" s="48" t="s">
        <v>28764</v>
      </c>
      <c r="D6258" s="50">
        <v>300.56</v>
      </c>
    </row>
    <row r="6259" spans="1:4" ht="13.5">
      <c r="A6259" s="49">
        <v>87331</v>
      </c>
      <c r="B6259" s="48" t="s">
        <v>6505</v>
      </c>
      <c r="C6259" s="48" t="s">
        <v>28764</v>
      </c>
      <c r="D6259" s="50">
        <v>463.18</v>
      </c>
    </row>
    <row r="6260" spans="1:4" ht="13.5">
      <c r="A6260" s="49">
        <v>87332</v>
      </c>
      <c r="B6260" s="48" t="s">
        <v>6506</v>
      </c>
      <c r="C6260" s="48" t="s">
        <v>28764</v>
      </c>
      <c r="D6260" s="50">
        <v>397.21</v>
      </c>
    </row>
    <row r="6261" spans="1:4" ht="13.5">
      <c r="A6261" s="49">
        <v>87333</v>
      </c>
      <c r="B6261" s="48" t="s">
        <v>6507</v>
      </c>
      <c r="C6261" s="48" t="s">
        <v>28764</v>
      </c>
      <c r="D6261" s="50">
        <v>434.52</v>
      </c>
    </row>
    <row r="6262" spans="1:4" ht="13.5">
      <c r="A6262" s="49">
        <v>87334</v>
      </c>
      <c r="B6262" s="48" t="s">
        <v>6508</v>
      </c>
      <c r="C6262" s="48" t="s">
        <v>28764</v>
      </c>
      <c r="D6262" s="50">
        <v>393.47</v>
      </c>
    </row>
    <row r="6263" spans="1:4" ht="13.5">
      <c r="A6263" s="49">
        <v>87335</v>
      </c>
      <c r="B6263" s="48" t="s">
        <v>6509</v>
      </c>
      <c r="C6263" s="48" t="s">
        <v>28764</v>
      </c>
      <c r="D6263" s="50">
        <v>426.36</v>
      </c>
    </row>
    <row r="6264" spans="1:4" ht="13.5">
      <c r="A6264" s="49">
        <v>87336</v>
      </c>
      <c r="B6264" s="48" t="s">
        <v>6510</v>
      </c>
      <c r="C6264" s="48" t="s">
        <v>28764</v>
      </c>
      <c r="D6264" s="50">
        <v>411.23</v>
      </c>
    </row>
    <row r="6265" spans="1:4" ht="13.5">
      <c r="A6265" s="49">
        <v>87337</v>
      </c>
      <c r="B6265" s="48" t="s">
        <v>6511</v>
      </c>
      <c r="C6265" s="48" t="s">
        <v>28764</v>
      </c>
      <c r="D6265" s="50">
        <v>422.99</v>
      </c>
    </row>
    <row r="6266" spans="1:4" ht="13.5">
      <c r="A6266" s="49">
        <v>87338</v>
      </c>
      <c r="B6266" s="48" t="s">
        <v>6512</v>
      </c>
      <c r="C6266" s="48" t="s">
        <v>28764</v>
      </c>
      <c r="D6266" s="50">
        <v>406.13</v>
      </c>
    </row>
    <row r="6267" spans="1:4" ht="13.5">
      <c r="A6267" s="49">
        <v>87339</v>
      </c>
      <c r="B6267" s="48" t="s">
        <v>6513</v>
      </c>
      <c r="C6267" s="48" t="s">
        <v>28764</v>
      </c>
      <c r="D6267" s="50">
        <v>616.66999999999996</v>
      </c>
    </row>
    <row r="6268" spans="1:4" ht="13.5">
      <c r="A6268" s="49">
        <v>87340</v>
      </c>
      <c r="B6268" s="48" t="s">
        <v>6514</v>
      </c>
      <c r="C6268" s="48" t="s">
        <v>28764</v>
      </c>
      <c r="D6268" s="50">
        <v>488.71</v>
      </c>
    </row>
    <row r="6269" spans="1:4" ht="13.5">
      <c r="A6269" s="49">
        <v>87341</v>
      </c>
      <c r="B6269" s="48" t="s">
        <v>6515</v>
      </c>
      <c r="C6269" s="48" t="s">
        <v>28764</v>
      </c>
      <c r="D6269" s="50">
        <v>454.17</v>
      </c>
    </row>
    <row r="6270" spans="1:4" ht="13.5">
      <c r="A6270" s="49">
        <v>87342</v>
      </c>
      <c r="B6270" s="48" t="s">
        <v>6516</v>
      </c>
      <c r="C6270" s="48" t="s">
        <v>28764</v>
      </c>
      <c r="D6270" s="50">
        <v>515.37</v>
      </c>
    </row>
    <row r="6271" spans="1:4" ht="13.5">
      <c r="A6271" s="49">
        <v>87343</v>
      </c>
      <c r="B6271" s="48" t="s">
        <v>6517</v>
      </c>
      <c r="C6271" s="48" t="s">
        <v>28764</v>
      </c>
      <c r="D6271" s="50">
        <v>443.1</v>
      </c>
    </row>
    <row r="6272" spans="1:4" ht="13.5">
      <c r="A6272" s="49">
        <v>87344</v>
      </c>
      <c r="B6272" s="48" t="s">
        <v>6518</v>
      </c>
      <c r="C6272" s="48" t="s">
        <v>28764</v>
      </c>
      <c r="D6272" s="50">
        <v>399.93</v>
      </c>
    </row>
    <row r="6273" spans="1:4" ht="13.5">
      <c r="A6273" s="49">
        <v>87345</v>
      </c>
      <c r="B6273" s="48" t="s">
        <v>6519</v>
      </c>
      <c r="C6273" s="48" t="s">
        <v>28764</v>
      </c>
      <c r="D6273" s="50">
        <v>457.44</v>
      </c>
    </row>
    <row r="6274" spans="1:4" ht="13.5">
      <c r="A6274" s="49">
        <v>87346</v>
      </c>
      <c r="B6274" s="48" t="s">
        <v>6520</v>
      </c>
      <c r="C6274" s="48" t="s">
        <v>28764</v>
      </c>
      <c r="D6274" s="50">
        <v>397.61</v>
      </c>
    </row>
    <row r="6275" spans="1:4" ht="13.5">
      <c r="A6275" s="49">
        <v>87347</v>
      </c>
      <c r="B6275" s="48" t="s">
        <v>6521</v>
      </c>
      <c r="C6275" s="48" t="s">
        <v>28764</v>
      </c>
      <c r="D6275" s="50">
        <v>363.03</v>
      </c>
    </row>
    <row r="6276" spans="1:4" ht="13.5">
      <c r="A6276" s="49">
        <v>87348</v>
      </c>
      <c r="B6276" s="48" t="s">
        <v>6523</v>
      </c>
      <c r="C6276" s="48" t="s">
        <v>28764</v>
      </c>
      <c r="D6276" s="50">
        <v>413.71</v>
      </c>
    </row>
    <row r="6277" spans="1:4" ht="13.5">
      <c r="A6277" s="49">
        <v>87349</v>
      </c>
      <c r="B6277" s="48" t="s">
        <v>6524</v>
      </c>
      <c r="C6277" s="48" t="s">
        <v>28764</v>
      </c>
      <c r="D6277" s="50">
        <v>332.3</v>
      </c>
    </row>
    <row r="6278" spans="1:4" ht="13.5">
      <c r="A6278" s="49">
        <v>87350</v>
      </c>
      <c r="B6278" s="48" t="s">
        <v>6525</v>
      </c>
      <c r="C6278" s="48" t="s">
        <v>28764</v>
      </c>
      <c r="D6278" s="50">
        <v>387.22</v>
      </c>
    </row>
    <row r="6279" spans="1:4" ht="13.5">
      <c r="A6279" s="49">
        <v>87351</v>
      </c>
      <c r="B6279" s="48" t="s">
        <v>6526</v>
      </c>
      <c r="C6279" s="48" t="s">
        <v>28764</v>
      </c>
      <c r="D6279" s="50">
        <v>311.29000000000002</v>
      </c>
    </row>
    <row r="6280" spans="1:4" ht="13.5">
      <c r="A6280" s="49">
        <v>87352</v>
      </c>
      <c r="B6280" s="48" t="s">
        <v>6527</v>
      </c>
      <c r="C6280" s="48" t="s">
        <v>28764</v>
      </c>
      <c r="D6280" s="50">
        <v>490.89</v>
      </c>
    </row>
    <row r="6281" spans="1:4" ht="13.5">
      <c r="A6281" s="49">
        <v>87353</v>
      </c>
      <c r="B6281" s="48" t="s">
        <v>6528</v>
      </c>
      <c r="C6281" s="48" t="s">
        <v>28764</v>
      </c>
      <c r="D6281" s="50">
        <v>412.61</v>
      </c>
    </row>
    <row r="6282" spans="1:4" ht="13.5">
      <c r="A6282" s="49">
        <v>87354</v>
      </c>
      <c r="B6282" s="48" t="s">
        <v>6529</v>
      </c>
      <c r="C6282" s="48" t="s">
        <v>28764</v>
      </c>
      <c r="D6282" s="50">
        <v>374.3</v>
      </c>
    </row>
    <row r="6283" spans="1:4" ht="13.5">
      <c r="A6283" s="49">
        <v>87355</v>
      </c>
      <c r="B6283" s="48" t="s">
        <v>6530</v>
      </c>
      <c r="C6283" s="48" t="s">
        <v>28764</v>
      </c>
      <c r="D6283" s="50">
        <v>413.84</v>
      </c>
    </row>
    <row r="6284" spans="1:4" ht="13.5">
      <c r="A6284" s="49">
        <v>87356</v>
      </c>
      <c r="B6284" s="48" t="s">
        <v>6531</v>
      </c>
      <c r="C6284" s="48" t="s">
        <v>28764</v>
      </c>
      <c r="D6284" s="50">
        <v>360.5</v>
      </c>
    </row>
    <row r="6285" spans="1:4" ht="13.5">
      <c r="A6285" s="49">
        <v>87357</v>
      </c>
      <c r="B6285" s="48" t="s">
        <v>6532</v>
      </c>
      <c r="C6285" s="48" t="s">
        <v>28764</v>
      </c>
      <c r="D6285" s="50">
        <v>332.44</v>
      </c>
    </row>
    <row r="6286" spans="1:4" ht="13.5">
      <c r="A6286" s="49">
        <v>87358</v>
      </c>
      <c r="B6286" s="48" t="s">
        <v>6533</v>
      </c>
      <c r="C6286" s="48" t="s">
        <v>28764</v>
      </c>
      <c r="D6286" s="51">
        <v>2726.91</v>
      </c>
    </row>
    <row r="6287" spans="1:4" ht="13.5">
      <c r="A6287" s="49">
        <v>87359</v>
      </c>
      <c r="B6287" s="48" t="s">
        <v>6534</v>
      </c>
      <c r="C6287" s="48" t="s">
        <v>28764</v>
      </c>
      <c r="D6287" s="51">
        <v>2692.85</v>
      </c>
    </row>
    <row r="6288" spans="1:4" ht="13.5">
      <c r="A6288" s="49">
        <v>87360</v>
      </c>
      <c r="B6288" s="48" t="s">
        <v>6535</v>
      </c>
      <c r="C6288" s="48" t="s">
        <v>28764</v>
      </c>
      <c r="D6288" s="51">
        <v>2813.89</v>
      </c>
    </row>
    <row r="6289" spans="1:4" ht="13.5">
      <c r="A6289" s="49">
        <v>87361</v>
      </c>
      <c r="B6289" s="48" t="s">
        <v>6536</v>
      </c>
      <c r="C6289" s="48" t="s">
        <v>28764</v>
      </c>
      <c r="D6289" s="51">
        <v>2764.7</v>
      </c>
    </row>
    <row r="6290" spans="1:4" ht="13.5">
      <c r="A6290" s="49">
        <v>87362</v>
      </c>
      <c r="B6290" s="48" t="s">
        <v>6537</v>
      </c>
      <c r="C6290" s="48" t="s">
        <v>28764</v>
      </c>
      <c r="D6290" s="51">
        <v>2755.81</v>
      </c>
    </row>
    <row r="6291" spans="1:4" ht="13.5">
      <c r="A6291" s="49">
        <v>87363</v>
      </c>
      <c r="B6291" s="48" t="s">
        <v>6538</v>
      </c>
      <c r="C6291" s="48" t="s">
        <v>28764</v>
      </c>
      <c r="D6291" s="51">
        <v>2757.25</v>
      </c>
    </row>
    <row r="6292" spans="1:4" ht="13.5">
      <c r="A6292" s="49">
        <v>87364</v>
      </c>
      <c r="B6292" s="48" t="s">
        <v>6539</v>
      </c>
      <c r="C6292" s="48" t="s">
        <v>28764</v>
      </c>
      <c r="D6292" s="51">
        <v>2718.46</v>
      </c>
    </row>
    <row r="6293" spans="1:4" ht="13.5">
      <c r="A6293" s="49">
        <v>87365</v>
      </c>
      <c r="B6293" s="48" t="s">
        <v>6540</v>
      </c>
      <c r="C6293" s="48" t="s">
        <v>28764</v>
      </c>
      <c r="D6293" s="50">
        <v>399.8</v>
      </c>
    </row>
    <row r="6294" spans="1:4" ht="13.5">
      <c r="A6294" s="49">
        <v>87366</v>
      </c>
      <c r="B6294" s="48" t="s">
        <v>6541</v>
      </c>
      <c r="C6294" s="48" t="s">
        <v>28764</v>
      </c>
      <c r="D6294" s="50">
        <v>423.32</v>
      </c>
    </row>
    <row r="6295" spans="1:4" ht="13.5">
      <c r="A6295" s="49">
        <v>87367</v>
      </c>
      <c r="B6295" s="48" t="s">
        <v>6543</v>
      </c>
      <c r="C6295" s="48" t="s">
        <v>28764</v>
      </c>
      <c r="D6295" s="50">
        <v>519.85</v>
      </c>
    </row>
    <row r="6296" spans="1:4" ht="13.5">
      <c r="A6296" s="49">
        <v>87368</v>
      </c>
      <c r="B6296" s="48" t="s">
        <v>6544</v>
      </c>
      <c r="C6296" s="48" t="s">
        <v>28764</v>
      </c>
      <c r="D6296" s="50">
        <v>513</v>
      </c>
    </row>
    <row r="6297" spans="1:4" ht="13.5">
      <c r="A6297" s="49">
        <v>87369</v>
      </c>
      <c r="B6297" s="48" t="s">
        <v>6545</v>
      </c>
      <c r="C6297" s="48" t="s">
        <v>28764</v>
      </c>
      <c r="D6297" s="50">
        <v>530.27</v>
      </c>
    </row>
    <row r="6298" spans="1:4" ht="13.5">
      <c r="A6298" s="49">
        <v>87370</v>
      </c>
      <c r="B6298" s="48" t="s">
        <v>6546</v>
      </c>
      <c r="C6298" s="48" t="s">
        <v>28764</v>
      </c>
      <c r="D6298" s="50">
        <v>509.17</v>
      </c>
    </row>
    <row r="6299" spans="1:4" ht="13.5">
      <c r="A6299" s="49">
        <v>87371</v>
      </c>
      <c r="B6299" s="48" t="s">
        <v>6547</v>
      </c>
      <c r="C6299" s="48" t="s">
        <v>28764</v>
      </c>
      <c r="D6299" s="50">
        <v>502.91</v>
      </c>
    </row>
    <row r="6300" spans="1:4" ht="13.5">
      <c r="A6300" s="49">
        <v>87372</v>
      </c>
      <c r="B6300" s="48" t="s">
        <v>6548</v>
      </c>
      <c r="C6300" s="48" t="s">
        <v>28764</v>
      </c>
      <c r="D6300" s="50">
        <v>587.62</v>
      </c>
    </row>
    <row r="6301" spans="1:4" ht="13.5">
      <c r="A6301" s="49">
        <v>87373</v>
      </c>
      <c r="B6301" s="48" t="s">
        <v>6549</v>
      </c>
      <c r="C6301" s="48" t="s">
        <v>28764</v>
      </c>
      <c r="D6301" s="50">
        <v>521.58000000000004</v>
      </c>
    </row>
    <row r="6302" spans="1:4" ht="13.5">
      <c r="A6302" s="49">
        <v>87374</v>
      </c>
      <c r="B6302" s="48" t="s">
        <v>6550</v>
      </c>
      <c r="C6302" s="48" t="s">
        <v>28764</v>
      </c>
      <c r="D6302" s="50">
        <v>485.71</v>
      </c>
    </row>
    <row r="6303" spans="1:4" ht="13.5">
      <c r="A6303" s="49">
        <v>87375</v>
      </c>
      <c r="B6303" s="48" t="s">
        <v>6551</v>
      </c>
      <c r="C6303" s="48" t="s">
        <v>28764</v>
      </c>
      <c r="D6303" s="50">
        <v>462.96</v>
      </c>
    </row>
    <row r="6304" spans="1:4" ht="13.5">
      <c r="A6304" s="49">
        <v>87376</v>
      </c>
      <c r="B6304" s="48" t="s">
        <v>6552</v>
      </c>
      <c r="C6304" s="48" t="s">
        <v>28764</v>
      </c>
      <c r="D6304" s="50">
        <v>430.75</v>
      </c>
    </row>
    <row r="6305" spans="1:4" ht="13.5">
      <c r="A6305" s="49">
        <v>87377</v>
      </c>
      <c r="B6305" s="48" t="s">
        <v>6553</v>
      </c>
      <c r="C6305" s="48" t="s">
        <v>28764</v>
      </c>
      <c r="D6305" s="50">
        <v>501.57</v>
      </c>
    </row>
    <row r="6306" spans="1:4" ht="13.5">
      <c r="A6306" s="49">
        <v>87378</v>
      </c>
      <c r="B6306" s="48" t="s">
        <v>6554</v>
      </c>
      <c r="C6306" s="48" t="s">
        <v>28764</v>
      </c>
      <c r="D6306" s="50">
        <v>455.01</v>
      </c>
    </row>
    <row r="6307" spans="1:4" ht="13.5">
      <c r="A6307" s="49">
        <v>87379</v>
      </c>
      <c r="B6307" s="48" t="s">
        <v>6555</v>
      </c>
      <c r="C6307" s="48" t="s">
        <v>28764</v>
      </c>
      <c r="D6307" s="51">
        <v>2825.51</v>
      </c>
    </row>
    <row r="6308" spans="1:4" ht="13.5">
      <c r="A6308" s="49">
        <v>87380</v>
      </c>
      <c r="B6308" s="48" t="s">
        <v>6556</v>
      </c>
      <c r="C6308" s="48" t="s">
        <v>28764</v>
      </c>
      <c r="D6308" s="51">
        <v>2895.44</v>
      </c>
    </row>
    <row r="6309" spans="1:4" ht="13.5">
      <c r="A6309" s="49">
        <v>87381</v>
      </c>
      <c r="B6309" s="48" t="s">
        <v>6557</v>
      </c>
      <c r="C6309" s="48" t="s">
        <v>28764</v>
      </c>
      <c r="D6309" s="51">
        <v>2849.24</v>
      </c>
    </row>
    <row r="6310" spans="1:4" ht="13.5">
      <c r="A6310" s="49">
        <v>87382</v>
      </c>
      <c r="B6310" s="48" t="s">
        <v>6558</v>
      </c>
      <c r="C6310" s="48" t="s">
        <v>28764</v>
      </c>
      <c r="D6310" s="51">
        <v>1192.46</v>
      </c>
    </row>
    <row r="6311" spans="1:4" ht="13.5">
      <c r="A6311" s="49">
        <v>87383</v>
      </c>
      <c r="B6311" s="48" t="s">
        <v>6559</v>
      </c>
      <c r="C6311" s="48" t="s">
        <v>28764</v>
      </c>
      <c r="D6311" s="51">
        <v>1181.6099999999999</v>
      </c>
    </row>
    <row r="6312" spans="1:4" ht="13.5">
      <c r="A6312" s="49">
        <v>87384</v>
      </c>
      <c r="B6312" s="48" t="s">
        <v>6560</v>
      </c>
      <c r="C6312" s="48" t="s">
        <v>28764</v>
      </c>
      <c r="D6312" s="51">
        <v>1166.82</v>
      </c>
    </row>
    <row r="6313" spans="1:4" ht="13.5">
      <c r="A6313" s="49">
        <v>87385</v>
      </c>
      <c r="B6313" s="48" t="s">
        <v>6561</v>
      </c>
      <c r="C6313" s="48" t="s">
        <v>28764</v>
      </c>
      <c r="D6313" s="51">
        <v>1389.51</v>
      </c>
    </row>
    <row r="6314" spans="1:4" ht="13.5">
      <c r="A6314" s="49">
        <v>87386</v>
      </c>
      <c r="B6314" s="48" t="s">
        <v>6562</v>
      </c>
      <c r="C6314" s="48" t="s">
        <v>28764</v>
      </c>
      <c r="D6314" s="51">
        <v>1372.45</v>
      </c>
    </row>
    <row r="6315" spans="1:4" ht="13.5">
      <c r="A6315" s="49">
        <v>87387</v>
      </c>
      <c r="B6315" s="48" t="s">
        <v>6563</v>
      </c>
      <c r="C6315" s="48" t="s">
        <v>28764</v>
      </c>
      <c r="D6315" s="51">
        <v>1358.05</v>
      </c>
    </row>
    <row r="6316" spans="1:4" ht="13.5">
      <c r="A6316" s="49">
        <v>87388</v>
      </c>
      <c r="B6316" s="48" t="s">
        <v>6564</v>
      </c>
      <c r="C6316" s="48" t="s">
        <v>28764</v>
      </c>
      <c r="D6316" s="51">
        <v>3235.19</v>
      </c>
    </row>
    <row r="6317" spans="1:4" ht="13.5">
      <c r="A6317" s="49">
        <v>87389</v>
      </c>
      <c r="B6317" s="48" t="s">
        <v>6565</v>
      </c>
      <c r="C6317" s="48" t="s">
        <v>28764</v>
      </c>
      <c r="D6317" s="51">
        <v>3238.29</v>
      </c>
    </row>
    <row r="6318" spans="1:4" ht="13.5">
      <c r="A6318" s="49">
        <v>87390</v>
      </c>
      <c r="B6318" s="48" t="s">
        <v>6566</v>
      </c>
      <c r="C6318" s="48" t="s">
        <v>28764</v>
      </c>
      <c r="D6318" s="51">
        <v>3244.89</v>
      </c>
    </row>
    <row r="6319" spans="1:4" ht="13.5">
      <c r="A6319" s="49">
        <v>87391</v>
      </c>
      <c r="B6319" s="48" t="s">
        <v>6567</v>
      </c>
      <c r="C6319" s="48" t="s">
        <v>28764</v>
      </c>
      <c r="D6319" s="51">
        <v>3600.03</v>
      </c>
    </row>
    <row r="6320" spans="1:4" ht="13.5">
      <c r="A6320" s="49">
        <v>87393</v>
      </c>
      <c r="B6320" s="48" t="s">
        <v>6568</v>
      </c>
      <c r="C6320" s="48" t="s">
        <v>28764</v>
      </c>
      <c r="D6320" s="51">
        <v>3621.69</v>
      </c>
    </row>
    <row r="6321" spans="1:4" ht="13.5">
      <c r="A6321" s="49">
        <v>87394</v>
      </c>
      <c r="B6321" s="48" t="s">
        <v>6569</v>
      </c>
      <c r="C6321" s="48" t="s">
        <v>28764</v>
      </c>
      <c r="D6321" s="51">
        <v>3641.28</v>
      </c>
    </row>
    <row r="6322" spans="1:4" ht="13.5">
      <c r="A6322" s="49">
        <v>87395</v>
      </c>
      <c r="B6322" s="48" t="s">
        <v>6570</v>
      </c>
      <c r="C6322" s="48" t="s">
        <v>28764</v>
      </c>
      <c r="D6322" s="51">
        <v>2290.1999999999998</v>
      </c>
    </row>
    <row r="6323" spans="1:4" ht="13.5">
      <c r="A6323" s="49">
        <v>87396</v>
      </c>
      <c r="B6323" s="48" t="s">
        <v>6571</v>
      </c>
      <c r="C6323" s="48" t="s">
        <v>28764</v>
      </c>
      <c r="D6323" s="51">
        <v>2294.27</v>
      </c>
    </row>
    <row r="6324" spans="1:4" ht="13.5">
      <c r="A6324" s="49">
        <v>87397</v>
      </c>
      <c r="B6324" s="48" t="s">
        <v>6572</v>
      </c>
      <c r="C6324" s="48" t="s">
        <v>28764</v>
      </c>
      <c r="D6324" s="51">
        <v>2297.06</v>
      </c>
    </row>
    <row r="6325" spans="1:4" ht="13.5">
      <c r="A6325" s="49">
        <v>87398</v>
      </c>
      <c r="B6325" s="48" t="s">
        <v>6573</v>
      </c>
      <c r="C6325" s="48" t="s">
        <v>28764</v>
      </c>
      <c r="D6325" s="51">
        <v>1343.1</v>
      </c>
    </row>
    <row r="6326" spans="1:4" ht="13.5">
      <c r="A6326" s="49">
        <v>87399</v>
      </c>
      <c r="B6326" s="48" t="s">
        <v>6574</v>
      </c>
      <c r="C6326" s="48" t="s">
        <v>28764</v>
      </c>
      <c r="D6326" s="51">
        <v>1538.62</v>
      </c>
    </row>
    <row r="6327" spans="1:4" ht="13.5">
      <c r="A6327" s="49">
        <v>87401</v>
      </c>
      <c r="B6327" s="48" t="s">
        <v>6575</v>
      </c>
      <c r="C6327" s="48" t="s">
        <v>28764</v>
      </c>
      <c r="D6327" s="51">
        <v>3816.92</v>
      </c>
    </row>
    <row r="6328" spans="1:4" ht="13.5">
      <c r="A6328" s="49">
        <v>87402</v>
      </c>
      <c r="B6328" s="48" t="s">
        <v>6576</v>
      </c>
      <c r="C6328" s="48" t="s">
        <v>28764</v>
      </c>
      <c r="D6328" s="51">
        <v>2480.27</v>
      </c>
    </row>
    <row r="6329" spans="1:4" ht="13.5">
      <c r="A6329" s="49">
        <v>87404</v>
      </c>
      <c r="B6329" s="48" t="s">
        <v>6577</v>
      </c>
      <c r="C6329" s="48" t="s">
        <v>28764</v>
      </c>
      <c r="D6329" s="51">
        <v>3385.89</v>
      </c>
    </row>
    <row r="6330" spans="1:4" ht="13.5">
      <c r="A6330" s="49">
        <v>87405</v>
      </c>
      <c r="B6330" s="48" t="s">
        <v>6578</v>
      </c>
      <c r="C6330" s="48" t="s">
        <v>28764</v>
      </c>
      <c r="D6330" s="51">
        <v>3379.51</v>
      </c>
    </row>
    <row r="6331" spans="1:4" ht="13.5">
      <c r="A6331" s="49">
        <v>87407</v>
      </c>
      <c r="B6331" s="48" t="s">
        <v>6579</v>
      </c>
      <c r="C6331" s="48" t="s">
        <v>28764</v>
      </c>
      <c r="D6331" s="51">
        <v>1220.1199999999999</v>
      </c>
    </row>
    <row r="6332" spans="1:4" ht="13.5">
      <c r="A6332" s="49">
        <v>87408</v>
      </c>
      <c r="B6332" s="48" t="s">
        <v>6580</v>
      </c>
      <c r="C6332" s="48" t="s">
        <v>28764</v>
      </c>
      <c r="D6332" s="51">
        <v>1202.79</v>
      </c>
    </row>
    <row r="6333" spans="1:4" ht="13.5">
      <c r="A6333" s="49">
        <v>87410</v>
      </c>
      <c r="B6333" s="48" t="s">
        <v>6581</v>
      </c>
      <c r="C6333" s="48" t="s">
        <v>28764</v>
      </c>
      <c r="D6333" s="50">
        <v>795.43</v>
      </c>
    </row>
    <row r="6334" spans="1:4" ht="13.5">
      <c r="A6334" s="49">
        <v>88626</v>
      </c>
      <c r="B6334" s="48" t="s">
        <v>6582</v>
      </c>
      <c r="C6334" s="48" t="s">
        <v>28764</v>
      </c>
      <c r="D6334" s="50">
        <v>408.79</v>
      </c>
    </row>
    <row r="6335" spans="1:4" ht="13.5">
      <c r="A6335" s="49">
        <v>88627</v>
      </c>
      <c r="B6335" s="48" t="s">
        <v>6583</v>
      </c>
      <c r="C6335" s="48" t="s">
        <v>28764</v>
      </c>
      <c r="D6335" s="50">
        <v>477.75</v>
      </c>
    </row>
    <row r="6336" spans="1:4" ht="13.5">
      <c r="A6336" s="49">
        <v>88628</v>
      </c>
      <c r="B6336" s="48" t="s">
        <v>6584</v>
      </c>
      <c r="C6336" s="48" t="s">
        <v>28764</v>
      </c>
      <c r="D6336" s="50">
        <v>402.49</v>
      </c>
    </row>
    <row r="6337" spans="1:4" ht="13.5">
      <c r="A6337" s="49">
        <v>88629</v>
      </c>
      <c r="B6337" s="48" t="s">
        <v>6585</v>
      </c>
      <c r="C6337" s="48" t="s">
        <v>28764</v>
      </c>
      <c r="D6337" s="50">
        <v>477.89</v>
      </c>
    </row>
    <row r="6338" spans="1:4" ht="13.5">
      <c r="A6338" s="49">
        <v>88630</v>
      </c>
      <c r="B6338" s="48" t="s">
        <v>6586</v>
      </c>
      <c r="C6338" s="48" t="s">
        <v>28764</v>
      </c>
      <c r="D6338" s="50">
        <v>338.85</v>
      </c>
    </row>
    <row r="6339" spans="1:4" ht="13.5">
      <c r="A6339" s="49">
        <v>88631</v>
      </c>
      <c r="B6339" s="48" t="s">
        <v>6587</v>
      </c>
      <c r="C6339" s="48" t="s">
        <v>28764</v>
      </c>
      <c r="D6339" s="50">
        <v>425.71</v>
      </c>
    </row>
    <row r="6340" spans="1:4" ht="13.5">
      <c r="A6340" s="49">
        <v>88715</v>
      </c>
      <c r="B6340" s="48" t="s">
        <v>6588</v>
      </c>
      <c r="C6340" s="48" t="s">
        <v>28764</v>
      </c>
      <c r="D6340" s="50">
        <v>411.71</v>
      </c>
    </row>
    <row r="6341" spans="1:4" ht="13.5">
      <c r="A6341" s="49">
        <v>95563</v>
      </c>
      <c r="B6341" s="48" t="s">
        <v>19757</v>
      </c>
      <c r="C6341" s="48" t="s">
        <v>28764</v>
      </c>
      <c r="D6341" s="50">
        <v>608.98</v>
      </c>
    </row>
    <row r="6342" spans="1:4" ht="13.5">
      <c r="A6342" s="49">
        <v>100464</v>
      </c>
      <c r="B6342" s="48" t="s">
        <v>6589</v>
      </c>
      <c r="C6342" s="48" t="s">
        <v>28764</v>
      </c>
      <c r="D6342" s="50">
        <v>438.18</v>
      </c>
    </row>
    <row r="6343" spans="1:4" ht="13.5">
      <c r="A6343" s="49">
        <v>100465</v>
      </c>
      <c r="B6343" s="48" t="s">
        <v>6590</v>
      </c>
      <c r="C6343" s="48" t="s">
        <v>28764</v>
      </c>
      <c r="D6343" s="50">
        <v>398.23</v>
      </c>
    </row>
    <row r="6344" spans="1:4" ht="13.5">
      <c r="A6344" s="49">
        <v>100466</v>
      </c>
      <c r="B6344" s="48" t="s">
        <v>6591</v>
      </c>
      <c r="C6344" s="48" t="s">
        <v>28764</v>
      </c>
      <c r="D6344" s="50">
        <v>375.91</v>
      </c>
    </row>
    <row r="6345" spans="1:4" ht="13.5">
      <c r="A6345" s="49">
        <v>100468</v>
      </c>
      <c r="B6345" s="48" t="s">
        <v>6592</v>
      </c>
      <c r="C6345" s="48" t="s">
        <v>28764</v>
      </c>
      <c r="D6345" s="50">
        <v>517.44000000000005</v>
      </c>
    </row>
    <row r="6346" spans="1:4" ht="13.5">
      <c r="A6346" s="49">
        <v>100469</v>
      </c>
      <c r="B6346" s="48" t="s">
        <v>6593</v>
      </c>
      <c r="C6346" s="48" t="s">
        <v>28764</v>
      </c>
      <c r="D6346" s="50">
        <v>395.55</v>
      </c>
    </row>
    <row r="6347" spans="1:4" ht="13.5">
      <c r="A6347" s="49">
        <v>100470</v>
      </c>
      <c r="B6347" s="48" t="s">
        <v>6594</v>
      </c>
      <c r="C6347" s="48" t="s">
        <v>28764</v>
      </c>
      <c r="D6347" s="50">
        <v>350.74</v>
      </c>
    </row>
    <row r="6348" spans="1:4" ht="13.5">
      <c r="A6348" s="49">
        <v>100472</v>
      </c>
      <c r="B6348" s="48" t="s">
        <v>6595</v>
      </c>
      <c r="C6348" s="48" t="s">
        <v>28764</v>
      </c>
      <c r="D6348" s="50">
        <v>405.98</v>
      </c>
    </row>
    <row r="6349" spans="1:4" ht="13.5">
      <c r="A6349" s="49">
        <v>100473</v>
      </c>
      <c r="B6349" s="48" t="s">
        <v>6596</v>
      </c>
      <c r="C6349" s="48" t="s">
        <v>28764</v>
      </c>
      <c r="D6349" s="50">
        <v>355.64</v>
      </c>
    </row>
    <row r="6350" spans="1:4" ht="13.5">
      <c r="A6350" s="49">
        <v>100474</v>
      </c>
      <c r="B6350" s="48" t="s">
        <v>6597</v>
      </c>
      <c r="C6350" s="48" t="s">
        <v>28764</v>
      </c>
      <c r="D6350" s="50">
        <v>330.66</v>
      </c>
    </row>
    <row r="6351" spans="1:4" ht="13.5">
      <c r="A6351" s="49">
        <v>100475</v>
      </c>
      <c r="B6351" s="48" t="s">
        <v>6598</v>
      </c>
      <c r="C6351" s="48" t="s">
        <v>28764</v>
      </c>
      <c r="D6351" s="50">
        <v>534.99</v>
      </c>
    </row>
    <row r="6352" spans="1:4" ht="13.5">
      <c r="A6352" s="49">
        <v>100477</v>
      </c>
      <c r="B6352" s="48" t="s">
        <v>6599</v>
      </c>
      <c r="C6352" s="48" t="s">
        <v>28764</v>
      </c>
      <c r="D6352" s="50">
        <v>603.78</v>
      </c>
    </row>
    <row r="6353" spans="1:4" ht="13.5">
      <c r="A6353" s="49">
        <v>100478</v>
      </c>
      <c r="B6353" s="48" t="s">
        <v>6600</v>
      </c>
      <c r="C6353" s="48" t="s">
        <v>28764</v>
      </c>
      <c r="D6353" s="50">
        <v>525.04999999999995</v>
      </c>
    </row>
    <row r="6354" spans="1:4" ht="13.5">
      <c r="A6354" s="49">
        <v>100479</v>
      </c>
      <c r="B6354" s="48" t="s">
        <v>6601</v>
      </c>
      <c r="C6354" s="48" t="s">
        <v>28764</v>
      </c>
      <c r="D6354" s="50">
        <v>505.59</v>
      </c>
    </row>
    <row r="6355" spans="1:4" ht="13.5">
      <c r="A6355" s="49">
        <v>100480</v>
      </c>
      <c r="B6355" s="48" t="s">
        <v>6602</v>
      </c>
      <c r="C6355" s="48" t="s">
        <v>28764</v>
      </c>
      <c r="D6355" s="50">
        <v>608.05999999999995</v>
      </c>
    </row>
    <row r="6356" spans="1:4" ht="13.5">
      <c r="A6356" s="49">
        <v>100481</v>
      </c>
      <c r="B6356" s="48" t="s">
        <v>6603</v>
      </c>
      <c r="C6356" s="48" t="s">
        <v>28764</v>
      </c>
      <c r="D6356" s="50">
        <v>457</v>
      </c>
    </row>
    <row r="6357" spans="1:4" ht="13.5">
      <c r="A6357" s="49">
        <v>100483</v>
      </c>
      <c r="B6357" s="48" t="s">
        <v>6604</v>
      </c>
      <c r="C6357" s="48" t="s">
        <v>28764</v>
      </c>
      <c r="D6357" s="50">
        <v>508.69</v>
      </c>
    </row>
    <row r="6358" spans="1:4" ht="13.5">
      <c r="A6358" s="49">
        <v>100484</v>
      </c>
      <c r="B6358" s="48" t="s">
        <v>6605</v>
      </c>
      <c r="C6358" s="48" t="s">
        <v>28764</v>
      </c>
      <c r="D6358" s="50">
        <v>459.24</v>
      </c>
    </row>
    <row r="6359" spans="1:4" ht="13.5">
      <c r="A6359" s="49">
        <v>100485</v>
      </c>
      <c r="B6359" s="48" t="s">
        <v>6606</v>
      </c>
      <c r="C6359" s="48" t="s">
        <v>28764</v>
      </c>
      <c r="D6359" s="50">
        <v>435.63</v>
      </c>
    </row>
    <row r="6360" spans="1:4" ht="13.5">
      <c r="A6360" s="49">
        <v>100486</v>
      </c>
      <c r="B6360" s="48" t="s">
        <v>6607</v>
      </c>
      <c r="C6360" s="48" t="s">
        <v>28764</v>
      </c>
      <c r="D6360" s="50">
        <v>534.29999999999995</v>
      </c>
    </row>
    <row r="6361" spans="1:4" ht="13.5">
      <c r="A6361" s="49">
        <v>100487</v>
      </c>
      <c r="B6361" s="48" t="s">
        <v>6608</v>
      </c>
      <c r="C6361" s="48" t="s">
        <v>28764</v>
      </c>
      <c r="D6361" s="50">
        <v>386.29</v>
      </c>
    </row>
    <row r="6362" spans="1:4" ht="13.5">
      <c r="A6362" s="49">
        <v>100488</v>
      </c>
      <c r="B6362" s="48" t="s">
        <v>6609</v>
      </c>
      <c r="C6362" s="48" t="s">
        <v>28764</v>
      </c>
      <c r="D6362" s="50">
        <v>395.75</v>
      </c>
    </row>
    <row r="6363" spans="1:4" ht="13.5">
      <c r="A6363" s="49">
        <v>100489</v>
      </c>
      <c r="B6363" s="48" t="s">
        <v>6610</v>
      </c>
      <c r="C6363" s="48" t="s">
        <v>28764</v>
      </c>
      <c r="D6363" s="50">
        <v>397.23</v>
      </c>
    </row>
    <row r="6364" spans="1:4" ht="13.5">
      <c r="A6364" s="49">
        <v>100490</v>
      </c>
      <c r="B6364" s="48" t="s">
        <v>6611</v>
      </c>
      <c r="C6364" s="48" t="s">
        <v>28764</v>
      </c>
      <c r="D6364" s="50">
        <v>346.39</v>
      </c>
    </row>
    <row r="6365" spans="1:4" ht="13.5">
      <c r="A6365" s="49">
        <v>100491</v>
      </c>
      <c r="B6365" s="48" t="s">
        <v>6612</v>
      </c>
      <c r="C6365" s="48" t="s">
        <v>28764</v>
      </c>
      <c r="D6365" s="50">
        <v>530.36</v>
      </c>
    </row>
    <row r="6366" spans="1:4" ht="13.5">
      <c r="A6366" s="49">
        <v>100492</v>
      </c>
      <c r="B6366" s="48" t="s">
        <v>6613</v>
      </c>
      <c r="C6366" s="48" t="s">
        <v>28764</v>
      </c>
      <c r="D6366" s="50">
        <v>452.88</v>
      </c>
    </row>
    <row r="6367" spans="1:4" ht="13.5">
      <c r="A6367" s="49">
        <v>92121</v>
      </c>
      <c r="B6367" s="48" t="s">
        <v>6614</v>
      </c>
      <c r="C6367" s="48" t="s">
        <v>28764</v>
      </c>
      <c r="D6367" s="50">
        <v>26.05</v>
      </c>
    </row>
    <row r="6368" spans="1:4" ht="13.5">
      <c r="A6368" s="49">
        <v>92122</v>
      </c>
      <c r="B6368" s="48" t="s">
        <v>6615</v>
      </c>
      <c r="C6368" s="48" t="s">
        <v>28764</v>
      </c>
      <c r="D6368" s="50">
        <v>43.42</v>
      </c>
    </row>
    <row r="6369" spans="1:4" ht="13.5">
      <c r="A6369" s="49">
        <v>92123</v>
      </c>
      <c r="B6369" s="48" t="s">
        <v>6616</v>
      </c>
      <c r="C6369" s="48" t="s">
        <v>28764</v>
      </c>
      <c r="D6369" s="50">
        <v>49.82</v>
      </c>
    </row>
    <row r="6370" spans="1:4" ht="13.5">
      <c r="A6370" s="49">
        <v>100195</v>
      </c>
      <c r="B6370" s="48" t="s">
        <v>6617</v>
      </c>
      <c r="C6370" s="48" t="s">
        <v>6618</v>
      </c>
      <c r="D6370" s="50">
        <v>0.66</v>
      </c>
    </row>
    <row r="6371" spans="1:4" ht="13.5">
      <c r="A6371" s="49">
        <v>100196</v>
      </c>
      <c r="B6371" s="48" t="s">
        <v>6619</v>
      </c>
      <c r="C6371" s="48" t="s">
        <v>6618</v>
      </c>
      <c r="D6371" s="50">
        <v>1.1000000000000001</v>
      </c>
    </row>
    <row r="6372" spans="1:4" ht="13.5">
      <c r="A6372" s="49">
        <v>100197</v>
      </c>
      <c r="B6372" s="48" t="s">
        <v>6620</v>
      </c>
      <c r="C6372" s="48" t="s">
        <v>6618</v>
      </c>
      <c r="D6372" s="50">
        <v>1.66</v>
      </c>
    </row>
    <row r="6373" spans="1:4" ht="13.5">
      <c r="A6373" s="49">
        <v>100198</v>
      </c>
      <c r="B6373" s="48" t="s">
        <v>6621</v>
      </c>
      <c r="C6373" s="48" t="s">
        <v>6618</v>
      </c>
      <c r="D6373" s="50">
        <v>0.23</v>
      </c>
    </row>
    <row r="6374" spans="1:4" ht="13.5">
      <c r="A6374" s="49">
        <v>100199</v>
      </c>
      <c r="B6374" s="48" t="s">
        <v>6622</v>
      </c>
      <c r="C6374" s="48" t="s">
        <v>6618</v>
      </c>
      <c r="D6374" s="50">
        <v>0.27</v>
      </c>
    </row>
    <row r="6375" spans="1:4" ht="13.5">
      <c r="A6375" s="49">
        <v>100200</v>
      </c>
      <c r="B6375" s="48" t="s">
        <v>6623</v>
      </c>
      <c r="C6375" s="48" t="s">
        <v>6618</v>
      </c>
      <c r="D6375" s="50">
        <v>0.34</v>
      </c>
    </row>
    <row r="6376" spans="1:4" ht="13.5">
      <c r="A6376" s="49">
        <v>100201</v>
      </c>
      <c r="B6376" s="48" t="s">
        <v>6624</v>
      </c>
      <c r="C6376" s="48" t="s">
        <v>6618</v>
      </c>
      <c r="D6376" s="50">
        <v>0.67</v>
      </c>
    </row>
    <row r="6377" spans="1:4" ht="13.5">
      <c r="A6377" s="49">
        <v>100202</v>
      </c>
      <c r="B6377" s="48" t="s">
        <v>6625</v>
      </c>
      <c r="C6377" s="48" t="s">
        <v>6618</v>
      </c>
      <c r="D6377" s="50">
        <v>0.78</v>
      </c>
    </row>
    <row r="6378" spans="1:4" ht="13.5">
      <c r="A6378" s="49">
        <v>100203</v>
      </c>
      <c r="B6378" s="48" t="s">
        <v>6626</v>
      </c>
      <c r="C6378" s="48" t="s">
        <v>6618</v>
      </c>
      <c r="D6378" s="50">
        <v>0.93</v>
      </c>
    </row>
    <row r="6379" spans="1:4" ht="13.5">
      <c r="A6379" s="49">
        <v>100204</v>
      </c>
      <c r="B6379" s="48" t="s">
        <v>6627</v>
      </c>
      <c r="C6379" s="48" t="s">
        <v>6618</v>
      </c>
      <c r="D6379" s="50">
        <v>0.1</v>
      </c>
    </row>
    <row r="6380" spans="1:4" ht="13.5">
      <c r="A6380" s="49">
        <v>100205</v>
      </c>
      <c r="B6380" s="48" t="s">
        <v>6628</v>
      </c>
      <c r="C6380" s="48" t="s">
        <v>28765</v>
      </c>
      <c r="D6380" s="51">
        <v>1237.03</v>
      </c>
    </row>
    <row r="6381" spans="1:4" ht="13.5">
      <c r="A6381" s="49">
        <v>100206</v>
      </c>
      <c r="B6381" s="48" t="s">
        <v>6629</v>
      </c>
      <c r="C6381" s="48" t="s">
        <v>28765</v>
      </c>
      <c r="D6381" s="50">
        <v>894.16</v>
      </c>
    </row>
    <row r="6382" spans="1:4" ht="13.5">
      <c r="A6382" s="49">
        <v>100207</v>
      </c>
      <c r="B6382" s="48" t="s">
        <v>6630</v>
      </c>
      <c r="C6382" s="48" t="s">
        <v>28765</v>
      </c>
      <c r="D6382" s="50">
        <v>368.66</v>
      </c>
    </row>
    <row r="6383" spans="1:4" ht="13.5">
      <c r="A6383" s="49">
        <v>100208</v>
      </c>
      <c r="B6383" s="48" t="s">
        <v>6631</v>
      </c>
      <c r="C6383" s="48" t="s">
        <v>28767</v>
      </c>
      <c r="D6383" s="50">
        <v>16.36</v>
      </c>
    </row>
    <row r="6384" spans="1:4" ht="13.5">
      <c r="A6384" s="49">
        <v>100209</v>
      </c>
      <c r="B6384" s="48" t="s">
        <v>6632</v>
      </c>
      <c r="C6384" s="48" t="s">
        <v>28767</v>
      </c>
      <c r="D6384" s="50">
        <v>8.18</v>
      </c>
    </row>
    <row r="6385" spans="1:4" ht="13.5">
      <c r="A6385" s="49">
        <v>100210</v>
      </c>
      <c r="B6385" s="48" t="s">
        <v>6633</v>
      </c>
      <c r="C6385" s="48" t="s">
        <v>28767</v>
      </c>
      <c r="D6385" s="50">
        <v>15.07</v>
      </c>
    </row>
    <row r="6386" spans="1:4" ht="13.5">
      <c r="A6386" s="49">
        <v>100211</v>
      </c>
      <c r="B6386" s="48" t="s">
        <v>6634</v>
      </c>
      <c r="C6386" s="48" t="s">
        <v>28767</v>
      </c>
      <c r="D6386" s="50">
        <v>5.81</v>
      </c>
    </row>
    <row r="6387" spans="1:4" ht="13.5">
      <c r="A6387" s="49">
        <v>100212</v>
      </c>
      <c r="B6387" s="48" t="s">
        <v>6635</v>
      </c>
      <c r="C6387" s="48" t="s">
        <v>28767</v>
      </c>
      <c r="D6387" s="50">
        <v>6.42</v>
      </c>
    </row>
    <row r="6388" spans="1:4" ht="13.5">
      <c r="A6388" s="49">
        <v>100213</v>
      </c>
      <c r="B6388" s="48" t="s">
        <v>6636</v>
      </c>
      <c r="C6388" s="48" t="s">
        <v>28767</v>
      </c>
      <c r="D6388" s="50">
        <v>2.2999999999999998</v>
      </c>
    </row>
    <row r="6389" spans="1:4" ht="13.5">
      <c r="A6389" s="49">
        <v>100214</v>
      </c>
      <c r="B6389" s="48" t="s">
        <v>6637</v>
      </c>
      <c r="C6389" s="48" t="s">
        <v>28767</v>
      </c>
      <c r="D6389" s="50">
        <v>3.54</v>
      </c>
    </row>
    <row r="6390" spans="1:4" ht="13.5">
      <c r="A6390" s="49">
        <v>100215</v>
      </c>
      <c r="B6390" s="48" t="s">
        <v>6638</v>
      </c>
      <c r="C6390" s="48" t="s">
        <v>28767</v>
      </c>
      <c r="D6390" s="50">
        <v>3.03</v>
      </c>
    </row>
    <row r="6391" spans="1:4" ht="13.5">
      <c r="A6391" s="49">
        <v>100216</v>
      </c>
      <c r="B6391" s="48" t="s">
        <v>6639</v>
      </c>
      <c r="C6391" s="48" t="s">
        <v>28767</v>
      </c>
      <c r="D6391" s="50">
        <v>0.81</v>
      </c>
    </row>
    <row r="6392" spans="1:4" ht="13.5">
      <c r="A6392" s="49">
        <v>100217</v>
      </c>
      <c r="B6392" s="48" t="s">
        <v>6640</v>
      </c>
      <c r="C6392" s="48" t="s">
        <v>28767</v>
      </c>
      <c r="D6392" s="50">
        <v>2.72</v>
      </c>
    </row>
    <row r="6393" spans="1:4" ht="13.5">
      <c r="A6393" s="49">
        <v>100218</v>
      </c>
      <c r="B6393" s="48" t="s">
        <v>6641</v>
      </c>
      <c r="C6393" s="48" t="s">
        <v>28767</v>
      </c>
      <c r="D6393" s="50">
        <v>1.87</v>
      </c>
    </row>
    <row r="6394" spans="1:4" ht="13.5">
      <c r="A6394" s="49">
        <v>100219</v>
      </c>
      <c r="B6394" s="48" t="s">
        <v>6642</v>
      </c>
      <c r="C6394" s="48" t="s">
        <v>28767</v>
      </c>
      <c r="D6394" s="50">
        <v>0.41</v>
      </c>
    </row>
    <row r="6395" spans="1:4" ht="13.5">
      <c r="A6395" s="49">
        <v>100220</v>
      </c>
      <c r="B6395" s="48" t="s">
        <v>6643</v>
      </c>
      <c r="C6395" s="48" t="s">
        <v>28763</v>
      </c>
      <c r="D6395" s="50">
        <v>23.51</v>
      </c>
    </row>
    <row r="6396" spans="1:4" ht="13.5">
      <c r="A6396" s="49">
        <v>100221</v>
      </c>
      <c r="B6396" s="48" t="s">
        <v>6644</v>
      </c>
      <c r="C6396" s="48" t="s">
        <v>28763</v>
      </c>
      <c r="D6396" s="50">
        <v>26.65</v>
      </c>
    </row>
    <row r="6397" spans="1:4" ht="13.5">
      <c r="A6397" s="49">
        <v>100222</v>
      </c>
      <c r="B6397" s="48" t="s">
        <v>6645</v>
      </c>
      <c r="C6397" s="48" t="s">
        <v>28763</v>
      </c>
      <c r="D6397" s="50">
        <v>10.09</v>
      </c>
    </row>
    <row r="6398" spans="1:4" ht="13.5">
      <c r="A6398" s="49">
        <v>100223</v>
      </c>
      <c r="B6398" s="48" t="s">
        <v>6646</v>
      </c>
      <c r="C6398" s="48" t="s">
        <v>28763</v>
      </c>
      <c r="D6398" s="50">
        <v>4.72</v>
      </c>
    </row>
    <row r="6399" spans="1:4" ht="13.5">
      <c r="A6399" s="49">
        <v>100224</v>
      </c>
      <c r="B6399" s="48" t="s">
        <v>6647</v>
      </c>
      <c r="C6399" s="48" t="s">
        <v>28763</v>
      </c>
      <c r="D6399" s="50">
        <v>2.72</v>
      </c>
    </row>
    <row r="6400" spans="1:4" ht="13.5">
      <c r="A6400" s="49">
        <v>100225</v>
      </c>
      <c r="B6400" s="48" t="s">
        <v>6648</v>
      </c>
      <c r="C6400" s="48" t="s">
        <v>6649</v>
      </c>
      <c r="D6400" s="50">
        <v>1.84</v>
      </c>
    </row>
    <row r="6401" spans="1:4" ht="13.5">
      <c r="A6401" s="49">
        <v>100226</v>
      </c>
      <c r="B6401" s="48" t="s">
        <v>6650</v>
      </c>
      <c r="C6401" s="48" t="s">
        <v>6649</v>
      </c>
      <c r="D6401" s="50">
        <v>0.57999999999999996</v>
      </c>
    </row>
    <row r="6402" spans="1:4" ht="13.5">
      <c r="A6402" s="49">
        <v>100227</v>
      </c>
      <c r="B6402" s="48" t="s">
        <v>6651</v>
      </c>
      <c r="C6402" s="48" t="s">
        <v>6649</v>
      </c>
      <c r="D6402" s="50">
        <v>0.85</v>
      </c>
    </row>
    <row r="6403" spans="1:4" ht="13.5">
      <c r="A6403" s="49">
        <v>100228</v>
      </c>
      <c r="B6403" s="48" t="s">
        <v>6652</v>
      </c>
      <c r="C6403" s="48" t="s">
        <v>6649</v>
      </c>
      <c r="D6403" s="50">
        <v>0.26</v>
      </c>
    </row>
    <row r="6404" spans="1:4" ht="13.5">
      <c r="A6404" s="49">
        <v>100229</v>
      </c>
      <c r="B6404" s="48" t="s">
        <v>6653</v>
      </c>
      <c r="C6404" s="48" t="s">
        <v>8</v>
      </c>
      <c r="D6404" s="50">
        <v>0.01</v>
      </c>
    </row>
    <row r="6405" spans="1:4" ht="13.5">
      <c r="A6405" s="49">
        <v>100230</v>
      </c>
      <c r="B6405" s="48" t="s">
        <v>6654</v>
      </c>
      <c r="C6405" s="48" t="s">
        <v>8</v>
      </c>
      <c r="D6405" s="50">
        <v>0.02</v>
      </c>
    </row>
    <row r="6406" spans="1:4" ht="13.5">
      <c r="A6406" s="49">
        <v>100231</v>
      </c>
      <c r="B6406" s="48" t="s">
        <v>6655</v>
      </c>
      <c r="C6406" s="48" t="s">
        <v>8</v>
      </c>
      <c r="D6406" s="50">
        <v>0.03</v>
      </c>
    </row>
    <row r="6407" spans="1:4" ht="13.5">
      <c r="A6407" s="49">
        <v>100232</v>
      </c>
      <c r="B6407" s="48" t="s">
        <v>6656</v>
      </c>
      <c r="C6407" s="48" t="s">
        <v>32</v>
      </c>
      <c r="D6407" s="50">
        <v>0.31</v>
      </c>
    </row>
    <row r="6408" spans="1:4" ht="13.5">
      <c r="A6408" s="49">
        <v>100233</v>
      </c>
      <c r="B6408" s="48" t="s">
        <v>6657</v>
      </c>
      <c r="C6408" s="48" t="s">
        <v>32</v>
      </c>
      <c r="D6408" s="50">
        <v>0.15</v>
      </c>
    </row>
    <row r="6409" spans="1:4" ht="13.5">
      <c r="A6409" s="49">
        <v>100234</v>
      </c>
      <c r="B6409" s="48" t="s">
        <v>6658</v>
      </c>
      <c r="C6409" s="48" t="s">
        <v>26764</v>
      </c>
      <c r="D6409" s="50">
        <v>0.46</v>
      </c>
    </row>
    <row r="6410" spans="1:4" ht="13.5">
      <c r="A6410" s="49">
        <v>100235</v>
      </c>
      <c r="B6410" s="48" t="s">
        <v>6659</v>
      </c>
      <c r="C6410" s="48" t="s">
        <v>18</v>
      </c>
      <c r="D6410" s="50">
        <v>0.03</v>
      </c>
    </row>
    <row r="6411" spans="1:4" ht="13.5">
      <c r="A6411" s="49">
        <v>100236</v>
      </c>
      <c r="B6411" s="48" t="s">
        <v>6660</v>
      </c>
      <c r="C6411" s="48" t="s">
        <v>6661</v>
      </c>
      <c r="D6411" s="50">
        <v>2.34</v>
      </c>
    </row>
    <row r="6412" spans="1:4" ht="13.5">
      <c r="A6412" s="49">
        <v>100237</v>
      </c>
      <c r="B6412" s="48" t="s">
        <v>6662</v>
      </c>
      <c r="C6412" s="48" t="s">
        <v>6661</v>
      </c>
      <c r="D6412" s="50">
        <v>2.81</v>
      </c>
    </row>
    <row r="6413" spans="1:4" ht="13.5">
      <c r="A6413" s="49">
        <v>100238</v>
      </c>
      <c r="B6413" s="48" t="s">
        <v>6663</v>
      </c>
      <c r="C6413" s="48" t="s">
        <v>6661</v>
      </c>
      <c r="D6413" s="50">
        <v>4.5</v>
      </c>
    </row>
    <row r="6414" spans="1:4" ht="13.5">
      <c r="A6414" s="49">
        <v>100239</v>
      </c>
      <c r="B6414" s="48" t="s">
        <v>6664</v>
      </c>
      <c r="C6414" s="48" t="s">
        <v>6661</v>
      </c>
      <c r="D6414" s="50">
        <v>5.62</v>
      </c>
    </row>
    <row r="6415" spans="1:4" ht="13.5">
      <c r="A6415" s="49">
        <v>100240</v>
      </c>
      <c r="B6415" s="48" t="s">
        <v>6665</v>
      </c>
      <c r="C6415" s="48" t="s">
        <v>6661</v>
      </c>
      <c r="D6415" s="50">
        <v>3.37</v>
      </c>
    </row>
    <row r="6416" spans="1:4" ht="13.5">
      <c r="A6416" s="49">
        <v>100241</v>
      </c>
      <c r="B6416" s="48" t="s">
        <v>6666</v>
      </c>
      <c r="C6416" s="48" t="s">
        <v>6661</v>
      </c>
      <c r="D6416" s="50">
        <v>5.62</v>
      </c>
    </row>
    <row r="6417" spans="1:4" ht="13.5">
      <c r="A6417" s="49">
        <v>100242</v>
      </c>
      <c r="B6417" s="48" t="s">
        <v>6667</v>
      </c>
      <c r="C6417" s="48" t="s">
        <v>6661</v>
      </c>
      <c r="D6417" s="50">
        <v>16.61</v>
      </c>
    </row>
    <row r="6418" spans="1:4" ht="13.5">
      <c r="A6418" s="49">
        <v>100243</v>
      </c>
      <c r="B6418" s="48" t="s">
        <v>6668</v>
      </c>
      <c r="C6418" s="48" t="s">
        <v>6661</v>
      </c>
      <c r="D6418" s="50">
        <v>2.7</v>
      </c>
    </row>
    <row r="6419" spans="1:4" ht="13.5">
      <c r="A6419" s="49">
        <v>100244</v>
      </c>
      <c r="B6419" s="48" t="s">
        <v>6669</v>
      </c>
      <c r="C6419" s="48" t="s">
        <v>6661</v>
      </c>
      <c r="D6419" s="50">
        <v>3.37</v>
      </c>
    </row>
    <row r="6420" spans="1:4" ht="13.5">
      <c r="A6420" s="49">
        <v>100245</v>
      </c>
      <c r="B6420" s="48" t="s">
        <v>6670</v>
      </c>
      <c r="C6420" s="48" t="s">
        <v>6661</v>
      </c>
      <c r="D6420" s="50">
        <v>6.74</v>
      </c>
    </row>
    <row r="6421" spans="1:4" ht="13.5">
      <c r="A6421" s="49">
        <v>100246</v>
      </c>
      <c r="B6421" s="48" t="s">
        <v>6671</v>
      </c>
      <c r="C6421" s="48" t="s">
        <v>6661</v>
      </c>
      <c r="D6421" s="50">
        <v>2.2400000000000002</v>
      </c>
    </row>
    <row r="6422" spans="1:4" ht="13.5">
      <c r="A6422" s="49">
        <v>100247</v>
      </c>
      <c r="B6422" s="48" t="s">
        <v>6672</v>
      </c>
      <c r="C6422" s="48" t="s">
        <v>6661</v>
      </c>
      <c r="D6422" s="50">
        <v>2.81</v>
      </c>
    </row>
    <row r="6423" spans="1:4" ht="13.5">
      <c r="A6423" s="49">
        <v>100248</v>
      </c>
      <c r="B6423" s="48" t="s">
        <v>6673</v>
      </c>
      <c r="C6423" s="48" t="s">
        <v>6661</v>
      </c>
      <c r="D6423" s="50">
        <v>11.07</v>
      </c>
    </row>
    <row r="6424" spans="1:4" ht="13.5">
      <c r="A6424" s="49">
        <v>100249</v>
      </c>
      <c r="B6424" s="48" t="s">
        <v>6674</v>
      </c>
      <c r="C6424" s="48" t="s">
        <v>6661</v>
      </c>
      <c r="D6424" s="50">
        <v>2.2400000000000002</v>
      </c>
    </row>
    <row r="6425" spans="1:4" ht="13.5">
      <c r="A6425" s="49">
        <v>100250</v>
      </c>
      <c r="B6425" s="48" t="s">
        <v>6675</v>
      </c>
      <c r="C6425" s="48" t="s">
        <v>6661</v>
      </c>
      <c r="D6425" s="50">
        <v>3.74</v>
      </c>
    </row>
    <row r="6426" spans="1:4" ht="13.5">
      <c r="A6426" s="49">
        <v>100251</v>
      </c>
      <c r="B6426" s="48" t="s">
        <v>6676</v>
      </c>
      <c r="C6426" s="48" t="s">
        <v>6661</v>
      </c>
      <c r="D6426" s="50">
        <v>11.07</v>
      </c>
    </row>
    <row r="6427" spans="1:4" ht="13.5">
      <c r="A6427" s="49">
        <v>100252</v>
      </c>
      <c r="B6427" s="48" t="s">
        <v>6677</v>
      </c>
      <c r="C6427" s="48" t="s">
        <v>6661</v>
      </c>
      <c r="D6427" s="50">
        <v>16.61</v>
      </c>
    </row>
    <row r="6428" spans="1:4" ht="13.5">
      <c r="A6428" s="49">
        <v>100253</v>
      </c>
      <c r="B6428" s="48" t="s">
        <v>6678</v>
      </c>
      <c r="C6428" s="48" t="s">
        <v>6661</v>
      </c>
      <c r="D6428" s="50">
        <v>22.15</v>
      </c>
    </row>
    <row r="6429" spans="1:4" ht="13.5">
      <c r="A6429" s="49">
        <v>100254</v>
      </c>
      <c r="B6429" s="48" t="s">
        <v>6679</v>
      </c>
      <c r="C6429" s="48" t="s">
        <v>6661</v>
      </c>
      <c r="D6429" s="50">
        <v>33.229999999999997</v>
      </c>
    </row>
    <row r="6430" spans="1:4" ht="13.5">
      <c r="A6430" s="49">
        <v>100255</v>
      </c>
      <c r="B6430" s="48" t="s">
        <v>6680</v>
      </c>
      <c r="C6430" s="48" t="s">
        <v>6661</v>
      </c>
      <c r="D6430" s="50">
        <v>11.24</v>
      </c>
    </row>
    <row r="6431" spans="1:4" ht="13.5">
      <c r="A6431" s="49">
        <v>100256</v>
      </c>
      <c r="B6431" s="48" t="s">
        <v>6681</v>
      </c>
      <c r="C6431" s="48" t="s">
        <v>6661</v>
      </c>
      <c r="D6431" s="50">
        <v>7.49</v>
      </c>
    </row>
    <row r="6432" spans="1:4" ht="13.5">
      <c r="A6432" s="49">
        <v>100257</v>
      </c>
      <c r="B6432" s="48" t="s">
        <v>6682</v>
      </c>
      <c r="C6432" s="48" t="s">
        <v>6661</v>
      </c>
      <c r="D6432" s="50">
        <v>4.5</v>
      </c>
    </row>
    <row r="6433" spans="1:4" ht="13.5">
      <c r="A6433" s="49">
        <v>100258</v>
      </c>
      <c r="B6433" s="48" t="s">
        <v>6683</v>
      </c>
      <c r="C6433" s="48" t="s">
        <v>6661</v>
      </c>
      <c r="D6433" s="50">
        <v>11.24</v>
      </c>
    </row>
    <row r="6434" spans="1:4" ht="13.5">
      <c r="A6434" s="49">
        <v>100259</v>
      </c>
      <c r="B6434" s="48" t="s">
        <v>6684</v>
      </c>
      <c r="C6434" s="48" t="s">
        <v>6661</v>
      </c>
      <c r="D6434" s="50">
        <v>22.15</v>
      </c>
    </row>
    <row r="6435" spans="1:4" ht="13.5">
      <c r="A6435" s="49">
        <v>100260</v>
      </c>
      <c r="B6435" s="48" t="s">
        <v>6685</v>
      </c>
      <c r="C6435" s="48" t="s">
        <v>6618</v>
      </c>
      <c r="D6435" s="50">
        <v>7.3</v>
      </c>
    </row>
    <row r="6436" spans="1:4" ht="13.5">
      <c r="A6436" s="49">
        <v>100261</v>
      </c>
      <c r="B6436" s="48" t="s">
        <v>6686</v>
      </c>
      <c r="C6436" s="48" t="s">
        <v>6618</v>
      </c>
      <c r="D6436" s="50">
        <v>4.59</v>
      </c>
    </row>
    <row r="6437" spans="1:4" ht="13.5">
      <c r="A6437" s="49">
        <v>100262</v>
      </c>
      <c r="B6437" s="48" t="s">
        <v>6687</v>
      </c>
      <c r="C6437" s="48" t="s">
        <v>6618</v>
      </c>
      <c r="D6437" s="50">
        <v>2.84</v>
      </c>
    </row>
    <row r="6438" spans="1:4" ht="13.5">
      <c r="A6438" s="49">
        <v>100263</v>
      </c>
      <c r="B6438" s="48" t="s">
        <v>6688</v>
      </c>
      <c r="C6438" s="48" t="s">
        <v>6618</v>
      </c>
      <c r="D6438" s="50">
        <v>1.82</v>
      </c>
    </row>
    <row r="6439" spans="1:4" ht="13.5">
      <c r="A6439" s="49">
        <v>100264</v>
      </c>
      <c r="B6439" s="48" t="s">
        <v>6689</v>
      </c>
      <c r="C6439" s="48" t="s">
        <v>28763</v>
      </c>
      <c r="D6439" s="50">
        <v>33.18</v>
      </c>
    </row>
    <row r="6440" spans="1:4" ht="13.5">
      <c r="A6440" s="49">
        <v>100265</v>
      </c>
      <c r="B6440" s="48" t="s">
        <v>6690</v>
      </c>
      <c r="C6440" s="48" t="s">
        <v>26764</v>
      </c>
      <c r="D6440" s="50">
        <v>0.69</v>
      </c>
    </row>
    <row r="6441" spans="1:4" ht="13.5">
      <c r="A6441" s="49">
        <v>100266</v>
      </c>
      <c r="B6441" s="48" t="s">
        <v>6691</v>
      </c>
      <c r="C6441" s="48" t="s">
        <v>28767</v>
      </c>
      <c r="D6441" s="50">
        <v>70.53</v>
      </c>
    </row>
    <row r="6442" spans="1:4" ht="13.5">
      <c r="A6442" s="49">
        <v>100267</v>
      </c>
      <c r="B6442" s="48" t="s">
        <v>6692</v>
      </c>
      <c r="C6442" s="48" t="s">
        <v>32</v>
      </c>
      <c r="D6442" s="50">
        <v>1.39</v>
      </c>
    </row>
    <row r="6443" spans="1:4" ht="13.5">
      <c r="A6443" s="49">
        <v>100268</v>
      </c>
      <c r="B6443" s="48" t="s">
        <v>6693</v>
      </c>
      <c r="C6443" s="48" t="s">
        <v>28767</v>
      </c>
      <c r="D6443" s="50">
        <v>70.53</v>
      </c>
    </row>
    <row r="6444" spans="1:4" ht="13.5">
      <c r="A6444" s="49">
        <v>100269</v>
      </c>
      <c r="B6444" s="48" t="s">
        <v>6694</v>
      </c>
      <c r="C6444" s="48" t="s">
        <v>32</v>
      </c>
      <c r="D6444" s="50">
        <v>1.39</v>
      </c>
    </row>
    <row r="6445" spans="1:4" ht="13.5">
      <c r="A6445" s="49">
        <v>100270</v>
      </c>
      <c r="B6445" s="48" t="s">
        <v>6695</v>
      </c>
      <c r="C6445" s="48" t="s">
        <v>28767</v>
      </c>
      <c r="D6445" s="50">
        <v>52.87</v>
      </c>
    </row>
    <row r="6446" spans="1:4" ht="13.5">
      <c r="A6446" s="49">
        <v>100271</v>
      </c>
      <c r="B6446" s="48" t="s">
        <v>6696</v>
      </c>
      <c r="C6446" s="48" t="s">
        <v>28763</v>
      </c>
      <c r="D6446" s="50">
        <v>52.89</v>
      </c>
    </row>
    <row r="6447" spans="1:4" ht="13.5">
      <c r="A6447" s="49">
        <v>100272</v>
      </c>
      <c r="B6447" s="48" t="s">
        <v>6697</v>
      </c>
      <c r="C6447" s="48" t="s">
        <v>26764</v>
      </c>
      <c r="D6447" s="50">
        <v>1.04</v>
      </c>
    </row>
    <row r="6448" spans="1:4" ht="13.5">
      <c r="A6448" s="49">
        <v>100273</v>
      </c>
      <c r="B6448" s="48" t="s">
        <v>6698</v>
      </c>
      <c r="C6448" s="48" t="s">
        <v>6618</v>
      </c>
      <c r="D6448" s="50">
        <v>2.75</v>
      </c>
    </row>
    <row r="6449" spans="1:4" ht="13.5">
      <c r="A6449" s="49">
        <v>100274</v>
      </c>
      <c r="B6449" s="48" t="s">
        <v>6699</v>
      </c>
      <c r="C6449" s="48" t="s">
        <v>28763</v>
      </c>
      <c r="D6449" s="50">
        <v>23.52</v>
      </c>
    </row>
    <row r="6450" spans="1:4" ht="13.5">
      <c r="A6450" s="49">
        <v>100275</v>
      </c>
      <c r="B6450" s="48" t="s">
        <v>6700</v>
      </c>
      <c r="C6450" s="48" t="s">
        <v>28763</v>
      </c>
      <c r="D6450" s="50">
        <v>15.2</v>
      </c>
    </row>
    <row r="6451" spans="1:4" ht="13.5">
      <c r="A6451" s="49">
        <v>100276</v>
      </c>
      <c r="B6451" s="48" t="s">
        <v>6701</v>
      </c>
      <c r="C6451" s="48" t="s">
        <v>28763</v>
      </c>
      <c r="D6451" s="50">
        <v>27.75</v>
      </c>
    </row>
    <row r="6452" spans="1:4" ht="13.5">
      <c r="A6452" s="49">
        <v>100277</v>
      </c>
      <c r="B6452" s="48" t="s">
        <v>6702</v>
      </c>
      <c r="C6452" s="48" t="s">
        <v>28763</v>
      </c>
      <c r="D6452" s="50">
        <v>1.74</v>
      </c>
    </row>
    <row r="6453" spans="1:4" ht="13.5">
      <c r="A6453" s="49">
        <v>100278</v>
      </c>
      <c r="B6453" s="48" t="s">
        <v>6703</v>
      </c>
      <c r="C6453" s="48" t="s">
        <v>28767</v>
      </c>
      <c r="D6453" s="50">
        <v>33.74</v>
      </c>
    </row>
    <row r="6454" spans="1:4" ht="13.5">
      <c r="A6454" s="49">
        <v>100279</v>
      </c>
      <c r="B6454" s="48" t="s">
        <v>6704</v>
      </c>
      <c r="C6454" s="48" t="s">
        <v>32</v>
      </c>
      <c r="D6454" s="50">
        <v>0.65</v>
      </c>
    </row>
    <row r="6455" spans="1:4" ht="13.5">
      <c r="A6455" s="49">
        <v>100280</v>
      </c>
      <c r="B6455" s="48" t="s">
        <v>6705</v>
      </c>
      <c r="C6455" s="48" t="s">
        <v>28767</v>
      </c>
      <c r="D6455" s="50">
        <v>15.49</v>
      </c>
    </row>
    <row r="6456" spans="1:4" ht="13.5">
      <c r="A6456" s="49">
        <v>100281</v>
      </c>
      <c r="B6456" s="48" t="s">
        <v>6706</v>
      </c>
      <c r="C6456" s="48" t="s">
        <v>28767</v>
      </c>
      <c r="D6456" s="50">
        <v>3.33</v>
      </c>
    </row>
    <row r="6457" spans="1:4" ht="13.5">
      <c r="A6457" s="49">
        <v>100282</v>
      </c>
      <c r="B6457" s="48" t="s">
        <v>6707</v>
      </c>
      <c r="C6457" s="48" t="s">
        <v>28763</v>
      </c>
      <c r="D6457" s="50">
        <v>132.13999999999999</v>
      </c>
    </row>
    <row r="6458" spans="1:4" ht="13.5">
      <c r="A6458" s="49">
        <v>100283</v>
      </c>
      <c r="B6458" s="48" t="s">
        <v>6708</v>
      </c>
      <c r="C6458" s="48" t="s">
        <v>28763</v>
      </c>
      <c r="D6458" s="50">
        <v>21.34</v>
      </c>
    </row>
    <row r="6459" spans="1:4" ht="13.5">
      <c r="A6459" s="49">
        <v>100284</v>
      </c>
      <c r="B6459" s="48" t="s">
        <v>6709</v>
      </c>
      <c r="C6459" s="48" t="s">
        <v>28763</v>
      </c>
      <c r="D6459" s="50">
        <v>9.7799999999999994</v>
      </c>
    </row>
    <row r="6460" spans="1:4" ht="13.5">
      <c r="A6460" s="49">
        <v>100285</v>
      </c>
      <c r="B6460" s="48" t="s">
        <v>6710</v>
      </c>
      <c r="C6460" s="48" t="s">
        <v>6661</v>
      </c>
      <c r="D6460" s="50">
        <v>35.5</v>
      </c>
    </row>
    <row r="6461" spans="1:4" ht="13.5">
      <c r="A6461" s="49">
        <v>100286</v>
      </c>
      <c r="B6461" s="48" t="s">
        <v>6711</v>
      </c>
      <c r="C6461" s="48" t="s">
        <v>6661</v>
      </c>
      <c r="D6461" s="50">
        <v>11.57</v>
      </c>
    </row>
    <row r="6462" spans="1:4" ht="13.5">
      <c r="A6462" s="49">
        <v>100287</v>
      </c>
      <c r="B6462" s="48" t="s">
        <v>6712</v>
      </c>
      <c r="C6462" s="48" t="s">
        <v>6661</v>
      </c>
      <c r="D6462" s="50">
        <v>11.07</v>
      </c>
    </row>
    <row r="6463" spans="1:4" ht="13.5">
      <c r="A6463" s="49">
        <v>99802</v>
      </c>
      <c r="B6463" s="48" t="s">
        <v>6713</v>
      </c>
      <c r="C6463" s="48" t="s">
        <v>26764</v>
      </c>
      <c r="D6463" s="50">
        <v>0.45</v>
      </c>
    </row>
    <row r="6464" spans="1:4" ht="13.5">
      <c r="A6464" s="49">
        <v>99803</v>
      </c>
      <c r="B6464" s="48" t="s">
        <v>6714</v>
      </c>
      <c r="C6464" s="48" t="s">
        <v>26764</v>
      </c>
      <c r="D6464" s="50">
        <v>1.75</v>
      </c>
    </row>
    <row r="6465" spans="1:4" ht="13.5">
      <c r="A6465" s="49">
        <v>99804</v>
      </c>
      <c r="B6465" s="48" t="s">
        <v>26226</v>
      </c>
      <c r="C6465" s="48" t="s">
        <v>26764</v>
      </c>
      <c r="D6465" s="50">
        <v>4.54</v>
      </c>
    </row>
    <row r="6466" spans="1:4" ht="13.5">
      <c r="A6466" s="49">
        <v>99805</v>
      </c>
      <c r="B6466" s="48" t="s">
        <v>6715</v>
      </c>
      <c r="C6466" s="48" t="s">
        <v>26764</v>
      </c>
      <c r="D6466" s="50">
        <v>9.44</v>
      </c>
    </row>
    <row r="6467" spans="1:4" ht="13.5">
      <c r="A6467" s="49">
        <v>99806</v>
      </c>
      <c r="B6467" s="48" t="s">
        <v>6716</v>
      </c>
      <c r="C6467" s="48" t="s">
        <v>26764</v>
      </c>
      <c r="D6467" s="50">
        <v>0.72</v>
      </c>
    </row>
    <row r="6468" spans="1:4" ht="13.5">
      <c r="A6468" s="49">
        <v>99807</v>
      </c>
      <c r="B6468" s="48" t="s">
        <v>26227</v>
      </c>
      <c r="C6468" s="48" t="s">
        <v>26764</v>
      </c>
      <c r="D6468" s="50">
        <v>1.37</v>
      </c>
    </row>
    <row r="6469" spans="1:4" ht="13.5">
      <c r="A6469" s="49">
        <v>99808</v>
      </c>
      <c r="B6469" s="48" t="s">
        <v>6717</v>
      </c>
      <c r="C6469" s="48" t="s">
        <v>26764</v>
      </c>
      <c r="D6469" s="50">
        <v>3.29</v>
      </c>
    </row>
    <row r="6470" spans="1:4" ht="13.5">
      <c r="A6470" s="49">
        <v>99809</v>
      </c>
      <c r="B6470" s="48" t="s">
        <v>6718</v>
      </c>
      <c r="C6470" s="48" t="s">
        <v>26764</v>
      </c>
      <c r="D6470" s="50">
        <v>4.99</v>
      </c>
    </row>
    <row r="6471" spans="1:4" ht="13.5">
      <c r="A6471" s="49">
        <v>99810</v>
      </c>
      <c r="B6471" s="48" t="s">
        <v>26228</v>
      </c>
      <c r="C6471" s="48" t="s">
        <v>26764</v>
      </c>
      <c r="D6471" s="50">
        <v>6.2</v>
      </c>
    </row>
    <row r="6472" spans="1:4" ht="13.5">
      <c r="A6472" s="49">
        <v>99811</v>
      </c>
      <c r="B6472" s="48" t="s">
        <v>6719</v>
      </c>
      <c r="C6472" s="48" t="s">
        <v>26764</v>
      </c>
      <c r="D6472" s="50">
        <v>2.98</v>
      </c>
    </row>
    <row r="6473" spans="1:4" ht="13.5">
      <c r="A6473" s="49">
        <v>99812</v>
      </c>
      <c r="B6473" s="48" t="s">
        <v>6720</v>
      </c>
      <c r="C6473" s="48" t="s">
        <v>26764</v>
      </c>
      <c r="D6473" s="50">
        <v>0.95</v>
      </c>
    </row>
    <row r="6474" spans="1:4" ht="13.5">
      <c r="A6474" s="49">
        <v>99813</v>
      </c>
      <c r="B6474" s="48" t="s">
        <v>26229</v>
      </c>
      <c r="C6474" s="48" t="s">
        <v>26764</v>
      </c>
      <c r="D6474" s="50">
        <v>0.81</v>
      </c>
    </row>
    <row r="6475" spans="1:4" ht="13.5">
      <c r="A6475" s="49">
        <v>99814</v>
      </c>
      <c r="B6475" s="48" t="s">
        <v>6721</v>
      </c>
      <c r="C6475" s="48" t="s">
        <v>26764</v>
      </c>
      <c r="D6475" s="50">
        <v>1.68</v>
      </c>
    </row>
    <row r="6476" spans="1:4" ht="13.5">
      <c r="A6476" s="49">
        <v>99815</v>
      </c>
      <c r="B6476" s="48" t="s">
        <v>26230</v>
      </c>
      <c r="C6476" s="48" t="s">
        <v>32</v>
      </c>
      <c r="D6476" s="50">
        <v>7.15</v>
      </c>
    </row>
    <row r="6477" spans="1:4" ht="13.5">
      <c r="A6477" s="49">
        <v>99816</v>
      </c>
      <c r="B6477" s="48" t="s">
        <v>26231</v>
      </c>
      <c r="C6477" s="48" t="s">
        <v>32</v>
      </c>
      <c r="D6477" s="50">
        <v>7.6</v>
      </c>
    </row>
    <row r="6478" spans="1:4" ht="13.5">
      <c r="A6478" s="49">
        <v>99817</v>
      </c>
      <c r="B6478" s="48" t="s">
        <v>26232</v>
      </c>
      <c r="C6478" s="48" t="s">
        <v>32</v>
      </c>
      <c r="D6478" s="50">
        <v>4.45</v>
      </c>
    </row>
    <row r="6479" spans="1:4" ht="13.5">
      <c r="A6479" s="49">
        <v>99818</v>
      </c>
      <c r="B6479" s="48" t="s">
        <v>26233</v>
      </c>
      <c r="C6479" s="48" t="s">
        <v>32</v>
      </c>
      <c r="D6479" s="50">
        <v>4.45</v>
      </c>
    </row>
    <row r="6480" spans="1:4" ht="13.5">
      <c r="A6480" s="49">
        <v>99819</v>
      </c>
      <c r="B6480" s="48" t="s">
        <v>26234</v>
      </c>
      <c r="C6480" s="48" t="s">
        <v>26764</v>
      </c>
      <c r="D6480" s="50">
        <v>14.21</v>
      </c>
    </row>
    <row r="6481" spans="1:4" ht="13.5">
      <c r="A6481" s="49">
        <v>99820</v>
      </c>
      <c r="B6481" s="48" t="s">
        <v>26235</v>
      </c>
      <c r="C6481" s="48" t="s">
        <v>26764</v>
      </c>
      <c r="D6481" s="50">
        <v>1.61</v>
      </c>
    </row>
    <row r="6482" spans="1:4" ht="13.5">
      <c r="A6482" s="49">
        <v>99821</v>
      </c>
      <c r="B6482" s="48" t="s">
        <v>26236</v>
      </c>
      <c r="C6482" s="48" t="s">
        <v>26764</v>
      </c>
      <c r="D6482" s="50">
        <v>2.4900000000000002</v>
      </c>
    </row>
    <row r="6483" spans="1:4" ht="13.5">
      <c r="A6483" s="49">
        <v>99822</v>
      </c>
      <c r="B6483" s="48" t="s">
        <v>6722</v>
      </c>
      <c r="C6483" s="48" t="s">
        <v>26764</v>
      </c>
      <c r="D6483" s="50">
        <v>0.85</v>
      </c>
    </row>
    <row r="6484" spans="1:4" ht="13.5">
      <c r="A6484" s="49">
        <v>99823</v>
      </c>
      <c r="B6484" s="48" t="s">
        <v>26237</v>
      </c>
      <c r="C6484" s="48" t="s">
        <v>26764</v>
      </c>
      <c r="D6484" s="50">
        <v>1.9</v>
      </c>
    </row>
    <row r="6485" spans="1:4" ht="13.5">
      <c r="A6485" s="49">
        <v>99824</v>
      </c>
      <c r="B6485" s="48" t="s">
        <v>26238</v>
      </c>
      <c r="C6485" s="48" t="s">
        <v>26764</v>
      </c>
      <c r="D6485" s="50">
        <v>2.09</v>
      </c>
    </row>
    <row r="6486" spans="1:4" ht="13.5">
      <c r="A6486" s="49">
        <v>99825</v>
      </c>
      <c r="B6486" s="48" t="s">
        <v>26239</v>
      </c>
      <c r="C6486" s="48" t="s">
        <v>26764</v>
      </c>
      <c r="D6486" s="50">
        <v>2.93</v>
      </c>
    </row>
    <row r="6487" spans="1:4" ht="13.5">
      <c r="A6487" s="49">
        <v>99826</v>
      </c>
      <c r="B6487" s="48" t="s">
        <v>6723</v>
      </c>
      <c r="C6487" s="48" t="s">
        <v>26764</v>
      </c>
      <c r="D6487" s="50">
        <v>1.3</v>
      </c>
    </row>
    <row r="6488" spans="1:4" ht="13.5">
      <c r="A6488" s="49">
        <v>97010</v>
      </c>
      <c r="B6488" s="48" t="s">
        <v>6724</v>
      </c>
      <c r="C6488" s="48" t="s">
        <v>6</v>
      </c>
      <c r="D6488" s="50">
        <v>66.66</v>
      </c>
    </row>
    <row r="6489" spans="1:4" ht="13.5">
      <c r="A6489" s="49">
        <v>97011</v>
      </c>
      <c r="B6489" s="48" t="s">
        <v>6725</v>
      </c>
      <c r="C6489" s="48" t="s">
        <v>6</v>
      </c>
      <c r="D6489" s="50">
        <v>50.95</v>
      </c>
    </row>
    <row r="6490" spans="1:4" ht="13.5">
      <c r="A6490" s="49">
        <v>97012</v>
      </c>
      <c r="B6490" s="48" t="s">
        <v>6726</v>
      </c>
      <c r="C6490" s="48" t="s">
        <v>6</v>
      </c>
      <c r="D6490" s="50">
        <v>43.1</v>
      </c>
    </row>
    <row r="6491" spans="1:4" ht="13.5">
      <c r="A6491" s="49">
        <v>97013</v>
      </c>
      <c r="B6491" s="48" t="s">
        <v>6727</v>
      </c>
      <c r="C6491" s="48" t="s">
        <v>6</v>
      </c>
      <c r="D6491" s="50">
        <v>107.24</v>
      </c>
    </row>
    <row r="6492" spans="1:4" ht="13.5">
      <c r="A6492" s="49">
        <v>97014</v>
      </c>
      <c r="B6492" s="48" t="s">
        <v>6728</v>
      </c>
      <c r="C6492" s="48" t="s">
        <v>6</v>
      </c>
      <c r="D6492" s="50">
        <v>78.239999999999995</v>
      </c>
    </row>
    <row r="6493" spans="1:4" ht="13.5">
      <c r="A6493" s="49">
        <v>97015</v>
      </c>
      <c r="B6493" s="48" t="s">
        <v>6729</v>
      </c>
      <c r="C6493" s="48" t="s">
        <v>6</v>
      </c>
      <c r="D6493" s="50">
        <v>63.62</v>
      </c>
    </row>
    <row r="6494" spans="1:4" ht="13.5">
      <c r="A6494" s="49">
        <v>97016</v>
      </c>
      <c r="B6494" s="48" t="s">
        <v>6730</v>
      </c>
      <c r="C6494" s="48" t="s">
        <v>6</v>
      </c>
      <c r="D6494" s="50">
        <v>59.45</v>
      </c>
    </row>
    <row r="6495" spans="1:4" ht="13.5">
      <c r="A6495" s="49">
        <v>97017</v>
      </c>
      <c r="B6495" s="48" t="s">
        <v>6731</v>
      </c>
      <c r="C6495" s="48" t="s">
        <v>6</v>
      </c>
      <c r="D6495" s="50">
        <v>44.47</v>
      </c>
    </row>
    <row r="6496" spans="1:4" ht="13.5">
      <c r="A6496" s="49">
        <v>97018</v>
      </c>
      <c r="B6496" s="48" t="s">
        <v>6732</v>
      </c>
      <c r="C6496" s="48" t="s">
        <v>6</v>
      </c>
      <c r="D6496" s="50">
        <v>36.700000000000003</v>
      </c>
    </row>
    <row r="6497" spans="1:4" ht="13.5">
      <c r="A6497" s="49">
        <v>97031</v>
      </c>
      <c r="B6497" s="48" t="s">
        <v>6733</v>
      </c>
      <c r="C6497" s="48" t="s">
        <v>6</v>
      </c>
      <c r="D6497" s="50">
        <v>93.03</v>
      </c>
    </row>
    <row r="6498" spans="1:4" ht="13.5">
      <c r="A6498" s="49">
        <v>97032</v>
      </c>
      <c r="B6498" s="48" t="s">
        <v>6735</v>
      </c>
      <c r="C6498" s="48" t="s">
        <v>6</v>
      </c>
      <c r="D6498" s="50">
        <v>56.95</v>
      </c>
    </row>
    <row r="6499" spans="1:4" ht="13.5">
      <c r="A6499" s="49">
        <v>97033</v>
      </c>
      <c r="B6499" s="48" t="s">
        <v>6736</v>
      </c>
      <c r="C6499" s="48" t="s">
        <v>6</v>
      </c>
      <c r="D6499" s="50">
        <v>91.03</v>
      </c>
    </row>
    <row r="6500" spans="1:4" ht="13.5">
      <c r="A6500" s="49">
        <v>97034</v>
      </c>
      <c r="B6500" s="48" t="s">
        <v>6737</v>
      </c>
      <c r="C6500" s="48" t="s">
        <v>6</v>
      </c>
      <c r="D6500" s="50">
        <v>54.71</v>
      </c>
    </row>
    <row r="6501" spans="1:4" ht="13.5">
      <c r="A6501" s="49">
        <v>97039</v>
      </c>
      <c r="B6501" s="48" t="s">
        <v>6738</v>
      </c>
      <c r="C6501" s="48" t="s">
        <v>26764</v>
      </c>
      <c r="D6501" s="50">
        <v>50.9</v>
      </c>
    </row>
    <row r="6502" spans="1:4" ht="13.5">
      <c r="A6502" s="49">
        <v>97040</v>
      </c>
      <c r="B6502" s="48" t="s">
        <v>6739</v>
      </c>
      <c r="C6502" s="48" t="s">
        <v>26764</v>
      </c>
      <c r="D6502" s="50">
        <v>16.48</v>
      </c>
    </row>
    <row r="6503" spans="1:4" ht="13.5">
      <c r="A6503" s="49">
        <v>97041</v>
      </c>
      <c r="B6503" s="48" t="s">
        <v>6740</v>
      </c>
      <c r="C6503" s="48" t="s">
        <v>26764</v>
      </c>
      <c r="D6503" s="50">
        <v>266.14</v>
      </c>
    </row>
    <row r="6504" spans="1:4" ht="13.5">
      <c r="A6504" s="49">
        <v>97046</v>
      </c>
      <c r="B6504" s="48" t="s">
        <v>6741</v>
      </c>
      <c r="C6504" s="48" t="s">
        <v>26764</v>
      </c>
      <c r="D6504" s="50">
        <v>0.34</v>
      </c>
    </row>
    <row r="6505" spans="1:4" ht="13.5">
      <c r="A6505" s="49">
        <v>97047</v>
      </c>
      <c r="B6505" s="48" t="s">
        <v>6742</v>
      </c>
      <c r="C6505" s="48" t="s">
        <v>26764</v>
      </c>
      <c r="D6505" s="50">
        <v>0.13</v>
      </c>
    </row>
    <row r="6506" spans="1:4" ht="13.5">
      <c r="A6506" s="49">
        <v>97048</v>
      </c>
      <c r="B6506" s="48" t="s">
        <v>6743</v>
      </c>
      <c r="C6506" s="48" t="s">
        <v>26764</v>
      </c>
      <c r="D6506" s="50">
        <v>0.09</v>
      </c>
    </row>
    <row r="6507" spans="1:4" ht="13.5">
      <c r="A6507" s="49">
        <v>97054</v>
      </c>
      <c r="B6507" s="48" t="s">
        <v>21670</v>
      </c>
      <c r="C6507" s="48" t="s">
        <v>32</v>
      </c>
      <c r="D6507" s="50">
        <v>23.1</v>
      </c>
    </row>
    <row r="6508" spans="1:4" ht="13.5">
      <c r="A6508" s="49">
        <v>97062</v>
      </c>
      <c r="B6508" s="48" t="s">
        <v>6744</v>
      </c>
      <c r="C6508" s="48" t="s">
        <v>26764</v>
      </c>
      <c r="D6508" s="50">
        <v>6.52</v>
      </c>
    </row>
    <row r="6509" spans="1:4" ht="13.5">
      <c r="A6509" s="49">
        <v>97063</v>
      </c>
      <c r="B6509" s="48" t="s">
        <v>6745</v>
      </c>
      <c r="C6509" s="48" t="s">
        <v>26764</v>
      </c>
      <c r="D6509" s="50">
        <v>10.6</v>
      </c>
    </row>
    <row r="6510" spans="1:4" ht="13.5">
      <c r="A6510" s="49">
        <v>97064</v>
      </c>
      <c r="B6510" s="48" t="s">
        <v>6746</v>
      </c>
      <c r="C6510" s="48" t="s">
        <v>6</v>
      </c>
      <c r="D6510" s="50">
        <v>19.3</v>
      </c>
    </row>
    <row r="6511" spans="1:4" ht="13.5">
      <c r="A6511" s="49">
        <v>97065</v>
      </c>
      <c r="B6511" s="48" t="s">
        <v>6748</v>
      </c>
      <c r="C6511" s="48" t="s">
        <v>28764</v>
      </c>
      <c r="D6511" s="50">
        <v>6.46</v>
      </c>
    </row>
    <row r="6512" spans="1:4" ht="13.5">
      <c r="A6512" s="49">
        <v>97066</v>
      </c>
      <c r="B6512" s="48" t="s">
        <v>6749</v>
      </c>
      <c r="C6512" s="48" t="s">
        <v>26764</v>
      </c>
      <c r="D6512" s="50">
        <v>118.66</v>
      </c>
    </row>
    <row r="6513" spans="1:4" ht="13.5">
      <c r="A6513" s="49">
        <v>97067</v>
      </c>
      <c r="B6513" s="48" t="s">
        <v>6750</v>
      </c>
      <c r="C6513" s="48" t="s">
        <v>6</v>
      </c>
      <c r="D6513" s="50">
        <v>707.44</v>
      </c>
    </row>
    <row r="6514" spans="1:4" ht="13.5">
      <c r="A6514" s="49">
        <v>97621</v>
      </c>
      <c r="B6514" s="48" t="s">
        <v>6751</v>
      </c>
      <c r="C6514" s="48" t="s">
        <v>28764</v>
      </c>
      <c r="D6514" s="50">
        <v>98.02</v>
      </c>
    </row>
    <row r="6515" spans="1:4" ht="13.5">
      <c r="A6515" s="49">
        <v>97622</v>
      </c>
      <c r="B6515" s="48" t="s">
        <v>6752</v>
      </c>
      <c r="C6515" s="48" t="s">
        <v>28764</v>
      </c>
      <c r="D6515" s="50">
        <v>47.78</v>
      </c>
    </row>
    <row r="6516" spans="1:4" ht="13.5">
      <c r="A6516" s="49">
        <v>97623</v>
      </c>
      <c r="B6516" s="48" t="s">
        <v>6753</v>
      </c>
      <c r="C6516" s="48" t="s">
        <v>28764</v>
      </c>
      <c r="D6516" s="50">
        <v>146.35</v>
      </c>
    </row>
    <row r="6517" spans="1:4" ht="13.5">
      <c r="A6517" s="49">
        <v>97624</v>
      </c>
      <c r="B6517" s="48" t="s">
        <v>6754</v>
      </c>
      <c r="C6517" s="48" t="s">
        <v>28764</v>
      </c>
      <c r="D6517" s="50">
        <v>89.83</v>
      </c>
    </row>
    <row r="6518" spans="1:4" ht="13.5">
      <c r="A6518" s="49">
        <v>97625</v>
      </c>
      <c r="B6518" s="48" t="s">
        <v>6755</v>
      </c>
      <c r="C6518" s="48" t="s">
        <v>28764</v>
      </c>
      <c r="D6518" s="50">
        <v>51.31</v>
      </c>
    </row>
    <row r="6519" spans="1:4" ht="13.5">
      <c r="A6519" s="49">
        <v>97626</v>
      </c>
      <c r="B6519" s="48" t="s">
        <v>6756</v>
      </c>
      <c r="C6519" s="48" t="s">
        <v>28764</v>
      </c>
      <c r="D6519" s="50">
        <v>521.26</v>
      </c>
    </row>
    <row r="6520" spans="1:4" ht="13.5">
      <c r="A6520" s="49">
        <v>97627</v>
      </c>
      <c r="B6520" s="48" t="s">
        <v>6757</v>
      </c>
      <c r="C6520" s="48" t="s">
        <v>28764</v>
      </c>
      <c r="D6520" s="50">
        <v>241.46</v>
      </c>
    </row>
    <row r="6521" spans="1:4" ht="13.5">
      <c r="A6521" s="49">
        <v>97628</v>
      </c>
      <c r="B6521" s="48" t="s">
        <v>6758</v>
      </c>
      <c r="C6521" s="48" t="s">
        <v>28764</v>
      </c>
      <c r="D6521" s="50">
        <v>236.12</v>
      </c>
    </row>
    <row r="6522" spans="1:4" ht="13.5">
      <c r="A6522" s="49">
        <v>97629</v>
      </c>
      <c r="B6522" s="48" t="s">
        <v>6759</v>
      </c>
      <c r="C6522" s="48" t="s">
        <v>28764</v>
      </c>
      <c r="D6522" s="50">
        <v>102.01</v>
      </c>
    </row>
    <row r="6523" spans="1:4" ht="13.5">
      <c r="A6523" s="49">
        <v>97631</v>
      </c>
      <c r="B6523" s="48" t="s">
        <v>6760</v>
      </c>
      <c r="C6523" s="48" t="s">
        <v>26764</v>
      </c>
      <c r="D6523" s="50">
        <v>2.84</v>
      </c>
    </row>
    <row r="6524" spans="1:4" ht="13.5">
      <c r="A6524" s="49">
        <v>97632</v>
      </c>
      <c r="B6524" s="48" t="s">
        <v>6761</v>
      </c>
      <c r="C6524" s="48" t="s">
        <v>6</v>
      </c>
      <c r="D6524" s="50">
        <v>2.25</v>
      </c>
    </row>
    <row r="6525" spans="1:4" ht="13.5">
      <c r="A6525" s="49">
        <v>97633</v>
      </c>
      <c r="B6525" s="48" t="s">
        <v>6762</v>
      </c>
      <c r="C6525" s="48" t="s">
        <v>26764</v>
      </c>
      <c r="D6525" s="50">
        <v>19.690000000000001</v>
      </c>
    </row>
    <row r="6526" spans="1:4" ht="13.5">
      <c r="A6526" s="49">
        <v>97634</v>
      </c>
      <c r="B6526" s="48" t="s">
        <v>6763</v>
      </c>
      <c r="C6526" s="48" t="s">
        <v>26764</v>
      </c>
      <c r="D6526" s="50">
        <v>10.29</v>
      </c>
    </row>
    <row r="6527" spans="1:4" ht="13.5">
      <c r="A6527" s="49">
        <v>97635</v>
      </c>
      <c r="B6527" s="48" t="s">
        <v>6764</v>
      </c>
      <c r="C6527" s="48" t="s">
        <v>26764</v>
      </c>
      <c r="D6527" s="50">
        <v>13.27</v>
      </c>
    </row>
    <row r="6528" spans="1:4" ht="13.5">
      <c r="A6528" s="49">
        <v>97636</v>
      </c>
      <c r="B6528" s="48" t="s">
        <v>6765</v>
      </c>
      <c r="C6528" s="48" t="s">
        <v>26764</v>
      </c>
      <c r="D6528" s="50">
        <v>18.489999999999998</v>
      </c>
    </row>
    <row r="6529" spans="1:4" ht="13.5">
      <c r="A6529" s="49">
        <v>97637</v>
      </c>
      <c r="B6529" s="48" t="s">
        <v>6766</v>
      </c>
      <c r="C6529" s="48" t="s">
        <v>26764</v>
      </c>
      <c r="D6529" s="50">
        <v>2.5099999999999998</v>
      </c>
    </row>
    <row r="6530" spans="1:4" ht="13.5">
      <c r="A6530" s="49">
        <v>97638</v>
      </c>
      <c r="B6530" s="48" t="s">
        <v>6767</v>
      </c>
      <c r="C6530" s="48" t="s">
        <v>26764</v>
      </c>
      <c r="D6530" s="50">
        <v>7.3</v>
      </c>
    </row>
    <row r="6531" spans="1:4" ht="13.5">
      <c r="A6531" s="49">
        <v>97639</v>
      </c>
      <c r="B6531" s="48" t="s">
        <v>6768</v>
      </c>
      <c r="C6531" s="48" t="s">
        <v>26764</v>
      </c>
      <c r="D6531" s="50">
        <v>17.29</v>
      </c>
    </row>
    <row r="6532" spans="1:4" ht="13.5">
      <c r="A6532" s="49">
        <v>97640</v>
      </c>
      <c r="B6532" s="48" t="s">
        <v>6769</v>
      </c>
      <c r="C6532" s="48" t="s">
        <v>26764</v>
      </c>
      <c r="D6532" s="50">
        <v>1.58</v>
      </c>
    </row>
    <row r="6533" spans="1:4" ht="13.5">
      <c r="A6533" s="49">
        <v>97641</v>
      </c>
      <c r="B6533" s="48" t="s">
        <v>6770</v>
      </c>
      <c r="C6533" s="48" t="s">
        <v>26764</v>
      </c>
      <c r="D6533" s="50">
        <v>3.96</v>
      </c>
    </row>
    <row r="6534" spans="1:4" ht="13.5">
      <c r="A6534" s="49">
        <v>97642</v>
      </c>
      <c r="B6534" s="48" t="s">
        <v>6771</v>
      </c>
      <c r="C6534" s="48" t="s">
        <v>26764</v>
      </c>
      <c r="D6534" s="50">
        <v>2.83</v>
      </c>
    </row>
    <row r="6535" spans="1:4" ht="13.5">
      <c r="A6535" s="49">
        <v>97643</v>
      </c>
      <c r="B6535" s="48" t="s">
        <v>6772</v>
      </c>
      <c r="C6535" s="48" t="s">
        <v>26764</v>
      </c>
      <c r="D6535" s="50">
        <v>21.27</v>
      </c>
    </row>
    <row r="6536" spans="1:4" ht="13.5">
      <c r="A6536" s="49">
        <v>97644</v>
      </c>
      <c r="B6536" s="48" t="s">
        <v>6773</v>
      </c>
      <c r="C6536" s="48" t="s">
        <v>26764</v>
      </c>
      <c r="D6536" s="50">
        <v>7.99</v>
      </c>
    </row>
    <row r="6537" spans="1:4" ht="13.5">
      <c r="A6537" s="49">
        <v>97645</v>
      </c>
      <c r="B6537" s="48" t="s">
        <v>6774</v>
      </c>
      <c r="C6537" s="48" t="s">
        <v>26764</v>
      </c>
      <c r="D6537" s="50">
        <v>32.07</v>
      </c>
    </row>
    <row r="6538" spans="1:4" ht="13.5">
      <c r="A6538" s="49">
        <v>97647</v>
      </c>
      <c r="B6538" s="48" t="s">
        <v>6775</v>
      </c>
      <c r="C6538" s="48" t="s">
        <v>26764</v>
      </c>
      <c r="D6538" s="50">
        <v>2.88</v>
      </c>
    </row>
    <row r="6539" spans="1:4" ht="13.5">
      <c r="A6539" s="49">
        <v>97648</v>
      </c>
      <c r="B6539" s="48" t="s">
        <v>6776</v>
      </c>
      <c r="C6539" s="48" t="s">
        <v>26764</v>
      </c>
      <c r="D6539" s="50">
        <v>1.66</v>
      </c>
    </row>
    <row r="6540" spans="1:4" ht="13.5">
      <c r="A6540" s="49">
        <v>97649</v>
      </c>
      <c r="B6540" s="48" t="s">
        <v>6777</v>
      </c>
      <c r="C6540" s="48" t="s">
        <v>26764</v>
      </c>
      <c r="D6540" s="50">
        <v>3.71</v>
      </c>
    </row>
    <row r="6541" spans="1:4" ht="13.5">
      <c r="A6541" s="49">
        <v>97650</v>
      </c>
      <c r="B6541" s="48" t="s">
        <v>6778</v>
      </c>
      <c r="C6541" s="48" t="s">
        <v>26764</v>
      </c>
      <c r="D6541" s="50">
        <v>6.2</v>
      </c>
    </row>
    <row r="6542" spans="1:4" ht="13.5">
      <c r="A6542" s="49">
        <v>97651</v>
      </c>
      <c r="B6542" s="48" t="s">
        <v>6779</v>
      </c>
      <c r="C6542" s="48" t="s">
        <v>32</v>
      </c>
      <c r="D6542" s="50">
        <v>68.7</v>
      </c>
    </row>
    <row r="6543" spans="1:4" ht="13.5">
      <c r="A6543" s="49">
        <v>97652</v>
      </c>
      <c r="B6543" s="48" t="s">
        <v>6780</v>
      </c>
      <c r="C6543" s="48" t="s">
        <v>32</v>
      </c>
      <c r="D6543" s="50">
        <v>155.75</v>
      </c>
    </row>
    <row r="6544" spans="1:4" ht="13.5">
      <c r="A6544" s="49">
        <v>97653</v>
      </c>
      <c r="B6544" s="48" t="s">
        <v>6781</v>
      </c>
      <c r="C6544" s="48" t="s">
        <v>32</v>
      </c>
      <c r="D6544" s="50">
        <v>118.42</v>
      </c>
    </row>
    <row r="6545" spans="1:4" ht="13.5">
      <c r="A6545" s="49">
        <v>97654</v>
      </c>
      <c r="B6545" s="48" t="s">
        <v>6782</v>
      </c>
      <c r="C6545" s="48" t="s">
        <v>32</v>
      </c>
      <c r="D6545" s="50">
        <v>142.25</v>
      </c>
    </row>
    <row r="6546" spans="1:4" ht="13.5">
      <c r="A6546" s="49">
        <v>97655</v>
      </c>
      <c r="B6546" s="48" t="s">
        <v>6783</v>
      </c>
      <c r="C6546" s="48" t="s">
        <v>26764</v>
      </c>
      <c r="D6546" s="50">
        <v>17.86</v>
      </c>
    </row>
    <row r="6547" spans="1:4" ht="13.5">
      <c r="A6547" s="49">
        <v>97656</v>
      </c>
      <c r="B6547" s="48" t="s">
        <v>6784</v>
      </c>
      <c r="C6547" s="48" t="s">
        <v>32</v>
      </c>
      <c r="D6547" s="50">
        <v>179.11</v>
      </c>
    </row>
    <row r="6548" spans="1:4" ht="13.5">
      <c r="A6548" s="49">
        <v>97657</v>
      </c>
      <c r="B6548" s="48" t="s">
        <v>6785</v>
      </c>
      <c r="C6548" s="48" t="s">
        <v>32</v>
      </c>
      <c r="D6548" s="50">
        <v>355.03</v>
      </c>
    </row>
    <row r="6549" spans="1:4" ht="13.5">
      <c r="A6549" s="49">
        <v>97658</v>
      </c>
      <c r="B6549" s="48" t="s">
        <v>6786</v>
      </c>
      <c r="C6549" s="48" t="s">
        <v>32</v>
      </c>
      <c r="D6549" s="50">
        <v>161.88</v>
      </c>
    </row>
    <row r="6550" spans="1:4" ht="13.5">
      <c r="A6550" s="49">
        <v>97659</v>
      </c>
      <c r="B6550" s="48" t="s">
        <v>6787</v>
      </c>
      <c r="C6550" s="48" t="s">
        <v>32</v>
      </c>
      <c r="D6550" s="50">
        <v>212.41</v>
      </c>
    </row>
    <row r="6551" spans="1:4" ht="13.5">
      <c r="A6551" s="49">
        <v>97660</v>
      </c>
      <c r="B6551" s="48" t="s">
        <v>6788</v>
      </c>
      <c r="C6551" s="48" t="s">
        <v>32</v>
      </c>
      <c r="D6551" s="50">
        <v>0.57999999999999996</v>
      </c>
    </row>
    <row r="6552" spans="1:4" ht="13.5">
      <c r="A6552" s="49">
        <v>97661</v>
      </c>
      <c r="B6552" s="48" t="s">
        <v>6789</v>
      </c>
      <c r="C6552" s="48" t="s">
        <v>6</v>
      </c>
      <c r="D6552" s="50">
        <v>0.59</v>
      </c>
    </row>
    <row r="6553" spans="1:4" ht="13.5">
      <c r="A6553" s="49">
        <v>97662</v>
      </c>
      <c r="B6553" s="48" t="s">
        <v>6790</v>
      </c>
      <c r="C6553" s="48" t="s">
        <v>6</v>
      </c>
      <c r="D6553" s="50">
        <v>0.4</v>
      </c>
    </row>
    <row r="6554" spans="1:4" ht="13.5">
      <c r="A6554" s="49">
        <v>97663</v>
      </c>
      <c r="B6554" s="48" t="s">
        <v>6791</v>
      </c>
      <c r="C6554" s="48" t="s">
        <v>32</v>
      </c>
      <c r="D6554" s="50">
        <v>10.09</v>
      </c>
    </row>
    <row r="6555" spans="1:4" ht="13.5">
      <c r="A6555" s="49">
        <v>97664</v>
      </c>
      <c r="B6555" s="48" t="s">
        <v>6792</v>
      </c>
      <c r="C6555" s="48" t="s">
        <v>32</v>
      </c>
      <c r="D6555" s="50">
        <v>1.26</v>
      </c>
    </row>
    <row r="6556" spans="1:4" ht="13.5">
      <c r="A6556" s="49">
        <v>97665</v>
      </c>
      <c r="B6556" s="48" t="s">
        <v>6793</v>
      </c>
      <c r="C6556" s="48" t="s">
        <v>32</v>
      </c>
      <c r="D6556" s="50">
        <v>1.1299999999999999</v>
      </c>
    </row>
    <row r="6557" spans="1:4" ht="13.5">
      <c r="A6557" s="49">
        <v>97666</v>
      </c>
      <c r="B6557" s="48" t="s">
        <v>6794</v>
      </c>
      <c r="C6557" s="48" t="s">
        <v>32</v>
      </c>
      <c r="D6557" s="50">
        <v>7.35</v>
      </c>
    </row>
    <row r="6558" spans="1:4" ht="13.5">
      <c r="A6558" s="49">
        <v>95967</v>
      </c>
      <c r="B6558" s="48" t="s">
        <v>6795</v>
      </c>
      <c r="C6558" s="48" t="s">
        <v>10</v>
      </c>
      <c r="D6558" s="50">
        <v>143.72999999999999</v>
      </c>
    </row>
    <row r="6559" spans="1:4" ht="13.5">
      <c r="A6559" s="49">
        <v>99058</v>
      </c>
      <c r="B6559" s="48" t="s">
        <v>6796</v>
      </c>
      <c r="C6559" s="48" t="s">
        <v>32</v>
      </c>
      <c r="D6559" s="50">
        <v>9.33</v>
      </c>
    </row>
    <row r="6560" spans="1:4" ht="13.5">
      <c r="A6560" s="49">
        <v>99059</v>
      </c>
      <c r="B6560" s="48" t="s">
        <v>6797</v>
      </c>
      <c r="C6560" s="48" t="s">
        <v>6</v>
      </c>
      <c r="D6560" s="50">
        <v>56</v>
      </c>
    </row>
    <row r="6561" spans="1:4" ht="13.5">
      <c r="A6561" s="49">
        <v>99060</v>
      </c>
      <c r="B6561" s="48" t="s">
        <v>21671</v>
      </c>
      <c r="C6561" s="48" t="s">
        <v>32</v>
      </c>
      <c r="D6561" s="50">
        <v>149.16</v>
      </c>
    </row>
    <row r="6562" spans="1:4" ht="13.5">
      <c r="A6562" s="49">
        <v>99061</v>
      </c>
      <c r="B6562" s="48" t="s">
        <v>21672</v>
      </c>
      <c r="C6562" s="48" t="s">
        <v>32</v>
      </c>
      <c r="D6562" s="50">
        <v>99.5</v>
      </c>
    </row>
    <row r="6563" spans="1:4" ht="13.5">
      <c r="A6563" s="49">
        <v>99062</v>
      </c>
      <c r="B6563" s="48" t="s">
        <v>6798</v>
      </c>
      <c r="C6563" s="48" t="s">
        <v>32</v>
      </c>
      <c r="D6563" s="50">
        <v>2.39</v>
      </c>
    </row>
    <row r="6564" spans="1:4" ht="13.5">
      <c r="A6564" s="49">
        <v>99063</v>
      </c>
      <c r="B6564" s="48" t="s">
        <v>6799</v>
      </c>
      <c r="C6564" s="48" t="s">
        <v>6</v>
      </c>
      <c r="D6564" s="50">
        <v>4.97</v>
      </c>
    </row>
    <row r="6565" spans="1:4" ht="13.5">
      <c r="A6565" s="49">
        <v>99064</v>
      </c>
      <c r="B6565" s="48" t="s">
        <v>6800</v>
      </c>
      <c r="C6565" s="48" t="s">
        <v>6</v>
      </c>
      <c r="D6565" s="50">
        <v>0.46</v>
      </c>
    </row>
    <row r="6566" spans="1:4" ht="13.5">
      <c r="A6566" s="49">
        <v>93588</v>
      </c>
      <c r="B6566" s="48" t="s">
        <v>21673</v>
      </c>
      <c r="C6566" s="48" t="s">
        <v>28765</v>
      </c>
      <c r="D6566" s="50">
        <v>2.1</v>
      </c>
    </row>
    <row r="6567" spans="1:4" ht="13.5">
      <c r="A6567" s="49">
        <v>93589</v>
      </c>
      <c r="B6567" s="48" t="s">
        <v>21674</v>
      </c>
      <c r="C6567" s="48" t="s">
        <v>28765</v>
      </c>
      <c r="D6567" s="50">
        <v>1.8</v>
      </c>
    </row>
    <row r="6568" spans="1:4" ht="13.5">
      <c r="A6568" s="49">
        <v>93590</v>
      </c>
      <c r="B6568" s="48" t="s">
        <v>21675</v>
      </c>
      <c r="C6568" s="48" t="s">
        <v>28765</v>
      </c>
      <c r="D6568" s="50">
        <v>0.65</v>
      </c>
    </row>
    <row r="6569" spans="1:4" ht="13.5">
      <c r="A6569" s="49">
        <v>93591</v>
      </c>
      <c r="B6569" s="48" t="s">
        <v>21676</v>
      </c>
      <c r="C6569" s="48" t="s">
        <v>28765</v>
      </c>
      <c r="D6569" s="50">
        <v>2.23</v>
      </c>
    </row>
    <row r="6570" spans="1:4" ht="13.5">
      <c r="A6570" s="49">
        <v>93592</v>
      </c>
      <c r="B6570" s="48" t="s">
        <v>21677</v>
      </c>
      <c r="C6570" s="48" t="s">
        <v>28765</v>
      </c>
      <c r="D6570" s="50">
        <v>1.93</v>
      </c>
    </row>
    <row r="6571" spans="1:4" ht="13.5">
      <c r="A6571" s="49">
        <v>93593</v>
      </c>
      <c r="B6571" s="48" t="s">
        <v>21678</v>
      </c>
      <c r="C6571" s="48" t="s">
        <v>28765</v>
      </c>
      <c r="D6571" s="50">
        <v>0.7</v>
      </c>
    </row>
    <row r="6572" spans="1:4" ht="13.5">
      <c r="A6572" s="49">
        <v>93594</v>
      </c>
      <c r="B6572" s="48" t="s">
        <v>21679</v>
      </c>
      <c r="C6572" s="48" t="s">
        <v>6004</v>
      </c>
      <c r="D6572" s="50">
        <v>1.39</v>
      </c>
    </row>
    <row r="6573" spans="1:4" ht="13.5">
      <c r="A6573" s="49">
        <v>93595</v>
      </c>
      <c r="B6573" s="48" t="s">
        <v>21680</v>
      </c>
      <c r="C6573" s="48" t="s">
        <v>6004</v>
      </c>
      <c r="D6573" s="50">
        <v>1.21</v>
      </c>
    </row>
    <row r="6574" spans="1:4" ht="13.5">
      <c r="A6574" s="49">
        <v>93596</v>
      </c>
      <c r="B6574" s="48" t="s">
        <v>21681</v>
      </c>
      <c r="C6574" s="48" t="s">
        <v>6004</v>
      </c>
      <c r="D6574" s="50">
        <v>0.44</v>
      </c>
    </row>
    <row r="6575" spans="1:4" ht="13.5">
      <c r="A6575" s="49">
        <v>93597</v>
      </c>
      <c r="B6575" s="48" t="s">
        <v>21682</v>
      </c>
      <c r="C6575" s="48" t="s">
        <v>6004</v>
      </c>
      <c r="D6575" s="50">
        <v>1.48</v>
      </c>
    </row>
    <row r="6576" spans="1:4" ht="13.5">
      <c r="A6576" s="49">
        <v>93598</v>
      </c>
      <c r="B6576" s="48" t="s">
        <v>21683</v>
      </c>
      <c r="C6576" s="48" t="s">
        <v>6004</v>
      </c>
      <c r="D6576" s="50">
        <v>1.28</v>
      </c>
    </row>
    <row r="6577" spans="1:4" ht="13.5">
      <c r="A6577" s="49">
        <v>93599</v>
      </c>
      <c r="B6577" s="48" t="s">
        <v>21684</v>
      </c>
      <c r="C6577" s="48" t="s">
        <v>6004</v>
      </c>
      <c r="D6577" s="50">
        <v>0.47</v>
      </c>
    </row>
    <row r="6578" spans="1:4" ht="13.5">
      <c r="A6578" s="49">
        <v>95425</v>
      </c>
      <c r="B6578" s="48" t="s">
        <v>21685</v>
      </c>
      <c r="C6578" s="48" t="s">
        <v>28765</v>
      </c>
      <c r="D6578" s="50">
        <v>1.91</v>
      </c>
    </row>
    <row r="6579" spans="1:4" ht="13.5">
      <c r="A6579" s="49">
        <v>95426</v>
      </c>
      <c r="B6579" s="48" t="s">
        <v>21686</v>
      </c>
      <c r="C6579" s="48" t="s">
        <v>28765</v>
      </c>
      <c r="D6579" s="50">
        <v>1.65</v>
      </c>
    </row>
    <row r="6580" spans="1:4" ht="13.5">
      <c r="A6580" s="49">
        <v>95427</v>
      </c>
      <c r="B6580" s="48" t="s">
        <v>21687</v>
      </c>
      <c r="C6580" s="48" t="s">
        <v>28765</v>
      </c>
      <c r="D6580" s="50">
        <v>0.62</v>
      </c>
    </row>
    <row r="6581" spans="1:4" ht="13.5">
      <c r="A6581" s="49">
        <v>95428</v>
      </c>
      <c r="B6581" s="48" t="s">
        <v>21688</v>
      </c>
      <c r="C6581" s="48" t="s">
        <v>6004</v>
      </c>
      <c r="D6581" s="50">
        <v>1.28</v>
      </c>
    </row>
    <row r="6582" spans="1:4" ht="13.5">
      <c r="A6582" s="49">
        <v>95429</v>
      </c>
      <c r="B6582" s="48" t="s">
        <v>21689</v>
      </c>
      <c r="C6582" s="48" t="s">
        <v>6004</v>
      </c>
      <c r="D6582" s="50">
        <v>1.1100000000000001</v>
      </c>
    </row>
    <row r="6583" spans="1:4" ht="13.5">
      <c r="A6583" s="49">
        <v>95430</v>
      </c>
      <c r="B6583" s="48" t="s">
        <v>21690</v>
      </c>
      <c r="C6583" s="48" t="s">
        <v>6004</v>
      </c>
      <c r="D6583" s="50">
        <v>0.39</v>
      </c>
    </row>
    <row r="6584" spans="1:4" ht="13.5">
      <c r="A6584" s="49">
        <v>95875</v>
      </c>
      <c r="B6584" s="48" t="s">
        <v>21691</v>
      </c>
      <c r="C6584" s="48" t="s">
        <v>28765</v>
      </c>
      <c r="D6584" s="50">
        <v>1.66</v>
      </c>
    </row>
    <row r="6585" spans="1:4" ht="13.5">
      <c r="A6585" s="49">
        <v>95876</v>
      </c>
      <c r="B6585" s="48" t="s">
        <v>21692</v>
      </c>
      <c r="C6585" s="48" t="s">
        <v>28765</v>
      </c>
      <c r="D6585" s="50">
        <v>1.75</v>
      </c>
    </row>
    <row r="6586" spans="1:4" ht="13.5">
      <c r="A6586" s="49">
        <v>95877</v>
      </c>
      <c r="B6586" s="48" t="s">
        <v>21693</v>
      </c>
      <c r="C6586" s="48" t="s">
        <v>28765</v>
      </c>
      <c r="D6586" s="50">
        <v>1.51</v>
      </c>
    </row>
    <row r="6587" spans="1:4" ht="13.5">
      <c r="A6587" s="49">
        <v>95878</v>
      </c>
      <c r="B6587" s="48" t="s">
        <v>21694</v>
      </c>
      <c r="C6587" s="48" t="s">
        <v>6004</v>
      </c>
      <c r="D6587" s="50">
        <v>1.1100000000000001</v>
      </c>
    </row>
    <row r="6588" spans="1:4" ht="13.5">
      <c r="A6588" s="49">
        <v>95879</v>
      </c>
      <c r="B6588" s="48" t="s">
        <v>21695</v>
      </c>
      <c r="C6588" s="48" t="s">
        <v>6004</v>
      </c>
      <c r="D6588" s="50">
        <v>1.19</v>
      </c>
    </row>
    <row r="6589" spans="1:4" ht="13.5">
      <c r="A6589" s="49">
        <v>95880</v>
      </c>
      <c r="B6589" s="48" t="s">
        <v>21696</v>
      </c>
      <c r="C6589" s="48" t="s">
        <v>6004</v>
      </c>
      <c r="D6589" s="50">
        <v>1.01</v>
      </c>
    </row>
    <row r="6590" spans="1:4" ht="13.5">
      <c r="A6590" s="49">
        <v>97912</v>
      </c>
      <c r="B6590" s="48" t="s">
        <v>21697</v>
      </c>
      <c r="C6590" s="48" t="s">
        <v>28765</v>
      </c>
      <c r="D6590" s="50">
        <v>2.99</v>
      </c>
    </row>
    <row r="6591" spans="1:4" ht="13.5">
      <c r="A6591" s="49">
        <v>97913</v>
      </c>
      <c r="B6591" s="48" t="s">
        <v>21698</v>
      </c>
      <c r="C6591" s="48" t="s">
        <v>28765</v>
      </c>
      <c r="D6591" s="50">
        <v>2.59</v>
      </c>
    </row>
    <row r="6592" spans="1:4" ht="13.5">
      <c r="A6592" s="49">
        <v>97914</v>
      </c>
      <c r="B6592" s="48" t="s">
        <v>21699</v>
      </c>
      <c r="C6592" s="48" t="s">
        <v>28765</v>
      </c>
      <c r="D6592" s="50">
        <v>2.38</v>
      </c>
    </row>
    <row r="6593" spans="1:4" ht="13.5">
      <c r="A6593" s="49">
        <v>97915</v>
      </c>
      <c r="B6593" s="48" t="s">
        <v>21700</v>
      </c>
      <c r="C6593" s="48" t="s">
        <v>28765</v>
      </c>
      <c r="D6593" s="50">
        <v>0.95</v>
      </c>
    </row>
    <row r="6594" spans="1:4" ht="13.5">
      <c r="A6594" s="49">
        <v>100937</v>
      </c>
      <c r="B6594" s="48" t="s">
        <v>21701</v>
      </c>
      <c r="C6594" s="48" t="s">
        <v>28765</v>
      </c>
      <c r="D6594" s="50">
        <v>7.13</v>
      </c>
    </row>
    <row r="6595" spans="1:4" ht="13.5">
      <c r="A6595" s="49">
        <v>100938</v>
      </c>
      <c r="B6595" s="48" t="s">
        <v>21702</v>
      </c>
      <c r="C6595" s="48" t="s">
        <v>28765</v>
      </c>
      <c r="D6595" s="50">
        <v>5.01</v>
      </c>
    </row>
    <row r="6596" spans="1:4" ht="13.5">
      <c r="A6596" s="49">
        <v>100939</v>
      </c>
      <c r="B6596" s="48" t="s">
        <v>21703</v>
      </c>
      <c r="C6596" s="48" t="s">
        <v>28765</v>
      </c>
      <c r="D6596" s="50">
        <v>5.33</v>
      </c>
    </row>
    <row r="6597" spans="1:4" ht="13.5">
      <c r="A6597" s="49">
        <v>100940</v>
      </c>
      <c r="B6597" s="48" t="s">
        <v>21704</v>
      </c>
      <c r="C6597" s="48" t="s">
        <v>28765</v>
      </c>
      <c r="D6597" s="50">
        <v>4.58</v>
      </c>
    </row>
    <row r="6598" spans="1:4" ht="13.5">
      <c r="A6598" s="49">
        <v>100941</v>
      </c>
      <c r="B6598" s="48" t="s">
        <v>21705</v>
      </c>
      <c r="C6598" s="48" t="s">
        <v>6004</v>
      </c>
      <c r="D6598" s="50">
        <v>4.75</v>
      </c>
    </row>
    <row r="6599" spans="1:4" ht="13.5">
      <c r="A6599" s="49">
        <v>100942</v>
      </c>
      <c r="B6599" s="48" t="s">
        <v>21706</v>
      </c>
      <c r="C6599" s="48" t="s">
        <v>6004</v>
      </c>
      <c r="D6599" s="50">
        <v>3.34</v>
      </c>
    </row>
    <row r="6600" spans="1:4" ht="13.5">
      <c r="A6600" s="49">
        <v>100943</v>
      </c>
      <c r="B6600" s="48" t="s">
        <v>21707</v>
      </c>
      <c r="C6600" s="48" t="s">
        <v>6004</v>
      </c>
      <c r="D6600" s="50">
        <v>3.54</v>
      </c>
    </row>
    <row r="6601" spans="1:4" ht="13.5">
      <c r="A6601" s="49">
        <v>100944</v>
      </c>
      <c r="B6601" s="48" t="s">
        <v>21708</v>
      </c>
      <c r="C6601" s="48" t="s">
        <v>6004</v>
      </c>
      <c r="D6601" s="50">
        <v>3.06</v>
      </c>
    </row>
    <row r="6602" spans="1:4" ht="13.5">
      <c r="A6602" s="49">
        <v>100945</v>
      </c>
      <c r="B6602" s="48" t="s">
        <v>21709</v>
      </c>
      <c r="C6602" s="48" t="s">
        <v>6004</v>
      </c>
      <c r="D6602" s="50">
        <v>2.17</v>
      </c>
    </row>
    <row r="6603" spans="1:4" ht="13.5">
      <c r="A6603" s="49">
        <v>100946</v>
      </c>
      <c r="B6603" s="48" t="s">
        <v>21710</v>
      </c>
      <c r="C6603" s="48" t="s">
        <v>6004</v>
      </c>
      <c r="D6603" s="50">
        <v>1.87</v>
      </c>
    </row>
    <row r="6604" spans="1:4" ht="13.5">
      <c r="A6604" s="49">
        <v>100947</v>
      </c>
      <c r="B6604" s="48" t="s">
        <v>21711</v>
      </c>
      <c r="C6604" s="48" t="s">
        <v>6004</v>
      </c>
      <c r="D6604" s="50">
        <v>1.73</v>
      </c>
    </row>
    <row r="6605" spans="1:4" ht="13.5">
      <c r="A6605" s="49">
        <v>100948</v>
      </c>
      <c r="B6605" s="48" t="s">
        <v>21712</v>
      </c>
      <c r="C6605" s="48" t="s">
        <v>6004</v>
      </c>
      <c r="D6605" s="50">
        <v>0.68</v>
      </c>
    </row>
    <row r="6606" spans="1:4" ht="13.5">
      <c r="A6606" s="49">
        <v>100949</v>
      </c>
      <c r="B6606" s="48" t="s">
        <v>21713</v>
      </c>
      <c r="C6606" s="48" t="s">
        <v>6004</v>
      </c>
      <c r="D6606" s="50">
        <v>5.18</v>
      </c>
    </row>
    <row r="6607" spans="1:4" ht="13.5">
      <c r="A6607" s="49">
        <v>100950</v>
      </c>
      <c r="B6607" s="48" t="s">
        <v>21714</v>
      </c>
      <c r="C6607" s="48" t="s">
        <v>6004</v>
      </c>
      <c r="D6607" s="50">
        <v>2.81</v>
      </c>
    </row>
    <row r="6608" spans="1:4" ht="13.5">
      <c r="A6608" s="49">
        <v>100951</v>
      </c>
      <c r="B6608" s="48" t="s">
        <v>21715</v>
      </c>
      <c r="C6608" s="48" t="s">
        <v>6004</v>
      </c>
      <c r="D6608" s="50">
        <v>2.42</v>
      </c>
    </row>
    <row r="6609" spans="1:4" ht="13.5">
      <c r="A6609" s="49">
        <v>100952</v>
      </c>
      <c r="B6609" s="48" t="s">
        <v>21716</v>
      </c>
      <c r="C6609" s="48" t="s">
        <v>6004</v>
      </c>
      <c r="D6609" s="50">
        <v>2.2400000000000002</v>
      </c>
    </row>
    <row r="6610" spans="1:4" ht="13.5">
      <c r="A6610" s="49">
        <v>100953</v>
      </c>
      <c r="B6610" s="48" t="s">
        <v>21717</v>
      </c>
      <c r="C6610" s="48" t="s">
        <v>6004</v>
      </c>
      <c r="D6610" s="50">
        <v>0.88</v>
      </c>
    </row>
    <row r="6611" spans="1:4" ht="13.5">
      <c r="A6611" s="49">
        <v>100954</v>
      </c>
      <c r="B6611" s="48" t="s">
        <v>21718</v>
      </c>
      <c r="C6611" s="48" t="s">
        <v>6004</v>
      </c>
      <c r="D6611" s="50">
        <v>6.68</v>
      </c>
    </row>
    <row r="6612" spans="1:4" ht="13.5">
      <c r="A6612" s="49">
        <v>100955</v>
      </c>
      <c r="B6612" s="48" t="s">
        <v>21719</v>
      </c>
      <c r="C6612" s="48" t="s">
        <v>28765</v>
      </c>
      <c r="D6612" s="50">
        <v>4.09</v>
      </c>
    </row>
    <row r="6613" spans="1:4" ht="13.5">
      <c r="A6613" s="49">
        <v>100956</v>
      </c>
      <c r="B6613" s="48" t="s">
        <v>21720</v>
      </c>
      <c r="C6613" s="48" t="s">
        <v>28765</v>
      </c>
      <c r="D6613" s="50">
        <v>3.55</v>
      </c>
    </row>
    <row r="6614" spans="1:4" ht="13.5">
      <c r="A6614" s="49">
        <v>100957</v>
      </c>
      <c r="B6614" s="48" t="s">
        <v>21721</v>
      </c>
      <c r="C6614" s="48" t="s">
        <v>28765</v>
      </c>
      <c r="D6614" s="50">
        <v>3.25</v>
      </c>
    </row>
    <row r="6615" spans="1:4" ht="13.5">
      <c r="A6615" s="49">
        <v>100958</v>
      </c>
      <c r="B6615" s="48" t="s">
        <v>21722</v>
      </c>
      <c r="C6615" s="48" t="s">
        <v>28765</v>
      </c>
      <c r="D6615" s="50">
        <v>1.3</v>
      </c>
    </row>
    <row r="6616" spans="1:4" ht="13.5">
      <c r="A6616" s="49">
        <v>100959</v>
      </c>
      <c r="B6616" s="48" t="s">
        <v>21723</v>
      </c>
      <c r="C6616" s="48" t="s">
        <v>28765</v>
      </c>
      <c r="D6616" s="50">
        <v>9.76</v>
      </c>
    </row>
    <row r="6617" spans="1:4" ht="13.5">
      <c r="A6617" s="49">
        <v>100960</v>
      </c>
      <c r="B6617" s="48" t="s">
        <v>21724</v>
      </c>
      <c r="C6617" s="48" t="s">
        <v>28765</v>
      </c>
      <c r="D6617" s="50">
        <v>2.94</v>
      </c>
    </row>
    <row r="6618" spans="1:4" ht="13.5">
      <c r="A6618" s="49">
        <v>100961</v>
      </c>
      <c r="B6618" s="48" t="s">
        <v>21725</v>
      </c>
      <c r="C6618" s="48" t="s">
        <v>28765</v>
      </c>
      <c r="D6618" s="50">
        <v>2.5499999999999998</v>
      </c>
    </row>
    <row r="6619" spans="1:4" ht="13.5">
      <c r="A6619" s="49">
        <v>100962</v>
      </c>
      <c r="B6619" s="48" t="s">
        <v>21726</v>
      </c>
      <c r="C6619" s="48" t="s">
        <v>28765</v>
      </c>
      <c r="D6619" s="50">
        <v>2.3199999999999998</v>
      </c>
    </row>
    <row r="6620" spans="1:4" ht="13.5">
      <c r="A6620" s="49">
        <v>100963</v>
      </c>
      <c r="B6620" s="48" t="s">
        <v>21727</v>
      </c>
      <c r="C6620" s="48" t="s">
        <v>28765</v>
      </c>
      <c r="D6620" s="50">
        <v>0.92</v>
      </c>
    </row>
    <row r="6621" spans="1:4" ht="13.5">
      <c r="A6621" s="49">
        <v>100964</v>
      </c>
      <c r="B6621" s="48" t="s">
        <v>21728</v>
      </c>
      <c r="C6621" s="48" t="s">
        <v>28765</v>
      </c>
      <c r="D6621" s="50">
        <v>7.07</v>
      </c>
    </row>
    <row r="6622" spans="1:4" ht="13.5">
      <c r="A6622" s="49">
        <v>100973</v>
      </c>
      <c r="B6622" s="48" t="s">
        <v>21729</v>
      </c>
      <c r="C6622" s="48" t="s">
        <v>28764</v>
      </c>
      <c r="D6622" s="50">
        <v>7.46</v>
      </c>
    </row>
    <row r="6623" spans="1:4" ht="13.5">
      <c r="A6623" s="49">
        <v>100974</v>
      </c>
      <c r="B6623" s="48" t="s">
        <v>21730</v>
      </c>
      <c r="C6623" s="48" t="s">
        <v>28764</v>
      </c>
      <c r="D6623" s="50">
        <v>6.42</v>
      </c>
    </row>
    <row r="6624" spans="1:4" ht="13.5">
      <c r="A6624" s="49">
        <v>100975</v>
      </c>
      <c r="B6624" s="48" t="s">
        <v>21731</v>
      </c>
      <c r="C6624" s="48" t="s">
        <v>28764</v>
      </c>
      <c r="D6624" s="50">
        <v>7.3</v>
      </c>
    </row>
    <row r="6625" spans="1:4" ht="13.5">
      <c r="A6625" s="49">
        <v>100965</v>
      </c>
      <c r="B6625" s="48" t="s">
        <v>21732</v>
      </c>
      <c r="C6625" s="48" t="s">
        <v>6004</v>
      </c>
      <c r="D6625" s="50">
        <v>1.46</v>
      </c>
    </row>
    <row r="6626" spans="1:4" ht="13.5">
      <c r="A6626" s="49">
        <v>100966</v>
      </c>
      <c r="B6626" s="48" t="s">
        <v>21733</v>
      </c>
      <c r="C6626" s="48" t="s">
        <v>6004</v>
      </c>
      <c r="D6626" s="50">
        <v>1.25</v>
      </c>
    </row>
    <row r="6627" spans="1:4" ht="13.5">
      <c r="A6627" s="49">
        <v>100969</v>
      </c>
      <c r="B6627" s="48" t="s">
        <v>21734</v>
      </c>
      <c r="C6627" s="48" t="s">
        <v>6004</v>
      </c>
      <c r="D6627" s="50">
        <v>1.94</v>
      </c>
    </row>
    <row r="6628" spans="1:4" ht="13.5">
      <c r="A6628" s="49">
        <v>100970</v>
      </c>
      <c r="B6628" s="48" t="s">
        <v>21735</v>
      </c>
      <c r="C6628" s="48" t="s">
        <v>6004</v>
      </c>
      <c r="D6628" s="50">
        <v>1.64</v>
      </c>
    </row>
    <row r="6629" spans="1:4" ht="13.5">
      <c r="A6629" s="49">
        <v>102330</v>
      </c>
      <c r="B6629" s="48" t="s">
        <v>21736</v>
      </c>
      <c r="C6629" s="48" t="s">
        <v>6004</v>
      </c>
      <c r="D6629" s="50">
        <v>1.1599999999999999</v>
      </c>
    </row>
    <row r="6630" spans="1:4" ht="13.5">
      <c r="A6630" s="49">
        <v>102331</v>
      </c>
      <c r="B6630" s="48" t="s">
        <v>21737</v>
      </c>
      <c r="C6630" s="48" t="s">
        <v>6004</v>
      </c>
      <c r="D6630" s="50">
        <v>0.45</v>
      </c>
    </row>
    <row r="6631" spans="1:4" ht="13.5">
      <c r="A6631" s="49">
        <v>102332</v>
      </c>
      <c r="B6631" s="48" t="s">
        <v>21738</v>
      </c>
      <c r="C6631" s="48" t="s">
        <v>6004</v>
      </c>
      <c r="D6631" s="50">
        <v>1.53</v>
      </c>
    </row>
    <row r="6632" spans="1:4" ht="13.5">
      <c r="A6632" s="49">
        <v>102333</v>
      </c>
      <c r="B6632" s="48" t="s">
        <v>21739</v>
      </c>
      <c r="C6632" s="48" t="s">
        <v>6004</v>
      </c>
      <c r="D6632" s="50">
        <v>0.61</v>
      </c>
    </row>
    <row r="6633" spans="1:4" ht="13.5">
      <c r="A6633" s="49">
        <v>101019</v>
      </c>
      <c r="B6633" s="48" t="s">
        <v>21740</v>
      </c>
      <c r="C6633" s="48" t="s">
        <v>6005</v>
      </c>
      <c r="D6633" s="50">
        <v>453.28</v>
      </c>
    </row>
    <row r="6634" spans="1:4" ht="13.5">
      <c r="A6634" s="49">
        <v>101479</v>
      </c>
      <c r="B6634" s="48" t="s">
        <v>21741</v>
      </c>
      <c r="C6634" s="48" t="s">
        <v>6005</v>
      </c>
      <c r="D6634" s="50">
        <v>132.06</v>
      </c>
    </row>
    <row r="6635" spans="1:4" ht="13.5">
      <c r="A6635" s="49">
        <v>102568</v>
      </c>
      <c r="B6635" s="48" t="s">
        <v>21742</v>
      </c>
      <c r="C6635" s="48" t="s">
        <v>6005</v>
      </c>
      <c r="D6635" s="50">
        <v>224.97</v>
      </c>
    </row>
    <row r="6636" spans="1:4" ht="13.5">
      <c r="A6636" s="49">
        <v>100976</v>
      </c>
      <c r="B6636" s="48" t="s">
        <v>21743</v>
      </c>
      <c r="C6636" s="48" t="s">
        <v>28764</v>
      </c>
      <c r="D6636" s="50">
        <v>7.18</v>
      </c>
    </row>
    <row r="6637" spans="1:4" ht="13.5">
      <c r="A6637" s="49">
        <v>100977</v>
      </c>
      <c r="B6637" s="48" t="s">
        <v>21744</v>
      </c>
      <c r="C6637" s="48" t="s">
        <v>28764</v>
      </c>
      <c r="D6637" s="50">
        <v>6.43</v>
      </c>
    </row>
    <row r="6638" spans="1:4" ht="13.5">
      <c r="A6638" s="49">
        <v>100978</v>
      </c>
      <c r="B6638" s="48" t="s">
        <v>21745</v>
      </c>
      <c r="C6638" s="48" t="s">
        <v>28764</v>
      </c>
      <c r="D6638" s="50">
        <v>5.16</v>
      </c>
    </row>
    <row r="6639" spans="1:4" ht="13.5">
      <c r="A6639" s="49">
        <v>100979</v>
      </c>
      <c r="B6639" s="48" t="s">
        <v>21746</v>
      </c>
      <c r="C6639" s="48" t="s">
        <v>28764</v>
      </c>
      <c r="D6639" s="50">
        <v>5.61</v>
      </c>
    </row>
    <row r="6640" spans="1:4" ht="13.5">
      <c r="A6640" s="49">
        <v>100980</v>
      </c>
      <c r="B6640" s="48" t="s">
        <v>21747</v>
      </c>
      <c r="C6640" s="48" t="s">
        <v>28764</v>
      </c>
      <c r="D6640" s="50">
        <v>5.33</v>
      </c>
    </row>
    <row r="6641" spans="1:4" ht="13.5">
      <c r="A6641" s="49">
        <v>100981</v>
      </c>
      <c r="B6641" s="48" t="s">
        <v>21748</v>
      </c>
      <c r="C6641" s="48" t="s">
        <v>28764</v>
      </c>
      <c r="D6641" s="50">
        <v>7.89</v>
      </c>
    </row>
    <row r="6642" spans="1:4" ht="13.5">
      <c r="A6642" s="49">
        <v>100982</v>
      </c>
      <c r="B6642" s="48" t="s">
        <v>21749</v>
      </c>
      <c r="C6642" s="48" t="s">
        <v>28764</v>
      </c>
      <c r="D6642" s="50">
        <v>6.77</v>
      </c>
    </row>
    <row r="6643" spans="1:4" ht="13.5">
      <c r="A6643" s="49">
        <v>100983</v>
      </c>
      <c r="B6643" s="48" t="s">
        <v>21750</v>
      </c>
      <c r="C6643" s="48" t="s">
        <v>28764</v>
      </c>
      <c r="D6643" s="50">
        <v>7.62</v>
      </c>
    </row>
    <row r="6644" spans="1:4" ht="13.5">
      <c r="A6644" s="49">
        <v>100984</v>
      </c>
      <c r="B6644" s="48" t="s">
        <v>21751</v>
      </c>
      <c r="C6644" s="48" t="s">
        <v>28764</v>
      </c>
      <c r="D6644" s="50">
        <v>7.49</v>
      </c>
    </row>
    <row r="6645" spans="1:4" ht="13.5">
      <c r="A6645" s="49">
        <v>100985</v>
      </c>
      <c r="B6645" s="48" t="s">
        <v>21752</v>
      </c>
      <c r="C6645" s="48" t="s">
        <v>28764</v>
      </c>
      <c r="D6645" s="50">
        <v>5.99</v>
      </c>
    </row>
    <row r="6646" spans="1:4" ht="13.5">
      <c r="A6646" s="49">
        <v>100986</v>
      </c>
      <c r="B6646" s="48" t="s">
        <v>21753</v>
      </c>
      <c r="C6646" s="48" t="s">
        <v>28764</v>
      </c>
      <c r="D6646" s="50">
        <v>6.11</v>
      </c>
    </row>
    <row r="6647" spans="1:4" ht="13.5">
      <c r="A6647" s="49">
        <v>100987</v>
      </c>
      <c r="B6647" s="48" t="s">
        <v>21754</v>
      </c>
      <c r="C6647" s="48" t="s">
        <v>28764</v>
      </c>
      <c r="D6647" s="50">
        <v>8.4499999999999993</v>
      </c>
    </row>
    <row r="6648" spans="1:4" ht="13.5">
      <c r="A6648" s="49">
        <v>100988</v>
      </c>
      <c r="B6648" s="48" t="s">
        <v>21755</v>
      </c>
      <c r="C6648" s="48" t="s">
        <v>28764</v>
      </c>
      <c r="D6648" s="50">
        <v>9</v>
      </c>
    </row>
    <row r="6649" spans="1:4" ht="13.5">
      <c r="A6649" s="49">
        <v>100989</v>
      </c>
      <c r="B6649" s="48" t="s">
        <v>21756</v>
      </c>
      <c r="C6649" s="48" t="s">
        <v>6005</v>
      </c>
      <c r="D6649" s="50">
        <v>4.97</v>
      </c>
    </row>
    <row r="6650" spans="1:4" ht="13.5">
      <c r="A6650" s="49">
        <v>100990</v>
      </c>
      <c r="B6650" s="48" t="s">
        <v>21757</v>
      </c>
      <c r="C6650" s="48" t="s">
        <v>6005</v>
      </c>
      <c r="D6650" s="50">
        <v>4.28</v>
      </c>
    </row>
    <row r="6651" spans="1:4" ht="13.5">
      <c r="A6651" s="49">
        <v>100991</v>
      </c>
      <c r="B6651" s="48" t="s">
        <v>21758</v>
      </c>
      <c r="C6651" s="48" t="s">
        <v>6005</v>
      </c>
      <c r="D6651" s="50">
        <v>4.8899999999999997</v>
      </c>
    </row>
    <row r="6652" spans="1:4" ht="13.5">
      <c r="A6652" s="49">
        <v>100992</v>
      </c>
      <c r="B6652" s="48" t="s">
        <v>21759</v>
      </c>
      <c r="C6652" s="48" t="s">
        <v>6005</v>
      </c>
      <c r="D6652" s="50">
        <v>4.79</v>
      </c>
    </row>
    <row r="6653" spans="1:4" ht="13.5">
      <c r="A6653" s="49">
        <v>100993</v>
      </c>
      <c r="B6653" s="48" t="s">
        <v>21760</v>
      </c>
      <c r="C6653" s="48" t="s">
        <v>6005</v>
      </c>
      <c r="D6653" s="50">
        <v>4.28</v>
      </c>
    </row>
    <row r="6654" spans="1:4" ht="13.5">
      <c r="A6654" s="49">
        <v>100994</v>
      </c>
      <c r="B6654" s="48" t="s">
        <v>21761</v>
      </c>
      <c r="C6654" s="48" t="s">
        <v>6005</v>
      </c>
      <c r="D6654" s="50">
        <v>3.43</v>
      </c>
    </row>
    <row r="6655" spans="1:4" ht="13.5">
      <c r="A6655" s="49">
        <v>100995</v>
      </c>
      <c r="B6655" s="48" t="s">
        <v>21762</v>
      </c>
      <c r="C6655" s="48" t="s">
        <v>6005</v>
      </c>
      <c r="D6655" s="50">
        <v>3.74</v>
      </c>
    </row>
    <row r="6656" spans="1:4" ht="13.5">
      <c r="A6656" s="49">
        <v>100996</v>
      </c>
      <c r="B6656" s="48" t="s">
        <v>21763</v>
      </c>
      <c r="C6656" s="48" t="s">
        <v>6005</v>
      </c>
      <c r="D6656" s="50">
        <v>3.55</v>
      </c>
    </row>
    <row r="6657" spans="1:4" ht="13.5">
      <c r="A6657" s="49">
        <v>100997</v>
      </c>
      <c r="B6657" s="48" t="s">
        <v>21764</v>
      </c>
      <c r="C6657" s="48" t="s">
        <v>6005</v>
      </c>
      <c r="D6657" s="50">
        <v>5.26</v>
      </c>
    </row>
    <row r="6658" spans="1:4" ht="13.5">
      <c r="A6658" s="49">
        <v>100998</v>
      </c>
      <c r="B6658" s="48" t="s">
        <v>21765</v>
      </c>
      <c r="C6658" s="48" t="s">
        <v>6005</v>
      </c>
      <c r="D6658" s="50">
        <v>4.51</v>
      </c>
    </row>
    <row r="6659" spans="1:4" ht="13.5">
      <c r="A6659" s="49">
        <v>100999</v>
      </c>
      <c r="B6659" s="48" t="s">
        <v>21766</v>
      </c>
      <c r="C6659" s="48" t="s">
        <v>6005</v>
      </c>
      <c r="D6659" s="50">
        <v>5.0999999999999996</v>
      </c>
    </row>
    <row r="6660" spans="1:4" ht="13.5">
      <c r="A6660" s="49">
        <v>101000</v>
      </c>
      <c r="B6660" s="48" t="s">
        <v>21767</v>
      </c>
      <c r="C6660" s="48" t="s">
        <v>6005</v>
      </c>
      <c r="D6660" s="50">
        <v>4.99</v>
      </c>
    </row>
    <row r="6661" spans="1:4" ht="13.5">
      <c r="A6661" s="49">
        <v>101001</v>
      </c>
      <c r="B6661" s="48" t="s">
        <v>21768</v>
      </c>
      <c r="C6661" s="48" t="s">
        <v>6005</v>
      </c>
      <c r="D6661" s="50">
        <v>3.99</v>
      </c>
    </row>
    <row r="6662" spans="1:4" ht="13.5">
      <c r="A6662" s="49">
        <v>101002</v>
      </c>
      <c r="B6662" s="48" t="s">
        <v>21769</v>
      </c>
      <c r="C6662" s="48" t="s">
        <v>6005</v>
      </c>
      <c r="D6662" s="50">
        <v>4.0599999999999996</v>
      </c>
    </row>
    <row r="6663" spans="1:4" ht="13.5">
      <c r="A6663" s="49">
        <v>101003</v>
      </c>
      <c r="B6663" s="48" t="s">
        <v>21770</v>
      </c>
      <c r="C6663" s="48" t="s">
        <v>6005</v>
      </c>
      <c r="D6663" s="50">
        <v>5.62</v>
      </c>
    </row>
    <row r="6664" spans="1:4" ht="13.5">
      <c r="A6664" s="49">
        <v>101004</v>
      </c>
      <c r="B6664" s="48" t="s">
        <v>21771</v>
      </c>
      <c r="C6664" s="48" t="s">
        <v>6005</v>
      </c>
      <c r="D6664" s="50">
        <v>6</v>
      </c>
    </row>
    <row r="6665" spans="1:4" ht="13.5">
      <c r="A6665" s="49">
        <v>101005</v>
      </c>
      <c r="B6665" s="48" t="s">
        <v>21772</v>
      </c>
      <c r="C6665" s="48" t="s">
        <v>28764</v>
      </c>
      <c r="D6665" s="50">
        <v>15.56</v>
      </c>
    </row>
    <row r="6666" spans="1:4" ht="13.5">
      <c r="A6666" s="49">
        <v>101006</v>
      </c>
      <c r="B6666" s="48" t="s">
        <v>21773</v>
      </c>
      <c r="C6666" s="48" t="s">
        <v>28764</v>
      </c>
      <c r="D6666" s="50">
        <v>16.78</v>
      </c>
    </row>
    <row r="6667" spans="1:4" ht="13.5">
      <c r="A6667" s="49">
        <v>101007</v>
      </c>
      <c r="B6667" s="48" t="s">
        <v>21774</v>
      </c>
      <c r="C6667" s="48" t="s">
        <v>28764</v>
      </c>
      <c r="D6667" s="50">
        <v>4.5199999999999996</v>
      </c>
    </row>
    <row r="6668" spans="1:4" ht="13.5">
      <c r="A6668" s="49">
        <v>101008</v>
      </c>
      <c r="B6668" s="48" t="s">
        <v>21775</v>
      </c>
      <c r="C6668" s="48" t="s">
        <v>28764</v>
      </c>
      <c r="D6668" s="50">
        <v>4.4400000000000004</v>
      </c>
    </row>
    <row r="6669" spans="1:4" ht="13.5">
      <c r="A6669" s="49">
        <v>101009</v>
      </c>
      <c r="B6669" s="48" t="s">
        <v>21776</v>
      </c>
      <c r="C6669" s="48" t="s">
        <v>6005</v>
      </c>
      <c r="D6669" s="50">
        <v>33.89</v>
      </c>
    </row>
    <row r="6670" spans="1:4" ht="13.5">
      <c r="A6670" s="49">
        <v>101010</v>
      </c>
      <c r="B6670" s="48" t="s">
        <v>21777</v>
      </c>
      <c r="C6670" s="48" t="s">
        <v>6005</v>
      </c>
      <c r="D6670" s="50">
        <v>21.34</v>
      </c>
    </row>
    <row r="6671" spans="1:4" ht="13.5">
      <c r="A6671" s="49">
        <v>101013</v>
      </c>
      <c r="B6671" s="48" t="s">
        <v>21778</v>
      </c>
      <c r="C6671" s="48" t="s">
        <v>6005</v>
      </c>
      <c r="D6671" s="50">
        <v>35.96</v>
      </c>
    </row>
    <row r="6672" spans="1:4" ht="13.5">
      <c r="A6672" s="49">
        <v>101014</v>
      </c>
      <c r="B6672" s="48" t="s">
        <v>21779</v>
      </c>
      <c r="C6672" s="48" t="s">
        <v>6005</v>
      </c>
      <c r="D6672" s="50">
        <v>32.94</v>
      </c>
    </row>
    <row r="6673" spans="1:4" ht="13.5">
      <c r="A6673" s="49">
        <v>101015</v>
      </c>
      <c r="B6673" s="48" t="s">
        <v>21780</v>
      </c>
      <c r="C6673" s="48" t="s">
        <v>6005</v>
      </c>
      <c r="D6673" s="50">
        <v>27.06</v>
      </c>
    </row>
    <row r="6674" spans="1:4" ht="13.5">
      <c r="A6674" s="49">
        <v>101016</v>
      </c>
      <c r="B6674" s="48" t="s">
        <v>21781</v>
      </c>
      <c r="C6674" s="48" t="s">
        <v>6005</v>
      </c>
      <c r="D6674" s="50">
        <v>31.32</v>
      </c>
    </row>
    <row r="6675" spans="1:4" ht="13.5">
      <c r="A6675" s="49">
        <v>101017</v>
      </c>
      <c r="B6675" s="48" t="s">
        <v>21782</v>
      </c>
      <c r="C6675" s="48" t="s">
        <v>6005</v>
      </c>
      <c r="D6675" s="50">
        <v>23.75</v>
      </c>
    </row>
    <row r="6676" spans="1:4" ht="13.5">
      <c r="A6676" s="49">
        <v>101018</v>
      </c>
      <c r="B6676" s="48" t="s">
        <v>21783</v>
      </c>
      <c r="C6676" s="48" t="s">
        <v>6005</v>
      </c>
      <c r="D6676" s="50">
        <v>19.510000000000002</v>
      </c>
    </row>
    <row r="6677" spans="1:4" ht="13.5">
      <c r="A6677" s="49">
        <v>101463</v>
      </c>
      <c r="B6677" s="48" t="s">
        <v>21784</v>
      </c>
      <c r="C6677" s="48" t="s">
        <v>6005</v>
      </c>
      <c r="D6677" s="50">
        <v>36.07</v>
      </c>
    </row>
    <row r="6678" spans="1:4" ht="13.5">
      <c r="A6678" s="49">
        <v>101464</v>
      </c>
      <c r="B6678" s="48" t="s">
        <v>21785</v>
      </c>
      <c r="C6678" s="48" t="s">
        <v>6005</v>
      </c>
      <c r="D6678" s="50">
        <v>27.71</v>
      </c>
    </row>
    <row r="6679" spans="1:4" ht="13.5">
      <c r="A6679" s="49">
        <v>101465</v>
      </c>
      <c r="B6679" s="48" t="s">
        <v>21786</v>
      </c>
      <c r="C6679" s="48" t="s">
        <v>6005</v>
      </c>
      <c r="D6679" s="50">
        <v>21.17</v>
      </c>
    </row>
    <row r="6680" spans="1:4" ht="13.5">
      <c r="A6680" s="49">
        <v>101466</v>
      </c>
      <c r="B6680" s="48" t="s">
        <v>21787</v>
      </c>
      <c r="C6680" s="48" t="s">
        <v>6005</v>
      </c>
      <c r="D6680" s="50">
        <v>17.22</v>
      </c>
    </row>
    <row r="6681" spans="1:4" ht="13.5">
      <c r="A6681" s="49">
        <v>101467</v>
      </c>
      <c r="B6681" s="48" t="s">
        <v>21788</v>
      </c>
      <c r="C6681" s="48" t="s">
        <v>6005</v>
      </c>
      <c r="D6681" s="50">
        <v>14.42</v>
      </c>
    </row>
    <row r="6682" spans="1:4" ht="13.5">
      <c r="A6682" s="49">
        <v>101468</v>
      </c>
      <c r="B6682" s="48" t="s">
        <v>21789</v>
      </c>
      <c r="C6682" s="48" t="s">
        <v>6005</v>
      </c>
      <c r="D6682" s="50">
        <v>13.19</v>
      </c>
    </row>
    <row r="6683" spans="1:4" ht="13.5">
      <c r="A6683" s="49">
        <v>101469</v>
      </c>
      <c r="B6683" s="48" t="s">
        <v>21790</v>
      </c>
      <c r="C6683" s="48" t="s">
        <v>6005</v>
      </c>
      <c r="D6683" s="50">
        <v>29.52</v>
      </c>
    </row>
    <row r="6684" spans="1:4" ht="13.5">
      <c r="A6684" s="49">
        <v>101470</v>
      </c>
      <c r="B6684" s="48" t="s">
        <v>21791</v>
      </c>
      <c r="C6684" s="48" t="s">
        <v>6005</v>
      </c>
      <c r="D6684" s="50">
        <v>23.43</v>
      </c>
    </row>
    <row r="6685" spans="1:4" ht="13.5">
      <c r="A6685" s="49">
        <v>101471</v>
      </c>
      <c r="B6685" s="48" t="s">
        <v>21792</v>
      </c>
      <c r="C6685" s="48" t="s">
        <v>6005</v>
      </c>
      <c r="D6685" s="50">
        <v>20.09</v>
      </c>
    </row>
    <row r="6686" spans="1:4" ht="13.5">
      <c r="A6686" s="49">
        <v>101472</v>
      </c>
      <c r="B6686" s="48" t="s">
        <v>21793</v>
      </c>
      <c r="C6686" s="48" t="s">
        <v>6005</v>
      </c>
      <c r="D6686" s="50">
        <v>15.64</v>
      </c>
    </row>
    <row r="6687" spans="1:4" ht="13.5">
      <c r="A6687" s="49">
        <v>101473</v>
      </c>
      <c r="B6687" s="48" t="s">
        <v>21794</v>
      </c>
      <c r="C6687" s="48" t="s">
        <v>6005</v>
      </c>
      <c r="D6687" s="50">
        <v>22.52</v>
      </c>
    </row>
    <row r="6688" spans="1:4" ht="13.5">
      <c r="A6688" s="49">
        <v>101474</v>
      </c>
      <c r="B6688" s="48" t="s">
        <v>21795</v>
      </c>
      <c r="C6688" s="48" t="s">
        <v>6005</v>
      </c>
      <c r="D6688" s="50">
        <v>16.11</v>
      </c>
    </row>
    <row r="6689" spans="1:4" ht="13.5">
      <c r="A6689" s="49">
        <v>101475</v>
      </c>
      <c r="B6689" s="48" t="s">
        <v>21796</v>
      </c>
      <c r="C6689" s="48" t="s">
        <v>6005</v>
      </c>
      <c r="D6689" s="50">
        <v>14.29</v>
      </c>
    </row>
    <row r="6690" spans="1:4" ht="13.5">
      <c r="A6690" s="49">
        <v>101476</v>
      </c>
      <c r="B6690" s="48" t="s">
        <v>21797</v>
      </c>
      <c r="C6690" s="48" t="s">
        <v>6005</v>
      </c>
      <c r="D6690" s="50">
        <v>12.74</v>
      </c>
    </row>
    <row r="6691" spans="1:4" ht="13.5">
      <c r="A6691" s="49">
        <v>101477</v>
      </c>
      <c r="B6691" s="48" t="s">
        <v>21798</v>
      </c>
      <c r="C6691" s="48" t="s">
        <v>6005</v>
      </c>
      <c r="D6691" s="50">
        <v>10.43</v>
      </c>
    </row>
    <row r="6692" spans="1:4" ht="13.5">
      <c r="A6692" s="49">
        <v>101478</v>
      </c>
      <c r="B6692" s="48" t="s">
        <v>21799</v>
      </c>
      <c r="C6692" s="48" t="s">
        <v>6005</v>
      </c>
      <c r="D6692" s="50">
        <v>8.8800000000000008</v>
      </c>
    </row>
    <row r="6693" spans="1:4" ht="13.5">
      <c r="A6693" s="49">
        <v>101480</v>
      </c>
      <c r="B6693" s="48" t="s">
        <v>21800</v>
      </c>
      <c r="C6693" s="48" t="s">
        <v>6005</v>
      </c>
      <c r="D6693" s="50">
        <v>52.78</v>
      </c>
    </row>
    <row r="6694" spans="1:4" ht="13.5">
      <c r="A6694" s="49">
        <v>101481</v>
      </c>
      <c r="B6694" s="48" t="s">
        <v>21801</v>
      </c>
      <c r="C6694" s="48" t="s">
        <v>6005</v>
      </c>
      <c r="D6694" s="50">
        <v>38.130000000000003</v>
      </c>
    </row>
    <row r="6695" spans="1:4" ht="13.5">
      <c r="A6695" s="49">
        <v>101482</v>
      </c>
      <c r="B6695" s="48" t="s">
        <v>21802</v>
      </c>
      <c r="C6695" s="48" t="s">
        <v>6005</v>
      </c>
      <c r="D6695" s="50">
        <v>28.5</v>
      </c>
    </row>
    <row r="6696" spans="1:4" ht="13.5">
      <c r="A6696" s="49">
        <v>101483</v>
      </c>
      <c r="B6696" s="48" t="s">
        <v>21803</v>
      </c>
      <c r="C6696" s="48" t="s">
        <v>6005</v>
      </c>
      <c r="D6696" s="50">
        <v>29.57</v>
      </c>
    </row>
    <row r="6697" spans="1:4" ht="13.5">
      <c r="A6697" s="49">
        <v>101484</v>
      </c>
      <c r="B6697" s="48" t="s">
        <v>21804</v>
      </c>
      <c r="C6697" s="48" t="s">
        <v>6005</v>
      </c>
      <c r="D6697" s="50">
        <v>153.30000000000001</v>
      </c>
    </row>
    <row r="6698" spans="1:4" ht="13.5">
      <c r="A6698" s="49">
        <v>101485</v>
      </c>
      <c r="B6698" s="48" t="s">
        <v>21805</v>
      </c>
      <c r="C6698" s="48" t="s">
        <v>6005</v>
      </c>
      <c r="D6698" s="50">
        <v>117.67</v>
      </c>
    </row>
    <row r="6699" spans="1:4" ht="13.5">
      <c r="A6699" s="49">
        <v>101486</v>
      </c>
      <c r="B6699" s="48" t="s">
        <v>21806</v>
      </c>
      <c r="C6699" s="48" t="s">
        <v>6005</v>
      </c>
      <c r="D6699" s="50">
        <v>106</v>
      </c>
    </row>
    <row r="6700" spans="1:4" ht="13.5">
      <c r="A6700" s="49">
        <v>101487</v>
      </c>
      <c r="B6700" s="48" t="s">
        <v>21807</v>
      </c>
      <c r="C6700" s="48" t="s">
        <v>6005</v>
      </c>
      <c r="D6700" s="50">
        <v>77.62</v>
      </c>
    </row>
    <row r="6701" spans="1:4" ht="13.5">
      <c r="A6701" s="49">
        <v>101488</v>
      </c>
      <c r="B6701" s="48" t="s">
        <v>21808</v>
      </c>
      <c r="C6701" s="48" t="s">
        <v>6005</v>
      </c>
      <c r="D6701" s="50">
        <v>67.150000000000006</v>
      </c>
    </row>
    <row r="6702" spans="1:4" ht="13.5">
      <c r="A6702" s="49">
        <v>101188</v>
      </c>
      <c r="B6702" s="48" t="s">
        <v>21809</v>
      </c>
      <c r="C6702" s="48" t="s">
        <v>6</v>
      </c>
      <c r="D6702" s="50">
        <v>6.17</v>
      </c>
    </row>
    <row r="6703" spans="1:4" ht="13.5">
      <c r="A6703" s="49">
        <v>101189</v>
      </c>
      <c r="B6703" s="48" t="s">
        <v>21810</v>
      </c>
      <c r="C6703" s="48" t="s">
        <v>6</v>
      </c>
      <c r="D6703" s="50">
        <v>62.65</v>
      </c>
    </row>
    <row r="6704" spans="1:4" ht="13.5">
      <c r="A6704" s="49">
        <v>101190</v>
      </c>
      <c r="B6704" s="48" t="s">
        <v>21811</v>
      </c>
      <c r="C6704" s="48" t="s">
        <v>6</v>
      </c>
      <c r="D6704" s="50">
        <v>61.65</v>
      </c>
    </row>
    <row r="6705" spans="1:4" ht="13.5">
      <c r="A6705" s="49">
        <v>101191</v>
      </c>
      <c r="B6705" s="48" t="s">
        <v>21812</v>
      </c>
      <c r="C6705" s="48" t="s">
        <v>6</v>
      </c>
      <c r="D6705" s="50">
        <v>62.15</v>
      </c>
    </row>
    <row r="6706" spans="1:4" ht="13.5">
      <c r="A6706" s="49">
        <v>101192</v>
      </c>
      <c r="B6706" s="48" t="s">
        <v>21813</v>
      </c>
      <c r="C6706" s="48" t="s">
        <v>6</v>
      </c>
      <c r="D6706" s="50">
        <v>65.760000000000005</v>
      </c>
    </row>
    <row r="6707" spans="1:4" ht="13.5">
      <c r="A6707" s="49">
        <v>101193</v>
      </c>
      <c r="B6707" s="48" t="s">
        <v>21814</v>
      </c>
      <c r="C6707" s="48" t="s">
        <v>6</v>
      </c>
      <c r="D6707" s="50">
        <v>56.51</v>
      </c>
    </row>
    <row r="6708" spans="1:4" ht="13.5">
      <c r="A6708" s="49">
        <v>101194</v>
      </c>
      <c r="B6708" s="48" t="s">
        <v>21815</v>
      </c>
      <c r="C6708" s="48" t="s">
        <v>6</v>
      </c>
      <c r="D6708" s="50">
        <v>57.01</v>
      </c>
    </row>
    <row r="6709" spans="1:4" ht="13.5">
      <c r="A6709" s="49">
        <v>101197</v>
      </c>
      <c r="B6709" s="48" t="s">
        <v>21816</v>
      </c>
      <c r="C6709" s="48" t="s">
        <v>6</v>
      </c>
      <c r="D6709" s="50">
        <v>114.91</v>
      </c>
    </row>
    <row r="6710" spans="1:4" ht="13.5">
      <c r="A6710" s="49">
        <v>101198</v>
      </c>
      <c r="B6710" s="48" t="s">
        <v>21817</v>
      </c>
      <c r="C6710" s="48" t="s">
        <v>6</v>
      </c>
      <c r="D6710" s="50">
        <v>88.52</v>
      </c>
    </row>
    <row r="6711" spans="1:4" ht="13.5">
      <c r="A6711" s="49">
        <v>101199</v>
      </c>
      <c r="B6711" s="48" t="s">
        <v>21818</v>
      </c>
      <c r="C6711" s="48" t="s">
        <v>6</v>
      </c>
      <c r="D6711" s="50">
        <v>89.76</v>
      </c>
    </row>
    <row r="6712" spans="1:4" ht="13.5">
      <c r="A6712" s="49">
        <v>101200</v>
      </c>
      <c r="B6712" s="48" t="s">
        <v>21819</v>
      </c>
      <c r="C6712" s="48" t="s">
        <v>6</v>
      </c>
      <c r="D6712" s="50">
        <v>57.53</v>
      </c>
    </row>
    <row r="6713" spans="1:4" ht="13.5">
      <c r="A6713" s="49">
        <v>101201</v>
      </c>
      <c r="B6713" s="48" t="s">
        <v>21820</v>
      </c>
      <c r="C6713" s="48" t="s">
        <v>6</v>
      </c>
      <c r="D6713" s="50">
        <v>72.42</v>
      </c>
    </row>
    <row r="6714" spans="1:4" ht="13.5">
      <c r="A6714" s="49">
        <v>101202</v>
      </c>
      <c r="B6714" s="48" t="s">
        <v>21821</v>
      </c>
      <c r="C6714" s="48" t="s">
        <v>6</v>
      </c>
      <c r="D6714" s="50">
        <v>41.43</v>
      </c>
    </row>
    <row r="6715" spans="1:4" ht="13.5">
      <c r="A6715" s="49">
        <v>101203</v>
      </c>
      <c r="B6715" s="48" t="s">
        <v>21822</v>
      </c>
      <c r="C6715" s="48" t="s">
        <v>6</v>
      </c>
      <c r="D6715" s="50">
        <v>40.18</v>
      </c>
    </row>
    <row r="6716" spans="1:4" ht="13.5">
      <c r="A6716" s="49">
        <v>101204</v>
      </c>
      <c r="B6716" s="48" t="s">
        <v>21823</v>
      </c>
      <c r="C6716" s="48" t="s">
        <v>6</v>
      </c>
      <c r="D6716" s="50">
        <v>40.68</v>
      </c>
    </row>
    <row r="6717" spans="1:4" ht="13.5">
      <c r="A6717" s="49">
        <v>101205</v>
      </c>
      <c r="B6717" s="48" t="s">
        <v>21824</v>
      </c>
      <c r="C6717" s="48" t="s">
        <v>6</v>
      </c>
      <c r="D6717" s="50">
        <v>41.43</v>
      </c>
    </row>
    <row r="6718" spans="1:4" ht="13.5">
      <c r="A6718" s="49">
        <v>102362</v>
      </c>
      <c r="B6718" s="48" t="s">
        <v>21825</v>
      </c>
      <c r="C6718" s="48" t="s">
        <v>26764</v>
      </c>
      <c r="D6718" s="50">
        <v>213.77</v>
      </c>
    </row>
    <row r="6719" spans="1:4" ht="13.5">
      <c r="A6719" s="49">
        <v>102363</v>
      </c>
      <c r="B6719" s="48" t="s">
        <v>21826</v>
      </c>
      <c r="C6719" s="48" t="s">
        <v>26764</v>
      </c>
      <c r="D6719" s="50">
        <v>226.17</v>
      </c>
    </row>
    <row r="6720" spans="1:4" ht="13.5">
      <c r="A6720" s="49">
        <v>102364</v>
      </c>
      <c r="B6720" s="48" t="s">
        <v>21827</v>
      </c>
      <c r="C6720" s="48" t="s">
        <v>26764</v>
      </c>
      <c r="D6720" s="50">
        <v>248.72</v>
      </c>
    </row>
    <row r="6721" spans="1:4" ht="13.5">
      <c r="A6721" s="49">
        <v>98509</v>
      </c>
      <c r="B6721" s="48" t="s">
        <v>6802</v>
      </c>
      <c r="C6721" s="48" t="s">
        <v>32</v>
      </c>
      <c r="D6721" s="50">
        <v>42.54</v>
      </c>
    </row>
    <row r="6722" spans="1:4" ht="13.5">
      <c r="A6722" s="49">
        <v>98510</v>
      </c>
      <c r="B6722" s="48" t="s">
        <v>6803</v>
      </c>
      <c r="C6722" s="48" t="s">
        <v>32</v>
      </c>
      <c r="D6722" s="50">
        <v>65.430000000000007</v>
      </c>
    </row>
    <row r="6723" spans="1:4" ht="13.5">
      <c r="A6723" s="49">
        <v>98511</v>
      </c>
      <c r="B6723" s="48" t="s">
        <v>6804</v>
      </c>
      <c r="C6723" s="48" t="s">
        <v>32</v>
      </c>
      <c r="D6723" s="50">
        <v>123.44</v>
      </c>
    </row>
    <row r="6724" spans="1:4" ht="13.5">
      <c r="A6724" s="49">
        <v>98516</v>
      </c>
      <c r="B6724" s="48" t="s">
        <v>6805</v>
      </c>
      <c r="C6724" s="48" t="s">
        <v>32</v>
      </c>
      <c r="D6724" s="50">
        <v>322.17</v>
      </c>
    </row>
    <row r="6725" spans="1:4" ht="13.5">
      <c r="A6725" s="49">
        <v>98519</v>
      </c>
      <c r="B6725" s="48" t="s">
        <v>6806</v>
      </c>
      <c r="C6725" s="48" t="s">
        <v>26764</v>
      </c>
      <c r="D6725" s="50">
        <v>1.83</v>
      </c>
    </row>
    <row r="6726" spans="1:4" ht="13.5">
      <c r="A6726" s="49">
        <v>98520</v>
      </c>
      <c r="B6726" s="48" t="s">
        <v>6807</v>
      </c>
      <c r="C6726" s="48" t="s">
        <v>26764</v>
      </c>
      <c r="D6726" s="50">
        <v>4.72</v>
      </c>
    </row>
    <row r="6727" spans="1:4" ht="13.5">
      <c r="A6727" s="49">
        <v>98521</v>
      </c>
      <c r="B6727" s="48" t="s">
        <v>6808</v>
      </c>
      <c r="C6727" s="48" t="s">
        <v>26764</v>
      </c>
      <c r="D6727" s="50">
        <v>0.34</v>
      </c>
    </row>
    <row r="6728" spans="1:4" ht="13.5">
      <c r="A6728" s="49">
        <v>98522</v>
      </c>
      <c r="B6728" s="48" t="s">
        <v>6809</v>
      </c>
      <c r="C6728" s="48" t="s">
        <v>6</v>
      </c>
      <c r="D6728" s="50">
        <v>152.19999999999999</v>
      </c>
    </row>
    <row r="6729" spans="1:4" ht="13.5">
      <c r="A6729" s="49">
        <v>98524</v>
      </c>
      <c r="B6729" s="48" t="s">
        <v>6810</v>
      </c>
      <c r="C6729" s="48" t="s">
        <v>26764</v>
      </c>
      <c r="D6729" s="50">
        <v>3.05</v>
      </c>
    </row>
    <row r="6730" spans="1:4" ht="13.5">
      <c r="A6730" s="49">
        <v>98503</v>
      </c>
      <c r="B6730" s="48" t="s">
        <v>6811</v>
      </c>
      <c r="C6730" s="48" t="s">
        <v>26764</v>
      </c>
      <c r="D6730" s="50">
        <v>19.100000000000001</v>
      </c>
    </row>
    <row r="6731" spans="1:4" ht="13.5">
      <c r="A6731" s="49">
        <v>98504</v>
      </c>
      <c r="B6731" s="48" t="s">
        <v>6812</v>
      </c>
      <c r="C6731" s="48" t="s">
        <v>26764</v>
      </c>
      <c r="D6731" s="50">
        <v>12.7</v>
      </c>
    </row>
    <row r="6732" spans="1:4" ht="13.5">
      <c r="A6732" s="49">
        <v>98505</v>
      </c>
      <c r="B6732" s="48" t="s">
        <v>6813</v>
      </c>
      <c r="C6732" s="48" t="s">
        <v>26764</v>
      </c>
      <c r="D6732" s="50">
        <v>61.35</v>
      </c>
    </row>
    <row r="6733" spans="1:4" ht="13.5">
      <c r="A6733" s="49">
        <v>103185</v>
      </c>
      <c r="B6733" s="48" t="s">
        <v>26240</v>
      </c>
      <c r="C6733" s="48" t="s">
        <v>32</v>
      </c>
      <c r="D6733" s="51">
        <v>5405.2</v>
      </c>
    </row>
    <row r="6734" spans="1:4" ht="13.5">
      <c r="A6734" s="49">
        <v>103186</v>
      </c>
      <c r="B6734" s="48" t="s">
        <v>26241</v>
      </c>
      <c r="C6734" s="48" t="s">
        <v>32</v>
      </c>
      <c r="D6734" s="51">
        <v>5696.53</v>
      </c>
    </row>
    <row r="6735" spans="1:4" ht="13.5">
      <c r="A6735" s="49">
        <v>103187</v>
      </c>
      <c r="B6735" s="48" t="s">
        <v>26242</v>
      </c>
      <c r="C6735" s="48" t="s">
        <v>32</v>
      </c>
      <c r="D6735" s="51">
        <v>4283.7</v>
      </c>
    </row>
    <row r="6736" spans="1:4" ht="13.5">
      <c r="A6736" s="49">
        <v>103188</v>
      </c>
      <c r="B6736" s="48" t="s">
        <v>26243</v>
      </c>
      <c r="C6736" s="48" t="s">
        <v>32</v>
      </c>
      <c r="D6736" s="51">
        <v>4604.6400000000003</v>
      </c>
    </row>
    <row r="6737" spans="1:4" ht="13.5">
      <c r="A6737" s="49">
        <v>103189</v>
      </c>
      <c r="B6737" s="48" t="s">
        <v>26244</v>
      </c>
      <c r="C6737" s="48" t="s">
        <v>32</v>
      </c>
      <c r="D6737" s="51">
        <v>2308.3200000000002</v>
      </c>
    </row>
    <row r="6738" spans="1:4" ht="13.5">
      <c r="A6738" s="49">
        <v>103190</v>
      </c>
      <c r="B6738" s="48" t="s">
        <v>26245</v>
      </c>
      <c r="C6738" s="48" t="s">
        <v>32</v>
      </c>
      <c r="D6738" s="51">
        <v>3576.15</v>
      </c>
    </row>
    <row r="6739" spans="1:4" ht="13.5">
      <c r="A6739" s="49">
        <v>103191</v>
      </c>
      <c r="B6739" s="48" t="s">
        <v>26246</v>
      </c>
      <c r="C6739" s="48" t="s">
        <v>32</v>
      </c>
      <c r="D6739" s="51">
        <v>2080.69</v>
      </c>
    </row>
    <row r="6740" spans="1:4" ht="13.5">
      <c r="A6740" s="49">
        <v>103192</v>
      </c>
      <c r="B6740" s="48" t="s">
        <v>26247</v>
      </c>
      <c r="C6740" s="48" t="s">
        <v>32</v>
      </c>
      <c r="D6740" s="51">
        <v>2215.59</v>
      </c>
    </row>
    <row r="6741" spans="1:4" ht="13.5">
      <c r="A6741" s="49">
        <v>103193</v>
      </c>
      <c r="B6741" s="48" t="s">
        <v>26248</v>
      </c>
      <c r="C6741" s="48" t="s">
        <v>32</v>
      </c>
      <c r="D6741" s="51">
        <v>1705.22</v>
      </c>
    </row>
    <row r="6742" spans="1:4" ht="13.5">
      <c r="A6742" s="49">
        <v>103194</v>
      </c>
      <c r="B6742" s="48" t="s">
        <v>26249</v>
      </c>
      <c r="C6742" s="48" t="s">
        <v>32</v>
      </c>
      <c r="D6742" s="51">
        <v>2458.54</v>
      </c>
    </row>
    <row r="6743" spans="1:4" ht="13.5">
      <c r="A6743" s="49">
        <v>103195</v>
      </c>
      <c r="B6743" s="48" t="s">
        <v>26250</v>
      </c>
      <c r="C6743" s="48" t="s">
        <v>32</v>
      </c>
      <c r="D6743" s="51">
        <v>1918.62</v>
      </c>
    </row>
    <row r="6744" spans="1:4" ht="13.5">
      <c r="A6744" s="49">
        <v>103205</v>
      </c>
      <c r="B6744" s="48" t="s">
        <v>26251</v>
      </c>
      <c r="C6744" s="48" t="s">
        <v>32</v>
      </c>
      <c r="D6744" s="51">
        <v>3587.3</v>
      </c>
    </row>
    <row r="6745" spans="1:4" ht="13.5">
      <c r="A6745" s="49">
        <v>103206</v>
      </c>
      <c r="B6745" s="48" t="s">
        <v>26252</v>
      </c>
      <c r="C6745" s="48" t="s">
        <v>32</v>
      </c>
      <c r="D6745" s="51">
        <v>2091.85</v>
      </c>
    </row>
    <row r="6746" spans="1:4" ht="13.5">
      <c r="A6746" s="49">
        <v>103207</v>
      </c>
      <c r="B6746" s="48" t="s">
        <v>26253</v>
      </c>
      <c r="C6746" s="48" t="s">
        <v>32</v>
      </c>
      <c r="D6746" s="51">
        <v>2226.75</v>
      </c>
    </row>
    <row r="6747" spans="1:4" ht="13.5">
      <c r="A6747" s="49">
        <v>103208</v>
      </c>
      <c r="B6747" s="48" t="s">
        <v>26254</v>
      </c>
      <c r="C6747" s="48" t="s">
        <v>32</v>
      </c>
      <c r="D6747" s="51">
        <v>1716.38</v>
      </c>
    </row>
    <row r="6748" spans="1:4" ht="13.5">
      <c r="A6748" s="49">
        <v>103209</v>
      </c>
      <c r="B6748" s="48" t="s">
        <v>26255</v>
      </c>
      <c r="C6748" s="48" t="s">
        <v>32</v>
      </c>
      <c r="D6748" s="51">
        <v>2469.6999999999998</v>
      </c>
    </row>
    <row r="6749" spans="1:4" ht="13.5">
      <c r="A6749" s="49">
        <v>103210</v>
      </c>
      <c r="B6749" s="48" t="s">
        <v>26256</v>
      </c>
      <c r="C6749" s="48" t="s">
        <v>32</v>
      </c>
      <c r="D6749" s="51">
        <v>2003.99</v>
      </c>
    </row>
    <row r="6750" spans="1:4" ht="13.5">
      <c r="A6750" s="49">
        <v>103304</v>
      </c>
      <c r="B6750" s="48" t="s">
        <v>28396</v>
      </c>
      <c r="C6750" s="48" t="s">
        <v>32</v>
      </c>
      <c r="D6750" s="51">
        <v>1096.7</v>
      </c>
    </row>
    <row r="6751" spans="1:4" ht="13.5">
      <c r="A6751" s="49">
        <v>103307</v>
      </c>
      <c r="B6751" s="48" t="s">
        <v>28397</v>
      </c>
      <c r="C6751" s="48" t="s">
        <v>32</v>
      </c>
      <c r="D6751" s="51">
        <v>1169.47</v>
      </c>
    </row>
    <row r="6752" spans="1:4" ht="13.5">
      <c r="A6752" s="49">
        <v>103310</v>
      </c>
      <c r="B6752" s="48" t="s">
        <v>28398</v>
      </c>
      <c r="C6752" s="48" t="s">
        <v>32</v>
      </c>
      <c r="D6752" s="51">
        <v>1126.2</v>
      </c>
    </row>
    <row r="6753" spans="1:4" ht="13.5">
      <c r="A6753" s="49">
        <v>103314</v>
      </c>
      <c r="B6753" s="48" t="s">
        <v>28399</v>
      </c>
      <c r="C6753" s="48" t="s">
        <v>26764</v>
      </c>
      <c r="D6753" s="50">
        <v>260.5</v>
      </c>
    </row>
    <row r="6754" spans="1:4" ht="13.5">
      <c r="A6754" s="49">
        <v>103315</v>
      </c>
      <c r="B6754" s="48" t="s">
        <v>28400</v>
      </c>
      <c r="C6754" s="48" t="s">
        <v>26764</v>
      </c>
      <c r="D6754" s="50">
        <v>253.29</v>
      </c>
    </row>
    <row r="6755" spans="1:4" ht="13.5">
      <c r="A6755" s="49">
        <v>98525</v>
      </c>
      <c r="B6755" s="48" t="s">
        <v>6814</v>
      </c>
      <c r="C6755" s="48" t="s">
        <v>26764</v>
      </c>
      <c r="D6755" s="50">
        <v>0.36</v>
      </c>
    </row>
    <row r="6756" spans="1:4" ht="13.5">
      <c r="A6756" s="49">
        <v>98526</v>
      </c>
      <c r="B6756" s="48" t="s">
        <v>6815</v>
      </c>
      <c r="C6756" s="48" t="s">
        <v>32</v>
      </c>
      <c r="D6756" s="50">
        <v>78.08</v>
      </c>
    </row>
    <row r="6757" spans="1:4" ht="13.5">
      <c r="A6757" s="49">
        <v>98527</v>
      </c>
      <c r="B6757" s="48" t="s">
        <v>6816</v>
      </c>
      <c r="C6757" s="48" t="s">
        <v>32</v>
      </c>
      <c r="D6757" s="50">
        <v>168.1</v>
      </c>
    </row>
    <row r="6758" spans="1:4" ht="13.5">
      <c r="A6758" s="49">
        <v>98528</v>
      </c>
      <c r="B6758" s="48" t="s">
        <v>6817</v>
      </c>
      <c r="C6758" s="48" t="s">
        <v>32</v>
      </c>
      <c r="D6758" s="50">
        <v>245.83</v>
      </c>
    </row>
    <row r="6759" spans="1:4" ht="13.5">
      <c r="A6759" s="49">
        <v>98529</v>
      </c>
      <c r="B6759" s="48" t="s">
        <v>6818</v>
      </c>
      <c r="C6759" s="48" t="s">
        <v>32</v>
      </c>
      <c r="D6759" s="50">
        <v>65.64</v>
      </c>
    </row>
    <row r="6760" spans="1:4" ht="13.5">
      <c r="A6760" s="49">
        <v>98530</v>
      </c>
      <c r="B6760" s="48" t="s">
        <v>6819</v>
      </c>
      <c r="C6760" s="48" t="s">
        <v>32</v>
      </c>
      <c r="D6760" s="50">
        <v>116.94</v>
      </c>
    </row>
    <row r="6761" spans="1:4" ht="13.5">
      <c r="A6761" s="49">
        <v>98531</v>
      </c>
      <c r="B6761" s="48" t="s">
        <v>6820</v>
      </c>
      <c r="C6761" s="48" t="s">
        <v>32</v>
      </c>
      <c r="D6761" s="50">
        <v>272.44</v>
      </c>
    </row>
    <row r="6762" spans="1:4" ht="13.5">
      <c r="A6762" s="49">
        <v>98532</v>
      </c>
      <c r="B6762" s="48" t="s">
        <v>6821</v>
      </c>
      <c r="C6762" s="48" t="s">
        <v>32</v>
      </c>
      <c r="D6762" s="50">
        <v>99.86</v>
      </c>
    </row>
    <row r="6763" spans="1:4" ht="13.5">
      <c r="A6763" s="49">
        <v>98533</v>
      </c>
      <c r="B6763" s="48" t="s">
        <v>6822</v>
      </c>
      <c r="C6763" s="48" t="s">
        <v>32</v>
      </c>
      <c r="D6763" s="50">
        <v>273.72000000000003</v>
      </c>
    </row>
    <row r="6764" spans="1:4" ht="13.5">
      <c r="A6764" s="49">
        <v>98534</v>
      </c>
      <c r="B6764" s="48" t="s">
        <v>6823</v>
      </c>
      <c r="C6764" s="48" t="s">
        <v>32</v>
      </c>
      <c r="D6764" s="50">
        <v>701</v>
      </c>
    </row>
    <row r="6765" spans="1:4" ht="13.5">
      <c r="A6765" s="49">
        <v>98535</v>
      </c>
      <c r="B6765" s="48" t="s">
        <v>6824</v>
      </c>
      <c r="C6765" s="48" t="s">
        <v>32</v>
      </c>
      <c r="D6765" s="51">
        <v>1109.94</v>
      </c>
    </row>
    <row r="6766" spans="1:4" ht="13.5">
      <c r="A6766" s="49">
        <v>88238</v>
      </c>
      <c r="B6766" s="48" t="s">
        <v>6825</v>
      </c>
      <c r="C6766" s="48" t="s">
        <v>10</v>
      </c>
      <c r="D6766" s="50">
        <v>19.399999999999999</v>
      </c>
    </row>
    <row r="6767" spans="1:4" ht="13.5">
      <c r="A6767" s="49">
        <v>88239</v>
      </c>
      <c r="B6767" s="48" t="s">
        <v>6826</v>
      </c>
      <c r="C6767" s="48" t="s">
        <v>10</v>
      </c>
      <c r="D6767" s="50">
        <v>21.16</v>
      </c>
    </row>
    <row r="6768" spans="1:4" ht="13.5">
      <c r="A6768" s="49">
        <v>88240</v>
      </c>
      <c r="B6768" s="48" t="s">
        <v>6827</v>
      </c>
      <c r="C6768" s="48" t="s">
        <v>10</v>
      </c>
      <c r="D6768" s="50">
        <v>20.52</v>
      </c>
    </row>
    <row r="6769" spans="1:4" ht="13.5">
      <c r="A6769" s="49">
        <v>88241</v>
      </c>
      <c r="B6769" s="48" t="s">
        <v>6828</v>
      </c>
      <c r="C6769" s="48" t="s">
        <v>10</v>
      </c>
      <c r="D6769" s="50">
        <v>19.850000000000001</v>
      </c>
    </row>
    <row r="6770" spans="1:4" ht="13.5">
      <c r="A6770" s="49">
        <v>88242</v>
      </c>
      <c r="B6770" s="48" t="s">
        <v>6829</v>
      </c>
      <c r="C6770" s="48" t="s">
        <v>10</v>
      </c>
      <c r="D6770" s="50">
        <v>18.010000000000002</v>
      </c>
    </row>
    <row r="6771" spans="1:4" ht="13.5">
      <c r="A6771" s="49">
        <v>88243</v>
      </c>
      <c r="B6771" s="48" t="s">
        <v>6830</v>
      </c>
      <c r="C6771" s="48" t="s">
        <v>10</v>
      </c>
      <c r="D6771" s="50">
        <v>21.54</v>
      </c>
    </row>
    <row r="6772" spans="1:4" ht="13.5">
      <c r="A6772" s="49">
        <v>88245</v>
      </c>
      <c r="B6772" s="48" t="s">
        <v>6831</v>
      </c>
      <c r="C6772" s="48" t="s">
        <v>10</v>
      </c>
      <c r="D6772" s="50">
        <v>25.1</v>
      </c>
    </row>
    <row r="6773" spans="1:4" ht="13.5">
      <c r="A6773" s="49">
        <v>88246</v>
      </c>
      <c r="B6773" s="48" t="s">
        <v>6832</v>
      </c>
      <c r="C6773" s="48" t="s">
        <v>10</v>
      </c>
      <c r="D6773" s="50">
        <v>28.17</v>
      </c>
    </row>
    <row r="6774" spans="1:4" ht="13.5">
      <c r="A6774" s="49">
        <v>88247</v>
      </c>
      <c r="B6774" s="48" t="s">
        <v>6833</v>
      </c>
      <c r="C6774" s="48" t="s">
        <v>10</v>
      </c>
      <c r="D6774" s="50">
        <v>20.65</v>
      </c>
    </row>
    <row r="6775" spans="1:4" ht="13.5">
      <c r="A6775" s="49">
        <v>88248</v>
      </c>
      <c r="B6775" s="48" t="s">
        <v>6834</v>
      </c>
      <c r="C6775" s="48" t="s">
        <v>10</v>
      </c>
      <c r="D6775" s="50">
        <v>17.190000000000001</v>
      </c>
    </row>
    <row r="6776" spans="1:4" ht="13.5">
      <c r="A6776" s="49">
        <v>88249</v>
      </c>
      <c r="B6776" s="48" t="s">
        <v>6835</v>
      </c>
      <c r="C6776" s="48" t="s">
        <v>10</v>
      </c>
      <c r="D6776" s="50">
        <v>23.96</v>
      </c>
    </row>
    <row r="6777" spans="1:4" ht="13.5">
      <c r="A6777" s="49">
        <v>88250</v>
      </c>
      <c r="B6777" s="48" t="s">
        <v>6836</v>
      </c>
      <c r="C6777" s="48" t="s">
        <v>10</v>
      </c>
      <c r="D6777" s="50">
        <v>20.91</v>
      </c>
    </row>
    <row r="6778" spans="1:4" ht="13.5">
      <c r="A6778" s="49">
        <v>88251</v>
      </c>
      <c r="B6778" s="48" t="s">
        <v>6837</v>
      </c>
      <c r="C6778" s="48" t="s">
        <v>10</v>
      </c>
      <c r="D6778" s="50">
        <v>20.34</v>
      </c>
    </row>
    <row r="6779" spans="1:4" ht="13.5">
      <c r="A6779" s="49">
        <v>88252</v>
      </c>
      <c r="B6779" s="48" t="s">
        <v>6838</v>
      </c>
      <c r="C6779" s="48" t="s">
        <v>10</v>
      </c>
      <c r="D6779" s="50">
        <v>18.899999999999999</v>
      </c>
    </row>
    <row r="6780" spans="1:4" ht="13.5">
      <c r="A6780" s="49">
        <v>88253</v>
      </c>
      <c r="B6780" s="48" t="s">
        <v>6839</v>
      </c>
      <c r="C6780" s="48" t="s">
        <v>10</v>
      </c>
      <c r="D6780" s="50">
        <v>12.34</v>
      </c>
    </row>
    <row r="6781" spans="1:4" ht="13.5">
      <c r="A6781" s="49">
        <v>88255</v>
      </c>
      <c r="B6781" s="48" t="s">
        <v>6840</v>
      </c>
      <c r="C6781" s="48" t="s">
        <v>10</v>
      </c>
      <c r="D6781" s="50">
        <v>36.57</v>
      </c>
    </row>
    <row r="6782" spans="1:4" ht="13.5">
      <c r="A6782" s="49">
        <v>88256</v>
      </c>
      <c r="B6782" s="48" t="s">
        <v>6841</v>
      </c>
      <c r="C6782" s="48" t="s">
        <v>10</v>
      </c>
      <c r="D6782" s="50">
        <v>26.11</v>
      </c>
    </row>
    <row r="6783" spans="1:4" ht="13.5">
      <c r="A6783" s="49">
        <v>88257</v>
      </c>
      <c r="B6783" s="48" t="s">
        <v>6842</v>
      </c>
      <c r="C6783" s="48" t="s">
        <v>10</v>
      </c>
      <c r="D6783" s="50">
        <v>26.16</v>
      </c>
    </row>
    <row r="6784" spans="1:4" ht="13.5">
      <c r="A6784" s="49">
        <v>88258</v>
      </c>
      <c r="B6784" s="48" t="s">
        <v>6843</v>
      </c>
      <c r="C6784" s="48" t="s">
        <v>10</v>
      </c>
      <c r="D6784" s="50">
        <v>16.760000000000002</v>
      </c>
    </row>
    <row r="6785" spans="1:4" ht="13.5">
      <c r="A6785" s="49">
        <v>88260</v>
      </c>
      <c r="B6785" s="48" t="s">
        <v>6844</v>
      </c>
      <c r="C6785" s="48" t="s">
        <v>10</v>
      </c>
      <c r="D6785" s="50">
        <v>22.69</v>
      </c>
    </row>
    <row r="6786" spans="1:4" ht="13.5">
      <c r="A6786" s="49">
        <v>88261</v>
      </c>
      <c r="B6786" s="48" t="s">
        <v>6845</v>
      </c>
      <c r="C6786" s="48" t="s">
        <v>10</v>
      </c>
      <c r="D6786" s="50">
        <v>22.14</v>
      </c>
    </row>
    <row r="6787" spans="1:4" ht="13.5">
      <c r="A6787" s="49">
        <v>88262</v>
      </c>
      <c r="B6787" s="48" t="s">
        <v>6846</v>
      </c>
      <c r="C6787" s="48" t="s">
        <v>10</v>
      </c>
      <c r="D6787" s="50">
        <v>25.18</v>
      </c>
    </row>
    <row r="6788" spans="1:4" ht="13.5">
      <c r="A6788" s="49">
        <v>88263</v>
      </c>
      <c r="B6788" s="48" t="s">
        <v>6847</v>
      </c>
      <c r="C6788" s="48" t="s">
        <v>10</v>
      </c>
      <c r="D6788" s="50">
        <v>19.97</v>
      </c>
    </row>
    <row r="6789" spans="1:4" ht="13.5">
      <c r="A6789" s="49">
        <v>88264</v>
      </c>
      <c r="B6789" s="48" t="s">
        <v>6848</v>
      </c>
      <c r="C6789" s="48" t="s">
        <v>10</v>
      </c>
      <c r="D6789" s="50">
        <v>26.73</v>
      </c>
    </row>
    <row r="6790" spans="1:4" ht="13.5">
      <c r="A6790" s="49">
        <v>88265</v>
      </c>
      <c r="B6790" s="48" t="s">
        <v>6849</v>
      </c>
      <c r="C6790" s="48" t="s">
        <v>10</v>
      </c>
      <c r="D6790" s="50">
        <v>28.8</v>
      </c>
    </row>
    <row r="6791" spans="1:4" ht="13.5">
      <c r="A6791" s="49">
        <v>88266</v>
      </c>
      <c r="B6791" s="48" t="s">
        <v>6850</v>
      </c>
      <c r="C6791" s="48" t="s">
        <v>10</v>
      </c>
      <c r="D6791" s="50">
        <v>30.7</v>
      </c>
    </row>
    <row r="6792" spans="1:4" ht="13.5">
      <c r="A6792" s="49">
        <v>88267</v>
      </c>
      <c r="B6792" s="48" t="s">
        <v>6851</v>
      </c>
      <c r="C6792" s="48" t="s">
        <v>10</v>
      </c>
      <c r="D6792" s="50">
        <v>21.94</v>
      </c>
    </row>
    <row r="6793" spans="1:4" ht="13.5">
      <c r="A6793" s="49">
        <v>88269</v>
      </c>
      <c r="B6793" s="48" t="s">
        <v>6852</v>
      </c>
      <c r="C6793" s="48" t="s">
        <v>10</v>
      </c>
      <c r="D6793" s="50">
        <v>20.16</v>
      </c>
    </row>
    <row r="6794" spans="1:4" ht="13.5">
      <c r="A6794" s="49">
        <v>88270</v>
      </c>
      <c r="B6794" s="48" t="s">
        <v>6853</v>
      </c>
      <c r="C6794" s="48" t="s">
        <v>10</v>
      </c>
      <c r="D6794" s="50">
        <v>23.86</v>
      </c>
    </row>
    <row r="6795" spans="1:4" ht="13.5">
      <c r="A6795" s="49">
        <v>88272</v>
      </c>
      <c r="B6795" s="48" t="s">
        <v>6854</v>
      </c>
      <c r="C6795" s="48" t="s">
        <v>10</v>
      </c>
      <c r="D6795" s="50">
        <v>27.44</v>
      </c>
    </row>
    <row r="6796" spans="1:4" ht="13.5">
      <c r="A6796" s="49">
        <v>88273</v>
      </c>
      <c r="B6796" s="48" t="s">
        <v>6855</v>
      </c>
      <c r="C6796" s="48" t="s">
        <v>10</v>
      </c>
      <c r="D6796" s="50">
        <v>25.65</v>
      </c>
    </row>
    <row r="6797" spans="1:4" ht="13.5">
      <c r="A6797" s="49">
        <v>88274</v>
      </c>
      <c r="B6797" s="48" t="s">
        <v>6856</v>
      </c>
      <c r="C6797" s="48" t="s">
        <v>10</v>
      </c>
      <c r="D6797" s="50">
        <v>26.09</v>
      </c>
    </row>
    <row r="6798" spans="1:4" ht="13.5">
      <c r="A6798" s="49">
        <v>88275</v>
      </c>
      <c r="B6798" s="48" t="s">
        <v>6857</v>
      </c>
      <c r="C6798" s="48" t="s">
        <v>10</v>
      </c>
      <c r="D6798" s="50">
        <v>32.590000000000003</v>
      </c>
    </row>
    <row r="6799" spans="1:4" ht="13.5">
      <c r="A6799" s="49">
        <v>88277</v>
      </c>
      <c r="B6799" s="48" t="s">
        <v>6858</v>
      </c>
      <c r="C6799" s="48" t="s">
        <v>10</v>
      </c>
      <c r="D6799" s="50">
        <v>25.47</v>
      </c>
    </row>
    <row r="6800" spans="1:4" ht="13.5">
      <c r="A6800" s="49">
        <v>88278</v>
      </c>
      <c r="B6800" s="48" t="s">
        <v>6859</v>
      </c>
      <c r="C6800" s="48" t="s">
        <v>10</v>
      </c>
      <c r="D6800" s="50">
        <v>26.09</v>
      </c>
    </row>
    <row r="6801" spans="1:4" ht="13.5">
      <c r="A6801" s="49">
        <v>88279</v>
      </c>
      <c r="B6801" s="48" t="s">
        <v>6860</v>
      </c>
      <c r="C6801" s="48" t="s">
        <v>10</v>
      </c>
      <c r="D6801" s="50">
        <v>35.979999999999997</v>
      </c>
    </row>
    <row r="6802" spans="1:4" ht="13.5">
      <c r="A6802" s="49">
        <v>88281</v>
      </c>
      <c r="B6802" s="48" t="s">
        <v>6861</v>
      </c>
      <c r="C6802" s="48" t="s">
        <v>10</v>
      </c>
      <c r="D6802" s="50">
        <v>23.92</v>
      </c>
    </row>
    <row r="6803" spans="1:4" ht="13.5">
      <c r="A6803" s="49">
        <v>88282</v>
      </c>
      <c r="B6803" s="48" t="s">
        <v>6862</v>
      </c>
      <c r="C6803" s="48" t="s">
        <v>10</v>
      </c>
      <c r="D6803" s="50">
        <v>25.05</v>
      </c>
    </row>
    <row r="6804" spans="1:4" ht="13.5">
      <c r="A6804" s="49">
        <v>88283</v>
      </c>
      <c r="B6804" s="48" t="s">
        <v>6863</v>
      </c>
      <c r="C6804" s="48" t="s">
        <v>10</v>
      </c>
      <c r="D6804" s="50">
        <v>31.69</v>
      </c>
    </row>
    <row r="6805" spans="1:4" ht="13.5">
      <c r="A6805" s="49">
        <v>88284</v>
      </c>
      <c r="B6805" s="48" t="s">
        <v>6864</v>
      </c>
      <c r="C6805" s="48" t="s">
        <v>10</v>
      </c>
      <c r="D6805" s="50">
        <v>24.33</v>
      </c>
    </row>
    <row r="6806" spans="1:4" ht="13.5">
      <c r="A6806" s="49">
        <v>88285</v>
      </c>
      <c r="B6806" s="48" t="s">
        <v>6865</v>
      </c>
      <c r="C6806" s="48" t="s">
        <v>10</v>
      </c>
      <c r="D6806" s="50">
        <v>27.99</v>
      </c>
    </row>
    <row r="6807" spans="1:4" ht="13.5">
      <c r="A6807" s="49">
        <v>88286</v>
      </c>
      <c r="B6807" s="48" t="s">
        <v>6866</v>
      </c>
      <c r="C6807" s="48" t="s">
        <v>10</v>
      </c>
      <c r="D6807" s="50">
        <v>28.44</v>
      </c>
    </row>
    <row r="6808" spans="1:4" ht="13.5">
      <c r="A6808" s="49">
        <v>88288</v>
      </c>
      <c r="B6808" s="48" t="s">
        <v>6867</v>
      </c>
      <c r="C6808" s="48" t="s">
        <v>10</v>
      </c>
      <c r="D6808" s="50">
        <v>15.15</v>
      </c>
    </row>
    <row r="6809" spans="1:4" ht="13.5">
      <c r="A6809" s="49">
        <v>88291</v>
      </c>
      <c r="B6809" s="48" t="s">
        <v>6868</v>
      </c>
      <c r="C6809" s="48" t="s">
        <v>10</v>
      </c>
      <c r="D6809" s="50">
        <v>23.12</v>
      </c>
    </row>
    <row r="6810" spans="1:4" ht="13.5">
      <c r="A6810" s="49">
        <v>88292</v>
      </c>
      <c r="B6810" s="48" t="s">
        <v>6869</v>
      </c>
      <c r="C6810" s="48" t="s">
        <v>10</v>
      </c>
      <c r="D6810" s="50">
        <v>26.14</v>
      </c>
    </row>
    <row r="6811" spans="1:4" ht="13.5">
      <c r="A6811" s="49">
        <v>88293</v>
      </c>
      <c r="B6811" s="48" t="s">
        <v>6870</v>
      </c>
      <c r="C6811" s="48" t="s">
        <v>10</v>
      </c>
      <c r="D6811" s="50">
        <v>27.27</v>
      </c>
    </row>
    <row r="6812" spans="1:4" ht="13.5">
      <c r="A6812" s="49">
        <v>88294</v>
      </c>
      <c r="B6812" s="48" t="s">
        <v>6871</v>
      </c>
      <c r="C6812" s="48" t="s">
        <v>10</v>
      </c>
      <c r="D6812" s="50">
        <v>29.46</v>
      </c>
    </row>
    <row r="6813" spans="1:4" ht="13.5">
      <c r="A6813" s="49">
        <v>88295</v>
      </c>
      <c r="B6813" s="48" t="s">
        <v>6872</v>
      </c>
      <c r="C6813" s="48" t="s">
        <v>10</v>
      </c>
      <c r="D6813" s="50">
        <v>24.51</v>
      </c>
    </row>
    <row r="6814" spans="1:4" ht="13.5">
      <c r="A6814" s="49">
        <v>88296</v>
      </c>
      <c r="B6814" s="48" t="s">
        <v>6873</v>
      </c>
      <c r="C6814" s="48" t="s">
        <v>10</v>
      </c>
      <c r="D6814" s="50">
        <v>41.23</v>
      </c>
    </row>
    <row r="6815" spans="1:4" ht="13.5">
      <c r="A6815" s="49">
        <v>88297</v>
      </c>
      <c r="B6815" s="48" t="s">
        <v>6874</v>
      </c>
      <c r="C6815" s="48" t="s">
        <v>10</v>
      </c>
      <c r="D6815" s="50">
        <v>28.14</v>
      </c>
    </row>
    <row r="6816" spans="1:4" ht="13.5">
      <c r="A6816" s="49">
        <v>88298</v>
      </c>
      <c r="B6816" s="48" t="s">
        <v>6875</v>
      </c>
      <c r="C6816" s="48" t="s">
        <v>10</v>
      </c>
      <c r="D6816" s="50">
        <v>16.48</v>
      </c>
    </row>
    <row r="6817" spans="1:4" ht="13.5">
      <c r="A6817" s="49">
        <v>88299</v>
      </c>
      <c r="B6817" s="48" t="s">
        <v>6876</v>
      </c>
      <c r="C6817" s="48" t="s">
        <v>10</v>
      </c>
      <c r="D6817" s="50">
        <v>27.66</v>
      </c>
    </row>
    <row r="6818" spans="1:4" ht="13.5">
      <c r="A6818" s="49">
        <v>88300</v>
      </c>
      <c r="B6818" s="48" t="s">
        <v>6877</v>
      </c>
      <c r="C6818" s="48" t="s">
        <v>10</v>
      </c>
      <c r="D6818" s="50">
        <v>32.74</v>
      </c>
    </row>
    <row r="6819" spans="1:4" ht="13.5">
      <c r="A6819" s="49">
        <v>88301</v>
      </c>
      <c r="B6819" s="48" t="s">
        <v>6878</v>
      </c>
      <c r="C6819" s="48" t="s">
        <v>10</v>
      </c>
      <c r="D6819" s="50">
        <v>26.86</v>
      </c>
    </row>
    <row r="6820" spans="1:4" ht="13.5">
      <c r="A6820" s="49">
        <v>88302</v>
      </c>
      <c r="B6820" s="48" t="s">
        <v>6879</v>
      </c>
      <c r="C6820" s="48" t="s">
        <v>10</v>
      </c>
      <c r="D6820" s="50">
        <v>28.38</v>
      </c>
    </row>
    <row r="6821" spans="1:4" ht="13.5">
      <c r="A6821" s="49">
        <v>88303</v>
      </c>
      <c r="B6821" s="48" t="s">
        <v>6880</v>
      </c>
      <c r="C6821" s="48" t="s">
        <v>10</v>
      </c>
      <c r="D6821" s="50">
        <v>22.64</v>
      </c>
    </row>
    <row r="6822" spans="1:4" ht="13.5">
      <c r="A6822" s="49">
        <v>88304</v>
      </c>
      <c r="B6822" s="48" t="s">
        <v>6882</v>
      </c>
      <c r="C6822" s="48" t="s">
        <v>10</v>
      </c>
      <c r="D6822" s="50">
        <v>25.1</v>
      </c>
    </row>
    <row r="6823" spans="1:4" ht="13.5">
      <c r="A6823" s="49">
        <v>88306</v>
      </c>
      <c r="B6823" s="48" t="s">
        <v>6883</v>
      </c>
      <c r="C6823" s="48" t="s">
        <v>10</v>
      </c>
      <c r="D6823" s="50">
        <v>26.92</v>
      </c>
    </row>
    <row r="6824" spans="1:4" ht="13.5">
      <c r="A6824" s="49">
        <v>88307</v>
      </c>
      <c r="B6824" s="48" t="s">
        <v>6884</v>
      </c>
      <c r="C6824" s="48" t="s">
        <v>10</v>
      </c>
      <c r="D6824" s="50">
        <v>29.55</v>
      </c>
    </row>
    <row r="6825" spans="1:4" ht="13.5">
      <c r="A6825" s="49">
        <v>88308</v>
      </c>
      <c r="B6825" s="48" t="s">
        <v>6885</v>
      </c>
      <c r="C6825" s="48" t="s">
        <v>10</v>
      </c>
      <c r="D6825" s="50">
        <v>26.09</v>
      </c>
    </row>
    <row r="6826" spans="1:4" ht="13.5">
      <c r="A6826" s="49">
        <v>88309</v>
      </c>
      <c r="B6826" s="48" t="s">
        <v>6886</v>
      </c>
      <c r="C6826" s="48" t="s">
        <v>10</v>
      </c>
      <c r="D6826" s="50">
        <v>25.25</v>
      </c>
    </row>
    <row r="6827" spans="1:4" ht="13.5">
      <c r="A6827" s="49">
        <v>88310</v>
      </c>
      <c r="B6827" s="48" t="s">
        <v>6887</v>
      </c>
      <c r="C6827" s="48" t="s">
        <v>10</v>
      </c>
      <c r="D6827" s="50">
        <v>26.41</v>
      </c>
    </row>
    <row r="6828" spans="1:4" ht="13.5">
      <c r="A6828" s="49">
        <v>88311</v>
      </c>
      <c r="B6828" s="48" t="s">
        <v>6888</v>
      </c>
      <c r="C6828" s="48" t="s">
        <v>10</v>
      </c>
      <c r="D6828" s="50">
        <v>32.43</v>
      </c>
    </row>
    <row r="6829" spans="1:4" ht="13.5">
      <c r="A6829" s="49">
        <v>88312</v>
      </c>
      <c r="B6829" s="48" t="s">
        <v>6889</v>
      </c>
      <c r="C6829" s="48" t="s">
        <v>10</v>
      </c>
      <c r="D6829" s="50">
        <v>27.83</v>
      </c>
    </row>
    <row r="6830" spans="1:4" ht="13.5">
      <c r="A6830" s="49">
        <v>88313</v>
      </c>
      <c r="B6830" s="48" t="s">
        <v>6890</v>
      </c>
      <c r="C6830" s="48" t="s">
        <v>10</v>
      </c>
      <c r="D6830" s="50">
        <v>23.35</v>
      </c>
    </row>
    <row r="6831" spans="1:4" ht="13.5">
      <c r="A6831" s="49">
        <v>88314</v>
      </c>
      <c r="B6831" s="48" t="s">
        <v>6892</v>
      </c>
      <c r="C6831" s="48" t="s">
        <v>10</v>
      </c>
      <c r="D6831" s="50">
        <v>20.83</v>
      </c>
    </row>
    <row r="6832" spans="1:4" ht="13.5">
      <c r="A6832" s="49">
        <v>88315</v>
      </c>
      <c r="B6832" s="48" t="s">
        <v>6893</v>
      </c>
      <c r="C6832" s="48" t="s">
        <v>10</v>
      </c>
      <c r="D6832" s="50">
        <v>25.1</v>
      </c>
    </row>
    <row r="6833" spans="1:4" ht="13.5">
      <c r="A6833" s="49">
        <v>88316</v>
      </c>
      <c r="B6833" s="48" t="s">
        <v>6894</v>
      </c>
      <c r="C6833" s="48" t="s">
        <v>10</v>
      </c>
      <c r="D6833" s="50">
        <v>18.11</v>
      </c>
    </row>
    <row r="6834" spans="1:4" ht="13.5">
      <c r="A6834" s="49">
        <v>88317</v>
      </c>
      <c r="B6834" s="48" t="s">
        <v>6895</v>
      </c>
      <c r="C6834" s="48" t="s">
        <v>10</v>
      </c>
      <c r="D6834" s="50">
        <v>28.6</v>
      </c>
    </row>
    <row r="6835" spans="1:4" ht="13.5">
      <c r="A6835" s="49">
        <v>88318</v>
      </c>
      <c r="B6835" s="48" t="s">
        <v>6896</v>
      </c>
      <c r="C6835" s="48" t="s">
        <v>10</v>
      </c>
      <c r="D6835" s="50">
        <v>30.51</v>
      </c>
    </row>
    <row r="6836" spans="1:4" ht="13.5">
      <c r="A6836" s="49">
        <v>88320</v>
      </c>
      <c r="B6836" s="48" t="s">
        <v>6897</v>
      </c>
      <c r="C6836" s="48" t="s">
        <v>10</v>
      </c>
      <c r="D6836" s="50">
        <v>29.49</v>
      </c>
    </row>
    <row r="6837" spans="1:4" ht="13.5">
      <c r="A6837" s="49">
        <v>88321</v>
      </c>
      <c r="B6837" s="48" t="s">
        <v>6898</v>
      </c>
      <c r="C6837" s="48" t="s">
        <v>10</v>
      </c>
      <c r="D6837" s="50">
        <v>40.770000000000003</v>
      </c>
    </row>
    <row r="6838" spans="1:4" ht="13.5">
      <c r="A6838" s="49">
        <v>88322</v>
      </c>
      <c r="B6838" s="48" t="s">
        <v>6899</v>
      </c>
      <c r="C6838" s="48" t="s">
        <v>10</v>
      </c>
      <c r="D6838" s="50">
        <v>28.03</v>
      </c>
    </row>
    <row r="6839" spans="1:4" ht="13.5">
      <c r="A6839" s="49">
        <v>88323</v>
      </c>
      <c r="B6839" s="48" t="s">
        <v>6900</v>
      </c>
      <c r="C6839" s="48" t="s">
        <v>10</v>
      </c>
      <c r="D6839" s="50">
        <v>22.93</v>
      </c>
    </row>
    <row r="6840" spans="1:4" ht="13.5">
      <c r="A6840" s="49">
        <v>88324</v>
      </c>
      <c r="B6840" s="48" t="s">
        <v>6901</v>
      </c>
      <c r="C6840" s="48" t="s">
        <v>10</v>
      </c>
      <c r="D6840" s="50">
        <v>30.53</v>
      </c>
    </row>
    <row r="6841" spans="1:4" ht="13.5">
      <c r="A6841" s="49">
        <v>88325</v>
      </c>
      <c r="B6841" s="48" t="s">
        <v>6902</v>
      </c>
      <c r="C6841" s="48" t="s">
        <v>10</v>
      </c>
      <c r="D6841" s="50">
        <v>24.28</v>
      </c>
    </row>
    <row r="6842" spans="1:4" ht="13.5">
      <c r="A6842" s="49">
        <v>88326</v>
      </c>
      <c r="B6842" s="48" t="s">
        <v>6903</v>
      </c>
      <c r="C6842" s="48" t="s">
        <v>10</v>
      </c>
      <c r="D6842" s="50">
        <v>22.99</v>
      </c>
    </row>
    <row r="6843" spans="1:4" ht="13.5">
      <c r="A6843" s="49">
        <v>88377</v>
      </c>
      <c r="B6843" s="48" t="s">
        <v>6904</v>
      </c>
      <c r="C6843" s="48" t="s">
        <v>10</v>
      </c>
      <c r="D6843" s="50">
        <v>22.51</v>
      </c>
    </row>
    <row r="6844" spans="1:4" ht="13.5">
      <c r="A6844" s="49">
        <v>88441</v>
      </c>
      <c r="B6844" s="48" t="s">
        <v>6905</v>
      </c>
      <c r="C6844" s="48" t="s">
        <v>10</v>
      </c>
      <c r="D6844" s="50">
        <v>24.4</v>
      </c>
    </row>
    <row r="6845" spans="1:4" ht="13.5">
      <c r="A6845" s="49">
        <v>88597</v>
      </c>
      <c r="B6845" s="48" t="s">
        <v>6906</v>
      </c>
      <c r="C6845" s="48" t="s">
        <v>10</v>
      </c>
      <c r="D6845" s="50">
        <v>46.07</v>
      </c>
    </row>
    <row r="6846" spans="1:4" ht="13.5">
      <c r="A6846" s="49">
        <v>90766</v>
      </c>
      <c r="B6846" s="48" t="s">
        <v>6907</v>
      </c>
      <c r="C6846" s="48" t="s">
        <v>10</v>
      </c>
      <c r="D6846" s="50">
        <v>23.38</v>
      </c>
    </row>
    <row r="6847" spans="1:4" ht="13.5">
      <c r="A6847" s="49">
        <v>90767</v>
      </c>
      <c r="B6847" s="48" t="s">
        <v>6908</v>
      </c>
      <c r="C6847" s="48" t="s">
        <v>10</v>
      </c>
      <c r="D6847" s="50">
        <v>24.61</v>
      </c>
    </row>
    <row r="6848" spans="1:4" ht="13.5">
      <c r="A6848" s="49">
        <v>90768</v>
      </c>
      <c r="B6848" s="48" t="s">
        <v>6909</v>
      </c>
      <c r="C6848" s="48" t="s">
        <v>10</v>
      </c>
      <c r="D6848" s="50">
        <v>69.53</v>
      </c>
    </row>
    <row r="6849" spans="1:4" ht="13.5">
      <c r="A6849" s="49">
        <v>90769</v>
      </c>
      <c r="B6849" s="48" t="s">
        <v>6910</v>
      </c>
      <c r="C6849" s="48" t="s">
        <v>10</v>
      </c>
      <c r="D6849" s="50">
        <v>98.12</v>
      </c>
    </row>
    <row r="6850" spans="1:4" ht="13.5">
      <c r="A6850" s="49">
        <v>90770</v>
      </c>
      <c r="B6850" s="48" t="s">
        <v>6911</v>
      </c>
      <c r="C6850" s="48" t="s">
        <v>10</v>
      </c>
      <c r="D6850" s="50">
        <v>129.22999999999999</v>
      </c>
    </row>
    <row r="6851" spans="1:4" ht="13.5">
      <c r="A6851" s="49">
        <v>90771</v>
      </c>
      <c r="B6851" s="48" t="s">
        <v>6912</v>
      </c>
      <c r="C6851" s="48" t="s">
        <v>10</v>
      </c>
      <c r="D6851" s="50">
        <v>32.15</v>
      </c>
    </row>
    <row r="6852" spans="1:4" ht="13.5">
      <c r="A6852" s="49">
        <v>90772</v>
      </c>
      <c r="B6852" s="48" t="s">
        <v>6913</v>
      </c>
      <c r="C6852" s="48" t="s">
        <v>10</v>
      </c>
      <c r="D6852" s="50">
        <v>17.600000000000001</v>
      </c>
    </row>
    <row r="6853" spans="1:4" ht="13.5">
      <c r="A6853" s="49">
        <v>90773</v>
      </c>
      <c r="B6853" s="48" t="s">
        <v>6914</v>
      </c>
      <c r="C6853" s="48" t="s">
        <v>10</v>
      </c>
      <c r="D6853" s="50">
        <v>27.06</v>
      </c>
    </row>
    <row r="6854" spans="1:4" ht="13.5">
      <c r="A6854" s="49">
        <v>90775</v>
      </c>
      <c r="B6854" s="48" t="s">
        <v>6915</v>
      </c>
      <c r="C6854" s="48" t="s">
        <v>10</v>
      </c>
      <c r="D6854" s="50">
        <v>35.54</v>
      </c>
    </row>
    <row r="6855" spans="1:4" ht="13.5">
      <c r="A6855" s="49">
        <v>90776</v>
      </c>
      <c r="B6855" s="48" t="s">
        <v>6916</v>
      </c>
      <c r="C6855" s="48" t="s">
        <v>10</v>
      </c>
      <c r="D6855" s="50">
        <v>36.630000000000003</v>
      </c>
    </row>
    <row r="6856" spans="1:4" ht="13.5">
      <c r="A6856" s="49">
        <v>90777</v>
      </c>
      <c r="B6856" s="48" t="s">
        <v>6917</v>
      </c>
      <c r="C6856" s="48" t="s">
        <v>10</v>
      </c>
      <c r="D6856" s="50">
        <v>94.28</v>
      </c>
    </row>
    <row r="6857" spans="1:4" ht="13.5">
      <c r="A6857" s="49">
        <v>90778</v>
      </c>
      <c r="B6857" s="48" t="s">
        <v>6918</v>
      </c>
      <c r="C6857" s="48" t="s">
        <v>10</v>
      </c>
      <c r="D6857" s="50">
        <v>107.1</v>
      </c>
    </row>
    <row r="6858" spans="1:4" ht="13.5">
      <c r="A6858" s="49">
        <v>90779</v>
      </c>
      <c r="B6858" s="48" t="s">
        <v>6919</v>
      </c>
      <c r="C6858" s="48" t="s">
        <v>10</v>
      </c>
      <c r="D6858" s="50">
        <v>145.84</v>
      </c>
    </row>
    <row r="6859" spans="1:4" ht="13.5">
      <c r="A6859" s="49">
        <v>90780</v>
      </c>
      <c r="B6859" s="48" t="s">
        <v>6920</v>
      </c>
      <c r="C6859" s="48" t="s">
        <v>10</v>
      </c>
      <c r="D6859" s="50">
        <v>54.53</v>
      </c>
    </row>
    <row r="6860" spans="1:4" ht="13.5">
      <c r="A6860" s="49">
        <v>90781</v>
      </c>
      <c r="B6860" s="48" t="s">
        <v>6921</v>
      </c>
      <c r="C6860" s="48" t="s">
        <v>10</v>
      </c>
      <c r="D6860" s="50">
        <v>27.99</v>
      </c>
    </row>
    <row r="6861" spans="1:4" ht="13.5">
      <c r="A6861" s="49">
        <v>91677</v>
      </c>
      <c r="B6861" s="48" t="s">
        <v>6922</v>
      </c>
      <c r="C6861" s="48" t="s">
        <v>10</v>
      </c>
      <c r="D6861" s="50">
        <v>101.61</v>
      </c>
    </row>
    <row r="6862" spans="1:4" ht="13.5">
      <c r="A6862" s="49">
        <v>91678</v>
      </c>
      <c r="B6862" s="48" t="s">
        <v>6923</v>
      </c>
      <c r="C6862" s="48" t="s">
        <v>10</v>
      </c>
      <c r="D6862" s="50">
        <v>96.14</v>
      </c>
    </row>
    <row r="6863" spans="1:4" ht="13.5">
      <c r="A6863" s="49">
        <v>93558</v>
      </c>
      <c r="B6863" s="48" t="s">
        <v>6924</v>
      </c>
      <c r="C6863" s="48" t="s">
        <v>6925</v>
      </c>
      <c r="D6863" s="51">
        <v>4468.51</v>
      </c>
    </row>
    <row r="6864" spans="1:4" ht="13.5">
      <c r="A6864" s="49">
        <v>93559</v>
      </c>
      <c r="B6864" s="48" t="s">
        <v>6906</v>
      </c>
      <c r="C6864" s="48" t="s">
        <v>6925</v>
      </c>
      <c r="D6864" s="51">
        <v>8117.75</v>
      </c>
    </row>
    <row r="6865" spans="1:4" ht="13.5">
      <c r="A6865" s="49">
        <v>93560</v>
      </c>
      <c r="B6865" s="48" t="s">
        <v>6914</v>
      </c>
      <c r="C6865" s="48" t="s">
        <v>6925</v>
      </c>
      <c r="D6865" s="51">
        <v>4777.07</v>
      </c>
    </row>
    <row r="6866" spans="1:4" ht="13.5">
      <c r="A6866" s="49">
        <v>93561</v>
      </c>
      <c r="B6866" s="48" t="s">
        <v>6915</v>
      </c>
      <c r="C6866" s="48" t="s">
        <v>6925</v>
      </c>
      <c r="D6866" s="51">
        <v>6269.28</v>
      </c>
    </row>
    <row r="6867" spans="1:4" ht="13.5">
      <c r="A6867" s="49">
        <v>93562</v>
      </c>
      <c r="B6867" s="48" t="s">
        <v>6912</v>
      </c>
      <c r="C6867" s="48" t="s">
        <v>6925</v>
      </c>
      <c r="D6867" s="51">
        <v>5671.79</v>
      </c>
    </row>
    <row r="6868" spans="1:4" ht="13.5">
      <c r="A6868" s="49">
        <v>93563</v>
      </c>
      <c r="B6868" s="48" t="s">
        <v>6907</v>
      </c>
      <c r="C6868" s="48" t="s">
        <v>6925</v>
      </c>
      <c r="D6868" s="51">
        <v>4130.28</v>
      </c>
    </row>
    <row r="6869" spans="1:4" ht="13.5">
      <c r="A6869" s="49">
        <v>93564</v>
      </c>
      <c r="B6869" s="48" t="s">
        <v>6908</v>
      </c>
      <c r="C6869" s="48" t="s">
        <v>6925</v>
      </c>
      <c r="D6869" s="51">
        <v>4335.5</v>
      </c>
    </row>
    <row r="6870" spans="1:4" ht="13.5">
      <c r="A6870" s="49">
        <v>93565</v>
      </c>
      <c r="B6870" s="48" t="s">
        <v>6917</v>
      </c>
      <c r="C6870" s="48" t="s">
        <v>6925</v>
      </c>
      <c r="D6870" s="51">
        <v>16551.900000000001</v>
      </c>
    </row>
    <row r="6871" spans="1:4" ht="13.5">
      <c r="A6871" s="49">
        <v>93566</v>
      </c>
      <c r="B6871" s="48" t="s">
        <v>6913</v>
      </c>
      <c r="C6871" s="48" t="s">
        <v>6925</v>
      </c>
      <c r="D6871" s="51">
        <v>3115.62</v>
      </c>
    </row>
    <row r="6872" spans="1:4" ht="13.5">
      <c r="A6872" s="49">
        <v>93567</v>
      </c>
      <c r="B6872" s="48" t="s">
        <v>6918</v>
      </c>
      <c r="C6872" s="48" t="s">
        <v>6925</v>
      </c>
      <c r="D6872" s="51">
        <v>18799.439999999999</v>
      </c>
    </row>
    <row r="6873" spans="1:4" ht="13.5">
      <c r="A6873" s="49">
        <v>93568</v>
      </c>
      <c r="B6873" s="48" t="s">
        <v>6919</v>
      </c>
      <c r="C6873" s="48" t="s">
        <v>6925</v>
      </c>
      <c r="D6873" s="51">
        <v>25592.05</v>
      </c>
    </row>
    <row r="6874" spans="1:4" ht="13.5">
      <c r="A6874" s="49">
        <v>93569</v>
      </c>
      <c r="B6874" s="48" t="s">
        <v>6926</v>
      </c>
      <c r="C6874" s="48" t="s">
        <v>6925</v>
      </c>
      <c r="D6874" s="51">
        <v>12229.03</v>
      </c>
    </row>
    <row r="6875" spans="1:4" ht="13.5">
      <c r="A6875" s="49">
        <v>93570</v>
      </c>
      <c r="B6875" s="48" t="s">
        <v>6927</v>
      </c>
      <c r="C6875" s="48" t="s">
        <v>6925</v>
      </c>
      <c r="D6875" s="51">
        <v>17248.560000000001</v>
      </c>
    </row>
    <row r="6876" spans="1:4" ht="13.5">
      <c r="A6876" s="49">
        <v>93571</v>
      </c>
      <c r="B6876" s="48" t="s">
        <v>6928</v>
      </c>
      <c r="C6876" s="48" t="s">
        <v>6925</v>
      </c>
      <c r="D6876" s="51">
        <v>22710.85</v>
      </c>
    </row>
    <row r="6877" spans="1:4" ht="13.5">
      <c r="A6877" s="49">
        <v>93572</v>
      </c>
      <c r="B6877" s="48" t="s">
        <v>6929</v>
      </c>
      <c r="C6877" s="48" t="s">
        <v>6925</v>
      </c>
      <c r="D6877" s="51">
        <v>6443.85</v>
      </c>
    </row>
    <row r="6878" spans="1:4" ht="13.5">
      <c r="A6878" s="49">
        <v>94295</v>
      </c>
      <c r="B6878" s="48" t="s">
        <v>6920</v>
      </c>
      <c r="C6878" s="48" t="s">
        <v>6925</v>
      </c>
      <c r="D6878" s="51">
        <v>9580.4599999999991</v>
      </c>
    </row>
    <row r="6879" spans="1:4" ht="13.5">
      <c r="A6879" s="49">
        <v>94296</v>
      </c>
      <c r="B6879" s="48" t="s">
        <v>6921</v>
      </c>
      <c r="C6879" s="48" t="s">
        <v>6925</v>
      </c>
      <c r="D6879" s="51">
        <v>4936.58</v>
      </c>
    </row>
    <row r="6880" spans="1:4" ht="13.5">
      <c r="A6880" s="49">
        <v>95308</v>
      </c>
      <c r="B6880" s="48" t="s">
        <v>6930</v>
      </c>
      <c r="C6880" s="48" t="s">
        <v>10</v>
      </c>
      <c r="D6880" s="50">
        <v>0.12</v>
      </c>
    </row>
    <row r="6881" spans="1:4" ht="13.5">
      <c r="A6881" s="49">
        <v>95309</v>
      </c>
      <c r="B6881" s="48" t="s">
        <v>6931</v>
      </c>
      <c r="C6881" s="48" t="s">
        <v>10</v>
      </c>
      <c r="D6881" s="50">
        <v>0.17</v>
      </c>
    </row>
    <row r="6882" spans="1:4" ht="13.5">
      <c r="A6882" s="49">
        <v>95310</v>
      </c>
      <c r="B6882" s="48" t="s">
        <v>6932</v>
      </c>
      <c r="C6882" s="48" t="s">
        <v>10</v>
      </c>
      <c r="D6882" s="50">
        <v>0.14000000000000001</v>
      </c>
    </row>
    <row r="6883" spans="1:4" ht="13.5">
      <c r="A6883" s="49">
        <v>95311</v>
      </c>
      <c r="B6883" s="48" t="s">
        <v>6933</v>
      </c>
      <c r="C6883" s="48" t="s">
        <v>10</v>
      </c>
      <c r="D6883" s="50">
        <v>0.12</v>
      </c>
    </row>
    <row r="6884" spans="1:4" ht="13.5">
      <c r="A6884" s="49">
        <v>95312</v>
      </c>
      <c r="B6884" s="48" t="s">
        <v>6934</v>
      </c>
      <c r="C6884" s="48" t="s">
        <v>10</v>
      </c>
      <c r="D6884" s="50">
        <v>0.13</v>
      </c>
    </row>
    <row r="6885" spans="1:4" ht="13.5">
      <c r="A6885" s="49">
        <v>95313</v>
      </c>
      <c r="B6885" s="48" t="s">
        <v>6935</v>
      </c>
      <c r="C6885" s="48" t="s">
        <v>10</v>
      </c>
      <c r="D6885" s="50">
        <v>0.14000000000000001</v>
      </c>
    </row>
    <row r="6886" spans="1:4" ht="13.5">
      <c r="A6886" s="49">
        <v>95314</v>
      </c>
      <c r="B6886" s="48" t="s">
        <v>6936</v>
      </c>
      <c r="C6886" s="48" t="s">
        <v>10</v>
      </c>
      <c r="D6886" s="50">
        <v>0.17</v>
      </c>
    </row>
    <row r="6887" spans="1:4" ht="13.5">
      <c r="A6887" s="49">
        <v>95315</v>
      </c>
      <c r="B6887" s="48" t="s">
        <v>6937</v>
      </c>
      <c r="C6887" s="48" t="s">
        <v>10</v>
      </c>
      <c r="D6887" s="50">
        <v>0.27</v>
      </c>
    </row>
    <row r="6888" spans="1:4" ht="13.5">
      <c r="A6888" s="49">
        <v>95316</v>
      </c>
      <c r="B6888" s="48" t="s">
        <v>6938</v>
      </c>
      <c r="C6888" s="48" t="s">
        <v>10</v>
      </c>
      <c r="D6888" s="50">
        <v>0.42</v>
      </c>
    </row>
    <row r="6889" spans="1:4" ht="13.5">
      <c r="A6889" s="49">
        <v>95317</v>
      </c>
      <c r="B6889" s="48" t="s">
        <v>6939</v>
      </c>
      <c r="C6889" s="48" t="s">
        <v>10</v>
      </c>
      <c r="D6889" s="50">
        <v>0.16</v>
      </c>
    </row>
    <row r="6890" spans="1:4" ht="13.5">
      <c r="A6890" s="49">
        <v>95318</v>
      </c>
      <c r="B6890" s="48" t="s">
        <v>6940</v>
      </c>
      <c r="C6890" s="48" t="s">
        <v>10</v>
      </c>
      <c r="D6890" s="50">
        <v>0.14000000000000001</v>
      </c>
    </row>
    <row r="6891" spans="1:4" ht="13.5">
      <c r="A6891" s="49">
        <v>95319</v>
      </c>
      <c r="B6891" s="48" t="s">
        <v>6941</v>
      </c>
      <c r="C6891" s="48" t="s">
        <v>10</v>
      </c>
      <c r="D6891" s="50">
        <v>0.14000000000000001</v>
      </c>
    </row>
    <row r="6892" spans="1:4" ht="13.5">
      <c r="A6892" s="49">
        <v>95320</v>
      </c>
      <c r="B6892" s="48" t="s">
        <v>6942</v>
      </c>
      <c r="C6892" s="48" t="s">
        <v>10</v>
      </c>
      <c r="D6892" s="50">
        <v>0.13</v>
      </c>
    </row>
    <row r="6893" spans="1:4" ht="13.5">
      <c r="A6893" s="49">
        <v>95321</v>
      </c>
      <c r="B6893" s="48" t="s">
        <v>6943</v>
      </c>
      <c r="C6893" s="48" t="s">
        <v>10</v>
      </c>
      <c r="D6893" s="50">
        <v>0.11</v>
      </c>
    </row>
    <row r="6894" spans="1:4" ht="13.5">
      <c r="A6894" s="49">
        <v>95322</v>
      </c>
      <c r="B6894" s="48" t="s">
        <v>6944</v>
      </c>
      <c r="C6894" s="48" t="s">
        <v>10</v>
      </c>
      <c r="D6894" s="50">
        <v>7.0000000000000007E-2</v>
      </c>
    </row>
    <row r="6895" spans="1:4" ht="13.5">
      <c r="A6895" s="49">
        <v>95323</v>
      </c>
      <c r="B6895" s="48" t="s">
        <v>6945</v>
      </c>
      <c r="C6895" s="48" t="s">
        <v>10</v>
      </c>
      <c r="D6895" s="50">
        <v>0.23</v>
      </c>
    </row>
    <row r="6896" spans="1:4" ht="13.5">
      <c r="A6896" s="49">
        <v>95324</v>
      </c>
      <c r="B6896" s="48" t="s">
        <v>6946</v>
      </c>
      <c r="C6896" s="48" t="s">
        <v>10</v>
      </c>
      <c r="D6896" s="50">
        <v>0.23</v>
      </c>
    </row>
    <row r="6897" spans="1:4" ht="13.5">
      <c r="A6897" s="49">
        <v>95325</v>
      </c>
      <c r="B6897" s="48" t="s">
        <v>6947</v>
      </c>
      <c r="C6897" s="48" t="s">
        <v>10</v>
      </c>
      <c r="D6897" s="50">
        <v>0.3</v>
      </c>
    </row>
    <row r="6898" spans="1:4" ht="13.5">
      <c r="A6898" s="49">
        <v>95326</v>
      </c>
      <c r="B6898" s="48" t="s">
        <v>6948</v>
      </c>
      <c r="C6898" s="48" t="s">
        <v>10</v>
      </c>
      <c r="D6898" s="50">
        <v>0.06</v>
      </c>
    </row>
    <row r="6899" spans="1:4" ht="13.5">
      <c r="A6899" s="49">
        <v>95328</v>
      </c>
      <c r="B6899" s="48" t="s">
        <v>6949</v>
      </c>
      <c r="C6899" s="48" t="s">
        <v>10</v>
      </c>
      <c r="D6899" s="50">
        <v>0.15</v>
      </c>
    </row>
    <row r="6900" spans="1:4" ht="13.5">
      <c r="A6900" s="49">
        <v>95329</v>
      </c>
      <c r="B6900" s="48" t="s">
        <v>6950</v>
      </c>
      <c r="C6900" s="48" t="s">
        <v>10</v>
      </c>
      <c r="D6900" s="50">
        <v>0.18</v>
      </c>
    </row>
    <row r="6901" spans="1:4" ht="13.5">
      <c r="A6901" s="49">
        <v>95330</v>
      </c>
      <c r="B6901" s="48" t="s">
        <v>6951</v>
      </c>
      <c r="C6901" s="48" t="s">
        <v>10</v>
      </c>
      <c r="D6901" s="50">
        <v>0.17</v>
      </c>
    </row>
    <row r="6902" spans="1:4" ht="13.5">
      <c r="A6902" s="49">
        <v>95331</v>
      </c>
      <c r="B6902" s="48" t="s">
        <v>6952</v>
      </c>
      <c r="C6902" s="48" t="s">
        <v>10</v>
      </c>
      <c r="D6902" s="50">
        <v>0.13</v>
      </c>
    </row>
    <row r="6903" spans="1:4" ht="13.5">
      <c r="A6903" s="49">
        <v>95332</v>
      </c>
      <c r="B6903" s="48" t="s">
        <v>6953</v>
      </c>
      <c r="C6903" s="48" t="s">
        <v>10</v>
      </c>
      <c r="D6903" s="50">
        <v>0.59</v>
      </c>
    </row>
    <row r="6904" spans="1:4" ht="13.5">
      <c r="A6904" s="49">
        <v>95333</v>
      </c>
      <c r="B6904" s="48" t="s">
        <v>6954</v>
      </c>
      <c r="C6904" s="48" t="s">
        <v>10</v>
      </c>
      <c r="D6904" s="50">
        <v>0.66</v>
      </c>
    </row>
    <row r="6905" spans="1:4" ht="13.5">
      <c r="A6905" s="49">
        <v>95334</v>
      </c>
      <c r="B6905" s="48" t="s">
        <v>6955</v>
      </c>
      <c r="C6905" s="48" t="s">
        <v>10</v>
      </c>
      <c r="D6905" s="50">
        <v>0.59</v>
      </c>
    </row>
    <row r="6906" spans="1:4" ht="13.5">
      <c r="A6906" s="49">
        <v>95335</v>
      </c>
      <c r="B6906" s="48" t="s">
        <v>6956</v>
      </c>
      <c r="C6906" s="48" t="s">
        <v>10</v>
      </c>
      <c r="D6906" s="50">
        <v>0.23</v>
      </c>
    </row>
    <row r="6907" spans="1:4" ht="13.5">
      <c r="A6907" s="49">
        <v>95337</v>
      </c>
      <c r="B6907" s="48" t="s">
        <v>6957</v>
      </c>
      <c r="C6907" s="48" t="s">
        <v>10</v>
      </c>
      <c r="D6907" s="50">
        <v>0.12</v>
      </c>
    </row>
    <row r="6908" spans="1:4" ht="13.5">
      <c r="A6908" s="49">
        <v>95338</v>
      </c>
      <c r="B6908" s="48" t="s">
        <v>6958</v>
      </c>
      <c r="C6908" s="48" t="s">
        <v>10</v>
      </c>
      <c r="D6908" s="50">
        <v>0.28999999999999998</v>
      </c>
    </row>
    <row r="6909" spans="1:4" ht="13.5">
      <c r="A6909" s="49">
        <v>95339</v>
      </c>
      <c r="B6909" s="48" t="s">
        <v>6959</v>
      </c>
      <c r="C6909" s="48" t="s">
        <v>10</v>
      </c>
      <c r="D6909" s="50">
        <v>0.28999999999999998</v>
      </c>
    </row>
    <row r="6910" spans="1:4" ht="13.5">
      <c r="A6910" s="49">
        <v>95340</v>
      </c>
      <c r="B6910" s="48" t="s">
        <v>6960</v>
      </c>
      <c r="C6910" s="48" t="s">
        <v>10</v>
      </c>
      <c r="D6910" s="50">
        <v>0.23</v>
      </c>
    </row>
    <row r="6911" spans="1:4" ht="13.5">
      <c r="A6911" s="49">
        <v>95341</v>
      </c>
      <c r="B6911" s="48" t="s">
        <v>6961</v>
      </c>
      <c r="C6911" s="48" t="s">
        <v>10</v>
      </c>
      <c r="D6911" s="50">
        <v>0.23</v>
      </c>
    </row>
    <row r="6912" spans="1:4" ht="13.5">
      <c r="A6912" s="49">
        <v>95342</v>
      </c>
      <c r="B6912" s="48" t="s">
        <v>6962</v>
      </c>
      <c r="C6912" s="48" t="s">
        <v>10</v>
      </c>
      <c r="D6912" s="50">
        <v>0.16</v>
      </c>
    </row>
    <row r="6913" spans="1:4" ht="13.5">
      <c r="A6913" s="49">
        <v>95343</v>
      </c>
      <c r="B6913" s="48" t="s">
        <v>6963</v>
      </c>
      <c r="C6913" s="48" t="s">
        <v>10</v>
      </c>
      <c r="D6913" s="50">
        <v>0.24</v>
      </c>
    </row>
    <row r="6914" spans="1:4" ht="13.5">
      <c r="A6914" s="49">
        <v>95344</v>
      </c>
      <c r="B6914" s="48" t="s">
        <v>6964</v>
      </c>
      <c r="C6914" s="48" t="s">
        <v>10</v>
      </c>
      <c r="D6914" s="50">
        <v>0.19</v>
      </c>
    </row>
    <row r="6915" spans="1:4" ht="13.5">
      <c r="A6915" s="49">
        <v>95345</v>
      </c>
      <c r="B6915" s="48" t="s">
        <v>6965</v>
      </c>
      <c r="C6915" s="48" t="s">
        <v>10</v>
      </c>
      <c r="D6915" s="50">
        <v>0.72</v>
      </c>
    </row>
    <row r="6916" spans="1:4" ht="13.5">
      <c r="A6916" s="49">
        <v>95346</v>
      </c>
      <c r="B6916" s="48" t="s">
        <v>6966</v>
      </c>
      <c r="C6916" s="48" t="s">
        <v>10</v>
      </c>
      <c r="D6916" s="50">
        <v>7.0000000000000007E-2</v>
      </c>
    </row>
    <row r="6917" spans="1:4" ht="13.5">
      <c r="A6917" s="49">
        <v>95347</v>
      </c>
      <c r="B6917" s="48" t="s">
        <v>6967</v>
      </c>
      <c r="C6917" s="48" t="s">
        <v>10</v>
      </c>
      <c r="D6917" s="50">
        <v>0.08</v>
      </c>
    </row>
    <row r="6918" spans="1:4" ht="13.5">
      <c r="A6918" s="49">
        <v>95348</v>
      </c>
      <c r="B6918" s="48" t="s">
        <v>6968</v>
      </c>
      <c r="C6918" s="48" t="s">
        <v>10</v>
      </c>
      <c r="D6918" s="50">
        <v>0.1</v>
      </c>
    </row>
    <row r="6919" spans="1:4" ht="13.5">
      <c r="A6919" s="49">
        <v>95349</v>
      </c>
      <c r="B6919" s="48" t="s">
        <v>6969</v>
      </c>
      <c r="C6919" s="48" t="s">
        <v>10</v>
      </c>
      <c r="D6919" s="50">
        <v>7.0000000000000007E-2</v>
      </c>
    </row>
    <row r="6920" spans="1:4" ht="13.5">
      <c r="A6920" s="49">
        <v>95350</v>
      </c>
      <c r="B6920" s="48" t="s">
        <v>6970</v>
      </c>
      <c r="C6920" s="48" t="s">
        <v>10</v>
      </c>
      <c r="D6920" s="50">
        <v>0.09</v>
      </c>
    </row>
    <row r="6921" spans="1:4" ht="13.5">
      <c r="A6921" s="49">
        <v>95351</v>
      </c>
      <c r="B6921" s="48" t="s">
        <v>6971</v>
      </c>
      <c r="C6921" s="48" t="s">
        <v>10</v>
      </c>
      <c r="D6921" s="50">
        <v>0.3</v>
      </c>
    </row>
    <row r="6922" spans="1:4" ht="13.5">
      <c r="A6922" s="49">
        <v>95352</v>
      </c>
      <c r="B6922" s="48" t="s">
        <v>6972</v>
      </c>
      <c r="C6922" s="48" t="s">
        <v>10</v>
      </c>
      <c r="D6922" s="50">
        <v>0.09</v>
      </c>
    </row>
    <row r="6923" spans="1:4" ht="13.5">
      <c r="A6923" s="49">
        <v>95354</v>
      </c>
      <c r="B6923" s="48" t="s">
        <v>6973</v>
      </c>
      <c r="C6923" s="48" t="s">
        <v>10</v>
      </c>
      <c r="D6923" s="50">
        <v>0.11</v>
      </c>
    </row>
    <row r="6924" spans="1:4" ht="13.5">
      <c r="A6924" s="49">
        <v>95355</v>
      </c>
      <c r="B6924" s="48" t="s">
        <v>6974</v>
      </c>
      <c r="C6924" s="48" t="s">
        <v>10</v>
      </c>
      <c r="D6924" s="50">
        <v>0.13</v>
      </c>
    </row>
    <row r="6925" spans="1:4" ht="13.5">
      <c r="A6925" s="49">
        <v>95356</v>
      </c>
      <c r="B6925" s="48" t="s">
        <v>6975</v>
      </c>
      <c r="C6925" s="48" t="s">
        <v>10</v>
      </c>
      <c r="D6925" s="50">
        <v>0.14000000000000001</v>
      </c>
    </row>
    <row r="6926" spans="1:4" ht="13.5">
      <c r="A6926" s="49">
        <v>95357</v>
      </c>
      <c r="B6926" s="48" t="s">
        <v>6976</v>
      </c>
      <c r="C6926" s="48" t="s">
        <v>10</v>
      </c>
      <c r="D6926" s="50">
        <v>0.22</v>
      </c>
    </row>
    <row r="6927" spans="1:4" ht="13.5">
      <c r="A6927" s="49">
        <v>95358</v>
      </c>
      <c r="B6927" s="48" t="s">
        <v>6977</v>
      </c>
      <c r="C6927" s="48" t="s">
        <v>10</v>
      </c>
      <c r="D6927" s="50">
        <v>0.25</v>
      </c>
    </row>
    <row r="6928" spans="1:4" ht="13.5">
      <c r="A6928" s="49">
        <v>95359</v>
      </c>
      <c r="B6928" s="48" t="s">
        <v>6978</v>
      </c>
      <c r="C6928" s="48" t="s">
        <v>10</v>
      </c>
      <c r="D6928" s="50">
        <v>0.47</v>
      </c>
    </row>
    <row r="6929" spans="1:4" ht="13.5">
      <c r="A6929" s="49">
        <v>95360</v>
      </c>
      <c r="B6929" s="48" t="s">
        <v>6979</v>
      </c>
      <c r="C6929" s="48" t="s">
        <v>10</v>
      </c>
      <c r="D6929" s="50">
        <v>0.21</v>
      </c>
    </row>
    <row r="6930" spans="1:4" ht="13.5">
      <c r="A6930" s="49">
        <v>95361</v>
      </c>
      <c r="B6930" s="48" t="s">
        <v>6980</v>
      </c>
      <c r="C6930" s="48" t="s">
        <v>10</v>
      </c>
      <c r="D6930" s="50">
        <v>7.0000000000000007E-2</v>
      </c>
    </row>
    <row r="6931" spans="1:4" ht="13.5">
      <c r="A6931" s="49">
        <v>95362</v>
      </c>
      <c r="B6931" s="48" t="s">
        <v>6981</v>
      </c>
      <c r="C6931" s="48" t="s">
        <v>10</v>
      </c>
      <c r="D6931" s="50">
        <v>0.14000000000000001</v>
      </c>
    </row>
    <row r="6932" spans="1:4" ht="13.5">
      <c r="A6932" s="49">
        <v>95363</v>
      </c>
      <c r="B6932" s="48" t="s">
        <v>6982</v>
      </c>
      <c r="C6932" s="48" t="s">
        <v>10</v>
      </c>
      <c r="D6932" s="50">
        <v>0.18</v>
      </c>
    </row>
    <row r="6933" spans="1:4" ht="13.5">
      <c r="A6933" s="49">
        <v>95364</v>
      </c>
      <c r="B6933" s="48" t="s">
        <v>6983</v>
      </c>
      <c r="C6933" s="48" t="s">
        <v>10</v>
      </c>
      <c r="D6933" s="50">
        <v>0.14000000000000001</v>
      </c>
    </row>
    <row r="6934" spans="1:4" ht="13.5">
      <c r="A6934" s="49">
        <v>95365</v>
      </c>
      <c r="B6934" s="48" t="s">
        <v>6984</v>
      </c>
      <c r="C6934" s="48" t="s">
        <v>10</v>
      </c>
      <c r="D6934" s="50">
        <v>0.15</v>
      </c>
    </row>
    <row r="6935" spans="1:4" ht="13.5">
      <c r="A6935" s="49">
        <v>95366</v>
      </c>
      <c r="B6935" s="48" t="s">
        <v>6985</v>
      </c>
      <c r="C6935" s="48" t="s">
        <v>10</v>
      </c>
      <c r="D6935" s="50">
        <v>0.11</v>
      </c>
    </row>
    <row r="6936" spans="1:4" ht="13.5">
      <c r="A6936" s="49">
        <v>95367</v>
      </c>
      <c r="B6936" s="48" t="s">
        <v>6986</v>
      </c>
      <c r="C6936" s="48" t="s">
        <v>10</v>
      </c>
      <c r="D6936" s="50">
        <v>0.13</v>
      </c>
    </row>
    <row r="6937" spans="1:4" ht="13.5">
      <c r="A6937" s="49">
        <v>95368</v>
      </c>
      <c r="B6937" s="48" t="s">
        <v>6987</v>
      </c>
      <c r="C6937" s="48" t="s">
        <v>10</v>
      </c>
      <c r="D6937" s="50">
        <v>0.2</v>
      </c>
    </row>
    <row r="6938" spans="1:4" ht="13.5">
      <c r="A6938" s="49">
        <v>95369</v>
      </c>
      <c r="B6938" s="48" t="s">
        <v>6988</v>
      </c>
      <c r="C6938" s="48" t="s">
        <v>10</v>
      </c>
      <c r="D6938" s="50">
        <v>0.16</v>
      </c>
    </row>
    <row r="6939" spans="1:4" ht="13.5">
      <c r="A6939" s="49">
        <v>95370</v>
      </c>
      <c r="B6939" s="48" t="s">
        <v>6989</v>
      </c>
      <c r="C6939" s="48" t="s">
        <v>10</v>
      </c>
      <c r="D6939" s="50">
        <v>0.23</v>
      </c>
    </row>
    <row r="6940" spans="1:4" ht="13.5">
      <c r="A6940" s="49">
        <v>95371</v>
      </c>
      <c r="B6940" s="48" t="s">
        <v>6990</v>
      </c>
      <c r="C6940" s="48" t="s">
        <v>10</v>
      </c>
      <c r="D6940" s="50">
        <v>0.32</v>
      </c>
    </row>
    <row r="6941" spans="1:4" ht="13.5">
      <c r="A6941" s="49">
        <v>95372</v>
      </c>
      <c r="B6941" s="48" t="s">
        <v>6991</v>
      </c>
      <c r="C6941" s="48" t="s">
        <v>10</v>
      </c>
      <c r="D6941" s="50">
        <v>0.22</v>
      </c>
    </row>
    <row r="6942" spans="1:4" ht="13.5">
      <c r="A6942" s="49">
        <v>95373</v>
      </c>
      <c r="B6942" s="48" t="s">
        <v>6992</v>
      </c>
      <c r="C6942" s="48" t="s">
        <v>10</v>
      </c>
      <c r="D6942" s="50">
        <v>0.28999999999999998</v>
      </c>
    </row>
    <row r="6943" spans="1:4" ht="13.5">
      <c r="A6943" s="49">
        <v>95374</v>
      </c>
      <c r="B6943" s="48" t="s">
        <v>6993</v>
      </c>
      <c r="C6943" s="48" t="s">
        <v>10</v>
      </c>
      <c r="D6943" s="50">
        <v>0.24</v>
      </c>
    </row>
    <row r="6944" spans="1:4" ht="13.5">
      <c r="A6944" s="49">
        <v>95375</v>
      </c>
      <c r="B6944" s="48" t="s">
        <v>6994</v>
      </c>
      <c r="C6944" s="48" t="s">
        <v>10</v>
      </c>
      <c r="D6944" s="50">
        <v>0.3</v>
      </c>
    </row>
    <row r="6945" spans="1:4" ht="13.5">
      <c r="A6945" s="49">
        <v>95376</v>
      </c>
      <c r="B6945" s="48" t="s">
        <v>6995</v>
      </c>
      <c r="C6945" s="48" t="s">
        <v>10</v>
      </c>
      <c r="D6945" s="50">
        <v>0.06</v>
      </c>
    </row>
    <row r="6946" spans="1:4" ht="13.5">
      <c r="A6946" s="49">
        <v>95377</v>
      </c>
      <c r="B6946" s="48" t="s">
        <v>6996</v>
      </c>
      <c r="C6946" s="48" t="s">
        <v>10</v>
      </c>
      <c r="D6946" s="50">
        <v>0.17</v>
      </c>
    </row>
    <row r="6947" spans="1:4" ht="13.5">
      <c r="A6947" s="49">
        <v>95378</v>
      </c>
      <c r="B6947" s="48" t="s">
        <v>6997</v>
      </c>
      <c r="C6947" s="48" t="s">
        <v>10</v>
      </c>
      <c r="D6947" s="50">
        <v>0.2</v>
      </c>
    </row>
    <row r="6948" spans="1:4" ht="13.5">
      <c r="A6948" s="49">
        <v>95379</v>
      </c>
      <c r="B6948" s="48" t="s">
        <v>6998</v>
      </c>
      <c r="C6948" s="48" t="s">
        <v>10</v>
      </c>
      <c r="D6948" s="50">
        <v>0.2</v>
      </c>
    </row>
    <row r="6949" spans="1:4" ht="13.5">
      <c r="A6949" s="49">
        <v>95380</v>
      </c>
      <c r="B6949" s="48" t="s">
        <v>6999</v>
      </c>
      <c r="C6949" s="48" t="s">
        <v>10</v>
      </c>
      <c r="D6949" s="50">
        <v>0.21</v>
      </c>
    </row>
    <row r="6950" spans="1:4" ht="13.5">
      <c r="A6950" s="49">
        <v>95382</v>
      </c>
      <c r="B6950" s="48" t="s">
        <v>7000</v>
      </c>
      <c r="C6950" s="48" t="s">
        <v>10</v>
      </c>
      <c r="D6950" s="50">
        <v>0.21</v>
      </c>
    </row>
    <row r="6951" spans="1:4" ht="13.5">
      <c r="A6951" s="49">
        <v>95383</v>
      </c>
      <c r="B6951" s="48" t="s">
        <v>7001</v>
      </c>
      <c r="C6951" s="48" t="s">
        <v>10</v>
      </c>
      <c r="D6951" s="50">
        <v>0.26</v>
      </c>
    </row>
    <row r="6952" spans="1:4" ht="13.5">
      <c r="A6952" s="49">
        <v>95384</v>
      </c>
      <c r="B6952" s="48" t="s">
        <v>7002</v>
      </c>
      <c r="C6952" s="48" t="s">
        <v>10</v>
      </c>
      <c r="D6952" s="50">
        <v>0.24</v>
      </c>
    </row>
    <row r="6953" spans="1:4" ht="13.5">
      <c r="A6953" s="49">
        <v>95385</v>
      </c>
      <c r="B6953" s="48" t="s">
        <v>7003</v>
      </c>
      <c r="C6953" s="48" t="s">
        <v>10</v>
      </c>
      <c r="D6953" s="50">
        <v>0.15</v>
      </c>
    </row>
    <row r="6954" spans="1:4" ht="13.5">
      <c r="A6954" s="49">
        <v>95386</v>
      </c>
      <c r="B6954" s="48" t="s">
        <v>7004</v>
      </c>
      <c r="C6954" s="48" t="s">
        <v>10</v>
      </c>
      <c r="D6954" s="50">
        <v>0.23</v>
      </c>
    </row>
    <row r="6955" spans="1:4" ht="13.5">
      <c r="A6955" s="49">
        <v>95387</v>
      </c>
      <c r="B6955" s="48" t="s">
        <v>7005</v>
      </c>
      <c r="C6955" s="48" t="s">
        <v>10</v>
      </c>
      <c r="D6955" s="50">
        <v>0.21</v>
      </c>
    </row>
    <row r="6956" spans="1:4" ht="13.5">
      <c r="A6956" s="49">
        <v>95388</v>
      </c>
      <c r="B6956" s="48" t="s">
        <v>7006</v>
      </c>
      <c r="C6956" s="48" t="s">
        <v>10</v>
      </c>
      <c r="D6956" s="50">
        <v>0.06</v>
      </c>
    </row>
    <row r="6957" spans="1:4" ht="13.5">
      <c r="A6957" s="49">
        <v>95389</v>
      </c>
      <c r="B6957" s="48" t="s">
        <v>7007</v>
      </c>
      <c r="C6957" s="48" t="s">
        <v>10</v>
      </c>
      <c r="D6957" s="50">
        <v>0.11</v>
      </c>
    </row>
    <row r="6958" spans="1:4" ht="13.5">
      <c r="A6958" s="49">
        <v>95390</v>
      </c>
      <c r="B6958" s="48" t="s">
        <v>7008</v>
      </c>
      <c r="C6958" s="48" t="s">
        <v>10</v>
      </c>
      <c r="D6958" s="50">
        <v>7.0000000000000007E-2</v>
      </c>
    </row>
    <row r="6959" spans="1:4" ht="13.5">
      <c r="A6959" s="49">
        <v>95391</v>
      </c>
      <c r="B6959" s="48" t="s">
        <v>7009</v>
      </c>
      <c r="C6959" s="48" t="s">
        <v>10</v>
      </c>
      <c r="D6959" s="50">
        <v>0.18</v>
      </c>
    </row>
    <row r="6960" spans="1:4" ht="13.5">
      <c r="A6960" s="49">
        <v>95392</v>
      </c>
      <c r="B6960" s="48" t="s">
        <v>7010</v>
      </c>
      <c r="C6960" s="48" t="s">
        <v>10</v>
      </c>
      <c r="D6960" s="50">
        <v>0.08</v>
      </c>
    </row>
    <row r="6961" spans="1:4" ht="13.5">
      <c r="A6961" s="49">
        <v>95393</v>
      </c>
      <c r="B6961" s="48" t="s">
        <v>7011</v>
      </c>
      <c r="C6961" s="48" t="s">
        <v>10</v>
      </c>
      <c r="D6961" s="50">
        <v>0.38</v>
      </c>
    </row>
    <row r="6962" spans="1:4" ht="13.5">
      <c r="A6962" s="49">
        <v>95394</v>
      </c>
      <c r="B6962" s="48" t="s">
        <v>7012</v>
      </c>
      <c r="C6962" s="48" t="s">
        <v>10</v>
      </c>
      <c r="D6962" s="50">
        <v>0.45</v>
      </c>
    </row>
    <row r="6963" spans="1:4" ht="13.5">
      <c r="A6963" s="49">
        <v>95395</v>
      </c>
      <c r="B6963" s="48" t="s">
        <v>7013</v>
      </c>
      <c r="C6963" s="48" t="s">
        <v>10</v>
      </c>
      <c r="D6963" s="50">
        <v>0.64</v>
      </c>
    </row>
    <row r="6964" spans="1:4" ht="13.5">
      <c r="A6964" s="49">
        <v>95396</v>
      </c>
      <c r="B6964" s="48" t="s">
        <v>7014</v>
      </c>
      <c r="C6964" s="48" t="s">
        <v>10</v>
      </c>
      <c r="D6964" s="50">
        <v>0.84</v>
      </c>
    </row>
    <row r="6965" spans="1:4" ht="13.5">
      <c r="A6965" s="49">
        <v>95397</v>
      </c>
      <c r="B6965" s="48" t="s">
        <v>7015</v>
      </c>
      <c r="C6965" s="48" t="s">
        <v>10</v>
      </c>
      <c r="D6965" s="50">
        <v>0.12</v>
      </c>
    </row>
    <row r="6966" spans="1:4" ht="13.5">
      <c r="A6966" s="49">
        <v>95398</v>
      </c>
      <c r="B6966" s="48" t="s">
        <v>7016</v>
      </c>
      <c r="C6966" s="48" t="s">
        <v>10</v>
      </c>
      <c r="D6966" s="50">
        <v>0.06</v>
      </c>
    </row>
    <row r="6967" spans="1:4" ht="13.5">
      <c r="A6967" s="49">
        <v>95399</v>
      </c>
      <c r="B6967" s="48" t="s">
        <v>7017</v>
      </c>
      <c r="C6967" s="48" t="s">
        <v>10</v>
      </c>
      <c r="D6967" s="50">
        <v>0.1</v>
      </c>
    </row>
    <row r="6968" spans="1:4" ht="13.5">
      <c r="A6968" s="49">
        <v>95400</v>
      </c>
      <c r="B6968" s="48" t="s">
        <v>7018</v>
      </c>
      <c r="C6968" s="48" t="s">
        <v>10</v>
      </c>
      <c r="D6968" s="50">
        <v>0.13</v>
      </c>
    </row>
    <row r="6969" spans="1:4" ht="13.5">
      <c r="A6969" s="49">
        <v>95401</v>
      </c>
      <c r="B6969" s="48" t="s">
        <v>7019</v>
      </c>
      <c r="C6969" s="48" t="s">
        <v>10</v>
      </c>
      <c r="D6969" s="50">
        <v>0.57999999999999996</v>
      </c>
    </row>
    <row r="6970" spans="1:4" ht="13.5">
      <c r="A6970" s="49">
        <v>95402</v>
      </c>
      <c r="B6970" s="48" t="s">
        <v>7020</v>
      </c>
      <c r="C6970" s="48" t="s">
        <v>10</v>
      </c>
      <c r="D6970" s="50">
        <v>1.0900000000000001</v>
      </c>
    </row>
    <row r="6971" spans="1:4" ht="13.5">
      <c r="A6971" s="49">
        <v>95403</v>
      </c>
      <c r="B6971" s="48" t="s">
        <v>7021</v>
      </c>
      <c r="C6971" s="48" t="s">
        <v>10</v>
      </c>
      <c r="D6971" s="50">
        <v>1.25</v>
      </c>
    </row>
    <row r="6972" spans="1:4" ht="13.5">
      <c r="A6972" s="49">
        <v>95404</v>
      </c>
      <c r="B6972" s="48" t="s">
        <v>7022</v>
      </c>
      <c r="C6972" s="48" t="s">
        <v>10</v>
      </c>
      <c r="D6972" s="50">
        <v>1.71</v>
      </c>
    </row>
    <row r="6973" spans="1:4" ht="13.5">
      <c r="A6973" s="49">
        <v>95405</v>
      </c>
      <c r="B6973" s="48" t="s">
        <v>7023</v>
      </c>
      <c r="C6973" s="48" t="s">
        <v>10</v>
      </c>
      <c r="D6973" s="50">
        <v>0.88</v>
      </c>
    </row>
    <row r="6974" spans="1:4" ht="13.5">
      <c r="A6974" s="49">
        <v>95406</v>
      </c>
      <c r="B6974" s="48" t="s">
        <v>7024</v>
      </c>
      <c r="C6974" s="48" t="s">
        <v>10</v>
      </c>
      <c r="D6974" s="50">
        <v>0.17</v>
      </c>
    </row>
    <row r="6975" spans="1:4" ht="13.5">
      <c r="A6975" s="49">
        <v>95407</v>
      </c>
      <c r="B6975" s="48" t="s">
        <v>7025</v>
      </c>
      <c r="C6975" s="48" t="s">
        <v>10</v>
      </c>
      <c r="D6975" s="50">
        <v>2.68</v>
      </c>
    </row>
    <row r="6976" spans="1:4" ht="13.5">
      <c r="A6976" s="49">
        <v>95408</v>
      </c>
      <c r="B6976" s="48" t="s">
        <v>7026</v>
      </c>
      <c r="C6976" s="48" t="s">
        <v>6925</v>
      </c>
      <c r="D6976" s="50">
        <v>10.78</v>
      </c>
    </row>
    <row r="6977" spans="1:4" ht="13.5">
      <c r="A6977" s="49">
        <v>95409</v>
      </c>
      <c r="B6977" s="48" t="s">
        <v>7027</v>
      </c>
      <c r="C6977" s="48" t="s">
        <v>6925</v>
      </c>
      <c r="D6977" s="50">
        <v>24.17</v>
      </c>
    </row>
    <row r="6978" spans="1:4" ht="13.5">
      <c r="A6978" s="49">
        <v>95410</v>
      </c>
      <c r="B6978" s="48" t="s">
        <v>7028</v>
      </c>
      <c r="C6978" s="48" t="s">
        <v>6925</v>
      </c>
      <c r="D6978" s="50">
        <v>13.85</v>
      </c>
    </row>
    <row r="6979" spans="1:4" ht="13.5">
      <c r="A6979" s="49">
        <v>95411</v>
      </c>
      <c r="B6979" s="48" t="s">
        <v>7029</v>
      </c>
      <c r="C6979" s="48" t="s">
        <v>6925</v>
      </c>
      <c r="D6979" s="50">
        <v>18.46</v>
      </c>
    </row>
    <row r="6980" spans="1:4" ht="13.5">
      <c r="A6980" s="49">
        <v>95412</v>
      </c>
      <c r="B6980" s="48" t="s">
        <v>7030</v>
      </c>
      <c r="C6980" s="48" t="s">
        <v>6925</v>
      </c>
      <c r="D6980" s="50">
        <v>16.61</v>
      </c>
    </row>
    <row r="6981" spans="1:4" ht="13.5">
      <c r="A6981" s="49">
        <v>95413</v>
      </c>
      <c r="B6981" s="48" t="s">
        <v>7031</v>
      </c>
      <c r="C6981" s="48" t="s">
        <v>6925</v>
      </c>
      <c r="D6981" s="50">
        <v>11.82</v>
      </c>
    </row>
    <row r="6982" spans="1:4" ht="13.5">
      <c r="A6982" s="49">
        <v>95414</v>
      </c>
      <c r="B6982" s="48" t="s">
        <v>7032</v>
      </c>
      <c r="C6982" s="48" t="s">
        <v>6925</v>
      </c>
      <c r="D6982" s="50">
        <v>52.13</v>
      </c>
    </row>
    <row r="6983" spans="1:4" ht="13.5">
      <c r="A6983" s="49">
        <v>95415</v>
      </c>
      <c r="B6983" s="48" t="s">
        <v>7033</v>
      </c>
      <c r="C6983" s="48" t="s">
        <v>6925</v>
      </c>
      <c r="D6983" s="50">
        <v>146.65</v>
      </c>
    </row>
    <row r="6984" spans="1:4" ht="13.5">
      <c r="A6984" s="49">
        <v>95416</v>
      </c>
      <c r="B6984" s="48" t="s">
        <v>7034</v>
      </c>
      <c r="C6984" s="48" t="s">
        <v>6925</v>
      </c>
      <c r="D6984" s="50">
        <v>8.68</v>
      </c>
    </row>
    <row r="6985" spans="1:4" ht="13.5">
      <c r="A6985" s="49">
        <v>95417</v>
      </c>
      <c r="B6985" s="48" t="s">
        <v>7036</v>
      </c>
      <c r="C6985" s="48" t="s">
        <v>6925</v>
      </c>
      <c r="D6985" s="50">
        <v>166.92</v>
      </c>
    </row>
    <row r="6986" spans="1:4" ht="13.5">
      <c r="A6986" s="49">
        <v>95418</v>
      </c>
      <c r="B6986" s="48" t="s">
        <v>7037</v>
      </c>
      <c r="C6986" s="48" t="s">
        <v>6925</v>
      </c>
      <c r="D6986" s="50">
        <v>228.17</v>
      </c>
    </row>
    <row r="6987" spans="1:4" ht="13.5">
      <c r="A6987" s="49">
        <v>95419</v>
      </c>
      <c r="B6987" s="48" t="s">
        <v>7038</v>
      </c>
      <c r="C6987" s="48" t="s">
        <v>6925</v>
      </c>
      <c r="D6987" s="50">
        <v>60.58</v>
      </c>
    </row>
    <row r="6988" spans="1:4" ht="13.5">
      <c r="A6988" s="49">
        <v>95420</v>
      </c>
      <c r="B6988" s="48" t="s">
        <v>7039</v>
      </c>
      <c r="C6988" s="48" t="s">
        <v>6925</v>
      </c>
      <c r="D6988" s="50">
        <v>86.05</v>
      </c>
    </row>
    <row r="6989" spans="1:4" ht="13.5">
      <c r="A6989" s="49">
        <v>95421</v>
      </c>
      <c r="B6989" s="48" t="s">
        <v>7040</v>
      </c>
      <c r="C6989" s="48" t="s">
        <v>6925</v>
      </c>
      <c r="D6989" s="50">
        <v>113.76</v>
      </c>
    </row>
    <row r="6990" spans="1:4" ht="13.5">
      <c r="A6990" s="49">
        <v>95422</v>
      </c>
      <c r="B6990" s="48" t="s">
        <v>7041</v>
      </c>
      <c r="C6990" s="48" t="s">
        <v>6925</v>
      </c>
      <c r="D6990" s="50">
        <v>78.33</v>
      </c>
    </row>
    <row r="6991" spans="1:4" ht="13.5">
      <c r="A6991" s="49">
        <v>95423</v>
      </c>
      <c r="B6991" s="48" t="s">
        <v>7042</v>
      </c>
      <c r="C6991" s="48" t="s">
        <v>6925</v>
      </c>
      <c r="D6991" s="50">
        <v>118.89</v>
      </c>
    </row>
    <row r="6992" spans="1:4" ht="13.5">
      <c r="A6992" s="49">
        <v>95424</v>
      </c>
      <c r="B6992" s="48" t="s">
        <v>7043</v>
      </c>
      <c r="C6992" s="48" t="s">
        <v>6925</v>
      </c>
      <c r="D6992" s="50">
        <v>23.55</v>
      </c>
    </row>
    <row r="6993" spans="1:4" ht="13.5">
      <c r="A6993" s="49">
        <v>100288</v>
      </c>
      <c r="B6993" s="48" t="s">
        <v>7045</v>
      </c>
      <c r="C6993" s="48" t="s">
        <v>10</v>
      </c>
      <c r="D6993" s="50">
        <v>0.05</v>
      </c>
    </row>
    <row r="6994" spans="1:4" ht="13.5">
      <c r="A6994" s="49">
        <v>100289</v>
      </c>
      <c r="B6994" s="48" t="s">
        <v>7046</v>
      </c>
      <c r="C6994" s="48" t="s">
        <v>10</v>
      </c>
      <c r="D6994" s="50">
        <v>18.46</v>
      </c>
    </row>
    <row r="6995" spans="1:4" ht="13.5">
      <c r="A6995" s="49">
        <v>100290</v>
      </c>
      <c r="B6995" s="48" t="s">
        <v>7047</v>
      </c>
      <c r="C6995" s="48" t="s">
        <v>10</v>
      </c>
      <c r="D6995" s="50">
        <v>0.06</v>
      </c>
    </row>
    <row r="6996" spans="1:4" ht="13.5">
      <c r="A6996" s="49">
        <v>100291</v>
      </c>
      <c r="B6996" s="48" t="s">
        <v>7048</v>
      </c>
      <c r="C6996" s="48" t="s">
        <v>10</v>
      </c>
      <c r="D6996" s="50">
        <v>0.16</v>
      </c>
    </row>
    <row r="6997" spans="1:4" ht="13.5">
      <c r="A6997" s="49">
        <v>100292</v>
      </c>
      <c r="B6997" s="48" t="s">
        <v>7049</v>
      </c>
      <c r="C6997" s="48" t="s">
        <v>10</v>
      </c>
      <c r="D6997" s="50">
        <v>0.55000000000000004</v>
      </c>
    </row>
    <row r="6998" spans="1:4" ht="13.5">
      <c r="A6998" s="49">
        <v>100293</v>
      </c>
      <c r="B6998" s="48" t="s">
        <v>7050</v>
      </c>
      <c r="C6998" s="48" t="s">
        <v>10</v>
      </c>
      <c r="D6998" s="50">
        <v>0.16</v>
      </c>
    </row>
    <row r="6999" spans="1:4" ht="13.5">
      <c r="A6999" s="49">
        <v>100294</v>
      </c>
      <c r="B6999" s="48" t="s">
        <v>7051</v>
      </c>
      <c r="C6999" s="48" t="s">
        <v>10</v>
      </c>
      <c r="D6999" s="50">
        <v>0.28000000000000003</v>
      </c>
    </row>
    <row r="7000" spans="1:4" ht="13.5">
      <c r="A7000" s="49">
        <v>100295</v>
      </c>
      <c r="B7000" s="48" t="s">
        <v>7052</v>
      </c>
      <c r="C7000" s="48" t="s">
        <v>10</v>
      </c>
      <c r="D7000" s="50">
        <v>0.45</v>
      </c>
    </row>
    <row r="7001" spans="1:4" ht="13.5">
      <c r="A7001" s="49">
        <v>100296</v>
      </c>
      <c r="B7001" s="48" t="s">
        <v>7053</v>
      </c>
      <c r="C7001" s="48" t="s">
        <v>10</v>
      </c>
      <c r="D7001" s="50">
        <v>0.87</v>
      </c>
    </row>
    <row r="7002" spans="1:4" ht="13.5">
      <c r="A7002" s="49">
        <v>100297</v>
      </c>
      <c r="B7002" s="48" t="s">
        <v>7054</v>
      </c>
      <c r="C7002" s="48" t="s">
        <v>10</v>
      </c>
      <c r="D7002" s="50">
        <v>0.98</v>
      </c>
    </row>
    <row r="7003" spans="1:4" ht="13.5">
      <c r="A7003" s="49">
        <v>100298</v>
      </c>
      <c r="B7003" s="48" t="s">
        <v>7055</v>
      </c>
      <c r="C7003" s="48" t="s">
        <v>10</v>
      </c>
      <c r="D7003" s="50">
        <v>0.39</v>
      </c>
    </row>
    <row r="7004" spans="1:4" ht="13.5">
      <c r="A7004" s="49">
        <v>100299</v>
      </c>
      <c r="B7004" s="48" t="s">
        <v>7056</v>
      </c>
      <c r="C7004" s="48" t="s">
        <v>10</v>
      </c>
      <c r="D7004" s="50">
        <v>0.5</v>
      </c>
    </row>
    <row r="7005" spans="1:4" ht="13.5">
      <c r="A7005" s="49">
        <v>100300</v>
      </c>
      <c r="B7005" s="48" t="s">
        <v>7057</v>
      </c>
      <c r="C7005" s="48" t="s">
        <v>10</v>
      </c>
      <c r="D7005" s="50">
        <v>18.27</v>
      </c>
    </row>
    <row r="7006" spans="1:4" ht="13.5">
      <c r="A7006" s="49">
        <v>100301</v>
      </c>
      <c r="B7006" s="48" t="s">
        <v>7058</v>
      </c>
      <c r="C7006" s="48" t="s">
        <v>10</v>
      </c>
      <c r="D7006" s="50">
        <v>21.11</v>
      </c>
    </row>
    <row r="7007" spans="1:4" ht="13.5">
      <c r="A7007" s="49">
        <v>100302</v>
      </c>
      <c r="B7007" s="48" t="s">
        <v>7059</v>
      </c>
      <c r="C7007" s="48" t="s">
        <v>10</v>
      </c>
      <c r="D7007" s="50">
        <v>136.44</v>
      </c>
    </row>
    <row r="7008" spans="1:4" ht="13.5">
      <c r="A7008" s="49">
        <v>100303</v>
      </c>
      <c r="B7008" s="48" t="s">
        <v>7060</v>
      </c>
      <c r="C7008" s="48" t="s">
        <v>10</v>
      </c>
      <c r="D7008" s="50">
        <v>20.02</v>
      </c>
    </row>
    <row r="7009" spans="1:4" ht="13.5">
      <c r="A7009" s="49">
        <v>100304</v>
      </c>
      <c r="B7009" s="48" t="s">
        <v>7061</v>
      </c>
      <c r="C7009" s="48" t="s">
        <v>10</v>
      </c>
      <c r="D7009" s="50">
        <v>72.31</v>
      </c>
    </row>
    <row r="7010" spans="1:4" ht="13.5">
      <c r="A7010" s="49">
        <v>100305</v>
      </c>
      <c r="B7010" s="48" t="s">
        <v>7062</v>
      </c>
      <c r="C7010" s="48" t="s">
        <v>10</v>
      </c>
      <c r="D7010" s="50">
        <v>95.4</v>
      </c>
    </row>
    <row r="7011" spans="1:4" ht="13.5">
      <c r="A7011" s="49">
        <v>100306</v>
      </c>
      <c r="B7011" s="48" t="s">
        <v>7063</v>
      </c>
      <c r="C7011" s="48" t="s">
        <v>10</v>
      </c>
      <c r="D7011" s="50">
        <v>107.41</v>
      </c>
    </row>
    <row r="7012" spans="1:4" ht="13.5">
      <c r="A7012" s="49">
        <v>100307</v>
      </c>
      <c r="B7012" s="48" t="s">
        <v>7064</v>
      </c>
      <c r="C7012" s="48" t="s">
        <v>10</v>
      </c>
      <c r="D7012" s="50">
        <v>24.8</v>
      </c>
    </row>
    <row r="7013" spans="1:4" ht="13.5">
      <c r="A7013" s="49">
        <v>100308</v>
      </c>
      <c r="B7013" s="48" t="s">
        <v>7065</v>
      </c>
      <c r="C7013" s="48" t="s">
        <v>10</v>
      </c>
      <c r="D7013" s="50">
        <v>24.33</v>
      </c>
    </row>
    <row r="7014" spans="1:4" ht="13.5">
      <c r="A7014" s="49">
        <v>100309</v>
      </c>
      <c r="B7014" s="48" t="s">
        <v>7073</v>
      </c>
      <c r="C7014" s="48" t="s">
        <v>10</v>
      </c>
      <c r="D7014" s="50">
        <v>36.5</v>
      </c>
    </row>
    <row r="7015" spans="1:4" ht="13.5">
      <c r="A7015" s="49">
        <v>100310</v>
      </c>
      <c r="B7015" s="48" t="s">
        <v>7066</v>
      </c>
      <c r="C7015" s="48" t="s">
        <v>6925</v>
      </c>
      <c r="D7015" s="50">
        <v>9.06</v>
      </c>
    </row>
    <row r="7016" spans="1:4" ht="13.5">
      <c r="A7016" s="49">
        <v>100311</v>
      </c>
      <c r="B7016" s="48" t="s">
        <v>7067</v>
      </c>
      <c r="C7016" s="48" t="s">
        <v>6925</v>
      </c>
      <c r="D7016" s="50">
        <v>73.23</v>
      </c>
    </row>
    <row r="7017" spans="1:4" ht="13.5">
      <c r="A7017" s="49">
        <v>100312</v>
      </c>
      <c r="B7017" s="48" t="s">
        <v>7068</v>
      </c>
      <c r="C7017" s="48" t="s">
        <v>6925</v>
      </c>
      <c r="D7017" s="50">
        <v>100.4</v>
      </c>
    </row>
    <row r="7018" spans="1:4" ht="13.5">
      <c r="A7018" s="49">
        <v>100313</v>
      </c>
      <c r="B7018" s="48" t="s">
        <v>7069</v>
      </c>
      <c r="C7018" s="48" t="s">
        <v>6925</v>
      </c>
      <c r="D7018" s="50">
        <v>116.09</v>
      </c>
    </row>
    <row r="7019" spans="1:4" ht="13.5">
      <c r="A7019" s="49">
        <v>100314</v>
      </c>
      <c r="B7019" s="48" t="s">
        <v>7070</v>
      </c>
      <c r="C7019" s="48" t="s">
        <v>6925</v>
      </c>
      <c r="D7019" s="50">
        <v>130.97</v>
      </c>
    </row>
    <row r="7020" spans="1:4" ht="13.5">
      <c r="A7020" s="49">
        <v>100315</v>
      </c>
      <c r="B7020" s="48" t="s">
        <v>7071</v>
      </c>
      <c r="C7020" s="48" t="s">
        <v>6925</v>
      </c>
      <c r="D7020" s="50">
        <v>67.16</v>
      </c>
    </row>
    <row r="7021" spans="1:4" ht="13.5">
      <c r="A7021" s="49">
        <v>100316</v>
      </c>
      <c r="B7021" s="48" t="s">
        <v>7057</v>
      </c>
      <c r="C7021" s="48" t="s">
        <v>6925</v>
      </c>
      <c r="D7021" s="51">
        <v>3235.83</v>
      </c>
    </row>
    <row r="7022" spans="1:4" ht="13.5">
      <c r="A7022" s="49">
        <v>100317</v>
      </c>
      <c r="B7022" s="48" t="s">
        <v>7072</v>
      </c>
      <c r="C7022" s="48" t="s">
        <v>6925</v>
      </c>
      <c r="D7022" s="51">
        <v>23986.91</v>
      </c>
    </row>
    <row r="7023" spans="1:4" ht="13.5">
      <c r="A7023" s="49">
        <v>100318</v>
      </c>
      <c r="B7023" s="48" t="s">
        <v>7061</v>
      </c>
      <c r="C7023" s="48" t="s">
        <v>6925</v>
      </c>
      <c r="D7023" s="51">
        <v>12786.08</v>
      </c>
    </row>
    <row r="7024" spans="1:4" ht="13.5">
      <c r="A7024" s="49">
        <v>100319</v>
      </c>
      <c r="B7024" s="48" t="s">
        <v>7062</v>
      </c>
      <c r="C7024" s="48" t="s">
        <v>6925</v>
      </c>
      <c r="D7024" s="51">
        <v>16756.43</v>
      </c>
    </row>
    <row r="7025" spans="1:4" ht="13.5">
      <c r="A7025" s="49">
        <v>100320</v>
      </c>
      <c r="B7025" s="48" t="s">
        <v>7063</v>
      </c>
      <c r="C7025" s="48" t="s">
        <v>6925</v>
      </c>
      <c r="D7025" s="51">
        <v>18867.439999999999</v>
      </c>
    </row>
    <row r="7026" spans="1:4" ht="13.5">
      <c r="A7026" s="49">
        <v>100321</v>
      </c>
      <c r="B7026" s="48" t="s">
        <v>7073</v>
      </c>
      <c r="C7026" s="48" t="s">
        <v>6925</v>
      </c>
      <c r="D7026" s="51">
        <v>6421.95</v>
      </c>
    </row>
    <row r="7027" spans="1:4" ht="13.5">
      <c r="A7027" s="49">
        <v>100533</v>
      </c>
      <c r="B7027" s="48" t="s">
        <v>7074</v>
      </c>
      <c r="C7027" s="48" t="s">
        <v>10</v>
      </c>
      <c r="D7027" s="50">
        <v>26.95</v>
      </c>
    </row>
    <row r="7028" spans="1:4" ht="13.5">
      <c r="A7028" s="49">
        <v>100534</v>
      </c>
      <c r="B7028" s="48" t="s">
        <v>7074</v>
      </c>
      <c r="C7028" s="48" t="s">
        <v>6925</v>
      </c>
      <c r="D7028" s="51">
        <v>4758.38</v>
      </c>
    </row>
    <row r="7029" spans="1:4" ht="13.5">
      <c r="A7029" s="49">
        <v>100535</v>
      </c>
      <c r="B7029" s="48" t="s">
        <v>7075</v>
      </c>
      <c r="C7029" s="48" t="s">
        <v>10</v>
      </c>
      <c r="D7029" s="50">
        <v>0.36</v>
      </c>
    </row>
    <row r="7030" spans="1:4" ht="13.5">
      <c r="A7030" s="49">
        <v>100536</v>
      </c>
      <c r="B7030" s="48" t="s">
        <v>7076</v>
      </c>
      <c r="C7030" s="48" t="s">
        <v>6925</v>
      </c>
      <c r="D7030" s="50">
        <v>48.9</v>
      </c>
    </row>
    <row r="7031" spans="1:4" ht="13.5">
      <c r="A7031" s="49">
        <v>101284</v>
      </c>
      <c r="B7031" s="48" t="s">
        <v>21828</v>
      </c>
      <c r="C7031" s="48" t="s">
        <v>10</v>
      </c>
      <c r="D7031" s="50">
        <v>1.35</v>
      </c>
    </row>
    <row r="7032" spans="1:4" ht="13.5">
      <c r="A7032" s="49">
        <v>101285</v>
      </c>
      <c r="B7032" s="48" t="s">
        <v>21829</v>
      </c>
      <c r="C7032" s="48" t="s">
        <v>10</v>
      </c>
      <c r="D7032" s="50">
        <v>0.38</v>
      </c>
    </row>
    <row r="7033" spans="1:4" ht="13.5">
      <c r="A7033" s="49">
        <v>101286</v>
      </c>
      <c r="B7033" s="48" t="s">
        <v>21830</v>
      </c>
      <c r="C7033" s="48" t="s">
        <v>6925</v>
      </c>
      <c r="D7033" s="50">
        <v>16.260000000000002</v>
      </c>
    </row>
    <row r="7034" spans="1:4" ht="13.5">
      <c r="A7034" s="49">
        <v>101287</v>
      </c>
      <c r="B7034" s="48" t="s">
        <v>21831</v>
      </c>
      <c r="C7034" s="48" t="s">
        <v>6925</v>
      </c>
      <c r="D7034" s="50">
        <v>56.74</v>
      </c>
    </row>
    <row r="7035" spans="1:4" ht="13.5">
      <c r="A7035" s="49">
        <v>101288</v>
      </c>
      <c r="B7035" s="48" t="s">
        <v>21832</v>
      </c>
      <c r="C7035" s="48" t="s">
        <v>6925</v>
      </c>
      <c r="D7035" s="50">
        <v>18.96</v>
      </c>
    </row>
    <row r="7036" spans="1:4" ht="13.5">
      <c r="A7036" s="49">
        <v>101289</v>
      </c>
      <c r="B7036" s="48" t="s">
        <v>21833</v>
      </c>
      <c r="C7036" s="48" t="s">
        <v>6925</v>
      </c>
      <c r="D7036" s="50">
        <v>16.82</v>
      </c>
    </row>
    <row r="7037" spans="1:4" ht="13.5">
      <c r="A7037" s="49">
        <v>101290</v>
      </c>
      <c r="B7037" s="48" t="s">
        <v>21834</v>
      </c>
      <c r="C7037" s="48" t="s">
        <v>6925</v>
      </c>
      <c r="D7037" s="50">
        <v>21.69</v>
      </c>
    </row>
    <row r="7038" spans="1:4" ht="13.5">
      <c r="A7038" s="49">
        <v>101291</v>
      </c>
      <c r="B7038" s="48" t="s">
        <v>21835</v>
      </c>
      <c r="C7038" s="48" t="s">
        <v>6925</v>
      </c>
      <c r="D7038" s="50">
        <v>17.440000000000001</v>
      </c>
    </row>
    <row r="7039" spans="1:4" ht="13.5">
      <c r="A7039" s="49">
        <v>101292</v>
      </c>
      <c r="B7039" s="48" t="s">
        <v>21836</v>
      </c>
      <c r="C7039" s="48" t="s">
        <v>6925</v>
      </c>
      <c r="D7039" s="50">
        <v>19.07</v>
      </c>
    </row>
    <row r="7040" spans="1:4" ht="13.5">
      <c r="A7040" s="49">
        <v>101293</v>
      </c>
      <c r="B7040" s="48" t="s">
        <v>21837</v>
      </c>
      <c r="C7040" s="48" t="s">
        <v>6925</v>
      </c>
      <c r="D7040" s="50">
        <v>23.31</v>
      </c>
    </row>
    <row r="7041" spans="1:4" ht="13.5">
      <c r="A7041" s="49">
        <v>101294</v>
      </c>
      <c r="B7041" s="48" t="s">
        <v>21838</v>
      </c>
      <c r="C7041" s="48" t="s">
        <v>6925</v>
      </c>
      <c r="D7041" s="50">
        <v>36.33</v>
      </c>
    </row>
    <row r="7042" spans="1:4" ht="13.5">
      <c r="A7042" s="49">
        <v>101295</v>
      </c>
      <c r="B7042" s="48" t="s">
        <v>21839</v>
      </c>
      <c r="C7042" s="48" t="s">
        <v>6925</v>
      </c>
      <c r="D7042" s="50">
        <v>21.78</v>
      </c>
    </row>
    <row r="7043" spans="1:4" ht="13.5">
      <c r="A7043" s="49">
        <v>101296</v>
      </c>
      <c r="B7043" s="48" t="s">
        <v>21840</v>
      </c>
      <c r="C7043" s="48" t="s">
        <v>6925</v>
      </c>
      <c r="D7043" s="50">
        <v>22.17</v>
      </c>
    </row>
    <row r="7044" spans="1:4" ht="13.5">
      <c r="A7044" s="49">
        <v>101297</v>
      </c>
      <c r="B7044" s="48" t="s">
        <v>21841</v>
      </c>
      <c r="C7044" s="48" t="s">
        <v>6925</v>
      </c>
      <c r="D7044" s="50">
        <v>19.920000000000002</v>
      </c>
    </row>
    <row r="7045" spans="1:4" ht="13.5">
      <c r="A7045" s="49">
        <v>101298</v>
      </c>
      <c r="B7045" s="48" t="s">
        <v>21842</v>
      </c>
      <c r="C7045" s="48" t="s">
        <v>6925</v>
      </c>
      <c r="D7045" s="50">
        <v>19.46</v>
      </c>
    </row>
    <row r="7046" spans="1:4" ht="13.5">
      <c r="A7046" s="49">
        <v>101299</v>
      </c>
      <c r="B7046" s="48" t="s">
        <v>21843</v>
      </c>
      <c r="C7046" s="48" t="s">
        <v>6925</v>
      </c>
      <c r="D7046" s="50">
        <v>18.62</v>
      </c>
    </row>
    <row r="7047" spans="1:4" ht="13.5">
      <c r="A7047" s="49">
        <v>101300</v>
      </c>
      <c r="B7047" s="48" t="s">
        <v>21844</v>
      </c>
      <c r="C7047" s="48" t="s">
        <v>6925</v>
      </c>
      <c r="D7047" s="50">
        <v>15.82</v>
      </c>
    </row>
    <row r="7048" spans="1:4" ht="13.5">
      <c r="A7048" s="49">
        <v>101301</v>
      </c>
      <c r="B7048" s="48" t="s">
        <v>21845</v>
      </c>
      <c r="C7048" s="48" t="s">
        <v>6925</v>
      </c>
      <c r="D7048" s="50">
        <v>9.6199999999999992</v>
      </c>
    </row>
    <row r="7049" spans="1:4" ht="13.5">
      <c r="A7049" s="49">
        <v>101302</v>
      </c>
      <c r="B7049" s="48" t="s">
        <v>21846</v>
      </c>
      <c r="C7049" s="48" t="s">
        <v>6925</v>
      </c>
      <c r="D7049" s="50">
        <v>31.23</v>
      </c>
    </row>
    <row r="7050" spans="1:4" ht="13.5">
      <c r="A7050" s="49">
        <v>101303</v>
      </c>
      <c r="B7050" s="48" t="s">
        <v>21847</v>
      </c>
      <c r="C7050" s="48" t="s">
        <v>6925</v>
      </c>
      <c r="D7050" s="50">
        <v>60.72</v>
      </c>
    </row>
    <row r="7051" spans="1:4" ht="13.5">
      <c r="A7051" s="49">
        <v>101304</v>
      </c>
      <c r="B7051" s="48" t="s">
        <v>21848</v>
      </c>
      <c r="C7051" s="48" t="s">
        <v>6925</v>
      </c>
      <c r="D7051" s="50">
        <v>31.4</v>
      </c>
    </row>
    <row r="7052" spans="1:4" ht="13.5">
      <c r="A7052" s="49">
        <v>101305</v>
      </c>
      <c r="B7052" s="48" t="s">
        <v>21849</v>
      </c>
      <c r="C7052" s="48" t="s">
        <v>6925</v>
      </c>
      <c r="D7052" s="50">
        <v>40.340000000000003</v>
      </c>
    </row>
    <row r="7053" spans="1:4" ht="13.5">
      <c r="A7053" s="49">
        <v>101307</v>
      </c>
      <c r="B7053" s="48" t="s">
        <v>21850</v>
      </c>
      <c r="C7053" s="48" t="s">
        <v>6925</v>
      </c>
      <c r="D7053" s="50">
        <v>20.329999999999998</v>
      </c>
    </row>
    <row r="7054" spans="1:4" ht="13.5">
      <c r="A7054" s="49">
        <v>101308</v>
      </c>
      <c r="B7054" s="48" t="s">
        <v>21851</v>
      </c>
      <c r="C7054" s="48" t="s">
        <v>6925</v>
      </c>
      <c r="D7054" s="50">
        <v>25.84</v>
      </c>
    </row>
    <row r="7055" spans="1:4" ht="13.5">
      <c r="A7055" s="49">
        <v>101309</v>
      </c>
      <c r="B7055" s="48" t="s">
        <v>21852</v>
      </c>
      <c r="C7055" s="48" t="s">
        <v>6925</v>
      </c>
      <c r="D7055" s="50">
        <v>23.78</v>
      </c>
    </row>
    <row r="7056" spans="1:4" ht="13.5">
      <c r="A7056" s="49">
        <v>101310</v>
      </c>
      <c r="B7056" s="48" t="s">
        <v>21853</v>
      </c>
      <c r="C7056" s="48" t="s">
        <v>6925</v>
      </c>
      <c r="D7056" s="50">
        <v>25.34</v>
      </c>
    </row>
    <row r="7057" spans="1:4" ht="13.5">
      <c r="A7057" s="49">
        <v>101311</v>
      </c>
      <c r="B7057" s="48" t="s">
        <v>21854</v>
      </c>
      <c r="C7057" s="48" t="s">
        <v>6925</v>
      </c>
      <c r="D7057" s="50">
        <v>23.55</v>
      </c>
    </row>
    <row r="7058" spans="1:4" ht="13.5">
      <c r="A7058" s="49">
        <v>101312</v>
      </c>
      <c r="B7058" s="48" t="s">
        <v>21855</v>
      </c>
      <c r="C7058" s="48" t="s">
        <v>6925</v>
      </c>
      <c r="D7058" s="50">
        <v>18.29</v>
      </c>
    </row>
    <row r="7059" spans="1:4" ht="13.5">
      <c r="A7059" s="49">
        <v>101313</v>
      </c>
      <c r="B7059" s="48" t="s">
        <v>21856</v>
      </c>
      <c r="C7059" s="48" t="s">
        <v>6925</v>
      </c>
      <c r="D7059" s="50">
        <v>80.67</v>
      </c>
    </row>
    <row r="7060" spans="1:4" ht="13.5">
      <c r="A7060" s="49">
        <v>101314</v>
      </c>
      <c r="B7060" s="48" t="s">
        <v>21857</v>
      </c>
      <c r="C7060" s="48" t="s">
        <v>6925</v>
      </c>
      <c r="D7060" s="50">
        <v>88.88</v>
      </c>
    </row>
    <row r="7061" spans="1:4" ht="13.5">
      <c r="A7061" s="49">
        <v>101315</v>
      </c>
      <c r="B7061" s="48" t="s">
        <v>21858</v>
      </c>
      <c r="C7061" s="48" t="s">
        <v>6925</v>
      </c>
      <c r="D7061" s="50">
        <v>80.03</v>
      </c>
    </row>
    <row r="7062" spans="1:4" ht="13.5">
      <c r="A7062" s="49">
        <v>101316</v>
      </c>
      <c r="B7062" s="48" t="s">
        <v>21859</v>
      </c>
      <c r="C7062" s="48" t="s">
        <v>6925</v>
      </c>
      <c r="D7062" s="50">
        <v>31.27</v>
      </c>
    </row>
    <row r="7063" spans="1:4" ht="13.5">
      <c r="A7063" s="49">
        <v>101317</v>
      </c>
      <c r="B7063" s="48" t="s">
        <v>21860</v>
      </c>
      <c r="C7063" s="48" t="s">
        <v>6925</v>
      </c>
      <c r="D7063" s="50">
        <v>179.48</v>
      </c>
    </row>
    <row r="7064" spans="1:4" ht="13.5">
      <c r="A7064" s="49">
        <v>101318</v>
      </c>
      <c r="B7064" s="48" t="s">
        <v>21861</v>
      </c>
      <c r="C7064" s="48" t="s">
        <v>6925</v>
      </c>
      <c r="D7064" s="50">
        <v>359.66</v>
      </c>
    </row>
    <row r="7065" spans="1:4" ht="13.5">
      <c r="A7065" s="49">
        <v>101319</v>
      </c>
      <c r="B7065" s="48" t="s">
        <v>21862</v>
      </c>
      <c r="C7065" s="48" t="s">
        <v>6925</v>
      </c>
      <c r="D7065" s="50">
        <v>51.36</v>
      </c>
    </row>
    <row r="7066" spans="1:4" ht="13.5">
      <c r="A7066" s="49">
        <v>101320</v>
      </c>
      <c r="B7066" s="48" t="s">
        <v>21863</v>
      </c>
      <c r="C7066" s="48" t="s">
        <v>6925</v>
      </c>
      <c r="D7066" s="50">
        <v>26</v>
      </c>
    </row>
    <row r="7067" spans="1:4" ht="13.5">
      <c r="A7067" s="49">
        <v>101322</v>
      </c>
      <c r="B7067" s="48" t="s">
        <v>21864</v>
      </c>
      <c r="C7067" s="48" t="s">
        <v>6925</v>
      </c>
      <c r="D7067" s="50">
        <v>17.22</v>
      </c>
    </row>
    <row r="7068" spans="1:4" ht="13.5">
      <c r="A7068" s="49">
        <v>101323</v>
      </c>
      <c r="B7068" s="48" t="s">
        <v>21865</v>
      </c>
      <c r="C7068" s="48" t="s">
        <v>6925</v>
      </c>
      <c r="D7068" s="50">
        <v>39.909999999999997</v>
      </c>
    </row>
    <row r="7069" spans="1:4" ht="13.5">
      <c r="A7069" s="49">
        <v>101324</v>
      </c>
      <c r="B7069" s="48" t="s">
        <v>21866</v>
      </c>
      <c r="C7069" s="48" t="s">
        <v>6925</v>
      </c>
      <c r="D7069" s="50">
        <v>10.16</v>
      </c>
    </row>
    <row r="7070" spans="1:4" ht="13.5">
      <c r="A7070" s="49">
        <v>101325</v>
      </c>
      <c r="B7070" s="48" t="s">
        <v>21867</v>
      </c>
      <c r="C7070" s="48" t="s">
        <v>6925</v>
      </c>
      <c r="D7070" s="50">
        <v>32.06</v>
      </c>
    </row>
    <row r="7071" spans="1:4" ht="13.5">
      <c r="A7071" s="49">
        <v>101326</v>
      </c>
      <c r="B7071" s="48" t="s">
        <v>21868</v>
      </c>
      <c r="C7071" s="48" t="s">
        <v>6925</v>
      </c>
      <c r="D7071" s="50">
        <v>9.85</v>
      </c>
    </row>
    <row r="7072" spans="1:4" ht="13.5">
      <c r="A7072" s="49">
        <v>101327</v>
      </c>
      <c r="B7072" s="48" t="s">
        <v>21869</v>
      </c>
      <c r="C7072" s="48" t="s">
        <v>6925</v>
      </c>
      <c r="D7072" s="50">
        <v>8.23</v>
      </c>
    </row>
    <row r="7073" spans="1:4" ht="13.5">
      <c r="A7073" s="49">
        <v>101328</v>
      </c>
      <c r="B7073" s="48" t="s">
        <v>21870</v>
      </c>
      <c r="C7073" s="48" t="s">
        <v>6925</v>
      </c>
      <c r="D7073" s="50">
        <v>14.39</v>
      </c>
    </row>
    <row r="7074" spans="1:4" ht="13.5">
      <c r="A7074" s="49">
        <v>101329</v>
      </c>
      <c r="B7074" s="48" t="s">
        <v>21871</v>
      </c>
      <c r="C7074" s="48" t="s">
        <v>6925</v>
      </c>
      <c r="D7074" s="50">
        <v>39.18</v>
      </c>
    </row>
    <row r="7075" spans="1:4" ht="13.5">
      <c r="A7075" s="49">
        <v>101330</v>
      </c>
      <c r="B7075" s="48" t="s">
        <v>21872</v>
      </c>
      <c r="C7075" s="48" t="s">
        <v>6925</v>
      </c>
      <c r="D7075" s="50">
        <v>30.86</v>
      </c>
    </row>
    <row r="7076" spans="1:4" ht="13.5">
      <c r="A7076" s="49">
        <v>101331</v>
      </c>
      <c r="B7076" s="48" t="s">
        <v>21873</v>
      </c>
      <c r="C7076" s="48" t="s">
        <v>6925</v>
      </c>
      <c r="D7076" s="50">
        <v>31.4</v>
      </c>
    </row>
    <row r="7077" spans="1:4" ht="13.5">
      <c r="A7077" s="49">
        <v>101332</v>
      </c>
      <c r="B7077" s="48" t="s">
        <v>21874</v>
      </c>
      <c r="C7077" s="48" t="s">
        <v>6925</v>
      </c>
      <c r="D7077" s="50">
        <v>10.39</v>
      </c>
    </row>
    <row r="7078" spans="1:4" ht="13.5">
      <c r="A7078" s="49">
        <v>101333</v>
      </c>
      <c r="B7078" s="48" t="s">
        <v>21875</v>
      </c>
      <c r="C7078" s="48" t="s">
        <v>6925</v>
      </c>
      <c r="D7078" s="50">
        <v>24.43</v>
      </c>
    </row>
    <row r="7079" spans="1:4" ht="13.5">
      <c r="A7079" s="49">
        <v>101334</v>
      </c>
      <c r="B7079" s="48" t="s">
        <v>21876</v>
      </c>
      <c r="C7079" s="48" t="s">
        <v>6925</v>
      </c>
      <c r="D7079" s="50">
        <v>53.15</v>
      </c>
    </row>
    <row r="7080" spans="1:4" ht="13.5">
      <c r="A7080" s="49">
        <v>101335</v>
      </c>
      <c r="B7080" s="48" t="s">
        <v>21877</v>
      </c>
      <c r="C7080" s="48" t="s">
        <v>6925</v>
      </c>
      <c r="D7080" s="50">
        <v>12.38</v>
      </c>
    </row>
    <row r="7081" spans="1:4" ht="13.5">
      <c r="A7081" s="49">
        <v>101336</v>
      </c>
      <c r="B7081" s="48" t="s">
        <v>21878</v>
      </c>
      <c r="C7081" s="48" t="s">
        <v>6925</v>
      </c>
      <c r="D7081" s="50">
        <v>40.75</v>
      </c>
    </row>
    <row r="7082" spans="1:4" ht="13.5">
      <c r="A7082" s="49">
        <v>101337</v>
      </c>
      <c r="B7082" s="48" t="s">
        <v>21879</v>
      </c>
      <c r="C7082" s="48" t="s">
        <v>6925</v>
      </c>
      <c r="D7082" s="50">
        <v>12.12</v>
      </c>
    </row>
    <row r="7083" spans="1:4" ht="13.5">
      <c r="A7083" s="49">
        <v>101338</v>
      </c>
      <c r="B7083" s="48" t="s">
        <v>21880</v>
      </c>
      <c r="C7083" s="48" t="s">
        <v>6925</v>
      </c>
      <c r="D7083" s="50">
        <v>21.7</v>
      </c>
    </row>
    <row r="7084" spans="1:4" ht="13.5">
      <c r="A7084" s="49">
        <v>101339</v>
      </c>
      <c r="B7084" s="48" t="s">
        <v>21881</v>
      </c>
      <c r="C7084" s="48" t="s">
        <v>6925</v>
      </c>
      <c r="D7084" s="50">
        <v>15.99</v>
      </c>
    </row>
    <row r="7085" spans="1:4" ht="13.5">
      <c r="A7085" s="49">
        <v>101340</v>
      </c>
      <c r="B7085" s="48" t="s">
        <v>21882</v>
      </c>
      <c r="C7085" s="48" t="s">
        <v>6925</v>
      </c>
      <c r="D7085" s="50">
        <v>15.43</v>
      </c>
    </row>
    <row r="7086" spans="1:4" ht="13.5">
      <c r="A7086" s="49">
        <v>101341</v>
      </c>
      <c r="B7086" s="48" t="s">
        <v>21883</v>
      </c>
      <c r="C7086" s="48" t="s">
        <v>6925</v>
      </c>
      <c r="D7086" s="50">
        <v>18.670000000000002</v>
      </c>
    </row>
    <row r="7087" spans="1:4" ht="13.5">
      <c r="A7087" s="49">
        <v>101342</v>
      </c>
      <c r="B7087" s="48" t="s">
        <v>21884</v>
      </c>
      <c r="C7087" s="48" t="s">
        <v>6925</v>
      </c>
      <c r="D7087" s="50">
        <v>19.68</v>
      </c>
    </row>
    <row r="7088" spans="1:4" ht="13.5">
      <c r="A7088" s="49">
        <v>101343</v>
      </c>
      <c r="B7088" s="48" t="s">
        <v>21885</v>
      </c>
      <c r="C7088" s="48" t="s">
        <v>6925</v>
      </c>
      <c r="D7088" s="50">
        <v>30.01</v>
      </c>
    </row>
    <row r="7089" spans="1:4" ht="13.5">
      <c r="A7089" s="49">
        <v>101344</v>
      </c>
      <c r="B7089" s="48" t="s">
        <v>21886</v>
      </c>
      <c r="C7089" s="48" t="s">
        <v>6925</v>
      </c>
      <c r="D7089" s="50">
        <v>33.86</v>
      </c>
    </row>
    <row r="7090" spans="1:4" ht="13.5">
      <c r="A7090" s="49">
        <v>101345</v>
      </c>
      <c r="B7090" s="48" t="s">
        <v>21887</v>
      </c>
      <c r="C7090" s="48" t="s">
        <v>6925</v>
      </c>
      <c r="D7090" s="50">
        <v>63.18</v>
      </c>
    </row>
    <row r="7091" spans="1:4" ht="13.5">
      <c r="A7091" s="49">
        <v>101346</v>
      </c>
      <c r="B7091" s="48" t="s">
        <v>21888</v>
      </c>
      <c r="C7091" s="48" t="s">
        <v>6925</v>
      </c>
      <c r="D7091" s="50">
        <v>26.87</v>
      </c>
    </row>
    <row r="7092" spans="1:4" ht="13.5">
      <c r="A7092" s="49">
        <v>101347</v>
      </c>
      <c r="B7092" s="48" t="s">
        <v>21889</v>
      </c>
      <c r="C7092" s="48" t="s">
        <v>6925</v>
      </c>
      <c r="D7092" s="50">
        <v>28.4</v>
      </c>
    </row>
    <row r="7093" spans="1:4" ht="13.5">
      <c r="A7093" s="49">
        <v>101348</v>
      </c>
      <c r="B7093" s="48" t="s">
        <v>21890</v>
      </c>
      <c r="C7093" s="48" t="s">
        <v>6925</v>
      </c>
      <c r="D7093" s="50">
        <v>10.06</v>
      </c>
    </row>
    <row r="7094" spans="1:4" ht="13.5">
      <c r="A7094" s="49">
        <v>101349</v>
      </c>
      <c r="B7094" s="48" t="s">
        <v>21891</v>
      </c>
      <c r="C7094" s="48" t="s">
        <v>6925</v>
      </c>
      <c r="D7094" s="50">
        <v>20.010000000000002</v>
      </c>
    </row>
    <row r="7095" spans="1:4" ht="13.5">
      <c r="A7095" s="49">
        <v>101350</v>
      </c>
      <c r="B7095" s="48" t="s">
        <v>21892</v>
      </c>
      <c r="C7095" s="48" t="s">
        <v>6925</v>
      </c>
      <c r="D7095" s="50">
        <v>24.55</v>
      </c>
    </row>
    <row r="7096" spans="1:4" ht="13.5">
      <c r="A7096" s="49">
        <v>101351</v>
      </c>
      <c r="B7096" s="48" t="s">
        <v>21893</v>
      </c>
      <c r="C7096" s="48" t="s">
        <v>6925</v>
      </c>
      <c r="D7096" s="50">
        <v>19.3</v>
      </c>
    </row>
    <row r="7097" spans="1:4" ht="13.5">
      <c r="A7097" s="49">
        <v>101352</v>
      </c>
      <c r="B7097" s="48" t="s">
        <v>21894</v>
      </c>
      <c r="C7097" s="48" t="s">
        <v>6925</v>
      </c>
      <c r="D7097" s="50">
        <v>20.66</v>
      </c>
    </row>
    <row r="7098" spans="1:4" ht="13.5">
      <c r="A7098" s="49">
        <v>101353</v>
      </c>
      <c r="B7098" s="48" t="s">
        <v>21895</v>
      </c>
      <c r="C7098" s="48" t="s">
        <v>6925</v>
      </c>
      <c r="D7098" s="50">
        <v>15.56</v>
      </c>
    </row>
    <row r="7099" spans="1:4" ht="13.5">
      <c r="A7099" s="49">
        <v>101354</v>
      </c>
      <c r="B7099" s="48" t="s">
        <v>21896</v>
      </c>
      <c r="C7099" s="48" t="s">
        <v>6925</v>
      </c>
      <c r="D7099" s="50">
        <v>31.35</v>
      </c>
    </row>
    <row r="7100" spans="1:4" ht="13.5">
      <c r="A7100" s="49">
        <v>101355</v>
      </c>
      <c r="B7100" s="48" t="s">
        <v>21897</v>
      </c>
      <c r="C7100" s="48" t="s">
        <v>6925</v>
      </c>
      <c r="D7100" s="50">
        <v>17.739999999999998</v>
      </c>
    </row>
    <row r="7101" spans="1:4" ht="13.5">
      <c r="A7101" s="49">
        <v>101356</v>
      </c>
      <c r="B7101" s="48" t="s">
        <v>21898</v>
      </c>
      <c r="C7101" s="48" t="s">
        <v>6925</v>
      </c>
      <c r="D7101" s="50">
        <v>31.4</v>
      </c>
    </row>
    <row r="7102" spans="1:4" ht="13.5">
      <c r="A7102" s="49">
        <v>101357</v>
      </c>
      <c r="B7102" s="48" t="s">
        <v>21899</v>
      </c>
      <c r="C7102" s="48" t="s">
        <v>6925</v>
      </c>
      <c r="D7102" s="50">
        <v>43.01</v>
      </c>
    </row>
    <row r="7103" spans="1:4" ht="13.5">
      <c r="A7103" s="49">
        <v>101358</v>
      </c>
      <c r="B7103" s="48" t="s">
        <v>21900</v>
      </c>
      <c r="C7103" s="48" t="s">
        <v>6925</v>
      </c>
      <c r="D7103" s="50">
        <v>30.05</v>
      </c>
    </row>
    <row r="7104" spans="1:4" ht="13.5">
      <c r="A7104" s="49">
        <v>101359</v>
      </c>
      <c r="B7104" s="48" t="s">
        <v>21901</v>
      </c>
      <c r="C7104" s="48" t="s">
        <v>6925</v>
      </c>
      <c r="D7104" s="50">
        <v>39.6</v>
      </c>
    </row>
    <row r="7105" spans="1:4" ht="13.5">
      <c r="A7105" s="49">
        <v>101360</v>
      </c>
      <c r="B7105" s="48" t="s">
        <v>21902</v>
      </c>
      <c r="C7105" s="48" t="s">
        <v>6925</v>
      </c>
      <c r="D7105" s="50">
        <v>32.32</v>
      </c>
    </row>
    <row r="7106" spans="1:4" ht="13.5">
      <c r="A7106" s="49">
        <v>101361</v>
      </c>
      <c r="B7106" s="48" t="s">
        <v>21903</v>
      </c>
      <c r="C7106" s="48" t="s">
        <v>6925</v>
      </c>
      <c r="D7106" s="50">
        <v>41.16</v>
      </c>
    </row>
    <row r="7107" spans="1:4" ht="13.5">
      <c r="A7107" s="49">
        <v>101362</v>
      </c>
      <c r="B7107" s="48" t="s">
        <v>21904</v>
      </c>
      <c r="C7107" s="48" t="s">
        <v>6925</v>
      </c>
      <c r="D7107" s="50">
        <v>8.49</v>
      </c>
    </row>
    <row r="7108" spans="1:4" ht="13.5">
      <c r="A7108" s="49">
        <v>101363</v>
      </c>
      <c r="B7108" s="48" t="s">
        <v>21905</v>
      </c>
      <c r="C7108" s="48" t="s">
        <v>6925</v>
      </c>
      <c r="D7108" s="50">
        <v>23.31</v>
      </c>
    </row>
    <row r="7109" spans="1:4" ht="13.5">
      <c r="A7109" s="49">
        <v>101364</v>
      </c>
      <c r="B7109" s="48" t="s">
        <v>21906</v>
      </c>
      <c r="C7109" s="48" t="s">
        <v>6925</v>
      </c>
      <c r="D7109" s="50">
        <v>27.12</v>
      </c>
    </row>
    <row r="7110" spans="1:4" ht="13.5">
      <c r="A7110" s="49">
        <v>101365</v>
      </c>
      <c r="B7110" s="48" t="s">
        <v>21907</v>
      </c>
      <c r="C7110" s="48" t="s">
        <v>6925</v>
      </c>
      <c r="D7110" s="50">
        <v>26.62</v>
      </c>
    </row>
    <row r="7111" spans="1:4" ht="13.5">
      <c r="A7111" s="49">
        <v>101366</v>
      </c>
      <c r="B7111" s="48" t="s">
        <v>21908</v>
      </c>
      <c r="C7111" s="48" t="s">
        <v>6925</v>
      </c>
      <c r="D7111" s="50">
        <v>29</v>
      </c>
    </row>
    <row r="7112" spans="1:4" ht="13.5">
      <c r="A7112" s="49">
        <v>101367</v>
      </c>
      <c r="B7112" s="48" t="s">
        <v>21909</v>
      </c>
      <c r="C7112" s="48" t="s">
        <v>6925</v>
      </c>
      <c r="D7112" s="50">
        <v>28.9</v>
      </c>
    </row>
    <row r="7113" spans="1:4" ht="13.5">
      <c r="A7113" s="49">
        <v>101368</v>
      </c>
      <c r="B7113" s="48" t="s">
        <v>21910</v>
      </c>
      <c r="C7113" s="48" t="s">
        <v>6925</v>
      </c>
      <c r="D7113" s="50">
        <v>34.9</v>
      </c>
    </row>
    <row r="7114" spans="1:4" ht="13.5">
      <c r="A7114" s="49">
        <v>101369</v>
      </c>
      <c r="B7114" s="48" t="s">
        <v>21911</v>
      </c>
      <c r="C7114" s="48" t="s">
        <v>6925</v>
      </c>
      <c r="D7114" s="50">
        <v>32.659999999999997</v>
      </c>
    </row>
    <row r="7115" spans="1:4" ht="13.5">
      <c r="A7115" s="49">
        <v>101370</v>
      </c>
      <c r="B7115" s="48" t="s">
        <v>21912</v>
      </c>
      <c r="C7115" s="48" t="s">
        <v>6925</v>
      </c>
      <c r="D7115" s="50">
        <v>20.78</v>
      </c>
    </row>
    <row r="7116" spans="1:4" ht="13.5">
      <c r="A7116" s="49">
        <v>101371</v>
      </c>
      <c r="B7116" s="48" t="s">
        <v>21913</v>
      </c>
      <c r="C7116" s="48" t="s">
        <v>6925</v>
      </c>
      <c r="D7116" s="50">
        <v>28.51</v>
      </c>
    </row>
    <row r="7117" spans="1:4" ht="13.5">
      <c r="A7117" s="49">
        <v>101372</v>
      </c>
      <c r="B7117" s="48" t="s">
        <v>21914</v>
      </c>
      <c r="C7117" s="48" t="s">
        <v>6925</v>
      </c>
      <c r="D7117" s="50">
        <v>6.69</v>
      </c>
    </row>
    <row r="7118" spans="1:4" ht="13.5">
      <c r="A7118" s="49">
        <v>101373</v>
      </c>
      <c r="B7118" s="48" t="s">
        <v>21915</v>
      </c>
      <c r="C7118" s="48" t="s">
        <v>10</v>
      </c>
      <c r="D7118" s="50">
        <v>146.63999999999999</v>
      </c>
    </row>
    <row r="7119" spans="1:4" ht="13.5">
      <c r="A7119" s="49">
        <v>101374</v>
      </c>
      <c r="B7119" s="48" t="s">
        <v>6825</v>
      </c>
      <c r="C7119" s="48" t="s">
        <v>6925</v>
      </c>
      <c r="D7119" s="51">
        <v>3487.46</v>
      </c>
    </row>
    <row r="7120" spans="1:4" ht="13.5">
      <c r="A7120" s="49">
        <v>101375</v>
      </c>
      <c r="B7120" s="48" t="s">
        <v>21916</v>
      </c>
      <c r="C7120" s="48" t="s">
        <v>6925</v>
      </c>
      <c r="D7120" s="51">
        <v>3698.43</v>
      </c>
    </row>
    <row r="7121" spans="1:4" ht="13.5">
      <c r="A7121" s="49">
        <v>101376</v>
      </c>
      <c r="B7121" s="48" t="s">
        <v>21917</v>
      </c>
      <c r="C7121" s="48" t="s">
        <v>6925</v>
      </c>
      <c r="D7121" s="51">
        <v>3669.25</v>
      </c>
    </row>
    <row r="7122" spans="1:4" ht="13.5">
      <c r="A7122" s="49">
        <v>101377</v>
      </c>
      <c r="B7122" s="48" t="s">
        <v>6828</v>
      </c>
      <c r="C7122" s="48" t="s">
        <v>6925</v>
      </c>
      <c r="D7122" s="51">
        <v>3567.66</v>
      </c>
    </row>
    <row r="7123" spans="1:4" ht="13.5">
      <c r="A7123" s="49">
        <v>101378</v>
      </c>
      <c r="B7123" s="48" t="s">
        <v>7058</v>
      </c>
      <c r="C7123" s="48" t="s">
        <v>6925</v>
      </c>
      <c r="D7123" s="51">
        <v>3804.07</v>
      </c>
    </row>
    <row r="7124" spans="1:4" ht="13.5">
      <c r="A7124" s="49">
        <v>101379</v>
      </c>
      <c r="B7124" s="48" t="s">
        <v>21918</v>
      </c>
      <c r="C7124" s="48" t="s">
        <v>6925</v>
      </c>
      <c r="D7124" s="51">
        <v>3654.95</v>
      </c>
    </row>
    <row r="7125" spans="1:4" ht="13.5">
      <c r="A7125" s="49">
        <v>101380</v>
      </c>
      <c r="B7125" s="48" t="s">
        <v>6830</v>
      </c>
      <c r="C7125" s="48" t="s">
        <v>6925</v>
      </c>
      <c r="D7125" s="51">
        <v>3865.22</v>
      </c>
    </row>
    <row r="7126" spans="1:4" ht="13.5">
      <c r="A7126" s="49">
        <v>101381</v>
      </c>
      <c r="B7126" s="48" t="s">
        <v>6831</v>
      </c>
      <c r="C7126" s="48" t="s">
        <v>6925</v>
      </c>
      <c r="D7126" s="51">
        <v>4487.63</v>
      </c>
    </row>
    <row r="7127" spans="1:4" ht="13.5">
      <c r="A7127" s="49">
        <v>101382</v>
      </c>
      <c r="B7127" s="48" t="s">
        <v>21919</v>
      </c>
      <c r="C7127" s="48" t="s">
        <v>6925</v>
      </c>
      <c r="D7127" s="51">
        <v>5009.41</v>
      </c>
    </row>
    <row r="7128" spans="1:4" ht="13.5">
      <c r="A7128" s="49">
        <v>101383</v>
      </c>
      <c r="B7128" s="48" t="s">
        <v>7060</v>
      </c>
      <c r="C7128" s="48" t="s">
        <v>6925</v>
      </c>
      <c r="D7128" s="51">
        <v>3596.05</v>
      </c>
    </row>
    <row r="7129" spans="1:4" ht="13.5">
      <c r="A7129" s="49">
        <v>101384</v>
      </c>
      <c r="B7129" s="48" t="s">
        <v>6834</v>
      </c>
      <c r="C7129" s="48" t="s">
        <v>6925</v>
      </c>
      <c r="D7129" s="51">
        <v>3094.15</v>
      </c>
    </row>
    <row r="7130" spans="1:4" ht="13.5">
      <c r="A7130" s="49">
        <v>101385</v>
      </c>
      <c r="B7130" s="48" t="s">
        <v>21920</v>
      </c>
      <c r="C7130" s="48" t="s">
        <v>6925</v>
      </c>
      <c r="D7130" s="51">
        <v>4230.3</v>
      </c>
    </row>
    <row r="7131" spans="1:4" ht="13.5">
      <c r="A7131" s="49">
        <v>101386</v>
      </c>
      <c r="B7131" s="48" t="s">
        <v>6836</v>
      </c>
      <c r="C7131" s="48" t="s">
        <v>6925</v>
      </c>
      <c r="D7131" s="51">
        <v>3740.35</v>
      </c>
    </row>
    <row r="7132" spans="1:4" ht="13.5">
      <c r="A7132" s="49">
        <v>101387</v>
      </c>
      <c r="B7132" s="48" t="s">
        <v>21921</v>
      </c>
      <c r="C7132" s="48" t="s">
        <v>6925</v>
      </c>
      <c r="D7132" s="51">
        <v>3246.36</v>
      </c>
    </row>
    <row r="7133" spans="1:4" ht="13.5">
      <c r="A7133" s="49">
        <v>101388</v>
      </c>
      <c r="B7133" s="48" t="s">
        <v>6838</v>
      </c>
      <c r="C7133" s="48" t="s">
        <v>6925</v>
      </c>
      <c r="D7133" s="51">
        <v>3403.83</v>
      </c>
    </row>
    <row r="7134" spans="1:4" ht="13.5">
      <c r="A7134" s="49">
        <v>101389</v>
      </c>
      <c r="B7134" s="48" t="s">
        <v>6839</v>
      </c>
      <c r="C7134" s="48" t="s">
        <v>6925</v>
      </c>
      <c r="D7134" s="51">
        <v>2190.71</v>
      </c>
    </row>
    <row r="7135" spans="1:4" ht="13.5">
      <c r="A7135" s="49">
        <v>101390</v>
      </c>
      <c r="B7135" s="48" t="s">
        <v>21922</v>
      </c>
      <c r="C7135" s="48" t="s">
        <v>6925</v>
      </c>
      <c r="D7135" s="51">
        <v>6444.58</v>
      </c>
    </row>
    <row r="7136" spans="1:4" ht="13.5">
      <c r="A7136" s="49">
        <v>101391</v>
      </c>
      <c r="B7136" s="48" t="s">
        <v>21923</v>
      </c>
      <c r="C7136" s="48" t="s">
        <v>6925</v>
      </c>
      <c r="D7136" s="51">
        <v>4663.49</v>
      </c>
    </row>
    <row r="7137" spans="1:4" ht="13.5">
      <c r="A7137" s="49">
        <v>101392</v>
      </c>
      <c r="B7137" s="48" t="s">
        <v>21924</v>
      </c>
      <c r="C7137" s="48" t="s">
        <v>6925</v>
      </c>
      <c r="D7137" s="51">
        <v>4654.6400000000003</v>
      </c>
    </row>
    <row r="7138" spans="1:4" ht="13.5">
      <c r="A7138" s="49">
        <v>101394</v>
      </c>
      <c r="B7138" s="48" t="s">
        <v>6844</v>
      </c>
      <c r="C7138" s="48" t="s">
        <v>6925</v>
      </c>
      <c r="D7138" s="51">
        <v>4065.35</v>
      </c>
    </row>
    <row r="7139" spans="1:4" ht="13.5">
      <c r="A7139" s="49">
        <v>101395</v>
      </c>
      <c r="B7139" s="48" t="s">
        <v>21925</v>
      </c>
      <c r="C7139" s="48" t="s">
        <v>6925</v>
      </c>
      <c r="D7139" s="51">
        <v>3796.58</v>
      </c>
    </row>
    <row r="7140" spans="1:4" ht="13.5">
      <c r="A7140" s="49">
        <v>101396</v>
      </c>
      <c r="B7140" s="48" t="s">
        <v>21926</v>
      </c>
      <c r="C7140" s="48" t="s">
        <v>6925</v>
      </c>
      <c r="D7140" s="51">
        <v>3969.74</v>
      </c>
    </row>
    <row r="7141" spans="1:4" ht="13.5">
      <c r="A7141" s="49">
        <v>101397</v>
      </c>
      <c r="B7141" s="48" t="s">
        <v>6846</v>
      </c>
      <c r="C7141" s="48" t="s">
        <v>6925</v>
      </c>
      <c r="D7141" s="51">
        <v>4500.24</v>
      </c>
    </row>
    <row r="7142" spans="1:4" ht="13.5">
      <c r="A7142" s="49">
        <v>101398</v>
      </c>
      <c r="B7142" s="48" t="s">
        <v>21927</v>
      </c>
      <c r="C7142" s="48" t="s">
        <v>6925</v>
      </c>
      <c r="D7142" s="51">
        <v>3574.09</v>
      </c>
    </row>
    <row r="7143" spans="1:4" ht="13.5">
      <c r="A7143" s="49">
        <v>101399</v>
      </c>
      <c r="B7143" s="48" t="s">
        <v>6848</v>
      </c>
      <c r="C7143" s="48" t="s">
        <v>6925</v>
      </c>
      <c r="D7143" s="51">
        <v>4758.03</v>
      </c>
    </row>
    <row r="7144" spans="1:4" ht="13.5">
      <c r="A7144" s="49">
        <v>101400</v>
      </c>
      <c r="B7144" s="48" t="s">
        <v>21928</v>
      </c>
      <c r="C7144" s="48" t="s">
        <v>6925</v>
      </c>
      <c r="D7144" s="51">
        <v>5121.8</v>
      </c>
    </row>
    <row r="7145" spans="1:4" ht="13.5">
      <c r="A7145" s="49">
        <v>101401</v>
      </c>
      <c r="B7145" s="48" t="s">
        <v>6850</v>
      </c>
      <c r="C7145" s="48" t="s">
        <v>6925</v>
      </c>
      <c r="D7145" s="51">
        <v>5455.4</v>
      </c>
    </row>
    <row r="7146" spans="1:4" ht="13.5">
      <c r="A7146" s="49">
        <v>101402</v>
      </c>
      <c r="B7146" s="48" t="s">
        <v>6851</v>
      </c>
      <c r="C7146" s="48" t="s">
        <v>6925</v>
      </c>
      <c r="D7146" s="51">
        <v>3923.15</v>
      </c>
    </row>
    <row r="7147" spans="1:4" ht="13.5">
      <c r="A7147" s="49">
        <v>101403</v>
      </c>
      <c r="B7147" s="48" t="s">
        <v>21915</v>
      </c>
      <c r="C7147" s="48" t="s">
        <v>6925</v>
      </c>
      <c r="D7147" s="51">
        <v>25748.76</v>
      </c>
    </row>
    <row r="7148" spans="1:4" ht="13.5">
      <c r="A7148" s="49">
        <v>101404</v>
      </c>
      <c r="B7148" s="48" t="s">
        <v>6922</v>
      </c>
      <c r="C7148" s="48" t="s">
        <v>6925</v>
      </c>
      <c r="D7148" s="51">
        <v>17776.09</v>
      </c>
    </row>
    <row r="7149" spans="1:4" ht="13.5">
      <c r="A7149" s="49">
        <v>101405</v>
      </c>
      <c r="B7149" s="48" t="s">
        <v>6923</v>
      </c>
      <c r="C7149" s="48" t="s">
        <v>6925</v>
      </c>
      <c r="D7149" s="51">
        <v>16911.5</v>
      </c>
    </row>
    <row r="7150" spans="1:4" ht="13.5">
      <c r="A7150" s="49">
        <v>101407</v>
      </c>
      <c r="B7150" s="48" t="s">
        <v>6852</v>
      </c>
      <c r="C7150" s="48" t="s">
        <v>6925</v>
      </c>
      <c r="D7150" s="51">
        <v>3623.58</v>
      </c>
    </row>
    <row r="7151" spans="1:4" ht="13.5">
      <c r="A7151" s="49">
        <v>101408</v>
      </c>
      <c r="B7151" s="48" t="s">
        <v>6853</v>
      </c>
      <c r="C7151" s="48" t="s">
        <v>6925</v>
      </c>
      <c r="D7151" s="51">
        <v>4267.3500000000004</v>
      </c>
    </row>
    <row r="7152" spans="1:4" ht="13.5">
      <c r="A7152" s="49">
        <v>101409</v>
      </c>
      <c r="B7152" s="48" t="s">
        <v>21929</v>
      </c>
      <c r="C7152" s="48" t="s">
        <v>6925</v>
      </c>
      <c r="D7152" s="51">
        <v>4535.72</v>
      </c>
    </row>
    <row r="7153" spans="1:4" ht="13.5">
      <c r="A7153" s="49">
        <v>101410</v>
      </c>
      <c r="B7153" s="48" t="s">
        <v>6905</v>
      </c>
      <c r="C7153" s="48" t="s">
        <v>6925</v>
      </c>
      <c r="D7153" s="51">
        <v>4368.75</v>
      </c>
    </row>
    <row r="7154" spans="1:4" ht="13.5">
      <c r="A7154" s="49">
        <v>101411</v>
      </c>
      <c r="B7154" s="48" t="s">
        <v>21930</v>
      </c>
      <c r="C7154" s="48" t="s">
        <v>6925</v>
      </c>
      <c r="D7154" s="51">
        <v>2967.32</v>
      </c>
    </row>
    <row r="7155" spans="1:4" ht="13.5">
      <c r="A7155" s="49">
        <v>101412</v>
      </c>
      <c r="B7155" s="48" t="s">
        <v>21931</v>
      </c>
      <c r="C7155" s="48" t="s">
        <v>6925</v>
      </c>
      <c r="D7155" s="51">
        <v>4904.88</v>
      </c>
    </row>
    <row r="7156" spans="1:4" ht="13.5">
      <c r="A7156" s="49">
        <v>101413</v>
      </c>
      <c r="B7156" s="48" t="s">
        <v>6855</v>
      </c>
      <c r="C7156" s="48" t="s">
        <v>6925</v>
      </c>
      <c r="D7156" s="51">
        <v>4581</v>
      </c>
    </row>
    <row r="7157" spans="1:4" ht="13.5">
      <c r="A7157" s="49">
        <v>101414</v>
      </c>
      <c r="B7157" s="48" t="s">
        <v>21932</v>
      </c>
      <c r="C7157" s="48" t="s">
        <v>6925</v>
      </c>
      <c r="D7157" s="51">
        <v>4662.53</v>
      </c>
    </row>
    <row r="7158" spans="1:4" ht="13.5">
      <c r="A7158" s="49">
        <v>101415</v>
      </c>
      <c r="B7158" s="48" t="s">
        <v>21933</v>
      </c>
      <c r="C7158" s="48" t="s">
        <v>6925</v>
      </c>
      <c r="D7158" s="51">
        <v>5795.73</v>
      </c>
    </row>
    <row r="7159" spans="1:4" ht="13.5">
      <c r="A7159" s="49">
        <v>101416</v>
      </c>
      <c r="B7159" s="48" t="s">
        <v>7065</v>
      </c>
      <c r="C7159" s="48" t="s">
        <v>6925</v>
      </c>
      <c r="D7159" s="51">
        <v>4346.3599999999997</v>
      </c>
    </row>
    <row r="7160" spans="1:4" ht="13.5">
      <c r="A7160" s="49">
        <v>101417</v>
      </c>
      <c r="B7160" s="48" t="s">
        <v>21934</v>
      </c>
      <c r="C7160" s="48" t="s">
        <v>6925</v>
      </c>
      <c r="D7160" s="51">
        <v>4425.01</v>
      </c>
    </row>
    <row r="7161" spans="1:4" ht="13.5">
      <c r="A7161" s="49">
        <v>101418</v>
      </c>
      <c r="B7161" s="48" t="s">
        <v>21935</v>
      </c>
      <c r="C7161" s="48" t="s">
        <v>6925</v>
      </c>
      <c r="D7161" s="51">
        <v>4646.26</v>
      </c>
    </row>
    <row r="7162" spans="1:4" ht="13.5">
      <c r="A7162" s="49">
        <v>101419</v>
      </c>
      <c r="B7162" s="48" t="s">
        <v>21936</v>
      </c>
      <c r="C7162" s="48" t="s">
        <v>6925</v>
      </c>
      <c r="D7162" s="51">
        <v>6310.72</v>
      </c>
    </row>
    <row r="7163" spans="1:4" ht="13.5">
      <c r="A7163" s="49">
        <v>101420</v>
      </c>
      <c r="B7163" s="48" t="s">
        <v>21937</v>
      </c>
      <c r="C7163" s="48" t="s">
        <v>6925</v>
      </c>
      <c r="D7163" s="51">
        <v>4270.5200000000004</v>
      </c>
    </row>
    <row r="7164" spans="1:4" ht="13.5">
      <c r="A7164" s="49">
        <v>101421</v>
      </c>
      <c r="B7164" s="48" t="s">
        <v>21938</v>
      </c>
      <c r="C7164" s="48" t="s">
        <v>6925</v>
      </c>
      <c r="D7164" s="51">
        <v>5638.75</v>
      </c>
    </row>
    <row r="7165" spans="1:4" ht="13.5">
      <c r="A7165" s="49">
        <v>101422</v>
      </c>
      <c r="B7165" s="48" t="s">
        <v>21939</v>
      </c>
      <c r="C7165" s="48" t="s">
        <v>6925</v>
      </c>
      <c r="D7165" s="51">
        <v>4342.84</v>
      </c>
    </row>
    <row r="7166" spans="1:4" ht="13.5">
      <c r="A7166" s="49">
        <v>101423</v>
      </c>
      <c r="B7166" s="48" t="s">
        <v>21940</v>
      </c>
      <c r="C7166" s="48" t="s">
        <v>6925</v>
      </c>
      <c r="D7166" s="51">
        <v>4988.51</v>
      </c>
    </row>
    <row r="7167" spans="1:4" ht="13.5">
      <c r="A7167" s="49">
        <v>101424</v>
      </c>
      <c r="B7167" s="48" t="s">
        <v>21941</v>
      </c>
      <c r="C7167" s="48" t="s">
        <v>6925</v>
      </c>
      <c r="D7167" s="51">
        <v>5055.7</v>
      </c>
    </row>
    <row r="7168" spans="1:4" ht="13.5">
      <c r="A7168" s="49">
        <v>101425</v>
      </c>
      <c r="B7168" s="48" t="s">
        <v>21942</v>
      </c>
      <c r="C7168" s="48" t="s">
        <v>6925</v>
      </c>
      <c r="D7168" s="51">
        <v>2683.25</v>
      </c>
    </row>
    <row r="7169" spans="1:4" ht="13.5">
      <c r="A7169" s="49">
        <v>101426</v>
      </c>
      <c r="B7169" s="48" t="s">
        <v>21943</v>
      </c>
      <c r="C7169" s="48" t="s">
        <v>6925</v>
      </c>
      <c r="D7169" s="51">
        <v>5256.63</v>
      </c>
    </row>
    <row r="7170" spans="1:4" ht="13.5">
      <c r="A7170" s="49">
        <v>101427</v>
      </c>
      <c r="B7170" s="48" t="s">
        <v>6868</v>
      </c>
      <c r="C7170" s="48" t="s">
        <v>6925</v>
      </c>
      <c r="D7170" s="51">
        <v>4131.62</v>
      </c>
    </row>
    <row r="7171" spans="1:4" ht="13.5">
      <c r="A7171" s="49">
        <v>101428</v>
      </c>
      <c r="B7171" s="48" t="s">
        <v>21944</v>
      </c>
      <c r="C7171" s="48" t="s">
        <v>6925</v>
      </c>
      <c r="D7171" s="51">
        <v>4021.4</v>
      </c>
    </row>
    <row r="7172" spans="1:4" ht="13.5">
      <c r="A7172" s="49">
        <v>101429</v>
      </c>
      <c r="B7172" s="48" t="s">
        <v>21945</v>
      </c>
      <c r="C7172" s="48" t="s">
        <v>6925</v>
      </c>
      <c r="D7172" s="51">
        <v>4660.32</v>
      </c>
    </row>
    <row r="7173" spans="1:4" ht="13.5">
      <c r="A7173" s="49">
        <v>101430</v>
      </c>
      <c r="B7173" s="48" t="s">
        <v>21946</v>
      </c>
      <c r="C7173" s="48" t="s">
        <v>6925</v>
      </c>
      <c r="D7173" s="51">
        <v>4858.9799999999996</v>
      </c>
    </row>
    <row r="7174" spans="1:4" ht="13.5">
      <c r="A7174" s="49">
        <v>101431</v>
      </c>
      <c r="B7174" s="48" t="s">
        <v>6871</v>
      </c>
      <c r="C7174" s="48" t="s">
        <v>6925</v>
      </c>
      <c r="D7174" s="51">
        <v>5237.7299999999996</v>
      </c>
    </row>
    <row r="7175" spans="1:4" ht="13.5">
      <c r="A7175" s="49">
        <v>101432</v>
      </c>
      <c r="B7175" s="48" t="s">
        <v>21947</v>
      </c>
      <c r="C7175" s="48" t="s">
        <v>6925</v>
      </c>
      <c r="D7175" s="51">
        <v>4366.3100000000004</v>
      </c>
    </row>
    <row r="7176" spans="1:4" ht="13.5">
      <c r="A7176" s="49">
        <v>101433</v>
      </c>
      <c r="B7176" s="48" t="s">
        <v>6873</v>
      </c>
      <c r="C7176" s="48" t="s">
        <v>6925</v>
      </c>
      <c r="D7176" s="51">
        <v>7298.85</v>
      </c>
    </row>
    <row r="7177" spans="1:4" ht="13.5">
      <c r="A7177" s="49">
        <v>101434</v>
      </c>
      <c r="B7177" s="48" t="s">
        <v>21948</v>
      </c>
      <c r="C7177" s="48" t="s">
        <v>6925</v>
      </c>
      <c r="D7177" s="51">
        <v>4791.6000000000004</v>
      </c>
    </row>
    <row r="7178" spans="1:4" ht="13.5">
      <c r="A7178" s="49">
        <v>101435</v>
      </c>
      <c r="B7178" s="48" t="s">
        <v>21949</v>
      </c>
      <c r="C7178" s="48" t="s">
        <v>6925</v>
      </c>
      <c r="D7178" s="51">
        <v>5008.32</v>
      </c>
    </row>
    <row r="7179" spans="1:4" ht="13.5">
      <c r="A7179" s="49">
        <v>101436</v>
      </c>
      <c r="B7179" s="48" t="s">
        <v>6875</v>
      </c>
      <c r="C7179" s="48" t="s">
        <v>6925</v>
      </c>
      <c r="D7179" s="51">
        <v>2963.38</v>
      </c>
    </row>
    <row r="7180" spans="1:4" ht="13.5">
      <c r="A7180" s="49">
        <v>101437</v>
      </c>
      <c r="B7180" s="48" t="s">
        <v>21950</v>
      </c>
      <c r="C7180" s="48" t="s">
        <v>6925</v>
      </c>
      <c r="D7180" s="51">
        <v>4925.1000000000004</v>
      </c>
    </row>
    <row r="7181" spans="1:4" ht="13.5">
      <c r="A7181" s="49">
        <v>101438</v>
      </c>
      <c r="B7181" s="48" t="s">
        <v>6877</v>
      </c>
      <c r="C7181" s="48" t="s">
        <v>6925</v>
      </c>
      <c r="D7181" s="51">
        <v>5819.96</v>
      </c>
    </row>
    <row r="7182" spans="1:4" ht="13.5">
      <c r="A7182" s="49">
        <v>101439</v>
      </c>
      <c r="B7182" s="48" t="s">
        <v>6878</v>
      </c>
      <c r="C7182" s="48" t="s">
        <v>6925</v>
      </c>
      <c r="D7182" s="51">
        <v>4785.1899999999996</v>
      </c>
    </row>
    <row r="7183" spans="1:4" ht="13.5">
      <c r="A7183" s="49">
        <v>101440</v>
      </c>
      <c r="B7183" s="48" t="s">
        <v>21951</v>
      </c>
      <c r="C7183" s="48" t="s">
        <v>6925</v>
      </c>
      <c r="D7183" s="51">
        <v>5052.93</v>
      </c>
    </row>
    <row r="7184" spans="1:4" ht="13.5">
      <c r="A7184" s="49">
        <v>101441</v>
      </c>
      <c r="B7184" s="48" t="s">
        <v>6880</v>
      </c>
      <c r="C7184" s="48" t="s">
        <v>6925</v>
      </c>
      <c r="D7184" s="51">
        <v>4047.04</v>
      </c>
    </row>
    <row r="7185" spans="1:4" ht="13.5">
      <c r="A7185" s="49">
        <v>101442</v>
      </c>
      <c r="B7185" s="48" t="s">
        <v>21952</v>
      </c>
      <c r="C7185" s="48" t="s">
        <v>6925</v>
      </c>
      <c r="D7185" s="51">
        <v>5427.78</v>
      </c>
    </row>
    <row r="7186" spans="1:4" ht="13.5">
      <c r="A7186" s="49">
        <v>101443</v>
      </c>
      <c r="B7186" s="48" t="s">
        <v>6882</v>
      </c>
      <c r="C7186" s="48" t="s">
        <v>6925</v>
      </c>
      <c r="D7186" s="51">
        <v>4477.6499999999996</v>
      </c>
    </row>
    <row r="7187" spans="1:4" ht="13.5">
      <c r="A7187" s="49">
        <v>101444</v>
      </c>
      <c r="B7187" s="48" t="s">
        <v>6885</v>
      </c>
      <c r="C7187" s="48" t="s">
        <v>6925</v>
      </c>
      <c r="D7187" s="51">
        <v>4662.54</v>
      </c>
    </row>
    <row r="7188" spans="1:4" ht="13.5">
      <c r="A7188" s="49">
        <v>101445</v>
      </c>
      <c r="B7188" s="48" t="s">
        <v>6886</v>
      </c>
      <c r="C7188" s="48" t="s">
        <v>6925</v>
      </c>
      <c r="D7188" s="51">
        <v>4507.33</v>
      </c>
    </row>
    <row r="7189" spans="1:4" ht="13.5">
      <c r="A7189" s="49">
        <v>101446</v>
      </c>
      <c r="B7189" s="48" t="s">
        <v>6887</v>
      </c>
      <c r="C7189" s="48" t="s">
        <v>6925</v>
      </c>
      <c r="D7189" s="51">
        <v>4731.18</v>
      </c>
    </row>
    <row r="7190" spans="1:4" ht="13.5">
      <c r="A7190" s="49">
        <v>101447</v>
      </c>
      <c r="B7190" s="48" t="s">
        <v>6888</v>
      </c>
      <c r="C7190" s="48" t="s">
        <v>6925</v>
      </c>
      <c r="D7190" s="51">
        <v>5789.73</v>
      </c>
    </row>
    <row r="7191" spans="1:4" ht="13.5">
      <c r="A7191" s="49">
        <v>101448</v>
      </c>
      <c r="B7191" s="48" t="s">
        <v>6889</v>
      </c>
      <c r="C7191" s="48" t="s">
        <v>6925</v>
      </c>
      <c r="D7191" s="51">
        <v>4983.1499999999996</v>
      </c>
    </row>
    <row r="7192" spans="1:4" ht="13.5">
      <c r="A7192" s="49">
        <v>101449</v>
      </c>
      <c r="B7192" s="48" t="s">
        <v>21953</v>
      </c>
      <c r="C7192" s="48" t="s">
        <v>6925</v>
      </c>
      <c r="D7192" s="51">
        <v>4163.2</v>
      </c>
    </row>
    <row r="7193" spans="1:4" ht="13.5">
      <c r="A7193" s="49">
        <v>101450</v>
      </c>
      <c r="B7193" s="48" t="s">
        <v>6892</v>
      </c>
      <c r="C7193" s="48" t="s">
        <v>6925</v>
      </c>
      <c r="D7193" s="51">
        <v>3729.38</v>
      </c>
    </row>
    <row r="7194" spans="1:4" ht="13.5">
      <c r="A7194" s="49">
        <v>101451</v>
      </c>
      <c r="B7194" s="48" t="s">
        <v>6893</v>
      </c>
      <c r="C7194" s="48" t="s">
        <v>6925</v>
      </c>
      <c r="D7194" s="51">
        <v>4487.63</v>
      </c>
    </row>
    <row r="7195" spans="1:4" ht="13.5">
      <c r="A7195" s="49">
        <v>101452</v>
      </c>
      <c r="B7195" s="48" t="s">
        <v>21954</v>
      </c>
      <c r="C7195" s="48" t="s">
        <v>6925</v>
      </c>
      <c r="D7195" s="51">
        <v>3256.56</v>
      </c>
    </row>
    <row r="7196" spans="1:4" ht="13.5">
      <c r="A7196" s="49">
        <v>101453</v>
      </c>
      <c r="B7196" s="48" t="s">
        <v>6895</v>
      </c>
      <c r="C7196" s="48" t="s">
        <v>6925</v>
      </c>
      <c r="D7196" s="51">
        <v>5112.21</v>
      </c>
    </row>
    <row r="7197" spans="1:4" ht="13.5">
      <c r="A7197" s="49">
        <v>101454</v>
      </c>
      <c r="B7197" s="48" t="s">
        <v>21955</v>
      </c>
      <c r="C7197" s="48" t="s">
        <v>6925</v>
      </c>
      <c r="D7197" s="51">
        <v>5449.4</v>
      </c>
    </row>
    <row r="7198" spans="1:4" ht="13.5">
      <c r="A7198" s="49">
        <v>101455</v>
      </c>
      <c r="B7198" s="48" t="s">
        <v>6897</v>
      </c>
      <c r="C7198" s="48" t="s">
        <v>6925</v>
      </c>
      <c r="D7198" s="51">
        <v>5259.21</v>
      </c>
    </row>
    <row r="7199" spans="1:4" ht="13.5">
      <c r="A7199" s="49">
        <v>101456</v>
      </c>
      <c r="B7199" s="48" t="s">
        <v>21956</v>
      </c>
      <c r="C7199" s="48" t="s">
        <v>6925</v>
      </c>
      <c r="D7199" s="51">
        <v>7182.72</v>
      </c>
    </row>
    <row r="7200" spans="1:4" ht="13.5">
      <c r="A7200" s="49">
        <v>101457</v>
      </c>
      <c r="B7200" s="48" t="s">
        <v>21957</v>
      </c>
      <c r="C7200" s="48" t="s">
        <v>6925</v>
      </c>
      <c r="D7200" s="51">
        <v>5613.71</v>
      </c>
    </row>
    <row r="7201" spans="1:4" ht="13.5">
      <c r="A7201" s="49">
        <v>101458</v>
      </c>
      <c r="B7201" s="48" t="s">
        <v>21958</v>
      </c>
      <c r="C7201" s="48" t="s">
        <v>6925</v>
      </c>
      <c r="D7201" s="51">
        <v>4107.53</v>
      </c>
    </row>
    <row r="7202" spans="1:4" ht="13.5">
      <c r="A7202" s="49">
        <v>101459</v>
      </c>
      <c r="B7202" s="48" t="s">
        <v>6902</v>
      </c>
      <c r="C7202" s="48" t="s">
        <v>6925</v>
      </c>
      <c r="D7202" s="51">
        <v>4342.72</v>
      </c>
    </row>
    <row r="7203" spans="1:4" ht="13.5">
      <c r="A7203" s="49">
        <v>101460</v>
      </c>
      <c r="B7203" s="48" t="s">
        <v>7046</v>
      </c>
      <c r="C7203" s="48" t="s">
        <v>6925</v>
      </c>
      <c r="D7203" s="51">
        <v>3324.23</v>
      </c>
    </row>
  </sheetData>
  <autoFilter ref="C1:C7203"/>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M303"/>
  <sheetViews>
    <sheetView view="pageBreakPreview" topLeftCell="A276" zoomScaleNormal="100" zoomScaleSheetLayoutView="100" workbookViewId="0">
      <selection activeCell="F318" sqref="F318"/>
    </sheetView>
  </sheetViews>
  <sheetFormatPr defaultRowHeight="12.75"/>
  <cols>
    <col min="1" max="1" width="5.625" style="76" customWidth="1"/>
    <col min="2" max="2" width="7.625" style="77" customWidth="1"/>
    <col min="3" max="3" width="8.625" style="77" customWidth="1"/>
    <col min="4" max="4" width="30.625" style="78" customWidth="1"/>
    <col min="5" max="5" width="5.625" style="77" customWidth="1"/>
    <col min="6" max="6" width="8.625" style="77" customWidth="1"/>
    <col min="7" max="8" width="8.625" style="79" customWidth="1"/>
    <col min="9" max="9" width="10.625" style="217" customWidth="1"/>
    <col min="10" max="10" width="7.625" style="185" customWidth="1"/>
    <col min="11" max="16384" width="9" style="80"/>
  </cols>
  <sheetData>
    <row r="1" spans="1:13" s="52" customFormat="1" ht="30" customHeight="1">
      <c r="A1" s="366" t="s">
        <v>19764</v>
      </c>
      <c r="B1" s="366"/>
      <c r="C1" s="366"/>
      <c r="D1" s="366"/>
      <c r="E1" s="366"/>
      <c r="F1" s="366"/>
      <c r="G1" s="366"/>
      <c r="H1" s="366"/>
      <c r="I1" s="366"/>
      <c r="J1" s="366"/>
    </row>
    <row r="2" spans="1:13" s="52" customFormat="1" ht="30" customHeight="1">
      <c r="A2" s="372" t="s">
        <v>982</v>
      </c>
      <c r="B2" s="372"/>
      <c r="C2" s="374" t="str">
        <f>OBRA</f>
        <v>RESTAURAÇÃO CASARÃO MADAME ALBERTINA HOLZ</v>
      </c>
      <c r="D2" s="374"/>
      <c r="E2" s="374"/>
      <c r="F2" s="374"/>
      <c r="G2" s="214" t="s">
        <v>1012</v>
      </c>
      <c r="H2" s="223" t="s">
        <v>28447</v>
      </c>
      <c r="I2" s="187" t="s">
        <v>30</v>
      </c>
      <c r="J2" s="188">
        <f>BDI</f>
        <v>0.25</v>
      </c>
    </row>
    <row r="3" spans="1:13" s="52" customFormat="1" ht="30" customHeight="1">
      <c r="A3" s="372" t="s">
        <v>19670</v>
      </c>
      <c r="B3" s="372"/>
      <c r="C3" s="373" t="str">
        <f>BDI!B4</f>
        <v>Avenida Rio Doce, quadra 20E, lote 1, Centro - Baixo Guandu/ ES</v>
      </c>
      <c r="D3" s="373"/>
      <c r="E3" s="373"/>
      <c r="F3" s="373"/>
      <c r="G3" s="370" t="s">
        <v>19675</v>
      </c>
      <c r="H3" s="371"/>
      <c r="I3" s="364" t="s">
        <v>19762</v>
      </c>
      <c r="J3" s="365"/>
    </row>
    <row r="4" spans="1:13" ht="15" customHeight="1">
      <c r="F4" s="189"/>
      <c r="H4" s="190"/>
      <c r="I4" s="191"/>
      <c r="M4" s="52"/>
    </row>
    <row r="5" spans="1:13" ht="45" customHeight="1">
      <c r="A5" s="192" t="s">
        <v>1013</v>
      </c>
      <c r="B5" s="192" t="s">
        <v>1014</v>
      </c>
      <c r="C5" s="192" t="s">
        <v>31</v>
      </c>
      <c r="D5" s="193" t="s">
        <v>1015</v>
      </c>
      <c r="E5" s="192" t="s">
        <v>32</v>
      </c>
      <c r="F5" s="192" t="s">
        <v>1016</v>
      </c>
      <c r="G5" s="195" t="s">
        <v>19672</v>
      </c>
      <c r="H5" s="194" t="s">
        <v>19691</v>
      </c>
      <c r="I5" s="195" t="s">
        <v>19677</v>
      </c>
      <c r="J5" s="193" t="s">
        <v>19761</v>
      </c>
    </row>
    <row r="6" spans="1:13">
      <c r="A6" s="196" t="s">
        <v>19657</v>
      </c>
      <c r="B6" s="197"/>
      <c r="C6" s="198"/>
      <c r="D6" s="199" t="s">
        <v>1017</v>
      </c>
      <c r="E6" s="200"/>
      <c r="F6" s="201"/>
      <c r="G6" s="202"/>
      <c r="H6" s="202"/>
      <c r="I6" s="203">
        <f>SUBTOTAL(9,I7:I15)</f>
        <v>61479.729999999996</v>
      </c>
      <c r="J6" s="224">
        <f>SUBTOTAL(9,J7:J15)</f>
        <v>1</v>
      </c>
    </row>
    <row r="7" spans="1:13" ht="25.5">
      <c r="A7" s="204" t="s">
        <v>19658</v>
      </c>
      <c r="B7" s="205" t="s">
        <v>26583</v>
      </c>
      <c r="C7" s="206">
        <v>20305</v>
      </c>
      <c r="D7" s="207" t="str">
        <f>IFERROR(PROPER(
IF($B7="DER-ES",INDEX('CDER-ES'!$B:$B,MATCH($C7,'CDER-ES'!$A:$A,0)),
IF($B7="SINAPI",INDEX(CSINAPI!$B:$B,MATCH($C7,CSINAPI!$A:$A,0)),
IF($B7="CESAN",INDEX(CCESAN!$B:$B,MATCH($C7,CCESAN!$A:$A,0)),
IF($B7="SCORIO",INDEX(CSCORIO!$B:$B,MATCH($C7,CSCORIO!$A:$A,0)),
IF($B7="MERC",INDEX(MERCADO!$B:$B,MATCH($C7,MERCADO!$A:$A,0)),
IF($B7="COMP",INDEX(COMPOSICAO!$B:$B,MATCH($C7,COMPOSICAO!$A:$A,0)),
""))))))),"*Verificar código*")</f>
        <v>Placa De Obra Nas Dimensões De 2.0 X 4.0 M, Padrão Der</v>
      </c>
      <c r="E7" s="200" t="str">
        <f>IFERROR(LOWER(
IF($B7="DER-ES",INDEX('CDER-ES'!$C:$C,MATCH($C7,'CDER-ES'!$A:$A,0)),
IF($B7="SINAPI",INDEX(CSINAPI!$C:$C,MATCH($C7,CSINAPI!$A:$A,0)),
IF($B7="CESAN",INDEX(CCESAN!$C:$C,MATCH($C7,CCESAN!$A:$A,0)),
IF($B7="SCORIO",INDEX(CSCORIO!$A:$A,MATCH($C7,CSCORIO!#REF!,0)),
IF($B7="MERC",INDEX(MERCADO!$D:$D,MATCH($C7,MERCADO!$A:$A,0)),
IF($B7="COMP",INDEX(COMPOSICAO!$G:$G,MATCH($C7,COMPOSICAO!$A:$A,0)),
""))))))),"")</f>
        <v>m²</v>
      </c>
      <c r="F7" s="208">
        <f>VLOOKUP(A7,'MEMÓRIA DE CÁLCULO'!A:H,8,0)</f>
        <v>8</v>
      </c>
      <c r="G7" s="202">
        <f>IFERROR(
IF($B7="DER-ES",INDEX('CDER-ES'!$D:$D,MATCH($C7,'CDER-ES'!$A:$A,0)),
IF($B7="SINAPI",INDEX(CSINAPI!$D:$D,MATCH($C7,CSINAPI!$A:$A,0)),
IF($B7="CESAN",INDEX(CCESAN!$D:$D,MATCH($C7,CCESAN!$A:$A,0)),
IF($B7="SCORIO",INDEX(CSCORIO!$B:$B,MATCH($C7,CSCORIO!#REF!,0)),
IF($B7="MERC",INDEX(MERCADO!$E:$E,MATCH($C7,MERCADO!$A:$A,0)),
IF($B7="COMP",INDEX(COMPOSICAO!$H:$H,MATCH($C7,COMPOSICAO!$A:$A,0)),
0)))))),0)</f>
        <v>269.31</v>
      </c>
      <c r="H7" s="202">
        <f t="shared" ref="H7:H12" si="0">ROUND(G7*(1+$J$2),2)</f>
        <v>336.64</v>
      </c>
      <c r="I7" s="209">
        <f t="shared" ref="I7:I12" si="1">ROUND($H7*F7,2)</f>
        <v>2693.12</v>
      </c>
      <c r="J7" s="225">
        <f>I7/I$6</f>
        <v>4.3805006951071514E-2</v>
      </c>
    </row>
    <row r="8" spans="1:13" ht="25.5">
      <c r="A8" s="204" t="s">
        <v>19659</v>
      </c>
      <c r="B8" s="205" t="s">
        <v>1019</v>
      </c>
      <c r="C8" s="205">
        <v>98459</v>
      </c>
      <c r="D8" s="207" t="str">
        <f>IFERROR(PROPER(
IF($B8="DER-ES",INDEX('CDER-ES'!$B:$B,MATCH($C8,'CDER-ES'!$A:$A,0)),
IF($B8="SINAPI",INDEX(CSINAPI!$B:$B,MATCH($C8,CSINAPI!$A:$A,0)),
IF($B8="CESAN",INDEX(CCESAN!$B:$B,MATCH($C8,CCESAN!$A:$A,0)),
IF($B8="SCORIO",INDEX(CSCORIO!$B:$B,MATCH($C8,CSCORIO!$A:$A,0)),
IF($B8="MERC",INDEX(MERCADO!$B:$B,MATCH($C8,MERCADO!$A:$A,0)),
IF($B8="COMP",INDEX(COMPOSICAO!$B:$B,MATCH($C8,COMPOSICAO!$A:$A,0)),
""))))))),"*Verificar código*")</f>
        <v>Tapume Com Telha Metálica. Af_05/2018</v>
      </c>
      <c r="E8" s="200" t="str">
        <f>IFERROR(LOWER(
IF($B8="DER-ES",INDEX('CDER-ES'!$C:$C,MATCH($C8,'CDER-ES'!$A:$A,0)),
IF($B8="SINAPI",INDEX(CSINAPI!$C:$C,MATCH($C8,CSINAPI!$A:$A,0)),
IF($B8="CESAN",INDEX(CCESAN!$C:$C,MATCH($C8,CCESAN!$A:$A,0)),
IF($B8="SCORIO",INDEX(CSCORIO!$A:$A,MATCH($C8,CSCORIO!#REF!,0)),
IF($B8="MERC",INDEX(MERCADO!$D:$D,MATCH($C8,MERCADO!$A:$A,0)),
IF($B8="COMP",INDEX(COMPOSICAO!$G:$G,MATCH($C8,COMPOSICAO!$A:$A,0)),
""))))))),"")</f>
        <v>m²</v>
      </c>
      <c r="F8" s="208">
        <f>VLOOKUP(A8,'MEMÓRIA DE CÁLCULO'!A:H,8,0)</f>
        <v>158</v>
      </c>
      <c r="G8" s="202">
        <f>IFERROR(
IF($B8="DER-ES",INDEX('CDER-ES'!$D:$D,MATCH($C8,'CDER-ES'!$A:$A,0)),
IF($B8="SINAPI",INDEX(CSINAPI!$D:$D,MATCH($C8,CSINAPI!$A:$A,0)),
IF($B8="CESAN",INDEX(CCESAN!$D:$D,MATCH($C8,CCESAN!$A:$A,0)),
IF($B8="SCORIO",INDEX(CSCORIO!$B:$B,MATCH($C8,CSCORIO!#REF!,0)),
IF($B8="MERC",INDEX(MERCADO!$E:$E,MATCH($C8,MERCADO!$A:$A,0)),
IF($B8="COMP",INDEX(COMPOSICAO!$H:$H,MATCH($C8,COMPOSICAO!$A:$A,0)),
0)))))),0)</f>
        <v>126.94</v>
      </c>
      <c r="H8" s="202">
        <f t="shared" si="0"/>
        <v>158.68</v>
      </c>
      <c r="I8" s="209">
        <f t="shared" si="1"/>
        <v>25071.439999999999</v>
      </c>
      <c r="J8" s="225">
        <f t="shared" ref="J8" si="2">I8/I$6</f>
        <v>0.40780009931728717</v>
      </c>
    </row>
    <row r="9" spans="1:13" ht="102">
      <c r="A9" s="204" t="s">
        <v>19760</v>
      </c>
      <c r="B9" s="205" t="s">
        <v>26583</v>
      </c>
      <c r="C9" s="205">
        <v>20352</v>
      </c>
      <c r="D9" s="207" t="str">
        <f>IFERROR(PROPER(
IF($B9="DER-ES",INDEX('CDER-ES'!$B:$B,MATCH($C9,'CDER-ES'!$A:$A,0)),
IF($B9="SINAPI",INDEX(CSINAPI!$B:$B,MATCH($C9,CSINAPI!$A:$A,0)),
IF($B9="CESAN",INDEX(CCESAN!$B:$B,MATCH($C9,CCESAN!$A:$A,0)),
IF($B9="SCORIO",INDEX(CSCORIO!$B:$B,MATCH($C9,CSCORIO!$A:$A,0)),
IF($B9="MERC",INDEX(MERCADO!$B:$B,MATCH($C9,MERCADO!$A:$A,0)),
IF($B9="COMP",INDEX(COMPOSICAO!$B:$B,MATCH($C9,COMPOSICAO!$A:$A,0)),
""))))))),"*Verificar código*")</f>
        <v>Aluguel Mensal Container Para Escritório, Dim. 6.00X2.40M, C/ Banheiro (Vaso+Lavat+Chuveiro E Básc), Incl. Porta, 2 Janelas, Abert P/ Ar Cond., 2 Pt Iluminação, 2 Tom. Elét. E 1 Tom.Telef. Isolam.Térmico(Teto E Paredes), Piso Em Comp. Naval, Cert. Nr18, Incl. Laudo Descontaminação.</v>
      </c>
      <c r="E9" s="200" t="str">
        <f>IFERROR(LOWER(
IF($B9="DER-ES",INDEX('CDER-ES'!$C:$C,MATCH($C9,'CDER-ES'!$A:$A,0)),
IF($B9="SINAPI",INDEX(CSINAPI!$C:$C,MATCH($C9,CSINAPI!$A:$A,0)),
IF($B9="CESAN",INDEX(CCESAN!$C:$C,MATCH($C9,CCESAN!$A:$A,0)),
IF($B9="SCORIO",INDEX(CSCORIO!$A:$A,MATCH($C9,CSCORIO!#REF!,0)),
IF($B9="MERC",INDEX(MERCADO!$D:$D,MATCH($C9,MERCADO!$A:$A,0)),
IF($B9="COMP",INDEX(COMPOSICAO!$G:$G,MATCH($C9,COMPOSICAO!$A:$A,0)),
""))))))),"")</f>
        <v>ms</v>
      </c>
      <c r="F9" s="208">
        <f>VLOOKUP(A9,'MEMÓRIA DE CÁLCULO'!A:H,8,0)</f>
        <v>6</v>
      </c>
      <c r="G9" s="202">
        <f>IFERROR(
IF($B9="DER-ES",INDEX('CDER-ES'!$D:$D,MATCH($C9,'CDER-ES'!$A:$A,0)),
IF($B9="SINAPI",INDEX(CSINAPI!$D:$D,MATCH($C9,CSINAPI!$A:$A,0)),
IF($B9="CESAN",INDEX(CCESAN!$D:$D,MATCH($C9,CCESAN!$A:$A,0)),
IF($B9="SCORIO",INDEX(CSCORIO!$B:$B,MATCH($C9,CSCORIO!#REF!,0)),
IF($B9="MERC",INDEX(MERCADO!$E:$E,MATCH($C9,MERCADO!$A:$A,0)),
IF($B9="COMP",INDEX(COMPOSICAO!$H:$H,MATCH($C9,COMPOSICAO!$A:$A,0)),
0)))))),0)</f>
        <v>1050</v>
      </c>
      <c r="H9" s="202">
        <f t="shared" si="0"/>
        <v>1312.5</v>
      </c>
      <c r="I9" s="209">
        <f t="shared" si="1"/>
        <v>7875</v>
      </c>
      <c r="J9" s="225">
        <f t="shared" ref="J9:J14" si="3">I9/I$6</f>
        <v>0.1280909984477811</v>
      </c>
    </row>
    <row r="10" spans="1:13" ht="75" customHeight="1">
      <c r="A10" s="204" t="s">
        <v>25846</v>
      </c>
      <c r="B10" s="205" t="s">
        <v>26583</v>
      </c>
      <c r="C10" s="205">
        <v>20356</v>
      </c>
      <c r="D10" s="207" t="str">
        <f>IFERROR(PROPER(
IF($B10="DER-ES",INDEX('CDER-ES'!$B:$B,MATCH($C10,'CDER-ES'!$A:$A,0)),
IF($B10="SINAPI",INDEX(CSINAPI!$B:$B,MATCH($C10,CSINAPI!$A:$A,0)),
IF($B10="CESAN",INDEX(CCESAN!$B:$B,MATCH($C10,CCESAN!$A:$A,0)),
IF($B10="SCORIO",INDEX(CSCORIO!$B:$B,MATCH($C10,CSCORIO!$A:$A,0)),
IF($B10="MERC",INDEX(MERCADO!$B:$B,MATCH($C10,MERCADO!$A:$A,0)),
IF($B10="COMP",INDEX(COMPOSICAO!$B:$B,MATCH($C10,COMPOSICAO!$A:$A,0)),
""))))))),"*Verificar código*")</f>
        <v>Aluguel Mensal Container Para Almoxarifado, Incl. Porta, 2 Janelas, 1 Pt Iluminação, Isolamento Térmico (Teto), Piso Em Comp. Naval Pintado, Cert. Nr18, Incl. Laudo Descontaminação.</v>
      </c>
      <c r="E10" s="200" t="str">
        <f>IFERROR(LOWER(
IF($B10="DER-ES",INDEX('CDER-ES'!$C:$C,MATCH($C10,'CDER-ES'!$A:$A,0)),
IF($B10="SINAPI",INDEX(CSINAPI!$C:$C,MATCH($C10,CSINAPI!$A:$A,0)),
IF($B10="CESAN",INDEX(CCESAN!$C:$C,MATCH($C10,CCESAN!$A:$A,0)),
IF($B10="SCORIO",INDEX(CSCORIO!$A:$A,MATCH($C10,CSCORIO!#REF!,0)),
IF($B10="MERC",INDEX(MERCADO!$D:$D,MATCH($C10,MERCADO!$A:$A,0)),
IF($B10="COMP",INDEX(COMPOSICAO!$G:$G,MATCH($C10,COMPOSICAO!$A:$A,0)),
""))))))),"")</f>
        <v>ms</v>
      </c>
      <c r="F10" s="208">
        <f>VLOOKUP(A10,'MEMÓRIA DE CÁLCULO'!A:H,8,0)</f>
        <v>6</v>
      </c>
      <c r="G10" s="202">
        <f>IFERROR(
IF($B10="DER-ES",INDEX('CDER-ES'!$D:$D,MATCH($C10,'CDER-ES'!$A:$A,0)),
IF($B10="SINAPI",INDEX(CSINAPI!$D:$D,MATCH($C10,CSINAPI!$A:$A,0)),
IF($B10="CESAN",INDEX(CCESAN!$D:$D,MATCH($C10,CCESAN!$A:$A,0)),
IF($B10="SCORIO",INDEX(CSCORIO!$B:$B,MATCH($C10,CSCORIO!#REF!,0)),
IF($B10="MERC",INDEX(MERCADO!$E:$E,MATCH($C10,MERCADO!$A:$A,0)),
IF($B10="COMP",INDEX(COMPOSICAO!$H:$H,MATCH($C10,COMPOSICAO!$A:$A,0)),
0)))))),0)</f>
        <v>710</v>
      </c>
      <c r="H10" s="202">
        <f t="shared" si="0"/>
        <v>887.5</v>
      </c>
      <c r="I10" s="209">
        <f t="shared" si="1"/>
        <v>5325</v>
      </c>
      <c r="J10" s="225">
        <f t="shared" si="3"/>
        <v>8.6613913236118639E-2</v>
      </c>
    </row>
    <row r="11" spans="1:13" ht="89.25">
      <c r="A11" s="204" t="s">
        <v>25847</v>
      </c>
      <c r="B11" s="205" t="s">
        <v>26583</v>
      </c>
      <c r="C11" s="205">
        <v>20355</v>
      </c>
      <c r="D11" s="207" t="str">
        <f>IFERROR(PROPER(
IF($B11="DER-ES",INDEX('CDER-ES'!$B:$B,MATCH($C11,'CDER-ES'!$A:$A,0)),
IF($B11="SINAPI",INDEX(CSINAPI!$B:$B,MATCH($C11,CSINAPI!$A:$A,0)),
IF($B11="CESAN",INDEX(CCESAN!$B:$B,MATCH($C11,CCESAN!$A:$A,0)),
IF($B11="SCORIO",INDEX(CSCORIO!$B:$B,MATCH($C11,CSCORIO!$A:$A,0)),
IF($B11="MERC",INDEX(MERCADO!$B:$B,MATCH($C11,MERCADO!$A:$A,0)),
IF($B11="COMP",INDEX(COMPOSICAO!$B:$B,MATCH($C11,COMPOSICAO!$A:$A,0)),
""))))))),"*Verificar código*")</f>
        <v>Aluguel Mensal Container Sanitário, Incl Porta, Básc, 2 Ptos Luz, 1 Pto Aterram., 3Vasos, 3Lavatórios, Calha Mictório, 6 Chuveiros (1 Eletrico), Torn.,Registros, Piso Comp. Naval Pintado, Cert Nr18 E Laudo Descontaminação</v>
      </c>
      <c r="E11" s="200" t="str">
        <f>IFERROR(LOWER(
IF($B11="DER-ES",INDEX('CDER-ES'!$C:$C,MATCH($C11,'CDER-ES'!$A:$A,0)),
IF($B11="SINAPI",INDEX(CSINAPI!$C:$C,MATCH($C11,CSINAPI!$A:$A,0)),
IF($B11="CESAN",INDEX(CCESAN!$C:$C,MATCH($C11,CCESAN!$A:$A,0)),
IF($B11="SCORIO",INDEX(CSCORIO!$A:$A,MATCH($C11,CSCORIO!#REF!,0)),
IF($B11="MERC",INDEX(MERCADO!$D:$D,MATCH($C11,MERCADO!$A:$A,0)),
IF($B11="COMP",INDEX(COMPOSICAO!$G:$G,MATCH($C11,COMPOSICAO!$A:$A,0)),
""))))))),"")</f>
        <v>ms</v>
      </c>
      <c r="F11" s="208">
        <f>VLOOKUP(A11,'MEMÓRIA DE CÁLCULO'!A:H,8,0)</f>
        <v>6</v>
      </c>
      <c r="G11" s="202">
        <f>IFERROR(
IF($B11="DER-ES",INDEX('CDER-ES'!$D:$D,MATCH($C11,'CDER-ES'!$A:$A,0)),
IF($B11="SINAPI",INDEX(CSINAPI!$D:$D,MATCH($C11,CSINAPI!$A:$A,0)),
IF($B11="CESAN",INDEX(CCESAN!$D:$D,MATCH($C11,CCESAN!$A:$A,0)),
IF($B11="SCORIO",INDEX(CSCORIO!$B:$B,MATCH($C11,CSCORIO!#REF!,0)),
IF($B11="MERC",INDEX(MERCADO!$E:$E,MATCH($C11,MERCADO!$A:$A,0)),
IF($B11="COMP",INDEX(COMPOSICAO!$H:$H,MATCH($C11,COMPOSICAO!$A:$A,0)),
0)))))),0)</f>
        <v>1033.33</v>
      </c>
      <c r="H11" s="202">
        <f t="shared" ref="H11" si="4">ROUND(G11*(1+$J$2),2)</f>
        <v>1291.6600000000001</v>
      </c>
      <c r="I11" s="209">
        <f t="shared" ref="I11" si="5">ROUND($H11*F11,2)</f>
        <v>7749.96</v>
      </c>
      <c r="J11" s="225">
        <f t="shared" ref="J11" si="6">I11/I$6</f>
        <v>0.1260571573752845</v>
      </c>
    </row>
    <row r="12" spans="1:13" ht="38.25">
      <c r="A12" s="204" t="s">
        <v>25849</v>
      </c>
      <c r="B12" s="205" t="s">
        <v>26583</v>
      </c>
      <c r="C12" s="205">
        <v>20344</v>
      </c>
      <c r="D12" s="207" t="str">
        <f>IFERROR(PROPER(
IF($B12="DER-ES",INDEX('CDER-ES'!$B:$B,MATCH($C12,'CDER-ES'!$A:$A,0)),
IF($B12="SINAPI",INDEX(CSINAPI!$B:$B,MATCH($C12,CSINAPI!$A:$A,0)),
IF($B12="CESAN",INDEX(CCESAN!$B:$B,MATCH($C12,CCESAN!$A:$A,0)),
IF($B12="SCORIO",INDEX(CSCORIO!$B:$B,MATCH($C12,CSCORIO!$A:$A,0)),
IF($B12="MERC",INDEX(MERCADO!$B:$B,MATCH($C12,MERCADO!$A:$A,0)),
IF($B12="COMP",INDEX(COMPOSICAO!$B:$B,MATCH($C12,COMPOSICAO!$A:$A,0)),
""))))))),"*Verificar código*")</f>
        <v>Mobilização E Desmobilização De Conteiner Locado Para Barracão De Obra</v>
      </c>
      <c r="E12" s="200" t="str">
        <f>IFERROR(LOWER(
IF($B12="DER-ES",INDEX('CDER-ES'!$C:$C,MATCH($C12,'CDER-ES'!$A:$A,0)),
IF($B12="SINAPI",INDEX(CSINAPI!$C:$C,MATCH($C12,CSINAPI!$A:$A,0)),
IF($B12="CESAN",INDEX(CCESAN!$C:$C,MATCH($C12,CCESAN!$A:$A,0)),
IF($B12="SCORIO",INDEX(CSCORIO!$A:$A,MATCH($C12,CSCORIO!#REF!,0)),
IF($B12="MERC",INDEX(MERCADO!$D:$D,MATCH($C12,MERCADO!$A:$A,0)),
IF($B12="COMP",INDEX(COMPOSICAO!$G:$G,MATCH($C12,COMPOSICAO!$A:$A,0)),
""))))))),"")</f>
        <v>und</v>
      </c>
      <c r="F12" s="208">
        <f>VLOOKUP(A12,'MEMÓRIA DE CÁLCULO'!A:H,8,0)</f>
        <v>3</v>
      </c>
      <c r="G12" s="202">
        <f>IFERROR(
IF($B12="DER-ES",INDEX('CDER-ES'!$D:$D,MATCH($C12,'CDER-ES'!$A:$A,0)),
IF($B12="SINAPI",INDEX(CSINAPI!$D:$D,MATCH($C12,CSINAPI!$A:$A,0)),
IF($B12="CESAN",INDEX(CCESAN!$D:$D,MATCH($C12,CCESAN!$A:$A,0)),
IF($B12="SCORIO",INDEX(CSCORIO!$B:$B,MATCH($C12,CSCORIO!#REF!,0)),
IF($B12="MERC",INDEX(MERCADO!$E:$E,MATCH($C12,MERCADO!$A:$A,0)),
IF($B12="COMP",INDEX(COMPOSICAO!$H:$H,MATCH($C12,COMPOSICAO!$A:$A,0)),
0)))))),0)</f>
        <v>1400</v>
      </c>
      <c r="H12" s="202">
        <f t="shared" si="0"/>
        <v>1750</v>
      </c>
      <c r="I12" s="209">
        <f t="shared" si="1"/>
        <v>5250</v>
      </c>
      <c r="J12" s="225">
        <f t="shared" si="3"/>
        <v>8.5393998965187387E-2</v>
      </c>
    </row>
    <row r="13" spans="1:13" ht="51">
      <c r="A13" s="204" t="s">
        <v>26529</v>
      </c>
      <c r="B13" s="205" t="s">
        <v>26583</v>
      </c>
      <c r="C13" s="205">
        <v>20710</v>
      </c>
      <c r="D13" s="207" t="str">
        <f>IFERROR(PROPER(
IF($B13="DER-ES",INDEX('CDER-ES'!$B:$B,MATCH($C13,'CDER-ES'!$A:$A,0)),
IF($B13="SINAPI",INDEX(CSINAPI!$B:$B,MATCH($C13,CSINAPI!$A:$A,0)),
IF($B13="CESAN",INDEX(CCESAN!$B:$B,MATCH($C13,CCESAN!$A:$A,0)),
IF($B13="SCORIO",INDEX(CSCORIO!$B:$B,MATCH($C13,CSCORIO!$A:$A,0)),
IF($B13="MERC",INDEX(MERCADO!$B:$B,MATCH($C13,MERCADO!$A:$A,0)),
IF($B13="COMP",INDEX(COMPOSICAO!$B:$B,MATCH($C13,COMPOSICAO!$A:$A,0)),
""))))))),"*Verificar código*")</f>
        <v>Reservatório De Poliestileno De 500L, Incl. Suporte Em Madeira De 7X12Cm E 5X7Cm, Elevado De 4M, Conf. Projeto (1 Utilização)</v>
      </c>
      <c r="E13" s="200" t="str">
        <f>IFERROR(LOWER(
IF($B13="DER-ES",INDEX('CDER-ES'!$C:$C,MATCH($C13,'CDER-ES'!$A:$A,0)),
IF($B13="SINAPI",INDEX(CSINAPI!$C:$C,MATCH($C13,CSINAPI!$A:$A,0)),
IF($B13="CESAN",INDEX(CCESAN!$C:$C,MATCH($C13,CCESAN!$A:$A,0)),
IF($B13="SCORIO",INDEX(CSCORIO!$A:$A,MATCH($C13,CSCORIO!#REF!,0)),
IF($B13="MERC",INDEX(MERCADO!$D:$D,MATCH($C13,MERCADO!$A:$A,0)),
IF($B13="COMP",INDEX(COMPOSICAO!$G:$G,MATCH($C13,COMPOSICAO!$A:$A,0)),
""))))))),"")</f>
        <v>und</v>
      </c>
      <c r="F13" s="208">
        <f>VLOOKUP(A13,'MEMÓRIA DE CÁLCULO'!A:H,8,0)</f>
        <v>1</v>
      </c>
      <c r="G13" s="202">
        <f>IFERROR(
IF($B13="DER-ES",INDEX('CDER-ES'!$D:$D,MATCH($C13,'CDER-ES'!$A:$A,0)),
IF($B13="SINAPI",INDEX(CSINAPI!$D:$D,MATCH($C13,CSINAPI!$A:$A,0)),
IF($B13="CESAN",INDEX(CCESAN!$D:$D,MATCH($C13,CCESAN!$A:$A,0)),
IF($B13="SCORIO",INDEX(CSCORIO!$B:$B,MATCH($C13,CSCORIO!#REF!,0)),
IF($B13="MERC",INDEX(MERCADO!$E:$E,MATCH($C13,MERCADO!$A:$A,0)),
IF($B13="COMP",INDEX(COMPOSICAO!$H:$H,MATCH($C13,COMPOSICAO!$A:$A,0)),
0)))))),0)</f>
        <v>2719.43</v>
      </c>
      <c r="H13" s="202">
        <f t="shared" ref="H13:H14" si="7">ROUND(G13*(1+$J$2),2)</f>
        <v>3399.29</v>
      </c>
      <c r="I13" s="209">
        <f t="shared" ref="I13:I14" si="8">ROUND($H13*F13,2)</f>
        <v>3399.29</v>
      </c>
      <c r="J13" s="225">
        <f t="shared" si="3"/>
        <v>5.5291231760451781E-2</v>
      </c>
    </row>
    <row r="14" spans="1:13" ht="25.5">
      <c r="A14" s="204" t="s">
        <v>26530</v>
      </c>
      <c r="B14" s="205" t="s">
        <v>26583</v>
      </c>
      <c r="C14" s="205">
        <v>10402</v>
      </c>
      <c r="D14" s="207" t="str">
        <f>IFERROR(PROPER(
IF($B14="DER-ES",INDEX('CDER-ES'!$B:$B,MATCH($C14,'CDER-ES'!$A:$A,0)),
IF($B14="SINAPI",INDEX(CSINAPI!$B:$B,MATCH($C14,CSINAPI!$A:$A,0)),
IF($B14="CESAN",INDEX(CCESAN!$B:$B,MATCH($C14,CCESAN!$A:$A,0)),
IF($B14="SCORIO",INDEX(CSCORIO!$B:$B,MATCH($C14,CSCORIO!$A:$A,0)),
IF($B14="MERC",INDEX(MERCADO!$B:$B,MATCH($C14,MERCADO!$A:$A,0)),
IF($B14="COMP",INDEX(COMPOSICAO!$B:$B,MATCH($C14,COMPOSICAO!$A:$A,0)),
""))))))),"*Verificar código*")</f>
        <v>Raspagem E Limpeza Do Terreno (Manual)</v>
      </c>
      <c r="E14" s="200" t="str">
        <f>IFERROR(LOWER(
IF($B14="DER-ES",INDEX('CDER-ES'!$C:$C,MATCH($C14,'CDER-ES'!$A:$A,0)),
IF($B14="SINAPI",INDEX(CSINAPI!$C:$C,MATCH($C14,CSINAPI!$A:$A,0)),
IF($B14="CESAN",INDEX(CCESAN!$C:$C,MATCH($C14,CCESAN!$A:$A,0)),
IF($B14="SCORIO",INDEX(CSCORIO!$A:$A,MATCH($C14,CSCORIO!#REF!,0)),
IF($B14="MERC",INDEX(MERCADO!$D:$D,MATCH($C14,MERCADO!$A:$A,0)),
IF($B14="COMP",INDEX(COMPOSICAO!$G:$G,MATCH($C14,COMPOSICAO!$A:$A,0)),
""))))))),"")</f>
        <v>m²</v>
      </c>
      <c r="F14" s="208">
        <f>VLOOKUP(A14,'MEMÓRIA DE CÁLCULO'!A:H,8,0)</f>
        <v>793.33</v>
      </c>
      <c r="G14" s="202">
        <f>IFERROR(
IF($B14="DER-ES",INDEX('CDER-ES'!$D:$D,MATCH($C14,'CDER-ES'!$A:$A,0)),
IF($B14="SINAPI",INDEX(CSINAPI!$D:$D,MATCH($C14,CSINAPI!$A:$A,0)),
IF($B14="CESAN",INDEX(CCESAN!$D:$D,MATCH($C14,CCESAN!$A:$A,0)),
IF($B14="SCORIO",INDEX(CSCORIO!$B:$B,MATCH($C14,CSCORIO!#REF!,0)),
IF($B14="MERC",INDEX(MERCADO!$E:$E,MATCH($C14,MERCADO!$A:$A,0)),
IF($B14="COMP",INDEX(COMPOSICAO!$H:$H,MATCH($C14,COMPOSICAO!$A:$A,0)),
0)))))),0)</f>
        <v>3.51</v>
      </c>
      <c r="H14" s="202">
        <f t="shared" si="7"/>
        <v>4.3899999999999997</v>
      </c>
      <c r="I14" s="209">
        <f t="shared" si="8"/>
        <v>3482.72</v>
      </c>
      <c r="J14" s="225">
        <f t="shared" si="3"/>
        <v>5.6648264395435702E-2</v>
      </c>
    </row>
    <row r="15" spans="1:13" ht="25.5">
      <c r="A15" s="204" t="s">
        <v>29007</v>
      </c>
      <c r="B15" s="205" t="s">
        <v>26583</v>
      </c>
      <c r="C15" s="205">
        <v>10501</v>
      </c>
      <c r="D15" s="207" t="str">
        <f>IFERROR(PROPER(
IF($B15="DER-ES",INDEX('CDER-ES'!$B:$B,MATCH($C15,'CDER-ES'!$A:$A,0)),
IF($B15="SINAPI",INDEX(CSINAPI!$B:$B,MATCH($C15,CSINAPI!$A:$A,0)),
IF($B15="CESAN",INDEX(CCESAN!$B:$B,MATCH($C15,CCESAN!$A:$A,0)),
IF($B15="SCORIO",INDEX(CSCORIO!$B:$B,MATCH($C15,CSCORIO!$A:$A,0)),
IF($B15="MERC",INDEX(MERCADO!$B:$B,MATCH($C15,MERCADO!$A:$A,0)),
IF($B15="COMP",INDEX(COMPOSICAO!$B:$B,MATCH($C15,COMPOSICAO!$A:$A,0)),
""))))))),"*Verificar código*")</f>
        <v>Locação De Obra Com Gabarito De Madeira</v>
      </c>
      <c r="E15" s="200" t="str">
        <f>IFERROR(LOWER(
IF($B15="DER-ES",INDEX('CDER-ES'!$C:$C,MATCH($C15,'CDER-ES'!$A:$A,0)),
IF($B15="SINAPI",INDEX(CSINAPI!$C:$C,MATCH($C15,CSINAPI!$A:$A,0)),
IF($B15="CESAN",INDEX(CCESAN!$C:$C,MATCH($C15,CCESAN!$A:$A,0)),
IF($B15="SCORIO",INDEX(CSCORIO!$A:$A,MATCH($C15,CSCORIO!#REF!,0)),
IF($B15="MERC",INDEX(MERCADO!$D:$D,MATCH($C15,MERCADO!$A:$A,0)),
IF($B15="COMP",INDEX(COMPOSICAO!$G:$G,MATCH($C15,COMPOSICAO!$A:$A,0)),
""))))))),"")</f>
        <v>m²</v>
      </c>
      <c r="F15" s="208">
        <f>VLOOKUP(A15,'MEMÓRIA DE CÁLCULO'!A:H,8,0)</f>
        <v>49.43</v>
      </c>
      <c r="G15" s="202">
        <f>IFERROR(
IF($B15="DER-ES",INDEX('CDER-ES'!$D:$D,MATCH($C15,'CDER-ES'!$A:$A,0)),
IF($B15="SINAPI",INDEX(CSINAPI!$D:$D,MATCH($C15,CSINAPI!$A:$A,0)),
IF($B15="CESAN",INDEX(CCESAN!$D:$D,MATCH($C15,CCESAN!$A:$A,0)),
IF($B15="SCORIO",INDEX(CSCORIO!$B:$B,MATCH($C15,CSCORIO!#REF!,0)),
IF($B15="MERC",INDEX(MERCADO!$E:$E,MATCH($C15,MERCADO!$A:$A,0)),
IF($B15="COMP",INDEX(COMPOSICAO!$H:$H,MATCH($C15,COMPOSICAO!$A:$A,0)),
0)))))),0)</f>
        <v>10.25</v>
      </c>
      <c r="H15" s="202">
        <f t="shared" ref="H15" si="9">ROUND(G15*(1+$J$2),2)</f>
        <v>12.81</v>
      </c>
      <c r="I15" s="209">
        <f t="shared" ref="I15" si="10">ROUND($H15*F15,2)</f>
        <v>633.20000000000005</v>
      </c>
      <c r="J15" s="225">
        <f t="shared" ref="J15" si="11">I15/I$6</f>
        <v>1.0299329551382221E-2</v>
      </c>
    </row>
    <row r="16" spans="1:13">
      <c r="A16" s="196" t="s">
        <v>19660</v>
      </c>
      <c r="B16" s="197"/>
      <c r="C16" s="198"/>
      <c r="D16" s="199" t="s">
        <v>2176</v>
      </c>
      <c r="E16" s="200"/>
      <c r="F16" s="201"/>
      <c r="G16" s="202"/>
      <c r="H16" s="202"/>
      <c r="I16" s="203">
        <f>SUBTOTAL(9,I17:I39)</f>
        <v>43225.150000000009</v>
      </c>
      <c r="J16" s="224">
        <f>SUBTOTAL(9,J17:J39)</f>
        <v>0.99999999999999978</v>
      </c>
    </row>
    <row r="17" spans="1:10" ht="25.5">
      <c r="A17" s="204" t="s">
        <v>21959</v>
      </c>
      <c r="B17" s="205" t="s">
        <v>26583</v>
      </c>
      <c r="C17" s="205">
        <v>10201</v>
      </c>
      <c r="D17" s="207" t="str">
        <f>IFERROR(PROPER(
IF($B17="DER-ES",INDEX('CDER-ES'!$B:$B,MATCH($C17,'CDER-ES'!$A:$A,0)),
IF($B17="SINAPI",INDEX(CSINAPI!$B:$B,MATCH($C17,CSINAPI!$A:$A,0)),
IF($B17="CESAN",INDEX(CCESAN!$B:$B,MATCH($C17,CCESAN!$A:$A,0)),
IF($B17="SCORIO",INDEX(CSCORIO!$B:$B,MATCH($C17,CSCORIO!$A:$A,0)),
IF($B17="MERC",INDEX(MERCADO!$B:$B,MATCH($C17,MERCADO!$A:$A,0)),
IF($B17="COMP",INDEX(COMPOSICAO!$B:$B,MATCH($C17,COMPOSICAO!$A:$A,0)),
""))))))),"*Verificar código*")</f>
        <v>Demolição De Piso Cimentado Inclusive Lastro De Concreto</v>
      </c>
      <c r="E17" s="200" t="str">
        <f>IFERROR(LOWER(
IF($B17="DER-ES",INDEX('CDER-ES'!$C:$C,MATCH($C17,'CDER-ES'!$A:$A,0)),
IF($B17="SINAPI",INDEX(CSINAPI!$C:$C,MATCH($C17,CSINAPI!$A:$A,0)),
IF($B17="CESAN",INDEX(CCESAN!$C:$C,MATCH($C17,CCESAN!$A:$A,0)),
IF($B17="SCORIO",INDEX(CSCORIO!$A:$A,MATCH($C17,CSCORIO!#REF!,0)),
IF($B17="MERC",INDEX(MERCADO!$D:$D,MATCH($C17,MERCADO!$A:$A,0)),
IF($B17="COMP",INDEX(COMPOSICAO!$G:$G,MATCH($C17,COMPOSICAO!$A:$A,0)),
""))))))),"")</f>
        <v>m²</v>
      </c>
      <c r="F17" s="208">
        <f>VLOOKUP(A17,'MEMÓRIA DE CÁLCULO'!A:H,8,0)</f>
        <v>73.22</v>
      </c>
      <c r="G17" s="202">
        <f>IFERROR(
IF($B17="DER-ES",INDEX('CDER-ES'!$D:$D,MATCH($C17,'CDER-ES'!$A:$A,0)),
IF($B17="SINAPI",INDEX(CSINAPI!$D:$D,MATCH($C17,CSINAPI!$A:$A,0)),
IF($B17="CESAN",INDEX(CCESAN!$D:$D,MATCH($C17,CCESAN!$A:$A,0)),
IF($B17="SCORIO",INDEX(CSCORIO!$B:$B,MATCH($C17,CSCORIO!#REF!,0)),
IF($B17="MERC",INDEX(MERCADO!$E:$E,MATCH($C17,MERCADO!$A:$A,0)),
IF($B17="COMP",INDEX(COMPOSICAO!$H:$H,MATCH($C17,COMPOSICAO!$A:$A,0)),
0)))))),0)</f>
        <v>20.75</v>
      </c>
      <c r="H17" s="202">
        <f t="shared" ref="H17:H39" si="12">ROUND(G17*(1+$J$2),2)</f>
        <v>25.94</v>
      </c>
      <c r="I17" s="209">
        <f t="shared" ref="I17:I39" si="13">ROUND($H17*F17,2)</f>
        <v>1899.33</v>
      </c>
      <c r="J17" s="225">
        <f>I17/I$16</f>
        <v>4.3940391184298946E-2</v>
      </c>
    </row>
    <row r="18" spans="1:10" ht="25.5">
      <c r="A18" s="204" t="s">
        <v>25843</v>
      </c>
      <c r="B18" s="205" t="s">
        <v>26583</v>
      </c>
      <c r="C18" s="205">
        <v>10202</v>
      </c>
      <c r="D18" s="207" t="str">
        <f>IFERROR(PROPER(
IF($B18="DER-ES",INDEX('CDER-ES'!$B:$B,MATCH($C18,'CDER-ES'!$A:$A,0)),
IF($B18="SINAPI",INDEX(CSINAPI!$B:$B,MATCH($C18,CSINAPI!$A:$A,0)),
IF($B18="CESAN",INDEX(CCESAN!$B:$B,MATCH($C18,CCESAN!$A:$A,0)),
IF($B18="SCORIO",INDEX(CSCORIO!$B:$B,MATCH($C18,CSCORIO!$A:$A,0)),
IF($B18="MERC",INDEX(MERCADO!$B:$B,MATCH($C18,MERCADO!$A:$A,0)),
IF($B18="COMP",INDEX(COMPOSICAO!$B:$B,MATCH($C18,COMPOSICAO!$A:$A,0)),
""))))))),"*Verificar código*")</f>
        <v>Demolição De Piso Revestido Com Cerâmica</v>
      </c>
      <c r="E18" s="200" t="str">
        <f>IFERROR(LOWER(
IF($B18="DER-ES",INDEX('CDER-ES'!$C:$C,MATCH($C18,'CDER-ES'!$A:$A,0)),
IF($B18="SINAPI",INDEX(CSINAPI!$C:$C,MATCH($C18,CSINAPI!$A:$A,0)),
IF($B18="CESAN",INDEX(CCESAN!$C:$C,MATCH($C18,CCESAN!$A:$A,0)),
IF($B18="SCORIO",INDEX(CSCORIO!$A:$A,MATCH($C18,CSCORIO!#REF!,0)),
IF($B18="MERC",INDEX(MERCADO!$D:$D,MATCH($C18,MERCADO!$A:$A,0)),
IF($B18="COMP",INDEX(COMPOSICAO!$G:$G,MATCH($C18,COMPOSICAO!$A:$A,0)),
""))))))),"")</f>
        <v>m²</v>
      </c>
      <c r="F18" s="208">
        <f>VLOOKUP(A18,'MEMÓRIA DE CÁLCULO'!A:H,8,0)</f>
        <v>5.41</v>
      </c>
      <c r="G18" s="202">
        <f>IFERROR(
IF($B18="DER-ES",INDEX('CDER-ES'!$D:$D,MATCH($C18,'CDER-ES'!$A:$A,0)),
IF($B18="SINAPI",INDEX(CSINAPI!$D:$D,MATCH($C18,CSINAPI!$A:$A,0)),
IF($B18="CESAN",INDEX(CCESAN!$D:$D,MATCH($C18,CCESAN!$A:$A,0)),
IF($B18="SCORIO",INDEX(CSCORIO!$B:$B,MATCH($C18,CSCORIO!#REF!,0)),
IF($B18="MERC",INDEX(MERCADO!$E:$E,MATCH($C18,MERCADO!$A:$A,0)),
IF($B18="COMP",INDEX(COMPOSICAO!$H:$H,MATCH($C18,COMPOSICAO!$A:$A,0)),
0)))))),0)</f>
        <v>11.17</v>
      </c>
      <c r="H18" s="202">
        <f t="shared" ref="H18" si="14">ROUND(G18*(1+$J$2),2)</f>
        <v>13.96</v>
      </c>
      <c r="I18" s="209">
        <f t="shared" ref="I18" si="15">ROUND($H18*F18,2)</f>
        <v>75.52</v>
      </c>
      <c r="J18" s="225">
        <f t="shared" ref="J18:J39" si="16">I18/I$16</f>
        <v>1.747131010534376E-3</v>
      </c>
    </row>
    <row r="19" spans="1:10" ht="25.5">
      <c r="A19" s="204" t="s">
        <v>25844</v>
      </c>
      <c r="B19" s="205" t="s">
        <v>26583</v>
      </c>
      <c r="C19" s="205">
        <v>10206</v>
      </c>
      <c r="D19" s="207" t="str">
        <f>IFERROR(PROPER(
IF($B19="DER-ES",INDEX('CDER-ES'!$B:$B,MATCH($C19,'CDER-ES'!$A:$A,0)),
IF($B19="SINAPI",INDEX(CSINAPI!$B:$B,MATCH($C19,CSINAPI!$A:$A,0)),
IF($B19="CESAN",INDEX(CCESAN!$B:$B,MATCH($C19,CCESAN!$A:$A,0)),
IF($B19="SCORIO",INDEX(CSCORIO!$B:$B,MATCH($C19,CSCORIO!$A:$A,0)),
IF($B19="MERC",INDEX(MERCADO!$B:$B,MATCH($C19,MERCADO!$A:$A,0)),
IF($B19="COMP",INDEX(COMPOSICAO!$B:$B,MATCH($C19,COMPOSICAO!$A:$A,0)),
""))))))),"*Verificar código*")</f>
        <v>Demolição De Revestimento Com Azulejos</v>
      </c>
      <c r="E19" s="200" t="str">
        <f>IFERROR(LOWER(
IF($B19="DER-ES",INDEX('CDER-ES'!$C:$C,MATCH($C19,'CDER-ES'!$A:$A,0)),
IF($B19="SINAPI",INDEX(CSINAPI!$C:$C,MATCH($C19,CSINAPI!$A:$A,0)),
IF($B19="CESAN",INDEX(CCESAN!$C:$C,MATCH($C19,CCESAN!$A:$A,0)),
IF($B19="SCORIO",INDEX(CSCORIO!$A:$A,MATCH($C19,CSCORIO!#REF!,0)),
IF($B19="MERC",INDEX(MERCADO!$D:$D,MATCH($C19,MERCADO!$A:$A,0)),
IF($B19="COMP",INDEX(COMPOSICAO!$G:$G,MATCH($C19,COMPOSICAO!$A:$A,0)),
""))))))),"")</f>
        <v>m²</v>
      </c>
      <c r="F19" s="208">
        <f>VLOOKUP(A19,'MEMÓRIA DE CÁLCULO'!A:H,8,0)</f>
        <v>3.53</v>
      </c>
      <c r="G19" s="202">
        <f>IFERROR(
IF($B19="DER-ES",INDEX('CDER-ES'!$D:$D,MATCH($C19,'CDER-ES'!$A:$A,0)),
IF($B19="SINAPI",INDEX(CSINAPI!$D:$D,MATCH($C19,CSINAPI!$A:$A,0)),
IF($B19="CESAN",INDEX(CCESAN!$D:$D,MATCH($C19,CCESAN!$A:$A,0)),
IF($B19="SCORIO",INDEX(CSCORIO!$B:$B,MATCH($C19,CSCORIO!#REF!,0)),
IF($B19="MERC",INDEX(MERCADO!$E:$E,MATCH($C19,MERCADO!$A:$A,0)),
IF($B19="COMP",INDEX(COMPOSICAO!$H:$H,MATCH($C19,COMPOSICAO!$A:$A,0)),
0)))))),0)</f>
        <v>39.909999999999997</v>
      </c>
      <c r="H19" s="202">
        <f t="shared" si="12"/>
        <v>49.89</v>
      </c>
      <c r="I19" s="209">
        <f t="shared" si="13"/>
        <v>176.11</v>
      </c>
      <c r="J19" s="225">
        <f t="shared" si="16"/>
        <v>4.0742484410117713E-3</v>
      </c>
    </row>
    <row r="20" spans="1:10" ht="25.5">
      <c r="A20" s="204" t="s">
        <v>25845</v>
      </c>
      <c r="B20" s="205" t="s">
        <v>26583</v>
      </c>
      <c r="C20" s="205">
        <v>10208</v>
      </c>
      <c r="D20" s="207" t="str">
        <f>IFERROR(PROPER(
IF($B20="DER-ES",INDEX('CDER-ES'!$B:$B,MATCH($C20,'CDER-ES'!$A:$A,0)),
IF($B20="SINAPI",INDEX(CSINAPI!$B:$B,MATCH($C20,CSINAPI!$A:$A,0)),
IF($B20="CESAN",INDEX(CCESAN!$B:$B,MATCH($C20,CCESAN!$A:$A,0)),
IF($B20="SCORIO",INDEX(CSCORIO!$B:$B,MATCH($C20,CSCORIO!$A:$A,0)),
IF($B20="MERC",INDEX(MERCADO!$B:$B,MATCH($C20,MERCADO!$A:$A,0)),
IF($B20="COMP",INDEX(COMPOSICAO!$B:$B,MATCH($C20,COMPOSICAO!$A:$A,0)),
""))))))),"*Verificar código*")</f>
        <v>Retirada De Revestimento Antigo Em Reboco</v>
      </c>
      <c r="E20" s="200" t="str">
        <f>IFERROR(LOWER(
IF($B20="DER-ES",INDEX('CDER-ES'!$C:$C,MATCH($C20,'CDER-ES'!$A:$A,0)),
IF($B20="SINAPI",INDEX(CSINAPI!$C:$C,MATCH($C20,CSINAPI!$A:$A,0)),
IF($B20="CESAN",INDEX(CCESAN!$C:$C,MATCH($C20,CCESAN!$A:$A,0)),
IF($B20="SCORIO",INDEX(CSCORIO!$A:$A,MATCH($C20,CSCORIO!#REF!,0)),
IF($B20="MERC",INDEX(MERCADO!$D:$D,MATCH($C20,MERCADO!$A:$A,0)),
IF($B20="COMP",INDEX(COMPOSICAO!$G:$G,MATCH($C20,COMPOSICAO!$A:$A,0)),
""))))))),"")</f>
        <v>m²</v>
      </c>
      <c r="F20" s="208">
        <f>VLOOKUP(A20,'MEMÓRIA DE CÁLCULO'!A:H,8,0)</f>
        <v>1039.98</v>
      </c>
      <c r="G20" s="202">
        <f>IFERROR(
IF($B20="DER-ES",INDEX('CDER-ES'!$D:$D,MATCH($C20,'CDER-ES'!$A:$A,0)),
IF($B20="SINAPI",INDEX(CSINAPI!$D:$D,MATCH($C20,CSINAPI!$A:$A,0)),
IF($B20="CESAN",INDEX(CCESAN!$D:$D,MATCH($C20,CCESAN!$A:$A,0)),
IF($B20="SCORIO",INDEX(CSCORIO!$B:$B,MATCH($C20,CSCORIO!#REF!,0)),
IF($B20="MERC",INDEX(MERCADO!$E:$E,MATCH($C20,MERCADO!$A:$A,0)),
IF($B20="COMP",INDEX(COMPOSICAO!$H:$H,MATCH($C20,COMPOSICAO!$A:$A,0)),
0)))))),0)</f>
        <v>7.98</v>
      </c>
      <c r="H20" s="202">
        <f t="shared" ref="H20" si="17">ROUND(G20*(1+$J$2),2)</f>
        <v>9.98</v>
      </c>
      <c r="I20" s="209">
        <f t="shared" ref="I20" si="18">ROUND($H20*F20,2)</f>
        <v>10379</v>
      </c>
      <c r="J20" s="225">
        <f t="shared" si="16"/>
        <v>0.24011484055000382</v>
      </c>
    </row>
    <row r="21" spans="1:10">
      <c r="A21" s="204" t="s">
        <v>25848</v>
      </c>
      <c r="B21" s="205" t="s">
        <v>26583</v>
      </c>
      <c r="C21" s="205">
        <v>10209</v>
      </c>
      <c r="D21" s="207" t="str">
        <f>IFERROR(PROPER(
IF($B21="DER-ES",INDEX('CDER-ES'!$B:$B,MATCH($C21,'CDER-ES'!$A:$A,0)),
IF($B21="SINAPI",INDEX(CSINAPI!$B:$B,MATCH($C21,CSINAPI!$A:$A,0)),
IF($B21="CESAN",INDEX(CCESAN!$B:$B,MATCH($C21,CCESAN!$A:$A,0)),
IF($B21="SCORIO",INDEX(CSCORIO!$B:$B,MATCH($C21,CSCORIO!$A:$A,0)),
IF($B21="MERC",INDEX(MERCADO!$B:$B,MATCH($C21,MERCADO!$A:$A,0)),
IF($B21="COMP",INDEX(COMPOSICAO!$B:$B,MATCH($C21,COMPOSICAO!$A:$A,0)),
""))))))),"*Verificar código*")</f>
        <v>Demolição De Alvenaria</v>
      </c>
      <c r="E21" s="200" t="str">
        <f>IFERROR(LOWER(
IF($B21="DER-ES",INDEX('CDER-ES'!$C:$C,MATCH($C21,'CDER-ES'!$A:$A,0)),
IF($B21="SINAPI",INDEX(CSINAPI!$C:$C,MATCH($C21,CSINAPI!$A:$A,0)),
IF($B21="CESAN",INDEX(CCESAN!$C:$C,MATCH($C21,CCESAN!$A:$A,0)),
IF($B21="SCORIO",INDEX(CSCORIO!$A:$A,MATCH($C21,CSCORIO!#REF!,0)),
IF($B21="MERC",INDEX(MERCADO!$D:$D,MATCH($C21,MERCADO!$A:$A,0)),
IF($B21="COMP",INDEX(COMPOSICAO!$G:$G,MATCH($C21,COMPOSICAO!$A:$A,0)),
""))))))),"")</f>
        <v>m³</v>
      </c>
      <c r="F21" s="208">
        <f>VLOOKUP(A21,'MEMÓRIA DE CÁLCULO'!A:H,8,0)</f>
        <v>69.290000000000006</v>
      </c>
      <c r="G21" s="202">
        <f>IFERROR(
IF($B21="DER-ES",INDEX('CDER-ES'!$D:$D,MATCH($C21,'CDER-ES'!$A:$A,0)),
IF($B21="SINAPI",INDEX(CSINAPI!$D:$D,MATCH($C21,CSINAPI!$A:$A,0)),
IF($B21="CESAN",INDEX(CCESAN!$D:$D,MATCH($C21,CCESAN!$A:$A,0)),
IF($B21="SCORIO",INDEX(CSCORIO!$B:$B,MATCH($C21,CSCORIO!#REF!,0)),
IF($B21="MERC",INDEX(MERCADO!$E:$E,MATCH($C21,MERCADO!$A:$A,0)),
IF($B21="COMP",INDEX(COMPOSICAO!$H:$H,MATCH($C21,COMPOSICAO!$A:$A,0)),
0)))))),0)</f>
        <v>47.89</v>
      </c>
      <c r="H21" s="202">
        <f t="shared" si="12"/>
        <v>59.86</v>
      </c>
      <c r="I21" s="209">
        <f t="shared" si="13"/>
        <v>4147.7</v>
      </c>
      <c r="J21" s="225">
        <f t="shared" si="16"/>
        <v>9.5955710969192684E-2</v>
      </c>
    </row>
    <row r="22" spans="1:10" ht="25.5">
      <c r="A22" s="204" t="s">
        <v>25850</v>
      </c>
      <c r="B22" s="205" t="s">
        <v>26583</v>
      </c>
      <c r="C22" s="205">
        <v>10214</v>
      </c>
      <c r="D22" s="207" t="str">
        <f>IFERROR(PROPER(
IF($B22="DER-ES",INDEX('CDER-ES'!$B:$B,MATCH($C22,'CDER-ES'!$A:$A,0)),
IF($B22="SINAPI",INDEX(CSINAPI!$B:$B,MATCH($C22,CSINAPI!$A:$A,0)),
IF($B22="CESAN",INDEX(CCESAN!$B:$B,MATCH($C22,CCESAN!$A:$A,0)),
IF($B22="SCORIO",INDEX(CSCORIO!$B:$B,MATCH($C22,CSCORIO!$A:$A,0)),
IF($B22="MERC",INDEX(MERCADO!$B:$B,MATCH($C22,MERCADO!$A:$A,0)),
IF($B22="COMP",INDEX(COMPOSICAO!$B:$B,MATCH($C22,COMPOSICAO!$A:$A,0)),
""))))))),"*Verificar código*")</f>
        <v>Retirada De Portas E Janelas De Madeira, Inclusive Batentes</v>
      </c>
      <c r="E22" s="200" t="str">
        <f>IFERROR(LOWER(
IF($B22="DER-ES",INDEX('CDER-ES'!$C:$C,MATCH($C22,'CDER-ES'!$A:$A,0)),
IF($B22="SINAPI",INDEX(CSINAPI!$C:$C,MATCH($C22,CSINAPI!$A:$A,0)),
IF($B22="CESAN",INDEX(CCESAN!$C:$C,MATCH($C22,CCESAN!$A:$A,0)),
IF($B22="SCORIO",INDEX(CSCORIO!$A:$A,MATCH($C22,CSCORIO!#REF!,0)),
IF($B22="MERC",INDEX(MERCADO!$D:$D,MATCH($C22,MERCADO!$A:$A,0)),
IF($B22="COMP",INDEX(COMPOSICAO!$G:$G,MATCH($C22,COMPOSICAO!$A:$A,0)),
""))))))),"")</f>
        <v>m²</v>
      </c>
      <c r="F22" s="208">
        <f>VLOOKUP(A22,'MEMÓRIA DE CÁLCULO'!A:H,8,0)</f>
        <v>43.54</v>
      </c>
      <c r="G22" s="202">
        <f>IFERROR(
IF($B22="DER-ES",INDEX('CDER-ES'!$D:$D,MATCH($C22,'CDER-ES'!$A:$A,0)),
IF($B22="SINAPI",INDEX(CSINAPI!$D:$D,MATCH($C22,CSINAPI!$A:$A,0)),
IF($B22="CESAN",INDEX(CCESAN!$D:$D,MATCH($C22,CCESAN!$A:$A,0)),
IF($B22="SCORIO",INDEX(CSCORIO!$B:$B,MATCH($C22,CSCORIO!#REF!,0)),
IF($B22="MERC",INDEX(MERCADO!$E:$E,MATCH($C22,MERCADO!$A:$A,0)),
IF($B22="COMP",INDEX(COMPOSICAO!$H:$H,MATCH($C22,COMPOSICAO!$A:$A,0)),
0)))))),0)</f>
        <v>12.77</v>
      </c>
      <c r="H22" s="202">
        <f t="shared" ref="H22" si="19">ROUND(G22*(1+$J$2),2)</f>
        <v>15.96</v>
      </c>
      <c r="I22" s="209">
        <f t="shared" ref="I22" si="20">ROUND($H22*F22,2)</f>
        <v>694.9</v>
      </c>
      <c r="J22" s="225">
        <f t="shared" si="16"/>
        <v>1.6076288919760831E-2</v>
      </c>
    </row>
    <row r="23" spans="1:10">
      <c r="A23" s="204" t="s">
        <v>26008</v>
      </c>
      <c r="B23" s="205" t="s">
        <v>26583</v>
      </c>
      <c r="C23" s="205">
        <v>10215</v>
      </c>
      <c r="D23" s="207" t="str">
        <f>IFERROR(PROPER(
IF($B23="DER-ES",INDEX('CDER-ES'!$B:$B,MATCH($C23,'CDER-ES'!$A:$A,0)),
IF($B23="SINAPI",INDEX(CSINAPI!$B:$B,MATCH($C23,CSINAPI!$A:$A,0)),
IF($B23="CESAN",INDEX(CCESAN!$B:$B,MATCH($C23,CCESAN!$A:$A,0)),
IF($B23="SCORIO",INDEX(CSCORIO!$B:$B,MATCH($C23,CSCORIO!$A:$A,0)),
IF($B23="MERC",INDEX(MERCADO!$B:$B,MATCH($C23,MERCADO!$A:$A,0)),
IF($B23="COMP",INDEX(COMPOSICAO!$B:$B,MATCH($C23,COMPOSICAO!$A:$A,0)),
""))))))),"*Verificar código*")</f>
        <v>Retirada De Esquadrias Metálicas</v>
      </c>
      <c r="E23" s="200" t="str">
        <f>IFERROR(LOWER(
IF($B23="DER-ES",INDEX('CDER-ES'!$C:$C,MATCH($C23,'CDER-ES'!$A:$A,0)),
IF($B23="SINAPI",INDEX(CSINAPI!$C:$C,MATCH($C23,CSINAPI!$A:$A,0)),
IF($B23="CESAN",INDEX(CCESAN!$C:$C,MATCH($C23,CCESAN!$A:$A,0)),
IF($B23="SCORIO",INDEX(CSCORIO!$A:$A,MATCH($C23,CSCORIO!#REF!,0)),
IF($B23="MERC",INDEX(MERCADO!$D:$D,MATCH($C23,MERCADO!$A:$A,0)),
IF($B23="COMP",INDEX(COMPOSICAO!$G:$G,MATCH($C23,COMPOSICAO!$A:$A,0)),
""))))))),"")</f>
        <v>m²</v>
      </c>
      <c r="F23" s="208">
        <f>VLOOKUP(A23,'MEMÓRIA DE CÁLCULO'!A:H,8,0)</f>
        <v>17.760000000000002</v>
      </c>
      <c r="G23" s="202">
        <f>IFERROR(
IF($B23="DER-ES",INDEX('CDER-ES'!$D:$D,MATCH($C23,'CDER-ES'!$A:$A,0)),
IF($B23="SINAPI",INDEX(CSINAPI!$D:$D,MATCH($C23,CSINAPI!$A:$A,0)),
IF($B23="CESAN",INDEX(CCESAN!$D:$D,MATCH($C23,CCESAN!$A:$A,0)),
IF($B23="SCORIO",INDEX(CSCORIO!$B:$B,MATCH($C23,CSCORIO!#REF!,0)),
IF($B23="MERC",INDEX(MERCADO!$E:$E,MATCH($C23,MERCADO!$A:$A,0)),
IF($B23="COMP",INDEX(COMPOSICAO!$H:$H,MATCH($C23,COMPOSICAO!$A:$A,0)),
0)))))),0)</f>
        <v>7.98</v>
      </c>
      <c r="H23" s="202">
        <f t="shared" si="12"/>
        <v>9.98</v>
      </c>
      <c r="I23" s="209">
        <f t="shared" si="13"/>
        <v>177.24</v>
      </c>
      <c r="J23" s="225">
        <f t="shared" si="16"/>
        <v>4.1003906290666423E-3</v>
      </c>
    </row>
    <row r="24" spans="1:10">
      <c r="A24" s="204" t="s">
        <v>26531</v>
      </c>
      <c r="B24" s="205" t="s">
        <v>26583</v>
      </c>
      <c r="C24" s="205">
        <v>10216</v>
      </c>
      <c r="D24" s="207" t="str">
        <f>IFERROR(PROPER(
IF($B24="DER-ES",INDEX('CDER-ES'!$B:$B,MATCH($C24,'CDER-ES'!$A:$A,0)),
IF($B24="SINAPI",INDEX(CSINAPI!$B:$B,MATCH($C24,CSINAPI!$A:$A,0)),
IF($B24="CESAN",INDEX(CCESAN!$B:$B,MATCH($C24,CCESAN!$A:$A,0)),
IF($B24="SCORIO",INDEX(CSCORIO!$B:$B,MATCH($C24,CSCORIO!$A:$A,0)),
IF($B24="MERC",INDEX(MERCADO!$B:$B,MATCH($C24,MERCADO!$A:$A,0)),
IF($B24="COMP",INDEX(COMPOSICAO!$B:$B,MATCH($C24,COMPOSICAO!$A:$A,0)),
""))))))),"*Verificar código*")</f>
        <v>Retirada De Meio-Fio De Concreto</v>
      </c>
      <c r="E24" s="200" t="str">
        <f>IFERROR(LOWER(
IF($B24="DER-ES",INDEX('CDER-ES'!$C:$C,MATCH($C24,'CDER-ES'!$A:$A,0)),
IF($B24="SINAPI",INDEX(CSINAPI!$C:$C,MATCH($C24,CSINAPI!$A:$A,0)),
IF($B24="CESAN",INDEX(CCESAN!$C:$C,MATCH($C24,CCESAN!$A:$A,0)),
IF($B24="SCORIO",INDEX(CSCORIO!$A:$A,MATCH($C24,CSCORIO!#REF!,0)),
IF($B24="MERC",INDEX(MERCADO!$D:$D,MATCH($C24,MERCADO!$A:$A,0)),
IF($B24="COMP",INDEX(COMPOSICAO!$G:$G,MATCH($C24,COMPOSICAO!$A:$A,0)),
""))))))),"")</f>
        <v>m</v>
      </c>
      <c r="F24" s="208">
        <f>VLOOKUP(A24,'MEMÓRIA DE CÁLCULO'!A:H,8,0)</f>
        <v>91.72</v>
      </c>
      <c r="G24" s="202">
        <f>IFERROR(
IF($B24="DER-ES",INDEX('CDER-ES'!$D:$D,MATCH($C24,'CDER-ES'!$A:$A,0)),
IF($B24="SINAPI",INDEX(CSINAPI!$D:$D,MATCH($C24,CSINAPI!$A:$A,0)),
IF($B24="CESAN",INDEX(CCESAN!$D:$D,MATCH($C24,CCESAN!$A:$A,0)),
IF($B24="SCORIO",INDEX(CSCORIO!$B:$B,MATCH($C24,CSCORIO!#REF!,0)),
IF($B24="MERC",INDEX(MERCADO!$E:$E,MATCH($C24,MERCADO!$A:$A,0)),
IF($B24="COMP",INDEX(COMPOSICAO!$H:$H,MATCH($C24,COMPOSICAO!$A:$A,0)),
0)))))),0)</f>
        <v>7.98</v>
      </c>
      <c r="H24" s="202">
        <f t="shared" ref="H24" si="21">ROUND(G24*(1+$J$2),2)</f>
        <v>9.98</v>
      </c>
      <c r="I24" s="209">
        <f t="shared" ref="I24" si="22">ROUND($H24*F24,2)</f>
        <v>915.37</v>
      </c>
      <c r="J24" s="225">
        <f t="shared" si="16"/>
        <v>2.1176791752023992E-2</v>
      </c>
    </row>
    <row r="25" spans="1:10">
      <c r="A25" s="204" t="s">
        <v>26589</v>
      </c>
      <c r="B25" s="205" t="s">
        <v>26583</v>
      </c>
      <c r="C25" s="205">
        <v>10223</v>
      </c>
      <c r="D25" s="207" t="str">
        <f>IFERROR(PROPER(
IF($B25="DER-ES",INDEX('CDER-ES'!$B:$B,MATCH($C25,'CDER-ES'!$A:$A,0)),
IF($B25="SINAPI",INDEX(CSINAPI!$B:$B,MATCH($C25,CSINAPI!$A:$A,0)),
IF($B25="CESAN",INDEX(CCESAN!$B:$B,MATCH($C25,CCESAN!$A:$A,0)),
IF($B25="SCORIO",INDEX(CSCORIO!$B:$B,MATCH($C25,CSCORIO!$A:$A,0)),
IF($B25="MERC",INDEX(MERCADO!$B:$B,MATCH($C25,MERCADO!$A:$A,0)),
IF($B25="COMP",INDEX(COMPOSICAO!$B:$B,MATCH($C25,COMPOSICAO!$A:$A,0)),
""))))))),"*Verificar código*")</f>
        <v>Retirada De Aparelhos Sanitários</v>
      </c>
      <c r="E25" s="200" t="str">
        <f>IFERROR(LOWER(
IF($B25="DER-ES",INDEX('CDER-ES'!$C:$C,MATCH($C25,'CDER-ES'!$A:$A,0)),
IF($B25="SINAPI",INDEX(CSINAPI!$C:$C,MATCH($C25,CSINAPI!$A:$A,0)),
IF($B25="CESAN",INDEX(CCESAN!$C:$C,MATCH($C25,CCESAN!$A:$A,0)),
IF($B25="SCORIO",INDEX(CSCORIO!$A:$A,MATCH($C25,CSCORIO!#REF!,0)),
IF($B25="MERC",INDEX(MERCADO!$D:$D,MATCH($C25,MERCADO!$A:$A,0)),
IF($B25="COMP",INDEX(COMPOSICAO!$G:$G,MATCH($C25,COMPOSICAO!$A:$A,0)),
""))))))),"")</f>
        <v>und</v>
      </c>
      <c r="F25" s="208">
        <f>VLOOKUP(A25,'MEMÓRIA DE CÁLCULO'!A:H,8,0)</f>
        <v>1</v>
      </c>
      <c r="G25" s="202">
        <f>IFERROR(
IF($B25="DER-ES",INDEX('CDER-ES'!$D:$D,MATCH($C25,'CDER-ES'!$A:$A,0)),
IF($B25="SINAPI",INDEX(CSINAPI!$D:$D,MATCH($C25,CSINAPI!$A:$A,0)),
IF($B25="CESAN",INDEX(CCESAN!$D:$D,MATCH($C25,CCESAN!$A:$A,0)),
IF($B25="SCORIO",INDEX(CSCORIO!$B:$B,MATCH($C25,CSCORIO!#REF!,0)),
IF($B25="MERC",INDEX(MERCADO!$E:$E,MATCH($C25,MERCADO!$A:$A,0)),
IF($B25="COMP",INDEX(COMPOSICAO!$H:$H,MATCH($C25,COMPOSICAO!$A:$A,0)),
0)))))),0)</f>
        <v>16.59</v>
      </c>
      <c r="H25" s="202">
        <f t="shared" si="12"/>
        <v>20.74</v>
      </c>
      <c r="I25" s="209">
        <f t="shared" si="13"/>
        <v>20.74</v>
      </c>
      <c r="J25" s="225">
        <f t="shared" si="16"/>
        <v>4.7981325686550526E-4</v>
      </c>
    </row>
    <row r="26" spans="1:10" ht="38.25">
      <c r="A26" s="204" t="s">
        <v>26590</v>
      </c>
      <c r="B26" s="205" t="s">
        <v>1019</v>
      </c>
      <c r="C26" s="205">
        <v>97642</v>
      </c>
      <c r="D26" s="207" t="str">
        <f>IFERROR(PROPER(
IF($B26="DER-ES",INDEX('CDER-ES'!$B:$B,MATCH($C26,'CDER-ES'!$A:$A,0)),
IF($B26="SINAPI",INDEX(CSINAPI!$B:$B,MATCH($C26,CSINAPI!$A:$A,0)),
IF($B26="CESAN",INDEX(CCESAN!$B:$B,MATCH($C26,CCESAN!$A:$A,0)),
IF($B26="SCORIO",INDEX(CSCORIO!$B:$B,MATCH($C26,CSCORIO!$A:$A,0)),
IF($B26="MERC",INDEX(MERCADO!$B:$B,MATCH($C26,MERCADO!$A:$A,0)),
IF($B26="COMP",INDEX(COMPOSICAO!$B:$B,MATCH($C26,COMPOSICAO!$A:$A,0)),
""))))))),"*Verificar código*")</f>
        <v>Remoção De Trama Metálica Ou De Madeira Para Forro, De Forma Manual, Sem Reaproveitamento. Af_12/2017</v>
      </c>
      <c r="E26" s="200" t="str">
        <f>IFERROR(LOWER(
IF($B26="DER-ES",INDEX('CDER-ES'!$C:$C,MATCH($C26,'CDER-ES'!$A:$A,0)),
IF($B26="SINAPI",INDEX(CSINAPI!$C:$C,MATCH($C26,CSINAPI!$A:$A,0)),
IF($B26="CESAN",INDEX(CCESAN!$C:$C,MATCH($C26,CCESAN!$A:$A,0)),
IF($B26="SCORIO",INDEX(CSCORIO!$A:$A,MATCH($C26,CSCORIO!#REF!,0)),
IF($B26="MERC",INDEX(MERCADO!$D:$D,MATCH($C26,MERCADO!$A:$A,0)),
IF($B26="COMP",INDEX(COMPOSICAO!$G:$G,MATCH($C26,COMPOSICAO!$A:$A,0)),
""))))))),"")</f>
        <v>m²</v>
      </c>
      <c r="F26" s="208">
        <f>VLOOKUP(A26,'MEMÓRIA DE CÁLCULO'!A:H,8,0)</f>
        <v>189.04</v>
      </c>
      <c r="G26" s="202">
        <f>IFERROR(
IF($B26="DER-ES",INDEX('CDER-ES'!$D:$D,MATCH($C26,'CDER-ES'!$A:$A,0)),
IF($B26="SINAPI",INDEX(CSINAPI!$D:$D,MATCH($C26,CSINAPI!$A:$A,0)),
IF($B26="CESAN",INDEX(CCESAN!$D:$D,MATCH($C26,CCESAN!$A:$A,0)),
IF($B26="SCORIO",INDEX(CSCORIO!$B:$B,MATCH($C26,CSCORIO!#REF!,0)),
IF($B26="MERC",INDEX(MERCADO!$E:$E,MATCH($C26,MERCADO!$A:$A,0)),
IF($B26="COMP",INDEX(COMPOSICAO!$H:$H,MATCH($C26,COMPOSICAO!$A:$A,0)),
0)))))),0)</f>
        <v>2.83</v>
      </c>
      <c r="H26" s="202">
        <f t="shared" ref="H26" si="23">ROUND(G26*(1+$J$2),2)</f>
        <v>3.54</v>
      </c>
      <c r="I26" s="209">
        <f t="shared" ref="I26" si="24">ROUND($H26*F26,2)</f>
        <v>669.2</v>
      </c>
      <c r="J26" s="225">
        <f t="shared" si="16"/>
        <v>1.548172765161023E-2</v>
      </c>
    </row>
    <row r="27" spans="1:10" ht="25.5">
      <c r="A27" s="204" t="s">
        <v>26591</v>
      </c>
      <c r="B27" s="205" t="s">
        <v>26583</v>
      </c>
      <c r="C27" s="205">
        <v>10228</v>
      </c>
      <c r="D27" s="207" t="str">
        <f>IFERROR(PROPER(
IF($B27="DER-ES",INDEX('CDER-ES'!$B:$B,MATCH($C27,'CDER-ES'!$A:$A,0)),
IF($B27="SINAPI",INDEX(CSINAPI!$B:$B,MATCH($C27,CSINAPI!$A:$A,0)),
IF($B27="CESAN",INDEX(CCESAN!$B:$B,MATCH($C27,CCESAN!$A:$A,0)),
IF($B27="SCORIO",INDEX(CSCORIO!$B:$B,MATCH($C27,CSCORIO!$A:$A,0)),
IF($B27="MERC",INDEX(MERCADO!$B:$B,MATCH($C27,MERCADO!$A:$A,0)),
IF($B27="COMP",INDEX(COMPOSICAO!$B:$B,MATCH($C27,COMPOSICAO!$A:$A,0)),
""))))))),"*Verificar código*")</f>
        <v>Demolição De Forro De Madeira, Sem Reaproveitamento</v>
      </c>
      <c r="E27" s="200" t="str">
        <f>IFERROR(LOWER(
IF($B27="DER-ES",INDEX('CDER-ES'!$C:$C,MATCH($C27,'CDER-ES'!$A:$A,0)),
IF($B27="SINAPI",INDEX(CSINAPI!$C:$C,MATCH($C27,CSINAPI!$A:$A,0)),
IF($B27="CESAN",INDEX(CCESAN!$C:$C,MATCH($C27,CCESAN!$A:$A,0)),
IF($B27="SCORIO",INDEX(CSCORIO!$A:$A,MATCH($C27,CSCORIO!#REF!,0)),
IF($B27="MERC",INDEX(MERCADO!$D:$D,MATCH($C27,MERCADO!$A:$A,0)),
IF($B27="COMP",INDEX(COMPOSICAO!$G:$G,MATCH($C27,COMPOSICAO!$A:$A,0)),
""))))))),"")</f>
        <v>m²</v>
      </c>
      <c r="F27" s="208">
        <f>VLOOKUP(A27,'MEMÓRIA DE CÁLCULO'!A:H,8,0)</f>
        <v>189.04</v>
      </c>
      <c r="G27" s="202">
        <f>IFERROR(
IF($B27="DER-ES",INDEX('CDER-ES'!$D:$D,MATCH($C27,'CDER-ES'!$A:$A,0)),
IF($B27="SINAPI",INDEX(CSINAPI!$D:$D,MATCH($C27,CSINAPI!$A:$A,0)),
IF($B27="CESAN",INDEX(CCESAN!$D:$D,MATCH($C27,CCESAN!$A:$A,0)),
IF($B27="SCORIO",INDEX(CSCORIO!$B:$B,MATCH($C27,CSCORIO!#REF!,0)),
IF($B27="MERC",INDEX(MERCADO!$E:$E,MATCH($C27,MERCADO!$A:$A,0)),
IF($B27="COMP",INDEX(COMPOSICAO!$H:$H,MATCH($C27,COMPOSICAO!$A:$A,0)),
0)))))),0)</f>
        <v>5.41</v>
      </c>
      <c r="H27" s="202">
        <f t="shared" ref="H27" si="25">ROUND(G27*(1+$J$2),2)</f>
        <v>6.76</v>
      </c>
      <c r="I27" s="209">
        <f t="shared" ref="I27" si="26">ROUND($H27*F27,2)</f>
        <v>1277.9100000000001</v>
      </c>
      <c r="J27" s="225">
        <f t="shared" si="16"/>
        <v>2.9564038528495561E-2</v>
      </c>
    </row>
    <row r="28" spans="1:10" ht="38.25">
      <c r="A28" s="204" t="s">
        <v>26592</v>
      </c>
      <c r="B28" s="205" t="s">
        <v>1019</v>
      </c>
      <c r="C28" s="206">
        <v>97650</v>
      </c>
      <c r="D28" s="207" t="str">
        <f>IFERROR(PROPER(
IF($B28="DER-ES",INDEX('CDER-ES'!$B:$B,MATCH($C28,'CDER-ES'!$A:$A,0)),
IF($B28="SINAPI",INDEX(CSINAPI!$B:$B,MATCH($C28,CSINAPI!$A:$A,0)),
IF($B28="CESAN",INDEX(CCESAN!$B:$B,MATCH($C28,CCESAN!$A:$A,0)),
IF($B28="SCORIO",INDEX(CSCORIO!$B:$B,MATCH($C28,CSCORIO!$A:$A,0)),
IF($B28="MERC",INDEX(MERCADO!$B:$B,MATCH($C28,MERCADO!$A:$A,0)),
IF($B28="COMP",INDEX(COMPOSICAO!$B:$B,MATCH($C28,COMPOSICAO!$A:$A,0)),
""))))))),"*Verificar código*")</f>
        <v>Remoção De Trama De Madeira Para Cobertura, De Forma Manual, Sem Reaproveitamento. Af_12/2017</v>
      </c>
      <c r="E28" s="200" t="str">
        <f>IFERROR(LOWER(
IF($B28="DER-ES",INDEX('CDER-ES'!$C:$C,MATCH($C28,'CDER-ES'!$A:$A,0)),
IF($B28="SINAPI",INDEX(CSINAPI!$C:$C,MATCH($C28,CSINAPI!$A:$A,0)),
IF($B28="CESAN",INDEX(CCESAN!$C:$C,MATCH($C28,CCESAN!$A:$A,0)),
IF($B28="SCORIO",INDEX(CSCORIO!$A:$A,MATCH($C28,CSCORIO!#REF!,0)),
IF($B28="MERC",INDEX(MERCADO!$D:$D,MATCH($C28,MERCADO!$A:$A,0)),
IF($B28="COMP",INDEX(COMPOSICAO!$G:$G,MATCH($C28,COMPOSICAO!$A:$A,0)),
""))))))),"")</f>
        <v>m²</v>
      </c>
      <c r="F28" s="208">
        <f>VLOOKUP(A28,'MEMÓRIA DE CÁLCULO'!A:H,8,0)</f>
        <v>185.92</v>
      </c>
      <c r="G28" s="202">
        <f>IFERROR(
IF($B28="DER-ES",INDEX('CDER-ES'!$D:$D,MATCH($C28,'CDER-ES'!$A:$A,0)),
IF($B28="SINAPI",INDEX(CSINAPI!$D:$D,MATCH($C28,CSINAPI!$A:$A,0)),
IF($B28="CESAN",INDEX(CCESAN!$D:$D,MATCH($C28,CCESAN!$A:$A,0)),
IF($B28="SCORIO",INDEX(CSCORIO!$B:$B,MATCH($C28,CSCORIO!#REF!,0)),
IF($B28="MERC",INDEX(MERCADO!$E:$E,MATCH($C28,MERCADO!$A:$A,0)),
IF($B28="COMP",INDEX(COMPOSICAO!$H:$H,MATCH($C28,COMPOSICAO!$A:$A,0)),
0)))))),0)</f>
        <v>6.2</v>
      </c>
      <c r="H28" s="202">
        <f>ROUND(G28*(1+$J$2),2)</f>
        <v>7.75</v>
      </c>
      <c r="I28" s="209">
        <f>ROUND($H28*F28,2)</f>
        <v>1440.88</v>
      </c>
      <c r="J28" s="225">
        <f t="shared" si="16"/>
        <v>3.3334297278320602E-2</v>
      </c>
    </row>
    <row r="29" spans="1:10" ht="25.5">
      <c r="A29" s="204" t="s">
        <v>28508</v>
      </c>
      <c r="B29" s="205" t="s">
        <v>26583</v>
      </c>
      <c r="C29" s="206">
        <v>10254</v>
      </c>
      <c r="D29" s="207" t="str">
        <f>IFERROR(PROPER(
IF($B29="DER-ES",INDEX('CDER-ES'!$B:$B,MATCH($C29,'CDER-ES'!$A:$A,0)),
IF($B29="SINAPI",INDEX(CSINAPI!$B:$B,MATCH($C29,CSINAPI!$A:$A,0)),
IF($B29="CESAN",INDEX(CCESAN!$B:$B,MATCH($C29,CCESAN!$A:$A,0)),
IF($B29="SCORIO",INDEX(CSCORIO!$B:$B,MATCH($C29,CSCORIO!$A:$A,0)),
IF($B29="MERC",INDEX(MERCADO!$B:$B,MATCH($C29,MERCADO!$A:$A,0)),
IF($B29="COMP",INDEX(COMPOSICAO!$B:$B,MATCH($C29,COMPOSICAO!$A:$A,0)),
""))))))),"*Verificar código*")</f>
        <v>Remoção De Telhas Cerâmica, Tipo Francesa, Inclusive Cumeeira</v>
      </c>
      <c r="E29" s="200" t="str">
        <f>IFERROR(LOWER(
IF($B29="DER-ES",INDEX('CDER-ES'!$C:$C,MATCH($C29,'CDER-ES'!$A:$A,0)),
IF($B29="SINAPI",INDEX(CSINAPI!$C:$C,MATCH($C29,CSINAPI!$A:$A,0)),
IF($B29="CESAN",INDEX(CCESAN!$C:$C,MATCH($C29,CCESAN!$A:$A,0)),
IF($B29="SCORIO",INDEX(CSCORIO!$A:$A,MATCH($C29,CSCORIO!#REF!,0)),
IF($B29="MERC",INDEX(MERCADO!$D:$D,MATCH($C29,MERCADO!$A:$A,0)),
IF($B29="COMP",INDEX(COMPOSICAO!$G:$G,MATCH($C29,COMPOSICAO!$A:$A,0)),
""))))))),"")</f>
        <v>m²</v>
      </c>
      <c r="F29" s="208">
        <f>VLOOKUP(A29,'MEMÓRIA DE CÁLCULO'!A:H,8,0)</f>
        <v>185.92</v>
      </c>
      <c r="G29" s="202">
        <f>IFERROR(
IF($B29="DER-ES",INDEX('CDER-ES'!$D:$D,MATCH($C29,'CDER-ES'!$A:$A,0)),
IF($B29="SINAPI",INDEX(CSINAPI!$D:$D,MATCH($C29,CSINAPI!$A:$A,0)),
IF($B29="CESAN",INDEX(CCESAN!$D:$D,MATCH($C29,CCESAN!$A:$A,0)),
IF($B29="SCORIO",INDEX(CSCORIO!$B:$B,MATCH($C29,CSCORIO!#REF!,0)),
IF($B29="MERC",INDEX(MERCADO!$E:$E,MATCH($C29,MERCADO!$A:$A,0)),
IF($B29="COMP",INDEX(COMPOSICAO!$H:$H,MATCH($C29,COMPOSICAO!$A:$A,0)),
0)))))),0)</f>
        <v>7.77</v>
      </c>
      <c r="H29" s="202">
        <f t="shared" ref="H29" si="27">ROUND(G29*(1+$J$2),2)</f>
        <v>9.7100000000000009</v>
      </c>
      <c r="I29" s="209">
        <f>ROUND($H29*F29,2)</f>
        <v>1805.28</v>
      </c>
      <c r="J29" s="225">
        <f t="shared" si="16"/>
        <v>4.1764574559024076E-2</v>
      </c>
    </row>
    <row r="30" spans="1:10" ht="25.5">
      <c r="A30" s="204" t="s">
        <v>28525</v>
      </c>
      <c r="B30" s="205" t="s">
        <v>26583</v>
      </c>
      <c r="C30" s="205">
        <v>10234</v>
      </c>
      <c r="D30" s="207" t="str">
        <f>IFERROR(PROPER(
IF($B30="DER-ES",INDEX('CDER-ES'!$B:$B,MATCH($C30,'CDER-ES'!$A:$A,0)),
IF($B30="SINAPI",INDEX(CSINAPI!$B:$B,MATCH($C30,CSINAPI!$A:$A,0)),
IF($B30="CESAN",INDEX(CCESAN!$B:$B,MATCH($C30,CCESAN!$A:$A,0)),
IF($B30="SCORIO",INDEX(CSCORIO!$B:$B,MATCH($C30,CSCORIO!$A:$A,0)),
IF($B30="MERC",INDEX(MERCADO!$B:$B,MATCH($C30,MERCADO!$A:$A,0)),
IF($B30="COMP",INDEX(COMPOSICAO!$B:$B,MATCH($C30,COMPOSICAO!$A:$A,0)),
""))))))),"*Verificar código*")</f>
        <v>Demolição De Laje Pré-Moldada De Concreto</v>
      </c>
      <c r="E30" s="200" t="str">
        <f>IFERROR(LOWER(
IF($B30="DER-ES",INDEX('CDER-ES'!$C:$C,MATCH($C30,'CDER-ES'!$A:$A,0)),
IF($B30="SINAPI",INDEX(CSINAPI!$C:$C,MATCH($C30,CSINAPI!$A:$A,0)),
IF($B30="CESAN",INDEX(CCESAN!$C:$C,MATCH($C30,CCESAN!$A:$A,0)),
IF($B30="SCORIO",INDEX(CSCORIO!$A:$A,MATCH($C30,CSCORIO!#REF!,0)),
IF($B30="MERC",INDEX(MERCADO!$D:$D,MATCH($C30,MERCADO!$A:$A,0)),
IF($B30="COMP",INDEX(COMPOSICAO!$G:$G,MATCH($C30,COMPOSICAO!$A:$A,0)),
""))))))),"")</f>
        <v>m²</v>
      </c>
      <c r="F30" s="208">
        <f>VLOOKUP(A30,'MEMÓRIA DE CÁLCULO'!A:H,8,0)</f>
        <v>17.96</v>
      </c>
      <c r="G30" s="202">
        <f>IFERROR(
IF($B30="DER-ES",INDEX('CDER-ES'!$D:$D,MATCH($C30,'CDER-ES'!$A:$A,0)),
IF($B30="SINAPI",INDEX(CSINAPI!$D:$D,MATCH($C30,CSINAPI!$A:$A,0)),
IF($B30="CESAN",INDEX(CCESAN!$D:$D,MATCH($C30,CCESAN!$A:$A,0)),
IF($B30="SCORIO",INDEX(CSCORIO!$B:$B,MATCH($C30,CSCORIO!#REF!,0)),
IF($B30="MERC",INDEX(MERCADO!$E:$E,MATCH($C30,MERCADO!$A:$A,0)),
IF($B30="COMP",INDEX(COMPOSICAO!$H:$H,MATCH($C30,COMPOSICAO!$A:$A,0)),
0)))))),0)</f>
        <v>20.75</v>
      </c>
      <c r="H30" s="202">
        <f t="shared" ref="H30" si="28">ROUND(G30*(1+$J$2),2)</f>
        <v>25.94</v>
      </c>
      <c r="I30" s="209">
        <f t="shared" ref="I30" si="29">ROUND($H30*F30,2)</f>
        <v>465.88</v>
      </c>
      <c r="J30" s="225">
        <f t="shared" si="16"/>
        <v>1.0777984576109045E-2</v>
      </c>
    </row>
    <row r="31" spans="1:10" ht="25.5">
      <c r="A31" s="204" t="s">
        <v>28538</v>
      </c>
      <c r="B31" s="205" t="s">
        <v>26583</v>
      </c>
      <c r="C31" s="205">
        <v>10259</v>
      </c>
      <c r="D31" s="207" t="str">
        <f>IFERROR(PROPER(
IF($B31="DER-ES",INDEX('CDER-ES'!$B:$B,MATCH($C31,'CDER-ES'!$A:$A,0)),
IF($B31="SINAPI",INDEX(CSINAPI!$B:$B,MATCH($C31,CSINAPI!$A:$A,0)),
IF($B31="CESAN",INDEX(CCESAN!$B:$B,MATCH($C31,CCESAN!$A:$A,0)),
IF($B31="SCORIO",INDEX(CSCORIO!$B:$B,MATCH($C31,CSCORIO!$A:$A,0)),
IF($B31="MERC",INDEX(MERCADO!$B:$B,MATCH($C31,MERCADO!$A:$A,0)),
IF($B31="COMP",INDEX(COMPOSICAO!$B:$B,MATCH($C31,COMPOSICAO!$A:$A,0)),
""))))))),"*Verificar código*")</f>
        <v>Retirada De Rodapé De Madeira Ou Cerâmica</v>
      </c>
      <c r="E31" s="200" t="str">
        <f>IFERROR(LOWER(
IF($B31="DER-ES",INDEX('CDER-ES'!$C:$C,MATCH($C31,'CDER-ES'!$A:$A,0)),
IF($B31="SINAPI",INDEX(CSINAPI!$C:$C,MATCH($C31,CSINAPI!$A:$A,0)),
IF($B31="CESAN",INDEX(CCESAN!$C:$C,MATCH($C31,CCESAN!$A:$A,0)),
IF($B31="SCORIO",INDEX(CSCORIO!$A:$A,MATCH($C31,CSCORIO!#REF!,0)),
IF($B31="MERC",INDEX(MERCADO!$D:$D,MATCH($C31,MERCADO!$A:$A,0)),
IF($B31="COMP",INDEX(COMPOSICAO!$G:$G,MATCH($C31,COMPOSICAO!$A:$A,0)),
""))))))),"")</f>
        <v>m</v>
      </c>
      <c r="F31" s="208">
        <f>VLOOKUP(A31,'MEMÓRIA DE CÁLCULO'!A:H,8,0)</f>
        <v>110.7</v>
      </c>
      <c r="G31" s="202">
        <f>IFERROR(
IF($B31="DER-ES",INDEX('CDER-ES'!$D:$D,MATCH($C31,'CDER-ES'!$A:$A,0)),
IF($B31="SINAPI",INDEX(CSINAPI!$D:$D,MATCH($C31,CSINAPI!$A:$A,0)),
IF($B31="CESAN",INDEX(CCESAN!$D:$D,MATCH($C31,CCESAN!$A:$A,0)),
IF($B31="SCORIO",INDEX(CSCORIO!$B:$B,MATCH($C31,CSCORIO!#REF!,0)),
IF($B31="MERC",INDEX(MERCADO!$E:$E,MATCH($C31,MERCADO!$A:$A,0)),
IF($B31="COMP",INDEX(COMPOSICAO!$H:$H,MATCH($C31,COMPOSICAO!$A:$A,0)),
0)))))),0)</f>
        <v>1.86</v>
      </c>
      <c r="H31" s="202">
        <f t="shared" si="12"/>
        <v>2.33</v>
      </c>
      <c r="I31" s="209">
        <f t="shared" si="13"/>
        <v>257.93</v>
      </c>
      <c r="J31" s="225">
        <f t="shared" si="16"/>
        <v>5.9671279336219758E-3</v>
      </c>
    </row>
    <row r="32" spans="1:10">
      <c r="A32" s="204" t="s">
        <v>28579</v>
      </c>
      <c r="B32" s="205" t="s">
        <v>26583</v>
      </c>
      <c r="C32" s="206">
        <v>10271</v>
      </c>
      <c r="D32" s="207" t="str">
        <f>IFERROR(PROPER(
IF($B32="DER-ES",INDEX('CDER-ES'!$B:$B,MATCH($C32,'CDER-ES'!$A:$A,0)),
IF($B32="SINAPI",INDEX(CSINAPI!$B:$B,MATCH($C32,CSINAPI!$A:$A,0)),
IF($B32="CESAN",INDEX(CCESAN!$B:$B,MATCH($C32,CCESAN!$A:$A,0)),
IF($B32="SCORIO",INDEX(CSCORIO!$B:$B,MATCH($C32,CSCORIO!$A:$A,0)),
IF($B32="MERC",INDEX(MERCADO!$B:$B,MATCH($C32,MERCADO!$A:$A,0)),
IF($B32="COMP",INDEX(COMPOSICAO!$B:$B,MATCH($C32,COMPOSICAO!$A:$A,0)),
""))))))),"*Verificar código*")</f>
        <v>Retirada De Caixas/Quadros Elétricos</v>
      </c>
      <c r="E32" s="200" t="str">
        <f>IFERROR(LOWER(
IF($B32="DER-ES",INDEX('CDER-ES'!$C:$C,MATCH($C32,'CDER-ES'!$A:$A,0)),
IF($B32="SINAPI",INDEX(CSINAPI!$C:$C,MATCH($C32,CSINAPI!$A:$A,0)),
IF($B32="CESAN",INDEX(CCESAN!$C:$C,MATCH($C32,CCESAN!$A:$A,0)),
IF($B32="SCORIO",INDEX(CSCORIO!$A:$A,MATCH($C32,CSCORIO!#REF!,0)),
IF($B32="MERC",INDEX(MERCADO!$D:$D,MATCH($C32,MERCADO!$A:$A,0)),
IF($B32="COMP",INDEX(COMPOSICAO!$G:$G,MATCH($C32,COMPOSICAO!$A:$A,0)),
""))))))),"")</f>
        <v>und</v>
      </c>
      <c r="F32" s="208">
        <f>VLOOKUP(A32,'MEMÓRIA DE CÁLCULO'!A:H,8,0)</f>
        <v>2</v>
      </c>
      <c r="G32" s="202">
        <f>IFERROR(
IF($B32="DER-ES",INDEX('CDER-ES'!$D:$D,MATCH($C32,'CDER-ES'!$A:$A,0)),
IF($B32="SINAPI",INDEX(CSINAPI!$D:$D,MATCH($C32,CSINAPI!$A:$A,0)),
IF($B32="CESAN",INDEX(CCESAN!$D:$D,MATCH($C32,CCESAN!$A:$A,0)),
IF($B32="SCORIO",INDEX(CSCORIO!$B:$B,MATCH($C32,CSCORIO!#REF!,0)),
IF($B32="MERC",INDEX(MERCADO!$E:$E,MATCH($C32,MERCADO!$A:$A,0)),
IF($B32="COMP",INDEX(COMPOSICAO!$H:$H,MATCH($C32,COMPOSICAO!$A:$A,0)),
0)))))),0)</f>
        <v>11.88</v>
      </c>
      <c r="H32" s="202">
        <f t="shared" ref="H32" si="30">ROUND(G32*(1+$J$2),2)</f>
        <v>14.85</v>
      </c>
      <c r="I32" s="209">
        <f t="shared" ref="I32" si="31">ROUND($H32*F32,2)</f>
        <v>29.7</v>
      </c>
      <c r="J32" s="225">
        <f t="shared" si="16"/>
        <v>6.8709998692890583E-4</v>
      </c>
    </row>
    <row r="33" spans="1:10" ht="51">
      <c r="A33" s="204" t="s">
        <v>28580</v>
      </c>
      <c r="B33" s="205" t="s">
        <v>1019</v>
      </c>
      <c r="C33" s="206">
        <v>97643</v>
      </c>
      <c r="D33" s="207" t="str">
        <f>IFERROR(PROPER(
IF($B33="DER-ES",INDEX('CDER-ES'!$B:$B,MATCH($C33,'CDER-ES'!$A:$A,0)),
IF($B33="SINAPI",INDEX(CSINAPI!$B:$B,MATCH($C33,CSINAPI!$A:$A,0)),
IF($B33="CESAN",INDEX(CCESAN!$B:$B,MATCH($C33,CCESAN!$A:$A,0)),
IF($B33="SCORIO",INDEX(CSCORIO!$B:$B,MATCH($C33,CSCORIO!$A:$A,0)),
IF($B33="MERC",INDEX(MERCADO!$B:$B,MATCH($C33,MERCADO!$A:$A,0)),
IF($B33="COMP",INDEX(COMPOSICAO!$B:$B,MATCH($C33,COMPOSICAO!$A:$A,0)),
""))))))),"*Verificar código*")</f>
        <v>Remoção De Piso De Madeira (Assoalho E Barrote), De Forma Manual, Sem Reaproveitamento. Af_12/2017</v>
      </c>
      <c r="E33" s="200" t="str">
        <f>IFERROR(LOWER(
IF($B33="DER-ES",INDEX('CDER-ES'!$C:$C,MATCH($C33,'CDER-ES'!$A:$A,0)),
IF($B33="SINAPI",INDEX(CSINAPI!$C:$C,MATCH($C33,CSINAPI!$A:$A,0)),
IF($B33="CESAN",INDEX(CCESAN!$C:$C,MATCH($C33,CCESAN!$A:$A,0)),
IF($B33="SCORIO",INDEX(CSCORIO!$A:$A,MATCH($C33,CSCORIO!#REF!,0)),
IF($B33="MERC",INDEX(MERCADO!$D:$D,MATCH($C33,MERCADO!$A:$A,0)),
IF($B33="COMP",INDEX(COMPOSICAO!$G:$G,MATCH($C33,COMPOSICAO!$A:$A,0)),
""))))))),"")</f>
        <v>m²</v>
      </c>
      <c r="F33" s="208">
        <f>VLOOKUP(A33,'MEMÓRIA DE CÁLCULO'!A:H,8,0)</f>
        <v>173.15</v>
      </c>
      <c r="G33" s="202">
        <f>IFERROR(
IF($B33="DER-ES",INDEX('CDER-ES'!$D:$D,MATCH($C33,'CDER-ES'!$A:$A,0)),
IF($B33="SINAPI",INDEX(CSINAPI!$D:$D,MATCH($C33,CSINAPI!$A:$A,0)),
IF($B33="CESAN",INDEX(CCESAN!$D:$D,MATCH($C33,CCESAN!$A:$A,0)),
IF($B33="SCORIO",INDEX(CSCORIO!$B:$B,MATCH($C33,CSCORIO!#REF!,0)),
IF($B33="MERC",INDEX(MERCADO!$E:$E,MATCH($C33,MERCADO!$A:$A,0)),
IF($B33="COMP",INDEX(COMPOSICAO!$H:$H,MATCH($C33,COMPOSICAO!$A:$A,0)),
0)))))),0)</f>
        <v>21.27</v>
      </c>
      <c r="H33" s="202">
        <f t="shared" si="12"/>
        <v>26.59</v>
      </c>
      <c r="I33" s="209">
        <f t="shared" si="13"/>
        <v>4604.0600000000004</v>
      </c>
      <c r="J33" s="225">
        <f t="shared" si="16"/>
        <v>0.10651345339460938</v>
      </c>
    </row>
    <row r="34" spans="1:10" ht="38.25">
      <c r="A34" s="204" t="s">
        <v>28581</v>
      </c>
      <c r="B34" s="205" t="s">
        <v>1019</v>
      </c>
      <c r="C34" s="206">
        <v>97639</v>
      </c>
      <c r="D34" s="207" t="str">
        <f>IFERROR(PROPER(
IF($B34="DER-ES",INDEX('CDER-ES'!$B:$B,MATCH($C34,'CDER-ES'!$A:$A,0)),
IF($B34="SINAPI",INDEX(CSINAPI!$B:$B,MATCH($C34,CSINAPI!$A:$A,0)),
IF($B34="CESAN",INDEX(CCESAN!$B:$B,MATCH($C34,CCESAN!$A:$A,0)),
IF($B34="SCORIO",INDEX(CSCORIO!$B:$B,MATCH($C34,CSCORIO!$A:$A,0)),
IF($B34="MERC",INDEX(MERCADO!$B:$B,MATCH($C34,MERCADO!$A:$A,0)),
IF($B34="COMP",INDEX(COMPOSICAO!$B:$B,MATCH($C34,COMPOSICAO!$A:$A,0)),
""))))))),"*Verificar código*")</f>
        <v>Remoção De Placas E Pilaretes De Concreto, De Forma Manual, Sem Reaproveitamento. Af_12/2017</v>
      </c>
      <c r="E34" s="200" t="str">
        <f>IFERROR(LOWER(
IF($B34="DER-ES",INDEX('CDER-ES'!$C:$C,MATCH($C34,'CDER-ES'!$A:$A,0)),
IF($B34="SINAPI",INDEX(CSINAPI!$C:$C,MATCH($C34,CSINAPI!$A:$A,0)),
IF($B34="CESAN",INDEX(CCESAN!$C:$C,MATCH($C34,CCESAN!$A:$A,0)),
IF($B34="SCORIO",INDEX(CSCORIO!$A:$A,MATCH($C34,CSCORIO!#REF!,0)),
IF($B34="MERC",INDEX(MERCADO!$D:$D,MATCH($C34,MERCADO!$A:$A,0)),
IF($B34="COMP",INDEX(COMPOSICAO!$G:$G,MATCH($C34,COMPOSICAO!$A:$A,0)),
""))))))),"")</f>
        <v>m²</v>
      </c>
      <c r="F34" s="208">
        <f>VLOOKUP(A34,'MEMÓRIA DE CÁLCULO'!A:H,8,0)</f>
        <v>31.5</v>
      </c>
      <c r="G34" s="202">
        <f>IFERROR(
IF($B34="DER-ES",INDEX('CDER-ES'!$D:$D,MATCH($C34,'CDER-ES'!$A:$A,0)),
IF($B34="SINAPI",INDEX(CSINAPI!$D:$D,MATCH($C34,CSINAPI!$A:$A,0)),
IF($B34="CESAN",INDEX(CCESAN!$D:$D,MATCH($C34,CCESAN!$A:$A,0)),
IF($B34="SCORIO",INDEX(CSCORIO!$B:$B,MATCH($C34,CSCORIO!#REF!,0)),
IF($B34="MERC",INDEX(MERCADO!$E:$E,MATCH($C34,MERCADO!$A:$A,0)),
IF($B34="COMP",INDEX(COMPOSICAO!$H:$H,MATCH($C34,COMPOSICAO!$A:$A,0)),
0)))))),0)</f>
        <v>17.29</v>
      </c>
      <c r="H34" s="202">
        <f t="shared" ref="H34" si="32">ROUND(G34*(1+$J$2),2)</f>
        <v>21.61</v>
      </c>
      <c r="I34" s="209">
        <f t="shared" ref="I34" si="33">ROUND($H34*F34,2)</f>
        <v>680.72</v>
      </c>
      <c r="J34" s="225">
        <f t="shared" si="16"/>
        <v>1.5748239161691744E-2</v>
      </c>
    </row>
    <row r="35" spans="1:10" ht="25.5">
      <c r="A35" s="204" t="s">
        <v>28582</v>
      </c>
      <c r="B35" s="205" t="s">
        <v>26583</v>
      </c>
      <c r="C35" s="206">
        <v>10403</v>
      </c>
      <c r="D35" s="207" t="str">
        <f>IFERROR(PROPER(
IF($B35="DER-ES",INDEX('CDER-ES'!$B:$B,MATCH($C35,'CDER-ES'!$A:$A,0)),
IF($B35="SINAPI",INDEX(CSINAPI!$B:$B,MATCH($C35,CSINAPI!$A:$A,0)),
IF($B35="CESAN",INDEX(CCESAN!$B:$B,MATCH($C35,CCESAN!$A:$A,0)),
IF($B35="SCORIO",INDEX(CSCORIO!$B:$B,MATCH($C35,CSCORIO!$A:$A,0)),
IF($B35="MERC",INDEX(MERCADO!$B:$B,MATCH($C35,MERCADO!$A:$A,0)),
IF($B35="COMP",INDEX(COMPOSICAO!$B:$B,MATCH($C35,COMPOSICAO!$A:$A,0)),
""))))))),"*Verificar código*")</f>
        <v>Corte E Destocamento De Árvores Com Diâmetro De Até 15 Cm</v>
      </c>
      <c r="E35" s="200" t="str">
        <f>IFERROR(LOWER(
IF($B35="DER-ES",INDEX('CDER-ES'!$C:$C,MATCH($C35,'CDER-ES'!$A:$A,0)),
IF($B35="SINAPI",INDEX(CSINAPI!$C:$C,MATCH($C35,CSINAPI!$A:$A,0)),
IF($B35="CESAN",INDEX(CCESAN!$C:$C,MATCH($C35,CCESAN!$A:$A,0)),
IF($B35="SCORIO",INDEX(CSCORIO!$A:$A,MATCH($C35,CSCORIO!#REF!,0)),
IF($B35="MERC",INDEX(MERCADO!$D:$D,MATCH($C35,MERCADO!$A:$A,0)),
IF($B35="COMP",INDEX(COMPOSICAO!$G:$G,MATCH($C35,COMPOSICAO!$A:$A,0)),
""))))))),"")</f>
        <v>und</v>
      </c>
      <c r="F35" s="208">
        <f>VLOOKUP(A35,'MEMÓRIA DE CÁLCULO'!A:H,8,0)</f>
        <v>1</v>
      </c>
      <c r="G35" s="202">
        <f>IFERROR(
IF($B35="DER-ES",INDEX('CDER-ES'!$D:$D,MATCH($C35,'CDER-ES'!$A:$A,0)),
IF($B35="SINAPI",INDEX(CSINAPI!$D:$D,MATCH($C35,CSINAPI!$A:$A,0)),
IF($B35="CESAN",INDEX(CCESAN!$D:$D,MATCH($C35,CCESAN!$A:$A,0)),
IF($B35="SCORIO",INDEX(CSCORIO!$B:$B,MATCH($C35,CSCORIO!#REF!,0)),
IF($B35="MERC",INDEX(MERCADO!$E:$E,MATCH($C35,MERCADO!$A:$A,0)),
IF($B35="COMP",INDEX(COMPOSICAO!$H:$H,MATCH($C35,COMPOSICAO!$A:$A,0)),
0)))))),0)</f>
        <v>42.15</v>
      </c>
      <c r="H35" s="202">
        <f>ROUND(G35*(1+$J$2),2)</f>
        <v>52.69</v>
      </c>
      <c r="I35" s="209">
        <f>ROUND($H35*F35,2)</f>
        <v>52.69</v>
      </c>
      <c r="J35" s="225">
        <f t="shared" si="16"/>
        <v>1.2189662731072069E-3</v>
      </c>
    </row>
    <row r="36" spans="1:10" ht="25.5">
      <c r="A36" s="204" t="s">
        <v>28709</v>
      </c>
      <c r="B36" s="205" t="s">
        <v>26583</v>
      </c>
      <c r="C36" s="206">
        <v>10404</v>
      </c>
      <c r="D36" s="207" t="str">
        <f>IFERROR(PROPER(
IF($B36="DER-ES",INDEX('CDER-ES'!$B:$B,MATCH($C36,'CDER-ES'!$A:$A,0)),
IF($B36="SINAPI",INDEX(CSINAPI!$B:$B,MATCH($C36,CSINAPI!$A:$A,0)),
IF($B36="CESAN",INDEX(CCESAN!$B:$B,MATCH($C36,CCESAN!$A:$A,0)),
IF($B36="SCORIO",INDEX(CSCORIO!$B:$B,MATCH($C36,CSCORIO!$A:$A,0)),
IF($B36="MERC",INDEX(MERCADO!$B:$B,MATCH($C36,MERCADO!$A:$A,0)),
IF($B36="COMP",INDEX(COMPOSICAO!$B:$B,MATCH($C36,COMPOSICAO!$A:$A,0)),
""))))))),"*Verificar código*")</f>
        <v>Corte E Destocamento De Árvores Com Diâmetro Superior A 30 Cm</v>
      </c>
      <c r="E36" s="200" t="str">
        <f>IFERROR(LOWER(
IF($B36="DER-ES",INDEX('CDER-ES'!$C:$C,MATCH($C36,'CDER-ES'!$A:$A,0)),
IF($B36="SINAPI",INDEX(CSINAPI!$C:$C,MATCH($C36,CSINAPI!$A:$A,0)),
IF($B36="CESAN",INDEX(CCESAN!$C:$C,MATCH($C36,CCESAN!$A:$A,0)),
IF($B36="SCORIO",INDEX(CSCORIO!$A:$A,MATCH($C36,CSCORIO!#REF!,0)),
IF($B36="MERC",INDEX(MERCADO!$D:$D,MATCH($C36,MERCADO!$A:$A,0)),
IF($B36="COMP",INDEX(COMPOSICAO!$G:$G,MATCH($C36,COMPOSICAO!$A:$A,0)),
""))))))),"")</f>
        <v>und</v>
      </c>
      <c r="F36" s="208">
        <f>VLOOKUP(A36,'MEMÓRIA DE CÁLCULO'!A:H,8,0)</f>
        <v>3</v>
      </c>
      <c r="G36" s="202">
        <f>IFERROR(
IF($B36="DER-ES",INDEX('CDER-ES'!$D:$D,MATCH($C36,'CDER-ES'!$A:$A,0)),
IF($B36="SINAPI",INDEX(CSINAPI!$D:$D,MATCH($C36,CSINAPI!$A:$A,0)),
IF($B36="CESAN",INDEX(CCESAN!$D:$D,MATCH($C36,CCESAN!$A:$A,0)),
IF($B36="SCORIO",INDEX(CSCORIO!$B:$B,MATCH($C36,CSCORIO!#REF!,0)),
IF($B36="MERC",INDEX(MERCADO!$E:$E,MATCH($C36,MERCADO!$A:$A,0)),
IF($B36="COMP",INDEX(COMPOSICAO!$H:$H,MATCH($C36,COMPOSICAO!$A:$A,0)),
0)))))),0)</f>
        <v>104.81</v>
      </c>
      <c r="H36" s="202">
        <f t="shared" ref="H36" si="34">ROUND(G36*(1+$J$2),2)</f>
        <v>131.01</v>
      </c>
      <c r="I36" s="209">
        <f>ROUND($H36*F36,2)</f>
        <v>393.03</v>
      </c>
      <c r="J36" s="225">
        <f t="shared" si="16"/>
        <v>9.0926231603591871E-3</v>
      </c>
    </row>
    <row r="37" spans="1:10" ht="38.25">
      <c r="A37" s="204" t="s">
        <v>28710</v>
      </c>
      <c r="B37" s="205" t="s">
        <v>26583</v>
      </c>
      <c r="C37" s="206">
        <v>10227</v>
      </c>
      <c r="D37" s="207" t="str">
        <f>IFERROR(PROPER(
IF($B37="DER-ES",INDEX('CDER-ES'!$B:$B,MATCH($C37,'CDER-ES'!$A:$A,0)),
IF($B37="SINAPI",INDEX(CSINAPI!$B:$B,MATCH($C37,CSINAPI!$A:$A,0)),
IF($B37="CESAN",INDEX(CCESAN!$B:$B,MATCH($C37,CCESAN!$A:$A,0)),
IF($B37="SCORIO",INDEX(CSCORIO!$B:$B,MATCH($C37,CSCORIO!$A:$A,0)),
IF($B37="MERC",INDEX(MERCADO!$B:$B,MATCH($C37,MERCADO!$A:$A,0)),
IF($B37="COMP",INDEX(COMPOSICAO!$B:$B,MATCH($C37,COMPOSICAO!$A:$A,0)),
""))))))),"*Verificar código*")</f>
        <v>Retirada De Caixa Dágua De Fibrocimento, Inclusive Tubulação De Ligação</v>
      </c>
      <c r="E37" s="200" t="str">
        <f>IFERROR(LOWER(
IF($B37="DER-ES",INDEX('CDER-ES'!$C:$C,MATCH($C37,'CDER-ES'!$A:$A,0)),
IF($B37="SINAPI",INDEX(CSINAPI!$C:$C,MATCH($C37,CSINAPI!$A:$A,0)),
IF($B37="CESAN",INDEX(CCESAN!$C:$C,MATCH($C37,CCESAN!$A:$A,0)),
IF($B37="SCORIO",INDEX(CSCORIO!$A:$A,MATCH($C37,CSCORIO!#REF!,0)),
IF($B37="MERC",INDEX(MERCADO!$D:$D,MATCH($C37,MERCADO!$A:$A,0)),
IF($B37="COMP",INDEX(COMPOSICAO!$G:$G,MATCH($C37,COMPOSICAO!$A:$A,0)),
""))))))),"")</f>
        <v>und</v>
      </c>
      <c r="F37" s="208">
        <f>VLOOKUP(A37,'MEMÓRIA DE CÁLCULO'!A:H,8,0)</f>
        <v>1</v>
      </c>
      <c r="G37" s="202">
        <f>IFERROR(
IF($B37="DER-ES",INDEX('CDER-ES'!$D:$D,MATCH($C37,'CDER-ES'!$A:$A,0)),
IF($B37="SINAPI",INDEX(CSINAPI!$D:$D,MATCH($C37,CSINAPI!$A:$A,0)),
IF($B37="CESAN",INDEX(CCESAN!$D:$D,MATCH($C37,CCESAN!$A:$A,0)),
IF($B37="SCORIO",INDEX(CSCORIO!$B:$B,MATCH($C37,CSCORIO!#REF!,0)),
IF($B37="MERC",INDEX(MERCADO!$E:$E,MATCH($C37,MERCADO!$A:$A,0)),
IF($B37="COMP",INDEX(COMPOSICAO!$H:$H,MATCH($C37,COMPOSICAO!$A:$A,0)),
0)))))),0)</f>
        <v>33.17</v>
      </c>
      <c r="H37" s="202">
        <f t="shared" ref="H37" si="35">ROUND(G37*(1+$J$2),2)</f>
        <v>41.46</v>
      </c>
      <c r="I37" s="209">
        <f>ROUND($H37*F37,2)</f>
        <v>41.46</v>
      </c>
      <c r="J37" s="225">
        <f t="shared" si="16"/>
        <v>9.591638201371191E-4</v>
      </c>
    </row>
    <row r="38" spans="1:10" ht="38.25">
      <c r="A38" s="204" t="s">
        <v>29116</v>
      </c>
      <c r="B38" s="205" t="s">
        <v>1020</v>
      </c>
      <c r="C38" s="206">
        <v>47</v>
      </c>
      <c r="D38" s="207" t="str">
        <f>IFERROR(PROPER(
IF($B38="DER-ES",INDEX('CDER-ES'!$B:$B,MATCH($C38,'CDER-ES'!$A:$A,0)),
IF($B38="SINAPI",INDEX(CSINAPI!$B:$B,MATCH($C38,CSINAPI!$A:$A,0)),
IF($B38="CESAN",INDEX(CCESAN!$B:$B,MATCH($C38,CCESAN!$A:$A,0)),
IF($B38="SCORIO",INDEX(CSCORIO!$B:$B,MATCH($C38,CSCORIO!$A:$A,0)),
IF($B38="MERC",INDEX(MERCADO!$B:$B,MATCH($C38,MERCADO!$A:$A,0)),
IF($B38="COMP",INDEX(COMPOSICAO!$B:$B,MATCH($C38,COMPOSICAO!$A:$A,0)),
""))))))),"*Verificar código*")</f>
        <v>Remoção De Tubulações (Tubos E Conexões) De Água Fria Ou Esgoto, De Forma Manual, Sem Reaproveitamento</v>
      </c>
      <c r="E38" s="200" t="str">
        <f>IFERROR(LOWER(
IF($B38="DER-ES",INDEX('CDER-ES'!$C:$C,MATCH($C38,'CDER-ES'!$A:$A,0)),
IF($B38="SINAPI",INDEX(CSINAPI!$C:$C,MATCH($C38,CSINAPI!$A:$A,0)),
IF($B38="CESAN",INDEX(CCESAN!$C:$C,MATCH($C38,CCESAN!$A:$A,0)),
IF($B38="SCORIO",INDEX(CSCORIO!$A:$A,MATCH($C38,CSCORIO!#REF!,0)),
IF($B38="MERC",INDEX(MERCADO!$D:$D,MATCH($C38,MERCADO!$A:$A,0)),
IF($B38="COMP",INDEX(COMPOSICAO!$G:$G,MATCH($C38,COMPOSICAO!$A:$A,0)),
""))))))),"")</f>
        <v>m</v>
      </c>
      <c r="F38" s="208">
        <f>VLOOKUP(A38,'MEMÓRIA DE CÁLCULO'!A:H,8,0)</f>
        <v>5</v>
      </c>
      <c r="G38" s="202">
        <f>IFERROR(
IF($B38="DER-ES",INDEX('CDER-ES'!$D:$D,MATCH($C38,'CDER-ES'!$A:$A,0)),
IF($B38="SINAPI",INDEX(CSINAPI!$D:$D,MATCH($C38,CSINAPI!$A:$A,0)),
IF($B38="CESAN",INDEX(CCESAN!$D:$D,MATCH($C38,CCESAN!$A:$A,0)),
IF($B38="SCORIO",INDEX(CSCORIO!$B:$B,MATCH($C38,CSCORIO!#REF!,0)),
IF($B38="MERC",INDEX(MERCADO!$E:$E,MATCH($C38,MERCADO!$A:$A,0)),
IF($B38="COMP",INDEX(COMPOSICAO!$H:$H,MATCH($C38,COMPOSICAO!$A:$A,0)),
0)))))),0)</f>
        <v>5.8100000000000005</v>
      </c>
      <c r="H38" s="202">
        <f t="shared" ref="H38" si="36">ROUND(G38*(1+$J$2),2)</f>
        <v>7.26</v>
      </c>
      <c r="I38" s="209">
        <f>ROUND($H38*F38,2)</f>
        <v>36.299999999999997</v>
      </c>
      <c r="J38" s="225">
        <f t="shared" si="16"/>
        <v>8.3978887291310709E-4</v>
      </c>
    </row>
    <row r="39" spans="1:10" ht="76.5">
      <c r="A39" s="204" t="s">
        <v>29119</v>
      </c>
      <c r="B39" s="205" t="s">
        <v>26583</v>
      </c>
      <c r="C39" s="205">
        <v>30304</v>
      </c>
      <c r="D39" s="207" t="str">
        <f>IFERROR(PROPER(
IF($B39="DER-ES",INDEX('CDER-ES'!$B:$B,MATCH($C39,'CDER-ES'!$A:$A,0)),
IF($B39="SINAPI",INDEX(CSINAPI!$B:$B,MATCH($C39,CSINAPI!$A:$A,0)),
IF($B39="CESAN",INDEX(CCESAN!$B:$B,MATCH($C39,CCESAN!$A:$A,0)),
IF($B39="SCORIO",INDEX(CSCORIO!$B:$B,MATCH($C39,CSCORIO!$A:$A,0)),
IF($B39="MERC",INDEX(MERCADO!$B:$B,MATCH($C39,MERCADO!$A:$A,0)),
IF($B39="COMP",INDEX(COMPOSICAO!$B:$B,MATCH($C39,COMPOSICAO!$A:$A,0)),
""))))))),"*Verificar código*")</f>
        <v>Índice De Preço Para Remoção De Entulho Decorrente Da Execução De Obras (Classe A Conama - Nbr 10.004 - Classe Ii-B), Incluindo Aluguel Da Caçamba, Carga, Transporte E Descarga Em Área Licenciada</v>
      </c>
      <c r="E39" s="200" t="str">
        <f>IFERROR(LOWER(
IF($B39="DER-ES",INDEX('CDER-ES'!$C:$C,MATCH($C39,'CDER-ES'!$A:$A,0)),
IF($B39="SINAPI",INDEX(CSINAPI!$C:$C,MATCH($C39,CSINAPI!$A:$A,0)),
IF($B39="CESAN",INDEX(CCESAN!$C:$C,MATCH($C39,CCESAN!$A:$A,0)),
IF($B39="SCORIO",INDEX(CSCORIO!$A:$A,MATCH($C39,CSCORIO!#REF!,0)),
IF($B39="MERC",INDEX(MERCADO!$D:$D,MATCH($C39,MERCADO!$A:$A,0)),
IF($B39="COMP",INDEX(COMPOSICAO!$G:$G,MATCH($C39,COMPOSICAO!$A:$A,0)),
""))))))),"")</f>
        <v>m³</v>
      </c>
      <c r="F39" s="208">
        <f>VLOOKUP(A39,'MEMÓRIA DE CÁLCULO'!A:H,8,0)</f>
        <v>170.71</v>
      </c>
      <c r="G39" s="202">
        <f>IFERROR(
IF($B39="DER-ES",INDEX('CDER-ES'!$D:$D,MATCH($C39,'CDER-ES'!$A:$A,0)),
IF($B39="SINAPI",INDEX(CSINAPI!$D:$D,MATCH($C39,CSINAPI!$A:$A,0)),
IF($B39="CESAN",INDEX(CCESAN!$D:$D,MATCH($C39,CCESAN!$A:$A,0)),
IF($B39="SCORIO",INDEX(CSCORIO!$B:$B,MATCH($C39,CSCORIO!#REF!,0)),
IF($B39="MERC",INDEX(MERCADO!$E:$E,MATCH($C39,MERCADO!$A:$A,0)),
IF($B39="COMP",INDEX(COMPOSICAO!$H:$H,MATCH($C39,COMPOSICAO!$A:$A,0)),
0)))))),0)</f>
        <v>60.85</v>
      </c>
      <c r="H39" s="202">
        <f t="shared" si="12"/>
        <v>76.06</v>
      </c>
      <c r="I39" s="209">
        <f t="shared" si="13"/>
        <v>12984.2</v>
      </c>
      <c r="J39" s="225">
        <f t="shared" si="16"/>
        <v>0.30038530809031311</v>
      </c>
    </row>
    <row r="40" spans="1:10">
      <c r="A40" s="196" t="s">
        <v>19661</v>
      </c>
      <c r="B40" s="197"/>
      <c r="C40" s="198"/>
      <c r="D40" s="199" t="s">
        <v>26536</v>
      </c>
      <c r="E40" s="200"/>
      <c r="F40" s="201"/>
      <c r="G40" s="202"/>
      <c r="H40" s="202"/>
      <c r="I40" s="203">
        <f>SUBTOTAL(9,I41:I43)</f>
        <v>12352.77</v>
      </c>
      <c r="J40" s="224">
        <f>SUBTOTAL(9,J41:J43)</f>
        <v>1</v>
      </c>
    </row>
    <row r="41" spans="1:10" ht="25.5">
      <c r="A41" s="204" t="s">
        <v>25839</v>
      </c>
      <c r="B41" s="205" t="s">
        <v>26583</v>
      </c>
      <c r="C41" s="205">
        <v>30101</v>
      </c>
      <c r="D41" s="207" t="str">
        <f>IFERROR(PROPER(
IF($B41="DER-ES",INDEX('CDER-ES'!$B:$B,MATCH($C41,'CDER-ES'!$A:$A,0)),
IF($B41="SINAPI",INDEX(CSINAPI!$B:$B,MATCH($C41,CSINAPI!$A:$A,0)),
IF($B41="CESAN",INDEX(CCESAN!$B:$B,MATCH($C41,CCESAN!$A:$A,0)),
IF($B41="SCORIO",INDEX(CSCORIO!$B:$B,MATCH($C41,CSCORIO!$A:$A,0)),
IF($B41="MERC",INDEX(MERCADO!$B:$B,MATCH($C41,MERCADO!$A:$A,0)),
IF($B41="COMP",INDEX(COMPOSICAO!$B:$B,MATCH($C41,COMPOSICAO!$A:$A,0)),
""))))))),"*Verificar código*")</f>
        <v>Escavação Manual Em Material De 1A. Categoria, Até 1.50 M De Profundidade</v>
      </c>
      <c r="E41" s="200" t="str">
        <f>IFERROR(LOWER(
IF($B41="DER-ES",INDEX('CDER-ES'!$C:$C,MATCH($C41,'CDER-ES'!$A:$A,0)),
IF($B41="SINAPI",INDEX(CSINAPI!$C:$C,MATCH($C41,CSINAPI!$A:$A,0)),
IF($B41="CESAN",INDEX(CCESAN!$C:$C,MATCH($C41,CCESAN!$A:$A,0)),
IF($B41="SCORIO",INDEX(CSCORIO!$A:$A,MATCH($C41,CSCORIO!#REF!,0)),
IF($B41="MERC",INDEX(MERCADO!$D:$D,MATCH($C41,MERCADO!$A:$A,0)),
IF($B41="COMP",INDEX(COMPOSICAO!$G:$G,MATCH($C41,COMPOSICAO!$A:$A,0)),
""))))))),"")</f>
        <v>m³</v>
      </c>
      <c r="F41" s="208">
        <f>VLOOKUP(A41,'MEMÓRIA DE CÁLCULO'!A:H,8,0)</f>
        <v>88.73</v>
      </c>
      <c r="G41" s="202">
        <f>IFERROR(
IF($B41="DER-ES",INDEX('CDER-ES'!$D:$D,MATCH($C41,'CDER-ES'!$A:$A,0)),
IF($B41="SINAPI",INDEX(CSINAPI!$D:$D,MATCH($C41,CSINAPI!$A:$A,0)),
IF($B41="CESAN",INDEX(CCESAN!$D:$D,MATCH($C41,CCESAN!$A:$A,0)),
IF($B41="SCORIO",INDEX(CSCORIO!$B:$B,MATCH($C41,CSCORIO!#REF!,0)),
IF($B41="MERC",INDEX(MERCADO!$E:$E,MATCH($C41,MERCADO!$A:$A,0)),
IF($B41="COMP",INDEX(COMPOSICAO!$H:$H,MATCH($C41,COMPOSICAO!$A:$A,0)),
0)))))),0)</f>
        <v>45.66</v>
      </c>
      <c r="H41" s="202">
        <f t="shared" ref="H41:H43" si="37">ROUND(G41*(1+$J$2),2)</f>
        <v>57.08</v>
      </c>
      <c r="I41" s="209">
        <f t="shared" ref="I41:I43" si="38">ROUND($H41*F41,2)</f>
        <v>5064.71</v>
      </c>
      <c r="J41" s="225">
        <f>I41/I$40</f>
        <v>0.41000601484525334</v>
      </c>
    </row>
    <row r="42" spans="1:10" ht="25.5">
      <c r="A42" s="204" t="s">
        <v>25840</v>
      </c>
      <c r="B42" s="205" t="s">
        <v>26583</v>
      </c>
      <c r="C42" s="205">
        <v>30119</v>
      </c>
      <c r="D42" s="207" t="str">
        <f>IFERROR(PROPER(
IF($B42="DER-ES",INDEX('CDER-ES'!$B:$B,MATCH($C42,'CDER-ES'!$A:$A,0)),
IF($B42="SINAPI",INDEX(CSINAPI!$B:$B,MATCH($C42,CSINAPI!$A:$A,0)),
IF($B42="CESAN",INDEX(CCESAN!$B:$B,MATCH($C42,CCESAN!$A:$A,0)),
IF($B42="SCORIO",INDEX(CSCORIO!$B:$B,MATCH($C42,CSCORIO!$A:$A,0)),
IF($B42="MERC",INDEX(MERCADO!$B:$B,MATCH($C42,MERCADO!$A:$A,0)),
IF($B42="COMP",INDEX(COMPOSICAO!$B:$B,MATCH($C42,COMPOSICAO!$A:$A,0)),
""))))))),"*Verificar código*")</f>
        <v>Apiloamento Do Fundo De Vala Com Maço De 30 A 60Kg</v>
      </c>
      <c r="E42" s="200" t="str">
        <f>IFERROR(LOWER(
IF($B42="DER-ES",INDEX('CDER-ES'!$C:$C,MATCH($C42,'CDER-ES'!$A:$A,0)),
IF($B42="SINAPI",INDEX(CSINAPI!$C:$C,MATCH($C42,CSINAPI!$A:$A,0)),
IF($B42="CESAN",INDEX(CCESAN!$C:$C,MATCH($C42,CCESAN!$A:$A,0)),
IF($B42="SCORIO",INDEX(CSCORIO!$A:$A,MATCH($C42,CSCORIO!#REF!,0)),
IF($B42="MERC",INDEX(MERCADO!$D:$D,MATCH($C42,MERCADO!$A:$A,0)),
IF($B42="COMP",INDEX(COMPOSICAO!$G:$G,MATCH($C42,COMPOSICAO!$A:$A,0)),
""))))))),"")</f>
        <v>m²</v>
      </c>
      <c r="F42" s="208">
        <f>VLOOKUP(A42,'MEMÓRIA DE CÁLCULO'!A:H,8,0)</f>
        <v>72.400000000000006</v>
      </c>
      <c r="G42" s="202">
        <f>IFERROR(
IF($B42="DER-ES",INDEX('CDER-ES'!$D:$D,MATCH($C42,'CDER-ES'!$A:$A,0)),
IF($B42="SINAPI",INDEX(CSINAPI!$D:$D,MATCH($C42,CSINAPI!$A:$A,0)),
IF($B42="CESAN",INDEX(CCESAN!$D:$D,MATCH($C42,CCESAN!$A:$A,0)),
IF($B42="SCORIO",INDEX(CSCORIO!$B:$B,MATCH($C42,CSCORIO!#REF!,0)),
IF($B42="MERC",INDEX(MERCADO!$E:$E,MATCH($C42,MERCADO!$A:$A,0)),
IF($B42="COMP",INDEX(COMPOSICAO!$H:$H,MATCH($C42,COMPOSICAO!$A:$A,0)),
0)))))),0)</f>
        <v>23.89</v>
      </c>
      <c r="H42" s="202">
        <f t="shared" si="37"/>
        <v>29.86</v>
      </c>
      <c r="I42" s="209">
        <f t="shared" si="38"/>
        <v>2161.86</v>
      </c>
      <c r="J42" s="225">
        <f>I42/I$40</f>
        <v>0.17501013942621776</v>
      </c>
    </row>
    <row r="43" spans="1:10" ht="25.5">
      <c r="A43" s="204" t="s">
        <v>25841</v>
      </c>
      <c r="B43" s="205" t="s">
        <v>26583</v>
      </c>
      <c r="C43" s="205">
        <v>30201</v>
      </c>
      <c r="D43" s="207" t="str">
        <f>IFERROR(PROPER(
IF($B43="DER-ES",INDEX('CDER-ES'!$B:$B,MATCH($C43,'CDER-ES'!$A:$A,0)),
IF($B43="SINAPI",INDEX(CSINAPI!$B:$B,MATCH($C43,CSINAPI!$A:$A,0)),
IF($B43="CESAN",INDEX(CCESAN!$B:$B,MATCH($C43,CCESAN!$A:$A,0)),
IF($B43="SCORIO",INDEX(CSCORIO!$B:$B,MATCH($C43,CSCORIO!$A:$A,0)),
IF($B43="MERC",INDEX(MERCADO!$B:$B,MATCH($C43,MERCADO!$A:$A,0)),
IF($B43="COMP",INDEX(COMPOSICAO!$B:$B,MATCH($C43,COMPOSICAO!$A:$A,0)),
""))))))),"*Verificar código*")</f>
        <v>Reaterro Apiloado De Cavas De Fundação, Em Camadas De 20 Cm</v>
      </c>
      <c r="E43" s="200" t="str">
        <f>IFERROR(LOWER(
IF($B43="DER-ES",INDEX('CDER-ES'!$C:$C,MATCH($C43,'CDER-ES'!$A:$A,0)),
IF($B43="SINAPI",INDEX(CSINAPI!$C:$C,MATCH($C43,CSINAPI!$A:$A,0)),
IF($B43="CESAN",INDEX(CCESAN!$C:$C,MATCH($C43,CCESAN!$A:$A,0)),
IF($B43="SCORIO",INDEX(CSCORIO!$A:$A,MATCH($C43,CSCORIO!#REF!,0)),
IF($B43="MERC",INDEX(MERCADO!$D:$D,MATCH($C43,MERCADO!$A:$A,0)),
IF($B43="COMP",INDEX(COMPOSICAO!$G:$G,MATCH($C43,COMPOSICAO!$A:$A,0)),
""))))))),"")</f>
        <v>m³</v>
      </c>
      <c r="F43" s="208">
        <f>VLOOKUP(A43,'MEMÓRIA DE CÁLCULO'!A:H,8,0)</f>
        <v>83.38</v>
      </c>
      <c r="G43" s="202">
        <f>IFERROR(
IF($B43="DER-ES",INDEX('CDER-ES'!$D:$D,MATCH($C43,'CDER-ES'!$A:$A,0)),
IF($B43="SINAPI",INDEX(CSINAPI!$D:$D,MATCH($C43,CSINAPI!$A:$A,0)),
IF($B43="CESAN",INDEX(CCESAN!$D:$D,MATCH($C43,CCESAN!$A:$A,0)),
IF($B43="SCORIO",INDEX(CSCORIO!$B:$B,MATCH($C43,CSCORIO!#REF!,0)),
IF($B43="MERC",INDEX(MERCADO!$E:$E,MATCH($C43,MERCADO!$A:$A,0)),
IF($B43="COMP",INDEX(COMPOSICAO!$H:$H,MATCH($C43,COMPOSICAO!$A:$A,0)),
0)))))),0)</f>
        <v>49.18</v>
      </c>
      <c r="H43" s="202">
        <f t="shared" si="37"/>
        <v>61.48</v>
      </c>
      <c r="I43" s="209">
        <f t="shared" si="38"/>
        <v>5126.2</v>
      </c>
      <c r="J43" s="225">
        <f>I43/I$40</f>
        <v>0.41498384572852887</v>
      </c>
    </row>
    <row r="44" spans="1:10">
      <c r="A44" s="196" t="s">
        <v>19662</v>
      </c>
      <c r="B44" s="197"/>
      <c r="C44" s="198"/>
      <c r="D44" s="199" t="s">
        <v>26537</v>
      </c>
      <c r="E44" s="200"/>
      <c r="F44" s="201"/>
      <c r="G44" s="202"/>
      <c r="H44" s="202"/>
      <c r="I44" s="203">
        <f>SUBTOTAL(9,I45:I55)</f>
        <v>93348.849999999991</v>
      </c>
      <c r="J44" s="224">
        <f>SUBTOTAL(9,J45:J55)</f>
        <v>1</v>
      </c>
    </row>
    <row r="45" spans="1:10" ht="51">
      <c r="A45" s="204" t="s">
        <v>25835</v>
      </c>
      <c r="B45" s="205" t="s">
        <v>26583</v>
      </c>
      <c r="C45" s="206">
        <v>40231</v>
      </c>
      <c r="D45" s="207" t="str">
        <f>IFERROR(PROPER(
IF($B45="DER-ES",INDEX('CDER-ES'!$B:$B,MATCH($C45,'CDER-ES'!$A:$A,0)),
IF($B45="SINAPI",INDEX(CSINAPI!$B:$B,MATCH($C45,CSINAPI!$A:$A,0)),
IF($B45="CESAN",INDEX(CCESAN!$B:$B,MATCH($C45,CCESAN!$A:$A,0)),
IF($B45="SCORIO",INDEX(CSCORIO!$B:$B,MATCH($C45,CSCORIO!$A:$A,0)),
IF($B45="MERC",INDEX(MERCADO!$B:$B,MATCH($C45,MERCADO!$A:$A,0)),
IF($B45="COMP",INDEX(COMPOSICAO!$B:$B,MATCH($C45,COMPOSICAO!$A:$A,0)),
""))))))),"*Verificar código*")</f>
        <v>Fornecimento, Preparo E Aplicação De Concreto Magro Com Consumo Mínimo De Cimento De 250 Kg/M3 (Brita 1 E 2) - (5% De Perdas Já Incluído No Custo)</v>
      </c>
      <c r="E45" s="200" t="str">
        <f>IFERROR(LOWER(
IF($B45="DER-ES",INDEX('CDER-ES'!$C:$C,MATCH($C45,'CDER-ES'!$A:$A,0)),
IF($B45="SINAPI",INDEX(CSINAPI!$C:$C,MATCH($C45,CSINAPI!$A:$A,0)),
IF($B45="CESAN",INDEX(CCESAN!$C:$C,MATCH($C45,CCESAN!$A:$A,0)),
IF($B45="SCORIO",INDEX(CSCORIO!$A:$A,MATCH($C45,CSCORIO!#REF!,0)),
IF($B45="MERC",INDEX(MERCADO!$D:$D,MATCH($C45,MERCADO!$A:$A,0)),
IF($B45="COMP",INDEX(COMPOSICAO!$G:$G,MATCH($C45,COMPOSICAO!$A:$A,0)),
""))))))),"")</f>
        <v>m³</v>
      </c>
      <c r="F45" s="208">
        <f>VLOOKUP(A45,'MEMÓRIA DE CÁLCULO'!A:H,8,0)</f>
        <v>0.72</v>
      </c>
      <c r="G45" s="202">
        <f>IFERROR(
IF($B45="DER-ES",INDEX('CDER-ES'!$D:$D,MATCH($C45,'CDER-ES'!$A:$A,0)),
IF($B45="SINAPI",INDEX(CSINAPI!$D:$D,MATCH($C45,CSINAPI!$A:$A,0)),
IF($B45="CESAN",INDEX(CCESAN!$D:$D,MATCH($C45,CCESAN!$A:$A,0)),
IF($B45="SCORIO",INDEX(CSCORIO!$B:$B,MATCH($C45,CSCORIO!#REF!,0)),
IF($B45="MERC",INDEX(MERCADO!$E:$E,MATCH($C45,MERCADO!$A:$A,0)),
IF($B45="COMP",INDEX(COMPOSICAO!$H:$H,MATCH($C45,COMPOSICAO!$A:$A,0)),
0)))))),0)</f>
        <v>527.91</v>
      </c>
      <c r="H45" s="202">
        <f t="shared" ref="H45:H50" si="39">ROUND(G45*(1+$J$2),2)</f>
        <v>659.89</v>
      </c>
      <c r="I45" s="209">
        <f t="shared" ref="I45:I50" si="40">ROUND($H45*F45,2)</f>
        <v>475.12</v>
      </c>
      <c r="J45" s="225">
        <f>I45/I$44</f>
        <v>5.0897252617466641E-3</v>
      </c>
    </row>
    <row r="46" spans="1:10" ht="63.75">
      <c r="A46" s="204" t="s">
        <v>25836</v>
      </c>
      <c r="B46" s="205" t="s">
        <v>26583</v>
      </c>
      <c r="C46" s="206">
        <v>40206</v>
      </c>
      <c r="D46" s="207" t="str">
        <f>IFERROR(PROPER(
IF($B46="DER-ES",INDEX('CDER-ES'!$B:$B,MATCH($C46,'CDER-ES'!$A:$A,0)),
IF($B46="SINAPI",INDEX(CSINAPI!$B:$B,MATCH($C46,CSINAPI!$A:$A,0)),
IF($B46="CESAN",INDEX(CCESAN!$B:$B,MATCH($C46,CCESAN!$A:$A,0)),
IF($B46="SCORIO",INDEX(CSCORIO!$B:$B,MATCH($C46,CSCORIO!$A:$A,0)),
IF($B46="MERC",INDEX(MERCADO!$B:$B,MATCH($C46,MERCADO!$A:$A,0)),
IF($B46="COMP",INDEX(COMPOSICAO!$B:$B,MATCH($C46,COMPOSICAO!$A:$A,0)),
""))))))),"*Verificar código*")</f>
        <v>Fôrma De Tábua De Madeira De 2.5 X 30.0 Cm Para Fundações, Levando-Se Em Conta A Utilização 5 Vezes (Incluido O Material, Corte, Montagem, Escoramento E Desforma)</v>
      </c>
      <c r="E46" s="200" t="str">
        <f>IFERROR(LOWER(
IF($B46="DER-ES",INDEX('CDER-ES'!$C:$C,MATCH($C46,'CDER-ES'!$A:$A,0)),
IF($B46="SINAPI",INDEX(CSINAPI!$C:$C,MATCH($C46,CSINAPI!$A:$A,0)),
IF($B46="CESAN",INDEX(CCESAN!$C:$C,MATCH($C46,CCESAN!$A:$A,0)),
IF($B46="SCORIO",INDEX(CSCORIO!$A:$A,MATCH($C46,CSCORIO!#REF!,0)),
IF($B46="MERC",INDEX(MERCADO!$D:$D,MATCH($C46,MERCADO!$A:$A,0)),
IF($B46="COMP",INDEX(COMPOSICAO!$G:$G,MATCH($C46,COMPOSICAO!$A:$A,0)),
""))))))),"")</f>
        <v>m²</v>
      </c>
      <c r="F46" s="208">
        <f>VLOOKUP(A46,'MEMÓRIA DE CÁLCULO'!A:H,8,0)</f>
        <v>259.51</v>
      </c>
      <c r="G46" s="202">
        <f>IFERROR(
IF($B46="DER-ES",INDEX('CDER-ES'!$D:$D,MATCH($C46,'CDER-ES'!$A:$A,0)),
IF($B46="SINAPI",INDEX(CSINAPI!$D:$D,MATCH($C46,CSINAPI!$A:$A,0)),
IF($B46="CESAN",INDEX(CCESAN!$D:$D,MATCH($C46,CCESAN!$A:$A,0)),
IF($B46="SCORIO",INDEX(CSCORIO!$B:$B,MATCH($C46,CSCORIO!#REF!,0)),
IF($B46="MERC",INDEX(MERCADO!$E:$E,MATCH($C46,MERCADO!$A:$A,0)),
IF($B46="COMP",INDEX(COMPOSICAO!$H:$H,MATCH($C46,COMPOSICAO!$A:$A,0)),
0)))))),0)</f>
        <v>73.25</v>
      </c>
      <c r="H46" s="202">
        <f t="shared" si="39"/>
        <v>91.56</v>
      </c>
      <c r="I46" s="209">
        <f t="shared" si="40"/>
        <v>23760.74</v>
      </c>
      <c r="J46" s="225">
        <f>I46/I$44</f>
        <v>0.25453704035989733</v>
      </c>
    </row>
    <row r="47" spans="1:10" ht="38.25">
      <c r="A47" s="204" t="s">
        <v>25829</v>
      </c>
      <c r="B47" s="205" t="s">
        <v>26583</v>
      </c>
      <c r="C47" s="205">
        <v>40243</v>
      </c>
      <c r="D47" s="207" t="str">
        <f>IFERROR(PROPER(
IF($B47="DER-ES",INDEX('CDER-ES'!$B:$B,MATCH($C47,'CDER-ES'!$A:$A,0)),
IF($B47="SINAPI",INDEX(CSINAPI!$B:$B,MATCH($C47,CSINAPI!$A:$A,0)),
IF($B47="CESAN",INDEX(CCESAN!$B:$B,MATCH($C47,CCESAN!$A:$A,0)),
IF($B47="SCORIO",INDEX(CSCORIO!$B:$B,MATCH($C47,CSCORIO!$A:$A,0)),
IF($B47="MERC",INDEX(MERCADO!$B:$B,MATCH($C47,MERCADO!$A:$A,0)),
IF($B47="COMP",INDEX(COMPOSICAO!$B:$B,MATCH($C47,COMPOSICAO!$A:$A,0)),
""))))))),"*Verificar código*")</f>
        <v>Fornecimento, Dobragem E Colocação Em Fôrma, De Armadura Ca-50 A Média, Diâmetro De 6.3 A 10.0 Mm</v>
      </c>
      <c r="E47" s="200" t="str">
        <f>IFERROR(LOWER(
IF($B47="DER-ES",INDEX('CDER-ES'!$C:$C,MATCH($C47,'CDER-ES'!$A:$A,0)),
IF($B47="SINAPI",INDEX(CSINAPI!$C:$C,MATCH($C47,CSINAPI!$A:$A,0)),
IF($B47="CESAN",INDEX(CCESAN!$C:$C,MATCH($C47,CCESAN!$A:$A,0)),
IF($B47="SCORIO",INDEX(CSCORIO!$A:$A,MATCH($C47,CSCORIO!#REF!,0)),
IF($B47="MERC",INDEX(MERCADO!$D:$D,MATCH($C47,MERCADO!$A:$A,0)),
IF($B47="COMP",INDEX(COMPOSICAO!$G:$G,MATCH($C47,COMPOSICAO!$A:$A,0)),
""))))))),"")</f>
        <v>kg</v>
      </c>
      <c r="F47" s="208">
        <f>VLOOKUP(A47,'MEMÓRIA DE CÁLCULO'!A:H,8,0)</f>
        <v>1083.83</v>
      </c>
      <c r="G47" s="202">
        <f>IFERROR(
IF($B47="DER-ES",INDEX('CDER-ES'!$D:$D,MATCH($C47,'CDER-ES'!$A:$A,0)),
IF($B47="SINAPI",INDEX(CSINAPI!$D:$D,MATCH($C47,CSINAPI!$A:$A,0)),
IF($B47="CESAN",INDEX(CCESAN!$D:$D,MATCH($C47,CCESAN!$A:$A,0)),
IF($B47="SCORIO",INDEX(CSCORIO!$B:$B,MATCH($C47,CSCORIO!#REF!,0)),
IF($B47="MERC",INDEX(MERCADO!$E:$E,MATCH($C47,MERCADO!$A:$A,0)),
IF($B47="COMP",INDEX(COMPOSICAO!$H:$H,MATCH($C47,COMPOSICAO!$A:$A,0)),
0)))))),0)</f>
        <v>12.94</v>
      </c>
      <c r="H47" s="202">
        <f t="shared" si="39"/>
        <v>16.18</v>
      </c>
      <c r="I47" s="209">
        <f t="shared" si="40"/>
        <v>17536.37</v>
      </c>
      <c r="J47" s="225">
        <f t="shared" ref="J47:J49" si="41">I47/I$44</f>
        <v>0.18785844710459743</v>
      </c>
    </row>
    <row r="48" spans="1:10" ht="38.25">
      <c r="A48" s="204" t="s">
        <v>25837</v>
      </c>
      <c r="B48" s="205" t="s">
        <v>26583</v>
      </c>
      <c r="C48" s="205">
        <v>40246</v>
      </c>
      <c r="D48" s="207" t="str">
        <f>IFERROR(PROPER(
IF($B48="DER-ES",INDEX('CDER-ES'!$B:$B,MATCH($C48,'CDER-ES'!$A:$A,0)),
IF($B48="SINAPI",INDEX(CSINAPI!$B:$B,MATCH($C48,CSINAPI!$A:$A,0)),
IF($B48="CESAN",INDEX(CCESAN!$B:$B,MATCH($C48,CCESAN!$A:$A,0)),
IF($B48="SCORIO",INDEX(CSCORIO!$B:$B,MATCH($C48,CSCORIO!$A:$A,0)),
IF($B48="MERC",INDEX(MERCADO!$B:$B,MATCH($C48,MERCADO!$A:$A,0)),
IF($B48="COMP",INDEX(COMPOSICAO!$B:$B,MATCH($C48,COMPOSICAO!$A:$A,0)),
""))))))),"*Verificar código*")</f>
        <v>Fornecimento, Dobragem E Colocação Em Fôrma, De Armadura Ca-60 B Fina, Diâmetro De 4.0 A 7.0Mm</v>
      </c>
      <c r="E48" s="200" t="str">
        <f>IFERROR(LOWER(
IF($B48="DER-ES",INDEX('CDER-ES'!$C:$C,MATCH($C48,'CDER-ES'!$A:$A,0)),
IF($B48="SINAPI",INDEX(CSINAPI!$C:$C,MATCH($C48,CSINAPI!$A:$A,0)),
IF($B48="CESAN",INDEX(CCESAN!$C:$C,MATCH($C48,CCESAN!$A:$A,0)),
IF($B48="SCORIO",INDEX(CSCORIO!$A:$A,MATCH($C48,CSCORIO!#REF!,0)),
IF($B48="MERC",INDEX(MERCADO!$D:$D,MATCH($C48,MERCADO!$A:$A,0)),
IF($B48="COMP",INDEX(COMPOSICAO!$G:$G,MATCH($C48,COMPOSICAO!$A:$A,0)),
""))))))),"")</f>
        <v>kg</v>
      </c>
      <c r="F48" s="208">
        <f>VLOOKUP(A48,'MEMÓRIA DE CÁLCULO'!A:H,8,0)</f>
        <v>346.07</v>
      </c>
      <c r="G48" s="202">
        <f>IFERROR(
IF($B48="DER-ES",INDEX('CDER-ES'!$D:$D,MATCH($C48,'CDER-ES'!$A:$A,0)),
IF($B48="SINAPI",INDEX(CSINAPI!$D:$D,MATCH($C48,CSINAPI!$A:$A,0)),
IF($B48="CESAN",INDEX(CCESAN!$D:$D,MATCH($C48,CCESAN!$A:$A,0)),
IF($B48="SCORIO",INDEX(CSCORIO!$B:$B,MATCH($C48,CSCORIO!#REF!,0)),
IF($B48="MERC",INDEX(MERCADO!$E:$E,MATCH($C48,MERCADO!$A:$A,0)),
IF($B48="COMP",INDEX(COMPOSICAO!$H:$H,MATCH($C48,COMPOSICAO!$A:$A,0)),
0)))))),0)</f>
        <v>15.75</v>
      </c>
      <c r="H48" s="202">
        <f t="shared" si="39"/>
        <v>19.690000000000001</v>
      </c>
      <c r="I48" s="209">
        <f t="shared" si="40"/>
        <v>6814.12</v>
      </c>
      <c r="J48" s="225">
        <f t="shared" ref="J48" si="42">I48/I$44</f>
        <v>7.2996292937727678E-2</v>
      </c>
    </row>
    <row r="49" spans="1:10" ht="38.25">
      <c r="A49" s="204" t="s">
        <v>25842</v>
      </c>
      <c r="B49" s="205" t="s">
        <v>26583</v>
      </c>
      <c r="C49" s="205">
        <v>40237</v>
      </c>
      <c r="D49" s="207" t="str">
        <f>IFERROR(PROPER(
IF($B49="DER-ES",INDEX('CDER-ES'!$B:$B,MATCH($C49,'CDER-ES'!$A:$A,0)),
IF($B49="SINAPI",INDEX(CSINAPI!$B:$B,MATCH($C49,CSINAPI!$A:$A,0)),
IF($B49="CESAN",INDEX(CCESAN!$B:$B,MATCH($C49,CCESAN!$A:$A,0)),
IF($B49="SCORIO",INDEX(CSCORIO!$B:$B,MATCH($C49,CSCORIO!$A:$A,0)),
IF($B49="MERC",INDEX(MERCADO!$B:$B,MATCH($C49,MERCADO!$A:$A,0)),
IF($B49="COMP",INDEX(COMPOSICAO!$B:$B,MATCH($C49,COMPOSICAO!$A:$A,0)),
""))))))),"*Verificar código*")</f>
        <v>Fornecimento, Preparo E Aplicação De Concreto Fck=25 Mpa (Brita 1 E 2) - (5% De Perdas Já Incluído No Custo)</v>
      </c>
      <c r="E49" s="200" t="str">
        <f>IFERROR(LOWER(
IF($B49="DER-ES",INDEX('CDER-ES'!$C:$C,MATCH($C49,'CDER-ES'!$A:$A,0)),
IF($B49="SINAPI",INDEX(CSINAPI!$C:$C,MATCH($C49,CSINAPI!$A:$A,0)),
IF($B49="CESAN",INDEX(CCESAN!$C:$C,MATCH($C49,CCESAN!$A:$A,0)),
IF($B49="SCORIO",INDEX(CSCORIO!$A:$A,MATCH($C49,CSCORIO!#REF!,0)),
IF($B49="MERC",INDEX(MERCADO!$D:$D,MATCH($C49,MERCADO!$A:$A,0)),
IF($B49="COMP",INDEX(COMPOSICAO!$G:$G,MATCH($C49,COMPOSICAO!$A:$A,0)),
""))))))),"")</f>
        <v>m³</v>
      </c>
      <c r="F49" s="208">
        <f>VLOOKUP(A49,'MEMÓRIA DE CÁLCULO'!A:H,8,0)</f>
        <v>18.940000000000001</v>
      </c>
      <c r="G49" s="202">
        <f>IFERROR(
IF($B49="DER-ES",INDEX('CDER-ES'!$D:$D,MATCH($C49,'CDER-ES'!$A:$A,0)),
IF($B49="SINAPI",INDEX(CSINAPI!$D:$D,MATCH($C49,CSINAPI!$A:$A,0)),
IF($B49="CESAN",INDEX(CCESAN!$D:$D,MATCH($C49,CCESAN!$A:$A,0)),
IF($B49="SCORIO",INDEX(CSCORIO!$B:$B,MATCH($C49,CSCORIO!#REF!,0)),
IF($B49="MERC",INDEX(MERCADO!$E:$E,MATCH($C49,MERCADO!$A:$A,0)),
IF($B49="COMP",INDEX(COMPOSICAO!$H:$H,MATCH($C49,COMPOSICAO!$A:$A,0)),
0)))))),0)</f>
        <v>584.16</v>
      </c>
      <c r="H49" s="202">
        <f t="shared" si="39"/>
        <v>730.2</v>
      </c>
      <c r="I49" s="209">
        <f t="shared" si="40"/>
        <v>13829.99</v>
      </c>
      <c r="J49" s="225">
        <f t="shared" si="41"/>
        <v>0.14815383371085986</v>
      </c>
    </row>
    <row r="50" spans="1:10" ht="63.75">
      <c r="A50" s="204" t="s">
        <v>26584</v>
      </c>
      <c r="B50" s="205" t="s">
        <v>1019</v>
      </c>
      <c r="C50" s="205">
        <v>101963</v>
      </c>
      <c r="D50" s="207" t="str">
        <f>IFERROR(PROPER(
IF($B50="DER-ES",INDEX('CDER-ES'!$B:$B,MATCH($C50,'CDER-ES'!$A:$A,0)),
IF($B50="SINAPI",INDEX(CSINAPI!$B:$B,MATCH($C50,CSINAPI!$A:$A,0)),
IF($B50="CESAN",INDEX(CCESAN!$B:$B,MATCH($C50,CCESAN!$A:$A,0)),
IF($B50="SCORIO",INDEX(CSCORIO!$B:$B,MATCH($C50,CSCORIO!$A:$A,0)),
IF($B50="MERC",INDEX(MERCADO!$B:$B,MATCH($C50,MERCADO!$A:$A,0)),
IF($B50="COMP",INDEX(COMPOSICAO!$B:$B,MATCH($C50,COMPOSICAO!$A:$A,0)),
""))))))),"*Verificar código*")</f>
        <v>Laje Pré-Moldada Unidirecional, Biapoiada, Para Piso, Enchimento Em Cerâmica, Vigota Convencional, Altura Total Da Laje (Enchimento+Capa) = (8+4). Af_11/2020</v>
      </c>
      <c r="E50" s="200" t="str">
        <f>IFERROR(LOWER(
IF($B50="DER-ES",INDEX('CDER-ES'!$C:$C,MATCH($C50,'CDER-ES'!$A:$A,0)),
IF($B50="SINAPI",INDEX(CSINAPI!$C:$C,MATCH($C50,CSINAPI!$A:$A,0)),
IF($B50="CESAN",INDEX(CCESAN!$C:$C,MATCH($C50,CCESAN!$A:$A,0)),
IF($B50="SCORIO",INDEX(CSCORIO!$A:$A,MATCH($C50,CSCORIO!#REF!,0)),
IF($B50="MERC",INDEX(MERCADO!$D:$D,MATCH($C50,MERCADO!$A:$A,0)),
IF($B50="COMP",INDEX(COMPOSICAO!$G:$G,MATCH($C50,COMPOSICAO!$A:$A,0)),
""))))))),"")</f>
        <v>m²</v>
      </c>
      <c r="F50" s="208">
        <f>VLOOKUP(A50,'MEMÓRIA DE CÁLCULO'!A:H,8,0)</f>
        <v>89.33</v>
      </c>
      <c r="G50" s="202">
        <f>IFERROR(
IF($B50="DER-ES",INDEX('CDER-ES'!$D:$D,MATCH($C50,'CDER-ES'!$A:$A,0)),
IF($B50="SINAPI",INDEX(CSINAPI!$D:$D,MATCH($C50,CSINAPI!$A:$A,0)),
IF($B50="CESAN",INDEX(CCESAN!$D:$D,MATCH($C50,CCESAN!$A:$A,0)),
IF($B50="SCORIO",INDEX(CSCORIO!$B:$B,MATCH($C50,CSCORIO!#REF!,0)),
IF($B50="MERC",INDEX(MERCADO!$E:$E,MATCH($C50,MERCADO!$A:$A,0)),
IF($B50="COMP",INDEX(COMPOSICAO!$H:$H,MATCH($C50,COMPOSICAO!$A:$A,0)),
0)))))),0)</f>
        <v>166.5</v>
      </c>
      <c r="H50" s="202">
        <f t="shared" si="39"/>
        <v>208.13</v>
      </c>
      <c r="I50" s="209">
        <f t="shared" si="40"/>
        <v>18592.25</v>
      </c>
      <c r="J50" s="225">
        <f t="shared" ref="J50:J55" si="43">I50/I$44</f>
        <v>0.19916956663097618</v>
      </c>
    </row>
    <row r="51" spans="1:10" ht="63.75">
      <c r="A51" s="204" t="s">
        <v>26585</v>
      </c>
      <c r="B51" s="205" t="s">
        <v>26583</v>
      </c>
      <c r="C51" s="205">
        <v>40705</v>
      </c>
      <c r="D51" s="207" t="str">
        <f>IFERROR(PROPER(
IF($B51="DER-ES",INDEX('CDER-ES'!$B:$B,MATCH($C51,'CDER-ES'!$A:$A,0)),
IF($B51="SINAPI",INDEX(CSINAPI!$B:$B,MATCH($C51,CSINAPI!$A:$A,0)),
IF($B51="CESAN",INDEX(CCESAN!$B:$B,MATCH($C51,CCESAN!$A:$A,0)),
IF($B51="SCORIO",INDEX(CSCORIO!$B:$B,MATCH($C51,CSCORIO!$A:$A,0)),
IF($B51="MERC",INDEX(MERCADO!$B:$B,MATCH($C51,MERCADO!$A:$A,0)),
IF($B51="COMP",INDEX(COMPOSICAO!$B:$B,MATCH($C51,COMPOSICAO!$A:$A,0)),
""))))))),"*Verificar código*")</f>
        <v>Execução De Junta De Dilatação 2 X 2 Cm Considerando 1Cm De Aplicação De Isopor E 1Cm De Aplicação De Mastique Elástico Do Tipo Sikaflex 1A Ou Equivalente</v>
      </c>
      <c r="E51" s="200" t="str">
        <f>IFERROR(LOWER(
IF($B51="DER-ES",INDEX('CDER-ES'!$C:$C,MATCH($C51,'CDER-ES'!$A:$A,0)),
IF($B51="SINAPI",INDEX(CSINAPI!$C:$C,MATCH($C51,CSINAPI!$A:$A,0)),
IF($B51="CESAN",INDEX(CCESAN!$C:$C,MATCH($C51,CCESAN!$A:$A,0)),
IF($B51="SCORIO",INDEX(CSCORIO!$A:$A,MATCH($C51,CSCORIO!#REF!,0)),
IF($B51="MERC",INDEX(MERCADO!$D:$D,MATCH($C51,MERCADO!$A:$A,0)),
IF($B51="COMP",INDEX(COMPOSICAO!$G:$G,MATCH($C51,COMPOSICAO!$A:$A,0)),
""))))))),"")</f>
        <v>m</v>
      </c>
      <c r="F51" s="208">
        <f>VLOOKUP(A51,'MEMÓRIA DE CÁLCULO'!A:H,8,0)</f>
        <v>9.07</v>
      </c>
      <c r="G51" s="202">
        <f>IFERROR(
IF($B51="DER-ES",INDEX('CDER-ES'!$D:$D,MATCH($C51,'CDER-ES'!$A:$A,0)),
IF($B51="SINAPI",INDEX(CSINAPI!$D:$D,MATCH($C51,CSINAPI!$A:$A,0)),
IF($B51="CESAN",INDEX(CCESAN!$D:$D,MATCH($C51,CCESAN!$A:$A,0)),
IF($B51="SCORIO",INDEX(CSCORIO!$B:$B,MATCH($C51,CSCORIO!#REF!,0)),
IF($B51="MERC",INDEX(MERCADO!$E:$E,MATCH($C51,MERCADO!$A:$A,0)),
IF($B51="COMP",INDEX(COMPOSICAO!$H:$H,MATCH($C51,COMPOSICAO!$A:$A,0)),
0)))))),0)</f>
        <v>73.78</v>
      </c>
      <c r="H51" s="202">
        <f t="shared" ref="H51:H55" si="44">ROUND(G51*(1+$J$2),2)</f>
        <v>92.23</v>
      </c>
      <c r="I51" s="209">
        <f t="shared" ref="I51:I55" si="45">ROUND($H51*F51,2)</f>
        <v>836.53</v>
      </c>
      <c r="J51" s="225">
        <f t="shared" si="43"/>
        <v>8.9613316071917339E-3</v>
      </c>
    </row>
    <row r="52" spans="1:10" ht="51">
      <c r="A52" s="204" t="s">
        <v>26586</v>
      </c>
      <c r="B52" s="205" t="s">
        <v>1020</v>
      </c>
      <c r="C52" s="205">
        <v>1</v>
      </c>
      <c r="D52" s="207" t="str">
        <f>IFERROR(PROPER(
IF($B52="DER-ES",INDEX('CDER-ES'!$B:$B,MATCH($C52,'CDER-ES'!$A:$A,0)),
IF($B52="SINAPI",INDEX(CSINAPI!$B:$B,MATCH($C52,CSINAPI!$A:$A,0)),
IF($B52="CESAN",INDEX(CCESAN!$B:$B,MATCH($C52,CCESAN!$A:$A,0)),
IF($B52="SCORIO",INDEX(CSCORIO!$B:$B,MATCH($C52,CSCORIO!$A:$A,0)),
IF($B52="MERC",INDEX(MERCADO!$B:$B,MATCH($C52,MERCADO!$A:$A,0)),
IF($B52="COMP",INDEX(COMPOSICAO!$B:$B,MATCH($C52,COMPOSICAO!$A:$A,0)),
""))))))),"*Verificar código*")</f>
        <v>Cantoneira De Apoio Laje Pré-Moldada, Dim.: 4" X 1/4" (101,60 X 6,35 Mm) Fixado Com Barra De Ancoragem Em Estrutura Existente</v>
      </c>
      <c r="E52" s="200" t="str">
        <f>IFERROR(LOWER(
IF($B52="DER-ES",INDEX('CDER-ES'!$C:$C,MATCH($C52,'CDER-ES'!$A:$A,0)),
IF($B52="SINAPI",INDEX(CSINAPI!$C:$C,MATCH($C52,CSINAPI!$A:$A,0)),
IF($B52="CESAN",INDEX(CCESAN!$C:$C,MATCH($C52,CCESAN!$A:$A,0)),
IF($B52="SCORIO",INDEX(CSCORIO!$A:$A,MATCH($C52,CSCORIO!#REF!,0)),
IF($B52="MERC",INDEX(MERCADO!$D:$D,MATCH($C52,MERCADO!$A:$A,0)),
IF($B52="COMP",INDEX(COMPOSICAO!$G:$G,MATCH($C52,COMPOSICAO!$A:$A,0)),
""))))))),"")</f>
        <v>m</v>
      </c>
      <c r="F52" s="208">
        <f>VLOOKUP(A52,'MEMÓRIA DE CÁLCULO'!A:H,8,0)</f>
        <v>9.07</v>
      </c>
      <c r="G52" s="202">
        <f>IFERROR(
IF($B52="DER-ES",INDEX('CDER-ES'!$D:$D,MATCH($C52,'CDER-ES'!$A:$A,0)),
IF($B52="SINAPI",INDEX(CSINAPI!$D:$D,MATCH($C52,CSINAPI!$A:$A,0)),
IF($B52="CESAN",INDEX(CCESAN!$D:$D,MATCH($C52,CCESAN!$A:$A,0)),
IF($B52="SCORIO",INDEX(CSCORIO!$B:$B,MATCH($C52,CSCORIO!#REF!,0)),
IF($B52="MERC",INDEX(MERCADO!$E:$E,MATCH($C52,MERCADO!$A:$A,0)),
IF($B52="COMP",INDEX(COMPOSICAO!$H:$H,MATCH($C52,COMPOSICAO!$A:$A,0)),
0)))))),0)</f>
        <v>273.18</v>
      </c>
      <c r="H52" s="202">
        <f t="shared" si="44"/>
        <v>341.48</v>
      </c>
      <c r="I52" s="209">
        <f t="shared" si="45"/>
        <v>3097.22</v>
      </c>
      <c r="J52" s="225">
        <f t="shared" si="43"/>
        <v>3.3178983993911011E-2</v>
      </c>
    </row>
    <row r="53" spans="1:10" ht="51">
      <c r="A53" s="204" t="s">
        <v>26587</v>
      </c>
      <c r="B53" s="205" t="s">
        <v>1019</v>
      </c>
      <c r="C53" s="205">
        <v>101974</v>
      </c>
      <c r="D53" s="207" t="str">
        <f>IFERROR(PROPER(
IF($B53="DER-ES",INDEX('CDER-ES'!$B:$B,MATCH($C53,'CDER-ES'!$A:$A,0)),
IF($B53="SINAPI",INDEX(CSINAPI!$B:$B,MATCH($C53,CSINAPI!$A:$A,0)),
IF($B53="CESAN",INDEX(CCESAN!$B:$B,MATCH($C53,CCESAN!$A:$A,0)),
IF($B53="SCORIO",INDEX(CSCORIO!$B:$B,MATCH($C53,CSCORIO!$A:$A,0)),
IF($B53="MERC",INDEX(MERCADO!$B:$B,MATCH($C53,MERCADO!$A:$A,0)),
IF($B53="COMP",INDEX(COMPOSICAO!$B:$B,MATCH($C53,COMPOSICAO!$A:$A,0)),
""))))))),"*Verificar código*")</f>
        <v>Montagem E Desmontagem De Fôrma Para Escadas, Com 2 Lances Em "U" E Laje Plana, Em Madeira Serrada, 1 Utilização. Af_11/2020</v>
      </c>
      <c r="E53" s="200" t="str">
        <f>IFERROR(LOWER(
IF($B53="DER-ES",INDEX('CDER-ES'!$C:$C,MATCH($C53,'CDER-ES'!$A:$A,0)),
IF($B53="SINAPI",INDEX(CSINAPI!$C:$C,MATCH($C53,CSINAPI!$A:$A,0)),
IF($B53="CESAN",INDEX(CCESAN!$C:$C,MATCH($C53,CCESAN!$A:$A,0)),
IF($B53="SCORIO",INDEX(CSCORIO!$A:$A,MATCH($C53,CSCORIO!#REF!,0)),
IF($B53="MERC",INDEX(MERCADO!$D:$D,MATCH($C53,MERCADO!$A:$A,0)),
IF($B53="COMP",INDEX(COMPOSICAO!$G:$G,MATCH($C53,COMPOSICAO!$A:$A,0)),
""))))))),"")</f>
        <v>m²</v>
      </c>
      <c r="F53" s="208">
        <f>VLOOKUP(A53,'MEMÓRIA DE CÁLCULO'!A:H,8,0)</f>
        <v>7.13</v>
      </c>
      <c r="G53" s="202">
        <f>IFERROR(
IF($B53="DER-ES",INDEX('CDER-ES'!$D:$D,MATCH($C53,'CDER-ES'!$A:$A,0)),
IF($B53="SINAPI",INDEX(CSINAPI!$D:$D,MATCH($C53,CSINAPI!$A:$A,0)),
IF($B53="CESAN",INDEX(CCESAN!$D:$D,MATCH($C53,CCESAN!$A:$A,0)),
IF($B53="SCORIO",INDEX(CSCORIO!$B:$B,MATCH($C53,CSCORIO!#REF!,0)),
IF($B53="MERC",INDEX(MERCADO!$E:$E,MATCH($C53,MERCADO!$A:$A,0)),
IF($B53="COMP",INDEX(COMPOSICAO!$H:$H,MATCH($C53,COMPOSICAO!$A:$A,0)),
0)))))),0)</f>
        <v>467.77</v>
      </c>
      <c r="H53" s="202">
        <f t="shared" si="44"/>
        <v>584.71</v>
      </c>
      <c r="I53" s="209">
        <f t="shared" si="45"/>
        <v>4168.9799999999996</v>
      </c>
      <c r="J53" s="225">
        <f t="shared" si="43"/>
        <v>4.4660218095884413E-2</v>
      </c>
    </row>
    <row r="54" spans="1:10" ht="51">
      <c r="A54" s="204" t="s">
        <v>28517</v>
      </c>
      <c r="B54" s="205" t="s">
        <v>1019</v>
      </c>
      <c r="C54" s="205">
        <v>95943</v>
      </c>
      <c r="D54" s="207" t="str">
        <f>IFERROR(PROPER(
IF($B54="DER-ES",INDEX('CDER-ES'!$B:$B,MATCH($C54,'CDER-ES'!$A:$A,0)),
IF($B54="SINAPI",INDEX(CSINAPI!$B:$B,MATCH($C54,CSINAPI!$A:$A,0)),
IF($B54="CESAN",INDEX(CCESAN!$B:$B,MATCH($C54,CCESAN!$A:$A,0)),
IF($B54="SCORIO",INDEX(CSCORIO!$B:$B,MATCH($C54,CSCORIO!$A:$A,0)),
IF($B54="MERC",INDEX(MERCADO!$B:$B,MATCH($C54,MERCADO!$A:$A,0)),
IF($B54="COMP",INDEX(COMPOSICAO!$B:$B,MATCH($C54,COMPOSICAO!$A:$A,0)),
""))))))),"*Verificar código*")</f>
        <v>Armação De Escada, De Uma Estrutura Convencional De Concreto Armado Utilizando Aço Ca-60 De 5,0 Mm - Montagem. Af_11/2020</v>
      </c>
      <c r="E54" s="200" t="str">
        <f>IFERROR(LOWER(
IF($B54="DER-ES",INDEX('CDER-ES'!$C:$C,MATCH($C54,'CDER-ES'!$A:$A,0)),
IF($B54="SINAPI",INDEX(CSINAPI!$C:$C,MATCH($C54,CSINAPI!$A:$A,0)),
IF($B54="CESAN",INDEX(CCESAN!$C:$C,MATCH($C54,CCESAN!$A:$A,0)),
IF($B54="SCORIO",INDEX(CSCORIO!$A:$A,MATCH($C54,CSCORIO!#REF!,0)),
IF($B54="MERC",INDEX(MERCADO!$D:$D,MATCH($C54,MERCADO!$A:$A,0)),
IF($B54="COMP",INDEX(COMPOSICAO!$G:$G,MATCH($C54,COMPOSICAO!$A:$A,0)),
""))))))),"")</f>
        <v>kg</v>
      </c>
      <c r="F54" s="208">
        <f>VLOOKUP(A54,'MEMÓRIA DE CÁLCULO'!A:H,8,0)</f>
        <v>13.33</v>
      </c>
      <c r="G54" s="202">
        <f>IFERROR(
IF($B54="DER-ES",INDEX('CDER-ES'!$D:$D,MATCH($C54,'CDER-ES'!$A:$A,0)),
IF($B54="SINAPI",INDEX(CSINAPI!$D:$D,MATCH($C54,CSINAPI!$A:$A,0)),
IF($B54="CESAN",INDEX(CCESAN!$D:$D,MATCH($C54,CCESAN!$A:$A,0)),
IF($B54="SCORIO",INDEX(CSCORIO!$B:$B,MATCH($C54,CSCORIO!#REF!,0)),
IF($B54="MERC",INDEX(MERCADO!$E:$E,MATCH($C54,MERCADO!$A:$A,0)),
IF($B54="COMP",INDEX(COMPOSICAO!$H:$H,MATCH($C54,COMPOSICAO!$A:$A,0)),
0)))))),0)</f>
        <v>25.2</v>
      </c>
      <c r="H54" s="202">
        <f t="shared" si="44"/>
        <v>31.5</v>
      </c>
      <c r="I54" s="209">
        <f t="shared" si="45"/>
        <v>419.9</v>
      </c>
      <c r="J54" s="225">
        <f t="shared" si="43"/>
        <v>4.4981807488790708E-3</v>
      </c>
    </row>
    <row r="55" spans="1:10" ht="51">
      <c r="A55" s="204" t="s">
        <v>28585</v>
      </c>
      <c r="B55" s="205" t="s">
        <v>1019</v>
      </c>
      <c r="C55" s="205">
        <v>95946</v>
      </c>
      <c r="D55" s="207" t="str">
        <f>IFERROR(PROPER(
IF($B55="DER-ES",INDEX('CDER-ES'!$B:$B,MATCH($C55,'CDER-ES'!$A:$A,0)),
IF($B55="SINAPI",INDEX(CSINAPI!$B:$B,MATCH($C55,CSINAPI!$A:$A,0)),
IF($B55="CESAN",INDEX(CCESAN!$B:$B,MATCH($C55,CCESAN!$A:$A,0)),
IF($B55="SCORIO",INDEX(CSCORIO!$B:$B,MATCH($C55,CSCORIO!$A:$A,0)),
IF($B55="MERC",INDEX(MERCADO!$B:$B,MATCH($C55,MERCADO!$A:$A,0)),
IF($B55="COMP",INDEX(COMPOSICAO!$B:$B,MATCH($C55,COMPOSICAO!$A:$A,0)),
""))))))),"*Verificar código*")</f>
        <v>Armação De Escada, De Uma Estrutura Convencional De Concreto Armado Utilizando Aço Ca-50 De 10,0 Mm - Montagem. Af_11/2020</v>
      </c>
      <c r="E55" s="200" t="str">
        <f>IFERROR(LOWER(
IF($B55="DER-ES",INDEX('CDER-ES'!$C:$C,MATCH($C55,'CDER-ES'!$A:$A,0)),
IF($B55="SINAPI",INDEX(CSINAPI!$C:$C,MATCH($C55,CSINAPI!$A:$A,0)),
IF($B55="CESAN",INDEX(CCESAN!$C:$C,MATCH($C55,CCESAN!$A:$A,0)),
IF($B55="SCORIO",INDEX(CSCORIO!$A:$A,MATCH($C55,CSCORIO!#REF!,0)),
IF($B55="MERC",INDEX(MERCADO!$D:$D,MATCH($C55,MERCADO!$A:$A,0)),
IF($B55="COMP",INDEX(COMPOSICAO!$G:$G,MATCH($C55,COMPOSICAO!$A:$A,0)),
""))))))),"")</f>
        <v>kg</v>
      </c>
      <c r="F55" s="208">
        <f>VLOOKUP(A55,'MEMÓRIA DE CÁLCULO'!A:H,8,0)</f>
        <v>177.07</v>
      </c>
      <c r="G55" s="202">
        <f>IFERROR(
IF($B55="DER-ES",INDEX('CDER-ES'!$D:$D,MATCH($C55,'CDER-ES'!$A:$A,0)),
IF($B55="SINAPI",INDEX(CSINAPI!$D:$D,MATCH($C55,CSINAPI!$A:$A,0)),
IF($B55="CESAN",INDEX(CCESAN!$D:$D,MATCH($C55,CCESAN!$A:$A,0)),
IF($B55="SCORIO",INDEX(CSCORIO!$B:$B,MATCH($C55,CSCORIO!#REF!,0)),
IF($B55="MERC",INDEX(MERCADO!$E:$E,MATCH($C55,MERCADO!$A:$A,0)),
IF($B55="COMP",INDEX(COMPOSICAO!$H:$H,MATCH($C55,COMPOSICAO!$A:$A,0)),
0)))))),0)</f>
        <v>17.25</v>
      </c>
      <c r="H55" s="202">
        <f t="shared" si="44"/>
        <v>21.56</v>
      </c>
      <c r="I55" s="209">
        <f t="shared" si="45"/>
        <v>3817.63</v>
      </c>
      <c r="J55" s="225">
        <f t="shared" si="43"/>
        <v>4.0896379548328664E-2</v>
      </c>
    </row>
    <row r="56" spans="1:10">
      <c r="A56" s="196" t="s">
        <v>19663</v>
      </c>
      <c r="B56" s="197"/>
      <c r="C56" s="198"/>
      <c r="D56" s="199" t="s">
        <v>28563</v>
      </c>
      <c r="E56" s="200"/>
      <c r="F56" s="201"/>
      <c r="G56" s="202"/>
      <c r="H56" s="202"/>
      <c r="I56" s="203">
        <f>SUBTOTAL(9,I57:I62)</f>
        <v>129948.5</v>
      </c>
      <c r="J56" s="224">
        <f>SUBTOTAL(9,J57:J62)</f>
        <v>1</v>
      </c>
    </row>
    <row r="57" spans="1:10" ht="89.25">
      <c r="A57" s="204" t="s">
        <v>25838</v>
      </c>
      <c r="B57" s="205" t="s">
        <v>1020</v>
      </c>
      <c r="C57" s="206">
        <v>2</v>
      </c>
      <c r="D57" s="207" t="str">
        <f>IFERROR(PROPER(
IF($B57="DER-ES",INDEX('CDER-ES'!$B:$B,MATCH($C57,'CDER-ES'!$A:$A,0)),
IF($B57="SINAPI",INDEX(CSINAPI!$B:$B,MATCH($C57,CSINAPI!$A:$A,0)),
IF($B57="CESAN",INDEX(CCESAN!$B:$B,MATCH($C57,CCESAN!$A:$A,0)),
IF($B57="SCORIO",INDEX(CSCORIO!$B:$B,MATCH($C57,CSCORIO!$A:$A,0)),
IF($B57="MERC",INDEX(MERCADO!$B:$B,MATCH($C57,MERCADO!$A:$A,0)),
IF($B57="COMP",INDEX(COMPOSICAO!$B:$B,MATCH($C57,COMPOSICAO!$A:$A,0)),
""))))))),"*Verificar código*")</f>
        <v>Viga Em Madeira Maciça Aparelhada, Dimensão 8 X 30 Cm, Em Macaranduba, Angelim Ou Equivalente Da Região, Incluso Içamento E Instalação - Conforme Projeto. Lixamento De Madeira E Aplicação De Verniz À Duas Demãos</v>
      </c>
      <c r="E57" s="200" t="str">
        <f>IFERROR(LOWER(
IF($B57="DER-ES",INDEX('CDER-ES'!$C:$C,MATCH($C57,'CDER-ES'!$A:$A,0)),
IF($B57="SINAPI",INDEX(CSINAPI!$C:$C,MATCH($C57,CSINAPI!$A:$A,0)),
IF($B57="CESAN",INDEX(CCESAN!$C:$C,MATCH($C57,CCESAN!$A:$A,0)),
IF($B57="SCORIO",INDEX(CSCORIO!$A:$A,MATCH($C57,CSCORIO!#REF!,0)),
IF($B57="MERC",INDEX(MERCADO!$D:$D,MATCH($C57,MERCADO!$A:$A,0)),
IF($B57="COMP",INDEX(COMPOSICAO!$G:$G,MATCH($C57,COMPOSICAO!$A:$A,0)),
""))))))),"")</f>
        <v>m</v>
      </c>
      <c r="F57" s="208">
        <f>VLOOKUP(A57,'MEMÓRIA DE CÁLCULO'!A:H,8,0)</f>
        <v>224.83</v>
      </c>
      <c r="G57" s="202">
        <f>IFERROR(
IF($B57="DER-ES",INDEX('CDER-ES'!$D:$D,MATCH($C57,'CDER-ES'!$A:$A,0)),
IF($B57="SINAPI",INDEX(CSINAPI!$D:$D,MATCH($C57,CSINAPI!$A:$A,0)),
IF($B57="CESAN",INDEX(CCESAN!$D:$D,MATCH($C57,CCESAN!$A:$A,0)),
IF($B57="SCORIO",INDEX(CSCORIO!$B:$B,MATCH($C57,CSCORIO!#REF!,0)),
IF($B57="MERC",INDEX(MERCADO!$E:$E,MATCH($C57,MERCADO!$A:$A,0)),
IF($B57="COMP",INDEX(COMPOSICAO!$H:$H,MATCH($C57,COMPOSICAO!$A:$A,0)),
0)))))),0)</f>
        <v>168.73000000000005</v>
      </c>
      <c r="H57" s="202">
        <f t="shared" ref="H57:H62" si="46">ROUND(G57*(1+$J$2),2)</f>
        <v>210.91</v>
      </c>
      <c r="I57" s="209">
        <f t="shared" ref="I57:I62" si="47">ROUND($H57*F57,2)</f>
        <v>47418.9</v>
      </c>
      <c r="J57" s="225">
        <f>I57/I$56</f>
        <v>0.36490532787989088</v>
      </c>
    </row>
    <row r="58" spans="1:10">
      <c r="A58" s="204" t="s">
        <v>26528</v>
      </c>
      <c r="B58" s="205" t="s">
        <v>1019</v>
      </c>
      <c r="C58" s="206">
        <v>101746</v>
      </c>
      <c r="D58" s="207" t="str">
        <f>IFERROR(PROPER(
IF($B58="DER-ES",INDEX('CDER-ES'!$B:$B,MATCH($C58,'CDER-ES'!$A:$A,0)),
IF($B58="SINAPI",INDEX(CSINAPI!$B:$B,MATCH($C58,CSINAPI!$A:$A,0)),
IF($B58="CESAN",INDEX(CCESAN!$B:$B,MATCH($C58,CCESAN!$A:$A,0)),
IF($B58="SCORIO",INDEX(CSCORIO!$B:$B,MATCH($C58,CSCORIO!$A:$A,0)),
IF($B58="MERC",INDEX(MERCADO!$B:$B,MATCH($C58,MERCADO!$A:$A,0)),
IF($B58="COMP",INDEX(COMPOSICAO!$B:$B,MATCH($C58,COMPOSICAO!$A:$A,0)),
""))))))),"*Verificar código*")</f>
        <v>Assoalho De Madeira. Af_09/2020</v>
      </c>
      <c r="E58" s="200" t="str">
        <f>IFERROR(LOWER(
IF($B58="DER-ES",INDEX('CDER-ES'!$C:$C,MATCH($C58,'CDER-ES'!$A:$A,0)),
IF($B58="SINAPI",INDEX(CSINAPI!$C:$C,MATCH($C58,CSINAPI!$A:$A,0)),
IF($B58="CESAN",INDEX(CCESAN!$C:$C,MATCH($C58,CCESAN!$A:$A,0)),
IF($B58="SCORIO",INDEX(CSCORIO!$A:$A,MATCH($C58,CSCORIO!#REF!,0)),
IF($B58="MERC",INDEX(MERCADO!$D:$D,MATCH($C58,MERCADO!$A:$A,0)),
IF($B58="COMP",INDEX(COMPOSICAO!$G:$G,MATCH($C58,COMPOSICAO!$A:$A,0)),
""))))))),"")</f>
        <v>m²</v>
      </c>
      <c r="F58" s="208">
        <f>VLOOKUP(A58,'MEMÓRIA DE CÁLCULO'!A:H,8,0)</f>
        <v>163.4</v>
      </c>
      <c r="G58" s="202">
        <f>IFERROR(
IF($B58="DER-ES",INDEX('CDER-ES'!$D:$D,MATCH($C58,'CDER-ES'!$A:$A,0)),
IF($B58="SINAPI",INDEX(CSINAPI!$D:$D,MATCH($C58,CSINAPI!$A:$A,0)),
IF($B58="CESAN",INDEX(CCESAN!$D:$D,MATCH($C58,CCESAN!$A:$A,0)),
IF($B58="SCORIO",INDEX(CSCORIO!$B:$B,MATCH($C58,CSCORIO!#REF!,0)),
IF($B58="MERC",INDEX(MERCADO!$E:$E,MATCH($C58,MERCADO!$A:$A,0)),
IF($B58="COMP",INDEX(COMPOSICAO!$H:$H,MATCH($C58,COMPOSICAO!$A:$A,0)),
0)))))),0)</f>
        <v>289.38</v>
      </c>
      <c r="H58" s="202">
        <f t="shared" si="46"/>
        <v>361.73</v>
      </c>
      <c r="I58" s="209">
        <f t="shared" si="47"/>
        <v>59106.68</v>
      </c>
      <c r="J58" s="225">
        <f t="shared" ref="J58:J62" si="48">I58/I$56</f>
        <v>0.45484695860283114</v>
      </c>
    </row>
    <row r="59" spans="1:10" ht="127.5">
      <c r="A59" s="204" t="s">
        <v>28505</v>
      </c>
      <c r="B59" s="205" t="s">
        <v>1020</v>
      </c>
      <c r="C59" s="206">
        <v>3</v>
      </c>
      <c r="D59" s="207" t="str">
        <f>IFERROR(PROPER(
IF($B59="DER-ES",INDEX('CDER-ES'!$B:$B,MATCH($C59,'CDER-ES'!$A:$A,0)),
IF($B59="SINAPI",INDEX(CSINAPI!$B:$B,MATCH($C59,CSINAPI!$A:$A,0)),
IF($B59="CESAN",INDEX(CCESAN!$B:$B,MATCH($C59,CCESAN!$A:$A,0)),
IF($B59="SCORIO",INDEX(CSCORIO!$B:$B,MATCH($C59,CSCORIO!$A:$A,0)),
IF($B59="MERC",INDEX(MERCADO!$B:$B,MATCH($C59,MERCADO!$A:$A,0)),
IF($B59="COMP",INDEX(COMPOSICAO!$B:$B,MATCH($C59,COMPOSICAO!$A:$A,0)),
""))))))),"*Verificar código*")</f>
        <v>Escada Em Madeira Maciça Aparelhada, Formato Tipo "U" Com 02 Lances, Com Estrutura De Sustentação Peça 6 X 25 Cm E Degraus (Piso + Espelho) Em Tábua 2,5 Cm, Em Macaranduba, Angelim Ou Equivalente Da Região - Largura 1,10 M  E Pé Direito 4,20 M - Conforme Projeto. Lixamento De Madeira E Aplicação De Verniz À Duas Demãos</v>
      </c>
      <c r="E59" s="200" t="str">
        <f>IFERROR(LOWER(
IF($B59="DER-ES",INDEX('CDER-ES'!$C:$C,MATCH($C59,'CDER-ES'!$A:$A,0)),
IF($B59="SINAPI",INDEX(CSINAPI!$C:$C,MATCH($C59,CSINAPI!$A:$A,0)),
IF($B59="CESAN",INDEX(CCESAN!$C:$C,MATCH($C59,CCESAN!$A:$A,0)),
IF($B59="SCORIO",INDEX(CSCORIO!$A:$A,MATCH($C59,CSCORIO!#REF!,0)),
IF($B59="MERC",INDEX(MERCADO!$D:$D,MATCH($C59,MERCADO!$A:$A,0)),
IF($B59="COMP",INDEX(COMPOSICAO!$G:$G,MATCH($C59,COMPOSICAO!$A:$A,0)),
""))))))),"")</f>
        <v>pç</v>
      </c>
      <c r="F59" s="208">
        <f>VLOOKUP(A59,'MEMÓRIA DE CÁLCULO'!A:H,8,0)</f>
        <v>1</v>
      </c>
      <c r="G59" s="202">
        <f>IFERROR(
IF($B59="DER-ES",INDEX('CDER-ES'!$D:$D,MATCH($C59,'CDER-ES'!$A:$A,0)),
IF($B59="SINAPI",INDEX(CSINAPI!$D:$D,MATCH($C59,CSINAPI!$A:$A,0)),
IF($B59="CESAN",INDEX(CCESAN!$D:$D,MATCH($C59,CCESAN!$A:$A,0)),
IF($B59="SCORIO",INDEX(CSCORIO!$B:$B,MATCH($C59,CSCORIO!#REF!,0)),
IF($B59="MERC",INDEX(MERCADO!$E:$E,MATCH($C59,MERCADO!$A:$A,0)),
IF($B59="COMP",INDEX(COMPOSICAO!$H:$H,MATCH($C59,COMPOSICAO!$A:$A,0)),
0)))))),0)</f>
        <v>9457.9200000000019</v>
      </c>
      <c r="H59" s="202">
        <f t="shared" si="46"/>
        <v>11822.4</v>
      </c>
      <c r="I59" s="209">
        <f t="shared" si="47"/>
        <v>11822.4</v>
      </c>
      <c r="J59" s="225">
        <f t="shared" si="48"/>
        <v>9.0977579579602688E-2</v>
      </c>
    </row>
    <row r="60" spans="1:10" ht="114.75">
      <c r="A60" s="204" t="s">
        <v>28514</v>
      </c>
      <c r="B60" s="205" t="s">
        <v>1020</v>
      </c>
      <c r="C60" s="206">
        <v>4</v>
      </c>
      <c r="D60" s="207" t="str">
        <f>IFERROR(PROPER(
IF($B60="DER-ES",INDEX('CDER-ES'!$B:$B,MATCH($C60,'CDER-ES'!$A:$A,0)),
IF($B60="SINAPI",INDEX(CSINAPI!$B:$B,MATCH($C60,CSINAPI!$A:$A,0)),
IF($B60="CESAN",INDEX(CCESAN!$B:$B,MATCH($C60,CCESAN!$A:$A,0)),
IF($B60="SCORIO",INDEX(CSCORIO!$B:$B,MATCH($C60,CSCORIO!$A:$A,0)),
IF($B60="MERC",INDEX(MERCADO!$B:$B,MATCH($C60,MERCADO!$A:$A,0)),
IF($B60="COMP",INDEX(COMPOSICAO!$B:$B,MATCH($C60,COMPOSICAO!$A:$A,0)),
""))))))),"*Verificar código*")</f>
        <v>Guarda-Corpo Em Madeira Maciça Instalada Sobre Vigas De Madeira, 1,10 M De Altura, Montantes Em Ripas De Madeira 1,5 X 5 Cm E Travessa Superior Em Peça De Madeira 5 X 6 Cm, Em Macaranduba, Angelim Ou Equivalente Da Região. Lixamento De Madeira E Aplicação De Verniz À Duas Demãos</v>
      </c>
      <c r="E60" s="200" t="str">
        <f>IFERROR(LOWER(
IF($B60="DER-ES",INDEX('CDER-ES'!$C:$C,MATCH($C60,'CDER-ES'!$A:$A,0)),
IF($B60="SINAPI",INDEX(CSINAPI!$C:$C,MATCH($C60,CSINAPI!$A:$A,0)),
IF($B60="CESAN",INDEX(CCESAN!$C:$C,MATCH($C60,CCESAN!$A:$A,0)),
IF($B60="SCORIO",INDEX(CSCORIO!$A:$A,MATCH($C60,CSCORIO!#REF!,0)),
IF($B60="MERC",INDEX(MERCADO!$D:$D,MATCH($C60,MERCADO!$A:$A,0)),
IF($B60="COMP",INDEX(COMPOSICAO!$G:$G,MATCH($C60,COMPOSICAO!$A:$A,0)),
""))))))),"")</f>
        <v>m</v>
      </c>
      <c r="F60" s="208">
        <f>VLOOKUP(A60,'MEMÓRIA DE CÁLCULO'!A:H,8,0)</f>
        <v>11.32</v>
      </c>
      <c r="G60" s="202">
        <f>IFERROR(
IF($B60="DER-ES",INDEX('CDER-ES'!$D:$D,MATCH($C60,'CDER-ES'!$A:$A,0)),
IF($B60="SINAPI",INDEX(CSINAPI!$D:$D,MATCH($C60,CSINAPI!$A:$A,0)),
IF($B60="CESAN",INDEX(CCESAN!$D:$D,MATCH($C60,CCESAN!$A:$A,0)),
IF($B60="SCORIO",INDEX(CSCORIO!$B:$B,MATCH($C60,CSCORIO!#REF!,0)),
IF($B60="MERC",INDEX(MERCADO!$E:$E,MATCH($C60,MERCADO!$A:$A,0)),
IF($B60="COMP",INDEX(COMPOSICAO!$H:$H,MATCH($C60,COMPOSICAO!$A:$A,0)),
0)))))),0)</f>
        <v>214.97</v>
      </c>
      <c r="H60" s="202">
        <f t="shared" si="46"/>
        <v>268.70999999999998</v>
      </c>
      <c r="I60" s="209">
        <f t="shared" si="47"/>
        <v>3041.8</v>
      </c>
      <c r="J60" s="225">
        <f t="shared" si="48"/>
        <v>2.3407734602554089E-2</v>
      </c>
    </row>
    <row r="61" spans="1:10" ht="63.75">
      <c r="A61" s="204" t="s">
        <v>28544</v>
      </c>
      <c r="B61" s="205" t="s">
        <v>1020</v>
      </c>
      <c r="C61" s="206">
        <v>5</v>
      </c>
      <c r="D61" s="207" t="str">
        <f>IFERROR(PROPER(
IF($B61="DER-ES",INDEX('CDER-ES'!$B:$B,MATCH($C61,'CDER-ES'!$A:$A,0)),
IF($B61="SINAPI",INDEX(CSINAPI!$B:$B,MATCH($C61,CSINAPI!$A:$A,0)),
IF($B61="CESAN",INDEX(CCESAN!$B:$B,MATCH($C61,CCESAN!$A:$A,0)),
IF($B61="SCORIO",INDEX(CSCORIO!$B:$B,MATCH($C61,CSCORIO!$A:$A,0)),
IF($B61="MERC",INDEX(MERCADO!$B:$B,MATCH($C61,MERCADO!$A:$A,0)),
IF($B61="COMP",INDEX(COMPOSICAO!$B:$B,MATCH($C61,COMPOSICAO!$A:$A,0)),
""))))))),"*Verificar código*")</f>
        <v>Corrimão De Madeira, Dimensão 5 X 6 Cm, Em Macaranduba, Angelim Ou Equivalente, Suporte Metálico. Inclui Lixamento De Madeira Para Aplicação De Verniz</v>
      </c>
      <c r="E61" s="200" t="str">
        <f>IFERROR(LOWER(
IF($B61="DER-ES",INDEX('CDER-ES'!$C:$C,MATCH($C61,'CDER-ES'!$A:$A,0)),
IF($B61="SINAPI",INDEX(CSINAPI!$C:$C,MATCH($C61,CSINAPI!$A:$A,0)),
IF($B61="CESAN",INDEX(CCESAN!$C:$C,MATCH($C61,CCESAN!$A:$A,0)),
IF($B61="SCORIO",INDEX(CSCORIO!$A:$A,MATCH($C61,CSCORIO!#REF!,0)),
IF($B61="MERC",INDEX(MERCADO!$D:$D,MATCH($C61,MERCADO!$A:$A,0)),
IF($B61="COMP",INDEX(COMPOSICAO!$G:$G,MATCH($C61,COMPOSICAO!$A:$A,0)),
""))))))),"")</f>
        <v>m</v>
      </c>
      <c r="F61" s="208">
        <f>VLOOKUP(A61,'MEMÓRIA DE CÁLCULO'!A:H,8,0)</f>
        <v>18.600000000000001</v>
      </c>
      <c r="G61" s="202">
        <f>IFERROR(
IF($B61="DER-ES",INDEX('CDER-ES'!$D:$D,MATCH($C61,'CDER-ES'!$A:$A,0)),
IF($B61="SINAPI",INDEX(CSINAPI!$D:$D,MATCH($C61,CSINAPI!$A:$A,0)),
IF($B61="CESAN",INDEX(CCESAN!$D:$D,MATCH($C61,CCESAN!$A:$A,0)),
IF($B61="SCORIO",INDEX(CSCORIO!$B:$B,MATCH($C61,CSCORIO!#REF!,0)),
IF($B61="MERC",INDEX(MERCADO!$E:$E,MATCH($C61,MERCADO!$A:$A,0)),
IF($B61="COMP",INDEX(COMPOSICAO!$H:$H,MATCH($C61,COMPOSICAO!$A:$A,0)),
0)))))),0)</f>
        <v>119.81</v>
      </c>
      <c r="H61" s="202">
        <f t="shared" si="46"/>
        <v>149.76</v>
      </c>
      <c r="I61" s="209">
        <f t="shared" si="47"/>
        <v>2785.54</v>
      </c>
      <c r="J61" s="225">
        <f t="shared" si="48"/>
        <v>2.143572261318907E-2</v>
      </c>
    </row>
    <row r="62" spans="1:10" ht="89.25">
      <c r="A62" s="204" t="s">
        <v>28564</v>
      </c>
      <c r="B62" s="205" t="s">
        <v>1020</v>
      </c>
      <c r="C62" s="206">
        <v>6</v>
      </c>
      <c r="D62" s="207" t="str">
        <f>IFERROR(PROPER(
IF($B62="DER-ES",INDEX('CDER-ES'!$B:$B,MATCH($C62,'CDER-ES'!$A:$A,0)),
IF($B62="SINAPI",INDEX(CSINAPI!$B:$B,MATCH($C62,CSINAPI!$A:$A,0)),
IF($B62="CESAN",INDEX(CCESAN!$B:$B,MATCH($C62,CCESAN!$A:$A,0)),
IF($B62="SCORIO",INDEX(CSCORIO!$B:$B,MATCH($C62,CSCORIO!$A:$A,0)),
IF($B62="MERC",INDEX(MERCADO!$B:$B,MATCH($C62,MERCADO!$A:$A,0)),
IF($B62="COMP",INDEX(COMPOSICAO!$B:$B,MATCH($C62,COMPOSICAO!$A:$A,0)),
""))))))),"*Verificar código*")</f>
        <v>Envelopamento De Pilares De Concreto Armado Com Tábua De Madeira, Dimensão 30 X 2,5 Cm, Em Macaranduba, Angelim Ou Equivalente Da Região. Fixação Com Parafuso E Bucha. Lixamento De Madeira E Aplicação De Verniz À Duas Demãos</v>
      </c>
      <c r="E62" s="200" t="str">
        <f>IFERROR(LOWER(
IF($B62="DER-ES",INDEX('CDER-ES'!$C:$C,MATCH($C62,'CDER-ES'!$A:$A,0)),
IF($B62="SINAPI",INDEX(CSINAPI!$C:$C,MATCH($C62,CSINAPI!$A:$A,0)),
IF($B62="CESAN",INDEX(CCESAN!$C:$C,MATCH($C62,CCESAN!$A:$A,0)),
IF($B62="SCORIO",INDEX(CSCORIO!$A:$A,MATCH($C62,CSCORIO!#REF!,0)),
IF($B62="MERC",INDEX(MERCADO!$D:$D,MATCH($C62,MERCADO!$A:$A,0)),
IF($B62="COMP",INDEX(COMPOSICAO!$G:$G,MATCH($C62,COMPOSICAO!$A:$A,0)),
""))))))),"")</f>
        <v>m²</v>
      </c>
      <c r="F62" s="208">
        <f>VLOOKUP(A62,'MEMÓRIA DE CÁLCULO'!A:H,8,0)</f>
        <v>24.5</v>
      </c>
      <c r="G62" s="202">
        <f>IFERROR(
IF($B62="DER-ES",INDEX('CDER-ES'!$D:$D,MATCH($C62,'CDER-ES'!$A:$A,0)),
IF($B62="SINAPI",INDEX(CSINAPI!$D:$D,MATCH($C62,CSINAPI!$A:$A,0)),
IF($B62="CESAN",INDEX(CCESAN!$D:$D,MATCH($C62,CCESAN!$A:$A,0)),
IF($B62="SCORIO",INDEX(CSCORIO!$B:$B,MATCH($C62,CSCORIO!#REF!,0)),
IF($B62="MERC",INDEX(MERCADO!$E:$E,MATCH($C62,MERCADO!$A:$A,0)),
IF($B62="COMP",INDEX(COMPOSICAO!$H:$H,MATCH($C62,COMPOSICAO!$A:$A,0)),
0)))))),0)</f>
        <v>188.51000000000002</v>
      </c>
      <c r="H62" s="202">
        <f t="shared" si="46"/>
        <v>235.64</v>
      </c>
      <c r="I62" s="209">
        <f t="shared" si="47"/>
        <v>5773.18</v>
      </c>
      <c r="J62" s="225">
        <f t="shared" si="48"/>
        <v>4.4426676721932151E-2</v>
      </c>
    </row>
    <row r="63" spans="1:10">
      <c r="A63" s="196" t="s">
        <v>26538</v>
      </c>
      <c r="B63" s="197"/>
      <c r="C63" s="198"/>
      <c r="D63" s="199" t="s">
        <v>26596</v>
      </c>
      <c r="E63" s="200"/>
      <c r="F63" s="201"/>
      <c r="G63" s="202"/>
      <c r="H63" s="202"/>
      <c r="I63" s="203">
        <f>SUBTOTAL(9,I64:I76)</f>
        <v>155404.01999999999</v>
      </c>
      <c r="J63" s="224">
        <f>SUBTOTAL(9,J64:J76)</f>
        <v>1</v>
      </c>
    </row>
    <row r="64" spans="1:10" ht="63.75">
      <c r="A64" s="204" t="s">
        <v>26539</v>
      </c>
      <c r="B64" s="205" t="s">
        <v>1019</v>
      </c>
      <c r="C64" s="206">
        <v>103323</v>
      </c>
      <c r="D64" s="207" t="str">
        <f>IFERROR(PROPER(
IF($B64="DER-ES",INDEX('CDER-ES'!$B:$B,MATCH($C64,'CDER-ES'!$A:$A,0)),
IF($B64="SINAPI",INDEX(CSINAPI!$B:$B,MATCH($C64,CSINAPI!$A:$A,0)),
IF($B64="CESAN",INDEX(CCESAN!$B:$B,MATCH($C64,CCESAN!$A:$A,0)),
IF($B64="SCORIO",INDEX(CSCORIO!$B:$B,MATCH($C64,CSCORIO!$A:$A,0)),
IF($B64="MERC",INDEX(MERCADO!$B:$B,MATCH($C64,MERCADO!$A:$A,0)),
IF($B64="COMP",INDEX(COMPOSICAO!$B:$B,MATCH($C64,COMPOSICAO!$A:$A,0)),
""))))))),"*Verificar código*")</f>
        <v>Alvenaria De Vedação De Blocos Cerâmicos Furados Na Vertical De 9X19X39 Cm (Espessura 9 Cm) E Argamassa De Assentamento Com Preparo Manual. Af_12/2021</v>
      </c>
      <c r="E64" s="200" t="str">
        <f>IFERROR(LOWER(
IF($B64="DER-ES",INDEX('CDER-ES'!$C:$C,MATCH($C64,'CDER-ES'!$A:$A,0)),
IF($B64="SINAPI",INDEX(CSINAPI!$C:$C,MATCH($C64,CSINAPI!$A:$A,0)),
IF($B64="CESAN",INDEX(CCESAN!$C:$C,MATCH($C64,CCESAN!$A:$A,0)),
IF($B64="SCORIO",INDEX(CSCORIO!$A:$A,MATCH($C64,CSCORIO!#REF!,0)),
IF($B64="MERC",INDEX(MERCADO!$D:$D,MATCH($C64,MERCADO!$A:$A,0)),
IF($B64="COMP",INDEX(COMPOSICAO!$G:$G,MATCH($C64,COMPOSICAO!$A:$A,0)),
""))))))),"")</f>
        <v>m²</v>
      </c>
      <c r="F64" s="208">
        <f>VLOOKUP(A64,'MEMÓRIA DE CÁLCULO'!A:H,8,0)</f>
        <v>176.68</v>
      </c>
      <c r="G64" s="202">
        <f>IFERROR(
IF($B64="DER-ES",INDEX('CDER-ES'!$D:$D,MATCH($C64,'CDER-ES'!$A:$A,0)),
IF($B64="SINAPI",INDEX(CSINAPI!$D:$D,MATCH($C64,CSINAPI!$A:$A,0)),
IF($B64="CESAN",INDEX(CCESAN!$D:$D,MATCH($C64,CCESAN!$A:$A,0)),
IF($B64="SCORIO",INDEX(CSCORIO!$B:$B,MATCH($C64,CSCORIO!#REF!,0)),
IF($B64="MERC",INDEX(MERCADO!$E:$E,MATCH($C64,MERCADO!$A:$A,0)),
IF($B64="COMP",INDEX(COMPOSICAO!$H:$H,MATCH($C64,COMPOSICAO!$A:$A,0)),
0)))))),0)</f>
        <v>45.45</v>
      </c>
      <c r="H64" s="202">
        <f t="shared" ref="H64:H67" si="49">ROUND(G64*(1+$J$2),2)</f>
        <v>56.81</v>
      </c>
      <c r="I64" s="209">
        <f t="shared" ref="I64:I67" si="50">ROUND($H64*F64,2)</f>
        <v>10037.19</v>
      </c>
      <c r="J64" s="225">
        <f t="shared" ref="J64:J76" si="51">I64/I$63</f>
        <v>6.4587711437580575E-2</v>
      </c>
    </row>
    <row r="65" spans="1:10" ht="63.75">
      <c r="A65" s="204" t="s">
        <v>26540</v>
      </c>
      <c r="B65" s="205" t="s">
        <v>1019</v>
      </c>
      <c r="C65" s="206">
        <v>103319</v>
      </c>
      <c r="D65" s="207" t="str">
        <f>IFERROR(PROPER(
IF($B65="DER-ES",INDEX('CDER-ES'!$B:$B,MATCH($C65,'CDER-ES'!$A:$A,0)),
IF($B65="SINAPI",INDEX(CSINAPI!$B:$B,MATCH($C65,CSINAPI!$A:$A,0)),
IF($B65="CESAN",INDEX(CCESAN!$B:$B,MATCH($C65,CCESAN!$A:$A,0)),
IF($B65="SCORIO",INDEX(CSCORIO!$B:$B,MATCH($C65,CSCORIO!$A:$A,0)),
IF($B65="MERC",INDEX(MERCADO!$B:$B,MATCH($C65,MERCADO!$A:$A,0)),
IF($B65="COMP",INDEX(COMPOSICAO!$B:$B,MATCH($C65,COMPOSICAO!$A:$A,0)),
""))))))),"*Verificar código*")</f>
        <v>Alvenaria De Vedação De Blocos Vazados De Concreto De 14X19X39 Cm (Espessura 14 Cm) E Argamassa De Assentamento Com Preparo Manual. Af_12/2021</v>
      </c>
      <c r="E65" s="200" t="str">
        <f>IFERROR(LOWER(
IF($B65="DER-ES",INDEX('CDER-ES'!$C:$C,MATCH($C65,'CDER-ES'!$A:$A,0)),
IF($B65="SINAPI",INDEX(CSINAPI!$C:$C,MATCH($C65,CSINAPI!$A:$A,0)),
IF($B65="CESAN",INDEX(CCESAN!$C:$C,MATCH($C65,CCESAN!$A:$A,0)),
IF($B65="SCORIO",INDEX(CSCORIO!$A:$A,MATCH($C65,CSCORIO!#REF!,0)),
IF($B65="MERC",INDEX(MERCADO!$D:$D,MATCH($C65,MERCADO!$A:$A,0)),
IF($B65="COMP",INDEX(COMPOSICAO!$G:$G,MATCH($C65,COMPOSICAO!$A:$A,0)),
""))))))),"")</f>
        <v>m²</v>
      </c>
      <c r="F65" s="208">
        <f>VLOOKUP(A65,'MEMÓRIA DE CÁLCULO'!A:H,8,0)</f>
        <v>22.99</v>
      </c>
      <c r="G65" s="202">
        <f>IFERROR(
IF($B65="DER-ES",INDEX('CDER-ES'!$D:$D,MATCH($C65,'CDER-ES'!$A:$A,0)),
IF($B65="SINAPI",INDEX(CSINAPI!$D:$D,MATCH($C65,CSINAPI!$A:$A,0)),
IF($B65="CESAN",INDEX(CCESAN!$D:$D,MATCH($C65,CCESAN!$A:$A,0)),
IF($B65="SCORIO",INDEX(CSCORIO!$B:$B,MATCH($C65,CSCORIO!#REF!,0)),
IF($B65="MERC",INDEX(MERCADO!$E:$E,MATCH($C65,MERCADO!$A:$A,0)),
IF($B65="COMP",INDEX(COMPOSICAO!$H:$H,MATCH($C65,COMPOSICAO!$A:$A,0)),
0)))))),0)</f>
        <v>78.03</v>
      </c>
      <c r="H65" s="202">
        <f t="shared" si="49"/>
        <v>97.54</v>
      </c>
      <c r="I65" s="209">
        <f t="shared" si="50"/>
        <v>2242.44</v>
      </c>
      <c r="J65" s="225">
        <f t="shared" ref="J65" si="52">I65/I$63</f>
        <v>1.4429742551061421E-2</v>
      </c>
    </row>
    <row r="66" spans="1:10" ht="38.25">
      <c r="A66" s="204" t="s">
        <v>26541</v>
      </c>
      <c r="B66" s="205" t="s">
        <v>1019</v>
      </c>
      <c r="C66" s="206">
        <v>93205</v>
      </c>
      <c r="D66" s="207" t="str">
        <f>IFERROR(PROPER(
IF($B66="DER-ES",INDEX('CDER-ES'!$B:$B,MATCH($C66,'CDER-ES'!$A:$A,0)),
IF($B66="SINAPI",INDEX(CSINAPI!$B:$B,MATCH($C66,CSINAPI!$A:$A,0)),
IF($B66="CESAN",INDEX(CCESAN!$B:$B,MATCH($C66,CCESAN!$A:$A,0)),
IF($B66="SCORIO",INDEX(CSCORIO!$B:$B,MATCH($C66,CSCORIO!$A:$A,0)),
IF($B66="MERC",INDEX(MERCADO!$B:$B,MATCH($C66,MERCADO!$A:$A,0)),
IF($B66="COMP",INDEX(COMPOSICAO!$B:$B,MATCH($C66,COMPOSICAO!$A:$A,0)),
""))))))),"*Verificar código*")</f>
        <v>Cinta De Amarração De Alvenaria Moldada In Loco Com Utilização De Blocos Canaleta. Af_03/2016</v>
      </c>
      <c r="E66" s="200" t="str">
        <f>IFERROR(LOWER(
IF($B66="DER-ES",INDEX('CDER-ES'!$C:$C,MATCH($C66,'CDER-ES'!$A:$A,0)),
IF($B66="SINAPI",INDEX(CSINAPI!$C:$C,MATCH($C66,CSINAPI!$A:$A,0)),
IF($B66="CESAN",INDEX(CCESAN!$C:$C,MATCH($C66,CCESAN!$A:$A,0)),
IF($B66="SCORIO",INDEX(CSCORIO!$A:$A,MATCH($C66,CSCORIO!#REF!,0)),
IF($B66="MERC",INDEX(MERCADO!$D:$D,MATCH($C66,MERCADO!$A:$A,0)),
IF($B66="COMP",INDEX(COMPOSICAO!$G:$G,MATCH($C66,COMPOSICAO!$A:$A,0)),
""))))))),"")</f>
        <v>m</v>
      </c>
      <c r="F66" s="208">
        <f>VLOOKUP(A66,'MEMÓRIA DE CÁLCULO'!A:H,8,0)</f>
        <v>57.82</v>
      </c>
      <c r="G66" s="202">
        <f>IFERROR(
IF($B66="DER-ES",INDEX('CDER-ES'!$D:$D,MATCH($C66,'CDER-ES'!$A:$A,0)),
IF($B66="SINAPI",INDEX(CSINAPI!$D:$D,MATCH($C66,CSINAPI!$A:$A,0)),
IF($B66="CESAN",INDEX(CCESAN!$D:$D,MATCH($C66,CCESAN!$A:$A,0)),
IF($B66="SCORIO",INDEX(CSCORIO!$B:$B,MATCH($C66,CSCORIO!#REF!,0)),
IF($B66="MERC",INDEX(MERCADO!$E:$E,MATCH($C66,MERCADO!$A:$A,0)),
IF($B66="COMP",INDEX(COMPOSICAO!$H:$H,MATCH($C66,COMPOSICAO!$A:$A,0)),
0)))))),0)</f>
        <v>36.15</v>
      </c>
      <c r="H66" s="202">
        <f t="shared" ref="H66" si="53">ROUND(G66*(1+$J$2),2)</f>
        <v>45.19</v>
      </c>
      <c r="I66" s="209">
        <f t="shared" ref="I66" si="54">ROUND($H66*F66,2)</f>
        <v>2612.89</v>
      </c>
      <c r="J66" s="225">
        <f t="shared" si="51"/>
        <v>1.6813529019390875E-2</v>
      </c>
    </row>
    <row r="67" spans="1:10" ht="63.75">
      <c r="A67" s="204" t="s">
        <v>26593</v>
      </c>
      <c r="B67" s="205" t="s">
        <v>1019</v>
      </c>
      <c r="C67" s="206">
        <v>96359</v>
      </c>
      <c r="D67" s="207" t="str">
        <f>IFERROR(PROPER(
IF($B67="DER-ES",INDEX('CDER-ES'!$B:$B,MATCH($C67,'CDER-ES'!$A:$A,0)),
IF($B67="SINAPI",INDEX(CSINAPI!$B:$B,MATCH($C67,CSINAPI!$A:$A,0)),
IF($B67="CESAN",INDEX(CCESAN!$B:$B,MATCH($C67,CCESAN!$A:$A,0)),
IF($B67="SCORIO",INDEX(CSCORIO!$B:$B,MATCH($C67,CSCORIO!$A:$A,0)),
IF($B67="MERC",INDEX(MERCADO!$B:$B,MATCH($C67,MERCADO!$A:$A,0)),
IF($B67="COMP",INDEX(COMPOSICAO!$B:$B,MATCH($C67,COMPOSICAO!$A:$A,0)),
""))))))),"*Verificar código*")</f>
        <v>Parede Com Placas De Gesso Acartonado (Drywall), Para Uso Interno, Com Duas Faces Simples E Estrutura Metálica Com Guias Simples, Com Vãos Af_06/2017_P</v>
      </c>
      <c r="E67" s="200" t="str">
        <f>IFERROR(LOWER(
IF($B67="DER-ES",INDEX('CDER-ES'!$C:$C,MATCH($C67,'CDER-ES'!$A:$A,0)),
IF($B67="SINAPI",INDEX(CSINAPI!$C:$C,MATCH($C67,CSINAPI!$A:$A,0)),
IF($B67="CESAN",INDEX(CCESAN!$C:$C,MATCH($C67,CCESAN!$A:$A,0)),
IF($B67="SCORIO",INDEX(CSCORIO!$A:$A,MATCH($C67,CSCORIO!#REF!,0)),
IF($B67="MERC",INDEX(MERCADO!$D:$D,MATCH($C67,MERCADO!$A:$A,0)),
IF($B67="COMP",INDEX(COMPOSICAO!$G:$G,MATCH($C67,COMPOSICAO!$A:$A,0)),
""))))))),"")</f>
        <v>m²</v>
      </c>
      <c r="F67" s="208">
        <f>VLOOKUP(A67,'MEMÓRIA DE CÁLCULO'!A:H,8,0)</f>
        <v>201.87</v>
      </c>
      <c r="G67" s="202">
        <f>IFERROR(
IF($B67="DER-ES",INDEX('CDER-ES'!$D:$D,MATCH($C67,'CDER-ES'!$A:$A,0)),
IF($B67="SINAPI",INDEX(CSINAPI!$D:$D,MATCH($C67,CSINAPI!$A:$A,0)),
IF($B67="CESAN",INDEX(CCESAN!$D:$D,MATCH($C67,CCESAN!$A:$A,0)),
IF($B67="SCORIO",INDEX(CSCORIO!$B:$B,MATCH($C67,CSCORIO!#REF!,0)),
IF($B67="MERC",INDEX(MERCADO!$E:$E,MATCH($C67,MERCADO!$A:$A,0)),
IF($B67="COMP",INDEX(COMPOSICAO!$H:$H,MATCH($C67,COMPOSICAO!$A:$A,0)),
0)))))),0)</f>
        <v>108.1</v>
      </c>
      <c r="H67" s="202">
        <f t="shared" si="49"/>
        <v>135.13</v>
      </c>
      <c r="I67" s="209">
        <f t="shared" si="50"/>
        <v>27278.69</v>
      </c>
      <c r="J67" s="225">
        <f t="shared" ref="J67" si="55">I67/I$63</f>
        <v>0.17553400484749365</v>
      </c>
    </row>
    <row r="68" spans="1:10" ht="38.25">
      <c r="A68" s="204" t="s">
        <v>26594</v>
      </c>
      <c r="B68" s="205" t="s">
        <v>26583</v>
      </c>
      <c r="C68" s="206">
        <v>50301</v>
      </c>
      <c r="D68" s="207" t="str">
        <f>IFERROR(PROPER(
IF($B68="DER-ES",INDEX('CDER-ES'!$B:$B,MATCH($C68,'CDER-ES'!$A:$A,0)),
IF($B68="SINAPI",INDEX(CSINAPI!$B:$B,MATCH($C68,CSINAPI!$A:$A,0)),
IF($B68="CESAN",INDEX(CCESAN!$B:$B,MATCH($C68,CCESAN!$A:$A,0)),
IF($B68="SCORIO",INDEX(CSCORIO!$B:$B,MATCH($C68,CSCORIO!$A:$A,0)),
IF($B68="MERC",INDEX(MERCADO!$B:$B,MATCH($C68,MERCADO!$A:$A,0)),
IF($B68="COMP",INDEX(COMPOSICAO!$B:$B,MATCH($C68,COMPOSICAO!$A:$A,0)),
""))))))),"*Verificar código*")</f>
        <v>Verga/Contraverga Reta De Concreto Armado 10 X 5 Cm, Fck = 15 Mpa, Inclusive Forma, Armação E Desforma</v>
      </c>
      <c r="E68" s="200" t="str">
        <f>IFERROR(LOWER(
IF($B68="DER-ES",INDEX('CDER-ES'!$C:$C,MATCH($C68,'CDER-ES'!$A:$A,0)),
IF($B68="SINAPI",INDEX(CSINAPI!$C:$C,MATCH($C68,CSINAPI!$A:$A,0)),
IF($B68="CESAN",INDEX(CCESAN!$C:$C,MATCH($C68,CCESAN!$A:$A,0)),
IF($B68="SCORIO",INDEX(CSCORIO!$A:$A,MATCH($C68,CSCORIO!#REF!,0)),
IF($B68="MERC",INDEX(MERCADO!$D:$D,MATCH($C68,MERCADO!$A:$A,0)),
IF($B68="COMP",INDEX(COMPOSICAO!$G:$G,MATCH($C68,COMPOSICAO!$A:$A,0)),
""))))))),"")</f>
        <v>m</v>
      </c>
      <c r="F68" s="208">
        <f>VLOOKUP(A68,'MEMÓRIA DE CÁLCULO'!A:H,8,0)</f>
        <v>32.799999999999997</v>
      </c>
      <c r="G68" s="202">
        <f>IFERROR(
IF($B68="DER-ES",INDEX('CDER-ES'!$D:$D,MATCH($C68,'CDER-ES'!$A:$A,0)),
IF($B68="SINAPI",INDEX(CSINAPI!$D:$D,MATCH($C68,CSINAPI!$A:$A,0)),
IF($B68="CESAN",INDEX(CCESAN!$D:$D,MATCH($C68,CCESAN!$A:$A,0)),
IF($B68="SCORIO",INDEX(CSCORIO!$B:$B,MATCH($C68,CSCORIO!#REF!,0)),
IF($B68="MERC",INDEX(MERCADO!$E:$E,MATCH($C68,MERCADO!$A:$A,0)),
IF($B68="COMP",INDEX(COMPOSICAO!$H:$H,MATCH($C68,COMPOSICAO!$A:$A,0)),
0)))))),0)</f>
        <v>9.24</v>
      </c>
      <c r="H68" s="202">
        <f t="shared" ref="H68" si="56">ROUND(G68*(1+$J$2),2)</f>
        <v>11.55</v>
      </c>
      <c r="I68" s="209">
        <f t="shared" ref="I68" si="57">ROUND($H68*F68,2)</f>
        <v>378.84</v>
      </c>
      <c r="J68" s="225">
        <f t="shared" si="51"/>
        <v>2.4377747757104353E-3</v>
      </c>
    </row>
    <row r="69" spans="1:10" ht="63.75">
      <c r="A69" s="204" t="s">
        <v>26793</v>
      </c>
      <c r="B69" s="205" t="s">
        <v>1019</v>
      </c>
      <c r="C69" s="205">
        <v>87879</v>
      </c>
      <c r="D69" s="207" t="str">
        <f>IFERROR(PROPER(
IF($B69="DER-ES",INDEX('CDER-ES'!$B:$B,MATCH($C69,'CDER-ES'!$A:$A,0)),
IF($B69="SINAPI",INDEX(CSINAPI!$B:$B,MATCH($C69,CSINAPI!$A:$A,0)),
IF($B69="CESAN",INDEX(CCESAN!$B:$B,MATCH($C69,CCESAN!$A:$A,0)),
IF($B69="SCORIO",INDEX(CSCORIO!$B:$B,MATCH($C69,CSCORIO!$A:$A,0)),
IF($B69="MERC",INDEX(MERCADO!$B:$B,MATCH($C69,MERCADO!$A:$A,0)),
IF($B69="COMP",INDEX(COMPOSICAO!$B:$B,MATCH($C69,COMPOSICAO!$A:$A,0)),
""))))))),"*Verificar código*")</f>
        <v>Chapisco Aplicado Em Alvenarias E Estruturas De Concreto Internas, Com Colher De Pedreiro.  Argamassa Traço 1:3 Com Preparo Em Betoneira 400L. Af_06/2014</v>
      </c>
      <c r="E69" s="200" t="str">
        <f>IFERROR(LOWER(
IF($B69="DER-ES",INDEX('CDER-ES'!$C:$C,MATCH($C69,'CDER-ES'!$A:$A,0)),
IF($B69="SINAPI",INDEX(CSINAPI!$C:$C,MATCH($C69,CSINAPI!$A:$A,0)),
IF($B69="CESAN",INDEX(CCESAN!$C:$C,MATCH($C69,CCESAN!$A:$A,0)),
IF($B69="SCORIO",INDEX(CSCORIO!$A:$A,MATCH($C69,CSCORIO!#REF!,0)),
IF($B69="MERC",INDEX(MERCADO!$D:$D,MATCH($C69,MERCADO!$A:$A,0)),
IF($B69="COMP",INDEX(COMPOSICAO!$G:$G,MATCH($C69,COMPOSICAO!$A:$A,0)),
""))))))),"")</f>
        <v>m²</v>
      </c>
      <c r="F69" s="208">
        <f>VLOOKUP(A69,'MEMÓRIA DE CÁLCULO'!A:H,8,0)</f>
        <v>869.14</v>
      </c>
      <c r="G69" s="202">
        <f>IFERROR(
IF($B69="DER-ES",INDEX('CDER-ES'!$D:$D,MATCH($C69,'CDER-ES'!$A:$A,0)),
IF($B69="SINAPI",INDEX(CSINAPI!$D:$D,MATCH($C69,CSINAPI!$A:$A,0)),
IF($B69="CESAN",INDEX(CCESAN!$D:$D,MATCH($C69,CCESAN!$A:$A,0)),
IF($B69="SCORIO",INDEX(CSCORIO!$B:$B,MATCH($C69,CSCORIO!#REF!,0)),
IF($B69="MERC",INDEX(MERCADO!$E:$E,MATCH($C69,MERCADO!$A:$A,0)),
IF($B69="COMP",INDEX(COMPOSICAO!$H:$H,MATCH($C69,COMPOSICAO!$A:$A,0)),
0)))))),0)</f>
        <v>3.58</v>
      </c>
      <c r="H69" s="202">
        <f t="shared" ref="H69:H76" si="58">ROUND(G69*(1+$J$2),2)</f>
        <v>4.4800000000000004</v>
      </c>
      <c r="I69" s="209">
        <f t="shared" ref="I69:I76" si="59">ROUND($H69*F69,2)</f>
        <v>3893.75</v>
      </c>
      <c r="J69" s="225">
        <f t="shared" si="51"/>
        <v>2.5055658148354209E-2</v>
      </c>
    </row>
    <row r="70" spans="1:10" ht="63.75">
      <c r="A70" s="204" t="s">
        <v>26794</v>
      </c>
      <c r="B70" s="205" t="s">
        <v>1019</v>
      </c>
      <c r="C70" s="205">
        <v>87904</v>
      </c>
      <c r="D70" s="207" t="str">
        <f>IFERROR(PROPER(
IF($B70="DER-ES",INDEX('CDER-ES'!$B:$B,MATCH($C70,'CDER-ES'!$A:$A,0)),
IF($B70="SINAPI",INDEX(CSINAPI!$B:$B,MATCH($C70,CSINAPI!$A:$A,0)),
IF($B70="CESAN",INDEX(CCESAN!$B:$B,MATCH($C70,CCESAN!$A:$A,0)),
IF($B70="SCORIO",INDEX(CSCORIO!$B:$B,MATCH($C70,CSCORIO!$A:$A,0)),
IF($B70="MERC",INDEX(MERCADO!$B:$B,MATCH($C70,MERCADO!$A:$A,0)),
IF($B70="COMP",INDEX(COMPOSICAO!$B:$B,MATCH($C70,COMPOSICAO!$A:$A,0)),
""))))))),"*Verificar código*")</f>
        <v>Chapisco Aplicado Em Alvenaria (Com Presença De Vãos) E Estruturas De Concreto De Fachada, Com Colher De Pedreiro.  Argamassa Traço 1:3 Com Preparo Manual. Af_06/2014</v>
      </c>
      <c r="E70" s="200" t="str">
        <f>IFERROR(LOWER(
IF($B70="DER-ES",INDEX('CDER-ES'!$C:$C,MATCH($C70,'CDER-ES'!$A:$A,0)),
IF($B70="SINAPI",INDEX(CSINAPI!$C:$C,MATCH($C70,CSINAPI!$A:$A,0)),
IF($B70="CESAN",INDEX(CCESAN!$C:$C,MATCH($C70,CCESAN!$A:$A,0)),
IF($B70="SCORIO",INDEX(CSCORIO!$A:$A,MATCH($C70,CSCORIO!#REF!,0)),
IF($B70="MERC",INDEX(MERCADO!$D:$D,MATCH($C70,MERCADO!$A:$A,0)),
IF($B70="COMP",INDEX(COMPOSICAO!$G:$G,MATCH($C70,COMPOSICAO!$A:$A,0)),
""))))))),"")</f>
        <v>m²</v>
      </c>
      <c r="F70" s="208">
        <f>VLOOKUP(A70,'MEMÓRIA DE CÁLCULO'!A:H,8,0)</f>
        <v>775.52</v>
      </c>
      <c r="G70" s="202">
        <f>IFERROR(
IF($B70="DER-ES",INDEX('CDER-ES'!$D:$D,MATCH($C70,'CDER-ES'!$A:$A,0)),
IF($B70="SINAPI",INDEX(CSINAPI!$D:$D,MATCH($C70,CSINAPI!$A:$A,0)),
IF($B70="CESAN",INDEX(CCESAN!$D:$D,MATCH($C70,CCESAN!$A:$A,0)),
IF($B70="SCORIO",INDEX(CSCORIO!$B:$B,MATCH($C70,CSCORIO!#REF!,0)),
IF($B70="MERC",INDEX(MERCADO!$E:$E,MATCH($C70,MERCADO!$A:$A,0)),
IF($B70="COMP",INDEX(COMPOSICAO!$H:$H,MATCH($C70,COMPOSICAO!$A:$A,0)),
0)))))),0)</f>
        <v>8.36</v>
      </c>
      <c r="H70" s="202">
        <f t="shared" ref="H70" si="60">ROUND(G70*(1+$J$2),2)</f>
        <v>10.45</v>
      </c>
      <c r="I70" s="209">
        <f t="shared" ref="I70" si="61">ROUND($H70*F70,2)</f>
        <v>8104.18</v>
      </c>
      <c r="J70" s="225">
        <f t="shared" ref="J70" si="62">I70/I$63</f>
        <v>5.2149101419641533E-2</v>
      </c>
    </row>
    <row r="71" spans="1:10" ht="102">
      <c r="A71" s="204" t="s">
        <v>26795</v>
      </c>
      <c r="B71" s="205" t="s">
        <v>1019</v>
      </c>
      <c r="C71" s="206">
        <v>87527</v>
      </c>
      <c r="D71" s="207" t="str">
        <f>IFERROR(PROPER(
IF($B71="DER-ES",INDEX('CDER-ES'!$B:$B,MATCH($C71,'CDER-ES'!$A:$A,0)),
IF($B71="SINAPI",INDEX(CSINAPI!$B:$B,MATCH($C71,CSINAPI!$A:$A,0)),
IF($B71="CESAN",INDEX(CCESAN!$B:$B,MATCH($C71,CCESAN!$A:$A,0)),
IF($B71="SCORIO",INDEX(CSCORIO!$B:$B,MATCH($C71,CSCORIO!$A:$A,0)),
IF($B71="MERC",INDEX(MERCADO!$B:$B,MATCH($C71,MERCADO!$A:$A,0)),
IF($B71="COMP",INDEX(COMPOSICAO!$B:$B,MATCH($C71,COMPOSICAO!$A:$A,0)),
""))))))),"*Verificar código*")</f>
        <v>Emboço, Para Recebimento De Cerâmica, Em Argamassa Traço 1:2:8, Preparo Mecânico Com Betoneira 400L, Aplicado Manualmente Em Faces Internas De Paredes, Para Ambiente Com Área Menor Que 5M2, Espessura De 20Mm, Com Execução De Taliscas. Af_06/2014</v>
      </c>
      <c r="E71" s="200" t="str">
        <f>IFERROR(LOWER(
IF($B71="DER-ES",INDEX('CDER-ES'!$C:$C,MATCH($C71,'CDER-ES'!$A:$A,0)),
IF($B71="SINAPI",INDEX(CSINAPI!$C:$C,MATCH($C71,CSINAPI!$A:$A,0)),
IF($B71="CESAN",INDEX(CCESAN!$C:$C,MATCH($C71,CCESAN!$A:$A,0)),
IF($B71="SCORIO",INDEX(CSCORIO!$A:$A,MATCH($C71,CSCORIO!#REF!,0)),
IF($B71="MERC",INDEX(MERCADO!$D:$D,MATCH($C71,MERCADO!$A:$A,0)),
IF($B71="COMP",INDEX(COMPOSICAO!$G:$G,MATCH($C71,COMPOSICAO!$A:$A,0)),
""))))))),"")</f>
        <v>m²</v>
      </c>
      <c r="F71" s="208">
        <f>VLOOKUP(A71,'MEMÓRIA DE CÁLCULO'!A:H,8,0)</f>
        <v>199.45</v>
      </c>
      <c r="G71" s="202">
        <f>IFERROR(
IF($B71="DER-ES",INDEX('CDER-ES'!$D:$D,MATCH($C71,'CDER-ES'!$A:$A,0)),
IF($B71="SINAPI",INDEX(CSINAPI!$D:$D,MATCH($C71,CSINAPI!$A:$A,0)),
IF($B71="CESAN",INDEX(CCESAN!$D:$D,MATCH($C71,CCESAN!$A:$A,0)),
IF($B71="SCORIO",INDEX(CSCORIO!$B:$B,MATCH($C71,CSCORIO!#REF!,0)),
IF($B71="MERC",INDEX(MERCADO!$E:$E,MATCH($C71,MERCADO!$A:$A,0)),
IF($B71="COMP",INDEX(COMPOSICAO!$H:$H,MATCH($C71,COMPOSICAO!$A:$A,0)),
0)))))),0)</f>
        <v>34.979999999999997</v>
      </c>
      <c r="H71" s="202">
        <f t="shared" si="58"/>
        <v>43.73</v>
      </c>
      <c r="I71" s="209">
        <f t="shared" si="59"/>
        <v>8721.9500000000007</v>
      </c>
      <c r="J71" s="225">
        <f t="shared" si="51"/>
        <v>5.6124352510314737E-2</v>
      </c>
    </row>
    <row r="72" spans="1:10" ht="76.5">
      <c r="A72" s="204" t="s">
        <v>26796</v>
      </c>
      <c r="B72" s="205" t="s">
        <v>1019</v>
      </c>
      <c r="C72" s="205">
        <v>87530</v>
      </c>
      <c r="D72" s="207" t="str">
        <f>IFERROR(PROPER(
IF($B72="DER-ES",INDEX('CDER-ES'!$B:$B,MATCH($C72,'CDER-ES'!$A:$A,0)),
IF($B72="SINAPI",INDEX(CSINAPI!$B:$B,MATCH($C72,CSINAPI!$A:$A,0)),
IF($B72="CESAN",INDEX(CCESAN!$B:$B,MATCH($C72,CCESAN!$A:$A,0)),
IF($B72="SCORIO",INDEX(CSCORIO!$B:$B,MATCH($C72,CSCORIO!$A:$A,0)),
IF($B72="MERC",INDEX(MERCADO!$B:$B,MATCH($C72,MERCADO!$A:$A,0)),
IF($B72="COMP",INDEX(COMPOSICAO!$B:$B,MATCH($C72,COMPOSICAO!$A:$A,0)),
""))))))),"*Verificar código*")</f>
        <v>Massa Única, Para Recebimento De Pintura, Em Argamassa Traço 1:2:8, Preparo Manual, Aplicada Manualmente Em Faces Internas De Paredes, Espessura De 20Mm, Com Execução De Taliscas. Af_06/2014</v>
      </c>
      <c r="E72" s="200" t="str">
        <f>IFERROR(LOWER(
IF($B72="DER-ES",INDEX('CDER-ES'!$C:$C,MATCH($C72,'CDER-ES'!$A:$A,0)),
IF($B72="SINAPI",INDEX(CSINAPI!$C:$C,MATCH($C72,CSINAPI!$A:$A,0)),
IF($B72="CESAN",INDEX(CCESAN!$C:$C,MATCH($C72,CCESAN!$A:$A,0)),
IF($B72="SCORIO",INDEX(CSCORIO!$A:$A,MATCH($C72,CSCORIO!#REF!,0)),
IF($B72="MERC",INDEX(MERCADO!$D:$D,MATCH($C72,MERCADO!$A:$A,0)),
IF($B72="COMP",INDEX(COMPOSICAO!$G:$G,MATCH($C72,COMPOSICAO!$A:$A,0)),
""))))))),"")</f>
        <v>m²</v>
      </c>
      <c r="F72" s="208">
        <f>VLOOKUP(A72,'MEMÓRIA DE CÁLCULO'!A:H,8,0)</f>
        <v>669.69</v>
      </c>
      <c r="G72" s="202">
        <f>IFERROR(
IF($B72="DER-ES",INDEX('CDER-ES'!$D:$D,MATCH($C72,'CDER-ES'!$A:$A,0)),
IF($B72="SINAPI",INDEX(CSINAPI!$D:$D,MATCH($C72,CSINAPI!$A:$A,0)),
IF($B72="CESAN",INDEX(CCESAN!$D:$D,MATCH($C72,CCESAN!$A:$A,0)),
IF($B72="SCORIO",INDEX(CSCORIO!$B:$B,MATCH($C72,CSCORIO!#REF!,0)),
IF($B72="MERC",INDEX(MERCADO!$E:$E,MATCH($C72,MERCADO!$A:$A,0)),
IF($B72="COMP",INDEX(COMPOSICAO!$H:$H,MATCH($C72,COMPOSICAO!$A:$A,0)),
0)))))),0)</f>
        <v>34.880000000000003</v>
      </c>
      <c r="H72" s="202">
        <f t="shared" ref="H72:H75" si="63">ROUND(G72*(1+$J$2),2)</f>
        <v>43.6</v>
      </c>
      <c r="I72" s="209">
        <f t="shared" ref="I72:I75" si="64">ROUND($H72*F72,2)</f>
        <v>29198.48</v>
      </c>
      <c r="J72" s="225">
        <f t="shared" si="51"/>
        <v>0.18788754628097781</v>
      </c>
    </row>
    <row r="73" spans="1:10" ht="76.5">
      <c r="A73" s="204" t="s">
        <v>28518</v>
      </c>
      <c r="B73" s="205" t="s">
        <v>1019</v>
      </c>
      <c r="C73" s="206">
        <v>87268</v>
      </c>
      <c r="D73" s="207" t="str">
        <f>IFERROR(PROPER(
IF($B73="DER-ES",INDEX('CDER-ES'!$B:$B,MATCH($C73,'CDER-ES'!$A:$A,0)),
IF($B73="SINAPI",INDEX(CSINAPI!$B:$B,MATCH($C73,CSINAPI!$A:$A,0)),
IF($B73="CESAN",INDEX(CCESAN!$B:$B,MATCH($C73,CCESAN!$A:$A,0)),
IF($B73="SCORIO",INDEX(CSCORIO!$B:$B,MATCH($C73,CSCORIO!$A:$A,0)),
IF($B73="MERC",INDEX(MERCADO!$B:$B,MATCH($C73,MERCADO!$A:$A,0)),
IF($B73="COMP",INDEX(COMPOSICAO!$B:$B,MATCH($C73,COMPOSICAO!$A:$A,0)),
""))))))),"*Verificar código*")</f>
        <v>Revestimento Cerâmico Para Paredes Internas Com Placas Tipo Esmaltada Extra De Dimensões 25X35 Cm Aplicadas Em Ambientes De Área Menor Que 5 M² Na Altura Inteira Das Paredes. Af_06/2014</v>
      </c>
      <c r="E73" s="200" t="str">
        <f>IFERROR(LOWER(
IF($B73="DER-ES",INDEX('CDER-ES'!$C:$C,MATCH($C73,'CDER-ES'!$A:$A,0)),
IF($B73="SINAPI",INDEX(CSINAPI!$C:$C,MATCH($C73,CSINAPI!$A:$A,0)),
IF($B73="CESAN",INDEX(CCESAN!$C:$C,MATCH($C73,CCESAN!$A:$A,0)),
IF($B73="SCORIO",INDEX(CSCORIO!$A:$A,MATCH($C73,CSCORIO!#REF!,0)),
IF($B73="MERC",INDEX(MERCADO!$D:$D,MATCH($C73,MERCADO!$A:$A,0)),
IF($B73="COMP",INDEX(COMPOSICAO!$G:$G,MATCH($C73,COMPOSICAO!$A:$A,0)),
""))))))),"")</f>
        <v>m²</v>
      </c>
      <c r="F73" s="208">
        <f>VLOOKUP(A73,'MEMÓRIA DE CÁLCULO'!A:H,8,0)</f>
        <v>140.81</v>
      </c>
      <c r="G73" s="202">
        <f>IFERROR(
IF($B73="DER-ES",INDEX('CDER-ES'!$D:$D,MATCH($C73,'CDER-ES'!$A:$A,0)),
IF($B73="SINAPI",INDEX(CSINAPI!$D:$D,MATCH($C73,CSINAPI!$A:$A,0)),
IF($B73="CESAN",INDEX(CCESAN!$D:$D,MATCH($C73,CCESAN!$A:$A,0)),
IF($B73="SCORIO",INDEX(CSCORIO!$B:$B,MATCH($C73,CSCORIO!#REF!,0)),
IF($B73="MERC",INDEX(MERCADO!$E:$E,MATCH($C73,MERCADO!$A:$A,0)),
IF($B73="COMP",INDEX(COMPOSICAO!$H:$H,MATCH($C73,COMPOSICAO!$A:$A,0)),
0)))))),0)</f>
        <v>73.73</v>
      </c>
      <c r="H73" s="202">
        <f t="shared" si="63"/>
        <v>92.16</v>
      </c>
      <c r="I73" s="209">
        <f t="shared" si="64"/>
        <v>12977.05</v>
      </c>
      <c r="J73" s="225">
        <f t="shared" si="51"/>
        <v>8.350524008323594E-2</v>
      </c>
    </row>
    <row r="74" spans="1:10" ht="51">
      <c r="A74" s="204" t="s">
        <v>28701</v>
      </c>
      <c r="B74" s="205" t="s">
        <v>1019</v>
      </c>
      <c r="C74" s="206">
        <v>98561</v>
      </c>
      <c r="D74" s="207" t="str">
        <f>IFERROR(PROPER(
IF($B74="DER-ES",INDEX('CDER-ES'!$B:$B,MATCH($C74,'CDER-ES'!$A:$A,0)),
IF($B74="SINAPI",INDEX(CSINAPI!$B:$B,MATCH($C74,CSINAPI!$A:$A,0)),
IF($B74="CESAN",INDEX(CCESAN!$B:$B,MATCH($C74,CCESAN!$A:$A,0)),
IF($B74="SCORIO",INDEX(CSCORIO!$B:$B,MATCH($C74,CSCORIO!$A:$A,0)),
IF($B74="MERC",INDEX(MERCADO!$B:$B,MATCH($C74,MERCADO!$A:$A,0)),
IF($B74="COMP",INDEX(COMPOSICAO!$B:$B,MATCH($C74,COMPOSICAO!$A:$A,0)),
""))))))),"*Verificar código*")</f>
        <v>Impermeabilização De Paredes Com Argamassa De Cimento E Areia, Com Aditivo Impermeabilizante, E = 2Cm. Af_06/2018</v>
      </c>
      <c r="E74" s="200" t="str">
        <f>IFERROR(LOWER(
IF($B74="DER-ES",INDEX('CDER-ES'!$C:$C,MATCH($C74,'CDER-ES'!$A:$A,0)),
IF($B74="SINAPI",INDEX(CSINAPI!$C:$C,MATCH($C74,CSINAPI!$A:$A,0)),
IF($B74="CESAN",INDEX(CCESAN!$C:$C,MATCH($C74,CCESAN!$A:$A,0)),
IF($B74="SCORIO",INDEX(CSCORIO!$A:$A,MATCH($C74,CSCORIO!#REF!,0)),
IF($B74="MERC",INDEX(MERCADO!$D:$D,MATCH($C74,MERCADO!$A:$A,0)),
IF($B74="COMP",INDEX(COMPOSICAO!$G:$G,MATCH($C74,COMPOSICAO!$A:$A,0)),
""))))))),"")</f>
        <v>m²</v>
      </c>
      <c r="F74" s="208">
        <f>VLOOKUP(A74,'MEMÓRIA DE CÁLCULO'!A:H,8,0)</f>
        <v>85.53</v>
      </c>
      <c r="G74" s="202">
        <f>IFERROR(
IF($B74="DER-ES",INDEX('CDER-ES'!$D:$D,MATCH($C74,'CDER-ES'!$A:$A,0)),
IF($B74="SINAPI",INDEX(CSINAPI!$D:$D,MATCH($C74,CSINAPI!$A:$A,0)),
IF($B74="CESAN",INDEX(CCESAN!$D:$D,MATCH($C74,CCESAN!$A:$A,0)),
IF($B74="SCORIO",INDEX(CSCORIO!$B:$B,MATCH($C74,CSCORIO!#REF!,0)),
IF($B74="MERC",INDEX(MERCADO!$E:$E,MATCH($C74,MERCADO!$A:$A,0)),
IF($B74="COMP",INDEX(COMPOSICAO!$H:$H,MATCH($C74,COMPOSICAO!$A:$A,0)),
0)))))),0)</f>
        <v>38.47</v>
      </c>
      <c r="H74" s="202">
        <f t="shared" ref="H74" si="65">ROUND(G74*(1+$J$2),2)</f>
        <v>48.09</v>
      </c>
      <c r="I74" s="209">
        <f t="shared" ref="I74" si="66">ROUND($H74*F74,2)</f>
        <v>4113.1400000000003</v>
      </c>
      <c r="J74" s="225">
        <f t="shared" si="51"/>
        <v>2.6467397690227067E-2</v>
      </c>
    </row>
    <row r="75" spans="1:10" ht="76.5">
      <c r="A75" s="204" t="s">
        <v>28702</v>
      </c>
      <c r="B75" s="205" t="s">
        <v>1019</v>
      </c>
      <c r="C75" s="206">
        <v>87775</v>
      </c>
      <c r="D75" s="207" t="str">
        <f>IFERROR(PROPER(
IF($B75="DER-ES",INDEX('CDER-ES'!$B:$B,MATCH($C75,'CDER-ES'!$A:$A,0)),
IF($B75="SINAPI",INDEX(CSINAPI!$B:$B,MATCH($C75,CSINAPI!$A:$A,0)),
IF($B75="CESAN",INDEX(CCESAN!$B:$B,MATCH($C75,CCESAN!$A:$A,0)),
IF($B75="SCORIO",INDEX(CSCORIO!$B:$B,MATCH($C75,CSCORIO!$A:$A,0)),
IF($B75="MERC",INDEX(MERCADO!$B:$B,MATCH($C75,MERCADO!$A:$A,0)),
IF($B75="COMP",INDEX(COMPOSICAO!$B:$B,MATCH($C75,COMPOSICAO!$A:$A,0)),
""))))))),"*Verificar código*")</f>
        <v>Emboço Ou Massa Única Em Argamassa Traço 1:2:8, Preparo Mecânico Com Betoneira 400 L, Aplicada Manualmente Em Panos De Fachada Com Presença De Vãos, Espessura De 25 Mm. Af_06/2014</v>
      </c>
      <c r="E75" s="200" t="str">
        <f>IFERROR(LOWER(
IF($B75="DER-ES",INDEX('CDER-ES'!$C:$C,MATCH($C75,'CDER-ES'!$A:$A,0)),
IF($B75="SINAPI",INDEX(CSINAPI!$C:$C,MATCH($C75,CSINAPI!$A:$A,0)),
IF($B75="CESAN",INDEX(CCESAN!$C:$C,MATCH($C75,CCESAN!$A:$A,0)),
IF($B75="SCORIO",INDEX(CSCORIO!$A:$A,MATCH($C75,CSCORIO!#REF!,0)),
IF($B75="MERC",INDEX(MERCADO!$D:$D,MATCH($C75,MERCADO!$A:$A,0)),
IF($B75="COMP",INDEX(COMPOSICAO!$G:$G,MATCH($C75,COMPOSICAO!$A:$A,0)),
""))))))),"")</f>
        <v>m²</v>
      </c>
      <c r="F75" s="208">
        <f>VLOOKUP(A75,'MEMÓRIA DE CÁLCULO'!A:H,8,0)</f>
        <v>689.99</v>
      </c>
      <c r="G75" s="202">
        <f>IFERROR(
IF($B75="DER-ES",INDEX('CDER-ES'!$D:$D,MATCH($C75,'CDER-ES'!$A:$A,0)),
IF($B75="SINAPI",INDEX(CSINAPI!$D:$D,MATCH($C75,CSINAPI!$A:$A,0)),
IF($B75="CESAN",INDEX(CCESAN!$D:$D,MATCH($C75,CCESAN!$A:$A,0)),
IF($B75="SCORIO",INDEX(CSCORIO!$B:$B,MATCH($C75,CSCORIO!#REF!,0)),
IF($B75="MERC",INDEX(MERCADO!$E:$E,MATCH($C75,MERCADO!$A:$A,0)),
IF($B75="COMP",INDEX(COMPOSICAO!$H:$H,MATCH($C75,COMPOSICAO!$A:$A,0)),
0)))))),0)</f>
        <v>52.37</v>
      </c>
      <c r="H75" s="202">
        <f t="shared" si="63"/>
        <v>65.459999999999994</v>
      </c>
      <c r="I75" s="209">
        <f t="shared" si="64"/>
        <v>45166.75</v>
      </c>
      <c r="J75" s="225">
        <f t="shared" ref="J75" si="67">I75/I$63</f>
        <v>0.29064080839092837</v>
      </c>
    </row>
    <row r="76" spans="1:10" ht="25.5">
      <c r="A76" s="204" t="s">
        <v>29122</v>
      </c>
      <c r="B76" s="205" t="s">
        <v>26583</v>
      </c>
      <c r="C76" s="206">
        <v>130317</v>
      </c>
      <c r="D76" s="207" t="str">
        <f>IFERROR(PROPER(
IF($B76="DER-ES",INDEX('CDER-ES'!$B:$B,MATCH($C76,'CDER-ES'!$A:$A,0)),
IF($B76="SINAPI",INDEX(CSINAPI!$B:$B,MATCH($C76,CSINAPI!$A:$A,0)),
IF($B76="CESAN",INDEX(CCESAN!$B:$B,MATCH($C76,CCESAN!$A:$A,0)),
IF($B76="SCORIO",INDEX(CSCORIO!$B:$B,MATCH($C76,CSCORIO!$A:$A,0)),
IF($B76="MERC",INDEX(MERCADO!$B:$B,MATCH($C76,MERCADO!$A:$A,0)),
IF($B76="COMP",INDEX(COMPOSICAO!$B:$B,MATCH($C76,COMPOSICAO!$A:$A,0)),
""))))))),"*Verificar código*")</f>
        <v>Peitoril De Granito Cinza Polido, 15 Cm, Esp. 3Cm</v>
      </c>
      <c r="E76" s="200" t="str">
        <f>IFERROR(LOWER(
IF($B76="DER-ES",INDEX('CDER-ES'!$C:$C,MATCH($C76,'CDER-ES'!$A:$A,0)),
IF($B76="SINAPI",INDEX(CSINAPI!$C:$C,MATCH($C76,CSINAPI!$A:$A,0)),
IF($B76="CESAN",INDEX(CCESAN!$C:$C,MATCH($C76,CCESAN!$A:$A,0)),
IF($B76="SCORIO",INDEX(CSCORIO!$A:$A,MATCH($C76,CSCORIO!#REF!,0)),
IF($B76="MERC",INDEX(MERCADO!$D:$D,MATCH($C76,MERCADO!$A:$A,0)),
IF($B76="COMP",INDEX(COMPOSICAO!$G:$G,MATCH($C76,COMPOSICAO!$A:$A,0)),
""))))))),"")</f>
        <v>m</v>
      </c>
      <c r="F76" s="208">
        <f>VLOOKUP(A76,'MEMÓRIA DE CÁLCULO'!A:H,8,0)</f>
        <v>7.2</v>
      </c>
      <c r="G76" s="202">
        <f>IFERROR(
IF($B76="DER-ES",INDEX('CDER-ES'!$D:$D,MATCH($C76,'CDER-ES'!$A:$A,0)),
IF($B76="SINAPI",INDEX(CSINAPI!$D:$D,MATCH($C76,CSINAPI!$A:$A,0)),
IF($B76="CESAN",INDEX(CCESAN!$D:$D,MATCH($C76,CCESAN!$A:$A,0)),
IF($B76="SCORIO",INDEX(CSCORIO!$B:$B,MATCH($C76,CSCORIO!#REF!,0)),
IF($B76="MERC",INDEX(MERCADO!$E:$E,MATCH($C76,MERCADO!$A:$A,0)),
IF($B76="COMP",INDEX(COMPOSICAO!$H:$H,MATCH($C76,COMPOSICAO!$A:$A,0)),
0)))))),0)</f>
        <v>75.41</v>
      </c>
      <c r="H76" s="202">
        <f t="shared" si="58"/>
        <v>94.26</v>
      </c>
      <c r="I76" s="209">
        <f t="shared" si="59"/>
        <v>678.67</v>
      </c>
      <c r="J76" s="225">
        <f t="shared" si="51"/>
        <v>4.3671328450834157E-3</v>
      </c>
    </row>
    <row r="77" spans="1:10">
      <c r="A77" s="196" t="s">
        <v>26545</v>
      </c>
      <c r="B77" s="197"/>
      <c r="C77" s="198"/>
      <c r="D77" s="199" t="s">
        <v>26542</v>
      </c>
      <c r="E77" s="200"/>
      <c r="F77" s="201"/>
      <c r="G77" s="202"/>
      <c r="H77" s="202"/>
      <c r="I77" s="203">
        <f>SUBTOTAL(9,I78:I85)</f>
        <v>97094.09</v>
      </c>
      <c r="J77" s="224">
        <f>SUBTOTAL(9,J78:J85)</f>
        <v>0.99999999999999989</v>
      </c>
    </row>
    <row r="78" spans="1:10" ht="63.75">
      <c r="A78" s="204" t="s">
        <v>26546</v>
      </c>
      <c r="B78" s="205" t="s">
        <v>1019</v>
      </c>
      <c r="C78" s="206">
        <v>94994</v>
      </c>
      <c r="D78" s="207" t="str">
        <f>IFERROR(PROPER(
IF($B78="DER-ES",INDEX('CDER-ES'!$B:$B,MATCH($C78,'CDER-ES'!$A:$A,0)),
IF($B78="SINAPI",INDEX(CSINAPI!$B:$B,MATCH($C78,CSINAPI!$A:$A,0)),
IF($B78="CESAN",INDEX(CCESAN!$B:$B,MATCH($C78,CCESAN!$A:$A,0)),
IF($B78="SCORIO",INDEX(CSCORIO!$B:$B,MATCH($C78,CSCORIO!$A:$A,0)),
IF($B78="MERC",INDEX(MERCADO!$B:$B,MATCH($C78,MERCADO!$A:$A,0)),
IF($B78="COMP",INDEX(COMPOSICAO!$B:$B,MATCH($C78,COMPOSICAO!$A:$A,0)),
""))))))),"*Verificar código*")</f>
        <v>Execução De Passeio (Calçada) Ou Piso De Concreto Com Concreto Moldado In Loco, Feito Em Obra, Acabamento Convencional, Espessura 8 Cm, Armado. Af_07/2016</v>
      </c>
      <c r="E78" s="200" t="str">
        <f>IFERROR(LOWER(
IF($B78="DER-ES",INDEX('CDER-ES'!$C:$C,MATCH($C78,'CDER-ES'!$A:$A,0)),
IF($B78="SINAPI",INDEX(CSINAPI!$C:$C,MATCH($C78,CSINAPI!$A:$A,0)),
IF($B78="CESAN",INDEX(CCESAN!$C:$C,MATCH($C78,CCESAN!$A:$A,0)),
IF($B78="SCORIO",INDEX(CSCORIO!$A:$A,MATCH($C78,CSCORIO!#REF!,0)),
IF($B78="MERC",INDEX(MERCADO!$D:$D,MATCH($C78,MERCADO!$A:$A,0)),
IF($B78="COMP",INDEX(COMPOSICAO!$G:$G,MATCH($C78,COMPOSICAO!$A:$A,0)),
""))))))),"")</f>
        <v>m²</v>
      </c>
      <c r="F78" s="208">
        <f>VLOOKUP(A78,'MEMÓRIA DE CÁLCULO'!A:H,8,0)</f>
        <v>44.62</v>
      </c>
      <c r="G78" s="202">
        <f>IFERROR(
IF($B78="DER-ES",INDEX('CDER-ES'!$D:$D,MATCH($C78,'CDER-ES'!$A:$A,0)),
IF($B78="SINAPI",INDEX(CSINAPI!$D:$D,MATCH($C78,CSINAPI!$A:$A,0)),
IF($B78="CESAN",INDEX(CCESAN!$D:$D,MATCH($C78,CCESAN!$A:$A,0)),
IF($B78="SCORIO",INDEX(CSCORIO!$B:$B,MATCH($C78,CSCORIO!#REF!,0)),
IF($B78="MERC",INDEX(MERCADO!$E:$E,MATCH($C78,MERCADO!$A:$A,0)),
IF($B78="COMP",INDEX(COMPOSICAO!$H:$H,MATCH($C78,COMPOSICAO!$A:$A,0)),
0)))))),0)</f>
        <v>118.13</v>
      </c>
      <c r="H78" s="202">
        <f t="shared" ref="H78:H81" si="68">ROUND(G78*(1+$J$2),2)</f>
        <v>147.66</v>
      </c>
      <c r="I78" s="209">
        <f t="shared" ref="I78:I81" si="69">ROUND($H78*F78,2)</f>
        <v>6588.59</v>
      </c>
      <c r="J78" s="225">
        <f>I78/I$77</f>
        <v>6.785778619481371E-2</v>
      </c>
    </row>
    <row r="79" spans="1:10" ht="51">
      <c r="A79" s="204" t="s">
        <v>26547</v>
      </c>
      <c r="B79" s="205" t="s">
        <v>26583</v>
      </c>
      <c r="C79" s="206">
        <v>130103</v>
      </c>
      <c r="D79" s="207" t="str">
        <f>IFERROR(PROPER(
IF($B79="DER-ES",INDEX('CDER-ES'!$B:$B,MATCH($C79,'CDER-ES'!$A:$A,0)),
IF($B79="SINAPI",INDEX(CSINAPI!$B:$B,MATCH($C79,CSINAPI!$A:$A,0)),
IF($B79="CESAN",INDEX(CCESAN!$B:$B,MATCH($C79,CCESAN!$A:$A,0)),
IF($B79="SCORIO",INDEX(CSCORIO!$B:$B,MATCH($C79,CSCORIO!$A:$A,0)),
IF($B79="MERC",INDEX(MERCADO!$B:$B,MATCH($C79,MERCADO!$A:$A,0)),
IF($B79="COMP",INDEX(COMPOSICAO!$B:$B,MATCH($C79,COMPOSICAO!$A:$A,0)),
""))))))),"*Verificar código*")</f>
        <v>Regularização De Base P/ Revestimento Cerâmico, Com Argamassa De Cimento E Areia No Traço 1:5, Espessura 3Cm</v>
      </c>
      <c r="E79" s="200" t="str">
        <f>IFERROR(LOWER(
IF($B79="DER-ES",INDEX('CDER-ES'!$C:$C,MATCH($C79,'CDER-ES'!$A:$A,0)),
IF($B79="SINAPI",INDEX(CSINAPI!$C:$C,MATCH($C79,CSINAPI!$A:$A,0)),
IF($B79="CESAN",INDEX(CCESAN!$C:$C,MATCH($C79,CCESAN!$A:$A,0)),
IF($B79="SCORIO",INDEX(CSCORIO!$A:$A,MATCH($C79,CSCORIO!#REF!,0)),
IF($B79="MERC",INDEX(MERCADO!$D:$D,MATCH($C79,MERCADO!$A:$A,0)),
IF($B79="COMP",INDEX(COMPOSICAO!$G:$G,MATCH($C79,COMPOSICAO!$A:$A,0)),
""))))))),"")</f>
        <v>m²</v>
      </c>
      <c r="F79" s="208">
        <f>VLOOKUP(A79,'MEMÓRIA DE CÁLCULO'!A:H,8,0)</f>
        <v>153.28</v>
      </c>
      <c r="G79" s="202">
        <f>IFERROR(
IF($B79="DER-ES",INDEX('CDER-ES'!$D:$D,MATCH($C79,'CDER-ES'!$A:$A,0)),
IF($B79="SINAPI",INDEX(CSINAPI!$D:$D,MATCH($C79,CSINAPI!$A:$A,0)),
IF($B79="CESAN",INDEX(CCESAN!$D:$D,MATCH($C79,CCESAN!$A:$A,0)),
IF($B79="SCORIO",INDEX(CSCORIO!$B:$B,MATCH($C79,CSCORIO!#REF!,0)),
IF($B79="MERC",INDEX(MERCADO!$E:$E,MATCH($C79,MERCADO!$A:$A,0)),
IF($B79="COMP",INDEX(COMPOSICAO!$H:$H,MATCH($C79,COMPOSICAO!$A:$A,0)),
0)))))),0)</f>
        <v>19.829999999999998</v>
      </c>
      <c r="H79" s="202">
        <f t="shared" ref="H79" si="70">ROUND(G79*(1+$J$2),2)</f>
        <v>24.79</v>
      </c>
      <c r="I79" s="209">
        <f t="shared" ref="I79" si="71">ROUND($H79*F79,2)</f>
        <v>3799.81</v>
      </c>
      <c r="J79" s="225">
        <f t="shared" ref="J79" si="72">I79/I$77</f>
        <v>3.9135337691511403E-2</v>
      </c>
    </row>
    <row r="80" spans="1:10" ht="25.5">
      <c r="A80" s="204" t="s">
        <v>26595</v>
      </c>
      <c r="B80" s="205" t="s">
        <v>1019</v>
      </c>
      <c r="C80" s="206">
        <v>101092</v>
      </c>
      <c r="D80" s="207" t="str">
        <f>IFERROR(PROPER(
IF($B80="DER-ES",INDEX('CDER-ES'!$B:$B,MATCH($C80,'CDER-ES'!$A:$A,0)),
IF($B80="SINAPI",INDEX(CSINAPI!$B:$B,MATCH($C80,CSINAPI!$A:$A,0)),
IF($B80="CESAN",INDEX(CCESAN!$B:$B,MATCH($C80,CCESAN!$A:$A,0)),
IF($B80="SCORIO",INDEX(CSCORIO!$B:$B,MATCH($C80,CSCORIO!$A:$A,0)),
IF($B80="MERC",INDEX(MERCADO!$B:$B,MATCH($C80,MERCADO!$A:$A,0)),
IF($B80="COMP",INDEX(COMPOSICAO!$B:$B,MATCH($C80,COMPOSICAO!$A:$A,0)),
""))))))),"*Verificar código*")</f>
        <v>Piso Em Granito Aplicado Em Calçadas Ou Pisos Externos. Af_05/2020</v>
      </c>
      <c r="E80" s="200" t="str">
        <f>IFERROR(LOWER(
IF($B80="DER-ES",INDEX('CDER-ES'!$C:$C,MATCH($C80,'CDER-ES'!$A:$A,0)),
IF($B80="SINAPI",INDEX(CSINAPI!$C:$C,MATCH($C80,CSINAPI!$A:$A,0)),
IF($B80="CESAN",INDEX(CCESAN!$C:$C,MATCH($C80,CCESAN!$A:$A,0)),
IF($B80="SCORIO",INDEX(CSCORIO!$A:$A,MATCH($C80,CSCORIO!#REF!,0)),
IF($B80="MERC",INDEX(MERCADO!$D:$D,MATCH($C80,MERCADO!$A:$A,0)),
IF($B80="COMP",INDEX(COMPOSICAO!$G:$G,MATCH($C80,COMPOSICAO!$A:$A,0)),
""))))))),"")</f>
        <v>m²</v>
      </c>
      <c r="F80" s="208">
        <f>VLOOKUP(A80,'MEMÓRIA DE CÁLCULO'!A:H,8,0)</f>
        <v>247.93</v>
      </c>
      <c r="G80" s="202">
        <f>IFERROR(
IF($B80="DER-ES",INDEX('CDER-ES'!$D:$D,MATCH($C80,'CDER-ES'!$A:$A,0)),
IF($B80="SINAPI",INDEX(CSINAPI!$D:$D,MATCH($C80,CSINAPI!$A:$A,0)),
IF($B80="CESAN",INDEX(CCESAN!$D:$D,MATCH($C80,CCESAN!$A:$A,0)),
IF($B80="SCORIO",INDEX(CSCORIO!$B:$B,MATCH($C80,CSCORIO!#REF!,0)),
IF($B80="MERC",INDEX(MERCADO!$E:$E,MATCH($C80,MERCADO!$A:$A,0)),
IF($B80="COMP",INDEX(COMPOSICAO!$H:$H,MATCH($C80,COMPOSICAO!$A:$A,0)),
0)))))),0)</f>
        <v>219.78</v>
      </c>
      <c r="H80" s="202">
        <f t="shared" si="68"/>
        <v>274.73</v>
      </c>
      <c r="I80" s="209">
        <f t="shared" si="69"/>
        <v>68113.81</v>
      </c>
      <c r="J80" s="225">
        <f t="shared" ref="J80:J81" si="73">I80/I$77</f>
        <v>0.70152374876781898</v>
      </c>
    </row>
    <row r="81" spans="1:10" ht="25.5">
      <c r="A81" s="204" t="s">
        <v>26597</v>
      </c>
      <c r="B81" s="205" t="s">
        <v>1019</v>
      </c>
      <c r="C81" s="206">
        <v>98685</v>
      </c>
      <c r="D81" s="207" t="str">
        <f>IFERROR(PROPER(
IF($B81="DER-ES",INDEX('CDER-ES'!$B:$B,MATCH($C81,'CDER-ES'!$A:$A,0)),
IF($B81="SINAPI",INDEX(CSINAPI!$B:$B,MATCH($C81,CSINAPI!$A:$A,0)),
IF($B81="CESAN",INDEX(CCESAN!$B:$B,MATCH($C81,CCESAN!$A:$A,0)),
IF($B81="SCORIO",INDEX(CSCORIO!$B:$B,MATCH($C81,CSCORIO!$A:$A,0)),
IF($B81="MERC",INDEX(MERCADO!$B:$B,MATCH($C81,MERCADO!$A:$A,0)),
IF($B81="COMP",INDEX(COMPOSICAO!$B:$B,MATCH($C81,COMPOSICAO!$A:$A,0)),
""))))))),"*Verificar código*")</f>
        <v>Rodapé Em Granito, Altura 10 Cm. Af_09/2020</v>
      </c>
      <c r="E81" s="200" t="str">
        <f>IFERROR(LOWER(
IF($B81="DER-ES",INDEX('CDER-ES'!$C:$C,MATCH($C81,'CDER-ES'!$A:$A,0)),
IF($B81="SINAPI",INDEX(CSINAPI!$C:$C,MATCH($C81,CSINAPI!$A:$A,0)),
IF($B81="CESAN",INDEX(CCESAN!$C:$C,MATCH($C81,CCESAN!$A:$A,0)),
IF($B81="SCORIO",INDEX(CSCORIO!$A:$A,MATCH($C81,CSCORIO!#REF!,0)),
IF($B81="MERC",INDEX(MERCADO!$D:$D,MATCH($C81,MERCADO!$A:$A,0)),
IF($B81="COMP",INDEX(COMPOSICAO!$G:$G,MATCH($C81,COMPOSICAO!$A:$A,0)),
""))))))),"")</f>
        <v>m</v>
      </c>
      <c r="F81" s="208">
        <f>VLOOKUP(A81,'MEMÓRIA DE CÁLCULO'!A:H,8,0)</f>
        <v>160.79</v>
      </c>
      <c r="G81" s="202">
        <f>IFERROR(
IF($B81="DER-ES",INDEX('CDER-ES'!$D:$D,MATCH($C81,'CDER-ES'!$A:$A,0)),
IF($B81="SINAPI",INDEX(CSINAPI!$D:$D,MATCH($C81,CSINAPI!$A:$A,0)),
IF($B81="CESAN",INDEX(CCESAN!$D:$D,MATCH($C81,CCESAN!$A:$A,0)),
IF($B81="SCORIO",INDEX(CSCORIO!$B:$B,MATCH($C81,CSCORIO!#REF!,0)),
IF($B81="MERC",INDEX(MERCADO!$E:$E,MATCH($C81,MERCADO!$A:$A,0)),
IF($B81="COMP",INDEX(COMPOSICAO!$H:$H,MATCH($C81,COMPOSICAO!$A:$A,0)),
0)))))),0)</f>
        <v>39.39</v>
      </c>
      <c r="H81" s="202">
        <f t="shared" si="68"/>
        <v>49.24</v>
      </c>
      <c r="I81" s="209">
        <f t="shared" si="69"/>
        <v>7917.3</v>
      </c>
      <c r="J81" s="225">
        <f t="shared" si="73"/>
        <v>8.1542553207924404E-2</v>
      </c>
    </row>
    <row r="82" spans="1:10" ht="38.25">
      <c r="A82" s="204" t="s">
        <v>28523</v>
      </c>
      <c r="B82" s="205" t="s">
        <v>1020</v>
      </c>
      <c r="C82" s="206">
        <v>7</v>
      </c>
      <c r="D82" s="207" t="str">
        <f>IFERROR(PROPER(
IF($B82="DER-ES",INDEX('CDER-ES'!$B:$B,MATCH($C82,'CDER-ES'!$A:$A,0)),
IF($B82="SINAPI",INDEX(CSINAPI!$B:$B,MATCH($C82,CSINAPI!$A:$A,0)),
IF($B82="CESAN",INDEX(CCESAN!$B:$B,MATCH($C82,CCESAN!$A:$A,0)),
IF($B82="SCORIO",INDEX(CSCORIO!$B:$B,MATCH($C82,CSCORIO!$A:$A,0)),
IF($B82="MERC",INDEX(MERCADO!$B:$B,MATCH($C82,MERCADO!$A:$A,0)),
IF($B82="COMP",INDEX(COMPOSICAO!$B:$B,MATCH($C82,COMPOSICAO!$A:$A,0)),
""))))))),"*Verificar código*")</f>
        <v>Reinstalação De Rodapé De Madeira, Altura 14 Cm, Fixado Com Cola E Parafusos</v>
      </c>
      <c r="E82" s="200" t="str">
        <f>IFERROR(LOWER(
IF($B82="DER-ES",INDEX('CDER-ES'!$C:$C,MATCH($C82,'CDER-ES'!$A:$A,0)),
IF($B82="SINAPI",INDEX(CSINAPI!$C:$C,MATCH($C82,CSINAPI!$A:$A,0)),
IF($B82="CESAN",INDEX(CCESAN!$C:$C,MATCH($C82,CCESAN!$A:$A,0)),
IF($B82="SCORIO",INDEX(CSCORIO!$A:$A,MATCH($C82,CSCORIO!#REF!,0)),
IF($B82="MERC",INDEX(MERCADO!$D:$D,MATCH($C82,MERCADO!$A:$A,0)),
IF($B82="COMP",INDEX(COMPOSICAO!$G:$G,MATCH($C82,COMPOSICAO!$A:$A,0)),
""))))))),"")</f>
        <v>m</v>
      </c>
      <c r="F82" s="208">
        <f>VLOOKUP(A82,'MEMÓRIA DE CÁLCULO'!A:H,8,0)</f>
        <v>99.63</v>
      </c>
      <c r="G82" s="202">
        <f>IFERROR(
IF($B82="DER-ES",INDEX('CDER-ES'!$D:$D,MATCH($C82,'CDER-ES'!$A:$A,0)),
IF($B82="SINAPI",INDEX(CSINAPI!$D:$D,MATCH($C82,CSINAPI!$A:$A,0)),
IF($B82="CESAN",INDEX(CCESAN!$D:$D,MATCH($C82,CCESAN!$A:$A,0)),
IF($B82="SCORIO",INDEX(CSCORIO!$B:$B,MATCH($C82,CSCORIO!#REF!,0)),
IF($B82="MERC",INDEX(MERCADO!$E:$E,MATCH($C82,MERCADO!$A:$A,0)),
IF($B82="COMP",INDEX(COMPOSICAO!$H:$H,MATCH($C82,COMPOSICAO!$A:$A,0)),
0)))))),0)</f>
        <v>33.86</v>
      </c>
      <c r="H82" s="202">
        <f t="shared" ref="H82:H85" si="74">ROUND(G82*(1+$J$2),2)</f>
        <v>42.33</v>
      </c>
      <c r="I82" s="209">
        <f t="shared" ref="I82:I85" si="75">ROUND($H82*F82,2)</f>
        <v>4217.34</v>
      </c>
      <c r="J82" s="225">
        <f t="shared" ref="J82:J85" si="76">I82/I$77</f>
        <v>4.3435599427318387E-2</v>
      </c>
    </row>
    <row r="83" spans="1:10" ht="38.25">
      <c r="A83" s="204" t="s">
        <v>28548</v>
      </c>
      <c r="B83" s="205" t="s">
        <v>1019</v>
      </c>
      <c r="C83" s="206">
        <v>101739</v>
      </c>
      <c r="D83" s="207" t="str">
        <f>IFERROR(PROPER(
IF($B83="DER-ES",INDEX('CDER-ES'!$B:$B,MATCH($C83,'CDER-ES'!$A:$A,0)),
IF($B83="SINAPI",INDEX(CSINAPI!$B:$B,MATCH($C83,CSINAPI!$A:$A,0)),
IF($B83="CESAN",INDEX(CCESAN!$B:$B,MATCH($C83,CCESAN!$A:$A,0)),
IF($B83="SCORIO",INDEX(CSCORIO!$B:$B,MATCH($C83,CSCORIO!$A:$A,0)),
IF($B83="MERC",INDEX(MERCADO!$B:$B,MATCH($C83,MERCADO!$A:$A,0)),
IF($B83="COMP",INDEX(COMPOSICAO!$B:$B,MATCH($C83,COMPOSICAO!$A:$A,0)),
""))))))),"*Verificar código*")</f>
        <v>Rodapé Em Madeira, Altura 7Cm, Fixado Com Cola E Parafusos. Af_09/2020</v>
      </c>
      <c r="E83" s="200" t="str">
        <f>IFERROR(LOWER(
IF($B83="DER-ES",INDEX('CDER-ES'!$C:$C,MATCH($C83,'CDER-ES'!$A:$A,0)),
IF($B83="SINAPI",INDEX(CSINAPI!$C:$C,MATCH($C83,CSINAPI!$A:$A,0)),
IF($B83="CESAN",INDEX(CCESAN!$C:$C,MATCH($C83,CCESAN!$A:$A,0)),
IF($B83="SCORIO",INDEX(CSCORIO!$A:$A,MATCH($C83,CSCORIO!#REF!,0)),
IF($B83="MERC",INDEX(MERCADO!$D:$D,MATCH($C83,MERCADO!$A:$A,0)),
IF($B83="COMP",INDEX(COMPOSICAO!$G:$G,MATCH($C83,COMPOSICAO!$A:$A,0)),
""))))))),"")</f>
        <v>m</v>
      </c>
      <c r="F83" s="208">
        <f>VLOOKUP(A83,'MEMÓRIA DE CÁLCULO'!A:H,8,0)</f>
        <v>60.94</v>
      </c>
      <c r="G83" s="202">
        <f>IFERROR(
IF($B83="DER-ES",INDEX('CDER-ES'!$D:$D,MATCH($C83,'CDER-ES'!$A:$A,0)),
IF($B83="SINAPI",INDEX(CSINAPI!$D:$D,MATCH($C83,CSINAPI!$A:$A,0)),
IF($B83="CESAN",INDEX(CCESAN!$D:$D,MATCH($C83,CCESAN!$A:$A,0)),
IF($B83="SCORIO",INDEX(CSCORIO!$B:$B,MATCH($C83,CSCORIO!#REF!,0)),
IF($B83="MERC",INDEX(MERCADO!$E:$E,MATCH($C83,MERCADO!$A:$A,0)),
IF($B83="COMP",INDEX(COMPOSICAO!$H:$H,MATCH($C83,COMPOSICAO!$A:$A,0)),
0)))))),0)</f>
        <v>32.47</v>
      </c>
      <c r="H83" s="202">
        <f t="shared" si="74"/>
        <v>40.590000000000003</v>
      </c>
      <c r="I83" s="209">
        <f t="shared" si="75"/>
        <v>2473.5500000000002</v>
      </c>
      <c r="J83" s="225">
        <f t="shared" si="76"/>
        <v>2.5475803934101451E-2</v>
      </c>
    </row>
    <row r="84" spans="1:10" ht="25.5">
      <c r="A84" s="204" t="s">
        <v>28601</v>
      </c>
      <c r="B84" s="205" t="s">
        <v>1019</v>
      </c>
      <c r="C84" s="206">
        <v>98689</v>
      </c>
      <c r="D84" s="207" t="str">
        <f>IFERROR(PROPER(
IF($B84="DER-ES",INDEX('CDER-ES'!$B:$B,MATCH($C84,'CDER-ES'!$A:$A,0)),
IF($B84="SINAPI",INDEX(CSINAPI!$B:$B,MATCH($C84,CSINAPI!$A:$A,0)),
IF($B84="CESAN",INDEX(CCESAN!$B:$B,MATCH($C84,CCESAN!$A:$A,0)),
IF($B84="SCORIO",INDEX(CSCORIO!$B:$B,MATCH($C84,CSCORIO!$A:$A,0)),
IF($B84="MERC",INDEX(MERCADO!$B:$B,MATCH($C84,MERCADO!$A:$A,0)),
IF($B84="COMP",INDEX(COMPOSICAO!$B:$B,MATCH($C84,COMPOSICAO!$A:$A,0)),
""))))))),"*Verificar código*")</f>
        <v>Soleira Em Granito, Largura 15 Cm, Espessura 2,0 Cm. Af_09/2020</v>
      </c>
      <c r="E84" s="200" t="str">
        <f>IFERROR(LOWER(
IF($B84="DER-ES",INDEX('CDER-ES'!$C:$C,MATCH($C84,'CDER-ES'!$A:$A,0)),
IF($B84="SINAPI",INDEX(CSINAPI!$C:$C,MATCH($C84,CSINAPI!$A:$A,0)),
IF($B84="CESAN",INDEX(CCESAN!$C:$C,MATCH($C84,CCESAN!$A:$A,0)),
IF($B84="SCORIO",INDEX(CSCORIO!$A:$A,MATCH($C84,CSCORIO!#REF!,0)),
IF($B84="MERC",INDEX(MERCADO!$D:$D,MATCH($C84,MERCADO!$A:$A,0)),
IF($B84="COMP",INDEX(COMPOSICAO!$G:$G,MATCH($C84,COMPOSICAO!$A:$A,0)),
""))))))),"")</f>
        <v>m</v>
      </c>
      <c r="F84" s="208">
        <f>VLOOKUP(A84,'MEMÓRIA DE CÁLCULO'!A:H,8,0)</f>
        <v>26.24</v>
      </c>
      <c r="G84" s="202">
        <f>IFERROR(
IF($B84="DER-ES",INDEX('CDER-ES'!$D:$D,MATCH($C84,'CDER-ES'!$A:$A,0)),
IF($B84="SINAPI",INDEX(CSINAPI!$D:$D,MATCH($C84,CSINAPI!$A:$A,0)),
IF($B84="CESAN",INDEX(CCESAN!$D:$D,MATCH($C84,CCESAN!$A:$A,0)),
IF($B84="SCORIO",INDEX(CSCORIO!$B:$B,MATCH($C84,CSCORIO!#REF!,0)),
IF($B84="MERC",INDEX(MERCADO!$E:$E,MATCH($C84,MERCADO!$A:$A,0)),
IF($B84="COMP",INDEX(COMPOSICAO!$H:$H,MATCH($C84,COMPOSICAO!$A:$A,0)),
0)))))),0)</f>
        <v>58.22</v>
      </c>
      <c r="H84" s="202">
        <f t="shared" ref="H84" si="77">ROUND(G84*(1+$J$2),2)</f>
        <v>72.78</v>
      </c>
      <c r="I84" s="209">
        <f t="shared" ref="I84" si="78">ROUND($H84*F84,2)</f>
        <v>1909.75</v>
      </c>
      <c r="J84" s="225">
        <f t="shared" ref="J84" si="79">I84/I$77</f>
        <v>1.9669065336520485E-2</v>
      </c>
    </row>
    <row r="85" spans="1:10" ht="51">
      <c r="A85" s="204" t="s">
        <v>29094</v>
      </c>
      <c r="B85" s="205" t="s">
        <v>1019</v>
      </c>
      <c r="C85" s="206">
        <v>101966</v>
      </c>
      <c r="D85" s="207" t="str">
        <f>IFERROR(PROPER(
IF($B85="DER-ES",INDEX('CDER-ES'!$B:$B,MATCH($C85,'CDER-ES'!$A:$A,0)),
IF($B85="SINAPI",INDEX(CSINAPI!$B:$B,MATCH($C85,CSINAPI!$A:$A,0)),
IF($B85="CESAN",INDEX(CCESAN!$B:$B,MATCH($C85,CCESAN!$A:$A,0)),
IF($B85="SCORIO",INDEX(CSCORIO!$B:$B,MATCH($C85,CSCORIO!$A:$A,0)),
IF($B85="MERC",INDEX(MERCADO!$B:$B,MATCH($C85,MERCADO!$A:$A,0)),
IF($B85="COMP",INDEX(COMPOSICAO!$B:$B,MATCH($C85,COMPOSICAO!$A:$A,0)),
""))))))),"*Verificar código*")</f>
        <v>Chapim Sobre Muros Lineares, Em Granito Ou Mármore, L = 25 Cm, Assentado Com Argamassa 1:6 Com Aditivo. Af_11/2020</v>
      </c>
      <c r="E85" s="200" t="str">
        <f>IFERROR(LOWER(
IF($B85="DER-ES",INDEX('CDER-ES'!$C:$C,MATCH($C85,'CDER-ES'!$A:$A,0)),
IF($B85="SINAPI",INDEX(CSINAPI!$C:$C,MATCH($C85,CSINAPI!$A:$A,0)),
IF($B85="CESAN",INDEX(CCESAN!$C:$C,MATCH($C85,CCESAN!$A:$A,0)),
IF($B85="SCORIO",INDEX(CSCORIO!$A:$A,MATCH($C85,CSCORIO!#REF!,0)),
IF($B85="MERC",INDEX(MERCADO!$D:$D,MATCH($C85,MERCADO!$A:$A,0)),
IF($B85="COMP",INDEX(COMPOSICAO!$G:$G,MATCH($C85,COMPOSICAO!$A:$A,0)),
""))))))),"")</f>
        <v>m</v>
      </c>
      <c r="F85" s="208">
        <f>VLOOKUP(A85,'MEMÓRIA DE CÁLCULO'!A:H,8,0)</f>
        <v>14.5</v>
      </c>
      <c r="G85" s="202">
        <f>IFERROR(
IF($B85="DER-ES",INDEX('CDER-ES'!$D:$D,MATCH($C85,'CDER-ES'!$A:$A,0)),
IF($B85="SINAPI",INDEX(CSINAPI!$D:$D,MATCH($C85,CSINAPI!$A:$A,0)),
IF($B85="CESAN",INDEX(CCESAN!$D:$D,MATCH($C85,CCESAN!$A:$A,0)),
IF($B85="SCORIO",INDEX(CSCORIO!$B:$B,MATCH($C85,CSCORIO!#REF!,0)),
IF($B85="MERC",INDEX(MERCADO!$E:$E,MATCH($C85,MERCADO!$A:$A,0)),
IF($B85="COMP",INDEX(COMPOSICAO!$H:$H,MATCH($C85,COMPOSICAO!$A:$A,0)),
0)))))),0)</f>
        <v>114.42</v>
      </c>
      <c r="H85" s="202">
        <f t="shared" si="74"/>
        <v>143.03</v>
      </c>
      <c r="I85" s="209">
        <f t="shared" si="75"/>
        <v>2073.94</v>
      </c>
      <c r="J85" s="225">
        <f t="shared" si="76"/>
        <v>2.1360105439991253E-2</v>
      </c>
    </row>
    <row r="86" spans="1:10">
      <c r="A86" s="196" t="s">
        <v>26549</v>
      </c>
      <c r="B86" s="197"/>
      <c r="C86" s="198"/>
      <c r="D86" s="199" t="s">
        <v>11</v>
      </c>
      <c r="E86" s="200"/>
      <c r="F86" s="201"/>
      <c r="G86" s="202"/>
      <c r="H86" s="202"/>
      <c r="I86" s="203">
        <f>SUBTOTAL(9,I87:I91)</f>
        <v>53410.119999999995</v>
      </c>
      <c r="J86" s="224">
        <f>SUBTOTAL(9,J87:J91)</f>
        <v>1.0000000000000002</v>
      </c>
    </row>
    <row r="87" spans="1:10" ht="63.75">
      <c r="A87" s="204" t="s">
        <v>26550</v>
      </c>
      <c r="B87" s="205" t="s">
        <v>1019</v>
      </c>
      <c r="C87" s="206">
        <v>92540</v>
      </c>
      <c r="D87" s="207" t="str">
        <f>IFERROR(PROPER(
IF($B87="DER-ES",INDEX('CDER-ES'!$B:$B,MATCH($C87,'CDER-ES'!$A:$A,0)),
IF($B87="SINAPI",INDEX(CSINAPI!$B:$B,MATCH($C87,CSINAPI!$A:$A,0)),
IF($B87="CESAN",INDEX(CCESAN!$B:$B,MATCH($C87,CCESAN!$A:$A,0)),
IF($B87="SCORIO",INDEX(CSCORIO!$B:$B,MATCH($C87,CSCORIO!$A:$A,0)),
IF($B87="MERC",INDEX(MERCADO!$B:$B,MATCH($C87,MERCADO!$A:$A,0)),
IF($B87="COMP",INDEX(COMPOSICAO!$B:$B,MATCH($C87,COMPOSICAO!$A:$A,0)),
""))))))),"*Verificar código*")</f>
        <v>Trama De Madeira Composta Por Ripas, Caibros E Terças Para Telhados De Mais Que 2 Águas Para Telha De Encaixe De Cerâmica Ou De Concreto, Incluso Transporte Vertical. Af_07/2019</v>
      </c>
      <c r="E87" s="200" t="str">
        <f>IFERROR(LOWER(
IF($B87="DER-ES",INDEX('CDER-ES'!$C:$C,MATCH($C87,'CDER-ES'!$A:$A,0)),
IF($B87="SINAPI",INDEX(CSINAPI!$C:$C,MATCH($C87,CSINAPI!$A:$A,0)),
IF($B87="CESAN",INDEX(CCESAN!$C:$C,MATCH($C87,CCESAN!$A:$A,0)),
IF($B87="SCORIO",INDEX(CSCORIO!$A:$A,MATCH($C87,CSCORIO!#REF!,0)),
IF($B87="MERC",INDEX(MERCADO!$D:$D,MATCH($C87,MERCADO!$A:$A,0)),
IF($B87="COMP",INDEX(COMPOSICAO!$G:$G,MATCH($C87,COMPOSICAO!$A:$A,0)),
""))))))),"")</f>
        <v>m²</v>
      </c>
      <c r="F87" s="208">
        <f>VLOOKUP(A87,'MEMÓRIA DE CÁLCULO'!A:H,8,0)</f>
        <v>162</v>
      </c>
      <c r="G87" s="202">
        <f>IFERROR(
IF($B87="DER-ES",INDEX('CDER-ES'!$D:$D,MATCH($C87,'CDER-ES'!$A:$A,0)),
IF($B87="SINAPI",INDEX(CSINAPI!$D:$D,MATCH($C87,CSINAPI!$A:$A,0)),
IF($B87="CESAN",INDEX(CCESAN!$D:$D,MATCH($C87,CCESAN!$A:$A,0)),
IF($B87="SCORIO",INDEX(CSCORIO!$B:$B,MATCH($C87,CSCORIO!#REF!,0)),
IF($B87="MERC",INDEX(MERCADO!$E:$E,MATCH($C87,MERCADO!$A:$A,0)),
IF($B87="COMP",INDEX(COMPOSICAO!$H:$H,MATCH($C87,COMPOSICAO!$A:$A,0)),
0)))))),0)</f>
        <v>87.83</v>
      </c>
      <c r="H87" s="202">
        <f t="shared" ref="H87:H91" si="80">ROUND(G87*(1+$J$2),2)</f>
        <v>109.79</v>
      </c>
      <c r="I87" s="209">
        <f t="shared" ref="I87:I91" si="81">ROUND($H87*F87,2)</f>
        <v>17785.98</v>
      </c>
      <c r="J87" s="225">
        <f t="shared" ref="J87:J91" si="82">I87/I$86</f>
        <v>0.333007677196756</v>
      </c>
    </row>
    <row r="88" spans="1:10" ht="51">
      <c r="A88" s="204" t="s">
        <v>26551</v>
      </c>
      <c r="B88" s="205" t="s">
        <v>1019</v>
      </c>
      <c r="C88" s="206">
        <v>94441</v>
      </c>
      <c r="D88" s="207" t="str">
        <f>IFERROR(PROPER(
IF($B88="DER-ES",INDEX('CDER-ES'!$B:$B,MATCH($C88,'CDER-ES'!$A:$A,0)),
IF($B88="SINAPI",INDEX(CSINAPI!$B:$B,MATCH($C88,CSINAPI!$A:$A,0)),
IF($B88="CESAN",INDEX(CCESAN!$B:$B,MATCH($C88,CCESAN!$A:$A,0)),
IF($B88="SCORIO",INDEX(CSCORIO!$B:$B,MATCH($C88,CSCORIO!$A:$A,0)),
IF($B88="MERC",INDEX(MERCADO!$B:$B,MATCH($C88,MERCADO!$A:$A,0)),
IF($B88="COMP",INDEX(COMPOSICAO!$B:$B,MATCH($C88,COMPOSICAO!$A:$A,0)),
""))))))),"*Verificar código*")</f>
        <v>Telhamento Com Telha Cerâmica De Encaixe, Tipo Francesa, Com Mais De 2 Águas, Incluso Transporte Vertical. Af_07/2019</v>
      </c>
      <c r="E88" s="200" t="str">
        <f>IFERROR(LOWER(
IF($B88="DER-ES",INDEX('CDER-ES'!$C:$C,MATCH($C88,'CDER-ES'!$A:$A,0)),
IF($B88="SINAPI",INDEX(CSINAPI!$C:$C,MATCH($C88,CSINAPI!$A:$A,0)),
IF($B88="CESAN",INDEX(CCESAN!$C:$C,MATCH($C88,CCESAN!$A:$A,0)),
IF($B88="SCORIO",INDEX(CSCORIO!$A:$A,MATCH($C88,CSCORIO!#REF!,0)),
IF($B88="MERC",INDEX(MERCADO!$D:$D,MATCH($C88,MERCADO!$A:$A,0)),
IF($B88="COMP",INDEX(COMPOSICAO!$G:$G,MATCH($C88,COMPOSICAO!$A:$A,0)),
""))))))),"")</f>
        <v>m²</v>
      </c>
      <c r="F88" s="208">
        <f>VLOOKUP(A88,'MEMÓRIA DE CÁLCULO'!A:H,8,0)</f>
        <v>162</v>
      </c>
      <c r="G88" s="202">
        <f>IFERROR(
IF($B88="DER-ES",INDEX('CDER-ES'!$D:$D,MATCH($C88,'CDER-ES'!$A:$A,0)),
IF($B88="SINAPI",INDEX(CSINAPI!$D:$D,MATCH($C88,CSINAPI!$A:$A,0)),
IF($B88="CESAN",INDEX(CCESAN!$D:$D,MATCH($C88,CCESAN!$A:$A,0)),
IF($B88="SCORIO",INDEX(CSCORIO!$B:$B,MATCH($C88,CSCORIO!#REF!,0)),
IF($B88="MERC",INDEX(MERCADO!$E:$E,MATCH($C88,MERCADO!$A:$A,0)),
IF($B88="COMP",INDEX(COMPOSICAO!$H:$H,MATCH($C88,COMPOSICAO!$A:$A,0)),
0)))))),0)</f>
        <v>26.26</v>
      </c>
      <c r="H88" s="202">
        <f t="shared" si="80"/>
        <v>32.83</v>
      </c>
      <c r="I88" s="209">
        <f t="shared" si="81"/>
        <v>5318.46</v>
      </c>
      <c r="J88" s="225">
        <f t="shared" si="82"/>
        <v>9.9577757923030322E-2</v>
      </c>
    </row>
    <row r="89" spans="1:10" ht="25.5">
      <c r="A89" s="204" t="s">
        <v>26552</v>
      </c>
      <c r="B89" s="205" t="s">
        <v>26583</v>
      </c>
      <c r="C89" s="206">
        <v>90511</v>
      </c>
      <c r="D89" s="207" t="str">
        <f>IFERROR(PROPER(
IF($B89="DER-ES",INDEX('CDER-ES'!$B:$B,MATCH($C89,'CDER-ES'!$A:$A,0)),
IF($B89="SINAPI",INDEX(CSINAPI!$B:$B,MATCH($C89,CSINAPI!$A:$A,0)),
IF($B89="CESAN",INDEX(CCESAN!$B:$B,MATCH($C89,CCESAN!$A:$A,0)),
IF($B89="SCORIO",INDEX(CSCORIO!$B:$B,MATCH($C89,CSCORIO!$A:$A,0)),
IF($B89="MERC",INDEX(MERCADO!$B:$B,MATCH($C89,MERCADO!$A:$A,0)),
IF($B89="COMP",INDEX(COMPOSICAO!$B:$B,MATCH($C89,COMPOSICAO!$A:$A,0)),
""))))))),"*Verificar código*")</f>
        <v>Tratamento Em Estrutura De Madeira Com Cupinicida</v>
      </c>
      <c r="E89" s="200" t="str">
        <f>IFERROR(LOWER(
IF($B89="DER-ES",INDEX('CDER-ES'!$C:$C,MATCH($C89,'CDER-ES'!$A:$A,0)),
IF($B89="SINAPI",INDEX(CSINAPI!$C:$C,MATCH($C89,CSINAPI!$A:$A,0)),
IF($B89="CESAN",INDEX(CCESAN!$C:$C,MATCH($C89,CCESAN!$A:$A,0)),
IF($B89="SCORIO",INDEX(CSCORIO!$A:$A,MATCH($C89,CSCORIO!#REF!,0)),
IF($B89="MERC",INDEX(MERCADO!$D:$D,MATCH($C89,MERCADO!$A:$A,0)),
IF($B89="COMP",INDEX(COMPOSICAO!$G:$G,MATCH($C89,COMPOSICAO!$A:$A,0)),
""))))))),"")</f>
        <v>m²</v>
      </c>
      <c r="F89" s="208">
        <f>VLOOKUP(A89,'MEMÓRIA DE CÁLCULO'!A:H,8,0)</f>
        <v>162</v>
      </c>
      <c r="G89" s="202">
        <f>IFERROR(
IF($B89="DER-ES",INDEX('CDER-ES'!$D:$D,MATCH($C89,'CDER-ES'!$A:$A,0)),
IF($B89="SINAPI",INDEX(CSINAPI!$D:$D,MATCH($C89,CSINAPI!$A:$A,0)),
IF($B89="CESAN",INDEX(CCESAN!$D:$D,MATCH($C89,CCESAN!$A:$A,0)),
IF($B89="SCORIO",INDEX(CSCORIO!$B:$B,MATCH($C89,CSCORIO!#REF!,0)),
IF($B89="MERC",INDEX(MERCADO!$E:$E,MATCH($C89,MERCADO!$A:$A,0)),
IF($B89="COMP",INDEX(COMPOSICAO!$H:$H,MATCH($C89,COMPOSICAO!$A:$A,0)),
0)))))),0)</f>
        <v>41.32</v>
      </c>
      <c r="H89" s="202">
        <f t="shared" si="80"/>
        <v>51.65</v>
      </c>
      <c r="I89" s="209">
        <f t="shared" si="81"/>
        <v>8367.2999999999993</v>
      </c>
      <c r="J89" s="225">
        <f t="shared" si="82"/>
        <v>0.15666132186184939</v>
      </c>
    </row>
    <row r="90" spans="1:10" ht="38.25">
      <c r="A90" s="204" t="s">
        <v>26797</v>
      </c>
      <c r="B90" s="205" t="s">
        <v>26583</v>
      </c>
      <c r="C90" s="206">
        <v>90305</v>
      </c>
      <c r="D90" s="207" t="str">
        <f>IFERROR(PROPER(
IF($B90="DER-ES",INDEX('CDER-ES'!$B:$B,MATCH($C90,'CDER-ES'!$A:$A,0)),
IF($B90="SINAPI",INDEX(CSINAPI!$B:$B,MATCH($C90,CSINAPI!$A:$A,0)),
IF($B90="CESAN",INDEX(CCESAN!$B:$B,MATCH($C90,CCESAN!$A:$A,0)),
IF($B90="SCORIO",INDEX(CSCORIO!$B:$B,MATCH($C90,CSCORIO!$A:$A,0)),
IF($B90="MERC",INDEX(MERCADO!$B:$B,MATCH($C90,MERCADO!$A:$A,0)),
IF($B90="COMP",INDEX(COMPOSICAO!$B:$B,MATCH($C90,COMPOSICAO!$A:$A,0)),
""))))))),"*Verificar código*")</f>
        <v>Calha De Concreto Armado Fck=15 Mpa Em "U" Nas Dimensões De 38 X 56 Cm Conforme Detalhes Em Projeto</v>
      </c>
      <c r="E90" s="200" t="str">
        <f>IFERROR(LOWER(
IF($B90="DER-ES",INDEX('CDER-ES'!$C:$C,MATCH($C90,'CDER-ES'!$A:$A,0)),
IF($B90="SINAPI",INDEX(CSINAPI!$C:$C,MATCH($C90,CSINAPI!$A:$A,0)),
IF($B90="CESAN",INDEX(CCESAN!$C:$C,MATCH($C90,CCESAN!$A:$A,0)),
IF($B90="SCORIO",INDEX(CSCORIO!$A:$A,MATCH($C90,CSCORIO!#REF!,0)),
IF($B90="MERC",INDEX(MERCADO!$D:$D,MATCH($C90,MERCADO!$A:$A,0)),
IF($B90="COMP",INDEX(COMPOSICAO!$G:$G,MATCH($C90,COMPOSICAO!$A:$A,0)),
""))))))),"")</f>
        <v>m</v>
      </c>
      <c r="F90" s="208">
        <f>VLOOKUP(A90,'MEMÓRIA DE CÁLCULO'!A:H,8,0)</f>
        <v>52.1</v>
      </c>
      <c r="G90" s="202">
        <f>IFERROR(
IF($B90="DER-ES",INDEX('CDER-ES'!$D:$D,MATCH($C90,'CDER-ES'!$A:$A,0)),
IF($B90="SINAPI",INDEX(CSINAPI!$D:$D,MATCH($C90,CSINAPI!$A:$A,0)),
IF($B90="CESAN",INDEX(CCESAN!$D:$D,MATCH($C90,CCESAN!$A:$A,0)),
IF($B90="SCORIO",INDEX(CSCORIO!$B:$B,MATCH($C90,CSCORIO!#REF!,0)),
IF($B90="MERC",INDEX(MERCADO!$E:$E,MATCH($C90,MERCADO!$A:$A,0)),
IF($B90="COMP",INDEX(COMPOSICAO!$H:$H,MATCH($C90,COMPOSICAO!$A:$A,0)),
0)))))),0)</f>
        <v>272.47000000000003</v>
      </c>
      <c r="H90" s="202">
        <f t="shared" si="80"/>
        <v>340.59</v>
      </c>
      <c r="I90" s="209">
        <f t="shared" si="81"/>
        <v>17744.740000000002</v>
      </c>
      <c r="J90" s="225">
        <f t="shared" ref="J90" si="83">I90/I$86</f>
        <v>0.33223553888289342</v>
      </c>
    </row>
    <row r="91" spans="1:10" ht="51">
      <c r="A91" s="204" t="s">
        <v>26798</v>
      </c>
      <c r="B91" s="205" t="s">
        <v>1019</v>
      </c>
      <c r="C91" s="206">
        <v>101966</v>
      </c>
      <c r="D91" s="207" t="str">
        <f>IFERROR(PROPER(
IF($B91="DER-ES",INDEX('CDER-ES'!$B:$B,MATCH($C91,'CDER-ES'!$A:$A,0)),
IF($B91="SINAPI",INDEX(CSINAPI!$B:$B,MATCH($C91,CSINAPI!$A:$A,0)),
IF($B91="CESAN",INDEX(CCESAN!$B:$B,MATCH($C91,CCESAN!$A:$A,0)),
IF($B91="SCORIO",INDEX(CSCORIO!$B:$B,MATCH($C91,CSCORIO!$A:$A,0)),
IF($B91="MERC",INDEX(MERCADO!$B:$B,MATCH($C91,MERCADO!$A:$A,0)),
IF($B91="COMP",INDEX(COMPOSICAO!$B:$B,MATCH($C91,COMPOSICAO!$A:$A,0)),
""))))))),"*Verificar código*")</f>
        <v>Chapim Sobre Muros Lineares, Em Granito Ou Mármore, L = 25 Cm, Assentado Com Argamassa 1:6 Com Aditivo. Af_11/2020</v>
      </c>
      <c r="E91" s="200" t="str">
        <f>IFERROR(LOWER(
IF($B91="DER-ES",INDEX('CDER-ES'!$C:$C,MATCH($C91,'CDER-ES'!$A:$A,0)),
IF($B91="SINAPI",INDEX(CSINAPI!$C:$C,MATCH($C91,CSINAPI!$A:$A,0)),
IF($B91="CESAN",INDEX(CCESAN!$C:$C,MATCH($C91,CCESAN!$A:$A,0)),
IF($B91="SCORIO",INDEX(CSCORIO!$A:$A,MATCH($C91,CSCORIO!#REF!,0)),
IF($B91="MERC",INDEX(MERCADO!$D:$D,MATCH($C91,MERCADO!$A:$A,0)),
IF($B91="COMP",INDEX(COMPOSICAO!$G:$G,MATCH($C91,COMPOSICAO!$A:$A,0)),
""))))))),"")</f>
        <v>m</v>
      </c>
      <c r="F91" s="208">
        <f>VLOOKUP(A91,'MEMÓRIA DE CÁLCULO'!A:H,8,0)</f>
        <v>29.32</v>
      </c>
      <c r="G91" s="202">
        <f>IFERROR(
IF($B91="DER-ES",INDEX('CDER-ES'!$D:$D,MATCH($C91,'CDER-ES'!$A:$A,0)),
IF($B91="SINAPI",INDEX(CSINAPI!$D:$D,MATCH($C91,CSINAPI!$A:$A,0)),
IF($B91="CESAN",INDEX(CCESAN!$D:$D,MATCH($C91,CCESAN!$A:$A,0)),
IF($B91="SCORIO",INDEX(CSCORIO!$B:$B,MATCH($C91,CSCORIO!#REF!,0)),
IF($B91="MERC",INDEX(MERCADO!$E:$E,MATCH($C91,MERCADO!$A:$A,0)),
IF($B91="COMP",INDEX(COMPOSICAO!$H:$H,MATCH($C91,COMPOSICAO!$A:$A,0)),
0)))))),0)</f>
        <v>114.42</v>
      </c>
      <c r="H91" s="202">
        <f t="shared" si="80"/>
        <v>143.03</v>
      </c>
      <c r="I91" s="209">
        <f t="shared" si="81"/>
        <v>4193.6400000000003</v>
      </c>
      <c r="J91" s="225">
        <f t="shared" si="82"/>
        <v>7.8517704135470975E-2</v>
      </c>
    </row>
    <row r="92" spans="1:10">
      <c r="A92" s="196" t="s">
        <v>26553</v>
      </c>
      <c r="B92" s="197"/>
      <c r="C92" s="198"/>
      <c r="D92" s="199" t="s">
        <v>26588</v>
      </c>
      <c r="E92" s="200"/>
      <c r="F92" s="201"/>
      <c r="G92" s="202"/>
      <c r="H92" s="202"/>
      <c r="I92" s="203">
        <f>SUBTOTAL(9,I93:I96)</f>
        <v>110078.35</v>
      </c>
      <c r="J92" s="224">
        <f>SUBTOTAL(9,J93:J96)</f>
        <v>1</v>
      </c>
    </row>
    <row r="93" spans="1:10">
      <c r="A93" s="204" t="s">
        <v>26554</v>
      </c>
      <c r="B93" s="205" t="s">
        <v>26583</v>
      </c>
      <c r="C93" s="206">
        <v>110201</v>
      </c>
      <c r="D93" s="207" t="str">
        <f>IFERROR(PROPER(
IF($B93="DER-ES",INDEX('CDER-ES'!$B:$B,MATCH($C93,'CDER-ES'!$A:$A,0)),
IF($B93="SINAPI",INDEX(CSINAPI!$B:$B,MATCH($C93,CSINAPI!$A:$A,0)),
IF($B93="CESAN",INDEX(CCESAN!$B:$B,MATCH($C93,CCESAN!$A:$A,0)),
IF($B93="SCORIO",INDEX(CSCORIO!$B:$B,MATCH($C93,CSCORIO!$A:$A,0)),
IF($B93="MERC",INDEX(MERCADO!$B:$B,MATCH($C93,MERCADO!$A:$A,0)),
IF($B93="COMP",INDEX(COMPOSICAO!$B:$B,MATCH($C93,COMPOSICAO!$A:$A,0)),
""))))))),"*Verificar código*")</f>
        <v>Forro De Gesso Acabamento Tipo Liso</v>
      </c>
      <c r="E93" s="200" t="str">
        <f>IFERROR(LOWER(
IF($B93="DER-ES",INDEX('CDER-ES'!$C:$C,MATCH($C93,'CDER-ES'!$A:$A,0)),
IF($B93="SINAPI",INDEX(CSINAPI!$C:$C,MATCH($C93,CSINAPI!$A:$A,0)),
IF($B93="CESAN",INDEX(CCESAN!$C:$C,MATCH($C93,CCESAN!$A:$A,0)),
IF($B93="SCORIO",INDEX(CSCORIO!$A:$A,MATCH($C93,CSCORIO!#REF!,0)),
IF($B93="MERC",INDEX(MERCADO!$D:$D,MATCH($C93,MERCADO!$A:$A,0)),
IF($B93="COMP",INDEX(COMPOSICAO!$G:$G,MATCH($C93,COMPOSICAO!$A:$A,0)),
""))))))),"")</f>
        <v>m²</v>
      </c>
      <c r="F93" s="208">
        <f>VLOOKUP(A93,'MEMÓRIA DE CÁLCULO'!A:H,8,0)</f>
        <v>77.91</v>
      </c>
      <c r="G93" s="202">
        <f>IFERROR(
IF($B93="DER-ES",INDEX('CDER-ES'!$D:$D,MATCH($C93,'CDER-ES'!$A:$A,0)),
IF($B93="SINAPI",INDEX(CSINAPI!$D:$D,MATCH($C93,CSINAPI!$A:$A,0)),
IF($B93="CESAN",INDEX(CCESAN!$D:$D,MATCH($C93,CCESAN!$A:$A,0)),
IF($B93="SCORIO",INDEX(CSCORIO!$B:$B,MATCH($C93,CSCORIO!#REF!,0)),
IF($B93="MERC",INDEX(MERCADO!$E:$E,MATCH($C93,MERCADO!$A:$A,0)),
IF($B93="COMP",INDEX(COMPOSICAO!$H:$H,MATCH($C93,COMPOSICAO!$A:$A,0)),
0)))))),0)</f>
        <v>41.67</v>
      </c>
      <c r="H93" s="202">
        <f>ROUND(G93*(1+$J$2),2)</f>
        <v>52.09</v>
      </c>
      <c r="I93" s="209">
        <f>ROUND($H93*F93,2)</f>
        <v>4058.33</v>
      </c>
      <c r="J93" s="225">
        <f>I93/I$92</f>
        <v>3.686764926981554E-2</v>
      </c>
    </row>
    <row r="94" spans="1:10" ht="76.5">
      <c r="A94" s="204" t="s">
        <v>26555</v>
      </c>
      <c r="B94" s="205" t="s">
        <v>1020</v>
      </c>
      <c r="C94" s="206">
        <v>8</v>
      </c>
      <c r="D94" s="207" t="str">
        <f>IFERROR(PROPER(
IF($B94="DER-ES",INDEX('CDER-ES'!$B:$B,MATCH($C94,'CDER-ES'!$A:$A,0)),
IF($B94="SINAPI",INDEX(CSINAPI!$B:$B,MATCH($C94,CSINAPI!$A:$A,0)),
IF($B94="CESAN",INDEX(CCESAN!$B:$B,MATCH($C94,CCESAN!$A:$A,0)),
IF($B94="SCORIO",INDEX(CSCORIO!$B:$B,MATCH($C94,CSCORIO!$A:$A,0)),
IF($B94="MERC",INDEX(MERCADO!$B:$B,MATCH($C94,MERCADO!$A:$A,0)),
IF($B94="COMP",INDEX(COMPOSICAO!$B:$B,MATCH($C94,COMPOSICAO!$A:$A,0)),
""))))))),"*Verificar código*")</f>
        <v>Forro Em Madeira Em Cedrinho Ou Equivalente, Para Ambientes Residenciais, Inclusive Estrutura De Fixação, Lixamento E Pintura Com Verniz (Incolor) Poliuretânico A Duas Demãos</v>
      </c>
      <c r="E94" s="200" t="str">
        <f>IFERROR(LOWER(
IF($B94="DER-ES",INDEX('CDER-ES'!$C:$C,MATCH($C94,'CDER-ES'!$A:$A,0)),
IF($B94="SINAPI",INDEX(CSINAPI!$C:$C,MATCH($C94,CSINAPI!$A:$A,0)),
IF($B94="CESAN",INDEX(CCESAN!$C:$C,MATCH($C94,CCESAN!$A:$A,0)),
IF($B94="SCORIO",INDEX(CSCORIO!$A:$A,MATCH($C94,CSCORIO!#REF!,0)),
IF($B94="MERC",INDEX(MERCADO!$D:$D,MATCH($C94,MERCADO!$A:$A,0)),
IF($B94="COMP",INDEX(COMPOSICAO!$G:$G,MATCH($C94,COMPOSICAO!$A:$A,0)),
""))))))),"")</f>
        <v>m²</v>
      </c>
      <c r="F94" s="208">
        <f>VLOOKUP(A94,'MEMÓRIA DE CÁLCULO'!A:H,8,0)</f>
        <v>312.12</v>
      </c>
      <c r="G94" s="202">
        <f>IFERROR(
IF($B94="DER-ES",INDEX('CDER-ES'!$D:$D,MATCH($C94,'CDER-ES'!$A:$A,0)),
IF($B94="SINAPI",INDEX(CSINAPI!$D:$D,MATCH($C94,CSINAPI!$A:$A,0)),
IF($B94="CESAN",INDEX(CCESAN!$D:$D,MATCH($C94,CCESAN!$A:$A,0)),
IF($B94="SCORIO",INDEX(CSCORIO!$B:$B,MATCH($C94,CSCORIO!#REF!,0)),
IF($B94="MERC",INDEX(MERCADO!$E:$E,MATCH($C94,MERCADO!$A:$A,0)),
IF($B94="COMP",INDEX(COMPOSICAO!$H:$H,MATCH($C94,COMPOSICAO!$A:$A,0)),
0)))))),0)</f>
        <v>226.94000000000003</v>
      </c>
      <c r="H94" s="202">
        <f>ROUND(G94*(1+$J$2),2)</f>
        <v>283.68</v>
      </c>
      <c r="I94" s="209">
        <f>ROUND($H94*F94,2)</f>
        <v>88542.2</v>
      </c>
      <c r="J94" s="225">
        <f t="shared" ref="J94:J96" si="84">I94/I$92</f>
        <v>0.80435616994622461</v>
      </c>
    </row>
    <row r="95" spans="1:10" ht="63.75">
      <c r="A95" s="204" t="s">
        <v>26799</v>
      </c>
      <c r="B95" s="205" t="s">
        <v>1020</v>
      </c>
      <c r="C95" s="206">
        <v>9</v>
      </c>
      <c r="D95" s="207" t="str">
        <f>IFERROR(PROPER(
IF($B95="DER-ES",INDEX('CDER-ES'!$B:$B,MATCH($C95,'CDER-ES'!$A:$A,0)),
IF($B95="SINAPI",INDEX(CSINAPI!$B:$B,MATCH($C95,CSINAPI!$A:$A,0)),
IF($B95="CESAN",INDEX(CCESAN!$B:$B,MATCH($C95,CCESAN!$A:$A,0)),
IF($B95="SCORIO",INDEX(CSCORIO!$B:$B,MATCH($C95,CSCORIO!$A:$A,0)),
IF($B95="MERC",INDEX(MERCADO!$B:$B,MATCH($C95,MERCADO!$A:$A,0)),
IF($B95="COMP",INDEX(COMPOSICAO!$B:$B,MATCH($C95,COMPOSICAO!$A:$A,0)),
""))))))),"*Verificar código*")</f>
        <v>Acabamento Para Forro (Roda-Forro) De Pilar Em Madeira Macaranduba, Angelim Ou Equivalente Da Região, Fixação Com Parafuso E Bucha - Conforme Projeto</v>
      </c>
      <c r="E95" s="200" t="str">
        <f>IFERROR(LOWER(
IF($B95="DER-ES",INDEX('CDER-ES'!$C:$C,MATCH($C95,'CDER-ES'!$A:$A,0)),
IF($B95="SINAPI",INDEX(CSINAPI!$C:$C,MATCH($C95,CSINAPI!$A:$A,0)),
IF($B95="CESAN",INDEX(CCESAN!$C:$C,MATCH($C95,CCESAN!$A:$A,0)),
IF($B95="SCORIO",INDEX(CSCORIO!$A:$A,MATCH($C95,CSCORIO!#REF!,0)),
IF($B95="MERC",INDEX(MERCADO!$D:$D,MATCH($C95,MERCADO!$A:$A,0)),
IF($B95="COMP",INDEX(COMPOSICAO!$G:$G,MATCH($C95,COMPOSICAO!$A:$A,0)),
""))))))),"")</f>
        <v>und.</v>
      </c>
      <c r="F95" s="208">
        <f>VLOOKUP(A95,'MEMÓRIA DE CÁLCULO'!A:H,8,0)</f>
        <v>8</v>
      </c>
      <c r="G95" s="202">
        <f>IFERROR(
IF($B95="DER-ES",INDEX('CDER-ES'!$D:$D,MATCH($C95,'CDER-ES'!$A:$A,0)),
IF($B95="SINAPI",INDEX(CSINAPI!$D:$D,MATCH($C95,CSINAPI!$A:$A,0)),
IF($B95="CESAN",INDEX(CCESAN!$D:$D,MATCH($C95,CCESAN!$A:$A,0)),
IF($B95="SCORIO",INDEX(CSCORIO!$B:$B,MATCH($C95,CSCORIO!#REF!,0)),
IF($B95="MERC",INDEX(MERCADO!$E:$E,MATCH($C95,MERCADO!$A:$A,0)),
IF($B95="COMP",INDEX(COMPOSICAO!$H:$H,MATCH($C95,COMPOSICAO!$A:$A,0)),
0)))))),0)</f>
        <v>421.06</v>
      </c>
      <c r="H95" s="202">
        <f>ROUND(G95*(1+$J$2),2)</f>
        <v>526.33000000000004</v>
      </c>
      <c r="I95" s="209">
        <f>ROUND($H95*F95,2)</f>
        <v>4210.6400000000003</v>
      </c>
      <c r="J95" s="225">
        <f t="shared" ref="J95" si="85">I95/I$92</f>
        <v>3.8251300096703848E-2</v>
      </c>
    </row>
    <row r="96" spans="1:10" ht="25.5">
      <c r="A96" s="204" t="s">
        <v>29108</v>
      </c>
      <c r="B96" s="205" t="s">
        <v>1020</v>
      </c>
      <c r="C96" s="206">
        <v>45</v>
      </c>
      <c r="D96" s="207" t="str">
        <f>IFERROR(PROPER(
IF($B96="DER-ES",INDEX('CDER-ES'!$B:$B,MATCH($C96,'CDER-ES'!$A:$A,0)),
IF($B96="SINAPI",INDEX(CSINAPI!$B:$B,MATCH($C96,CSINAPI!$A:$A,0)),
IF($B96="CESAN",INDEX(CCESAN!$B:$B,MATCH($C96,CCESAN!$A:$A,0)),
IF($B96="SCORIO",INDEX(CSCORIO!$B:$B,MATCH($C96,CSCORIO!$A:$A,0)),
IF($B96="MERC",INDEX(MERCADO!$B:$B,MATCH($C96,MERCADO!$A:$A,0)),
IF($B96="COMP",INDEX(COMPOSICAO!$B:$B,MATCH($C96,COMPOSICAO!$A:$A,0)),
""))))))),"*Verificar código*")</f>
        <v>Acabamento Para Forro (Roda-Forro Em Madeira Cedrinho Ou Equivalente)</v>
      </c>
      <c r="E96" s="200" t="str">
        <f>IFERROR(LOWER(
IF($B96="DER-ES",INDEX('CDER-ES'!$C:$C,MATCH($C96,'CDER-ES'!$A:$A,0)),
IF($B96="SINAPI",INDEX(CSINAPI!$C:$C,MATCH($C96,CSINAPI!$A:$A,0)),
IF($B96="CESAN",INDEX(CCESAN!$C:$C,MATCH($C96,CCESAN!$A:$A,0)),
IF($B96="SCORIO",INDEX(CSCORIO!$A:$A,MATCH($C96,CSCORIO!#REF!,0)),
IF($B96="MERC",INDEX(MERCADO!$D:$D,MATCH($C96,MERCADO!$A:$A,0)),
IF($B96="COMP",INDEX(COMPOSICAO!$G:$G,MATCH($C96,COMPOSICAO!$A:$A,0)),
""))))))),"")</f>
        <v>m</v>
      </c>
      <c r="F96" s="208">
        <f>VLOOKUP(A96,'MEMÓRIA DE CÁLCULO'!A:H,8,0)</f>
        <v>229.1</v>
      </c>
      <c r="G96" s="202">
        <f>IFERROR(
IF($B96="DER-ES",INDEX('CDER-ES'!$D:$D,MATCH($C96,'CDER-ES'!$A:$A,0)),
IF($B96="SINAPI",INDEX(CSINAPI!$D:$D,MATCH($C96,CSINAPI!$A:$A,0)),
IF($B96="CESAN",INDEX(CCESAN!$D:$D,MATCH($C96,CCESAN!$A:$A,0)),
IF($B96="SCORIO",INDEX(CSCORIO!$B:$B,MATCH($C96,CSCORIO!#REF!,0)),
IF($B96="MERC",INDEX(MERCADO!$E:$E,MATCH($C96,MERCADO!$A:$A,0)),
IF($B96="COMP",INDEX(COMPOSICAO!$H:$H,MATCH($C96,COMPOSICAO!$A:$A,0)),
0)))))),0)</f>
        <v>46.33</v>
      </c>
      <c r="H96" s="202">
        <f>ROUND(G96*(1+$J$2),2)</f>
        <v>57.91</v>
      </c>
      <c r="I96" s="209">
        <f>ROUND($H96*F96,2)</f>
        <v>13267.18</v>
      </c>
      <c r="J96" s="225">
        <f t="shared" si="84"/>
        <v>0.12052488068725593</v>
      </c>
    </row>
    <row r="97" spans="1:10">
      <c r="A97" s="196" t="s">
        <v>26556</v>
      </c>
      <c r="B97" s="197"/>
      <c r="C97" s="198"/>
      <c r="D97" s="199" t="s">
        <v>26544</v>
      </c>
      <c r="E97" s="200"/>
      <c r="F97" s="201"/>
      <c r="G97" s="202"/>
      <c r="H97" s="202"/>
      <c r="I97" s="203">
        <f>SUBTOTAL(9,I98:I100)</f>
        <v>19256.320000000003</v>
      </c>
      <c r="J97" s="224">
        <f>SUBTOTAL(9,J98:J100)</f>
        <v>0.99999999999999989</v>
      </c>
    </row>
    <row r="98" spans="1:10" ht="38.25">
      <c r="A98" s="204" t="s">
        <v>26557</v>
      </c>
      <c r="B98" s="205" t="s">
        <v>1019</v>
      </c>
      <c r="C98" s="206">
        <v>98555</v>
      </c>
      <c r="D98" s="207" t="str">
        <f>IFERROR(PROPER(
IF($B98="DER-ES",INDEX('CDER-ES'!$B:$B,MATCH($C98,'CDER-ES'!$A:$A,0)),
IF($B98="SINAPI",INDEX(CSINAPI!$B:$B,MATCH($C98,CSINAPI!$A:$A,0)),
IF($B98="CESAN",INDEX(CCESAN!$B:$B,MATCH($C98,CCESAN!$A:$A,0)),
IF($B98="SCORIO",INDEX(CSCORIO!$B:$B,MATCH($C98,CSCORIO!$A:$A,0)),
IF($B98="MERC",INDEX(MERCADO!$B:$B,MATCH($C98,MERCADO!$A:$A,0)),
IF($B98="COMP",INDEX(COMPOSICAO!$B:$B,MATCH($C98,COMPOSICAO!$A:$A,0)),
""))))))),"*Verificar código*")</f>
        <v>Impermeabilização De Superfície Com Argamassa Polimérica / Membrana Acrílica, 3 Demãos. Af_06/2018</v>
      </c>
      <c r="E98" s="200" t="str">
        <f>IFERROR(LOWER(
IF($B98="DER-ES",INDEX('CDER-ES'!$C:$C,MATCH($C98,'CDER-ES'!$A:$A,0)),
IF($B98="SINAPI",INDEX(CSINAPI!$C:$C,MATCH($C98,CSINAPI!$A:$A,0)),
IF($B98="CESAN",INDEX(CCESAN!$C:$C,MATCH($C98,CCESAN!$A:$A,0)),
IF($B98="SCORIO",INDEX(CSCORIO!$A:$A,MATCH($C98,CSCORIO!#REF!,0)),
IF($B98="MERC",INDEX(MERCADO!$D:$D,MATCH($C98,MERCADO!$A:$A,0)),
IF($B98="COMP",INDEX(COMPOSICAO!$G:$G,MATCH($C98,COMPOSICAO!$A:$A,0)),
""))))))),"")</f>
        <v>m²</v>
      </c>
      <c r="F98" s="208">
        <f>VLOOKUP(A98,'MEMÓRIA DE CÁLCULO'!A:H,8,0)</f>
        <v>47.84</v>
      </c>
      <c r="G98" s="202">
        <f>IFERROR(
IF($B98="DER-ES",INDEX('CDER-ES'!$D:$D,MATCH($C98,'CDER-ES'!$A:$A,0)),
IF($B98="SINAPI",INDEX(CSINAPI!$D:$D,MATCH($C98,CSINAPI!$A:$A,0)),
IF($B98="CESAN",INDEX(CCESAN!$D:$D,MATCH($C98,CCESAN!$A:$A,0)),
IF($B98="SCORIO",INDEX(CSCORIO!$B:$B,MATCH($C98,CSCORIO!#REF!,0)),
IF($B98="MERC",INDEX(MERCADO!$E:$E,MATCH($C98,MERCADO!$A:$A,0)),
IF($B98="COMP",INDEX(COMPOSICAO!$H:$H,MATCH($C98,COMPOSICAO!$A:$A,0)),
0)))))),0)</f>
        <v>24.29</v>
      </c>
      <c r="H98" s="202">
        <f>ROUND(G98*(1+$J$2),2)</f>
        <v>30.36</v>
      </c>
      <c r="I98" s="209">
        <f>ROUND($H98*F98,2)</f>
        <v>1452.42</v>
      </c>
      <c r="J98" s="225">
        <f>I98/I$97</f>
        <v>7.5425626495612866E-2</v>
      </c>
    </row>
    <row r="99" spans="1:10" ht="76.5">
      <c r="A99" s="204" t="s">
        <v>26558</v>
      </c>
      <c r="B99" s="205" t="s">
        <v>26583</v>
      </c>
      <c r="C99" s="206">
        <v>100208</v>
      </c>
      <c r="D99" s="207" t="str">
        <f>IFERROR(PROPER(
IF($B99="DER-ES",INDEX('CDER-ES'!$B:$B,MATCH($C99,'CDER-ES'!$A:$A,0)),
IF($B99="SINAPI",INDEX(CSINAPI!$B:$B,MATCH($C99,CSINAPI!$A:$A,0)),
IF($B99="CESAN",INDEX(CCESAN!$B:$B,MATCH($C99,CCESAN!$A:$A,0)),
IF($B99="SCORIO",INDEX(CSCORIO!$B:$B,MATCH($C99,CSCORIO!$A:$A,0)),
IF($B99="MERC",INDEX(MERCADO!$B:$B,MATCH($C99,MERCADO!$A:$A,0)),
IF($B99="COMP",INDEX(COMPOSICAO!$B:$B,MATCH($C99,COMPOSICAO!$A:$A,0)),
""))))))),"*Verificar código*")</f>
        <v>Índice De Imperm.C/ Manta Asfáltica Atendendo Nbr 9952, Asfalto Polimerizado Esp.3Mm, Reforç.C/ Filme Int. Polietileno, Regul. Base C/ Arg.1:4 Esp.Mín.15Mm, Proteção Mec. Arg.1:4 Esp.20Mm E Juntas Dilat.</v>
      </c>
      <c r="E99" s="200" t="str">
        <f>IFERROR(LOWER(
IF($B99="DER-ES",INDEX('CDER-ES'!$C:$C,MATCH($C99,'CDER-ES'!$A:$A,0)),
IF($B99="SINAPI",INDEX(CSINAPI!$C:$C,MATCH($C99,CSINAPI!$A:$A,0)),
IF($B99="CESAN",INDEX(CCESAN!$C:$C,MATCH($C99,CCESAN!$A:$A,0)),
IF($B99="SCORIO",INDEX(CSCORIO!$A:$A,MATCH($C99,CSCORIO!#REF!,0)),
IF($B99="MERC",INDEX(MERCADO!$D:$D,MATCH($C99,MERCADO!$A:$A,0)),
IF($B99="COMP",INDEX(COMPOSICAO!$G:$G,MATCH($C99,COMPOSICAO!$A:$A,0)),
""))))))),"")</f>
        <v>m²</v>
      </c>
      <c r="F99" s="208">
        <f>VLOOKUP(A99,'MEMÓRIA DE CÁLCULO'!A:H,8,0)</f>
        <v>53.07</v>
      </c>
      <c r="G99" s="202">
        <f>IFERROR(
IF($B99="DER-ES",INDEX('CDER-ES'!$D:$D,MATCH($C99,'CDER-ES'!$A:$A,0)),
IF($B99="SINAPI",INDEX(CSINAPI!$D:$D,MATCH($C99,CSINAPI!$A:$A,0)),
IF($B99="CESAN",INDEX(CCESAN!$D:$D,MATCH($C99,CCESAN!$A:$A,0)),
IF($B99="SCORIO",INDEX(CSCORIO!$B:$B,MATCH($C99,CSCORIO!#REF!,0)),
IF($B99="MERC",INDEX(MERCADO!$E:$E,MATCH($C99,MERCADO!$A:$A,0)),
IF($B99="COMP",INDEX(COMPOSICAO!$H:$H,MATCH($C99,COMPOSICAO!$A:$A,0)),
0)))))),0)</f>
        <v>232.27</v>
      </c>
      <c r="H99" s="202">
        <f>ROUND(G99*(1+$J$2),2)</f>
        <v>290.33999999999997</v>
      </c>
      <c r="I99" s="209">
        <f>ROUND($H99*F99,2)</f>
        <v>15408.34</v>
      </c>
      <c r="J99" s="225">
        <f>I99/I$97</f>
        <v>0.80017054141185839</v>
      </c>
    </row>
    <row r="100" spans="1:10" ht="51">
      <c r="A100" s="204" t="s">
        <v>28708</v>
      </c>
      <c r="B100" s="205" t="s">
        <v>1019</v>
      </c>
      <c r="C100" s="206">
        <v>98562</v>
      </c>
      <c r="D100" s="207" t="str">
        <f>IFERROR(PROPER(
IF($B100="DER-ES",INDEX('CDER-ES'!$B:$B,MATCH($C100,'CDER-ES'!$A:$A,0)),
IF($B100="SINAPI",INDEX(CSINAPI!$B:$B,MATCH($C100,CSINAPI!$A:$A,0)),
IF($B100="CESAN",INDEX(CCESAN!$B:$B,MATCH($C100,CCESAN!$A:$A,0)),
IF($B100="SCORIO",INDEX(CSCORIO!$B:$B,MATCH($C100,CSCORIO!$A:$A,0)),
IF($B100="MERC",INDEX(MERCADO!$B:$B,MATCH($C100,MERCADO!$A:$A,0)),
IF($B100="COMP",INDEX(COMPOSICAO!$B:$B,MATCH($C100,COMPOSICAO!$A:$A,0)),
""))))))),"*Verificar código*")</f>
        <v>Impermeabilização De Floreira Ou Viga Baldrame Com Argamassa De Cimento E Areia, Com Aditivo Impermeabilizante, E = 2 Cm. Af_06/2018</v>
      </c>
      <c r="E100" s="200" t="str">
        <f>IFERROR(LOWER(
IF($B100="DER-ES",INDEX('CDER-ES'!$C:$C,MATCH($C100,'CDER-ES'!$A:$A,0)),
IF($B100="SINAPI",INDEX(CSINAPI!$C:$C,MATCH($C100,CSINAPI!$A:$A,0)),
IF($B100="CESAN",INDEX(CCESAN!$C:$C,MATCH($C100,CCESAN!$A:$A,0)),
IF($B100="SCORIO",INDEX(CSCORIO!$A:$A,MATCH($C100,CSCORIO!#REF!,0)),
IF($B100="MERC",INDEX(MERCADO!$D:$D,MATCH($C100,MERCADO!$A:$A,0)),
IF($B100="COMP",INDEX(COMPOSICAO!$G:$G,MATCH($C100,COMPOSICAO!$A:$A,0)),
""))))))),"")</f>
        <v>m²</v>
      </c>
      <c r="F100" s="208">
        <f>VLOOKUP(A100,'MEMÓRIA DE CÁLCULO'!A:H,8,0)</f>
        <v>52.1</v>
      </c>
      <c r="G100" s="202">
        <f>IFERROR(
IF($B100="DER-ES",INDEX('CDER-ES'!$D:$D,MATCH($C100,'CDER-ES'!$A:$A,0)),
IF($B100="SINAPI",INDEX(CSINAPI!$D:$D,MATCH($C100,CSINAPI!$A:$A,0)),
IF($B100="CESAN",INDEX(CCESAN!$D:$D,MATCH($C100,CCESAN!$A:$A,0)),
IF($B100="SCORIO",INDEX(CSCORIO!$B:$B,MATCH($C100,CSCORIO!#REF!,0)),
IF($B100="MERC",INDEX(MERCADO!$E:$E,MATCH($C100,MERCADO!$A:$A,0)),
IF($B100="COMP",INDEX(COMPOSICAO!$H:$H,MATCH($C100,COMPOSICAO!$A:$A,0)),
0)))))),0)</f>
        <v>36.78</v>
      </c>
      <c r="H100" s="202">
        <f>ROUND(G100*(1+$J$2),2)</f>
        <v>45.98</v>
      </c>
      <c r="I100" s="209">
        <f>ROUND($H100*F100,2)</f>
        <v>2395.56</v>
      </c>
      <c r="J100" s="225">
        <f>I100/I$97</f>
        <v>0.12440383209252856</v>
      </c>
    </row>
    <row r="101" spans="1:10">
      <c r="A101" s="196" t="s">
        <v>26559</v>
      </c>
      <c r="B101" s="197"/>
      <c r="C101" s="198"/>
      <c r="D101" s="199" t="s">
        <v>26548</v>
      </c>
      <c r="E101" s="200"/>
      <c r="F101" s="201"/>
      <c r="G101" s="202"/>
      <c r="H101" s="202"/>
      <c r="I101" s="203">
        <f>SUBTOTAL(9,I103:I157)</f>
        <v>34018.340000000004</v>
      </c>
      <c r="J101" s="224">
        <f>SUBTOTAL(9,J103:J157)</f>
        <v>1</v>
      </c>
    </row>
    <row r="102" spans="1:10">
      <c r="A102" s="196"/>
      <c r="B102" s="197"/>
      <c r="C102" s="198"/>
      <c r="D102" s="199" t="s">
        <v>28967</v>
      </c>
      <c r="E102" s="200"/>
      <c r="F102" s="201"/>
      <c r="G102" s="202"/>
      <c r="H102" s="202"/>
      <c r="I102" s="203"/>
      <c r="J102" s="224"/>
    </row>
    <row r="103" spans="1:10" ht="89.25">
      <c r="A103" s="204" t="s">
        <v>26560</v>
      </c>
      <c r="B103" s="205" t="s">
        <v>26583</v>
      </c>
      <c r="C103" s="206">
        <v>140207</v>
      </c>
      <c r="D103" s="207" t="str">
        <f>IFERROR(PROPER(
IF($B103="DER-ES",INDEX('CDER-ES'!$B:$B,MATCH($C103,'CDER-ES'!$A:$A,0)),
IF($B103="SINAPI",INDEX(CSINAPI!$B:$B,MATCH($C103,CSINAPI!$A:$A,0)),
IF($B103="CESAN",INDEX(CCESAN!$B:$B,MATCH($C103,CCESAN!$A:$A,0)),
IF($B103="SCORIO",INDEX(CSCORIO!$B:$B,MATCH($C103,CSCORIO!$A:$A,0)),
IF($B103="MERC",INDEX(MERCADO!$B:$B,MATCH($C103,MERCADO!$A:$A,0)),
IF($B103="COMP",INDEX(COMPOSICAO!$B:$B,MATCH($C103,COMPOSICAO!$A:$A,0)),
""))))))),"*Verificar código*")</f>
        <v>Padrão De Entrada Dágua Com Caixa Termoplástica Para Hidrômetro De 3/4" - Padrão 1B Da Cesan. Instalado Embutido Na Alvenaria. Inclusive Tubulação, Conexões, Registro, Tubo Camisa E Caixa Com Tampa Transparente. Conferir Detalhe.</v>
      </c>
      <c r="E103" s="200" t="str">
        <f>IFERROR(LOWER(
IF($B103="DER-ES",INDEX('CDER-ES'!$C:$C,MATCH($C103,'CDER-ES'!$A:$A,0)),
IF($B103="SINAPI",INDEX(CSINAPI!$C:$C,MATCH($C103,CSINAPI!$A:$A,0)),
IF($B103="CESAN",INDEX(CCESAN!$C:$C,MATCH($C103,CCESAN!$A:$A,0)),
IF($B103="SCORIO",INDEX(CSCORIO!$A:$A,MATCH($C103,CSCORIO!#REF!,0)),
IF($B103="MERC",INDEX(MERCADO!$D:$D,MATCH($C103,MERCADO!$A:$A,0)),
IF($B103="COMP",INDEX(COMPOSICAO!$G:$G,MATCH($C103,COMPOSICAO!$A:$A,0)),
""))))))),"")</f>
        <v>und</v>
      </c>
      <c r="F103" s="208">
        <f>VLOOKUP(A103,'MEMÓRIA DE CÁLCULO'!A:H,8,0)</f>
        <v>1</v>
      </c>
      <c r="G103" s="202">
        <f>IFERROR(
IF($B103="DER-ES",INDEX('CDER-ES'!$D:$D,MATCH($C103,'CDER-ES'!$A:$A,0)),
IF($B103="SINAPI",INDEX(CSINAPI!$D:$D,MATCH($C103,CSINAPI!$A:$A,0)),
IF($B103="CESAN",INDEX(CCESAN!$D:$D,MATCH($C103,CCESAN!$A:$A,0)),
IF($B103="SCORIO",INDEX(CSCORIO!$B:$B,MATCH($C103,CSCORIO!#REF!,0)),
IF($B103="MERC",INDEX(MERCADO!$E:$E,MATCH($C103,MERCADO!$A:$A,0)),
IF($B103="COMP",INDEX(COMPOSICAO!$H:$H,MATCH($C103,COMPOSICAO!$A:$A,0)),
0)))))),0)</f>
        <v>447.18</v>
      </c>
      <c r="H103" s="202">
        <f t="shared" ref="H103:H156" si="86">ROUND(G103*(1+$J$2),2)</f>
        <v>558.98</v>
      </c>
      <c r="I103" s="209">
        <f t="shared" ref="I103:I156" si="87">ROUND($H103*F103,2)</f>
        <v>558.98</v>
      </c>
      <c r="J103" s="225">
        <f t="shared" ref="J103:J124" si="88">I103/I$101</f>
        <v>1.6431724769638965E-2</v>
      </c>
    </row>
    <row r="104" spans="1:10" ht="51">
      <c r="A104" s="204" t="s">
        <v>26561</v>
      </c>
      <c r="B104" s="205" t="s">
        <v>1019</v>
      </c>
      <c r="C104" s="206">
        <v>89409</v>
      </c>
      <c r="D104" s="207" t="str">
        <f>IFERROR(PROPER(
IF($B104="DER-ES",INDEX('CDER-ES'!$B:$B,MATCH($C104,'CDER-ES'!$A:$A,0)),
IF($B104="SINAPI",INDEX(CSINAPI!$B:$B,MATCH($C104,CSINAPI!$A:$A,0)),
IF($B104="CESAN",INDEX(CCESAN!$B:$B,MATCH($C104,CCESAN!$A:$A,0)),
IF($B104="SCORIO",INDEX(CSCORIO!$B:$B,MATCH($C104,CSCORIO!$A:$A,0)),
IF($B104="MERC",INDEX(MERCADO!$B:$B,MATCH($C104,MERCADO!$A:$A,0)),
IF($B104="COMP",INDEX(COMPOSICAO!$B:$B,MATCH($C104,COMPOSICAO!$A:$A,0)),
""))))))),"*Verificar código*")</f>
        <v>Joelho 45 Graus, Pvc, Soldável, Dn 25Mm, Instalado Em Ramal De Distribuição De Água - Fornecimento E Instalação. Af_12/2014</v>
      </c>
      <c r="E104" s="200" t="str">
        <f>IFERROR(LOWER(
IF($B104="DER-ES",INDEX('CDER-ES'!$C:$C,MATCH($C104,'CDER-ES'!$A:$A,0)),
IF($B104="SINAPI",INDEX(CSINAPI!$C:$C,MATCH($C104,CSINAPI!$A:$A,0)),
IF($B104="CESAN",INDEX(CCESAN!$C:$C,MATCH($C104,CCESAN!$A:$A,0)),
IF($B104="SCORIO",INDEX(CSCORIO!$A:$A,MATCH($C104,CSCORIO!#REF!,0)),
IF($B104="MERC",INDEX(MERCADO!$D:$D,MATCH($C104,MERCADO!$A:$A,0)),
IF($B104="COMP",INDEX(COMPOSICAO!$G:$G,MATCH($C104,COMPOSICAO!$A:$A,0)),
""))))))),"")</f>
        <v>und</v>
      </c>
      <c r="F104" s="208">
        <f>VLOOKUP(A104,'MEMÓRIA DE CÁLCULO'!A:H,8,0)</f>
        <v>1</v>
      </c>
      <c r="G104" s="202">
        <f>IFERROR(
IF($B104="DER-ES",INDEX('CDER-ES'!$D:$D,MATCH($C104,'CDER-ES'!$A:$A,0)),
IF($B104="SINAPI",INDEX(CSINAPI!$D:$D,MATCH($C104,CSINAPI!$A:$A,0)),
IF($B104="CESAN",INDEX(CCESAN!$D:$D,MATCH($C104,CCESAN!$A:$A,0)),
IF($B104="SCORIO",INDEX(CSCORIO!$B:$B,MATCH($C104,CSCORIO!#REF!,0)),
IF($B104="MERC",INDEX(MERCADO!$E:$E,MATCH($C104,MERCADO!$A:$A,0)),
IF($B104="COMP",INDEX(COMPOSICAO!$H:$H,MATCH($C104,COMPOSICAO!$A:$A,0)),
0)))))),0)</f>
        <v>7.13</v>
      </c>
      <c r="H104" s="202">
        <f t="shared" ref="H104:H107" si="89">ROUND(G104*(1+$J$2),2)</f>
        <v>8.91</v>
      </c>
      <c r="I104" s="209">
        <f t="shared" ref="I104:I107" si="90">ROUND($H104*F104,2)</f>
        <v>8.91</v>
      </c>
      <c r="J104" s="225">
        <f t="shared" si="88"/>
        <v>2.6191754212580623E-4</v>
      </c>
    </row>
    <row r="105" spans="1:10" ht="51">
      <c r="A105" s="204" t="s">
        <v>26562</v>
      </c>
      <c r="B105" s="205" t="s">
        <v>1019</v>
      </c>
      <c r="C105" s="206">
        <v>89502</v>
      </c>
      <c r="D105" s="207" t="str">
        <f>IFERROR(PROPER(
IF($B105="DER-ES",INDEX('CDER-ES'!$B:$B,MATCH($C105,'CDER-ES'!$A:$A,0)),
IF($B105="SINAPI",INDEX(CSINAPI!$B:$B,MATCH($C105,CSINAPI!$A:$A,0)),
IF($B105="CESAN",INDEX(CCESAN!$B:$B,MATCH($C105,CCESAN!$A:$A,0)),
IF($B105="SCORIO",INDEX(CSCORIO!$B:$B,MATCH($C105,CSCORIO!$A:$A,0)),
IF($B105="MERC",INDEX(MERCADO!$B:$B,MATCH($C105,MERCADO!$A:$A,0)),
IF($B105="COMP",INDEX(COMPOSICAO!$B:$B,MATCH($C105,COMPOSICAO!$A:$A,0)),
""))))))),"*Verificar código*")</f>
        <v>Joelho 45 Graus, Pvc, Soldável, Dn 50Mm, Instalado Em Prumada De Água - Fornecimento E Instalação. Af_12/2014</v>
      </c>
      <c r="E105" s="200" t="str">
        <f>IFERROR(LOWER(
IF($B105="DER-ES",INDEX('CDER-ES'!$C:$C,MATCH($C105,'CDER-ES'!$A:$A,0)),
IF($B105="SINAPI",INDEX(CSINAPI!$C:$C,MATCH($C105,CSINAPI!$A:$A,0)),
IF($B105="CESAN",INDEX(CCESAN!$C:$C,MATCH($C105,CCESAN!$A:$A,0)),
IF($B105="SCORIO",INDEX(CSCORIO!$A:$A,MATCH($C105,CSCORIO!#REF!,0)),
IF($B105="MERC",INDEX(MERCADO!$D:$D,MATCH($C105,MERCADO!$A:$A,0)),
IF($B105="COMP",INDEX(COMPOSICAO!$G:$G,MATCH($C105,COMPOSICAO!$A:$A,0)),
""))))))),"")</f>
        <v>und</v>
      </c>
      <c r="F105" s="208">
        <f>VLOOKUP(A105,'MEMÓRIA DE CÁLCULO'!A:H,8,0)</f>
        <v>2</v>
      </c>
      <c r="G105" s="202">
        <f>IFERROR(
IF($B105="DER-ES",INDEX('CDER-ES'!$D:$D,MATCH($C105,'CDER-ES'!$A:$A,0)),
IF($B105="SINAPI",INDEX(CSINAPI!$D:$D,MATCH($C105,CSINAPI!$A:$A,0)),
IF($B105="CESAN",INDEX(CCESAN!$D:$D,MATCH($C105,CCESAN!$A:$A,0)),
IF($B105="SCORIO",INDEX(CSCORIO!$B:$B,MATCH($C105,CSCORIO!#REF!,0)),
IF($B105="MERC",INDEX(MERCADO!$E:$E,MATCH($C105,MERCADO!$A:$A,0)),
IF($B105="COMP",INDEX(COMPOSICAO!$H:$H,MATCH($C105,COMPOSICAO!$A:$A,0)),
0)))))),0)</f>
        <v>19.239999999999998</v>
      </c>
      <c r="H105" s="202">
        <f t="shared" si="89"/>
        <v>24.05</v>
      </c>
      <c r="I105" s="209">
        <f t="shared" si="90"/>
        <v>48.1</v>
      </c>
      <c r="J105" s="225">
        <f t="shared" si="88"/>
        <v>1.4139431847644535E-3</v>
      </c>
    </row>
    <row r="106" spans="1:10" ht="51">
      <c r="A106" s="204" t="s">
        <v>26572</v>
      </c>
      <c r="B106" s="205" t="s">
        <v>1019</v>
      </c>
      <c r="C106" s="206">
        <v>89408</v>
      </c>
      <c r="D106" s="207" t="str">
        <f>IFERROR(PROPER(
IF($B106="DER-ES",INDEX('CDER-ES'!$B:$B,MATCH($C106,'CDER-ES'!$A:$A,0)),
IF($B106="SINAPI",INDEX(CSINAPI!$B:$B,MATCH($C106,CSINAPI!$A:$A,0)),
IF($B106="CESAN",INDEX(CCESAN!$B:$B,MATCH($C106,CCESAN!$A:$A,0)),
IF($B106="SCORIO",INDEX(CSCORIO!$B:$B,MATCH($C106,CSCORIO!$A:$A,0)),
IF($B106="MERC",INDEX(MERCADO!$B:$B,MATCH($C106,MERCADO!$A:$A,0)),
IF($B106="COMP",INDEX(COMPOSICAO!$B:$B,MATCH($C106,COMPOSICAO!$A:$A,0)),
""))))))),"*Verificar código*")</f>
        <v>Joelho 90 Graus, Pvc, Soldável, Dn 25Mm, Instalado Em Ramal De Distribuição De Água - Fornecimento E Instalação. Af_12/2014</v>
      </c>
      <c r="E106" s="200" t="str">
        <f>IFERROR(LOWER(
IF($B106="DER-ES",INDEX('CDER-ES'!$C:$C,MATCH($C106,'CDER-ES'!$A:$A,0)),
IF($B106="SINAPI",INDEX(CSINAPI!$C:$C,MATCH($C106,CSINAPI!$A:$A,0)),
IF($B106="CESAN",INDEX(CCESAN!$C:$C,MATCH($C106,CCESAN!$A:$A,0)),
IF($B106="SCORIO",INDEX(CSCORIO!$A:$A,MATCH($C106,CSCORIO!#REF!,0)),
IF($B106="MERC",INDEX(MERCADO!$D:$D,MATCH($C106,MERCADO!$A:$A,0)),
IF($B106="COMP",INDEX(COMPOSICAO!$G:$G,MATCH($C106,COMPOSICAO!$A:$A,0)),
""))))))),"")</f>
        <v>und</v>
      </c>
      <c r="F106" s="208">
        <f>VLOOKUP(A106,'MEMÓRIA DE CÁLCULO'!A:H,8,0)</f>
        <v>34</v>
      </c>
      <c r="G106" s="202">
        <f>IFERROR(
IF($B106="DER-ES",INDEX('CDER-ES'!$D:$D,MATCH($C106,'CDER-ES'!$A:$A,0)),
IF($B106="SINAPI",INDEX(CSINAPI!$D:$D,MATCH($C106,CSINAPI!$A:$A,0)),
IF($B106="CESAN",INDEX(CCESAN!$D:$D,MATCH($C106,CCESAN!$A:$A,0)),
IF($B106="SCORIO",INDEX(CSCORIO!$B:$B,MATCH($C106,CSCORIO!#REF!,0)),
IF($B106="MERC",INDEX(MERCADO!$E:$E,MATCH($C106,MERCADO!$A:$A,0)),
IF($B106="COMP",INDEX(COMPOSICAO!$H:$H,MATCH($C106,COMPOSICAO!$A:$A,0)),
0)))))),0)</f>
        <v>5.89</v>
      </c>
      <c r="H106" s="202">
        <f t="shared" si="89"/>
        <v>7.36</v>
      </c>
      <c r="I106" s="209">
        <f t="shared" si="90"/>
        <v>250.24</v>
      </c>
      <c r="J106" s="225">
        <f t="shared" si="88"/>
        <v>7.3560320697600174E-3</v>
      </c>
    </row>
    <row r="107" spans="1:10" ht="51">
      <c r="A107" s="204" t="s">
        <v>26573</v>
      </c>
      <c r="B107" s="205" t="s">
        <v>1019</v>
      </c>
      <c r="C107" s="206">
        <v>89501</v>
      </c>
      <c r="D107" s="207" t="str">
        <f>IFERROR(PROPER(
IF($B107="DER-ES",INDEX('CDER-ES'!$B:$B,MATCH($C107,'CDER-ES'!$A:$A,0)),
IF($B107="SINAPI",INDEX(CSINAPI!$B:$B,MATCH($C107,CSINAPI!$A:$A,0)),
IF($B107="CESAN",INDEX(CCESAN!$B:$B,MATCH($C107,CCESAN!$A:$A,0)),
IF($B107="SCORIO",INDEX(CSCORIO!$B:$B,MATCH($C107,CSCORIO!$A:$A,0)),
IF($B107="MERC",INDEX(MERCADO!$B:$B,MATCH($C107,MERCADO!$A:$A,0)),
IF($B107="COMP",INDEX(COMPOSICAO!$B:$B,MATCH($C107,COMPOSICAO!$A:$A,0)),
""))))))),"*Verificar código*")</f>
        <v>Joelho 90 Graus, Pvc, Soldável, Dn 50Mm, Instalado Em Prumada De Água - Fornecimento E Instalação. Af_12/2014</v>
      </c>
      <c r="E107" s="200" t="str">
        <f>IFERROR(LOWER(
IF($B107="DER-ES",INDEX('CDER-ES'!$C:$C,MATCH($C107,'CDER-ES'!$A:$A,0)),
IF($B107="SINAPI",INDEX(CSINAPI!$C:$C,MATCH($C107,CSINAPI!$A:$A,0)),
IF($B107="CESAN",INDEX(CCESAN!$C:$C,MATCH($C107,CCESAN!$A:$A,0)),
IF($B107="SCORIO",INDEX(CSCORIO!$A:$A,MATCH($C107,CSCORIO!#REF!,0)),
IF($B107="MERC",INDEX(MERCADO!$D:$D,MATCH($C107,MERCADO!$A:$A,0)),
IF($B107="COMP",INDEX(COMPOSICAO!$G:$G,MATCH($C107,COMPOSICAO!$A:$A,0)),
""))))))),"")</f>
        <v>und</v>
      </c>
      <c r="F107" s="208">
        <f>VLOOKUP(A107,'MEMÓRIA DE CÁLCULO'!A:H,8,0)</f>
        <v>15</v>
      </c>
      <c r="G107" s="202">
        <f>IFERROR(
IF($B107="DER-ES",INDEX('CDER-ES'!$D:$D,MATCH($C107,'CDER-ES'!$A:$A,0)),
IF($B107="SINAPI",INDEX(CSINAPI!$D:$D,MATCH($C107,CSINAPI!$A:$A,0)),
IF($B107="CESAN",INDEX(CCESAN!$D:$D,MATCH($C107,CCESAN!$A:$A,0)),
IF($B107="SCORIO",INDEX(CSCORIO!$B:$B,MATCH($C107,CSCORIO!#REF!,0)),
IF($B107="MERC",INDEX(MERCADO!$E:$E,MATCH($C107,MERCADO!$A:$A,0)),
IF($B107="COMP",INDEX(COMPOSICAO!$H:$H,MATCH($C107,COMPOSICAO!$A:$A,0)),
0)))))),0)</f>
        <v>16.39</v>
      </c>
      <c r="H107" s="202">
        <f t="shared" si="89"/>
        <v>20.49</v>
      </c>
      <c r="I107" s="209">
        <f t="shared" si="90"/>
        <v>307.35000000000002</v>
      </c>
      <c r="J107" s="225">
        <f t="shared" si="88"/>
        <v>9.0348323874709941E-3</v>
      </c>
    </row>
    <row r="108" spans="1:10" ht="63.75">
      <c r="A108" s="204" t="s">
        <v>26800</v>
      </c>
      <c r="B108" s="205" t="s">
        <v>1019</v>
      </c>
      <c r="C108" s="206">
        <v>89366</v>
      </c>
      <c r="D108" s="207" t="str">
        <f>IFERROR(PROPER(
IF($B108="DER-ES",INDEX('CDER-ES'!$B:$B,MATCH($C108,'CDER-ES'!$A:$A,0)),
IF($B108="SINAPI",INDEX(CSINAPI!$B:$B,MATCH($C108,CSINAPI!$A:$A,0)),
IF($B108="CESAN",INDEX(CCESAN!$B:$B,MATCH($C108,CCESAN!$A:$A,0)),
IF($B108="SCORIO",INDEX(CSCORIO!$B:$B,MATCH($C108,CSCORIO!$A:$A,0)),
IF($B108="MERC",INDEX(MERCADO!$B:$B,MATCH($C108,MERCADO!$A:$A,0)),
IF($B108="COMP",INDEX(COMPOSICAO!$B:$B,MATCH($C108,COMPOSICAO!$A:$A,0)),
""))))))),"*Verificar código*")</f>
        <v>Joelho 90 Graus Com Bucha De Latão, Pvc, Soldável, Dn 25Mm, X 3/4 Instalado Em Ramal Ou Sub-Ramal De Água - Fornecimento E Instalação. Af_12/2014</v>
      </c>
      <c r="E108" s="200" t="str">
        <f>IFERROR(LOWER(
IF($B108="DER-ES",INDEX('CDER-ES'!$C:$C,MATCH($C108,'CDER-ES'!$A:$A,0)),
IF($B108="SINAPI",INDEX(CSINAPI!$C:$C,MATCH($C108,CSINAPI!$A:$A,0)),
IF($B108="CESAN",INDEX(CCESAN!$C:$C,MATCH($C108,CCESAN!$A:$A,0)),
IF($B108="SCORIO",INDEX(CSCORIO!$A:$A,MATCH($C108,CSCORIO!#REF!,0)),
IF($B108="MERC",INDEX(MERCADO!$D:$D,MATCH($C108,MERCADO!$A:$A,0)),
IF($B108="COMP",INDEX(COMPOSICAO!$G:$G,MATCH($C108,COMPOSICAO!$A:$A,0)),
""))))))),"")</f>
        <v>und</v>
      </c>
      <c r="F108" s="208">
        <f>VLOOKUP(A108,'MEMÓRIA DE CÁLCULO'!A:H,8,0)</f>
        <v>18</v>
      </c>
      <c r="G108" s="202">
        <f>IFERROR(
IF($B108="DER-ES",INDEX('CDER-ES'!$D:$D,MATCH($C108,'CDER-ES'!$A:$A,0)),
IF($B108="SINAPI",INDEX(CSINAPI!$D:$D,MATCH($C108,CSINAPI!$A:$A,0)),
IF($B108="CESAN",INDEX(CCESAN!$D:$D,MATCH($C108,CCESAN!$A:$A,0)),
IF($B108="SCORIO",INDEX(CSCORIO!$B:$B,MATCH($C108,CSCORIO!#REF!,0)),
IF($B108="MERC",INDEX(MERCADO!$E:$E,MATCH($C108,MERCADO!$A:$A,0)),
IF($B108="COMP",INDEX(COMPOSICAO!$H:$H,MATCH($C108,COMPOSICAO!$A:$A,0)),
0)))))),0)</f>
        <v>18.809999999999999</v>
      </c>
      <c r="H108" s="202">
        <f t="shared" si="86"/>
        <v>23.51</v>
      </c>
      <c r="I108" s="209">
        <f t="shared" si="87"/>
        <v>423.18</v>
      </c>
      <c r="J108" s="225">
        <f t="shared" si="88"/>
        <v>1.2439760435106475E-2</v>
      </c>
    </row>
    <row r="109" spans="1:10" ht="51">
      <c r="A109" s="204" t="s">
        <v>26801</v>
      </c>
      <c r="B109" s="205" t="s">
        <v>1019</v>
      </c>
      <c r="C109" s="206">
        <v>89579</v>
      </c>
      <c r="D109" s="207" t="str">
        <f>IFERROR(PROPER(
IF($B109="DER-ES",INDEX('CDER-ES'!$B:$B,MATCH($C109,'CDER-ES'!$A:$A,0)),
IF($B109="SINAPI",INDEX(CSINAPI!$B:$B,MATCH($C109,CSINAPI!$A:$A,0)),
IF($B109="CESAN",INDEX(CCESAN!$B:$B,MATCH($C109,CCESAN!$A:$A,0)),
IF($B109="SCORIO",INDEX(CSCORIO!$B:$B,MATCH($C109,CSCORIO!$A:$A,0)),
IF($B109="MERC",INDEX(MERCADO!$B:$B,MATCH($C109,MERCADO!$A:$A,0)),
IF($B109="COMP",INDEX(COMPOSICAO!$B:$B,MATCH($C109,COMPOSICAO!$A:$A,0)),
""))))))),"*Verificar código*")</f>
        <v>Luva De Redução, Pvc, Soldável, Dn 50Mm X 25Mm, Instalado Em Prumada De Água   Fornecimento E Instalação. Af_12/2014</v>
      </c>
      <c r="E109" s="200" t="str">
        <f>IFERROR(LOWER(
IF($B109="DER-ES",INDEX('CDER-ES'!$C:$C,MATCH($C109,'CDER-ES'!$A:$A,0)),
IF($B109="SINAPI",INDEX(CSINAPI!$C:$C,MATCH($C109,CSINAPI!$A:$A,0)),
IF($B109="CESAN",INDEX(CCESAN!$C:$C,MATCH($C109,CCESAN!$A:$A,0)),
IF($B109="SCORIO",INDEX(CSCORIO!$A:$A,MATCH($C109,CSCORIO!#REF!,0)),
IF($B109="MERC",INDEX(MERCADO!$D:$D,MATCH($C109,MERCADO!$A:$A,0)),
IF($B109="COMP",INDEX(COMPOSICAO!$G:$G,MATCH($C109,COMPOSICAO!$A:$A,0)),
""))))))),"")</f>
        <v>und</v>
      </c>
      <c r="F109" s="208">
        <f>VLOOKUP(A109,'MEMÓRIA DE CÁLCULO'!A:H,8,0)</f>
        <v>15</v>
      </c>
      <c r="G109" s="202">
        <f>IFERROR(
IF($B109="DER-ES",INDEX('CDER-ES'!$D:$D,MATCH($C109,'CDER-ES'!$A:$A,0)),
IF($B109="SINAPI",INDEX(CSINAPI!$D:$D,MATCH($C109,CSINAPI!$A:$A,0)),
IF($B109="CESAN",INDEX(CCESAN!$D:$D,MATCH($C109,CCESAN!$A:$A,0)),
IF($B109="SCORIO",INDEX(CSCORIO!$B:$B,MATCH($C109,CSCORIO!#REF!,0)),
IF($B109="MERC",INDEX(MERCADO!$E:$E,MATCH($C109,MERCADO!$A:$A,0)),
IF($B109="COMP",INDEX(COMPOSICAO!$H:$H,MATCH($C109,COMPOSICAO!$A:$A,0)),
0)))))),0)</f>
        <v>13.76</v>
      </c>
      <c r="H109" s="202">
        <f t="shared" ref="H109:H119" si="91">ROUND(G109*(1+$J$2),2)</f>
        <v>17.2</v>
      </c>
      <c r="I109" s="209">
        <f t="shared" ref="I109:I119" si="92">ROUND($H109*F109,2)</f>
        <v>258</v>
      </c>
      <c r="J109" s="225">
        <f t="shared" si="88"/>
        <v>7.5841443174475874E-3</v>
      </c>
    </row>
    <row r="110" spans="1:10" ht="38.25">
      <c r="A110" s="204" t="s">
        <v>26802</v>
      </c>
      <c r="B110" s="205" t="s">
        <v>1019</v>
      </c>
      <c r="C110" s="206">
        <v>89440</v>
      </c>
      <c r="D110" s="207" t="str">
        <f>IFERROR(PROPER(
IF($B110="DER-ES",INDEX('CDER-ES'!$B:$B,MATCH($C110,'CDER-ES'!$A:$A,0)),
IF($B110="SINAPI",INDEX(CSINAPI!$B:$B,MATCH($C110,CSINAPI!$A:$A,0)),
IF($B110="CESAN",INDEX(CCESAN!$B:$B,MATCH($C110,CCESAN!$A:$A,0)),
IF($B110="SCORIO",INDEX(CSCORIO!$B:$B,MATCH($C110,CSCORIO!$A:$A,0)),
IF($B110="MERC",INDEX(MERCADO!$B:$B,MATCH($C110,MERCADO!$A:$A,0)),
IF($B110="COMP",INDEX(COMPOSICAO!$B:$B,MATCH($C110,COMPOSICAO!$A:$A,0)),
""))))))),"*Verificar código*")</f>
        <v>Te, Pvc, Soldável, Dn 25Mm, Instalado Em Ramal De Distribuição De Água - Fornecimento E Instalação. Af_12/2014</v>
      </c>
      <c r="E110" s="200" t="str">
        <f>IFERROR(LOWER(
IF($B110="DER-ES",INDEX('CDER-ES'!$C:$C,MATCH($C110,'CDER-ES'!$A:$A,0)),
IF($B110="SINAPI",INDEX(CSINAPI!$C:$C,MATCH($C110,CSINAPI!$A:$A,0)),
IF($B110="CESAN",INDEX(CCESAN!$C:$C,MATCH($C110,CCESAN!$A:$A,0)),
IF($B110="SCORIO",INDEX(CSCORIO!$A:$A,MATCH($C110,CSCORIO!#REF!,0)),
IF($B110="MERC",INDEX(MERCADO!$D:$D,MATCH($C110,MERCADO!$A:$A,0)),
IF($B110="COMP",INDEX(COMPOSICAO!$G:$G,MATCH($C110,COMPOSICAO!$A:$A,0)),
""))))))),"")</f>
        <v>und</v>
      </c>
      <c r="F110" s="208">
        <f>VLOOKUP(A110,'MEMÓRIA DE CÁLCULO'!A:H,8,0)</f>
        <v>4</v>
      </c>
      <c r="G110" s="202">
        <f>IFERROR(
IF($B110="DER-ES",INDEX('CDER-ES'!$D:$D,MATCH($C110,'CDER-ES'!$A:$A,0)),
IF($B110="SINAPI",INDEX(CSINAPI!$D:$D,MATCH($C110,CSINAPI!$A:$A,0)),
IF($B110="CESAN",INDEX(CCESAN!$D:$D,MATCH($C110,CCESAN!$A:$A,0)),
IF($B110="SCORIO",INDEX(CSCORIO!$B:$B,MATCH($C110,CSCORIO!#REF!,0)),
IF($B110="MERC",INDEX(MERCADO!$E:$E,MATCH($C110,MERCADO!$A:$A,0)),
IF($B110="COMP",INDEX(COMPOSICAO!$H:$H,MATCH($C110,COMPOSICAO!$A:$A,0)),
0)))))),0)</f>
        <v>8.5299999999999994</v>
      </c>
      <c r="H110" s="202">
        <f t="shared" ref="H110:H113" si="93">ROUND(G110*(1+$J$2),2)</f>
        <v>10.66</v>
      </c>
      <c r="I110" s="209">
        <f t="shared" ref="I110:I113" si="94">ROUND($H110*F110,2)</f>
        <v>42.64</v>
      </c>
      <c r="J110" s="225">
        <f t="shared" si="88"/>
        <v>1.2534415259533532E-3</v>
      </c>
    </row>
    <row r="111" spans="1:10" ht="38.25">
      <c r="A111" s="204" t="s">
        <v>26803</v>
      </c>
      <c r="B111" s="205" t="s">
        <v>1019</v>
      </c>
      <c r="C111" s="206">
        <v>89625</v>
      </c>
      <c r="D111" s="207" t="str">
        <f>IFERROR(PROPER(
IF($B111="DER-ES",INDEX('CDER-ES'!$B:$B,MATCH($C111,'CDER-ES'!$A:$A,0)),
IF($B111="SINAPI",INDEX(CSINAPI!$B:$B,MATCH($C111,CSINAPI!$A:$A,0)),
IF($B111="CESAN",INDEX(CCESAN!$B:$B,MATCH($C111,CCESAN!$A:$A,0)),
IF($B111="SCORIO",INDEX(CSCORIO!$B:$B,MATCH($C111,CSCORIO!$A:$A,0)),
IF($B111="MERC",INDEX(MERCADO!$B:$B,MATCH($C111,MERCADO!$A:$A,0)),
IF($B111="COMP",INDEX(COMPOSICAO!$B:$B,MATCH($C111,COMPOSICAO!$A:$A,0)),
""))))))),"*Verificar código*")</f>
        <v>Te, Pvc, Soldável, Dn 50Mm, Instalado Em Prumada De Água - Fornecimento E Instalação. Af_12/2014</v>
      </c>
      <c r="E111" s="200" t="str">
        <f>IFERROR(LOWER(
IF($B111="DER-ES",INDEX('CDER-ES'!$C:$C,MATCH($C111,'CDER-ES'!$A:$A,0)),
IF($B111="SINAPI",INDEX(CSINAPI!$C:$C,MATCH($C111,CSINAPI!$A:$A,0)),
IF($B111="CESAN",INDEX(CCESAN!$C:$C,MATCH($C111,CCESAN!$A:$A,0)),
IF($B111="SCORIO",INDEX(CSCORIO!$A:$A,MATCH($C111,CSCORIO!#REF!,0)),
IF($B111="MERC",INDEX(MERCADO!$D:$D,MATCH($C111,MERCADO!$A:$A,0)),
IF($B111="COMP",INDEX(COMPOSICAO!$G:$G,MATCH($C111,COMPOSICAO!$A:$A,0)),
""))))))),"")</f>
        <v>und</v>
      </c>
      <c r="F111" s="208">
        <f>VLOOKUP(A111,'MEMÓRIA DE CÁLCULO'!A:H,8,0)</f>
        <v>19</v>
      </c>
      <c r="G111" s="202">
        <f>IFERROR(
IF($B111="DER-ES",INDEX('CDER-ES'!$D:$D,MATCH($C111,'CDER-ES'!$A:$A,0)),
IF($B111="SINAPI",INDEX(CSINAPI!$D:$D,MATCH($C111,CSINAPI!$A:$A,0)),
IF($B111="CESAN",INDEX(CCESAN!$D:$D,MATCH($C111,CCESAN!$A:$A,0)),
IF($B111="SCORIO",INDEX(CSCORIO!$B:$B,MATCH($C111,CSCORIO!#REF!,0)),
IF($B111="MERC",INDEX(MERCADO!$E:$E,MATCH($C111,MERCADO!$A:$A,0)),
IF($B111="COMP",INDEX(COMPOSICAO!$H:$H,MATCH($C111,COMPOSICAO!$A:$A,0)),
0)))))),0)</f>
        <v>26.55</v>
      </c>
      <c r="H111" s="202">
        <f t="shared" si="93"/>
        <v>33.19</v>
      </c>
      <c r="I111" s="209">
        <f t="shared" si="94"/>
        <v>630.61</v>
      </c>
      <c r="J111" s="225">
        <f t="shared" si="88"/>
        <v>1.853735367451792E-2</v>
      </c>
    </row>
    <row r="112" spans="1:10" ht="51">
      <c r="A112" s="204" t="s">
        <v>26804</v>
      </c>
      <c r="B112" s="205" t="s">
        <v>1019</v>
      </c>
      <c r="C112" s="206">
        <v>89621</v>
      </c>
      <c r="D112" s="207" t="str">
        <f>IFERROR(PROPER(
IF($B112="DER-ES",INDEX('CDER-ES'!$B:$B,MATCH($C112,'CDER-ES'!$A:$A,0)),
IF($B112="SINAPI",INDEX(CSINAPI!$B:$B,MATCH($C112,CSINAPI!$A:$A,0)),
IF($B112="CESAN",INDEX(CCESAN!$B:$B,MATCH($C112,CCESAN!$A:$A,0)),
IF($B112="SCORIO",INDEX(CSCORIO!$B:$B,MATCH($C112,CSCORIO!$A:$A,0)),
IF($B112="MERC",INDEX(MERCADO!$B:$B,MATCH($C112,MERCADO!$A:$A,0)),
IF($B112="COMP",INDEX(COMPOSICAO!$B:$B,MATCH($C112,COMPOSICAO!$A:$A,0)),
""))))))),"*Verificar código*")</f>
        <v>Tê Com Bucha De Latão Na Bolsa Central, Pvc, Soldável, Dn 32Mm X 3/4, Instalado Em Prumada De Água - Fornecimento E Instalação. Af_12/2014</v>
      </c>
      <c r="E112" s="200" t="str">
        <f>IFERROR(LOWER(
IF($B112="DER-ES",INDEX('CDER-ES'!$C:$C,MATCH($C112,'CDER-ES'!$A:$A,0)),
IF($B112="SINAPI",INDEX(CSINAPI!$C:$C,MATCH($C112,CSINAPI!$A:$A,0)),
IF($B112="CESAN",INDEX(CCESAN!$C:$C,MATCH($C112,CCESAN!$A:$A,0)),
IF($B112="SCORIO",INDEX(CSCORIO!$A:$A,MATCH($C112,CSCORIO!#REF!,0)),
IF($B112="MERC",INDEX(MERCADO!$D:$D,MATCH($C112,MERCADO!$A:$A,0)),
IF($B112="COMP",INDEX(COMPOSICAO!$G:$G,MATCH($C112,COMPOSICAO!$A:$A,0)),
""))))))),"")</f>
        <v>und</v>
      </c>
      <c r="F112" s="208">
        <f>VLOOKUP(A112,'MEMÓRIA DE CÁLCULO'!A:H,8,0)</f>
        <v>3</v>
      </c>
      <c r="G112" s="202">
        <f>IFERROR(
IF($B112="DER-ES",INDEX('CDER-ES'!$D:$D,MATCH($C112,'CDER-ES'!$A:$A,0)),
IF($B112="SINAPI",INDEX(CSINAPI!$D:$D,MATCH($C112,CSINAPI!$A:$A,0)),
IF($B112="CESAN",INDEX(CCESAN!$D:$D,MATCH($C112,CCESAN!$A:$A,0)),
IF($B112="SCORIO",INDEX(CSCORIO!$B:$B,MATCH($C112,CSCORIO!#REF!,0)),
IF($B112="MERC",INDEX(MERCADO!$E:$E,MATCH($C112,MERCADO!$A:$A,0)),
IF($B112="COMP",INDEX(COMPOSICAO!$H:$H,MATCH($C112,COMPOSICAO!$A:$A,0)),
0)))))),0)</f>
        <v>33.64</v>
      </c>
      <c r="H112" s="202">
        <f t="shared" si="93"/>
        <v>42.05</v>
      </c>
      <c r="I112" s="209">
        <f t="shared" si="94"/>
        <v>126.15</v>
      </c>
      <c r="J112" s="225">
        <f t="shared" si="88"/>
        <v>3.7082938203333846E-3</v>
      </c>
    </row>
    <row r="113" spans="1:10" ht="63.75">
      <c r="A113" s="204" t="s">
        <v>26805</v>
      </c>
      <c r="B113" s="205" t="s">
        <v>1019</v>
      </c>
      <c r="C113" s="206">
        <v>89972</v>
      </c>
      <c r="D113" s="207" t="str">
        <f>IFERROR(PROPER(
IF($B113="DER-ES",INDEX('CDER-ES'!$B:$B,MATCH($C113,'CDER-ES'!$A:$A,0)),
IF($B113="SINAPI",INDEX(CSINAPI!$B:$B,MATCH($C113,CSINAPI!$A:$A,0)),
IF($B113="CESAN",INDEX(CCESAN!$B:$B,MATCH($C113,CCESAN!$A:$A,0)),
IF($B113="SCORIO",INDEX(CSCORIO!$B:$B,MATCH($C113,CSCORIO!$A:$A,0)),
IF($B113="MERC",INDEX(MERCADO!$B:$B,MATCH($C113,MERCADO!$A:$A,0)),
IF($B113="COMP",INDEX(COMPOSICAO!$B:$B,MATCH($C113,COMPOSICAO!$A:$A,0)),
""))))))),"*Verificar código*")</f>
        <v>Kit De Registro De Gaveta Bruto De Latão ¾", Inclusive Conexões, Roscável, Instalado Em Ramal De Água Fria - Fornecimento E Instalação. Af_12/2014</v>
      </c>
      <c r="E113" s="200" t="str">
        <f>IFERROR(LOWER(
IF($B113="DER-ES",INDEX('CDER-ES'!$C:$C,MATCH($C113,'CDER-ES'!$A:$A,0)),
IF($B113="SINAPI",INDEX(CSINAPI!$C:$C,MATCH($C113,CSINAPI!$A:$A,0)),
IF($B113="CESAN",INDEX(CCESAN!$C:$C,MATCH($C113,CCESAN!$A:$A,0)),
IF($B113="SCORIO",INDEX(CSCORIO!$A:$A,MATCH($C113,CSCORIO!#REF!,0)),
IF($B113="MERC",INDEX(MERCADO!$D:$D,MATCH($C113,MERCADO!$A:$A,0)),
IF($B113="COMP",INDEX(COMPOSICAO!$G:$G,MATCH($C113,COMPOSICAO!$A:$A,0)),
""))))))),"")</f>
        <v>und</v>
      </c>
      <c r="F113" s="208">
        <f>VLOOKUP(A113,'MEMÓRIA DE CÁLCULO'!A:H,8,0)</f>
        <v>4</v>
      </c>
      <c r="G113" s="202">
        <f>IFERROR(
IF($B113="DER-ES",INDEX('CDER-ES'!$D:$D,MATCH($C113,'CDER-ES'!$A:$A,0)),
IF($B113="SINAPI",INDEX(CSINAPI!$D:$D,MATCH($C113,CSINAPI!$A:$A,0)),
IF($B113="CESAN",INDEX(CCESAN!$D:$D,MATCH($C113,CCESAN!$A:$A,0)),
IF($B113="SCORIO",INDEX(CSCORIO!$B:$B,MATCH($C113,CSCORIO!#REF!,0)),
IF($B113="MERC",INDEX(MERCADO!$E:$E,MATCH($C113,MERCADO!$A:$A,0)),
IF($B113="COMP",INDEX(COMPOSICAO!$H:$H,MATCH($C113,COMPOSICAO!$A:$A,0)),
0)))))),0)</f>
        <v>54.06</v>
      </c>
      <c r="H113" s="202">
        <f t="shared" si="93"/>
        <v>67.58</v>
      </c>
      <c r="I113" s="209">
        <f t="shared" si="94"/>
        <v>270.32</v>
      </c>
      <c r="J113" s="225">
        <f t="shared" si="88"/>
        <v>7.9463019065598127E-3</v>
      </c>
    </row>
    <row r="114" spans="1:10" ht="38.25">
      <c r="A114" s="204" t="s">
        <v>28698</v>
      </c>
      <c r="B114" s="205" t="s">
        <v>1019</v>
      </c>
      <c r="C114" s="206">
        <v>94497</v>
      </c>
      <c r="D114" s="207" t="str">
        <f>IFERROR(PROPER(
IF($B114="DER-ES",INDEX('CDER-ES'!$B:$B,MATCH($C114,'CDER-ES'!$A:$A,0)),
IF($B114="SINAPI",INDEX(CSINAPI!$B:$B,MATCH($C114,CSINAPI!$A:$A,0)),
IF($B114="CESAN",INDEX(CCESAN!$B:$B,MATCH($C114,CCESAN!$A:$A,0)),
IF($B114="SCORIO",INDEX(CSCORIO!$B:$B,MATCH($C114,CSCORIO!$A:$A,0)),
IF($B114="MERC",INDEX(MERCADO!$B:$B,MATCH($C114,MERCADO!$A:$A,0)),
IF($B114="COMP",INDEX(COMPOSICAO!$B:$B,MATCH($C114,COMPOSICAO!$A:$A,0)),
""))))))),"*Verificar código*")</f>
        <v>Registro De Gaveta Bruto, Latão, Roscável, 1 1/2" - Fornecimento E Instalação. Af_08/2021</v>
      </c>
      <c r="E114" s="200" t="str">
        <f>IFERROR(LOWER(
IF($B114="DER-ES",INDEX('CDER-ES'!$C:$C,MATCH($C114,'CDER-ES'!$A:$A,0)),
IF($B114="SINAPI",INDEX(CSINAPI!$C:$C,MATCH($C114,CSINAPI!$A:$A,0)),
IF($B114="CESAN",INDEX(CCESAN!$C:$C,MATCH($C114,CCESAN!$A:$A,0)),
IF($B114="SCORIO",INDEX(CSCORIO!$A:$A,MATCH($C114,CSCORIO!#REF!,0)),
IF($B114="MERC",INDEX(MERCADO!$D:$D,MATCH($C114,MERCADO!$A:$A,0)),
IF($B114="COMP",INDEX(COMPOSICAO!$G:$G,MATCH($C114,COMPOSICAO!$A:$A,0)),
""))))))),"")</f>
        <v>und</v>
      </c>
      <c r="F114" s="208">
        <f>VLOOKUP(A114,'MEMÓRIA DE CÁLCULO'!A:H,8,0)</f>
        <v>6</v>
      </c>
      <c r="G114" s="202">
        <f>IFERROR(
IF($B114="DER-ES",INDEX('CDER-ES'!$D:$D,MATCH($C114,'CDER-ES'!$A:$A,0)),
IF($B114="SINAPI",INDEX(CSINAPI!$D:$D,MATCH($C114,CSINAPI!$A:$A,0)),
IF($B114="CESAN",INDEX(CCESAN!$D:$D,MATCH($C114,CCESAN!$A:$A,0)),
IF($B114="SCORIO",INDEX(CSCORIO!$B:$B,MATCH($C114,CSCORIO!#REF!,0)),
IF($B114="MERC",INDEX(MERCADO!$E:$E,MATCH($C114,MERCADO!$A:$A,0)),
IF($B114="COMP",INDEX(COMPOSICAO!$H:$H,MATCH($C114,COMPOSICAO!$A:$A,0)),
0)))))),0)</f>
        <v>109.66</v>
      </c>
      <c r="H114" s="202">
        <f t="shared" si="91"/>
        <v>137.08000000000001</v>
      </c>
      <c r="I114" s="209">
        <f t="shared" si="92"/>
        <v>822.48</v>
      </c>
      <c r="J114" s="225">
        <f t="shared" si="88"/>
        <v>2.4177546582225939E-2</v>
      </c>
    </row>
    <row r="115" spans="1:10" ht="63.75">
      <c r="A115" s="204" t="s">
        <v>28779</v>
      </c>
      <c r="B115" s="205" t="s">
        <v>1019</v>
      </c>
      <c r="C115" s="206">
        <v>89596</v>
      </c>
      <c r="D115" s="207" t="str">
        <f>IFERROR(PROPER(
IF($B115="DER-ES",INDEX('CDER-ES'!$B:$B,MATCH($C115,'CDER-ES'!$A:$A,0)),
IF($B115="SINAPI",INDEX(CSINAPI!$B:$B,MATCH($C115,CSINAPI!$A:$A,0)),
IF($B115="CESAN",INDEX(CCESAN!$B:$B,MATCH($C115,CCESAN!$A:$A,0)),
IF($B115="SCORIO",INDEX(CSCORIO!$B:$B,MATCH($C115,CSCORIO!$A:$A,0)),
IF($B115="MERC",INDEX(MERCADO!$B:$B,MATCH($C115,MERCADO!$A:$A,0)),
IF($B115="COMP",INDEX(COMPOSICAO!$B:$B,MATCH($C115,COMPOSICAO!$A:$A,0)),
""))))))),"*Verificar código*")</f>
        <v>Adaptador Curto Com Bolsa E Rosca Para Registro, Pvc, Soldável, Dn 50Mm X 1.1/2, Instalado Em Prumada De Água - Fornecimento E Instalação. Af_12/2014</v>
      </c>
      <c r="E115" s="200" t="str">
        <f>IFERROR(LOWER(
IF($B115="DER-ES",INDEX('CDER-ES'!$C:$C,MATCH($C115,'CDER-ES'!$A:$A,0)),
IF($B115="SINAPI",INDEX(CSINAPI!$C:$C,MATCH($C115,CSINAPI!$A:$A,0)),
IF($B115="CESAN",INDEX(CCESAN!$C:$C,MATCH($C115,CCESAN!$A:$A,0)),
IF($B115="SCORIO",INDEX(CSCORIO!$A:$A,MATCH($C115,CSCORIO!#REF!,0)),
IF($B115="MERC",INDEX(MERCADO!$D:$D,MATCH($C115,MERCADO!$A:$A,0)),
IF($B115="COMP",INDEX(COMPOSICAO!$G:$G,MATCH($C115,COMPOSICAO!$A:$A,0)),
""))))))),"")</f>
        <v>und</v>
      </c>
      <c r="F115" s="208">
        <f>VLOOKUP(A115,'MEMÓRIA DE CÁLCULO'!A:H,8,0)</f>
        <v>12</v>
      </c>
      <c r="G115" s="202">
        <f>IFERROR(
IF($B115="DER-ES",INDEX('CDER-ES'!$D:$D,MATCH($C115,'CDER-ES'!$A:$A,0)),
IF($B115="SINAPI",INDEX(CSINAPI!$D:$D,MATCH($C115,CSINAPI!$A:$A,0)),
IF($B115="CESAN",INDEX(CCESAN!$D:$D,MATCH($C115,CCESAN!$A:$A,0)),
IF($B115="SCORIO",INDEX(CSCORIO!$B:$B,MATCH($C115,CSCORIO!#REF!,0)),
IF($B115="MERC",INDEX(MERCADO!$E:$E,MATCH($C115,MERCADO!$A:$A,0)),
IF($B115="COMP",INDEX(COMPOSICAO!$H:$H,MATCH($C115,COMPOSICAO!$A:$A,0)),
0)))))),0)</f>
        <v>13.05</v>
      </c>
      <c r="H115" s="202">
        <f t="shared" si="91"/>
        <v>16.309999999999999</v>
      </c>
      <c r="I115" s="209">
        <f t="shared" si="92"/>
        <v>195.72</v>
      </c>
      <c r="J115" s="225">
        <f t="shared" si="88"/>
        <v>5.7533671543055888E-3</v>
      </c>
    </row>
    <row r="116" spans="1:10" ht="38.25">
      <c r="A116" s="204" t="s">
        <v>28953</v>
      </c>
      <c r="B116" s="205" t="s">
        <v>1019</v>
      </c>
      <c r="C116" s="206">
        <v>99635</v>
      </c>
      <c r="D116" s="207" t="str">
        <f>IFERROR(PROPER(
IF($B116="DER-ES",INDEX('CDER-ES'!$B:$B,MATCH($C116,'CDER-ES'!$A:$A,0)),
IF($B116="SINAPI",INDEX(CSINAPI!$B:$B,MATCH($C116,CSINAPI!$A:$A,0)),
IF($B116="CESAN",INDEX(CCESAN!$B:$B,MATCH($C116,CCESAN!$A:$A,0)),
IF($B116="SCORIO",INDEX(CSCORIO!$B:$B,MATCH($C116,CSCORIO!$A:$A,0)),
IF($B116="MERC",INDEX(MERCADO!$B:$B,MATCH($C116,MERCADO!$A:$A,0)),
IF($B116="COMP",INDEX(COMPOSICAO!$B:$B,MATCH($C116,COMPOSICAO!$A:$A,0)),
""))))))),"*Verificar código*")</f>
        <v>Válvula De Descarga Metálica, Base 1 1/2", Acabamento Metalico Cromado - Fornecimento E Instalação. Af_08/2021</v>
      </c>
      <c r="E116" s="200" t="str">
        <f>IFERROR(LOWER(
IF($B116="DER-ES",INDEX('CDER-ES'!$C:$C,MATCH($C116,'CDER-ES'!$A:$A,0)),
IF($B116="SINAPI",INDEX(CSINAPI!$C:$C,MATCH($C116,CSINAPI!$A:$A,0)),
IF($B116="CESAN",INDEX(CCESAN!$C:$C,MATCH($C116,CCESAN!$A:$A,0)),
IF($B116="SCORIO",INDEX(CSCORIO!$A:$A,MATCH($C116,CSCORIO!#REF!,0)),
IF($B116="MERC",INDEX(MERCADO!$D:$D,MATCH($C116,MERCADO!$A:$A,0)),
IF($B116="COMP",INDEX(COMPOSICAO!$G:$G,MATCH($C116,COMPOSICAO!$A:$A,0)),
""))))))),"")</f>
        <v>und</v>
      </c>
      <c r="F116" s="208">
        <f>VLOOKUP(A116,'MEMÓRIA DE CÁLCULO'!A:H,8,0)</f>
        <v>6</v>
      </c>
      <c r="G116" s="202">
        <f>IFERROR(
IF($B116="DER-ES",INDEX('CDER-ES'!$D:$D,MATCH($C116,'CDER-ES'!$A:$A,0)),
IF($B116="SINAPI",INDEX(CSINAPI!$D:$D,MATCH($C116,CSINAPI!$A:$A,0)),
IF($B116="CESAN",INDEX(CCESAN!$D:$D,MATCH($C116,CCESAN!$A:$A,0)),
IF($B116="SCORIO",INDEX(CSCORIO!$B:$B,MATCH($C116,CSCORIO!#REF!,0)),
IF($B116="MERC",INDEX(MERCADO!$E:$E,MATCH($C116,MERCADO!$A:$A,0)),
IF($B116="COMP",INDEX(COMPOSICAO!$H:$H,MATCH($C116,COMPOSICAO!$A:$A,0)),
0)))))),0)</f>
        <v>254.04</v>
      </c>
      <c r="H116" s="202">
        <f t="shared" ref="H116:H117" si="95">ROUND(G116*(1+$J$2),2)</f>
        <v>317.55</v>
      </c>
      <c r="I116" s="209">
        <f t="shared" ref="I116:I117" si="96">ROUND($H116*F116,2)</f>
        <v>1905.3</v>
      </c>
      <c r="J116" s="225">
        <f t="shared" si="88"/>
        <v>5.6008023907104222E-2</v>
      </c>
    </row>
    <row r="117" spans="1:10" ht="51">
      <c r="A117" s="204" t="s">
        <v>28954</v>
      </c>
      <c r="B117" s="205" t="s">
        <v>1019</v>
      </c>
      <c r="C117" s="206">
        <v>89402</v>
      </c>
      <c r="D117" s="207" t="str">
        <f>IFERROR(PROPER(
IF($B117="DER-ES",INDEX('CDER-ES'!$B:$B,MATCH($C117,'CDER-ES'!$A:$A,0)),
IF($B117="SINAPI",INDEX(CSINAPI!$B:$B,MATCH($C117,CSINAPI!$A:$A,0)),
IF($B117="CESAN",INDEX(CCESAN!$B:$B,MATCH($C117,CCESAN!$A:$A,0)),
IF($B117="SCORIO",INDEX(CSCORIO!$B:$B,MATCH($C117,CSCORIO!$A:$A,0)),
IF($B117="MERC",INDEX(MERCADO!$B:$B,MATCH($C117,MERCADO!$A:$A,0)),
IF($B117="COMP",INDEX(COMPOSICAO!$B:$B,MATCH($C117,COMPOSICAO!$A:$A,0)),
""))))))),"*Verificar código*")</f>
        <v>Tubo, Pvc, Soldável, Dn 25Mm, Instalado Em Ramal De Distribuição De Água - Fornecimento E Instalação. Af_12/2014</v>
      </c>
      <c r="E117" s="200" t="str">
        <f>IFERROR(LOWER(
IF($B117="DER-ES",INDEX('CDER-ES'!$C:$C,MATCH($C117,'CDER-ES'!$A:$A,0)),
IF($B117="SINAPI",INDEX(CSINAPI!$C:$C,MATCH($C117,CSINAPI!$A:$A,0)),
IF($B117="CESAN",INDEX(CCESAN!$C:$C,MATCH($C117,CCESAN!$A:$A,0)),
IF($B117="SCORIO",INDEX(CSCORIO!$A:$A,MATCH($C117,CSCORIO!#REF!,0)),
IF($B117="MERC",INDEX(MERCADO!$D:$D,MATCH($C117,MERCADO!$A:$A,0)),
IF($B117="COMP",INDEX(COMPOSICAO!$G:$G,MATCH($C117,COMPOSICAO!$A:$A,0)),
""))))))),"")</f>
        <v>m</v>
      </c>
      <c r="F117" s="208">
        <f>VLOOKUP(A117,'MEMÓRIA DE CÁLCULO'!A:H,8,0)</f>
        <v>93</v>
      </c>
      <c r="G117" s="202">
        <f>IFERROR(
IF($B117="DER-ES",INDEX('CDER-ES'!$D:$D,MATCH($C117,'CDER-ES'!$A:$A,0)),
IF($B117="SINAPI",INDEX(CSINAPI!$D:$D,MATCH($C117,CSINAPI!$A:$A,0)),
IF($B117="CESAN",INDEX(CCESAN!$D:$D,MATCH($C117,CCESAN!$A:$A,0)),
IF($B117="SCORIO",INDEX(CSCORIO!$B:$B,MATCH($C117,CSCORIO!#REF!,0)),
IF($B117="MERC",INDEX(MERCADO!$E:$E,MATCH($C117,MERCADO!$A:$A,0)),
IF($B117="COMP",INDEX(COMPOSICAO!$H:$H,MATCH($C117,COMPOSICAO!$A:$A,0)),
0)))))),0)</f>
        <v>10.84</v>
      </c>
      <c r="H117" s="202">
        <f t="shared" si="95"/>
        <v>13.55</v>
      </c>
      <c r="I117" s="209">
        <f t="shared" si="96"/>
        <v>1260.1500000000001</v>
      </c>
      <c r="J117" s="225">
        <f t="shared" si="88"/>
        <v>3.7043253727254179E-2</v>
      </c>
    </row>
    <row r="118" spans="1:10" ht="38.25">
      <c r="A118" s="204" t="s">
        <v>28955</v>
      </c>
      <c r="B118" s="205" t="s">
        <v>1019</v>
      </c>
      <c r="C118" s="206">
        <v>89449</v>
      </c>
      <c r="D118" s="207" t="str">
        <f>IFERROR(PROPER(
IF($B118="DER-ES",INDEX('CDER-ES'!$B:$B,MATCH($C118,'CDER-ES'!$A:$A,0)),
IF($B118="SINAPI",INDEX(CSINAPI!$B:$B,MATCH($C118,CSINAPI!$A:$A,0)),
IF($B118="CESAN",INDEX(CCESAN!$B:$B,MATCH($C118,CCESAN!$A:$A,0)),
IF($B118="SCORIO",INDEX(CSCORIO!$B:$B,MATCH($C118,CSCORIO!$A:$A,0)),
IF($B118="MERC",INDEX(MERCADO!$B:$B,MATCH($C118,MERCADO!$A:$A,0)),
IF($B118="COMP",INDEX(COMPOSICAO!$B:$B,MATCH($C118,COMPOSICAO!$A:$A,0)),
""))))))),"*Verificar código*")</f>
        <v>Tubo, Pvc, Soldável, Dn 50Mm, Instalado Em Prumada De Água - Fornecimento E Instalação. Af_12/2014</v>
      </c>
      <c r="E118" s="200" t="str">
        <f>IFERROR(LOWER(
IF($B118="DER-ES",INDEX('CDER-ES'!$C:$C,MATCH($C118,'CDER-ES'!$A:$A,0)),
IF($B118="SINAPI",INDEX(CSINAPI!$C:$C,MATCH($C118,CSINAPI!$A:$A,0)),
IF($B118="CESAN",INDEX(CCESAN!$C:$C,MATCH($C118,CCESAN!$A:$A,0)),
IF($B118="SCORIO",INDEX(CSCORIO!$A:$A,MATCH($C118,CSCORIO!#REF!,0)),
IF($B118="MERC",INDEX(MERCADO!$D:$D,MATCH($C118,MERCADO!$A:$A,0)),
IF($B118="COMP",INDEX(COMPOSICAO!$G:$G,MATCH($C118,COMPOSICAO!$A:$A,0)),
""))))))),"")</f>
        <v>m</v>
      </c>
      <c r="F118" s="208">
        <f>VLOOKUP(A118,'MEMÓRIA DE CÁLCULO'!A:H,8,0)</f>
        <v>36</v>
      </c>
      <c r="G118" s="202">
        <f>IFERROR(
IF($B118="DER-ES",INDEX('CDER-ES'!$D:$D,MATCH($C118,'CDER-ES'!$A:$A,0)),
IF($B118="SINAPI",INDEX(CSINAPI!$D:$D,MATCH($C118,CSINAPI!$A:$A,0)),
IF($B118="CESAN",INDEX(CCESAN!$D:$D,MATCH($C118,CCESAN!$A:$A,0)),
IF($B118="SCORIO",INDEX(CSCORIO!$B:$B,MATCH($C118,CSCORIO!#REF!,0)),
IF($B118="MERC",INDEX(MERCADO!$E:$E,MATCH($C118,MERCADO!$A:$A,0)),
IF($B118="COMP",INDEX(COMPOSICAO!$H:$H,MATCH($C118,COMPOSICAO!$A:$A,0)),
0)))))),0)</f>
        <v>24.97</v>
      </c>
      <c r="H118" s="202">
        <f t="shared" si="91"/>
        <v>31.21</v>
      </c>
      <c r="I118" s="209">
        <f t="shared" si="92"/>
        <v>1123.56</v>
      </c>
      <c r="J118" s="225">
        <f t="shared" si="88"/>
        <v>3.302806662523803E-2</v>
      </c>
    </row>
    <row r="119" spans="1:10" ht="38.25">
      <c r="A119" s="204" t="s">
        <v>28956</v>
      </c>
      <c r="B119" s="205" t="s">
        <v>1019</v>
      </c>
      <c r="C119" s="206">
        <v>94489</v>
      </c>
      <c r="D119" s="207" t="str">
        <f>IFERROR(PROPER(
IF($B119="DER-ES",INDEX('CDER-ES'!$B:$B,MATCH($C119,'CDER-ES'!$A:$A,0)),
IF($B119="SINAPI",INDEX(CSINAPI!$B:$B,MATCH($C119,CSINAPI!$A:$A,0)),
IF($B119="CESAN",INDEX(CCESAN!$B:$B,MATCH($C119,CCESAN!$A:$A,0)),
IF($B119="SCORIO",INDEX(CSCORIO!$B:$B,MATCH($C119,CSCORIO!$A:$A,0)),
IF($B119="MERC",INDEX(MERCADO!$B:$B,MATCH($C119,MERCADO!$A:$A,0)),
IF($B119="COMP",INDEX(COMPOSICAO!$B:$B,MATCH($C119,COMPOSICAO!$A:$A,0)),
""))))))),"*Verificar código*")</f>
        <v>Registro De Esfera, Pvc, Soldável, Com Volante, Dn  25 Mm - Fornecimento E Instalação. Af_08/2021</v>
      </c>
      <c r="E119" s="200" t="str">
        <f>IFERROR(LOWER(
IF($B119="DER-ES",INDEX('CDER-ES'!$C:$C,MATCH($C119,'CDER-ES'!$A:$A,0)),
IF($B119="SINAPI",INDEX(CSINAPI!$C:$C,MATCH($C119,CSINAPI!$A:$A,0)),
IF($B119="CESAN",INDEX(CCESAN!$C:$C,MATCH($C119,CCESAN!$A:$A,0)),
IF($B119="SCORIO",INDEX(CSCORIO!$A:$A,MATCH($C119,CSCORIO!#REF!,0)),
IF($B119="MERC",INDEX(MERCADO!$D:$D,MATCH($C119,MERCADO!$A:$A,0)),
IF($B119="COMP",INDEX(COMPOSICAO!$G:$G,MATCH($C119,COMPOSICAO!$A:$A,0)),
""))))))),"")</f>
        <v>und</v>
      </c>
      <c r="F119" s="208">
        <f>VLOOKUP(A119,'MEMÓRIA DE CÁLCULO'!A:H,8,0)</f>
        <v>2</v>
      </c>
      <c r="G119" s="202">
        <f>IFERROR(
IF($B119="DER-ES",INDEX('CDER-ES'!$D:$D,MATCH($C119,'CDER-ES'!$A:$A,0)),
IF($B119="SINAPI",INDEX(CSINAPI!$D:$D,MATCH($C119,CSINAPI!$A:$A,0)),
IF($B119="CESAN",INDEX(CCESAN!$D:$D,MATCH($C119,CCESAN!$A:$A,0)),
IF($B119="SCORIO",INDEX(CSCORIO!$B:$B,MATCH($C119,CSCORIO!#REF!,0)),
IF($B119="MERC",INDEX(MERCADO!$E:$E,MATCH($C119,MERCADO!$A:$A,0)),
IF($B119="COMP",INDEX(COMPOSICAO!$H:$H,MATCH($C119,COMPOSICAO!$A:$A,0)),
0)))))),0)</f>
        <v>37.64</v>
      </c>
      <c r="H119" s="202">
        <f t="shared" si="91"/>
        <v>47.05</v>
      </c>
      <c r="I119" s="209">
        <f t="shared" si="92"/>
        <v>94.1</v>
      </c>
      <c r="J119" s="225">
        <f t="shared" si="88"/>
        <v>2.7661549622938681E-3</v>
      </c>
    </row>
    <row r="120" spans="1:10" ht="38.25">
      <c r="A120" s="204" t="s">
        <v>28957</v>
      </c>
      <c r="B120" s="205" t="s">
        <v>1019</v>
      </c>
      <c r="C120" s="206">
        <v>94492</v>
      </c>
      <c r="D120" s="207" t="str">
        <f>IFERROR(PROPER(
IF($B120="DER-ES",INDEX('CDER-ES'!$B:$B,MATCH($C120,'CDER-ES'!$A:$A,0)),
IF($B120="SINAPI",INDEX(CSINAPI!$B:$B,MATCH($C120,CSINAPI!$A:$A,0)),
IF($B120="CESAN",INDEX(CCESAN!$B:$B,MATCH($C120,CCESAN!$A:$A,0)),
IF($B120="SCORIO",INDEX(CSCORIO!$B:$B,MATCH($C120,CSCORIO!$A:$A,0)),
IF($B120="MERC",INDEX(MERCADO!$B:$B,MATCH($C120,MERCADO!$A:$A,0)),
IF($B120="COMP",INDEX(COMPOSICAO!$B:$B,MATCH($C120,COMPOSICAO!$A:$A,0)),
""))))))),"*Verificar código*")</f>
        <v>Registro De Esfera, Pvc, Soldável, Com Volante, Dn  50 Mm - Fornecimento E Instalação. Af_08/2021</v>
      </c>
      <c r="E120" s="200" t="str">
        <f>IFERROR(LOWER(
IF($B120="DER-ES",INDEX('CDER-ES'!$C:$C,MATCH($C120,'CDER-ES'!$A:$A,0)),
IF($B120="SINAPI",INDEX(CSINAPI!$C:$C,MATCH($C120,CSINAPI!$A:$A,0)),
IF($B120="CESAN",INDEX(CCESAN!$C:$C,MATCH($C120,CCESAN!$A:$A,0)),
IF($B120="SCORIO",INDEX(CSCORIO!$A:$A,MATCH($C120,CSCORIO!#REF!,0)),
IF($B120="MERC",INDEX(MERCADO!$D:$D,MATCH($C120,MERCADO!$A:$A,0)),
IF($B120="COMP",INDEX(COMPOSICAO!$G:$G,MATCH($C120,COMPOSICAO!$A:$A,0)),
""))))))),"")</f>
        <v>und</v>
      </c>
      <c r="F120" s="208">
        <f>VLOOKUP(A120,'MEMÓRIA DE CÁLCULO'!A:H,8,0)</f>
        <v>4</v>
      </c>
      <c r="G120" s="202">
        <f>IFERROR(
IF($B120="DER-ES",INDEX('CDER-ES'!$D:$D,MATCH($C120,'CDER-ES'!$A:$A,0)),
IF($B120="SINAPI",INDEX(CSINAPI!$D:$D,MATCH($C120,CSINAPI!$A:$A,0)),
IF($B120="CESAN",INDEX(CCESAN!$D:$D,MATCH($C120,CCESAN!$A:$A,0)),
IF($B120="SCORIO",INDEX(CSCORIO!$B:$B,MATCH($C120,CSCORIO!#REF!,0)),
IF($B120="MERC",INDEX(MERCADO!$E:$E,MATCH($C120,MERCADO!$A:$A,0)),
IF($B120="COMP",INDEX(COMPOSICAO!$H:$H,MATCH($C120,COMPOSICAO!$A:$A,0)),
0)))))),0)</f>
        <v>79.56</v>
      </c>
      <c r="H120" s="202">
        <f t="shared" ref="H120" si="97">ROUND(G120*(1+$J$2),2)</f>
        <v>99.45</v>
      </c>
      <c r="I120" s="209">
        <f t="shared" ref="I120" si="98">ROUND($H120*F120,2)</f>
        <v>397.8</v>
      </c>
      <c r="J120" s="225">
        <f t="shared" si="88"/>
        <v>1.1693692284808722E-2</v>
      </c>
    </row>
    <row r="121" spans="1:10" ht="25.5">
      <c r="A121" s="204" t="s">
        <v>28958</v>
      </c>
      <c r="B121" s="205" t="s">
        <v>1019</v>
      </c>
      <c r="C121" s="206">
        <v>100856</v>
      </c>
      <c r="D121" s="207" t="str">
        <f>IFERROR(PROPER(
IF($B121="DER-ES",INDEX('CDER-ES'!$B:$B,MATCH($C121,'CDER-ES'!$A:$A,0)),
IF($B121="SINAPI",INDEX(CSINAPI!$B:$B,MATCH($C121,CSINAPI!$A:$A,0)),
IF($B121="CESAN",INDEX(CCESAN!$B:$B,MATCH($C121,CCESAN!$A:$A,0)),
IF($B121="SCORIO",INDEX(CSCORIO!$B:$B,MATCH($C121,CSCORIO!$A:$A,0)),
IF($B121="MERC",INDEX(MERCADO!$B:$B,MATCH($C121,MERCADO!$A:$A,0)),
IF($B121="COMP",INDEX(COMPOSICAO!$B:$B,MATCH($C121,COMPOSICAO!$A:$A,0)),
""))))))),"*Verificar código*")</f>
        <v>Manopla E Canopla Cromada  Fornecimento E Instalação. Af_01/2020</v>
      </c>
      <c r="E121" s="200" t="str">
        <f>IFERROR(LOWER(
IF($B121="DER-ES",INDEX('CDER-ES'!$C:$C,MATCH($C121,'CDER-ES'!$A:$A,0)),
IF($B121="SINAPI",INDEX(CSINAPI!$C:$C,MATCH($C121,CSINAPI!$A:$A,0)),
IF($B121="CESAN",INDEX(CCESAN!$C:$C,MATCH($C121,CCESAN!$A:$A,0)),
IF($B121="SCORIO",INDEX(CSCORIO!$A:$A,MATCH($C121,CSCORIO!#REF!,0)),
IF($B121="MERC",INDEX(MERCADO!$D:$D,MATCH($C121,MERCADO!$A:$A,0)),
IF($B121="COMP",INDEX(COMPOSICAO!$G:$G,MATCH($C121,COMPOSICAO!$A:$A,0)),
""))))))),"")</f>
        <v>und</v>
      </c>
      <c r="F121" s="208">
        <f>VLOOKUP(A121,'MEMÓRIA DE CÁLCULO'!A:H,8,0)</f>
        <v>4</v>
      </c>
      <c r="G121" s="202">
        <f>IFERROR(
IF($B121="DER-ES",INDEX('CDER-ES'!$D:$D,MATCH($C121,'CDER-ES'!$A:$A,0)),
IF($B121="SINAPI",INDEX(CSINAPI!$D:$D,MATCH($C121,CSINAPI!$A:$A,0)),
IF($B121="CESAN",INDEX(CCESAN!$D:$D,MATCH($C121,CCESAN!$A:$A,0)),
IF($B121="SCORIO",INDEX(CSCORIO!$B:$B,MATCH($C121,CSCORIO!#REF!,0)),
IF($B121="MERC",INDEX(MERCADO!$E:$E,MATCH($C121,MERCADO!$A:$A,0)),
IF($B121="COMP",INDEX(COMPOSICAO!$H:$H,MATCH($C121,COMPOSICAO!$A:$A,0)),
0)))))),0)</f>
        <v>26.92</v>
      </c>
      <c r="H121" s="202">
        <f t="shared" si="86"/>
        <v>33.65</v>
      </c>
      <c r="I121" s="209">
        <f t="shared" si="87"/>
        <v>134.6</v>
      </c>
      <c r="J121" s="225">
        <f t="shared" si="88"/>
        <v>3.9566892446838966E-3</v>
      </c>
    </row>
    <row r="122" spans="1:10" ht="25.5">
      <c r="A122" s="204" t="s">
        <v>28959</v>
      </c>
      <c r="B122" s="205" t="s">
        <v>1020</v>
      </c>
      <c r="C122" s="206">
        <v>10</v>
      </c>
      <c r="D122" s="207" t="str">
        <f>IFERROR(PROPER(
IF($B122="DER-ES",INDEX('CDER-ES'!$B:$B,MATCH($C122,'CDER-ES'!$A:$A,0)),
IF($B122="SINAPI",INDEX(CSINAPI!$B:$B,MATCH($C122,CSINAPI!$A:$A,0)),
IF($B122="CESAN",INDEX(CCESAN!$B:$B,MATCH($C122,CCESAN!$A:$A,0)),
IF($B122="SCORIO",INDEX(CSCORIO!$B:$B,MATCH($C122,CSCORIO!$A:$A,0)),
IF($B122="MERC",INDEX(MERCADO!$B:$B,MATCH($C122,MERCADO!$A:$A,0)),
IF($B122="COMP",INDEX(COMPOSICAO!$B:$B,MATCH($C122,COMPOSICAO!$A:$A,0)),
""))))))),"*Verificar código*")</f>
        <v>Tubo Vde Com Joelho 90° (Azul) Para Válvula De Descarga, Dn 38 Mm</v>
      </c>
      <c r="E122" s="200" t="str">
        <f>IFERROR(LOWER(
IF($B122="DER-ES",INDEX('CDER-ES'!$C:$C,MATCH($C122,'CDER-ES'!$A:$A,0)),
IF($B122="SINAPI",INDEX(CSINAPI!$C:$C,MATCH($C122,CSINAPI!$A:$A,0)),
IF($B122="CESAN",INDEX(CCESAN!$C:$C,MATCH($C122,CCESAN!$A:$A,0)),
IF($B122="SCORIO",INDEX(CSCORIO!$A:$A,MATCH($C122,CSCORIO!#REF!,0)),
IF($B122="MERC",INDEX(MERCADO!$D:$D,MATCH($C122,MERCADO!$A:$A,0)),
IF($B122="COMP",INDEX(COMPOSICAO!$G:$G,MATCH($C122,COMPOSICAO!$A:$A,0)),
""))))))),"")</f>
        <v>pç</v>
      </c>
      <c r="F122" s="208">
        <f>VLOOKUP(A122,'MEMÓRIA DE CÁLCULO'!A:H,8,0)</f>
        <v>6</v>
      </c>
      <c r="G122" s="202">
        <f>IFERROR(
IF($B122="DER-ES",INDEX('CDER-ES'!$D:$D,MATCH($C122,'CDER-ES'!$A:$A,0)),
IF($B122="SINAPI",INDEX(CSINAPI!$D:$D,MATCH($C122,CSINAPI!$A:$A,0)),
IF($B122="CESAN",INDEX(CCESAN!$D:$D,MATCH($C122,CCESAN!$A:$A,0)),
IF($B122="SCORIO",INDEX(CSCORIO!$B:$B,MATCH($C122,CSCORIO!#REF!,0)),
IF($B122="MERC",INDEX(MERCADO!$E:$E,MATCH($C122,MERCADO!$A:$A,0)),
IF($B122="COMP",INDEX(COMPOSICAO!$H:$H,MATCH($C122,COMPOSICAO!$A:$A,0)),
0)))))),0)</f>
        <v>18.950000000000003</v>
      </c>
      <c r="H122" s="202">
        <f t="shared" ref="H122:H148" si="99">ROUND(G122*(1+$J$2),2)</f>
        <v>23.69</v>
      </c>
      <c r="I122" s="209">
        <f t="shared" ref="I122:I148" si="100">ROUND($H122*F122,2)</f>
        <v>142.13999999999999</v>
      </c>
      <c r="J122" s="225">
        <f t="shared" si="88"/>
        <v>4.1783343925658918E-3</v>
      </c>
    </row>
    <row r="123" spans="1:10" ht="38.25">
      <c r="A123" s="204" t="s">
        <v>28960</v>
      </c>
      <c r="B123" s="205" t="s">
        <v>1019</v>
      </c>
      <c r="C123" s="206">
        <v>102608</v>
      </c>
      <c r="D123" s="207" t="str">
        <f>IFERROR(PROPER(
IF($B123="DER-ES",INDEX('CDER-ES'!$B:$B,MATCH($C123,'CDER-ES'!$A:$A,0)),
IF($B123="SINAPI",INDEX(CSINAPI!$B:$B,MATCH($C123,CSINAPI!$A:$A,0)),
IF($B123="CESAN",INDEX(CCESAN!$B:$B,MATCH($C123,CCESAN!$A:$A,0)),
IF($B123="SCORIO",INDEX(CSCORIO!$B:$B,MATCH($C123,CSCORIO!$A:$A,0)),
IF($B123="MERC",INDEX(MERCADO!$B:$B,MATCH($C123,MERCADO!$A:$A,0)),
IF($B123="COMP",INDEX(COMPOSICAO!$B:$B,MATCH($C123,COMPOSICAO!$A:$A,0)),
""))))))),"*Verificar código*")</f>
        <v>Caixa D´Água Em Polietileno, 1500 Litros - Fornecimento E Instalação. Af_06/2021</v>
      </c>
      <c r="E123" s="200" t="str">
        <f>IFERROR(LOWER(
IF($B123="DER-ES",INDEX('CDER-ES'!$C:$C,MATCH($C123,'CDER-ES'!$A:$A,0)),
IF($B123="SINAPI",INDEX(CSINAPI!$C:$C,MATCH($C123,CSINAPI!$A:$A,0)),
IF($B123="CESAN",INDEX(CCESAN!$C:$C,MATCH($C123,CCESAN!$A:$A,0)),
IF($B123="SCORIO",INDEX(CSCORIO!$A:$A,MATCH($C123,CSCORIO!#REF!,0)),
IF($B123="MERC",INDEX(MERCADO!$D:$D,MATCH($C123,MERCADO!$A:$A,0)),
IF($B123="COMP",INDEX(COMPOSICAO!$G:$G,MATCH($C123,COMPOSICAO!$A:$A,0)),
""))))))),"")</f>
        <v>und</v>
      </c>
      <c r="F123" s="208">
        <f>VLOOKUP(A123,'MEMÓRIA DE CÁLCULO'!A:H,8,0)</f>
        <v>2</v>
      </c>
      <c r="G123" s="202">
        <f>IFERROR(
IF($B123="DER-ES",INDEX('CDER-ES'!$D:$D,MATCH($C123,'CDER-ES'!$A:$A,0)),
IF($B123="SINAPI",INDEX(CSINAPI!$D:$D,MATCH($C123,CSINAPI!$A:$A,0)),
IF($B123="CESAN",INDEX(CCESAN!$D:$D,MATCH($C123,CCESAN!$A:$A,0)),
IF($B123="SCORIO",INDEX(CSCORIO!$B:$B,MATCH($C123,CSCORIO!#REF!,0)),
IF($B123="MERC",INDEX(MERCADO!$E:$E,MATCH($C123,MERCADO!$A:$A,0)),
IF($B123="COMP",INDEX(COMPOSICAO!$H:$H,MATCH($C123,COMPOSICAO!$A:$A,0)),
0)))))),0)</f>
        <v>982.77</v>
      </c>
      <c r="H123" s="202">
        <f t="shared" ref="H123:H130" si="101">ROUND(G123*(1+$J$2),2)</f>
        <v>1228.46</v>
      </c>
      <c r="I123" s="209">
        <f t="shared" ref="I123:I130" si="102">ROUND($H123*F123,2)</f>
        <v>2456.92</v>
      </c>
      <c r="J123" s="225">
        <f t="shared" si="88"/>
        <v>7.2223394792338483E-2</v>
      </c>
    </row>
    <row r="124" spans="1:10" ht="38.25">
      <c r="A124" s="204" t="s">
        <v>28961</v>
      </c>
      <c r="B124" s="205" t="s">
        <v>1019</v>
      </c>
      <c r="C124" s="206">
        <v>94796</v>
      </c>
      <c r="D124" s="207" t="str">
        <f>IFERROR(PROPER(
IF($B124="DER-ES",INDEX('CDER-ES'!$B:$B,MATCH($C124,'CDER-ES'!$A:$A,0)),
IF($B124="SINAPI",INDEX(CSINAPI!$B:$B,MATCH($C124,CSINAPI!$A:$A,0)),
IF($B124="CESAN",INDEX(CCESAN!$B:$B,MATCH($C124,CCESAN!$A:$A,0)),
IF($B124="SCORIO",INDEX(CSCORIO!$B:$B,MATCH($C124,CSCORIO!$A:$A,0)),
IF($B124="MERC",INDEX(MERCADO!$B:$B,MATCH($C124,MERCADO!$A:$A,0)),
IF($B124="COMP",INDEX(COMPOSICAO!$B:$B,MATCH($C124,COMPOSICAO!$A:$A,0)),
""))))))),"*Verificar código*")</f>
        <v>Torneira De Boia Para Caixa D'Água, Roscável, 3/4" - Fornecimento E Instalação. Af_08/2021</v>
      </c>
      <c r="E124" s="200" t="str">
        <f>IFERROR(LOWER(
IF($B124="DER-ES",INDEX('CDER-ES'!$C:$C,MATCH($C124,'CDER-ES'!$A:$A,0)),
IF($B124="SINAPI",INDEX(CSINAPI!$C:$C,MATCH($C124,CSINAPI!$A:$A,0)),
IF($B124="CESAN",INDEX(CCESAN!$C:$C,MATCH($C124,CCESAN!$A:$A,0)),
IF($B124="SCORIO",INDEX(CSCORIO!$A:$A,MATCH($C124,CSCORIO!#REF!,0)),
IF($B124="MERC",INDEX(MERCADO!$D:$D,MATCH($C124,MERCADO!$A:$A,0)),
IF($B124="COMP",INDEX(COMPOSICAO!$G:$G,MATCH($C124,COMPOSICAO!$A:$A,0)),
""))))))),"")</f>
        <v>und</v>
      </c>
      <c r="F124" s="208">
        <f>VLOOKUP(A124,'MEMÓRIA DE CÁLCULO'!A:H,8,0)</f>
        <v>2</v>
      </c>
      <c r="G124" s="202">
        <f>IFERROR(
IF($B124="DER-ES",INDEX('CDER-ES'!$D:$D,MATCH($C124,'CDER-ES'!$A:$A,0)),
IF($B124="SINAPI",INDEX(CSINAPI!$D:$D,MATCH($C124,CSINAPI!$A:$A,0)),
IF($B124="CESAN",INDEX(CCESAN!$D:$D,MATCH($C124,CCESAN!$A:$A,0)),
IF($B124="SCORIO",INDEX(CSCORIO!$B:$B,MATCH($C124,CSCORIO!#REF!,0)),
IF($B124="MERC",INDEX(MERCADO!$E:$E,MATCH($C124,MERCADO!$A:$A,0)),
IF($B124="COMP",INDEX(COMPOSICAO!$H:$H,MATCH($C124,COMPOSICAO!$A:$A,0)),
0)))))),0)</f>
        <v>39.43</v>
      </c>
      <c r="H124" s="202">
        <f t="shared" si="101"/>
        <v>49.29</v>
      </c>
      <c r="I124" s="209">
        <f t="shared" si="102"/>
        <v>98.58</v>
      </c>
      <c r="J124" s="225">
        <f t="shared" si="88"/>
        <v>2.8978486310619503E-3</v>
      </c>
    </row>
    <row r="125" spans="1:10">
      <c r="A125" s="204"/>
      <c r="B125" s="205"/>
      <c r="C125" s="206"/>
      <c r="D125" s="207" t="s">
        <v>28968</v>
      </c>
      <c r="E125" s="200"/>
      <c r="F125" s="208"/>
      <c r="G125" s="202"/>
      <c r="H125" s="202"/>
      <c r="I125" s="209"/>
      <c r="J125" s="209"/>
    </row>
    <row r="126" spans="1:10" ht="51">
      <c r="A126" s="204" t="s">
        <v>28962</v>
      </c>
      <c r="B126" s="205" t="s">
        <v>1019</v>
      </c>
      <c r="C126" s="206">
        <v>89710</v>
      </c>
      <c r="D126" s="207" t="str">
        <f>IFERROR(PROPER(
IF($B126="DER-ES",INDEX('CDER-ES'!$B:$B,MATCH($C126,'CDER-ES'!$A:$A,0)),
IF($B126="SINAPI",INDEX(CSINAPI!$B:$B,MATCH($C126,CSINAPI!$A:$A,0)),
IF($B126="CESAN",INDEX(CCESAN!$B:$B,MATCH($C126,CCESAN!$A:$A,0)),
IF($B126="SCORIO",INDEX(CSCORIO!$B:$B,MATCH($C126,CSCORIO!$A:$A,0)),
IF($B126="MERC",INDEX(MERCADO!$B:$B,MATCH($C126,MERCADO!$A:$A,0)),
IF($B126="COMP",INDEX(COMPOSICAO!$B:$B,MATCH($C126,COMPOSICAO!$A:$A,0)),
""))))))),"*Verificar código*")</f>
        <v>Ralo Seco, Pvc, Dn 100 X 40 Mm, Junta Soldável, Fornecido E Instalado Em Ramal De Descarga Ou Em Ramal De Esgoto Sanitário. Af_12/2014</v>
      </c>
      <c r="E126" s="200" t="str">
        <f>IFERROR(LOWER(
IF($B126="DER-ES",INDEX('CDER-ES'!$C:$C,MATCH($C126,'CDER-ES'!$A:$A,0)),
IF($B126="SINAPI",INDEX(CSINAPI!$C:$C,MATCH($C126,CSINAPI!$A:$A,0)),
IF($B126="CESAN",INDEX(CCESAN!$C:$C,MATCH($C126,CCESAN!$A:$A,0)),
IF($B126="SCORIO",INDEX(CSCORIO!$A:$A,MATCH($C126,CSCORIO!#REF!,0)),
IF($B126="MERC",INDEX(MERCADO!$D:$D,MATCH($C126,MERCADO!$A:$A,0)),
IF($B126="COMP",INDEX(COMPOSICAO!$G:$G,MATCH($C126,COMPOSICAO!$A:$A,0)),
""))))))),"")</f>
        <v>und</v>
      </c>
      <c r="F126" s="208">
        <f>VLOOKUP(A126,'MEMÓRIA DE CÁLCULO'!A:H,8,0)</f>
        <v>2</v>
      </c>
      <c r="G126" s="202">
        <f>IFERROR(
IF($B126="DER-ES",INDEX('CDER-ES'!$D:$D,MATCH($C126,'CDER-ES'!$A:$A,0)),
IF($B126="SINAPI",INDEX(CSINAPI!$D:$D,MATCH($C126,CSINAPI!$A:$A,0)),
IF($B126="CESAN",INDEX(CCESAN!$D:$D,MATCH($C126,CCESAN!$A:$A,0)),
IF($B126="SCORIO",INDEX(CSCORIO!$B:$B,MATCH($C126,CSCORIO!#REF!,0)),
IF($B126="MERC",INDEX(MERCADO!$E:$E,MATCH($C126,MERCADO!$A:$A,0)),
IF($B126="COMP",INDEX(COMPOSICAO!$H:$H,MATCH($C126,COMPOSICAO!$A:$A,0)),
0)))))),0)</f>
        <v>14.24</v>
      </c>
      <c r="H126" s="202">
        <f t="shared" si="101"/>
        <v>17.8</v>
      </c>
      <c r="I126" s="209">
        <f t="shared" si="102"/>
        <v>35.6</v>
      </c>
      <c r="J126" s="225">
        <f t="shared" ref="J126:J134" si="103">I126/I$101</f>
        <v>1.0464943321749384E-3</v>
      </c>
    </row>
    <row r="127" spans="1:10" ht="63.75">
      <c r="A127" s="204" t="s">
        <v>28963</v>
      </c>
      <c r="B127" s="205" t="s">
        <v>1019</v>
      </c>
      <c r="C127" s="206">
        <v>89744</v>
      </c>
      <c r="D127" s="207" t="str">
        <f>IFERROR(PROPER(
IF($B127="DER-ES",INDEX('CDER-ES'!$B:$B,MATCH($C127,'CDER-ES'!$A:$A,0)),
IF($B127="SINAPI",INDEX(CSINAPI!$B:$B,MATCH($C127,CSINAPI!$A:$A,0)),
IF($B127="CESAN",INDEX(CCESAN!$B:$B,MATCH($C127,CCESAN!$A:$A,0)),
IF($B127="SCORIO",INDEX(CSCORIO!$B:$B,MATCH($C127,CSCORIO!$A:$A,0)),
IF($B127="MERC",INDEX(MERCADO!$B:$B,MATCH($C127,MERCADO!$A:$A,0)),
IF($B127="COMP",INDEX(COMPOSICAO!$B:$B,MATCH($C127,COMPOSICAO!$A:$A,0)),
""))))))),"*Verificar código*")</f>
        <v>Joelho 90 Graus, Pvc, Serie Normal, Esgoto Predial, Dn 100 Mm, Junta Elástica, Fornecido E Instalado Em Ramal De Descarga Ou Ramal De Esgoto Sanitário. Af_12/2014</v>
      </c>
      <c r="E127" s="200" t="str">
        <f>IFERROR(LOWER(
IF($B127="DER-ES",INDEX('CDER-ES'!$C:$C,MATCH($C127,'CDER-ES'!$A:$A,0)),
IF($B127="SINAPI",INDEX(CSINAPI!$C:$C,MATCH($C127,CSINAPI!$A:$A,0)),
IF($B127="CESAN",INDEX(CCESAN!$C:$C,MATCH($C127,CCESAN!$A:$A,0)),
IF($B127="SCORIO",INDEX(CSCORIO!$A:$A,MATCH($C127,CSCORIO!#REF!,0)),
IF($B127="MERC",INDEX(MERCADO!$D:$D,MATCH($C127,MERCADO!$A:$A,0)),
IF($B127="COMP",INDEX(COMPOSICAO!$G:$G,MATCH($C127,COMPOSICAO!$A:$A,0)),
""))))))),"")</f>
        <v>und</v>
      </c>
      <c r="F127" s="208">
        <f>VLOOKUP(A127,'MEMÓRIA DE CÁLCULO'!A:H,8,0)</f>
        <v>5</v>
      </c>
      <c r="G127" s="202">
        <f>IFERROR(
IF($B127="DER-ES",INDEX('CDER-ES'!$D:$D,MATCH($C127,'CDER-ES'!$A:$A,0)),
IF($B127="SINAPI",INDEX(CSINAPI!$D:$D,MATCH($C127,CSINAPI!$A:$A,0)),
IF($B127="CESAN",INDEX(CCESAN!$D:$D,MATCH($C127,CCESAN!$A:$A,0)),
IF($B127="SCORIO",INDEX(CSCORIO!$B:$B,MATCH($C127,CSCORIO!#REF!,0)),
IF($B127="MERC",INDEX(MERCADO!$E:$E,MATCH($C127,MERCADO!$A:$A,0)),
IF($B127="COMP",INDEX(COMPOSICAO!$H:$H,MATCH($C127,COMPOSICAO!$A:$A,0)),
0)))))),0)</f>
        <v>27.45</v>
      </c>
      <c r="H127" s="202">
        <f t="shared" si="101"/>
        <v>34.31</v>
      </c>
      <c r="I127" s="209">
        <f t="shared" si="102"/>
        <v>171.55</v>
      </c>
      <c r="J127" s="225">
        <f t="shared" si="103"/>
        <v>5.0428680529385032E-3</v>
      </c>
    </row>
    <row r="128" spans="1:10" ht="63.75">
      <c r="A128" s="204" t="s">
        <v>28964</v>
      </c>
      <c r="B128" s="205" t="s">
        <v>1019</v>
      </c>
      <c r="C128" s="206">
        <v>89778</v>
      </c>
      <c r="D128" s="207" t="str">
        <f>IFERROR(PROPER(
IF($B128="DER-ES",INDEX('CDER-ES'!$B:$B,MATCH($C128,'CDER-ES'!$A:$A,0)),
IF($B128="SINAPI",INDEX(CSINAPI!$B:$B,MATCH($C128,CSINAPI!$A:$A,0)),
IF($B128="CESAN",INDEX(CCESAN!$B:$B,MATCH($C128,CCESAN!$A:$A,0)),
IF($B128="SCORIO",INDEX(CSCORIO!$B:$B,MATCH($C128,CSCORIO!$A:$A,0)),
IF($B128="MERC",INDEX(MERCADO!$B:$B,MATCH($C128,MERCADO!$A:$A,0)),
IF($B128="COMP",INDEX(COMPOSICAO!$B:$B,MATCH($C128,COMPOSICAO!$A:$A,0)),
""))))))),"*Verificar código*")</f>
        <v>Luva Simples, Pvc, Serie Normal, Esgoto Predial, Dn 100 Mm, Junta Elástica, Fornecido E Instalado Em Ramal De Descarga Ou Ramal De Esgoto Sanitário. Af_12/2014</v>
      </c>
      <c r="E128" s="200" t="str">
        <f>IFERROR(LOWER(
IF($B128="DER-ES",INDEX('CDER-ES'!$C:$C,MATCH($C128,'CDER-ES'!$A:$A,0)),
IF($B128="SINAPI",INDEX(CSINAPI!$C:$C,MATCH($C128,CSINAPI!$A:$A,0)),
IF($B128="CESAN",INDEX(CCESAN!$C:$C,MATCH($C128,CCESAN!$A:$A,0)),
IF($B128="SCORIO",INDEX(CSCORIO!$A:$A,MATCH($C128,CSCORIO!#REF!,0)),
IF($B128="MERC",INDEX(MERCADO!$D:$D,MATCH($C128,MERCADO!$A:$A,0)),
IF($B128="COMP",INDEX(COMPOSICAO!$G:$G,MATCH($C128,COMPOSICAO!$A:$A,0)),
""))))))),"")</f>
        <v>und</v>
      </c>
      <c r="F128" s="208">
        <f>VLOOKUP(A128,'MEMÓRIA DE CÁLCULO'!A:H,8,0)</f>
        <v>6</v>
      </c>
      <c r="G128" s="202">
        <f>IFERROR(
IF($B128="DER-ES",INDEX('CDER-ES'!$D:$D,MATCH($C128,'CDER-ES'!$A:$A,0)),
IF($B128="SINAPI",INDEX(CSINAPI!$D:$D,MATCH($C128,CSINAPI!$A:$A,0)),
IF($B128="CESAN",INDEX(CCESAN!$D:$D,MATCH($C128,CCESAN!$A:$A,0)),
IF($B128="SCORIO",INDEX(CSCORIO!$B:$B,MATCH($C128,CSCORIO!#REF!,0)),
IF($B128="MERC",INDEX(MERCADO!$E:$E,MATCH($C128,MERCADO!$A:$A,0)),
IF($B128="COMP",INDEX(COMPOSICAO!$H:$H,MATCH($C128,COMPOSICAO!$A:$A,0)),
0)))))),0)</f>
        <v>21.28</v>
      </c>
      <c r="H128" s="202">
        <f t="shared" si="101"/>
        <v>26.6</v>
      </c>
      <c r="I128" s="209">
        <f t="shared" si="102"/>
        <v>159.6</v>
      </c>
      <c r="J128" s="225">
        <f t="shared" si="103"/>
        <v>4.6915869498629264E-3</v>
      </c>
    </row>
    <row r="129" spans="1:10" ht="38.25">
      <c r="A129" s="204" t="s">
        <v>28971</v>
      </c>
      <c r="B129" s="205" t="s">
        <v>1020</v>
      </c>
      <c r="C129" s="206">
        <v>11</v>
      </c>
      <c r="D129" s="207" t="str">
        <f>IFERROR(PROPER(
IF($B129="DER-ES",INDEX('CDER-ES'!$B:$B,MATCH($C129,'CDER-ES'!$A:$A,0)),
IF($B129="SINAPI",INDEX(CSINAPI!$B:$B,MATCH($C129,CSINAPI!$A:$A,0)),
IF($B129="CESAN",INDEX(CCESAN!$B:$B,MATCH($C129,CCESAN!$A:$A,0)),
IF($B129="SCORIO",INDEX(CSCORIO!$B:$B,MATCH($C129,CSCORIO!$A:$A,0)),
IF($B129="MERC",INDEX(MERCADO!$B:$B,MATCH($C129,MERCADO!$A:$A,0)),
IF($B129="COMP",INDEX(COMPOSICAO!$B:$B,MATCH($C129,COMPOSICAO!$A:$A,0)),
""))))))),"*Verificar código*")</f>
        <v>Tê, Pvc, Série Normal, Esgoto Predial, Dn 100 X 50 Mm, Junta Elástica, Fornecido E Instalado</v>
      </c>
      <c r="E129" s="200" t="str">
        <f>IFERROR(LOWER(
IF($B129="DER-ES",INDEX('CDER-ES'!$C:$C,MATCH($C129,'CDER-ES'!$A:$A,0)),
IF($B129="SINAPI",INDEX(CSINAPI!$C:$C,MATCH($C129,CSINAPI!$A:$A,0)),
IF($B129="CESAN",INDEX(CCESAN!$C:$C,MATCH($C129,CCESAN!$A:$A,0)),
IF($B129="SCORIO",INDEX(CSCORIO!$A:$A,MATCH($C129,CSCORIO!#REF!,0)),
IF($B129="MERC",INDEX(MERCADO!$D:$D,MATCH($C129,MERCADO!$A:$A,0)),
IF($B129="COMP",INDEX(COMPOSICAO!$G:$G,MATCH($C129,COMPOSICAO!$A:$A,0)),
""))))))),"")</f>
        <v>und.</v>
      </c>
      <c r="F129" s="208">
        <f>VLOOKUP(A129,'MEMÓRIA DE CÁLCULO'!A:H,8,0)</f>
        <v>2</v>
      </c>
      <c r="G129" s="202">
        <f>IFERROR(
IF($B129="DER-ES",INDEX('CDER-ES'!$D:$D,MATCH($C129,'CDER-ES'!$A:$A,0)),
IF($B129="SINAPI",INDEX(CSINAPI!$D:$D,MATCH($C129,CSINAPI!$A:$A,0)),
IF($B129="CESAN",INDEX(CCESAN!$D:$D,MATCH($C129,CCESAN!$A:$A,0)),
IF($B129="SCORIO",INDEX(CSCORIO!$B:$B,MATCH($C129,CSCORIO!#REF!,0)),
IF($B129="MERC",INDEX(MERCADO!$E:$E,MATCH($C129,MERCADO!$A:$A,0)),
IF($B129="COMP",INDEX(COMPOSICAO!$H:$H,MATCH($C129,COMPOSICAO!$A:$A,0)),
0)))))),0)</f>
        <v>44.109999999999992</v>
      </c>
      <c r="H129" s="202">
        <f t="shared" si="101"/>
        <v>55.14</v>
      </c>
      <c r="I129" s="209">
        <f t="shared" si="102"/>
        <v>110.28</v>
      </c>
      <c r="J129" s="225">
        <f t="shared" si="103"/>
        <v>3.2417807570857362E-3</v>
      </c>
    </row>
    <row r="130" spans="1:10" ht="63.75">
      <c r="A130" s="204" t="s">
        <v>28972</v>
      </c>
      <c r="B130" s="205" t="s">
        <v>1019</v>
      </c>
      <c r="C130" s="206">
        <v>89796</v>
      </c>
      <c r="D130" s="207" t="str">
        <f>IFERROR(PROPER(
IF($B130="DER-ES",INDEX('CDER-ES'!$B:$B,MATCH($C130,'CDER-ES'!$A:$A,0)),
IF($B130="SINAPI",INDEX(CSINAPI!$B:$B,MATCH($C130,CSINAPI!$A:$A,0)),
IF($B130="CESAN",INDEX(CCESAN!$B:$B,MATCH($C130,CCESAN!$A:$A,0)),
IF($B130="SCORIO",INDEX(CSCORIO!$B:$B,MATCH($C130,CSCORIO!$A:$A,0)),
IF($B130="MERC",INDEX(MERCADO!$B:$B,MATCH($C130,MERCADO!$A:$A,0)),
IF($B130="COMP",INDEX(COMPOSICAO!$B:$B,MATCH($C130,COMPOSICAO!$A:$A,0)),
""))))))),"*Verificar código*")</f>
        <v>Te, Pvc, Serie Normal, Esgoto Predial, Dn 100 X 100 Mm, Junta Elástica, Fornecido E Instalado Em Ramal De Descarga Ou Ramal De Esgoto Sanitário. Af_12/2014</v>
      </c>
      <c r="E130" s="200" t="str">
        <f>IFERROR(LOWER(
IF($B130="DER-ES",INDEX('CDER-ES'!$C:$C,MATCH($C130,'CDER-ES'!$A:$A,0)),
IF($B130="SINAPI",INDEX(CSINAPI!$C:$C,MATCH($C130,CSINAPI!$A:$A,0)),
IF($B130="CESAN",INDEX(CCESAN!$C:$C,MATCH($C130,CCESAN!$A:$A,0)),
IF($B130="SCORIO",INDEX(CSCORIO!$A:$A,MATCH($C130,CSCORIO!#REF!,0)),
IF($B130="MERC",INDEX(MERCADO!$D:$D,MATCH($C130,MERCADO!$A:$A,0)),
IF($B130="COMP",INDEX(COMPOSICAO!$G:$G,MATCH($C130,COMPOSICAO!$A:$A,0)),
""))))))),"")</f>
        <v>und</v>
      </c>
      <c r="F130" s="208">
        <f>VLOOKUP(A130,'MEMÓRIA DE CÁLCULO'!A:H,8,0)</f>
        <v>1</v>
      </c>
      <c r="G130" s="202">
        <f>IFERROR(
IF($B130="DER-ES",INDEX('CDER-ES'!$D:$D,MATCH($C130,'CDER-ES'!$A:$A,0)),
IF($B130="SINAPI",INDEX(CSINAPI!$D:$D,MATCH($C130,CSINAPI!$A:$A,0)),
IF($B130="CESAN",INDEX(CCESAN!$D:$D,MATCH($C130,CCESAN!$A:$A,0)),
IF($B130="SCORIO",INDEX(CSCORIO!$B:$B,MATCH($C130,CSCORIO!#REF!,0)),
IF($B130="MERC",INDEX(MERCADO!$E:$E,MATCH($C130,MERCADO!$A:$A,0)),
IF($B130="COMP",INDEX(COMPOSICAO!$H:$H,MATCH($C130,COMPOSICAO!$A:$A,0)),
0)))))),0)</f>
        <v>47.26</v>
      </c>
      <c r="H130" s="202">
        <f t="shared" si="101"/>
        <v>59.08</v>
      </c>
      <c r="I130" s="209">
        <f t="shared" si="102"/>
        <v>59.08</v>
      </c>
      <c r="J130" s="225">
        <f t="shared" si="103"/>
        <v>1.7367102568790831E-3</v>
      </c>
    </row>
    <row r="131" spans="1:10" ht="51">
      <c r="A131" s="204" t="s">
        <v>28973</v>
      </c>
      <c r="B131" s="205" t="s">
        <v>1019</v>
      </c>
      <c r="C131" s="206">
        <v>89798</v>
      </c>
      <c r="D131" s="207" t="str">
        <f>IFERROR(PROPER(
IF($B131="DER-ES",INDEX('CDER-ES'!$B:$B,MATCH($C131,'CDER-ES'!$A:$A,0)),
IF($B131="SINAPI",INDEX(CSINAPI!$B:$B,MATCH($C131,CSINAPI!$A:$A,0)),
IF($B131="CESAN",INDEX(CCESAN!$B:$B,MATCH($C131,CCESAN!$A:$A,0)),
IF($B131="SCORIO",INDEX(CSCORIO!$B:$B,MATCH($C131,CSCORIO!$A:$A,0)),
IF($B131="MERC",INDEX(MERCADO!$B:$B,MATCH($C131,MERCADO!$A:$A,0)),
IF($B131="COMP",INDEX(COMPOSICAO!$B:$B,MATCH($C131,COMPOSICAO!$A:$A,0)),
""))))))),"*Verificar código*")</f>
        <v>Tubo Pvc, Serie Normal, Esgoto Predial, Dn 50 Mm, Fornecido E Instalado Em Prumada De Esgoto Sanitário Ou Ventilação. Af_12/2014</v>
      </c>
      <c r="E131" s="200" t="str">
        <f>IFERROR(LOWER(
IF($B131="DER-ES",INDEX('CDER-ES'!$C:$C,MATCH($C131,'CDER-ES'!$A:$A,0)),
IF($B131="SINAPI",INDEX(CSINAPI!$C:$C,MATCH($C131,CSINAPI!$A:$A,0)),
IF($B131="CESAN",INDEX(CCESAN!$C:$C,MATCH($C131,CCESAN!$A:$A,0)),
IF($B131="SCORIO",INDEX(CSCORIO!$A:$A,MATCH($C131,CSCORIO!#REF!,0)),
IF($B131="MERC",INDEX(MERCADO!$D:$D,MATCH($C131,MERCADO!$A:$A,0)),
IF($B131="COMP",INDEX(COMPOSICAO!$G:$G,MATCH($C131,COMPOSICAO!$A:$A,0)),
""))))))),"")</f>
        <v>m</v>
      </c>
      <c r="F131" s="208">
        <f>VLOOKUP(A131,'MEMÓRIA DE CÁLCULO'!A:H,8,0)</f>
        <v>1</v>
      </c>
      <c r="G131" s="202">
        <f>IFERROR(
IF($B131="DER-ES",INDEX('CDER-ES'!$D:$D,MATCH($C131,'CDER-ES'!$A:$A,0)),
IF($B131="SINAPI",INDEX(CSINAPI!$D:$D,MATCH($C131,CSINAPI!$A:$A,0)),
IF($B131="CESAN",INDEX(CCESAN!$D:$D,MATCH($C131,CCESAN!$A:$A,0)),
IF($B131="SCORIO",INDEX(CSCORIO!$B:$B,MATCH($C131,CSCORIO!#REF!,0)),
IF($B131="MERC",INDEX(MERCADO!$E:$E,MATCH($C131,MERCADO!$A:$A,0)),
IF($B131="COMP",INDEX(COMPOSICAO!$H:$H,MATCH($C131,COMPOSICAO!$A:$A,0)),
0)))))),0)</f>
        <v>17.11</v>
      </c>
      <c r="H131" s="202">
        <f t="shared" si="99"/>
        <v>21.39</v>
      </c>
      <c r="I131" s="209">
        <f t="shared" si="100"/>
        <v>21.39</v>
      </c>
      <c r="J131" s="225">
        <f t="shared" si="103"/>
        <v>6.2877847655117794E-4</v>
      </c>
    </row>
    <row r="132" spans="1:10" ht="51">
      <c r="A132" s="204" t="s">
        <v>28974</v>
      </c>
      <c r="B132" s="205" t="s">
        <v>1019</v>
      </c>
      <c r="C132" s="206">
        <v>89714</v>
      </c>
      <c r="D132" s="207" t="str">
        <f>IFERROR(PROPER(
IF($B132="DER-ES",INDEX('CDER-ES'!$B:$B,MATCH($C132,'CDER-ES'!$A:$A,0)),
IF($B132="SINAPI",INDEX(CSINAPI!$B:$B,MATCH($C132,CSINAPI!$A:$A,0)),
IF($B132="CESAN",INDEX(CCESAN!$B:$B,MATCH($C132,CCESAN!$A:$A,0)),
IF($B132="SCORIO",INDEX(CSCORIO!$B:$B,MATCH($C132,CSCORIO!$A:$A,0)),
IF($B132="MERC",INDEX(MERCADO!$B:$B,MATCH($C132,MERCADO!$A:$A,0)),
IF($B132="COMP",INDEX(COMPOSICAO!$B:$B,MATCH($C132,COMPOSICAO!$A:$A,0)),
""))))))),"*Verificar código*")</f>
        <v>Tubo Pvc, Serie Normal, Esgoto Predial, Dn 100 Mm, Fornecido E Instalado Em Ramal De Descarga Ou Ramal De Esgoto Sanitário. Af_12/2014</v>
      </c>
      <c r="E132" s="200" t="str">
        <f>IFERROR(LOWER(
IF($B132="DER-ES",INDEX('CDER-ES'!$C:$C,MATCH($C132,'CDER-ES'!$A:$A,0)),
IF($B132="SINAPI",INDEX(CSINAPI!$C:$C,MATCH($C132,CSINAPI!$A:$A,0)),
IF($B132="CESAN",INDEX(CCESAN!$C:$C,MATCH($C132,CCESAN!$A:$A,0)),
IF($B132="SCORIO",INDEX(CSCORIO!$A:$A,MATCH($C132,CSCORIO!#REF!,0)),
IF($B132="MERC",INDEX(MERCADO!$D:$D,MATCH($C132,MERCADO!$A:$A,0)),
IF($B132="COMP",INDEX(COMPOSICAO!$G:$G,MATCH($C132,COMPOSICAO!$A:$A,0)),
""))))))),"")</f>
        <v>m</v>
      </c>
      <c r="F132" s="208">
        <f>VLOOKUP(A132,'MEMÓRIA DE CÁLCULO'!A:H,8,0)</f>
        <v>37</v>
      </c>
      <c r="G132" s="202">
        <f>IFERROR(
IF($B132="DER-ES",INDEX('CDER-ES'!$D:$D,MATCH($C132,'CDER-ES'!$A:$A,0)),
IF($B132="SINAPI",INDEX(CSINAPI!$D:$D,MATCH($C132,CSINAPI!$A:$A,0)),
IF($B132="CESAN",INDEX(CCESAN!$D:$D,MATCH($C132,CCESAN!$A:$A,0)),
IF($B132="SCORIO",INDEX(CSCORIO!$B:$B,MATCH($C132,CSCORIO!#REF!,0)),
IF($B132="MERC",INDEX(MERCADO!$E:$E,MATCH($C132,MERCADO!$A:$A,0)),
IF($B132="COMP",INDEX(COMPOSICAO!$H:$H,MATCH($C132,COMPOSICAO!$A:$A,0)),
0)))))),0)</f>
        <v>60.48</v>
      </c>
      <c r="H132" s="202">
        <f t="shared" si="99"/>
        <v>75.599999999999994</v>
      </c>
      <c r="I132" s="209">
        <f t="shared" si="100"/>
        <v>2797.2</v>
      </c>
      <c r="J132" s="225">
        <f t="shared" si="103"/>
        <v>8.2226234437071277E-2</v>
      </c>
    </row>
    <row r="133" spans="1:10" ht="38.25">
      <c r="A133" s="204" t="s">
        <v>28975</v>
      </c>
      <c r="B133" s="205" t="s">
        <v>1020</v>
      </c>
      <c r="C133" s="206">
        <v>12</v>
      </c>
      <c r="D133" s="207" t="str">
        <f>IFERROR(PROPER(
IF($B133="DER-ES",INDEX('CDER-ES'!$B:$B,MATCH($C133,'CDER-ES'!$A:$A,0)),
IF($B133="SINAPI",INDEX(CSINAPI!$B:$B,MATCH($C133,CSINAPI!$A:$A,0)),
IF($B133="CESAN",INDEX(CCESAN!$B:$B,MATCH($C133,CCESAN!$A:$A,0)),
IF($B133="SCORIO",INDEX(CSCORIO!$B:$B,MATCH($C133,CSCORIO!$A:$A,0)),
IF($B133="MERC",INDEX(MERCADO!$B:$B,MATCH($C133,MERCADO!$A:$A,0)),
IF($B133="COMP",INDEX(COMPOSICAO!$B:$B,MATCH($C133,COMPOSICAO!$A:$A,0)),
""))))))),"*Verificar código*")</f>
        <v>Terminal De Ventilação, Dn 100 Mm, Série Normal, Esgoto Predial, Fornecido E Instalado</v>
      </c>
      <c r="E133" s="200" t="str">
        <f>IFERROR(LOWER(
IF($B133="DER-ES",INDEX('CDER-ES'!$C:$C,MATCH($C133,'CDER-ES'!$A:$A,0)),
IF($B133="SINAPI",INDEX(CSINAPI!$C:$C,MATCH($C133,CSINAPI!$A:$A,0)),
IF($B133="CESAN",INDEX(CCESAN!$C:$C,MATCH($C133,CCESAN!$A:$A,0)),
IF($B133="SCORIO",INDEX(CSCORIO!$A:$A,MATCH($C133,CSCORIO!#REF!,0)),
IF($B133="MERC",INDEX(MERCADO!$D:$D,MATCH($C133,MERCADO!$A:$A,0)),
IF($B133="COMP",INDEX(COMPOSICAO!$G:$G,MATCH($C133,COMPOSICAO!$A:$A,0)),
""))))))),"")</f>
        <v>und.</v>
      </c>
      <c r="F133" s="208">
        <f>VLOOKUP(A133,'MEMÓRIA DE CÁLCULO'!A:H,8,0)</f>
        <v>2</v>
      </c>
      <c r="G133" s="202">
        <f>IFERROR(
IF($B133="DER-ES",INDEX('CDER-ES'!$D:$D,MATCH($C133,'CDER-ES'!$A:$A,0)),
IF($B133="SINAPI",INDEX(CSINAPI!$D:$D,MATCH($C133,CSINAPI!$A:$A,0)),
IF($B133="CESAN",INDEX(CCESAN!$D:$D,MATCH($C133,CCESAN!$A:$A,0)),
IF($B133="SCORIO",INDEX(CSCORIO!$B:$B,MATCH($C133,CSCORIO!#REF!,0)),
IF($B133="MERC",INDEX(MERCADO!$E:$E,MATCH($C133,MERCADO!$A:$A,0)),
IF($B133="COMP",INDEX(COMPOSICAO!$H:$H,MATCH($C133,COMPOSICAO!$A:$A,0)),
0)))))),0)</f>
        <v>36.369999999999997</v>
      </c>
      <c r="H133" s="202">
        <f t="shared" si="99"/>
        <v>45.46</v>
      </c>
      <c r="I133" s="209">
        <f t="shared" si="100"/>
        <v>90.92</v>
      </c>
      <c r="J133" s="225">
        <f t="shared" si="103"/>
        <v>2.6726759741950955E-3</v>
      </c>
    </row>
    <row r="134" spans="1:10" ht="89.25">
      <c r="A134" s="204" t="s">
        <v>28976</v>
      </c>
      <c r="B134" s="205" t="s">
        <v>26583</v>
      </c>
      <c r="C134" s="206">
        <v>141102</v>
      </c>
      <c r="D134" s="207" t="str">
        <f>IFERROR(PROPER(
IF($B134="DER-ES",INDEX('CDER-ES'!$B:$B,MATCH($C134,'CDER-ES'!$A:$A,0)),
IF($B134="SINAPI",INDEX(CSINAPI!$B:$B,MATCH($C134,CSINAPI!$A:$A,0)),
IF($B134="CESAN",INDEX(CCESAN!$B:$B,MATCH($C134,CCESAN!$A:$A,0)),
IF($B134="SCORIO",INDEX(CSCORIO!$B:$B,MATCH($C134,CSCORIO!$A:$A,0)),
IF($B134="MERC",INDEX(MERCADO!$B:$B,MATCH($C134,MERCADO!$A:$A,0)),
IF($B134="COMP",INDEX(COMPOSICAO!$B:$B,MATCH($C134,COMPOSICAO!$A:$A,0)),
""))))))),"*Verificar código*")</f>
        <v>Caixa De Areia De Alvenaria De Blocos De Concreto 9X19X39Cm, Dim. 60X60Cm E Hmáx=1M, C/ Tampa Em Concreto Esp. 5Cm, Lastro Concreto Esp. 10Cm, Revestida Intern. C/ Chapisco E Reboco Impermeabilizante, Incl. Escavação E Reaterro</v>
      </c>
      <c r="E134" s="200" t="str">
        <f>IFERROR(LOWER(
IF($B134="DER-ES",INDEX('CDER-ES'!$C:$C,MATCH($C134,'CDER-ES'!$A:$A,0)),
IF($B134="SINAPI",INDEX(CSINAPI!$C:$C,MATCH($C134,CSINAPI!$A:$A,0)),
IF($B134="CESAN",INDEX(CCESAN!$C:$C,MATCH($C134,CCESAN!$A:$A,0)),
IF($B134="SCORIO",INDEX(CSCORIO!$A:$A,MATCH($C134,CSCORIO!#REF!,0)),
IF($B134="MERC",INDEX(MERCADO!$D:$D,MATCH($C134,MERCADO!$A:$A,0)),
IF($B134="COMP",INDEX(COMPOSICAO!$G:$G,MATCH($C134,COMPOSICAO!$A:$A,0)),
""))))))),"")</f>
        <v>und</v>
      </c>
      <c r="F134" s="208">
        <f>VLOOKUP(A134,'MEMÓRIA DE CÁLCULO'!A:H,8,0)</f>
        <v>2</v>
      </c>
      <c r="G134" s="202">
        <f>IFERROR(
IF($B134="DER-ES",INDEX('CDER-ES'!$D:$D,MATCH($C134,'CDER-ES'!$A:$A,0)),
IF($B134="SINAPI",INDEX(CSINAPI!$D:$D,MATCH($C134,CSINAPI!$A:$A,0)),
IF($B134="CESAN",INDEX(CCESAN!$D:$D,MATCH($C134,CCESAN!$A:$A,0)),
IF($B134="SCORIO",INDEX(CSCORIO!$B:$B,MATCH($C134,CSCORIO!#REF!,0)),
IF($B134="MERC",INDEX(MERCADO!$E:$E,MATCH($C134,MERCADO!$A:$A,0)),
IF($B134="COMP",INDEX(COMPOSICAO!$H:$H,MATCH($C134,COMPOSICAO!$A:$A,0)),
0)))))),0)</f>
        <v>469.76</v>
      </c>
      <c r="H134" s="202">
        <f t="shared" ref="H134:H140" si="104">ROUND(G134*(1+$J$2),2)</f>
        <v>587.20000000000005</v>
      </c>
      <c r="I134" s="209">
        <f t="shared" ref="I134:I140" si="105">ROUND($H134*F134,2)</f>
        <v>1174.4000000000001</v>
      </c>
      <c r="J134" s="225">
        <f t="shared" si="103"/>
        <v>3.4522554598490109E-2</v>
      </c>
    </row>
    <row r="135" spans="1:10">
      <c r="A135" s="204"/>
      <c r="B135" s="205"/>
      <c r="C135" s="206"/>
      <c r="D135" s="207" t="s">
        <v>28977</v>
      </c>
      <c r="E135" s="200"/>
      <c r="F135" s="208"/>
      <c r="G135" s="202"/>
      <c r="H135" s="202"/>
      <c r="I135" s="209"/>
      <c r="J135" s="209"/>
    </row>
    <row r="136" spans="1:10" ht="63.75">
      <c r="A136" s="204" t="s">
        <v>28979</v>
      </c>
      <c r="B136" s="205" t="s">
        <v>1019</v>
      </c>
      <c r="C136" s="206">
        <v>89708</v>
      </c>
      <c r="D136" s="207" t="str">
        <f>IFERROR(PROPER(
IF($B136="DER-ES",INDEX('CDER-ES'!$B:$B,MATCH($C136,'CDER-ES'!$A:$A,0)),
IF($B136="SINAPI",INDEX(CSINAPI!$B:$B,MATCH($C136,CSINAPI!$A:$A,0)),
IF($B136="CESAN",INDEX(CCESAN!$B:$B,MATCH($C136,CCESAN!$A:$A,0)),
IF($B136="SCORIO",INDEX(CSCORIO!$B:$B,MATCH($C136,CSCORIO!$A:$A,0)),
IF($B136="MERC",INDEX(MERCADO!$B:$B,MATCH($C136,MERCADO!$A:$A,0)),
IF($B136="COMP",INDEX(COMPOSICAO!$B:$B,MATCH($C136,COMPOSICAO!$A:$A,0)),
""))))))),"*Verificar código*")</f>
        <v>Caixa Sifonada, Pvc, Dn 150 X 185 X 75 Mm, Junta Elástica, Fornecida E Instalada Em Ramal De Descarga Ou Em Ramal De Esgoto Sanitário. Af_12/2014</v>
      </c>
      <c r="E136" s="200" t="str">
        <f>IFERROR(LOWER(
IF($B136="DER-ES",INDEX('CDER-ES'!$C:$C,MATCH($C136,'CDER-ES'!$A:$A,0)),
IF($B136="SINAPI",INDEX(CSINAPI!$C:$C,MATCH($C136,CSINAPI!$A:$A,0)),
IF($B136="CESAN",INDEX(CCESAN!$C:$C,MATCH($C136,CCESAN!$A:$A,0)),
IF($B136="SCORIO",INDEX(CSCORIO!$A:$A,MATCH($C136,CSCORIO!#REF!,0)),
IF($B136="MERC",INDEX(MERCADO!$D:$D,MATCH($C136,MERCADO!$A:$A,0)),
IF($B136="COMP",INDEX(COMPOSICAO!$G:$G,MATCH($C136,COMPOSICAO!$A:$A,0)),
""))))))),"")</f>
        <v>und</v>
      </c>
      <c r="F136" s="208">
        <f>VLOOKUP(A136,'MEMÓRIA DE CÁLCULO'!A:H,8,0)</f>
        <v>7</v>
      </c>
      <c r="G136" s="202">
        <f>IFERROR(
IF($B136="DER-ES",INDEX('CDER-ES'!$D:$D,MATCH($C136,'CDER-ES'!$A:$A,0)),
IF($B136="SINAPI",INDEX(CSINAPI!$D:$D,MATCH($C136,CSINAPI!$A:$A,0)),
IF($B136="CESAN",INDEX(CCESAN!$D:$D,MATCH($C136,CCESAN!$A:$A,0)),
IF($B136="SCORIO",INDEX(CSCORIO!$B:$B,MATCH($C136,CSCORIO!#REF!,0)),
IF($B136="MERC",INDEX(MERCADO!$E:$E,MATCH($C136,MERCADO!$A:$A,0)),
IF($B136="COMP",INDEX(COMPOSICAO!$H:$H,MATCH($C136,COMPOSICAO!$A:$A,0)),
0)))))),0)</f>
        <v>98.23</v>
      </c>
      <c r="H136" s="202">
        <f t="shared" si="104"/>
        <v>122.79</v>
      </c>
      <c r="I136" s="209">
        <f t="shared" si="105"/>
        <v>859.53</v>
      </c>
      <c r="J136" s="225">
        <f t="shared" ref="J136:J150" si="106">I136/I$101</f>
        <v>2.526666498130126E-2</v>
      </c>
    </row>
    <row r="137" spans="1:10" ht="63.75">
      <c r="A137" s="204" t="s">
        <v>28980</v>
      </c>
      <c r="B137" s="205" t="s">
        <v>1019</v>
      </c>
      <c r="C137" s="206">
        <v>89732</v>
      </c>
      <c r="D137" s="207" t="str">
        <f>IFERROR(PROPER(
IF($B137="DER-ES",INDEX('CDER-ES'!$B:$B,MATCH($C137,'CDER-ES'!$A:$A,0)),
IF($B137="SINAPI",INDEX(CSINAPI!$B:$B,MATCH($C137,CSINAPI!$A:$A,0)),
IF($B137="CESAN",INDEX(CCESAN!$B:$B,MATCH($C137,CCESAN!$A:$A,0)),
IF($B137="SCORIO",INDEX(CSCORIO!$B:$B,MATCH($C137,CSCORIO!$A:$A,0)),
IF($B137="MERC",INDEX(MERCADO!$B:$B,MATCH($C137,MERCADO!$A:$A,0)),
IF($B137="COMP",INDEX(COMPOSICAO!$B:$B,MATCH($C137,COMPOSICAO!$A:$A,0)),
""))))))),"*Verificar código*")</f>
        <v>Joelho 45 Graus, Pvc, Serie Normal, Esgoto Predial, Dn 50 Mm, Junta Elástica, Fornecido E Instalado Em Ramal De Descarga Ou Ramal De Esgoto Sanitário. Af_12/2014</v>
      </c>
      <c r="E137" s="200" t="str">
        <f>IFERROR(LOWER(
IF($B137="DER-ES",INDEX('CDER-ES'!$C:$C,MATCH($C137,'CDER-ES'!$A:$A,0)),
IF($B137="SINAPI",INDEX(CSINAPI!$C:$C,MATCH($C137,CSINAPI!$A:$A,0)),
IF($B137="CESAN",INDEX(CCESAN!$C:$C,MATCH($C137,CCESAN!$A:$A,0)),
IF($B137="SCORIO",INDEX(CSCORIO!$A:$A,MATCH($C137,CSCORIO!#REF!,0)),
IF($B137="MERC",INDEX(MERCADO!$D:$D,MATCH($C137,MERCADO!$A:$A,0)),
IF($B137="COMP",INDEX(COMPOSICAO!$G:$G,MATCH($C137,COMPOSICAO!$A:$A,0)),
""))))))),"")</f>
        <v>und</v>
      </c>
      <c r="F137" s="208">
        <f>VLOOKUP(A137,'MEMÓRIA DE CÁLCULO'!A:H,8,0)</f>
        <v>14</v>
      </c>
      <c r="G137" s="202">
        <f>IFERROR(
IF($B137="DER-ES",INDEX('CDER-ES'!$D:$D,MATCH($C137,'CDER-ES'!$A:$A,0)),
IF($B137="SINAPI",INDEX(CSINAPI!$D:$D,MATCH($C137,CSINAPI!$A:$A,0)),
IF($B137="CESAN",INDEX(CCESAN!$D:$D,MATCH($C137,CCESAN!$A:$A,0)),
IF($B137="SCORIO",INDEX(CSCORIO!$B:$B,MATCH($C137,CSCORIO!#REF!,0)),
IF($B137="MERC",INDEX(MERCADO!$E:$E,MATCH($C137,MERCADO!$A:$A,0)),
IF($B137="COMP",INDEX(COMPOSICAO!$H:$H,MATCH($C137,COMPOSICAO!$A:$A,0)),
0)))))),0)</f>
        <v>12.48</v>
      </c>
      <c r="H137" s="202">
        <f t="shared" si="104"/>
        <v>15.6</v>
      </c>
      <c r="I137" s="209">
        <f t="shared" si="105"/>
        <v>218.4</v>
      </c>
      <c r="J137" s="225">
        <f t="shared" si="106"/>
        <v>6.4200663524440049E-3</v>
      </c>
    </row>
    <row r="138" spans="1:10" ht="63.75">
      <c r="A138" s="204" t="s">
        <v>28981</v>
      </c>
      <c r="B138" s="205" t="s">
        <v>1019</v>
      </c>
      <c r="C138" s="206">
        <v>89746</v>
      </c>
      <c r="D138" s="207" t="str">
        <f>IFERROR(PROPER(
IF($B138="DER-ES",INDEX('CDER-ES'!$B:$B,MATCH($C138,'CDER-ES'!$A:$A,0)),
IF($B138="SINAPI",INDEX(CSINAPI!$B:$B,MATCH($C138,CSINAPI!$A:$A,0)),
IF($B138="CESAN",INDEX(CCESAN!$B:$B,MATCH($C138,CCESAN!$A:$A,0)),
IF($B138="SCORIO",INDEX(CSCORIO!$B:$B,MATCH($C138,CSCORIO!$A:$A,0)),
IF($B138="MERC",INDEX(MERCADO!$B:$B,MATCH($C138,MERCADO!$A:$A,0)),
IF($B138="COMP",INDEX(COMPOSICAO!$B:$B,MATCH($C138,COMPOSICAO!$A:$A,0)),
""))))))),"*Verificar código*")</f>
        <v>Joelho 45 Graus, Pvc, Serie Normal, Esgoto Predial, Dn 100 Mm, Junta Elástica, Fornecido E Instalado Em Ramal De Descarga Ou Ramal De Esgoto Sanitário. Af_12/2014</v>
      </c>
      <c r="E138" s="200" t="str">
        <f>IFERROR(LOWER(
IF($B138="DER-ES",INDEX('CDER-ES'!$C:$C,MATCH($C138,'CDER-ES'!$A:$A,0)),
IF($B138="SINAPI",INDEX(CSINAPI!$C:$C,MATCH($C138,CSINAPI!$A:$A,0)),
IF($B138="CESAN",INDEX(CCESAN!$C:$C,MATCH($C138,CCESAN!$A:$A,0)),
IF($B138="SCORIO",INDEX(CSCORIO!$A:$A,MATCH($C138,CSCORIO!#REF!,0)),
IF($B138="MERC",INDEX(MERCADO!$D:$D,MATCH($C138,MERCADO!$A:$A,0)),
IF($B138="COMP",INDEX(COMPOSICAO!$G:$G,MATCH($C138,COMPOSICAO!$A:$A,0)),
""))))))),"")</f>
        <v>und</v>
      </c>
      <c r="F138" s="208">
        <f>VLOOKUP(A138,'MEMÓRIA DE CÁLCULO'!A:H,8,0)</f>
        <v>6</v>
      </c>
      <c r="G138" s="202">
        <f>IFERROR(
IF($B138="DER-ES",INDEX('CDER-ES'!$D:$D,MATCH($C138,'CDER-ES'!$A:$A,0)),
IF($B138="SINAPI",INDEX(CSINAPI!$D:$D,MATCH($C138,CSINAPI!$A:$A,0)),
IF($B138="CESAN",INDEX(CCESAN!$D:$D,MATCH($C138,CCESAN!$A:$A,0)),
IF($B138="SCORIO",INDEX(CSCORIO!$B:$B,MATCH($C138,CSCORIO!#REF!,0)),
IF($B138="MERC",INDEX(MERCADO!$E:$E,MATCH($C138,MERCADO!$A:$A,0)),
IF($B138="COMP",INDEX(COMPOSICAO!$H:$H,MATCH($C138,COMPOSICAO!$A:$A,0)),
0)))))),0)</f>
        <v>27.37</v>
      </c>
      <c r="H138" s="202">
        <f t="shared" si="104"/>
        <v>34.21</v>
      </c>
      <c r="I138" s="209">
        <f t="shared" si="105"/>
        <v>205.26</v>
      </c>
      <c r="J138" s="225">
        <f t="shared" si="106"/>
        <v>6.0338041186019063E-3</v>
      </c>
    </row>
    <row r="139" spans="1:10" ht="63.75">
      <c r="A139" s="204" t="s">
        <v>28982</v>
      </c>
      <c r="B139" s="205" t="s">
        <v>1019</v>
      </c>
      <c r="C139" s="206">
        <v>89724</v>
      </c>
      <c r="D139" s="207" t="str">
        <f>IFERROR(PROPER(
IF($B139="DER-ES",INDEX('CDER-ES'!$B:$B,MATCH($C139,'CDER-ES'!$A:$A,0)),
IF($B139="SINAPI",INDEX(CSINAPI!$B:$B,MATCH($C139,CSINAPI!$A:$A,0)),
IF($B139="CESAN",INDEX(CCESAN!$B:$B,MATCH($C139,CCESAN!$A:$A,0)),
IF($B139="SCORIO",INDEX(CSCORIO!$B:$B,MATCH($C139,CSCORIO!$A:$A,0)),
IF($B139="MERC",INDEX(MERCADO!$B:$B,MATCH($C139,MERCADO!$A:$A,0)),
IF($B139="COMP",INDEX(COMPOSICAO!$B:$B,MATCH($C139,COMPOSICAO!$A:$A,0)),
""))))))),"*Verificar código*")</f>
        <v>Joelho 90 Graus, Pvc, Serie Normal, Esgoto Predial, Dn 40 Mm, Junta Soldável, Fornecido E Instalado Em Ramal De Descarga Ou Ramal De Esgoto Sanitário. Af_12/2014</v>
      </c>
      <c r="E139" s="200" t="str">
        <f>IFERROR(LOWER(
IF($B139="DER-ES",INDEX('CDER-ES'!$C:$C,MATCH($C139,'CDER-ES'!$A:$A,0)),
IF($B139="SINAPI",INDEX(CSINAPI!$C:$C,MATCH($C139,CSINAPI!$A:$A,0)),
IF($B139="CESAN",INDEX(CCESAN!$C:$C,MATCH($C139,CCESAN!$A:$A,0)),
IF($B139="SCORIO",INDEX(CSCORIO!$A:$A,MATCH($C139,CSCORIO!#REF!,0)),
IF($B139="MERC",INDEX(MERCADO!$D:$D,MATCH($C139,MERCADO!$A:$A,0)),
IF($B139="COMP",INDEX(COMPOSICAO!$G:$G,MATCH($C139,COMPOSICAO!$A:$A,0)),
""))))))),"")</f>
        <v>und</v>
      </c>
      <c r="F139" s="208">
        <f>VLOOKUP(A139,'MEMÓRIA DE CÁLCULO'!A:H,8,0)</f>
        <v>23</v>
      </c>
      <c r="G139" s="202">
        <f>IFERROR(
IF($B139="DER-ES",INDEX('CDER-ES'!$D:$D,MATCH($C139,'CDER-ES'!$A:$A,0)),
IF($B139="SINAPI",INDEX(CSINAPI!$D:$D,MATCH($C139,CSINAPI!$A:$A,0)),
IF($B139="CESAN",INDEX(CCESAN!$D:$D,MATCH($C139,CCESAN!$A:$A,0)),
IF($B139="SCORIO",INDEX(CSCORIO!$B:$B,MATCH($C139,CSCORIO!#REF!,0)),
IF($B139="MERC",INDEX(MERCADO!$E:$E,MATCH($C139,MERCADO!$A:$A,0)),
IF($B139="COMP",INDEX(COMPOSICAO!$H:$H,MATCH($C139,COMPOSICAO!$A:$A,0)),
0)))))),0)</f>
        <v>11.49</v>
      </c>
      <c r="H139" s="202">
        <f t="shared" si="104"/>
        <v>14.36</v>
      </c>
      <c r="I139" s="209">
        <f t="shared" si="105"/>
        <v>330.28</v>
      </c>
      <c r="J139" s="225">
        <f t="shared" si="106"/>
        <v>9.7088805626611985E-3</v>
      </c>
    </row>
    <row r="140" spans="1:10" ht="63.75">
      <c r="A140" s="204" t="s">
        <v>28983</v>
      </c>
      <c r="B140" s="205" t="s">
        <v>1019</v>
      </c>
      <c r="C140" s="206">
        <v>89731</v>
      </c>
      <c r="D140" s="207" t="str">
        <f>IFERROR(PROPER(
IF($B140="DER-ES",INDEX('CDER-ES'!$B:$B,MATCH($C140,'CDER-ES'!$A:$A,0)),
IF($B140="SINAPI",INDEX(CSINAPI!$B:$B,MATCH($C140,CSINAPI!$A:$A,0)),
IF($B140="CESAN",INDEX(CCESAN!$B:$B,MATCH($C140,CCESAN!$A:$A,0)),
IF($B140="SCORIO",INDEX(CSCORIO!$B:$B,MATCH($C140,CSCORIO!$A:$A,0)),
IF($B140="MERC",INDEX(MERCADO!$B:$B,MATCH($C140,MERCADO!$A:$A,0)),
IF($B140="COMP",INDEX(COMPOSICAO!$B:$B,MATCH($C140,COMPOSICAO!$A:$A,0)),
""))))))),"*Verificar código*")</f>
        <v>Joelho 90 Graus, Pvc, Serie Normal, Esgoto Predial, Dn 50 Mm, Junta Elástica, Fornecido E Instalado Em Ramal De Descarga Ou Ramal De Esgoto Sanitário. Af_12/2014</v>
      </c>
      <c r="E140" s="200" t="str">
        <f>IFERROR(LOWER(
IF($B140="DER-ES",INDEX('CDER-ES'!$C:$C,MATCH($C140,'CDER-ES'!$A:$A,0)),
IF($B140="SINAPI",INDEX(CSINAPI!$C:$C,MATCH($C140,CSINAPI!$A:$A,0)),
IF($B140="CESAN",INDEX(CCESAN!$C:$C,MATCH($C140,CCESAN!$A:$A,0)),
IF($B140="SCORIO",INDEX(CSCORIO!$A:$A,MATCH($C140,CSCORIO!#REF!,0)),
IF($B140="MERC",INDEX(MERCADO!$D:$D,MATCH($C140,MERCADO!$A:$A,0)),
IF($B140="COMP",INDEX(COMPOSICAO!$G:$G,MATCH($C140,COMPOSICAO!$A:$A,0)),
""))))))),"")</f>
        <v>und</v>
      </c>
      <c r="F140" s="208">
        <f>VLOOKUP(A140,'MEMÓRIA DE CÁLCULO'!A:H,8,0)</f>
        <v>14</v>
      </c>
      <c r="G140" s="202">
        <f>IFERROR(
IF($B140="DER-ES",INDEX('CDER-ES'!$D:$D,MATCH($C140,'CDER-ES'!$A:$A,0)),
IF($B140="SINAPI",INDEX(CSINAPI!$D:$D,MATCH($C140,CSINAPI!$A:$A,0)),
IF($B140="CESAN",INDEX(CCESAN!$D:$D,MATCH($C140,CCESAN!$A:$A,0)),
IF($B140="SCORIO",INDEX(CSCORIO!$B:$B,MATCH($C140,CSCORIO!#REF!,0)),
IF($B140="MERC",INDEX(MERCADO!$E:$E,MATCH($C140,MERCADO!$A:$A,0)),
IF($B140="COMP",INDEX(COMPOSICAO!$H:$H,MATCH($C140,COMPOSICAO!$A:$A,0)),
0)))))),0)</f>
        <v>11.53</v>
      </c>
      <c r="H140" s="202">
        <f t="shared" si="104"/>
        <v>14.41</v>
      </c>
      <c r="I140" s="209">
        <f t="shared" si="105"/>
        <v>201.74</v>
      </c>
      <c r="J140" s="225">
        <f t="shared" si="106"/>
        <v>5.9303305217126992E-3</v>
      </c>
    </row>
    <row r="141" spans="1:10" ht="63.75">
      <c r="A141" s="204" t="s">
        <v>28984</v>
      </c>
      <c r="B141" s="205" t="s">
        <v>1019</v>
      </c>
      <c r="C141" s="206">
        <v>89744</v>
      </c>
      <c r="D141" s="207" t="str">
        <f>IFERROR(PROPER(
IF($B141="DER-ES",INDEX('CDER-ES'!$B:$B,MATCH($C141,'CDER-ES'!$A:$A,0)),
IF($B141="SINAPI",INDEX(CSINAPI!$B:$B,MATCH($C141,CSINAPI!$A:$A,0)),
IF($B141="CESAN",INDEX(CCESAN!$B:$B,MATCH($C141,CCESAN!$A:$A,0)),
IF($B141="SCORIO",INDEX(CSCORIO!$B:$B,MATCH($C141,CSCORIO!$A:$A,0)),
IF($B141="MERC",INDEX(MERCADO!$B:$B,MATCH($C141,MERCADO!$A:$A,0)),
IF($B141="COMP",INDEX(COMPOSICAO!$B:$B,MATCH($C141,COMPOSICAO!$A:$A,0)),
""))))))),"*Verificar código*")</f>
        <v>Joelho 90 Graus, Pvc, Serie Normal, Esgoto Predial, Dn 100 Mm, Junta Elástica, Fornecido E Instalado Em Ramal De Descarga Ou Ramal De Esgoto Sanitário. Af_12/2014</v>
      </c>
      <c r="E141" s="200" t="str">
        <f>IFERROR(LOWER(
IF($B141="DER-ES",INDEX('CDER-ES'!$C:$C,MATCH($C141,'CDER-ES'!$A:$A,0)),
IF($B141="SINAPI",INDEX(CSINAPI!$C:$C,MATCH($C141,CSINAPI!$A:$A,0)),
IF($B141="CESAN",INDEX(CCESAN!$C:$C,MATCH($C141,CCESAN!$A:$A,0)),
IF($B141="SCORIO",INDEX(CSCORIO!$A:$A,MATCH($C141,CSCORIO!#REF!,0)),
IF($B141="MERC",INDEX(MERCADO!$D:$D,MATCH($C141,MERCADO!$A:$A,0)),
IF($B141="COMP",INDEX(COMPOSICAO!$G:$G,MATCH($C141,COMPOSICAO!$A:$A,0)),
""))))))),"")</f>
        <v>und</v>
      </c>
      <c r="F141" s="208">
        <f>VLOOKUP(A141,'MEMÓRIA DE CÁLCULO'!A:H,8,0)</f>
        <v>8</v>
      </c>
      <c r="G141" s="202">
        <f>IFERROR(
IF($B141="DER-ES",INDEX('CDER-ES'!$D:$D,MATCH($C141,'CDER-ES'!$A:$A,0)),
IF($B141="SINAPI",INDEX(CSINAPI!$D:$D,MATCH($C141,CSINAPI!$A:$A,0)),
IF($B141="CESAN",INDEX(CCESAN!$D:$D,MATCH($C141,CCESAN!$A:$A,0)),
IF($B141="SCORIO",INDEX(CSCORIO!$B:$B,MATCH($C141,CSCORIO!#REF!,0)),
IF($B141="MERC",INDEX(MERCADO!$E:$E,MATCH($C141,MERCADO!$A:$A,0)),
IF($B141="COMP",INDEX(COMPOSICAO!$H:$H,MATCH($C141,COMPOSICAO!$A:$A,0)),
0)))))),0)</f>
        <v>27.45</v>
      </c>
      <c r="H141" s="202">
        <f t="shared" ref="H141:H145" si="107">ROUND(G141*(1+$J$2),2)</f>
        <v>34.31</v>
      </c>
      <c r="I141" s="209">
        <f t="shared" ref="I141:I145" si="108">ROUND($H141*F141,2)</f>
        <v>274.48</v>
      </c>
      <c r="J141" s="225">
        <f t="shared" si="106"/>
        <v>8.0685888847016052E-3</v>
      </c>
    </row>
    <row r="142" spans="1:10" ht="38.25">
      <c r="A142" s="204" t="s">
        <v>28985</v>
      </c>
      <c r="B142" s="205" t="s">
        <v>1020</v>
      </c>
      <c r="C142" s="206">
        <v>13</v>
      </c>
      <c r="D142" s="207" t="str">
        <f>IFERROR(PROPER(
IF($B142="DER-ES",INDEX('CDER-ES'!$B:$B,MATCH($C142,'CDER-ES'!$A:$A,0)),
IF($B142="SINAPI",INDEX(CSINAPI!$B:$B,MATCH($C142,CSINAPI!$A:$A,0)),
IF($B142="CESAN",INDEX(CCESAN!$B:$B,MATCH($C142,CCESAN!$A:$A,0)),
IF($B142="SCORIO",INDEX(CSCORIO!$B:$B,MATCH($C142,CSCORIO!$A:$A,0)),
IF($B142="MERC",INDEX(MERCADO!$B:$B,MATCH($C142,MERCADO!$A:$A,0)),
IF($B142="COMP",INDEX(COMPOSICAO!$B:$B,MATCH($C142,COMPOSICAO!$A:$A,0)),
""))))))),"*Verificar código*")</f>
        <v>Junção Simples, Pvc, Série Normal, Dn 100 X 50 Mm, Junta Elástica, Fornecido E Instalado</v>
      </c>
      <c r="E142" s="200" t="str">
        <f>IFERROR(LOWER(
IF($B142="DER-ES",INDEX('CDER-ES'!$C:$C,MATCH($C142,'CDER-ES'!$A:$A,0)),
IF($B142="SINAPI",INDEX(CSINAPI!$C:$C,MATCH($C142,CSINAPI!$A:$A,0)),
IF($B142="CESAN",INDEX(CCESAN!$C:$C,MATCH($C142,CCESAN!$A:$A,0)),
IF($B142="SCORIO",INDEX(CSCORIO!$A:$A,MATCH($C142,CSCORIO!#REF!,0)),
IF($B142="MERC",INDEX(MERCADO!$D:$D,MATCH($C142,MERCADO!$A:$A,0)),
IF($B142="COMP",INDEX(COMPOSICAO!$G:$G,MATCH($C142,COMPOSICAO!$A:$A,0)),
""))))))),"")</f>
        <v>und.</v>
      </c>
      <c r="F142" s="208">
        <f>VLOOKUP(A142,'MEMÓRIA DE CÁLCULO'!A:H,8,0)</f>
        <v>9</v>
      </c>
      <c r="G142" s="202">
        <f>IFERROR(
IF($B142="DER-ES",INDEX('CDER-ES'!$D:$D,MATCH($C142,'CDER-ES'!$A:$A,0)),
IF($B142="SINAPI",INDEX(CSINAPI!$D:$D,MATCH($C142,CSINAPI!$A:$A,0)),
IF($B142="CESAN",INDEX(CCESAN!$D:$D,MATCH($C142,CCESAN!$A:$A,0)),
IF($B142="SCORIO",INDEX(CSCORIO!$B:$B,MATCH($C142,CSCORIO!#REF!,0)),
IF($B142="MERC",INDEX(MERCADO!$E:$E,MATCH($C142,MERCADO!$A:$A,0)),
IF($B142="COMP",INDEX(COMPOSICAO!$H:$H,MATCH($C142,COMPOSICAO!$A:$A,0)),
0)))))),0)</f>
        <v>41.680000000000007</v>
      </c>
      <c r="H142" s="202">
        <f t="shared" ref="H142:H144" si="109">ROUND(G142*(1+$J$2),2)</f>
        <v>52.1</v>
      </c>
      <c r="I142" s="209">
        <f t="shared" ref="I142:I144" si="110">ROUND($H142*F142,2)</f>
        <v>468.9</v>
      </c>
      <c r="J142" s="225">
        <f t="shared" si="106"/>
        <v>1.3783741358337882E-2</v>
      </c>
    </row>
    <row r="143" spans="1:10" ht="63.75">
      <c r="A143" s="204" t="s">
        <v>28986</v>
      </c>
      <c r="B143" s="205" t="s">
        <v>1019</v>
      </c>
      <c r="C143" s="206">
        <v>89753</v>
      </c>
      <c r="D143" s="207" t="str">
        <f>IFERROR(PROPER(
IF($B143="DER-ES",INDEX('CDER-ES'!$B:$B,MATCH($C143,'CDER-ES'!$A:$A,0)),
IF($B143="SINAPI",INDEX(CSINAPI!$B:$B,MATCH($C143,CSINAPI!$A:$A,0)),
IF($B143="CESAN",INDEX(CCESAN!$B:$B,MATCH($C143,CCESAN!$A:$A,0)),
IF($B143="SCORIO",INDEX(CSCORIO!$B:$B,MATCH($C143,CSCORIO!$A:$A,0)),
IF($B143="MERC",INDEX(MERCADO!$B:$B,MATCH($C143,MERCADO!$A:$A,0)),
IF($B143="COMP",INDEX(COMPOSICAO!$B:$B,MATCH($C143,COMPOSICAO!$A:$A,0)),
""))))))),"*Verificar código*")</f>
        <v>Luva Simples, Pvc, Serie Normal, Esgoto Predial, Dn 50 Mm, Junta Elástica, Fornecido E Instalado Em Ramal De Descarga Ou Ramal De Esgoto Sanitário. Af_12/2014</v>
      </c>
      <c r="E143" s="200" t="str">
        <f>IFERROR(LOWER(
IF($B143="DER-ES",INDEX('CDER-ES'!$C:$C,MATCH($C143,'CDER-ES'!$A:$A,0)),
IF($B143="SINAPI",INDEX(CSINAPI!$C:$C,MATCH($C143,CSINAPI!$A:$A,0)),
IF($B143="CESAN",INDEX(CCESAN!$C:$C,MATCH($C143,CCESAN!$A:$A,0)),
IF($B143="SCORIO",INDEX(CSCORIO!$A:$A,MATCH($C143,CSCORIO!#REF!,0)),
IF($B143="MERC",INDEX(MERCADO!$D:$D,MATCH($C143,MERCADO!$A:$A,0)),
IF($B143="COMP",INDEX(COMPOSICAO!$G:$G,MATCH($C143,COMPOSICAO!$A:$A,0)),
""))))))),"")</f>
        <v>und</v>
      </c>
      <c r="F143" s="208">
        <f>VLOOKUP(A143,'MEMÓRIA DE CÁLCULO'!A:H,8,0)</f>
        <v>20</v>
      </c>
      <c r="G143" s="202">
        <f>IFERROR(
IF($B143="DER-ES",INDEX('CDER-ES'!$D:$D,MATCH($C143,'CDER-ES'!$A:$A,0)),
IF($B143="SINAPI",INDEX(CSINAPI!$D:$D,MATCH($C143,CSINAPI!$A:$A,0)),
IF($B143="CESAN",INDEX(CCESAN!$D:$D,MATCH($C143,CCESAN!$A:$A,0)),
IF($B143="SCORIO",INDEX(CSCORIO!$B:$B,MATCH($C143,CSCORIO!#REF!,0)),
IF($B143="MERC",INDEX(MERCADO!$E:$E,MATCH($C143,MERCADO!$A:$A,0)),
IF($B143="COMP",INDEX(COMPOSICAO!$H:$H,MATCH($C143,COMPOSICAO!$A:$A,0)),
0)))))),0)</f>
        <v>10.14</v>
      </c>
      <c r="H143" s="202">
        <f t="shared" si="109"/>
        <v>12.68</v>
      </c>
      <c r="I143" s="209">
        <f t="shared" si="110"/>
        <v>253.6</v>
      </c>
      <c r="J143" s="225">
        <f t="shared" si="106"/>
        <v>7.4548023213360784E-3</v>
      </c>
    </row>
    <row r="144" spans="1:10" ht="63.75">
      <c r="A144" s="204" t="s">
        <v>28987</v>
      </c>
      <c r="B144" s="205" t="s">
        <v>1019</v>
      </c>
      <c r="C144" s="206">
        <v>89778</v>
      </c>
      <c r="D144" s="207" t="str">
        <f>IFERROR(PROPER(
IF($B144="DER-ES",INDEX('CDER-ES'!$B:$B,MATCH($C144,'CDER-ES'!$A:$A,0)),
IF($B144="SINAPI",INDEX(CSINAPI!$B:$B,MATCH($C144,CSINAPI!$A:$A,0)),
IF($B144="CESAN",INDEX(CCESAN!$B:$B,MATCH($C144,CCESAN!$A:$A,0)),
IF($B144="SCORIO",INDEX(CSCORIO!$B:$B,MATCH($C144,CSCORIO!$A:$A,0)),
IF($B144="MERC",INDEX(MERCADO!$B:$B,MATCH($C144,MERCADO!$A:$A,0)),
IF($B144="COMP",INDEX(COMPOSICAO!$B:$B,MATCH($C144,COMPOSICAO!$A:$A,0)),
""))))))),"*Verificar código*")</f>
        <v>Luva Simples, Pvc, Serie Normal, Esgoto Predial, Dn 100 Mm, Junta Elástica, Fornecido E Instalado Em Ramal De Descarga Ou Ramal De Esgoto Sanitário. Af_12/2014</v>
      </c>
      <c r="E144" s="200" t="str">
        <f>IFERROR(LOWER(
IF($B144="DER-ES",INDEX('CDER-ES'!$C:$C,MATCH($C144,'CDER-ES'!$A:$A,0)),
IF($B144="SINAPI",INDEX(CSINAPI!$C:$C,MATCH($C144,CSINAPI!$A:$A,0)),
IF($B144="CESAN",INDEX(CCESAN!$C:$C,MATCH($C144,CCESAN!$A:$A,0)),
IF($B144="SCORIO",INDEX(CSCORIO!$A:$A,MATCH($C144,CSCORIO!#REF!,0)),
IF($B144="MERC",INDEX(MERCADO!$D:$D,MATCH($C144,MERCADO!$A:$A,0)),
IF($B144="COMP",INDEX(COMPOSICAO!$G:$G,MATCH($C144,COMPOSICAO!$A:$A,0)),
""))))))),"")</f>
        <v>und</v>
      </c>
      <c r="F144" s="208">
        <f>VLOOKUP(A144,'MEMÓRIA DE CÁLCULO'!A:H,8,0)</f>
        <v>19</v>
      </c>
      <c r="G144" s="202">
        <f>IFERROR(
IF($B144="DER-ES",INDEX('CDER-ES'!$D:$D,MATCH($C144,'CDER-ES'!$A:$A,0)),
IF($B144="SINAPI",INDEX(CSINAPI!$D:$D,MATCH($C144,CSINAPI!$A:$A,0)),
IF($B144="CESAN",INDEX(CCESAN!$D:$D,MATCH($C144,CCESAN!$A:$A,0)),
IF($B144="SCORIO",INDEX(CSCORIO!$B:$B,MATCH($C144,CSCORIO!#REF!,0)),
IF($B144="MERC",INDEX(MERCADO!$E:$E,MATCH($C144,MERCADO!$A:$A,0)),
IF($B144="COMP",INDEX(COMPOSICAO!$H:$H,MATCH($C144,COMPOSICAO!$A:$A,0)),
0)))))),0)</f>
        <v>21.28</v>
      </c>
      <c r="H144" s="202">
        <f t="shared" si="109"/>
        <v>26.6</v>
      </c>
      <c r="I144" s="209">
        <f t="shared" si="110"/>
        <v>505.4</v>
      </c>
      <c r="J144" s="225">
        <f t="shared" si="106"/>
        <v>1.4856692007899266E-2</v>
      </c>
    </row>
    <row r="145" spans="1:10" ht="63.75">
      <c r="A145" s="204" t="s">
        <v>28988</v>
      </c>
      <c r="B145" s="205" t="s">
        <v>1019</v>
      </c>
      <c r="C145" s="206">
        <v>89784</v>
      </c>
      <c r="D145" s="207" t="str">
        <f>IFERROR(PROPER(
IF($B145="DER-ES",INDEX('CDER-ES'!$B:$B,MATCH($C145,'CDER-ES'!$A:$A,0)),
IF($B145="SINAPI",INDEX(CSINAPI!$B:$B,MATCH($C145,CSINAPI!$A:$A,0)),
IF($B145="CESAN",INDEX(CCESAN!$B:$B,MATCH($C145,CCESAN!$A:$A,0)),
IF($B145="SCORIO",INDEX(CSCORIO!$B:$B,MATCH($C145,CSCORIO!$A:$A,0)),
IF($B145="MERC",INDEX(MERCADO!$B:$B,MATCH($C145,MERCADO!$A:$A,0)),
IF($B145="COMP",INDEX(COMPOSICAO!$B:$B,MATCH($C145,COMPOSICAO!$A:$A,0)),
""))))))),"*Verificar código*")</f>
        <v>Te, Pvc, Serie Normal, Esgoto Predial, Dn 50 X 50 Mm, Junta Elástica, Fornecido E Instalado Em Ramal De Descarga Ou Ramal De Esgoto Sanitário. Af_12/2014</v>
      </c>
      <c r="E145" s="200" t="str">
        <f>IFERROR(LOWER(
IF($B145="DER-ES",INDEX('CDER-ES'!$C:$C,MATCH($C145,'CDER-ES'!$A:$A,0)),
IF($B145="SINAPI",INDEX(CSINAPI!$C:$C,MATCH($C145,CSINAPI!$A:$A,0)),
IF($B145="CESAN",INDEX(CCESAN!$C:$C,MATCH($C145,CCESAN!$A:$A,0)),
IF($B145="SCORIO",INDEX(CSCORIO!$A:$A,MATCH($C145,CSCORIO!#REF!,0)),
IF($B145="MERC",INDEX(MERCADO!$D:$D,MATCH($C145,MERCADO!$A:$A,0)),
IF($B145="COMP",INDEX(COMPOSICAO!$G:$G,MATCH($C145,COMPOSICAO!$A:$A,0)),
""))))))),"")</f>
        <v>und</v>
      </c>
      <c r="F145" s="208">
        <f>VLOOKUP(A145,'MEMÓRIA DE CÁLCULO'!A:H,8,0)</f>
        <v>10</v>
      </c>
      <c r="G145" s="202">
        <f>IFERROR(
IF($B145="DER-ES",INDEX('CDER-ES'!$D:$D,MATCH($C145,'CDER-ES'!$A:$A,0)),
IF($B145="SINAPI",INDEX(CSINAPI!$D:$D,MATCH($C145,CSINAPI!$A:$A,0)),
IF($B145="CESAN",INDEX(CCESAN!$D:$D,MATCH($C145,CCESAN!$A:$A,0)),
IF($B145="SCORIO",INDEX(CSCORIO!$B:$B,MATCH($C145,CSCORIO!#REF!,0)),
IF($B145="MERC",INDEX(MERCADO!$E:$E,MATCH($C145,MERCADO!$A:$A,0)),
IF($B145="COMP",INDEX(COMPOSICAO!$H:$H,MATCH($C145,COMPOSICAO!$A:$A,0)),
0)))))),0)</f>
        <v>22.71</v>
      </c>
      <c r="H145" s="202">
        <f t="shared" si="107"/>
        <v>28.39</v>
      </c>
      <c r="I145" s="209">
        <f t="shared" si="108"/>
        <v>283.89999999999998</v>
      </c>
      <c r="J145" s="225">
        <f t="shared" si="106"/>
        <v>8.3454983400130626E-3</v>
      </c>
    </row>
    <row r="146" spans="1:10" ht="63.75">
      <c r="A146" s="204" t="s">
        <v>28989</v>
      </c>
      <c r="B146" s="205" t="s">
        <v>1019</v>
      </c>
      <c r="C146" s="206">
        <v>89796</v>
      </c>
      <c r="D146" s="207" t="str">
        <f>IFERROR(PROPER(
IF($B146="DER-ES",INDEX('CDER-ES'!$B:$B,MATCH($C146,'CDER-ES'!$A:$A,0)),
IF($B146="SINAPI",INDEX(CSINAPI!$B:$B,MATCH($C146,CSINAPI!$A:$A,0)),
IF($B146="CESAN",INDEX(CCESAN!$B:$B,MATCH($C146,CCESAN!$A:$A,0)),
IF($B146="SCORIO",INDEX(CSCORIO!$B:$B,MATCH($C146,CSCORIO!$A:$A,0)),
IF($B146="MERC",INDEX(MERCADO!$B:$B,MATCH($C146,MERCADO!$A:$A,0)),
IF($B146="COMP",INDEX(COMPOSICAO!$B:$B,MATCH($C146,COMPOSICAO!$A:$A,0)),
""))))))),"*Verificar código*")</f>
        <v>Te, Pvc, Serie Normal, Esgoto Predial, Dn 100 X 100 Mm, Junta Elástica, Fornecido E Instalado Em Ramal De Descarga Ou Ramal De Esgoto Sanitário. Af_12/2014</v>
      </c>
      <c r="E146" s="200" t="str">
        <f>IFERROR(LOWER(
IF($B146="DER-ES",INDEX('CDER-ES'!$C:$C,MATCH($C146,'CDER-ES'!$A:$A,0)),
IF($B146="SINAPI",INDEX(CSINAPI!$C:$C,MATCH($C146,CSINAPI!$A:$A,0)),
IF($B146="CESAN",INDEX(CCESAN!$C:$C,MATCH($C146,CCESAN!$A:$A,0)),
IF($B146="SCORIO",INDEX(CSCORIO!$A:$A,MATCH($C146,CSCORIO!#REF!,0)),
IF($B146="MERC",INDEX(MERCADO!$D:$D,MATCH($C146,MERCADO!$A:$A,0)),
IF($B146="COMP",INDEX(COMPOSICAO!$G:$G,MATCH($C146,COMPOSICAO!$A:$A,0)),
""))))))),"")</f>
        <v>und</v>
      </c>
      <c r="F146" s="208">
        <f>VLOOKUP(A146,'MEMÓRIA DE CÁLCULO'!A:H,8,0)</f>
        <v>4</v>
      </c>
      <c r="G146" s="202">
        <f>IFERROR(
IF($B146="DER-ES",INDEX('CDER-ES'!$D:$D,MATCH($C146,'CDER-ES'!$A:$A,0)),
IF($B146="SINAPI",INDEX(CSINAPI!$D:$D,MATCH($C146,CSINAPI!$A:$A,0)),
IF($B146="CESAN",INDEX(CCESAN!$D:$D,MATCH($C146,CCESAN!$A:$A,0)),
IF($B146="SCORIO",INDEX(CSCORIO!$B:$B,MATCH($C146,CSCORIO!#REF!,0)),
IF($B146="MERC",INDEX(MERCADO!$E:$E,MATCH($C146,MERCADO!$A:$A,0)),
IF($B146="COMP",INDEX(COMPOSICAO!$H:$H,MATCH($C146,COMPOSICAO!$A:$A,0)),
0)))))),0)</f>
        <v>47.26</v>
      </c>
      <c r="H146" s="202">
        <f t="shared" si="99"/>
        <v>59.08</v>
      </c>
      <c r="I146" s="209">
        <f t="shared" si="100"/>
        <v>236.32</v>
      </c>
      <c r="J146" s="225">
        <f t="shared" si="106"/>
        <v>6.9468410275163326E-3</v>
      </c>
    </row>
    <row r="147" spans="1:10" ht="51">
      <c r="A147" s="204" t="s">
        <v>28990</v>
      </c>
      <c r="B147" s="205" t="s">
        <v>1019</v>
      </c>
      <c r="C147" s="206">
        <v>89711</v>
      </c>
      <c r="D147" s="207" t="str">
        <f>IFERROR(PROPER(
IF($B147="DER-ES",INDEX('CDER-ES'!$B:$B,MATCH($C147,'CDER-ES'!$A:$A,0)),
IF($B147="SINAPI",INDEX(CSINAPI!$B:$B,MATCH($C147,CSINAPI!$A:$A,0)),
IF($B147="CESAN",INDEX(CCESAN!$B:$B,MATCH($C147,CCESAN!$A:$A,0)),
IF($B147="SCORIO",INDEX(CSCORIO!$B:$B,MATCH($C147,CSCORIO!$A:$A,0)),
IF($B147="MERC",INDEX(MERCADO!$B:$B,MATCH($C147,MERCADO!$A:$A,0)),
IF($B147="COMP",INDEX(COMPOSICAO!$B:$B,MATCH($C147,COMPOSICAO!$A:$A,0)),
""))))))),"*Verificar código*")</f>
        <v>Tubo Pvc, Serie Normal, Esgoto Predial, Dn 40 Mm, Fornecido E Instalado Em Ramal De Descarga Ou Ramal De Esgoto Sanitário. Af_12/2014</v>
      </c>
      <c r="E147" s="200" t="str">
        <f>IFERROR(LOWER(
IF($B147="DER-ES",INDEX('CDER-ES'!$C:$C,MATCH($C147,'CDER-ES'!$A:$A,0)),
IF($B147="SINAPI",INDEX(CSINAPI!$C:$C,MATCH($C147,CSINAPI!$A:$A,0)),
IF($B147="CESAN",INDEX(CCESAN!$C:$C,MATCH($C147,CCESAN!$A:$A,0)),
IF($B147="SCORIO",INDEX(CSCORIO!$A:$A,MATCH($C147,CSCORIO!#REF!,0)),
IF($B147="MERC",INDEX(MERCADO!$D:$D,MATCH($C147,MERCADO!$A:$A,0)),
IF($B147="COMP",INDEX(COMPOSICAO!$G:$G,MATCH($C147,COMPOSICAO!$A:$A,0)),
""))))))),"")</f>
        <v>m</v>
      </c>
      <c r="F147" s="208">
        <f>VLOOKUP(A147,'MEMÓRIA DE CÁLCULO'!A:H,8,0)</f>
        <v>10</v>
      </c>
      <c r="G147" s="202">
        <f>IFERROR(
IF($B147="DER-ES",INDEX('CDER-ES'!$D:$D,MATCH($C147,'CDER-ES'!$A:$A,0)),
IF($B147="SINAPI",INDEX(CSINAPI!$D:$D,MATCH($C147,CSINAPI!$A:$A,0)),
IF($B147="CESAN",INDEX(CCESAN!$D:$D,MATCH($C147,CCESAN!$A:$A,0)),
IF($B147="SCORIO",INDEX(CSCORIO!$B:$B,MATCH($C147,CSCORIO!#REF!,0)),
IF($B147="MERC",INDEX(MERCADO!$E:$E,MATCH($C147,MERCADO!$A:$A,0)),
IF($B147="COMP",INDEX(COMPOSICAO!$H:$H,MATCH($C147,COMPOSICAO!$A:$A,0)),
0)))))),0)</f>
        <v>20.43</v>
      </c>
      <c r="H147" s="202">
        <f t="shared" ref="H147" si="111">ROUND(G147*(1+$J$2),2)</f>
        <v>25.54</v>
      </c>
      <c r="I147" s="209">
        <f t="shared" ref="I147" si="112">ROUND($H147*F147,2)</f>
        <v>255.4</v>
      </c>
      <c r="J147" s="225">
        <f t="shared" si="106"/>
        <v>7.5077149561089684E-3</v>
      </c>
    </row>
    <row r="148" spans="1:10" ht="51">
      <c r="A148" s="204" t="s">
        <v>28991</v>
      </c>
      <c r="B148" s="205" t="s">
        <v>1019</v>
      </c>
      <c r="C148" s="206">
        <v>89712</v>
      </c>
      <c r="D148" s="207" t="str">
        <f>IFERROR(PROPER(
IF($B148="DER-ES",INDEX('CDER-ES'!$B:$B,MATCH($C148,'CDER-ES'!$A:$A,0)),
IF($B148="SINAPI",INDEX(CSINAPI!$B:$B,MATCH($C148,CSINAPI!$A:$A,0)),
IF($B148="CESAN",INDEX(CCESAN!$B:$B,MATCH($C148,CCESAN!$A:$A,0)),
IF($B148="SCORIO",INDEX(CSCORIO!$B:$B,MATCH($C148,CSCORIO!$A:$A,0)),
IF($B148="MERC",INDEX(MERCADO!$B:$B,MATCH($C148,MERCADO!$A:$A,0)),
IF($B148="COMP",INDEX(COMPOSICAO!$B:$B,MATCH($C148,COMPOSICAO!$A:$A,0)),
""))))))),"*Verificar código*")</f>
        <v>Tubo Pvc, Serie Normal, Esgoto Predial, Dn 50 Mm, Fornecido E Instalado Em Ramal De Descarga Ou Ramal De Esgoto Sanitário. Af_12/2014</v>
      </c>
      <c r="E148" s="200" t="str">
        <f>IFERROR(LOWER(
IF($B148="DER-ES",INDEX('CDER-ES'!$C:$C,MATCH($C148,'CDER-ES'!$A:$A,0)),
IF($B148="SINAPI",INDEX(CSINAPI!$C:$C,MATCH($C148,CSINAPI!$A:$A,0)),
IF($B148="CESAN",INDEX(CCESAN!$C:$C,MATCH($C148,CCESAN!$A:$A,0)),
IF($B148="SCORIO",INDEX(CSCORIO!$A:$A,MATCH($C148,CSCORIO!#REF!,0)),
IF($B148="MERC",INDEX(MERCADO!$D:$D,MATCH($C148,MERCADO!$A:$A,0)),
IF($B148="COMP",INDEX(COMPOSICAO!$G:$G,MATCH($C148,COMPOSICAO!$A:$A,0)),
""))))))),"")</f>
        <v>m</v>
      </c>
      <c r="F148" s="208">
        <f>VLOOKUP(A148,'MEMÓRIA DE CÁLCULO'!A:H,8,0)</f>
        <v>40</v>
      </c>
      <c r="G148" s="202">
        <f>IFERROR(
IF($B148="DER-ES",INDEX('CDER-ES'!$D:$D,MATCH($C148,'CDER-ES'!$A:$A,0)),
IF($B148="SINAPI",INDEX(CSINAPI!$D:$D,MATCH($C148,CSINAPI!$A:$A,0)),
IF($B148="CESAN",INDEX(CCESAN!$D:$D,MATCH($C148,CCESAN!$A:$A,0)),
IF($B148="SCORIO",INDEX(CSCORIO!$B:$B,MATCH($C148,CSCORIO!#REF!,0)),
IF($B148="MERC",INDEX(MERCADO!$E:$E,MATCH($C148,MERCADO!$A:$A,0)),
IF($B148="COMP",INDEX(COMPOSICAO!$H:$H,MATCH($C148,COMPOSICAO!$A:$A,0)),
0)))))),0)</f>
        <v>31.7</v>
      </c>
      <c r="H148" s="202">
        <f t="shared" si="99"/>
        <v>39.630000000000003</v>
      </c>
      <c r="I148" s="209">
        <f t="shared" si="100"/>
        <v>1585.2</v>
      </c>
      <c r="J148" s="225">
        <f t="shared" si="106"/>
        <v>4.6598393689991927E-2</v>
      </c>
    </row>
    <row r="149" spans="1:10" ht="51">
      <c r="A149" s="204" t="s">
        <v>28992</v>
      </c>
      <c r="B149" s="205" t="s">
        <v>1019</v>
      </c>
      <c r="C149" s="206">
        <v>89714</v>
      </c>
      <c r="D149" s="207" t="str">
        <f>IFERROR(PROPER(
IF($B149="DER-ES",INDEX('CDER-ES'!$B:$B,MATCH($C149,'CDER-ES'!$A:$A,0)),
IF($B149="SINAPI",INDEX(CSINAPI!$B:$B,MATCH($C149,CSINAPI!$A:$A,0)),
IF($B149="CESAN",INDEX(CCESAN!$B:$B,MATCH($C149,CCESAN!$A:$A,0)),
IF($B149="SCORIO",INDEX(CSCORIO!$B:$B,MATCH($C149,CSCORIO!$A:$A,0)),
IF($B149="MERC",INDEX(MERCADO!$B:$B,MATCH($C149,MERCADO!$A:$A,0)),
IF($B149="COMP",INDEX(COMPOSICAO!$B:$B,MATCH($C149,COMPOSICAO!$A:$A,0)),
""))))))),"*Verificar código*")</f>
        <v>Tubo Pvc, Serie Normal, Esgoto Predial, Dn 100 Mm, Fornecido E Instalado Em Ramal De Descarga Ou Ramal De Esgoto Sanitário. Af_12/2014</v>
      </c>
      <c r="E149" s="200" t="str">
        <f>IFERROR(LOWER(
IF($B149="DER-ES",INDEX('CDER-ES'!$C:$C,MATCH($C149,'CDER-ES'!$A:$A,0)),
IF($B149="SINAPI",INDEX(CSINAPI!$C:$C,MATCH($C149,CSINAPI!$A:$A,0)),
IF($B149="CESAN",INDEX(CCESAN!$C:$C,MATCH($C149,CCESAN!$A:$A,0)),
IF($B149="SCORIO",INDEX(CSCORIO!$A:$A,MATCH($C149,CSCORIO!#REF!,0)),
IF($B149="MERC",INDEX(MERCADO!$D:$D,MATCH($C149,MERCADO!$A:$A,0)),
IF($B149="COMP",INDEX(COMPOSICAO!$G:$G,MATCH($C149,COMPOSICAO!$A:$A,0)),
""))))))),"")</f>
        <v>m</v>
      </c>
      <c r="F149" s="208">
        <f>VLOOKUP(A149,'MEMÓRIA DE CÁLCULO'!A:H,8,0)</f>
        <v>36</v>
      </c>
      <c r="G149" s="202">
        <f>IFERROR(
IF($B149="DER-ES",INDEX('CDER-ES'!$D:$D,MATCH($C149,'CDER-ES'!$A:$A,0)),
IF($B149="SINAPI",INDEX(CSINAPI!$D:$D,MATCH($C149,CSINAPI!$A:$A,0)),
IF($B149="CESAN",INDEX(CCESAN!$D:$D,MATCH($C149,CCESAN!$A:$A,0)),
IF($B149="SCORIO",INDEX(CSCORIO!$B:$B,MATCH($C149,CSCORIO!#REF!,0)),
IF($B149="MERC",INDEX(MERCADO!$E:$E,MATCH($C149,MERCADO!$A:$A,0)),
IF($B149="COMP",INDEX(COMPOSICAO!$H:$H,MATCH($C149,COMPOSICAO!$A:$A,0)),
0)))))),0)</f>
        <v>60.48</v>
      </c>
      <c r="H149" s="202">
        <f t="shared" ref="H149" si="113">ROUND(G149*(1+$J$2),2)</f>
        <v>75.599999999999994</v>
      </c>
      <c r="I149" s="209">
        <f t="shared" ref="I149" si="114">ROUND($H149*F149,2)</f>
        <v>2721.6</v>
      </c>
      <c r="J149" s="225">
        <f t="shared" si="106"/>
        <v>8.0003903776609903E-2</v>
      </c>
    </row>
    <row r="150" spans="1:10" ht="38.25">
      <c r="A150" s="204" t="s">
        <v>28993</v>
      </c>
      <c r="B150" s="205" t="s">
        <v>1020</v>
      </c>
      <c r="C150" s="206">
        <v>12</v>
      </c>
      <c r="D150" s="207" t="str">
        <f>IFERROR(PROPER(
IF($B150="DER-ES",INDEX('CDER-ES'!$B:$B,MATCH($C150,'CDER-ES'!$A:$A,0)),
IF($B150="SINAPI",INDEX(CSINAPI!$B:$B,MATCH($C150,CSINAPI!$A:$A,0)),
IF($B150="CESAN",INDEX(CCESAN!$B:$B,MATCH($C150,CCESAN!$A:$A,0)),
IF($B150="SCORIO",INDEX(CSCORIO!$B:$B,MATCH($C150,CSCORIO!$A:$A,0)),
IF($B150="MERC",INDEX(MERCADO!$B:$B,MATCH($C150,MERCADO!$A:$A,0)),
IF($B150="COMP",INDEX(COMPOSICAO!$B:$B,MATCH($C150,COMPOSICAO!$A:$A,0)),
""))))))),"*Verificar código*")</f>
        <v>Terminal De Ventilação, Dn 100 Mm, Série Normal, Esgoto Predial, Fornecido E Instalado</v>
      </c>
      <c r="E150" s="200" t="str">
        <f>IFERROR(LOWER(
IF($B150="DER-ES",INDEX('CDER-ES'!$C:$C,MATCH($C150,'CDER-ES'!$A:$A,0)),
IF($B150="SINAPI",INDEX(CSINAPI!$C:$C,MATCH($C150,CSINAPI!$A:$A,0)),
IF($B150="CESAN",INDEX(CCESAN!$C:$C,MATCH($C150,CCESAN!$A:$A,0)),
IF($B150="SCORIO",INDEX(CSCORIO!$A:$A,MATCH($C150,CSCORIO!#REF!,0)),
IF($B150="MERC",INDEX(MERCADO!$D:$D,MATCH($C150,MERCADO!$A:$A,0)),
IF($B150="COMP",INDEX(COMPOSICAO!$G:$G,MATCH($C150,COMPOSICAO!$A:$A,0)),
""))))))),"")</f>
        <v>und.</v>
      </c>
      <c r="F150" s="208">
        <f>VLOOKUP(A150,'MEMÓRIA DE CÁLCULO'!A:H,8,0)</f>
        <v>2</v>
      </c>
      <c r="G150" s="202">
        <f>IFERROR(
IF($B150="DER-ES",INDEX('CDER-ES'!$D:$D,MATCH($C150,'CDER-ES'!$A:$A,0)),
IF($B150="SINAPI",INDEX(CSINAPI!$D:$D,MATCH($C150,CSINAPI!$A:$A,0)),
IF($B150="CESAN",INDEX(CCESAN!$D:$D,MATCH($C150,CCESAN!$A:$A,0)),
IF($B150="SCORIO",INDEX(CSCORIO!$B:$B,MATCH($C150,CSCORIO!#REF!,0)),
IF($B150="MERC",INDEX(MERCADO!$E:$E,MATCH($C150,MERCADO!$A:$A,0)),
IF($B150="COMP",INDEX(COMPOSICAO!$H:$H,MATCH($C150,COMPOSICAO!$A:$A,0)),
0)))))),0)</f>
        <v>36.369999999999997</v>
      </c>
      <c r="H150" s="202">
        <f t="shared" ref="H150" si="115">ROUND(G150*(1+$J$2),2)</f>
        <v>45.46</v>
      </c>
      <c r="I150" s="209">
        <f t="shared" ref="I150" si="116">ROUND($H150*F150,2)</f>
        <v>90.92</v>
      </c>
      <c r="J150" s="225">
        <f t="shared" si="106"/>
        <v>2.6726759741950955E-3</v>
      </c>
    </row>
    <row r="151" spans="1:10" ht="89.25">
      <c r="A151" s="204" t="s">
        <v>28994</v>
      </c>
      <c r="B151" s="205" t="s">
        <v>26583</v>
      </c>
      <c r="C151" s="206">
        <v>141101</v>
      </c>
      <c r="D151" s="207" t="str">
        <f>IFERROR(PROPER(
IF($B151="DER-ES",INDEX('CDER-ES'!$B:$B,MATCH($C151,'CDER-ES'!$A:$A,0)),
IF($B151="SINAPI",INDEX(CSINAPI!$B:$B,MATCH($C151,CSINAPI!$A:$A,0)),
IF($B151="CESAN",INDEX(CCESAN!$B:$B,MATCH($C151,CCESAN!$A:$A,0)),
IF($B151="SCORIO",INDEX(CSCORIO!$B:$B,MATCH($C151,CSCORIO!$A:$A,0)),
IF($B151="MERC",INDEX(MERCADO!$B:$B,MATCH($C151,MERCADO!$A:$A,0)),
IF($B151="COMP",INDEX(COMPOSICAO!$B:$B,MATCH($C151,COMPOSICAO!$A:$A,0)),
""))))))),"*Verificar código*")</f>
        <v>Caixas De Inspeção De Alv. Blocos Concreto 9X19X39Cm, Dim, 60X60Cm E Hmáx = 1M, Com Tampa De Conc. Esp. 5Cm, Lastro De Conc. Esp. 10Cm, Revest Intern. C/ Chapisco E Reboco Impermeabilizado, Incl. Escavação, Reaterro E Enchimento</v>
      </c>
      <c r="E151" s="200" t="str">
        <f>IFERROR(LOWER(
IF($B151="DER-ES",INDEX('CDER-ES'!$C:$C,MATCH($C151,'CDER-ES'!$A:$A,0)),
IF($B151="SINAPI",INDEX(CSINAPI!$C:$C,MATCH($C151,CSINAPI!$A:$A,0)),
IF($B151="CESAN",INDEX(CCESAN!$C:$C,MATCH($C151,CCESAN!$A:$A,0)),
IF($B151="SCORIO",INDEX(CSCORIO!$A:$A,MATCH($C151,CSCORIO!#REF!,0)),
IF($B151="MERC",INDEX(MERCADO!$D:$D,MATCH($C151,MERCADO!$A:$A,0)),
IF($B151="COMP",INDEX(COMPOSICAO!$G:$G,MATCH($C151,COMPOSICAO!$A:$A,0)),
""))))))),"")</f>
        <v>und</v>
      </c>
      <c r="F151" s="208">
        <f>VLOOKUP(A151,'MEMÓRIA DE CÁLCULO'!A:H,8,0)</f>
        <v>1</v>
      </c>
      <c r="G151" s="202">
        <f>IFERROR(
IF($B151="DER-ES",INDEX('CDER-ES'!$D:$D,MATCH($C151,'CDER-ES'!$A:$A,0)),
IF($B151="SINAPI",INDEX(CSINAPI!$D:$D,MATCH($C151,CSINAPI!$A:$A,0)),
IF($B151="CESAN",INDEX(CCESAN!$D:$D,MATCH($C151,CCESAN!$A:$A,0)),
IF($B151="SCORIO",INDEX(CSCORIO!$B:$B,MATCH($C151,CSCORIO!#REF!,0)),
IF($B151="MERC",INDEX(MERCADO!$E:$E,MATCH($C151,MERCADO!$A:$A,0)),
IF($B151="COMP",INDEX(COMPOSICAO!$H:$H,MATCH($C151,COMPOSICAO!$A:$A,0)),
0)))))),0)</f>
        <v>476.23</v>
      </c>
      <c r="H151" s="202">
        <f t="shared" si="86"/>
        <v>595.29</v>
      </c>
      <c r="I151" s="209">
        <f t="shared" si="87"/>
        <v>595.29</v>
      </c>
      <c r="J151" s="225">
        <f>I151/I$101</f>
        <v>1.7499090196640987E-2</v>
      </c>
    </row>
    <row r="152" spans="1:10" ht="89.25">
      <c r="A152" s="204" t="s">
        <v>28995</v>
      </c>
      <c r="B152" s="205" t="s">
        <v>26583</v>
      </c>
      <c r="C152" s="206">
        <v>141104</v>
      </c>
      <c r="D152" s="207" t="str">
        <f>IFERROR(PROPER(
IF($B152="DER-ES",INDEX('CDER-ES'!$B:$B,MATCH($C152,'CDER-ES'!$A:$A,0)),
IF($B152="SINAPI",INDEX(CSINAPI!$B:$B,MATCH($C152,CSINAPI!$A:$A,0)),
IF($B152="CESAN",INDEX(CCESAN!$B:$B,MATCH($C152,CCESAN!$A:$A,0)),
IF($B152="SCORIO",INDEX(CSCORIO!$B:$B,MATCH($C152,CSCORIO!$A:$A,0)),
IF($B152="MERC",INDEX(MERCADO!$B:$B,MATCH($C152,MERCADO!$A:$A,0)),
IF($B152="COMP",INDEX(COMPOSICAO!$B:$B,MATCH($C152,COMPOSICAO!$A:$A,0)),
""))))))),"*Verificar código*")</f>
        <v>Caixa De Gordura De Alv. Bloco Concreto 9X19X39Cm, Dim.60X60Cm E Hmáx=1M, Com Tampa Em Concreto Esp.5Cm, Lastro Concreto Esp.10Cm, Revestida Intern. C/ Chapisco E Reboco Impermeab, Escavação, Reaterro E Parede Interna Em Concreto</v>
      </c>
      <c r="E152" s="200" t="str">
        <f>IFERROR(LOWER(
IF($B152="DER-ES",INDEX('CDER-ES'!$C:$C,MATCH($C152,'CDER-ES'!$A:$A,0)),
IF($B152="SINAPI",INDEX(CSINAPI!$C:$C,MATCH($C152,CSINAPI!$A:$A,0)),
IF($B152="CESAN",INDEX(CCESAN!$C:$C,MATCH($C152,CCESAN!$A:$A,0)),
IF($B152="SCORIO",INDEX(CSCORIO!$A:$A,MATCH($C152,CSCORIO!#REF!,0)),
IF($B152="MERC",INDEX(MERCADO!$D:$D,MATCH($C152,MERCADO!$A:$A,0)),
IF($B152="COMP",INDEX(COMPOSICAO!$G:$G,MATCH($C152,COMPOSICAO!$A:$A,0)),
""))))))),"")</f>
        <v>und</v>
      </c>
      <c r="F152" s="208">
        <f>VLOOKUP(A152,'MEMÓRIA DE CÁLCULO'!A:H,8,0)</f>
        <v>1</v>
      </c>
      <c r="G152" s="202">
        <f>IFERROR(
IF($B152="DER-ES",INDEX('CDER-ES'!$D:$D,MATCH($C152,'CDER-ES'!$A:$A,0)),
IF($B152="SINAPI",INDEX(CSINAPI!$D:$D,MATCH($C152,CSINAPI!$A:$A,0)),
IF($B152="CESAN",INDEX(CCESAN!$D:$D,MATCH($C152,CCESAN!$A:$A,0)),
IF($B152="SCORIO",INDEX(CSCORIO!$B:$B,MATCH($C152,CSCORIO!#REF!,0)),
IF($B152="MERC",INDEX(MERCADO!$E:$E,MATCH($C152,MERCADO!$A:$A,0)),
IF($B152="COMP",INDEX(COMPOSICAO!$H:$H,MATCH($C152,COMPOSICAO!$A:$A,0)),
0)))))),0)</f>
        <v>515.5</v>
      </c>
      <c r="H152" s="202">
        <f t="shared" si="86"/>
        <v>644.38</v>
      </c>
      <c r="I152" s="209">
        <f t="shared" si="87"/>
        <v>644.38</v>
      </c>
      <c r="J152" s="225">
        <f>I152/I$101</f>
        <v>1.8942135330530529E-2</v>
      </c>
    </row>
    <row r="153" spans="1:10" ht="38.25">
      <c r="A153" s="204" t="s">
        <v>28999</v>
      </c>
      <c r="B153" s="205" t="s">
        <v>1019</v>
      </c>
      <c r="C153" s="206">
        <v>90443</v>
      </c>
      <c r="D153" s="207" t="str">
        <f>IFERROR(PROPER(
IF($B153="DER-ES",INDEX('CDER-ES'!$B:$B,MATCH($C153,'CDER-ES'!$A:$A,0)),
IF($B153="SINAPI",INDEX(CSINAPI!$B:$B,MATCH($C153,CSINAPI!$A:$A,0)),
IF($B153="CESAN",INDEX(CCESAN!$B:$B,MATCH($C153,CCESAN!$A:$A,0)),
IF($B153="SCORIO",INDEX(CSCORIO!$B:$B,MATCH($C153,CSCORIO!$A:$A,0)),
IF($B153="MERC",INDEX(MERCADO!$B:$B,MATCH($C153,MERCADO!$A:$A,0)),
IF($B153="COMP",INDEX(COMPOSICAO!$B:$B,MATCH($C153,COMPOSICAO!$A:$A,0)),
""))))))),"*Verificar código*")</f>
        <v>Rasgo Em Alvenaria Para Ramais/ Distribuição Com Diametros Menores Ou Iguais A 40 Mm. Af_05/2015</v>
      </c>
      <c r="E153" s="200" t="str">
        <f>IFERROR(LOWER(
IF($B153="DER-ES",INDEX('CDER-ES'!$C:$C,MATCH($C153,'CDER-ES'!$A:$A,0)),
IF($B153="SINAPI",INDEX(CSINAPI!$C:$C,MATCH($C153,CSINAPI!$A:$A,0)),
IF($B153="CESAN",INDEX(CCESAN!$C:$C,MATCH($C153,CCESAN!$A:$A,0)),
IF($B153="SCORIO",INDEX(CSCORIO!$A:$A,MATCH($C153,CSCORIO!#REF!,0)),
IF($B153="MERC",INDEX(MERCADO!$D:$D,MATCH($C153,MERCADO!$A:$A,0)),
IF($B153="COMP",INDEX(COMPOSICAO!$G:$G,MATCH($C153,COMPOSICAO!$A:$A,0)),
""))))))),"")</f>
        <v>m</v>
      </c>
      <c r="F153" s="208">
        <f>VLOOKUP(A153,'MEMÓRIA DE CÁLCULO'!A:H,8,0)</f>
        <v>56.8</v>
      </c>
      <c r="G153" s="202">
        <f>IFERROR(
IF($B153="DER-ES",INDEX('CDER-ES'!$D:$D,MATCH($C153,'CDER-ES'!$A:$A,0)),
IF($B153="SINAPI",INDEX(CSINAPI!$D:$D,MATCH($C153,CSINAPI!$A:$A,0)),
IF($B153="CESAN",INDEX(CCESAN!$D:$D,MATCH($C153,CCESAN!$A:$A,0)),
IF($B153="SCORIO",INDEX(CSCORIO!$B:$B,MATCH($C153,CSCORIO!#REF!,0)),
IF($B153="MERC",INDEX(MERCADO!$E:$E,MATCH($C153,MERCADO!$A:$A,0)),
IF($B153="COMP",INDEX(COMPOSICAO!$H:$H,MATCH($C153,COMPOSICAO!$A:$A,0)),
0)))))),0)</f>
        <v>11.05</v>
      </c>
      <c r="H153" s="202">
        <f t="shared" si="86"/>
        <v>13.81</v>
      </c>
      <c r="I153" s="209">
        <f t="shared" si="87"/>
        <v>784.41</v>
      </c>
      <c r="J153" s="225">
        <f>I153/I$101</f>
        <v>2.3058444356779312E-2</v>
      </c>
    </row>
    <row r="154" spans="1:10" ht="51">
      <c r="A154" s="204" t="s">
        <v>29000</v>
      </c>
      <c r="B154" s="205" t="s">
        <v>1019</v>
      </c>
      <c r="C154" s="206">
        <v>91222</v>
      </c>
      <c r="D154" s="207" t="str">
        <f>IFERROR(PROPER(
IF($B154="DER-ES",INDEX('CDER-ES'!$B:$B,MATCH($C154,'CDER-ES'!$A:$A,0)),
IF($B154="SINAPI",INDEX(CSINAPI!$B:$B,MATCH($C154,CSINAPI!$A:$A,0)),
IF($B154="CESAN",INDEX(CCESAN!$B:$B,MATCH($C154,CCESAN!$A:$A,0)),
IF($B154="SCORIO",INDEX(CSCORIO!$B:$B,MATCH($C154,CSCORIO!$A:$A,0)),
IF($B154="MERC",INDEX(MERCADO!$B:$B,MATCH($C154,MERCADO!$A:$A,0)),
IF($B154="COMP",INDEX(COMPOSICAO!$B:$B,MATCH($C154,COMPOSICAO!$A:$A,0)),
""))))))),"*Verificar código*")</f>
        <v>Rasgo Em Alvenaria Para Ramais/ Distribuição Com Diâmetros Maiores Que 40 Mm E Menores Ou Iguais A 75 Mm. Af_05/2015</v>
      </c>
      <c r="E154" s="200" t="str">
        <f>IFERROR(LOWER(
IF($B154="DER-ES",INDEX('CDER-ES'!$C:$C,MATCH($C154,'CDER-ES'!$A:$A,0)),
IF($B154="SINAPI",INDEX(CSINAPI!$C:$C,MATCH($C154,CSINAPI!$A:$A,0)),
IF($B154="CESAN",INDEX(CCESAN!$C:$C,MATCH($C154,CCESAN!$A:$A,0)),
IF($B154="SCORIO",INDEX(CSCORIO!$A:$A,MATCH($C154,CSCORIO!#REF!,0)),
IF($B154="MERC",INDEX(MERCADO!$D:$D,MATCH($C154,MERCADO!$A:$A,0)),
IF($B154="COMP",INDEX(COMPOSICAO!$G:$G,MATCH($C154,COMPOSICAO!$A:$A,0)),
""))))))),"")</f>
        <v>m</v>
      </c>
      <c r="F154" s="208">
        <f>VLOOKUP(A154,'MEMÓRIA DE CÁLCULO'!A:H,8,0)</f>
        <v>30.4</v>
      </c>
      <c r="G154" s="202">
        <f>IFERROR(
IF($B154="DER-ES",INDEX('CDER-ES'!$D:$D,MATCH($C154,'CDER-ES'!$A:$A,0)),
IF($B154="SINAPI",INDEX(CSINAPI!$D:$D,MATCH($C154,CSINAPI!$A:$A,0)),
IF($B154="CESAN",INDEX(CCESAN!$D:$D,MATCH($C154,CCESAN!$A:$A,0)),
IF($B154="SCORIO",INDEX(CSCORIO!$B:$B,MATCH($C154,CSCORIO!#REF!,0)),
IF($B154="MERC",INDEX(MERCADO!$E:$E,MATCH($C154,MERCADO!$A:$A,0)),
IF($B154="COMP",INDEX(COMPOSICAO!$H:$H,MATCH($C154,COMPOSICAO!$A:$A,0)),
0)))))),0)</f>
        <v>11.89</v>
      </c>
      <c r="H154" s="202">
        <f t="shared" si="86"/>
        <v>14.86</v>
      </c>
      <c r="I154" s="209">
        <f t="shared" si="87"/>
        <v>451.74</v>
      </c>
      <c r="J154" s="225">
        <f>I154/I$101</f>
        <v>1.3279307573502997E-2</v>
      </c>
    </row>
    <row r="155" spans="1:10" ht="51">
      <c r="A155" s="204" t="s">
        <v>29001</v>
      </c>
      <c r="B155" s="205" t="s">
        <v>1019</v>
      </c>
      <c r="C155" s="206">
        <v>90466</v>
      </c>
      <c r="D155" s="207" t="str">
        <f>IFERROR(PROPER(
IF($B155="DER-ES",INDEX('CDER-ES'!$B:$B,MATCH($C155,'CDER-ES'!$A:$A,0)),
IF($B155="SINAPI",INDEX(CSINAPI!$B:$B,MATCH($C155,CSINAPI!$A:$A,0)),
IF($B155="CESAN",INDEX(CCESAN!$B:$B,MATCH($C155,CCESAN!$A:$A,0)),
IF($B155="SCORIO",INDEX(CSCORIO!$B:$B,MATCH($C155,CSCORIO!$A:$A,0)),
IF($B155="MERC",INDEX(MERCADO!$B:$B,MATCH($C155,MERCADO!$A:$A,0)),
IF($B155="COMP",INDEX(COMPOSICAO!$B:$B,MATCH($C155,COMPOSICAO!$A:$A,0)),
""))))))),"*Verificar código*")</f>
        <v>Chumbamento Linear Em Alvenaria Para Ramais/Distribuição Com Diâmetros Menores Ou Iguais A 40 Mm. Af_05/2015</v>
      </c>
      <c r="E155" s="200" t="str">
        <f>IFERROR(LOWER(
IF($B155="DER-ES",INDEX('CDER-ES'!$C:$C,MATCH($C155,'CDER-ES'!$A:$A,0)),
IF($B155="SINAPI",INDEX(CSINAPI!$C:$C,MATCH($C155,CSINAPI!$A:$A,0)),
IF($B155="CESAN",INDEX(CCESAN!$C:$C,MATCH($C155,CCESAN!$A:$A,0)),
IF($B155="SCORIO",INDEX(CSCORIO!$A:$A,MATCH($C155,CSCORIO!#REF!,0)),
IF($B155="MERC",INDEX(MERCADO!$D:$D,MATCH($C155,MERCADO!$A:$A,0)),
IF($B155="COMP",INDEX(COMPOSICAO!$G:$G,MATCH($C155,COMPOSICAO!$A:$A,0)),
""))))))),"")</f>
        <v>m</v>
      </c>
      <c r="F155" s="208">
        <f>VLOOKUP(A155,'MEMÓRIA DE CÁLCULO'!A:H,8,0)</f>
        <v>56.8</v>
      </c>
      <c r="G155" s="202">
        <f>IFERROR(
IF($B155="DER-ES",INDEX('CDER-ES'!$D:$D,MATCH($C155,'CDER-ES'!$A:$A,0)),
IF($B155="SINAPI",INDEX(CSINAPI!$D:$D,MATCH($C155,CSINAPI!$A:$A,0)),
IF($B155="CESAN",INDEX(CCESAN!$D:$D,MATCH($C155,CCESAN!$A:$A,0)),
IF($B155="SCORIO",INDEX(CSCORIO!$B:$B,MATCH($C155,CSCORIO!#REF!,0)),
IF($B155="MERC",INDEX(MERCADO!$E:$E,MATCH($C155,MERCADO!$A:$A,0)),
IF($B155="COMP",INDEX(COMPOSICAO!$H:$H,MATCH($C155,COMPOSICAO!$A:$A,0)),
0)))))),0)</f>
        <v>10.94</v>
      </c>
      <c r="H155" s="202">
        <f t="shared" si="86"/>
        <v>13.68</v>
      </c>
      <c r="I155" s="209">
        <f t="shared" si="87"/>
        <v>777.02</v>
      </c>
      <c r="J155" s="225">
        <f>I155/I$101</f>
        <v>2.2841208595128389E-2</v>
      </c>
    </row>
    <row r="156" spans="1:10" ht="63.75">
      <c r="A156" s="204" t="s">
        <v>29002</v>
      </c>
      <c r="B156" s="205" t="s">
        <v>1019</v>
      </c>
      <c r="C156" s="206">
        <v>90467</v>
      </c>
      <c r="D156" s="207" t="str">
        <f>IFERROR(PROPER(
IF($B156="DER-ES",INDEX('CDER-ES'!$B:$B,MATCH($C156,'CDER-ES'!$A:$A,0)),
IF($B156="SINAPI",INDEX(CSINAPI!$B:$B,MATCH($C156,CSINAPI!$A:$A,0)),
IF($B156="CESAN",INDEX(CCESAN!$B:$B,MATCH($C156,CCESAN!$A:$A,0)),
IF($B156="SCORIO",INDEX(CSCORIO!$B:$B,MATCH($C156,CSCORIO!$A:$A,0)),
IF($B156="MERC",INDEX(MERCADO!$B:$B,MATCH($C156,MERCADO!$A:$A,0)),
IF($B156="COMP",INDEX(COMPOSICAO!$B:$B,MATCH($C156,COMPOSICAO!$A:$A,0)),
""))))))),"*Verificar código*")</f>
        <v>Chumbamento Linear Em Alvenaria Para Ramais/Distribuição Com Diâmetros Maiores Que 40 Mm E Menores Ou Iguais A 75 Mm. Af_05/2015</v>
      </c>
      <c r="E156" s="200" t="str">
        <f>IFERROR(LOWER(
IF($B156="DER-ES",INDEX('CDER-ES'!$C:$C,MATCH($C156,'CDER-ES'!$A:$A,0)),
IF($B156="SINAPI",INDEX(CSINAPI!$C:$C,MATCH($C156,CSINAPI!$A:$A,0)),
IF($B156="CESAN",INDEX(CCESAN!$C:$C,MATCH($C156,CCESAN!$A:$A,0)),
IF($B156="SCORIO",INDEX(CSCORIO!$A:$A,MATCH($C156,CSCORIO!#REF!,0)),
IF($B156="MERC",INDEX(MERCADO!$D:$D,MATCH($C156,MERCADO!$A:$A,0)),
IF($B156="COMP",INDEX(COMPOSICAO!$G:$G,MATCH($C156,COMPOSICAO!$A:$A,0)),
""))))))),"")</f>
        <v>m</v>
      </c>
      <c r="F156" s="208">
        <f>VLOOKUP(A156,'MEMÓRIA DE CÁLCULO'!A:H,8,0)</f>
        <v>30.4</v>
      </c>
      <c r="G156" s="202">
        <f>IFERROR(
IF($B156="DER-ES",INDEX('CDER-ES'!$D:$D,MATCH($C156,'CDER-ES'!$A:$A,0)),
IF($B156="SINAPI",INDEX(CSINAPI!$D:$D,MATCH($C156,CSINAPI!$A:$A,0)),
IF($B156="CESAN",INDEX(CCESAN!$D:$D,MATCH($C156,CCESAN!$A:$A,0)),
IF($B156="SCORIO",INDEX(CSCORIO!$B:$B,MATCH($C156,CSCORIO!#REF!,0)),
IF($B156="MERC",INDEX(MERCADO!$E:$E,MATCH($C156,MERCADO!$A:$A,0)),
IF($B156="COMP",INDEX(COMPOSICAO!$H:$H,MATCH($C156,COMPOSICAO!$A:$A,0)),
0)))))),0)</f>
        <v>17.29</v>
      </c>
      <c r="H156" s="202">
        <f t="shared" si="86"/>
        <v>21.61</v>
      </c>
      <c r="I156" s="209">
        <f t="shared" si="87"/>
        <v>656.94</v>
      </c>
      <c r="J156" s="225">
        <f t="shared" ref="J156" si="117">I156/I$101</f>
        <v>1.9311347937612477E-2</v>
      </c>
    </row>
    <row r="157" spans="1:10" ht="25.5">
      <c r="A157" s="204" t="s">
        <v>29101</v>
      </c>
      <c r="B157" s="205" t="s">
        <v>1020</v>
      </c>
      <c r="C157" s="206">
        <v>46</v>
      </c>
      <c r="D157" s="207" t="str">
        <f>IFERROR(PROPER(
IF($B157="DER-ES",INDEX('CDER-ES'!$B:$B,MATCH($C157,'CDER-ES'!$A:$A,0)),
IF($B157="SINAPI",INDEX(CSINAPI!$B:$B,MATCH($C157,CSINAPI!$A:$A,0)),
IF($B157="CESAN",INDEX(CCESAN!$B:$B,MATCH($C157,CCESAN!$A:$A,0)),
IF($B157="SCORIO",INDEX(CSCORIO!$B:$B,MATCH($C157,CSCORIO!$A:$A,0)),
IF($B157="MERC",INDEX(MERCADO!$B:$B,MATCH($C157,MERCADO!$A:$A,0)),
IF($B157="COMP",INDEX(COMPOSICAO!$B:$B,MATCH($C157,COMPOSICAO!$A:$A,0)),
""))))))),"*Verificar código*")</f>
        <v>Suporte Para Elevação De Caixa D'Água Em Madeira Com 6 Apoios</v>
      </c>
      <c r="E157" s="200" t="str">
        <f>IFERROR(LOWER(
IF($B157="DER-ES",INDEX('CDER-ES'!$C:$C,MATCH($C157,'CDER-ES'!$A:$A,0)),
IF($B157="SINAPI",INDEX(CSINAPI!$C:$C,MATCH($C157,CSINAPI!$A:$A,0)),
IF($B157="CESAN",INDEX(CCESAN!$C:$C,MATCH($C157,CCESAN!$A:$A,0)),
IF($B157="SCORIO",INDEX(CSCORIO!$A:$A,MATCH($C157,CSCORIO!#REF!,0)),
IF($B157="MERC",INDEX(MERCADO!$D:$D,MATCH($C157,MERCADO!$A:$A,0)),
IF($B157="COMP",INDEX(COMPOSICAO!$G:$G,MATCH($C157,COMPOSICAO!$A:$A,0)),
""))))))),"")</f>
        <v>und.</v>
      </c>
      <c r="F157" s="208">
        <f>VLOOKUP(A157,'MEMÓRIA DE CÁLCULO'!A:H,8,0)</f>
        <v>2</v>
      </c>
      <c r="G157" s="202">
        <f>IFERROR(
IF($B157="DER-ES",INDEX('CDER-ES'!$D:$D,MATCH($C157,'CDER-ES'!$A:$A,0)),
IF($B157="SINAPI",INDEX(CSINAPI!$D:$D,MATCH($C157,CSINAPI!$A:$A,0)),
IF($B157="CESAN",INDEX(CCESAN!$D:$D,MATCH($C157,CCESAN!$A:$A,0)),
IF($B157="SCORIO",INDEX(CSCORIO!$B:$B,MATCH($C157,CSCORIO!#REF!,0)),
IF($B157="MERC",INDEX(MERCADO!$E:$E,MATCH($C157,MERCADO!$A:$A,0)),
IF($B157="COMP",INDEX(COMPOSICAO!$H:$H,MATCH($C157,COMPOSICAO!$A:$A,0)),
0)))))),0)</f>
        <v>2176.71</v>
      </c>
      <c r="H157" s="202">
        <f t="shared" ref="H157" si="118">ROUND(G157*(1+$J$2),2)</f>
        <v>2720.89</v>
      </c>
      <c r="I157" s="209">
        <f t="shared" ref="I157" si="119">ROUND($H157*F157,2)</f>
        <v>5441.78</v>
      </c>
      <c r="J157" s="225">
        <f t="shared" ref="J157" si="120">I157/I$101</f>
        <v>0.15996606536356564</v>
      </c>
    </row>
    <row r="158" spans="1:10">
      <c r="A158" s="196" t="s">
        <v>26563</v>
      </c>
      <c r="B158" s="197"/>
      <c r="C158" s="198"/>
      <c r="D158" s="199" t="s">
        <v>2264</v>
      </c>
      <c r="E158" s="200"/>
      <c r="F158" s="201"/>
      <c r="G158" s="202"/>
      <c r="H158" s="202"/>
      <c r="I158" s="203">
        <f>SUBTOTAL(9,I159:I202)</f>
        <v>146130.11000000002</v>
      </c>
      <c r="J158" s="224">
        <f>SUBTOTAL(9,J159:J202)</f>
        <v>1</v>
      </c>
    </row>
    <row r="159" spans="1:10" ht="38.25">
      <c r="A159" s="204" t="s">
        <v>26564</v>
      </c>
      <c r="B159" s="205" t="s">
        <v>1020</v>
      </c>
      <c r="C159" s="206">
        <v>14</v>
      </c>
      <c r="D159" s="207" t="str">
        <f>IFERROR(PROPER(
IF($B159="DER-ES",INDEX('CDER-ES'!$B:$B,MATCH($C159,'CDER-ES'!$A:$A,0)),
IF($B159="SINAPI",INDEX(CSINAPI!$B:$B,MATCH($C159,CSINAPI!$A:$A,0)),
IF($B159="CESAN",INDEX(CCESAN!$B:$B,MATCH($C159,CCESAN!$A:$A,0)),
IF($B159="SCORIO",INDEX(CSCORIO!$B:$B,MATCH($C159,CSCORIO!$A:$A,0)),
IF($B159="MERC",INDEX(MERCADO!$B:$B,MATCH($C159,MERCADO!$A:$A,0)),
IF($B159="COMP",INDEX(COMPOSICAO!$B:$B,MATCH($C159,COMPOSICAO!$A:$A,0)),
""))))))),"*Verificar código*")</f>
        <v>Descida Poste Iluminação Pública Com Tubo De Aço Galvanizado Dn 1.1/2", Inclusive Acessórios</v>
      </c>
      <c r="E159" s="200" t="str">
        <f>IFERROR(LOWER(
IF($B159="DER-ES",INDEX('CDER-ES'!$C:$C,MATCH($C159,'CDER-ES'!$A:$A,0)),
IF($B159="SINAPI",INDEX(CSINAPI!$C:$C,MATCH($C159,CSINAPI!$A:$A,0)),
IF($B159="CESAN",INDEX(CCESAN!$C:$C,MATCH($C159,CCESAN!$A:$A,0)),
IF($B159="SCORIO",INDEX(CSCORIO!$A:$A,MATCH($C159,CSCORIO!#REF!,0)),
IF($B159="MERC",INDEX(MERCADO!$D:$D,MATCH($C159,MERCADO!$A:$A,0)),
IF($B159="COMP",INDEX(COMPOSICAO!$G:$G,MATCH($C159,COMPOSICAO!$A:$A,0)),
""))))))),"")</f>
        <v>und.</v>
      </c>
      <c r="F159" s="208">
        <f>VLOOKUP(A159,'MEMÓRIA DE CÁLCULO'!A:H,8,0)</f>
        <v>1</v>
      </c>
      <c r="G159" s="202">
        <f>IFERROR(
IF($B159="DER-ES",INDEX('CDER-ES'!$D:$D,MATCH($C159,'CDER-ES'!$A:$A,0)),
IF($B159="SINAPI",INDEX(CSINAPI!$D:$D,MATCH($C159,CSINAPI!$A:$A,0)),
IF($B159="CESAN",INDEX(CCESAN!$D:$D,MATCH($C159,CCESAN!$A:$A,0)),
IF($B159="SCORIO",INDEX(CSCORIO!$B:$B,MATCH($C159,CSCORIO!#REF!,0)),
IF($B159="MERC",INDEX(MERCADO!$E:$E,MATCH($C159,MERCADO!$A:$A,0)),
IF($B159="COMP",INDEX(COMPOSICAO!$H:$H,MATCH($C159,COMPOSICAO!$A:$A,0)),
0)))))),0)</f>
        <v>619.87</v>
      </c>
      <c r="H159" s="202">
        <f t="shared" ref="H159:H202" si="121">ROUND(G159*(1+$J$2),2)</f>
        <v>774.84</v>
      </c>
      <c r="I159" s="209">
        <f t="shared" ref="I159:I202" si="122">ROUND($H159*F159,2)</f>
        <v>774.84</v>
      </c>
      <c r="J159" s="225">
        <f t="shared" ref="J159:J178" si="123">I159/I$158</f>
        <v>5.3023979794444825E-3</v>
      </c>
    </row>
    <row r="160" spans="1:10" ht="76.5">
      <c r="A160" s="204" t="s">
        <v>26565</v>
      </c>
      <c r="B160" s="205" t="s">
        <v>26583</v>
      </c>
      <c r="C160" s="206">
        <v>150616</v>
      </c>
      <c r="D160" s="207" t="str">
        <f>IFERROR(PROPER(
IF($B160="DER-ES",INDEX('CDER-ES'!$B:$B,MATCH($C160,'CDER-ES'!$A:$A,0)),
IF($B160="SINAPI",INDEX(CSINAPI!$B:$B,MATCH($C160,CSINAPI!$A:$A,0)),
IF($B160="CESAN",INDEX(CCESAN!$B:$B,MATCH($C160,CCESAN!$A:$A,0)),
IF($B160="SCORIO",INDEX(CSCORIO!$B:$B,MATCH($C160,CSCORIO!$A:$A,0)),
IF($B160="MERC",INDEX(MERCADO!$B:$B,MATCH($C160,MERCADO!$A:$A,0)),
IF($B160="COMP",INDEX(COMPOSICAO!$B:$B,MATCH($C160,COMPOSICAO!$A:$A,0)),
""))))))),"*Verificar código*")</f>
        <v>Caixa De Passagem De Alvenaria De Blocos De Concreto 9X19X39Cm, Dimensões De 50X50X50Cm, Com Revestimento Interno Em Chapisco E Reboco, Tampa De Concreto Esp.5Cm E Lastro De Brita 5 Cm</v>
      </c>
      <c r="E160" s="200" t="str">
        <f>IFERROR(LOWER(
IF($B160="DER-ES",INDEX('CDER-ES'!$C:$C,MATCH($C160,'CDER-ES'!$A:$A,0)),
IF($B160="SINAPI",INDEX(CSINAPI!$C:$C,MATCH($C160,CSINAPI!$A:$A,0)),
IF($B160="CESAN",INDEX(CCESAN!$C:$C,MATCH($C160,CCESAN!$A:$A,0)),
IF($B160="SCORIO",INDEX(CSCORIO!$A:$A,MATCH($C160,CSCORIO!#REF!,0)),
IF($B160="MERC",INDEX(MERCADO!$D:$D,MATCH($C160,MERCADO!$A:$A,0)),
IF($B160="COMP",INDEX(COMPOSICAO!$G:$G,MATCH($C160,COMPOSICAO!$A:$A,0)),
""))))))),"")</f>
        <v>und</v>
      </c>
      <c r="F160" s="208">
        <f>VLOOKUP(A160,'MEMÓRIA DE CÁLCULO'!A:H,8,0)</f>
        <v>12</v>
      </c>
      <c r="G160" s="202">
        <f>IFERROR(
IF($B160="DER-ES",INDEX('CDER-ES'!$D:$D,MATCH($C160,'CDER-ES'!$A:$A,0)),
IF($B160="SINAPI",INDEX(CSINAPI!$D:$D,MATCH($C160,CSINAPI!$A:$A,0)),
IF($B160="CESAN",INDEX(CCESAN!$D:$D,MATCH($C160,CCESAN!$A:$A,0)),
IF($B160="SCORIO",INDEX(CSCORIO!$B:$B,MATCH($C160,CSCORIO!#REF!,0)),
IF($B160="MERC",INDEX(MERCADO!$E:$E,MATCH($C160,MERCADO!$A:$A,0)),
IF($B160="COMP",INDEX(COMPOSICAO!$H:$H,MATCH($C160,COMPOSICAO!$A:$A,0)),
0)))))),0)</f>
        <v>215.07</v>
      </c>
      <c r="H160" s="202">
        <f t="shared" si="121"/>
        <v>268.83999999999997</v>
      </c>
      <c r="I160" s="209">
        <f t="shared" si="122"/>
        <v>3226.08</v>
      </c>
      <c r="J160" s="225">
        <f t="shared" si="123"/>
        <v>2.2076764330089121E-2</v>
      </c>
    </row>
    <row r="161" spans="1:10" ht="76.5">
      <c r="A161" s="204" t="s">
        <v>26738</v>
      </c>
      <c r="B161" s="205" t="s">
        <v>26583</v>
      </c>
      <c r="C161" s="206">
        <v>150701</v>
      </c>
      <c r="D161" s="207" t="str">
        <f>IFERROR(PROPER(
IF($B161="DER-ES",INDEX('CDER-ES'!$B:$B,MATCH($C161,'CDER-ES'!$A:$A,0)),
IF($B161="SINAPI",INDEX(CSINAPI!$B:$B,MATCH($C161,CSINAPI!$A:$A,0)),
IF($B161="CESAN",INDEX(CCESAN!$B:$B,MATCH($C161,CCESAN!$A:$A,0)),
IF($B161="SCORIO",INDEX(CSCORIO!$B:$B,MATCH($C161,CSCORIO!$A:$A,0)),
IF($B161="MERC",INDEX(MERCADO!$B:$B,MATCH($C161,MERCADO!$A:$A,0)),
IF($B161="COMP",INDEX(COMPOSICAO!$B:$B,MATCH($C161,COMPOSICAO!$A:$A,0)),
""))))))),"*Verificar código*")</f>
        <v>Envelopamento De Concreto Simples Com Consumo Mínimo De Cimento De 250Kg/M3, Inclusive Escavação Para Profundidade Mínima Do Eletroduto De 50 Cm, De 25 X 25 Cm, Para 1 Eletroduto</v>
      </c>
      <c r="E161" s="200" t="str">
        <f>IFERROR(LOWER(
IF($B161="DER-ES",INDEX('CDER-ES'!$C:$C,MATCH($C161,'CDER-ES'!$A:$A,0)),
IF($B161="SINAPI",INDEX(CSINAPI!$C:$C,MATCH($C161,CSINAPI!$A:$A,0)),
IF($B161="CESAN",INDEX(CCESAN!$C:$C,MATCH($C161,CCESAN!$A:$A,0)),
IF($B161="SCORIO",INDEX(CSCORIO!$A:$A,MATCH($C161,CSCORIO!#REF!,0)),
IF($B161="MERC",INDEX(MERCADO!$D:$D,MATCH($C161,MERCADO!$A:$A,0)),
IF($B161="COMP",INDEX(COMPOSICAO!$G:$G,MATCH($C161,COMPOSICAO!$A:$A,0)),
""))))))),"")</f>
        <v>m</v>
      </c>
      <c r="F161" s="208">
        <f>VLOOKUP(A161,'MEMÓRIA DE CÁLCULO'!A:H,8,0)</f>
        <v>98.9</v>
      </c>
      <c r="G161" s="202">
        <f>IFERROR(
IF($B161="DER-ES",INDEX('CDER-ES'!$D:$D,MATCH($C161,'CDER-ES'!$A:$A,0)),
IF($B161="SINAPI",INDEX(CSINAPI!$D:$D,MATCH($C161,CSINAPI!$A:$A,0)),
IF($B161="CESAN",INDEX(CCESAN!$D:$D,MATCH($C161,CCESAN!$A:$A,0)),
IF($B161="SCORIO",INDEX(CSCORIO!$B:$B,MATCH($C161,CSCORIO!#REF!,0)),
IF($B161="MERC",INDEX(MERCADO!$E:$E,MATCH($C161,MERCADO!$A:$A,0)),
IF($B161="COMP",INDEX(COMPOSICAO!$H:$H,MATCH($C161,COMPOSICAO!$A:$A,0)),
0)))))),0)</f>
        <v>46.42</v>
      </c>
      <c r="H161" s="202">
        <f t="shared" ref="H161" si="124">ROUND(G161*(1+$J$2),2)</f>
        <v>58.03</v>
      </c>
      <c r="I161" s="209">
        <f t="shared" ref="I161" si="125">ROUND($H161*F161,2)</f>
        <v>5739.17</v>
      </c>
      <c r="J161" s="225">
        <f t="shared" si="123"/>
        <v>3.9274383629766645E-2</v>
      </c>
    </row>
    <row r="162" spans="1:10" ht="76.5">
      <c r="A162" s="204" t="s">
        <v>26760</v>
      </c>
      <c r="B162" s="205" t="s">
        <v>26583</v>
      </c>
      <c r="C162" s="206">
        <v>151711</v>
      </c>
      <c r="D162" s="207" t="str">
        <f>IFERROR(PROPER(
IF($B162="DER-ES",INDEX('CDER-ES'!$B:$B,MATCH($C162,'CDER-ES'!$A:$A,0)),
IF($B162="SINAPI",INDEX(CSINAPI!$B:$B,MATCH($C162,CSINAPI!$A:$A,0)),
IF($B162="CESAN",INDEX(CCESAN!$B:$B,MATCH($C162,CCESAN!$A:$A,0)),
IF($B162="SCORIO",INDEX(CSCORIO!$B:$B,MATCH($C162,CSCORIO!$A:$A,0)),
IF($B162="MERC",INDEX(MERCADO!$B:$B,MATCH($C162,MERCADO!$A:$A,0)),
IF($B162="COMP",INDEX(COMPOSICAO!$B:$B,MATCH($C162,COMPOSICAO!$A:$A,0)),
""))))))),"*Verificar código*")</f>
        <v>Padrão De Entrada De Energia Elétrica, Trifásico, Entrada Subterrânea, A 4 Fios, Carga Instalada Em Muro De 57001 Até 75000W - 220/127V, Exclusive Derivação De Ramal De Entrada Subterrânea</v>
      </c>
      <c r="E162" s="200" t="str">
        <f>IFERROR(LOWER(
IF($B162="DER-ES",INDEX('CDER-ES'!$C:$C,MATCH($C162,'CDER-ES'!$A:$A,0)),
IF($B162="SINAPI",INDEX(CSINAPI!$C:$C,MATCH($C162,CSINAPI!$A:$A,0)),
IF($B162="CESAN",INDEX(CCESAN!$C:$C,MATCH($C162,CCESAN!$A:$A,0)),
IF($B162="SCORIO",INDEX(CSCORIO!$A:$A,MATCH($C162,CSCORIO!#REF!,0)),
IF($B162="MERC",INDEX(MERCADO!$D:$D,MATCH($C162,MERCADO!$A:$A,0)),
IF($B162="COMP",INDEX(COMPOSICAO!$G:$G,MATCH($C162,COMPOSICAO!$A:$A,0)),
""))))))),"")</f>
        <v>und</v>
      </c>
      <c r="F162" s="208">
        <f>VLOOKUP(A162,'MEMÓRIA DE CÁLCULO'!A:H,8,0)</f>
        <v>1</v>
      </c>
      <c r="G162" s="202">
        <f>IFERROR(
IF($B162="DER-ES",INDEX('CDER-ES'!$D:$D,MATCH($C162,'CDER-ES'!$A:$A,0)),
IF($B162="SINAPI",INDEX(CSINAPI!$D:$D,MATCH($C162,CSINAPI!$A:$A,0)),
IF($B162="CESAN",INDEX(CCESAN!$D:$D,MATCH($C162,CCESAN!$A:$A,0)),
IF($B162="SCORIO",INDEX(CSCORIO!$B:$B,MATCH($C162,CSCORIO!#REF!,0)),
IF($B162="MERC",INDEX(MERCADO!$E:$E,MATCH($C162,MERCADO!$A:$A,0)),
IF($B162="COMP",INDEX(COMPOSICAO!$H:$H,MATCH($C162,COMPOSICAO!$A:$A,0)),
0)))))),0)</f>
        <v>10283.19</v>
      </c>
      <c r="H162" s="202">
        <f t="shared" ref="H162:H163" si="126">ROUND(G162*(1+$J$2),2)</f>
        <v>12853.99</v>
      </c>
      <c r="I162" s="209">
        <f t="shared" ref="I162:I163" si="127">ROUND($H162*F162,2)</f>
        <v>12853.99</v>
      </c>
      <c r="J162" s="225">
        <f t="shared" si="123"/>
        <v>8.7962638226988257E-2</v>
      </c>
    </row>
    <row r="163" spans="1:10" ht="63.75">
      <c r="A163" s="204" t="s">
        <v>26761</v>
      </c>
      <c r="B163" s="205" t="s">
        <v>1019</v>
      </c>
      <c r="C163" s="206">
        <v>101879</v>
      </c>
      <c r="D163" s="207" t="str">
        <f>IFERROR(PROPER(
IF($B163="DER-ES",INDEX('CDER-ES'!$B:$B,MATCH($C163,'CDER-ES'!$A:$A,0)),
IF($B163="SINAPI",INDEX(CSINAPI!$B:$B,MATCH($C163,CSINAPI!$A:$A,0)),
IF($B163="CESAN",INDEX(CCESAN!$B:$B,MATCH($C163,CCESAN!$A:$A,0)),
IF($B163="SCORIO",INDEX(CSCORIO!$B:$B,MATCH($C163,CSCORIO!$A:$A,0)),
IF($B163="MERC",INDEX(MERCADO!$B:$B,MATCH($C163,MERCADO!$A:$A,0)),
IF($B163="COMP",INDEX(COMPOSICAO!$B:$B,MATCH($C163,COMPOSICAO!$A:$A,0)),
""))))))),"*Verificar código*")</f>
        <v>Quadro De Distribuição De Energia Em Chapa De Aço Galvanizado, De Embutir, Com Barramento Trifásico, Para 24 Disjuntores Din 100A - Fornecimento E Instalação. Af_10/2020</v>
      </c>
      <c r="E163" s="200" t="str">
        <f>IFERROR(LOWER(
IF($B163="DER-ES",INDEX('CDER-ES'!$C:$C,MATCH($C163,'CDER-ES'!$A:$A,0)),
IF($B163="SINAPI",INDEX(CSINAPI!$C:$C,MATCH($C163,CSINAPI!$A:$A,0)),
IF($B163="CESAN",INDEX(CCESAN!$C:$C,MATCH($C163,CCESAN!$A:$A,0)),
IF($B163="SCORIO",INDEX(CSCORIO!$A:$A,MATCH($C163,CSCORIO!#REF!,0)),
IF($B163="MERC",INDEX(MERCADO!$D:$D,MATCH($C163,MERCADO!$A:$A,0)),
IF($B163="COMP",INDEX(COMPOSICAO!$G:$G,MATCH($C163,COMPOSICAO!$A:$A,0)),
""))))))),"")</f>
        <v>und</v>
      </c>
      <c r="F163" s="208">
        <f>VLOOKUP(A163,'MEMÓRIA DE CÁLCULO'!A:H,8,0)</f>
        <v>3</v>
      </c>
      <c r="G163" s="202">
        <f>IFERROR(
IF($B163="DER-ES",INDEX('CDER-ES'!$D:$D,MATCH($C163,'CDER-ES'!$A:$A,0)),
IF($B163="SINAPI",INDEX(CSINAPI!$D:$D,MATCH($C163,CSINAPI!$A:$A,0)),
IF($B163="CESAN",INDEX(CCESAN!$D:$D,MATCH($C163,CCESAN!$A:$A,0)),
IF($B163="SCORIO",INDEX(CSCORIO!$B:$B,MATCH($C163,CSCORIO!#REF!,0)),
IF($B163="MERC",INDEX(MERCADO!$E:$E,MATCH($C163,MERCADO!$A:$A,0)),
IF($B163="COMP",INDEX(COMPOSICAO!$H:$H,MATCH($C163,COMPOSICAO!$A:$A,0)),
0)))))),0)</f>
        <v>821.77</v>
      </c>
      <c r="H163" s="202">
        <f t="shared" si="126"/>
        <v>1027.21</v>
      </c>
      <c r="I163" s="209">
        <f t="shared" si="127"/>
        <v>3081.63</v>
      </c>
      <c r="J163" s="225">
        <f t="shared" ref="J163" si="128">I163/I$158</f>
        <v>2.1088261686794049E-2</v>
      </c>
    </row>
    <row r="164" spans="1:10" ht="63.75">
      <c r="A164" s="204" t="s">
        <v>28640</v>
      </c>
      <c r="B164" s="205" t="s">
        <v>1019</v>
      </c>
      <c r="C164" s="206">
        <v>101880</v>
      </c>
      <c r="D164" s="207" t="str">
        <f>IFERROR(PROPER(
IF($B164="DER-ES",INDEX('CDER-ES'!$B:$B,MATCH($C164,'CDER-ES'!$A:$A,0)),
IF($B164="SINAPI",INDEX(CSINAPI!$B:$B,MATCH($C164,CSINAPI!$A:$A,0)),
IF($B164="CESAN",INDEX(CCESAN!$B:$B,MATCH($C164,CCESAN!$A:$A,0)),
IF($B164="SCORIO",INDEX(CSCORIO!$B:$B,MATCH($C164,CSCORIO!$A:$A,0)),
IF($B164="MERC",INDEX(MERCADO!$B:$B,MATCH($C164,MERCADO!$A:$A,0)),
IF($B164="COMP",INDEX(COMPOSICAO!$B:$B,MATCH($C164,COMPOSICAO!$A:$A,0)),
""))))))),"*Verificar código*")</f>
        <v>Quadro De Distribuição De Energia Em Chapa De Aço Galvanizado, De Embutir, Com Barramento Trifásico, Para 30 Disjuntores Din 150A - Fornecimento E Instalação. Af_10/2020</v>
      </c>
      <c r="E164" s="200" t="str">
        <f>IFERROR(LOWER(
IF($B164="DER-ES",INDEX('CDER-ES'!$C:$C,MATCH($C164,'CDER-ES'!$A:$A,0)),
IF($B164="SINAPI",INDEX(CSINAPI!$C:$C,MATCH($C164,CSINAPI!$A:$A,0)),
IF($B164="CESAN",INDEX(CCESAN!$C:$C,MATCH($C164,CCESAN!$A:$A,0)),
IF($B164="SCORIO",INDEX(CSCORIO!$A:$A,MATCH($C164,CSCORIO!#REF!,0)),
IF($B164="MERC",INDEX(MERCADO!$D:$D,MATCH($C164,MERCADO!$A:$A,0)),
IF($B164="COMP",INDEX(COMPOSICAO!$G:$G,MATCH($C164,COMPOSICAO!$A:$A,0)),
""))))))),"")</f>
        <v>und</v>
      </c>
      <c r="F164" s="208">
        <f>VLOOKUP(A164,'MEMÓRIA DE CÁLCULO'!A:H,8,0)</f>
        <v>1</v>
      </c>
      <c r="G164" s="202">
        <f>IFERROR(
IF($B164="DER-ES",INDEX('CDER-ES'!$D:$D,MATCH($C164,'CDER-ES'!$A:$A,0)),
IF($B164="SINAPI",INDEX(CSINAPI!$D:$D,MATCH($C164,CSINAPI!$A:$A,0)),
IF($B164="CESAN",INDEX(CCESAN!$D:$D,MATCH($C164,CCESAN!$A:$A,0)),
IF($B164="SCORIO",INDEX(CSCORIO!$B:$B,MATCH($C164,CSCORIO!#REF!,0)),
IF($B164="MERC",INDEX(MERCADO!$E:$E,MATCH($C164,MERCADO!$A:$A,0)),
IF($B164="COMP",INDEX(COMPOSICAO!$H:$H,MATCH($C164,COMPOSICAO!$A:$A,0)),
0)))))),0)</f>
        <v>944.8</v>
      </c>
      <c r="H164" s="202">
        <f t="shared" si="121"/>
        <v>1181</v>
      </c>
      <c r="I164" s="209">
        <f t="shared" si="122"/>
        <v>1181</v>
      </c>
      <c r="J164" s="225">
        <f t="shared" si="123"/>
        <v>8.0818388489545378E-3</v>
      </c>
    </row>
    <row r="165" spans="1:10" ht="38.25">
      <c r="A165" s="204" t="s">
        <v>28641</v>
      </c>
      <c r="B165" s="205" t="s">
        <v>1019</v>
      </c>
      <c r="C165" s="206">
        <v>93653</v>
      </c>
      <c r="D165" s="207" t="str">
        <f>IFERROR(PROPER(
IF($B165="DER-ES",INDEX('CDER-ES'!$B:$B,MATCH($C165,'CDER-ES'!$A:$A,0)),
IF($B165="SINAPI",INDEX(CSINAPI!$B:$B,MATCH($C165,CSINAPI!$A:$A,0)),
IF($B165="CESAN",INDEX(CCESAN!$B:$B,MATCH($C165,CCESAN!$A:$A,0)),
IF($B165="SCORIO",INDEX(CSCORIO!$B:$B,MATCH($C165,CSCORIO!$A:$A,0)),
IF($B165="MERC",INDEX(MERCADO!$B:$B,MATCH($C165,MERCADO!$A:$A,0)),
IF($B165="COMP",INDEX(COMPOSICAO!$B:$B,MATCH($C165,COMPOSICAO!$A:$A,0)),
""))))))),"*Verificar código*")</f>
        <v>Disjuntor Monopolar Tipo Din, Corrente Nominal De 10A - Fornecimento E Instalação. Af_10/2020</v>
      </c>
      <c r="E165" s="200" t="str">
        <f>IFERROR(LOWER(
IF($B165="DER-ES",INDEX('CDER-ES'!$C:$C,MATCH($C165,'CDER-ES'!$A:$A,0)),
IF($B165="SINAPI",INDEX(CSINAPI!$C:$C,MATCH($C165,CSINAPI!$A:$A,0)),
IF($B165="CESAN",INDEX(CCESAN!$C:$C,MATCH($C165,CCESAN!$A:$A,0)),
IF($B165="SCORIO",INDEX(CSCORIO!$A:$A,MATCH($C165,CSCORIO!#REF!,0)),
IF($B165="MERC",INDEX(MERCADO!$D:$D,MATCH($C165,MERCADO!$A:$A,0)),
IF($B165="COMP",INDEX(COMPOSICAO!$G:$G,MATCH($C165,COMPOSICAO!$A:$A,0)),
""))))))),"")</f>
        <v>und</v>
      </c>
      <c r="F165" s="208">
        <f>VLOOKUP(A165,'MEMÓRIA DE CÁLCULO'!A:H,8,0)</f>
        <v>7</v>
      </c>
      <c r="G165" s="202">
        <f>IFERROR(
IF($B165="DER-ES",INDEX('CDER-ES'!$D:$D,MATCH($C165,'CDER-ES'!$A:$A,0)),
IF($B165="SINAPI",INDEX(CSINAPI!$D:$D,MATCH($C165,CSINAPI!$A:$A,0)),
IF($B165="CESAN",INDEX(CCESAN!$D:$D,MATCH($C165,CCESAN!$A:$A,0)),
IF($B165="SCORIO",INDEX(CSCORIO!$B:$B,MATCH($C165,CSCORIO!#REF!,0)),
IF($B165="MERC",INDEX(MERCADO!$E:$E,MATCH($C165,MERCADO!$A:$A,0)),
IF($B165="COMP",INDEX(COMPOSICAO!$H:$H,MATCH($C165,COMPOSICAO!$A:$A,0)),
0)))))),0)</f>
        <v>10.68</v>
      </c>
      <c r="H165" s="202">
        <f t="shared" si="121"/>
        <v>13.35</v>
      </c>
      <c r="I165" s="209">
        <f t="shared" si="122"/>
        <v>93.45</v>
      </c>
      <c r="J165" s="225">
        <f t="shared" si="123"/>
        <v>6.3949859477967956E-4</v>
      </c>
    </row>
    <row r="166" spans="1:10" ht="38.25">
      <c r="A166" s="204" t="s">
        <v>28645</v>
      </c>
      <c r="B166" s="205" t="s">
        <v>1019</v>
      </c>
      <c r="C166" s="206">
        <v>93654</v>
      </c>
      <c r="D166" s="207" t="str">
        <f>IFERROR(PROPER(
IF($B166="DER-ES",INDEX('CDER-ES'!$B:$B,MATCH($C166,'CDER-ES'!$A:$A,0)),
IF($B166="SINAPI",INDEX(CSINAPI!$B:$B,MATCH($C166,CSINAPI!$A:$A,0)),
IF($B166="CESAN",INDEX(CCESAN!$B:$B,MATCH($C166,CCESAN!$A:$A,0)),
IF($B166="SCORIO",INDEX(CSCORIO!$B:$B,MATCH($C166,CSCORIO!$A:$A,0)),
IF($B166="MERC",INDEX(MERCADO!$B:$B,MATCH($C166,MERCADO!$A:$A,0)),
IF($B166="COMP",INDEX(COMPOSICAO!$B:$B,MATCH($C166,COMPOSICAO!$A:$A,0)),
""))))))),"*Verificar código*")</f>
        <v>Disjuntor Monopolar Tipo Din, Corrente Nominal De 16A - Fornecimento E Instalação. Af_10/2020</v>
      </c>
      <c r="E166" s="200" t="str">
        <f>IFERROR(LOWER(
IF($B166="DER-ES",INDEX('CDER-ES'!$C:$C,MATCH($C166,'CDER-ES'!$A:$A,0)),
IF($B166="SINAPI",INDEX(CSINAPI!$C:$C,MATCH($C166,CSINAPI!$A:$A,0)),
IF($B166="CESAN",INDEX(CCESAN!$C:$C,MATCH($C166,CCESAN!$A:$A,0)),
IF($B166="SCORIO",INDEX(CSCORIO!$A:$A,MATCH($C166,CSCORIO!#REF!,0)),
IF($B166="MERC",INDEX(MERCADO!$D:$D,MATCH($C166,MERCADO!$A:$A,0)),
IF($B166="COMP",INDEX(COMPOSICAO!$G:$G,MATCH($C166,COMPOSICAO!$A:$A,0)),
""))))))),"")</f>
        <v>und</v>
      </c>
      <c r="F166" s="208">
        <f>VLOOKUP(A166,'MEMÓRIA DE CÁLCULO'!A:H,8,0)</f>
        <v>3</v>
      </c>
      <c r="G166" s="202">
        <f>IFERROR(
IF($B166="DER-ES",INDEX('CDER-ES'!$D:$D,MATCH($C166,'CDER-ES'!$A:$A,0)),
IF($B166="SINAPI",INDEX(CSINAPI!$D:$D,MATCH($C166,CSINAPI!$A:$A,0)),
IF($B166="CESAN",INDEX(CCESAN!$D:$D,MATCH($C166,CCESAN!$A:$A,0)),
IF($B166="SCORIO",INDEX(CSCORIO!$B:$B,MATCH($C166,CSCORIO!#REF!,0)),
IF($B166="MERC",INDEX(MERCADO!$E:$E,MATCH($C166,MERCADO!$A:$A,0)),
IF($B166="COMP",INDEX(COMPOSICAO!$H:$H,MATCH($C166,COMPOSICAO!$A:$A,0)),
0)))))),0)</f>
        <v>11.27</v>
      </c>
      <c r="H166" s="202">
        <f t="shared" si="121"/>
        <v>14.09</v>
      </c>
      <c r="I166" s="209">
        <f t="shared" si="122"/>
        <v>42.27</v>
      </c>
      <c r="J166" s="225">
        <f t="shared" si="123"/>
        <v>2.8926276726952437E-4</v>
      </c>
    </row>
    <row r="167" spans="1:10" ht="38.25">
      <c r="A167" s="204" t="s">
        <v>28646</v>
      </c>
      <c r="B167" s="205" t="s">
        <v>1019</v>
      </c>
      <c r="C167" s="206">
        <v>93655</v>
      </c>
      <c r="D167" s="207" t="str">
        <f>IFERROR(PROPER(
IF($B167="DER-ES",INDEX('CDER-ES'!$B:$B,MATCH($C167,'CDER-ES'!$A:$A,0)),
IF($B167="SINAPI",INDEX(CSINAPI!$B:$B,MATCH($C167,CSINAPI!$A:$A,0)),
IF($B167="CESAN",INDEX(CCESAN!$B:$B,MATCH($C167,CCESAN!$A:$A,0)),
IF($B167="SCORIO",INDEX(CSCORIO!$B:$B,MATCH($C167,CSCORIO!$A:$A,0)),
IF($B167="MERC",INDEX(MERCADO!$B:$B,MATCH($C167,MERCADO!$A:$A,0)),
IF($B167="COMP",INDEX(COMPOSICAO!$B:$B,MATCH($C167,COMPOSICAO!$A:$A,0)),
""))))))),"*Verificar código*")</f>
        <v>Disjuntor Monopolar Tipo Din, Corrente Nominal De 20A - Fornecimento E Instalação. Af_10/2020</v>
      </c>
      <c r="E167" s="200" t="str">
        <f>IFERROR(LOWER(
IF($B167="DER-ES",INDEX('CDER-ES'!$C:$C,MATCH($C167,'CDER-ES'!$A:$A,0)),
IF($B167="SINAPI",INDEX(CSINAPI!$C:$C,MATCH($C167,CSINAPI!$A:$A,0)),
IF($B167="CESAN",INDEX(CCESAN!$C:$C,MATCH($C167,CCESAN!$A:$A,0)),
IF($B167="SCORIO",INDEX(CSCORIO!$A:$A,MATCH($C167,CSCORIO!#REF!,0)),
IF($B167="MERC",INDEX(MERCADO!$D:$D,MATCH($C167,MERCADO!$A:$A,0)),
IF($B167="COMP",INDEX(COMPOSICAO!$G:$G,MATCH($C167,COMPOSICAO!$A:$A,0)),
""))))))),"")</f>
        <v>und</v>
      </c>
      <c r="F167" s="208">
        <f>VLOOKUP(A167,'MEMÓRIA DE CÁLCULO'!A:H,8,0)</f>
        <v>2</v>
      </c>
      <c r="G167" s="202">
        <f>IFERROR(
IF($B167="DER-ES",INDEX('CDER-ES'!$D:$D,MATCH($C167,'CDER-ES'!$A:$A,0)),
IF($B167="SINAPI",INDEX(CSINAPI!$D:$D,MATCH($C167,CSINAPI!$A:$A,0)),
IF($B167="CESAN",INDEX(CCESAN!$D:$D,MATCH($C167,CCESAN!$A:$A,0)),
IF($B167="SCORIO",INDEX(CSCORIO!$B:$B,MATCH($C167,CSCORIO!#REF!,0)),
IF($B167="MERC",INDEX(MERCADO!$E:$E,MATCH($C167,MERCADO!$A:$A,0)),
IF($B167="COMP",INDEX(COMPOSICAO!$H:$H,MATCH($C167,COMPOSICAO!$A:$A,0)),
0)))))),0)</f>
        <v>12.41</v>
      </c>
      <c r="H167" s="202">
        <f t="shared" ref="H167" si="129">ROUND(G167*(1+$J$2),2)</f>
        <v>15.51</v>
      </c>
      <c r="I167" s="209">
        <f t="shared" ref="I167" si="130">ROUND($H167*F167,2)</f>
        <v>31.02</v>
      </c>
      <c r="J167" s="225">
        <f t="shared" ref="J167" si="131">I167/I$158</f>
        <v>2.1227658009701078E-4</v>
      </c>
    </row>
    <row r="168" spans="1:10" ht="38.25">
      <c r="A168" s="204" t="s">
        <v>28769</v>
      </c>
      <c r="B168" s="205" t="s">
        <v>1019</v>
      </c>
      <c r="C168" s="206">
        <v>93656</v>
      </c>
      <c r="D168" s="207" t="str">
        <f>IFERROR(PROPER(
IF($B168="DER-ES",INDEX('CDER-ES'!$B:$B,MATCH($C168,'CDER-ES'!$A:$A,0)),
IF($B168="SINAPI",INDEX(CSINAPI!$B:$B,MATCH($C168,CSINAPI!$A:$A,0)),
IF($B168="CESAN",INDEX(CCESAN!$B:$B,MATCH($C168,CCESAN!$A:$A,0)),
IF($B168="SCORIO",INDEX(CSCORIO!$B:$B,MATCH($C168,CSCORIO!$A:$A,0)),
IF($B168="MERC",INDEX(MERCADO!$B:$B,MATCH($C168,MERCADO!$A:$A,0)),
IF($B168="COMP",INDEX(COMPOSICAO!$B:$B,MATCH($C168,COMPOSICAO!$A:$A,0)),
""))))))),"*Verificar código*")</f>
        <v>Disjuntor Monopolar Tipo Din, Corrente Nominal De 25A - Fornecimento E Instalação. Af_10/2020</v>
      </c>
      <c r="E168" s="200" t="str">
        <f>IFERROR(LOWER(
IF($B168="DER-ES",INDEX('CDER-ES'!$C:$C,MATCH($C168,'CDER-ES'!$A:$A,0)),
IF($B168="SINAPI",INDEX(CSINAPI!$C:$C,MATCH($C168,CSINAPI!$A:$A,0)),
IF($B168="CESAN",INDEX(CCESAN!$C:$C,MATCH($C168,CCESAN!$A:$A,0)),
IF($B168="SCORIO",INDEX(CSCORIO!$A:$A,MATCH($C168,CSCORIO!#REF!,0)),
IF($B168="MERC",INDEX(MERCADO!$D:$D,MATCH($C168,MERCADO!$A:$A,0)),
IF($B168="COMP",INDEX(COMPOSICAO!$G:$G,MATCH($C168,COMPOSICAO!$A:$A,0)),
""))))))),"")</f>
        <v>und</v>
      </c>
      <c r="F168" s="208">
        <f>VLOOKUP(A168,'MEMÓRIA DE CÁLCULO'!A:H,8,0)</f>
        <v>1</v>
      </c>
      <c r="G168" s="202">
        <f>IFERROR(
IF($B168="DER-ES",INDEX('CDER-ES'!$D:$D,MATCH($C168,'CDER-ES'!$A:$A,0)),
IF($B168="SINAPI",INDEX(CSINAPI!$D:$D,MATCH($C168,CSINAPI!$A:$A,0)),
IF($B168="CESAN",INDEX(CCESAN!$D:$D,MATCH($C168,CCESAN!$A:$A,0)),
IF($B168="SCORIO",INDEX(CSCORIO!$B:$B,MATCH($C168,CSCORIO!#REF!,0)),
IF($B168="MERC",INDEX(MERCADO!$E:$E,MATCH($C168,MERCADO!$A:$A,0)),
IF($B168="COMP",INDEX(COMPOSICAO!$H:$H,MATCH($C168,COMPOSICAO!$A:$A,0)),
0)))))),0)</f>
        <v>12.41</v>
      </c>
      <c r="H168" s="202">
        <f t="shared" ref="H168:H171" si="132">ROUND(G168*(1+$J$2),2)</f>
        <v>15.51</v>
      </c>
      <c r="I168" s="209">
        <f t="shared" ref="I168:I171" si="133">ROUND($H168*F168,2)</f>
        <v>15.51</v>
      </c>
      <c r="J168" s="225">
        <f t="shared" ref="J168:J171" si="134">I168/I$158</f>
        <v>1.0613829004850539E-4</v>
      </c>
    </row>
    <row r="169" spans="1:10" ht="38.25">
      <c r="A169" s="204" t="s">
        <v>28770</v>
      </c>
      <c r="B169" s="205" t="s">
        <v>1019</v>
      </c>
      <c r="C169" s="206">
        <v>93660</v>
      </c>
      <c r="D169" s="207" t="str">
        <f>IFERROR(PROPER(
IF($B169="DER-ES",INDEX('CDER-ES'!$B:$B,MATCH($C169,'CDER-ES'!$A:$A,0)),
IF($B169="SINAPI",INDEX(CSINAPI!$B:$B,MATCH($C169,CSINAPI!$A:$A,0)),
IF($B169="CESAN",INDEX(CCESAN!$B:$B,MATCH($C169,CCESAN!$A:$A,0)),
IF($B169="SCORIO",INDEX(CSCORIO!$B:$B,MATCH($C169,CSCORIO!$A:$A,0)),
IF($B169="MERC",INDEX(MERCADO!$B:$B,MATCH($C169,MERCADO!$A:$A,0)),
IF($B169="COMP",INDEX(COMPOSICAO!$B:$B,MATCH($C169,COMPOSICAO!$A:$A,0)),
""))))))),"*Verificar código*")</f>
        <v>Disjuntor Bipolar Tipo Din, Corrente Nominal De 10A - Fornecimento E Instalação. Af_10/2020</v>
      </c>
      <c r="E169" s="200" t="str">
        <f>IFERROR(LOWER(
IF($B169="DER-ES",INDEX('CDER-ES'!$C:$C,MATCH($C169,'CDER-ES'!$A:$A,0)),
IF($B169="SINAPI",INDEX(CSINAPI!$C:$C,MATCH($C169,CSINAPI!$A:$A,0)),
IF($B169="CESAN",INDEX(CCESAN!$C:$C,MATCH($C169,CCESAN!$A:$A,0)),
IF($B169="SCORIO",INDEX(CSCORIO!$A:$A,MATCH($C169,CSCORIO!#REF!,0)),
IF($B169="MERC",INDEX(MERCADO!$D:$D,MATCH($C169,MERCADO!$A:$A,0)),
IF($B169="COMP",INDEX(COMPOSICAO!$G:$G,MATCH($C169,COMPOSICAO!$A:$A,0)),
""))))))),"")</f>
        <v>und</v>
      </c>
      <c r="F169" s="208">
        <f>VLOOKUP(A169,'MEMÓRIA DE CÁLCULO'!A:H,8,0)</f>
        <v>3</v>
      </c>
      <c r="G169" s="202">
        <f>IFERROR(
IF($B169="DER-ES",INDEX('CDER-ES'!$D:$D,MATCH($C169,'CDER-ES'!$A:$A,0)),
IF($B169="SINAPI",INDEX(CSINAPI!$D:$D,MATCH($C169,CSINAPI!$A:$A,0)),
IF($B169="CESAN",INDEX(CCESAN!$D:$D,MATCH($C169,CCESAN!$A:$A,0)),
IF($B169="SCORIO",INDEX(CSCORIO!$B:$B,MATCH($C169,CSCORIO!#REF!,0)),
IF($B169="MERC",INDEX(MERCADO!$E:$E,MATCH($C169,MERCADO!$A:$A,0)),
IF($B169="COMP",INDEX(COMPOSICAO!$H:$H,MATCH($C169,COMPOSICAO!$A:$A,0)),
0)))))),0)</f>
        <v>51.79</v>
      </c>
      <c r="H169" s="202">
        <f t="shared" si="132"/>
        <v>64.739999999999995</v>
      </c>
      <c r="I169" s="209">
        <f t="shared" si="133"/>
        <v>194.22</v>
      </c>
      <c r="J169" s="225">
        <f t="shared" si="134"/>
        <v>1.3290895353462746E-3</v>
      </c>
    </row>
    <row r="170" spans="1:10" ht="38.25">
      <c r="A170" s="204" t="s">
        <v>28771</v>
      </c>
      <c r="B170" s="205" t="s">
        <v>1019</v>
      </c>
      <c r="C170" s="206">
        <v>93661</v>
      </c>
      <c r="D170" s="207" t="str">
        <f>IFERROR(PROPER(
IF($B170="DER-ES",INDEX('CDER-ES'!$B:$B,MATCH($C170,'CDER-ES'!$A:$A,0)),
IF($B170="SINAPI",INDEX(CSINAPI!$B:$B,MATCH($C170,CSINAPI!$A:$A,0)),
IF($B170="CESAN",INDEX(CCESAN!$B:$B,MATCH($C170,CCESAN!$A:$A,0)),
IF($B170="SCORIO",INDEX(CSCORIO!$B:$B,MATCH($C170,CSCORIO!$A:$A,0)),
IF($B170="MERC",INDEX(MERCADO!$B:$B,MATCH($C170,MERCADO!$A:$A,0)),
IF($B170="COMP",INDEX(COMPOSICAO!$B:$B,MATCH($C170,COMPOSICAO!$A:$A,0)),
""))))))),"*Verificar código*")</f>
        <v>Disjuntor Bipolar Tipo Din, Corrente Nominal De 16A - Fornecimento E Instalação. Af_10/2020</v>
      </c>
      <c r="E170" s="200" t="str">
        <f>IFERROR(LOWER(
IF($B170="DER-ES",INDEX('CDER-ES'!$C:$C,MATCH($C170,'CDER-ES'!$A:$A,0)),
IF($B170="SINAPI",INDEX(CSINAPI!$C:$C,MATCH($C170,CSINAPI!$A:$A,0)),
IF($B170="CESAN",INDEX(CCESAN!$C:$C,MATCH($C170,CCESAN!$A:$A,0)),
IF($B170="SCORIO",INDEX(CSCORIO!$A:$A,MATCH($C170,CSCORIO!#REF!,0)),
IF($B170="MERC",INDEX(MERCADO!$D:$D,MATCH($C170,MERCADO!$A:$A,0)),
IF($B170="COMP",INDEX(COMPOSICAO!$G:$G,MATCH($C170,COMPOSICAO!$A:$A,0)),
""))))))),"")</f>
        <v>und</v>
      </c>
      <c r="F170" s="208">
        <f>VLOOKUP(A170,'MEMÓRIA DE CÁLCULO'!A:H,8,0)</f>
        <v>2</v>
      </c>
      <c r="G170" s="202">
        <f>IFERROR(
IF($B170="DER-ES",INDEX('CDER-ES'!$D:$D,MATCH($C170,'CDER-ES'!$A:$A,0)),
IF($B170="SINAPI",INDEX(CSINAPI!$D:$D,MATCH($C170,CSINAPI!$A:$A,0)),
IF($B170="CESAN",INDEX(CCESAN!$D:$D,MATCH($C170,CCESAN!$A:$A,0)),
IF($B170="SCORIO",INDEX(CSCORIO!$B:$B,MATCH($C170,CSCORIO!#REF!,0)),
IF($B170="MERC",INDEX(MERCADO!$E:$E,MATCH($C170,MERCADO!$A:$A,0)),
IF($B170="COMP",INDEX(COMPOSICAO!$H:$H,MATCH($C170,COMPOSICAO!$A:$A,0)),
0)))))),0)</f>
        <v>52.97</v>
      </c>
      <c r="H170" s="202">
        <f t="shared" si="132"/>
        <v>66.209999999999994</v>
      </c>
      <c r="I170" s="209">
        <f t="shared" si="133"/>
        <v>132.41999999999999</v>
      </c>
      <c r="J170" s="225">
        <f t="shared" si="134"/>
        <v>9.0617874714526644E-4</v>
      </c>
    </row>
    <row r="171" spans="1:10" ht="38.25">
      <c r="A171" s="204" t="s">
        <v>28772</v>
      </c>
      <c r="B171" s="205" t="s">
        <v>1019</v>
      </c>
      <c r="C171" s="206">
        <v>93662</v>
      </c>
      <c r="D171" s="207" t="str">
        <f>IFERROR(PROPER(
IF($B171="DER-ES",INDEX('CDER-ES'!$B:$B,MATCH($C171,'CDER-ES'!$A:$A,0)),
IF($B171="SINAPI",INDEX(CSINAPI!$B:$B,MATCH($C171,CSINAPI!$A:$A,0)),
IF($B171="CESAN",INDEX(CCESAN!$B:$B,MATCH($C171,CCESAN!$A:$A,0)),
IF($B171="SCORIO",INDEX(CSCORIO!$B:$B,MATCH($C171,CSCORIO!$A:$A,0)),
IF($B171="MERC",INDEX(MERCADO!$B:$B,MATCH($C171,MERCADO!$A:$A,0)),
IF($B171="COMP",INDEX(COMPOSICAO!$B:$B,MATCH($C171,COMPOSICAO!$A:$A,0)),
""))))))),"*Verificar código*")</f>
        <v>Disjuntor Bipolar Tipo Din, Corrente Nominal De 20A - Fornecimento E Instalação. Af_10/2020</v>
      </c>
      <c r="E171" s="200" t="str">
        <f>IFERROR(LOWER(
IF($B171="DER-ES",INDEX('CDER-ES'!$C:$C,MATCH($C171,'CDER-ES'!$A:$A,0)),
IF($B171="SINAPI",INDEX(CSINAPI!$C:$C,MATCH($C171,CSINAPI!$A:$A,0)),
IF($B171="CESAN",INDEX(CCESAN!$C:$C,MATCH($C171,CCESAN!$A:$A,0)),
IF($B171="SCORIO",INDEX(CSCORIO!$A:$A,MATCH($C171,CSCORIO!#REF!,0)),
IF($B171="MERC",INDEX(MERCADO!$D:$D,MATCH($C171,MERCADO!$A:$A,0)),
IF($B171="COMP",INDEX(COMPOSICAO!$G:$G,MATCH($C171,COMPOSICAO!$A:$A,0)),
""))))))),"")</f>
        <v>und</v>
      </c>
      <c r="F171" s="208">
        <f>VLOOKUP(A171,'MEMÓRIA DE CÁLCULO'!A:H,8,0)</f>
        <v>3</v>
      </c>
      <c r="G171" s="202">
        <f>IFERROR(
IF($B171="DER-ES",INDEX('CDER-ES'!$D:$D,MATCH($C171,'CDER-ES'!$A:$A,0)),
IF($B171="SINAPI",INDEX(CSINAPI!$D:$D,MATCH($C171,CSINAPI!$A:$A,0)),
IF($B171="CESAN",INDEX(CCESAN!$D:$D,MATCH($C171,CCESAN!$A:$A,0)),
IF($B171="SCORIO",INDEX(CSCORIO!$B:$B,MATCH($C171,CSCORIO!#REF!,0)),
IF($B171="MERC",INDEX(MERCADO!$E:$E,MATCH($C171,MERCADO!$A:$A,0)),
IF($B171="COMP",INDEX(COMPOSICAO!$H:$H,MATCH($C171,COMPOSICAO!$A:$A,0)),
0)))))),0)</f>
        <v>55.26</v>
      </c>
      <c r="H171" s="202">
        <f t="shared" si="132"/>
        <v>69.08</v>
      </c>
      <c r="I171" s="209">
        <f t="shared" si="133"/>
        <v>207.24</v>
      </c>
      <c r="J171" s="225">
        <f t="shared" si="134"/>
        <v>1.4181882159672635E-3</v>
      </c>
    </row>
    <row r="172" spans="1:10" ht="38.25">
      <c r="A172" s="204" t="s">
        <v>28774</v>
      </c>
      <c r="B172" s="205" t="s">
        <v>1019</v>
      </c>
      <c r="C172" s="206">
        <v>93672</v>
      </c>
      <c r="D172" s="207" t="str">
        <f>IFERROR(PROPER(
IF($B172="DER-ES",INDEX('CDER-ES'!$B:$B,MATCH($C172,'CDER-ES'!$A:$A,0)),
IF($B172="SINAPI",INDEX(CSINAPI!$B:$B,MATCH($C172,CSINAPI!$A:$A,0)),
IF($B172="CESAN",INDEX(CCESAN!$B:$B,MATCH($C172,CCESAN!$A:$A,0)),
IF($B172="SCORIO",INDEX(CSCORIO!$B:$B,MATCH($C172,CSCORIO!$A:$A,0)),
IF($B172="MERC",INDEX(MERCADO!$B:$B,MATCH($C172,MERCADO!$A:$A,0)),
IF($B172="COMP",INDEX(COMPOSICAO!$B:$B,MATCH($C172,COMPOSICAO!$A:$A,0)),
""))))))),"*Verificar código*")</f>
        <v>Disjuntor Tripolar Tipo Din, Corrente Nominal De 40A - Fornecimento E Instalação. Af_10/2020</v>
      </c>
      <c r="E172" s="200" t="str">
        <f>IFERROR(LOWER(
IF($B172="DER-ES",INDEX('CDER-ES'!$C:$C,MATCH($C172,'CDER-ES'!$A:$A,0)),
IF($B172="SINAPI",INDEX(CSINAPI!$C:$C,MATCH($C172,CSINAPI!$A:$A,0)),
IF($B172="CESAN",INDEX(CCESAN!$C:$C,MATCH($C172,CCESAN!$A:$A,0)),
IF($B172="SCORIO",INDEX(CSCORIO!$A:$A,MATCH($C172,CSCORIO!#REF!,0)),
IF($B172="MERC",INDEX(MERCADO!$D:$D,MATCH($C172,MERCADO!$A:$A,0)),
IF($B172="COMP",INDEX(COMPOSICAO!$G:$G,MATCH($C172,COMPOSICAO!$A:$A,0)),
""))))))),"")</f>
        <v>und</v>
      </c>
      <c r="F172" s="208">
        <f>VLOOKUP(A172,'MEMÓRIA DE CÁLCULO'!A:H,8,0)</f>
        <v>1</v>
      </c>
      <c r="G172" s="202">
        <f>IFERROR(
IF($B172="DER-ES",INDEX('CDER-ES'!$D:$D,MATCH($C172,'CDER-ES'!$A:$A,0)),
IF($B172="SINAPI",INDEX(CSINAPI!$D:$D,MATCH($C172,CSINAPI!$A:$A,0)),
IF($B172="CESAN",INDEX(CCESAN!$D:$D,MATCH($C172,CCESAN!$A:$A,0)),
IF($B172="SCORIO",INDEX(CSCORIO!$B:$B,MATCH($C172,CSCORIO!#REF!,0)),
IF($B172="MERC",INDEX(MERCADO!$E:$E,MATCH($C172,MERCADO!$A:$A,0)),
IF($B172="COMP",INDEX(COMPOSICAO!$H:$H,MATCH($C172,COMPOSICAO!$A:$A,0)),
0)))))),0)</f>
        <v>80.849999999999994</v>
      </c>
      <c r="H172" s="202">
        <f t="shared" ref="H172" si="135">ROUND(G172*(1+$J$2),2)</f>
        <v>101.06</v>
      </c>
      <c r="I172" s="209">
        <f t="shared" ref="I172" si="136">ROUND($H172*F172,2)</f>
        <v>101.06</v>
      </c>
      <c r="J172" s="225">
        <f t="shared" ref="J172" si="137">I172/I$158</f>
        <v>6.9157547339148643E-4</v>
      </c>
    </row>
    <row r="173" spans="1:10" ht="38.25">
      <c r="A173" s="204" t="s">
        <v>28775</v>
      </c>
      <c r="B173" s="205" t="s">
        <v>1019</v>
      </c>
      <c r="C173" s="206">
        <v>93673</v>
      </c>
      <c r="D173" s="207" t="str">
        <f>IFERROR(PROPER(
IF($B173="DER-ES",INDEX('CDER-ES'!$B:$B,MATCH($C173,'CDER-ES'!$A:$A,0)),
IF($B173="SINAPI",INDEX(CSINAPI!$B:$B,MATCH($C173,CSINAPI!$A:$A,0)),
IF($B173="CESAN",INDEX(CCESAN!$B:$B,MATCH($C173,CCESAN!$A:$A,0)),
IF($B173="SCORIO",INDEX(CSCORIO!$B:$B,MATCH($C173,CSCORIO!$A:$A,0)),
IF($B173="MERC",INDEX(MERCADO!$B:$B,MATCH($C173,MERCADO!$A:$A,0)),
IF($B173="COMP",INDEX(COMPOSICAO!$B:$B,MATCH($C173,COMPOSICAO!$A:$A,0)),
""))))))),"*Verificar código*")</f>
        <v>Disjuntor Tripolar Tipo Din, Corrente Nominal De 50A - Fornecimento E Instalação. Af_10/2020</v>
      </c>
      <c r="E173" s="200" t="str">
        <f>IFERROR(LOWER(
IF($B173="DER-ES",INDEX('CDER-ES'!$C:$C,MATCH($C173,'CDER-ES'!$A:$A,0)),
IF($B173="SINAPI",INDEX(CSINAPI!$C:$C,MATCH($C173,CSINAPI!$A:$A,0)),
IF($B173="CESAN",INDEX(CCESAN!$C:$C,MATCH($C173,CCESAN!$A:$A,0)),
IF($B173="SCORIO",INDEX(CSCORIO!$A:$A,MATCH($C173,CSCORIO!#REF!,0)),
IF($B173="MERC",INDEX(MERCADO!$D:$D,MATCH($C173,MERCADO!$A:$A,0)),
IF($B173="COMP",INDEX(COMPOSICAO!$G:$G,MATCH($C173,COMPOSICAO!$A:$A,0)),
""))))))),"")</f>
        <v>und</v>
      </c>
      <c r="F173" s="208">
        <f>VLOOKUP(A173,'MEMÓRIA DE CÁLCULO'!A:H,8,0)</f>
        <v>1</v>
      </c>
      <c r="G173" s="202">
        <f>IFERROR(
IF($B173="DER-ES",INDEX('CDER-ES'!$D:$D,MATCH($C173,'CDER-ES'!$A:$A,0)),
IF($B173="SINAPI",INDEX(CSINAPI!$D:$D,MATCH($C173,CSINAPI!$A:$A,0)),
IF($B173="CESAN",INDEX(CCESAN!$D:$D,MATCH($C173,CCESAN!$A:$A,0)),
IF($B173="SCORIO",INDEX(CSCORIO!$B:$B,MATCH($C173,CSCORIO!#REF!,0)),
IF($B173="MERC",INDEX(MERCADO!$E:$E,MATCH($C173,MERCADO!$A:$A,0)),
IF($B173="COMP",INDEX(COMPOSICAO!$H:$H,MATCH($C173,COMPOSICAO!$A:$A,0)),
0)))))),0)</f>
        <v>89.37</v>
      </c>
      <c r="H173" s="202">
        <f t="shared" ref="H173" si="138">ROUND(G173*(1+$J$2),2)</f>
        <v>111.71</v>
      </c>
      <c r="I173" s="209">
        <f t="shared" ref="I173" si="139">ROUND($H173*F173,2)</f>
        <v>111.71</v>
      </c>
      <c r="J173" s="225">
        <f t="shared" ref="J173" si="140">I173/I$158</f>
        <v>7.6445573058146591E-4</v>
      </c>
    </row>
    <row r="174" spans="1:10" ht="38.25">
      <c r="A174" s="204" t="s">
        <v>28776</v>
      </c>
      <c r="B174" s="205" t="s">
        <v>26583</v>
      </c>
      <c r="C174" s="206">
        <v>151330</v>
      </c>
      <c r="D174" s="207" t="str">
        <f>IFERROR(PROPER(
IF($B174="DER-ES",INDEX('CDER-ES'!$B:$B,MATCH($C174,'CDER-ES'!$A:$A,0)),
IF($B174="SINAPI",INDEX(CSINAPI!$B:$B,MATCH($C174,CSINAPI!$A:$A,0)),
IF($B174="CESAN",INDEX(CCESAN!$B:$B,MATCH($C174,CCESAN!$A:$A,0)),
IF($B174="SCORIO",INDEX(CSCORIO!$B:$B,MATCH($C174,CSCORIO!$A:$A,0)),
IF($B174="MERC",INDEX(MERCADO!$B:$B,MATCH($C174,MERCADO!$A:$A,0)),
IF($B174="COMP",INDEX(COMPOSICAO!$B:$B,MATCH($C174,COMPOSICAO!$A:$A,0)),
""))))))),"*Verificar código*")</f>
        <v>Mini-Disjuntor Tripolar 63 A, Curva C - 5Ka 220/127Vca (Nbr Iec 60947-2), Ref. Siemens, Ge, Schneider Ou Equivalente</v>
      </c>
      <c r="E174" s="200" t="str">
        <f>IFERROR(LOWER(
IF($B174="DER-ES",INDEX('CDER-ES'!$C:$C,MATCH($C174,'CDER-ES'!$A:$A,0)),
IF($B174="SINAPI",INDEX(CSINAPI!$C:$C,MATCH($C174,CSINAPI!$A:$A,0)),
IF($B174="CESAN",INDEX(CCESAN!$C:$C,MATCH($C174,CCESAN!$A:$A,0)),
IF($B174="SCORIO",INDEX(CSCORIO!$A:$A,MATCH($C174,CSCORIO!#REF!,0)),
IF($B174="MERC",INDEX(MERCADO!$D:$D,MATCH($C174,MERCADO!$A:$A,0)),
IF($B174="COMP",INDEX(COMPOSICAO!$G:$G,MATCH($C174,COMPOSICAO!$A:$A,0)),
""))))))),"")</f>
        <v>und</v>
      </c>
      <c r="F174" s="208">
        <f>VLOOKUP(A174,'MEMÓRIA DE CÁLCULO'!A:H,8,0)</f>
        <v>3</v>
      </c>
      <c r="G174" s="202">
        <f>IFERROR(
IF($B174="DER-ES",INDEX('CDER-ES'!$D:$D,MATCH($C174,'CDER-ES'!$A:$A,0)),
IF($B174="SINAPI",INDEX(CSINAPI!$D:$D,MATCH($C174,CSINAPI!$A:$A,0)),
IF($B174="CESAN",INDEX(CCESAN!$D:$D,MATCH($C174,CCESAN!$A:$A,0)),
IF($B174="SCORIO",INDEX(CSCORIO!$B:$B,MATCH($C174,CSCORIO!#REF!,0)),
IF($B174="MERC",INDEX(MERCADO!$E:$E,MATCH($C174,MERCADO!$A:$A,0)),
IF($B174="COMP",INDEX(COMPOSICAO!$H:$H,MATCH($C174,COMPOSICAO!$A:$A,0)),
0)))))),0)</f>
        <v>147.38999999999999</v>
      </c>
      <c r="H174" s="202">
        <f t="shared" ref="H174:H175" si="141">ROUND(G174*(1+$J$2),2)</f>
        <v>184.24</v>
      </c>
      <c r="I174" s="209">
        <f t="shared" ref="I174:I175" si="142">ROUND($H174*F174,2)</f>
        <v>552.72</v>
      </c>
      <c r="J174" s="225">
        <f t="shared" ref="J174:J175" si="143">I174/I$158</f>
        <v>3.7823826999103744E-3</v>
      </c>
    </row>
    <row r="175" spans="1:10" ht="25.5">
      <c r="A175" s="204" t="s">
        <v>28777</v>
      </c>
      <c r="B175" s="205" t="s">
        <v>26583</v>
      </c>
      <c r="C175" s="206">
        <v>151336</v>
      </c>
      <c r="D175" s="207" t="str">
        <f>IFERROR(PROPER(
IF($B175="DER-ES",INDEX('CDER-ES'!$B:$B,MATCH($C175,'CDER-ES'!$A:$A,0)),
IF($B175="SINAPI",INDEX(CSINAPI!$B:$B,MATCH($C175,CSINAPI!$A:$A,0)),
IF($B175="CESAN",INDEX(CCESAN!$B:$B,MATCH($C175,CCESAN!$A:$A,0)),
IF($B175="SCORIO",INDEX(CSCORIO!$B:$B,MATCH($C175,CSCORIO!$A:$A,0)),
IF($B175="MERC",INDEX(MERCADO!$B:$B,MATCH($C175,MERCADO!$A:$A,0)),
IF($B175="COMP",INDEX(COMPOSICAO!$B:$B,MATCH($C175,COMPOSICAO!$A:$A,0)),
""))))))),"*Verificar código*")</f>
        <v>Disjuntor Dr Bipolar 16A A 25A, Corrente Nominal 30 Ma</v>
      </c>
      <c r="E175" s="200" t="str">
        <f>IFERROR(LOWER(
IF($B175="DER-ES",INDEX('CDER-ES'!$C:$C,MATCH($C175,'CDER-ES'!$A:$A,0)),
IF($B175="SINAPI",INDEX(CSINAPI!$C:$C,MATCH($C175,CSINAPI!$A:$A,0)),
IF($B175="CESAN",INDEX(CCESAN!$C:$C,MATCH($C175,CCESAN!$A:$A,0)),
IF($B175="SCORIO",INDEX(CSCORIO!$A:$A,MATCH($C175,CSCORIO!#REF!,0)),
IF($B175="MERC",INDEX(MERCADO!$D:$D,MATCH($C175,MERCADO!$A:$A,0)),
IF($B175="COMP",INDEX(COMPOSICAO!$G:$G,MATCH($C175,COMPOSICAO!$A:$A,0)),
""))))))),"")</f>
        <v>und</v>
      </c>
      <c r="F175" s="208">
        <f>VLOOKUP(A175,'MEMÓRIA DE CÁLCULO'!A:H,8,0)</f>
        <v>2</v>
      </c>
      <c r="G175" s="202">
        <f>IFERROR(
IF($B175="DER-ES",INDEX('CDER-ES'!$D:$D,MATCH($C175,'CDER-ES'!$A:$A,0)),
IF($B175="SINAPI",INDEX(CSINAPI!$D:$D,MATCH($C175,CSINAPI!$A:$A,0)),
IF($B175="CESAN",INDEX(CCESAN!$D:$D,MATCH($C175,CCESAN!$A:$A,0)),
IF($B175="SCORIO",INDEX(CSCORIO!$B:$B,MATCH($C175,CSCORIO!#REF!,0)),
IF($B175="MERC",INDEX(MERCADO!$E:$E,MATCH($C175,MERCADO!$A:$A,0)),
IF($B175="COMP",INDEX(COMPOSICAO!$H:$H,MATCH($C175,COMPOSICAO!$A:$A,0)),
0)))))),0)</f>
        <v>143.83000000000001</v>
      </c>
      <c r="H175" s="202">
        <f t="shared" si="141"/>
        <v>179.79</v>
      </c>
      <c r="I175" s="209">
        <f t="shared" si="142"/>
        <v>359.58</v>
      </c>
      <c r="J175" s="225">
        <f t="shared" si="143"/>
        <v>2.4606838385326608E-3</v>
      </c>
    </row>
    <row r="176" spans="1:10" ht="51">
      <c r="A176" s="204" t="s">
        <v>28778</v>
      </c>
      <c r="B176" s="205" t="s">
        <v>26583</v>
      </c>
      <c r="C176" s="206">
        <v>151337</v>
      </c>
      <c r="D176" s="207" t="str">
        <f>IFERROR(PROPER(
IF($B176="DER-ES",INDEX('CDER-ES'!$B:$B,MATCH($C176,'CDER-ES'!$A:$A,0)),
IF($B176="SINAPI",INDEX(CSINAPI!$B:$B,MATCH($C176,CSINAPI!$A:$A,0)),
IF($B176="CESAN",INDEX(CCESAN!$B:$B,MATCH($C176,CCESAN!$A:$A,0)),
IF($B176="SCORIO",INDEX(CSCORIO!$B:$B,MATCH($C176,CSCORIO!$A:$A,0)),
IF($B176="MERC",INDEX(MERCADO!$B:$B,MATCH($C176,MERCADO!$A:$A,0)),
IF($B176="COMP",INDEX(COMPOSICAO!$B:$B,MATCH($C176,COMPOSICAO!$A:$A,0)),
""))))))),"*Verificar código*")</f>
        <v>Dispositivo De Proteção Contra Surto (Dps) Bipolar, Tensão Nominal Máxima 275Vca, Corente De Surto Máxima 40Ka.</v>
      </c>
      <c r="E176" s="200" t="str">
        <f>IFERROR(LOWER(
IF($B176="DER-ES",INDEX('CDER-ES'!$C:$C,MATCH($C176,'CDER-ES'!$A:$A,0)),
IF($B176="SINAPI",INDEX(CSINAPI!$C:$C,MATCH($C176,CSINAPI!$A:$A,0)),
IF($B176="CESAN",INDEX(CCESAN!$C:$C,MATCH($C176,CCESAN!$A:$A,0)),
IF($B176="SCORIO",INDEX(CSCORIO!$A:$A,MATCH($C176,CSCORIO!#REF!,0)),
IF($B176="MERC",INDEX(MERCADO!$D:$D,MATCH($C176,MERCADO!$A:$A,0)),
IF($B176="COMP",INDEX(COMPOSICAO!$G:$G,MATCH($C176,COMPOSICAO!$A:$A,0)),
""))))))),"")</f>
        <v>und</v>
      </c>
      <c r="F176" s="208">
        <f>VLOOKUP(A176,'MEMÓRIA DE CÁLCULO'!A:H,8,0)</f>
        <v>16</v>
      </c>
      <c r="G176" s="202">
        <f>IFERROR(
IF($B176="DER-ES",INDEX('CDER-ES'!$D:$D,MATCH($C176,'CDER-ES'!$A:$A,0)),
IF($B176="SINAPI",INDEX(CSINAPI!$D:$D,MATCH($C176,CSINAPI!$A:$A,0)),
IF($B176="CESAN",INDEX(CCESAN!$D:$D,MATCH($C176,CCESAN!$A:$A,0)),
IF($B176="SCORIO",INDEX(CSCORIO!$B:$B,MATCH($C176,CSCORIO!#REF!,0)),
IF($B176="MERC",INDEX(MERCADO!$E:$E,MATCH($C176,MERCADO!$A:$A,0)),
IF($B176="COMP",INDEX(COMPOSICAO!$H:$H,MATCH($C176,COMPOSICAO!$A:$A,0)),
0)))))),0)</f>
        <v>185.11</v>
      </c>
      <c r="H176" s="202">
        <f t="shared" ref="H176" si="144">ROUND(G176*(1+$J$2),2)</f>
        <v>231.39</v>
      </c>
      <c r="I176" s="209">
        <f t="shared" ref="I176" si="145">ROUND($H176*F176,2)</f>
        <v>3702.24</v>
      </c>
      <c r="J176" s="225">
        <f t="shared" ref="J176" si="146">I176/I$158</f>
        <v>2.5335230364228148E-2</v>
      </c>
    </row>
    <row r="177" spans="1:10" ht="51">
      <c r="A177" s="204" t="s">
        <v>28781</v>
      </c>
      <c r="B177" s="205" t="s">
        <v>1019</v>
      </c>
      <c r="C177" s="206">
        <v>91873</v>
      </c>
      <c r="D177" s="207" t="str">
        <f>IFERROR(PROPER(
IF($B177="DER-ES",INDEX('CDER-ES'!$B:$B,MATCH($C177,'CDER-ES'!$A:$A,0)),
IF($B177="SINAPI",INDEX(CSINAPI!$B:$B,MATCH($C177,CSINAPI!$A:$A,0)),
IF($B177="CESAN",INDEX(CCESAN!$B:$B,MATCH($C177,CCESAN!$A:$A,0)),
IF($B177="SCORIO",INDEX(CSCORIO!$B:$B,MATCH($C177,CSCORIO!$A:$A,0)),
IF($B177="MERC",INDEX(MERCADO!$B:$B,MATCH($C177,MERCADO!$A:$A,0)),
IF($B177="COMP",INDEX(COMPOSICAO!$B:$B,MATCH($C177,COMPOSICAO!$A:$A,0)),
""))))))),"*Verificar código*")</f>
        <v>Eletroduto Rígido Roscável, Pvc, Dn 40 Mm (1 1/4"), Para Circuitos Terminais, Instalado Em Parede - Fornecimento E Instalação. Af_12/2015</v>
      </c>
      <c r="E177" s="200" t="str">
        <f>IFERROR(LOWER(
IF($B177="DER-ES",INDEX('CDER-ES'!$C:$C,MATCH($C177,'CDER-ES'!$A:$A,0)),
IF($B177="SINAPI",INDEX(CSINAPI!$C:$C,MATCH($C177,CSINAPI!$A:$A,0)),
IF($B177="CESAN",INDEX(CCESAN!$C:$C,MATCH($C177,CCESAN!$A:$A,0)),
IF($B177="SCORIO",INDEX(CSCORIO!$A:$A,MATCH($C177,CSCORIO!#REF!,0)),
IF($B177="MERC",INDEX(MERCADO!$D:$D,MATCH($C177,MERCADO!$A:$A,0)),
IF($B177="COMP",INDEX(COMPOSICAO!$G:$G,MATCH($C177,COMPOSICAO!$A:$A,0)),
""))))))),"")</f>
        <v>m</v>
      </c>
      <c r="F177" s="208">
        <f>VLOOKUP(A177,'MEMÓRIA DE CÁLCULO'!A:H,8,0)</f>
        <v>8.4</v>
      </c>
      <c r="G177" s="202">
        <f>IFERROR(
IF($B177="DER-ES",INDEX('CDER-ES'!$D:$D,MATCH($C177,'CDER-ES'!$A:$A,0)),
IF($B177="SINAPI",INDEX(CSINAPI!$D:$D,MATCH($C177,CSINAPI!$A:$A,0)),
IF($B177="CESAN",INDEX(CCESAN!$D:$D,MATCH($C177,CCESAN!$A:$A,0)),
IF($B177="SCORIO",INDEX(CSCORIO!$B:$B,MATCH($C177,CSCORIO!#REF!,0)),
IF($B177="MERC",INDEX(MERCADO!$E:$E,MATCH($C177,MERCADO!$A:$A,0)),
IF($B177="COMP",INDEX(COMPOSICAO!$H:$H,MATCH($C177,COMPOSICAO!$A:$A,0)),
0)))))),0)</f>
        <v>19.88</v>
      </c>
      <c r="H177" s="202">
        <f t="shared" ref="H177" si="147">ROUND(G177*(1+$J$2),2)</f>
        <v>24.85</v>
      </c>
      <c r="I177" s="209">
        <f t="shared" ref="I177" si="148">ROUND($H177*F177,2)</f>
        <v>208.74</v>
      </c>
      <c r="J177" s="225">
        <f t="shared" ref="J177" si="149">I177/I$158</f>
        <v>1.4284530409235988E-3</v>
      </c>
    </row>
    <row r="178" spans="1:10" ht="51">
      <c r="A178" s="204" t="s">
        <v>29009</v>
      </c>
      <c r="B178" s="205" t="s">
        <v>1019</v>
      </c>
      <c r="C178" s="206">
        <v>91834</v>
      </c>
      <c r="D178" s="207" t="str">
        <f>IFERROR(PROPER(
IF($B178="DER-ES",INDEX('CDER-ES'!$B:$B,MATCH($C178,'CDER-ES'!$A:$A,0)),
IF($B178="SINAPI",INDEX(CSINAPI!$B:$B,MATCH($C178,CSINAPI!$A:$A,0)),
IF($B178="CESAN",INDEX(CCESAN!$B:$B,MATCH($C178,CCESAN!$A:$A,0)),
IF($B178="SCORIO",INDEX(CSCORIO!$B:$B,MATCH($C178,CSCORIO!$A:$A,0)),
IF($B178="MERC",INDEX(MERCADO!$B:$B,MATCH($C178,MERCADO!$A:$A,0)),
IF($B178="COMP",INDEX(COMPOSICAO!$B:$B,MATCH($C178,COMPOSICAO!$A:$A,0)),
""))))))),"*Verificar código*")</f>
        <v>Eletroduto Flexível Corrugado, Pvc, Dn 25 Mm (3/4"), Para Circuitos Terminais, Instalado Em Forro - Fornecimento E Instalação. Af_12/2015</v>
      </c>
      <c r="E178" s="200" t="str">
        <f>IFERROR(LOWER(
IF($B178="DER-ES",INDEX('CDER-ES'!$C:$C,MATCH($C178,'CDER-ES'!$A:$A,0)),
IF($B178="SINAPI",INDEX(CSINAPI!$C:$C,MATCH($C178,CSINAPI!$A:$A,0)),
IF($B178="CESAN",INDEX(CCESAN!$C:$C,MATCH($C178,CCESAN!$A:$A,0)),
IF($B178="SCORIO",INDEX(CSCORIO!$A:$A,MATCH($C178,CSCORIO!#REF!,0)),
IF($B178="MERC",INDEX(MERCADO!$D:$D,MATCH($C178,MERCADO!$A:$A,0)),
IF($B178="COMP",INDEX(COMPOSICAO!$G:$G,MATCH($C178,COMPOSICAO!$A:$A,0)),
""))))))),"")</f>
        <v>m</v>
      </c>
      <c r="F178" s="208">
        <f>VLOOKUP(A178,'MEMÓRIA DE CÁLCULO'!A:H,8,0)</f>
        <v>208</v>
      </c>
      <c r="G178" s="202">
        <f>IFERROR(
IF($B178="DER-ES",INDEX('CDER-ES'!$D:$D,MATCH($C178,'CDER-ES'!$A:$A,0)),
IF($B178="SINAPI",INDEX(CSINAPI!$D:$D,MATCH($C178,CSINAPI!$A:$A,0)),
IF($B178="CESAN",INDEX(CCESAN!$D:$D,MATCH($C178,CCESAN!$A:$A,0)),
IF($B178="SCORIO",INDEX(CSCORIO!$B:$B,MATCH($C178,CSCORIO!#REF!,0)),
IF($B178="MERC",INDEX(MERCADO!$E:$E,MATCH($C178,MERCADO!$A:$A,0)),
IF($B178="COMP",INDEX(COMPOSICAO!$H:$H,MATCH($C178,COMPOSICAO!$A:$A,0)),
0)))))),0)</f>
        <v>8.8800000000000008</v>
      </c>
      <c r="H178" s="202">
        <f t="shared" si="121"/>
        <v>11.1</v>
      </c>
      <c r="I178" s="209">
        <f t="shared" si="122"/>
        <v>2308.8000000000002</v>
      </c>
      <c r="J178" s="225">
        <f t="shared" si="123"/>
        <v>1.5799618572791056E-2</v>
      </c>
    </row>
    <row r="179" spans="1:10" ht="51">
      <c r="A179" s="204" t="s">
        <v>29020</v>
      </c>
      <c r="B179" s="205" t="s">
        <v>1019</v>
      </c>
      <c r="C179" s="206">
        <v>91854</v>
      </c>
      <c r="D179" s="207" t="str">
        <f>IFERROR(PROPER(
IF($B179="DER-ES",INDEX('CDER-ES'!$B:$B,MATCH($C179,'CDER-ES'!$A:$A,0)),
IF($B179="SINAPI",INDEX(CSINAPI!$B:$B,MATCH($C179,CSINAPI!$A:$A,0)),
IF($B179="CESAN",INDEX(CCESAN!$B:$B,MATCH($C179,CCESAN!$A:$A,0)),
IF($B179="SCORIO",INDEX(CSCORIO!$B:$B,MATCH($C179,CSCORIO!$A:$A,0)),
IF($B179="MERC",INDEX(MERCADO!$B:$B,MATCH($C179,MERCADO!$A:$A,0)),
IF($B179="COMP",INDEX(COMPOSICAO!$B:$B,MATCH($C179,COMPOSICAO!$A:$A,0)),
""))))))),"*Verificar código*")</f>
        <v>Eletroduto Flexível Corrugado, Pvc, Dn 25 Mm (3/4"), Para Circuitos Terminais, Instalado Em Parede - Fornecimento E Instalação. Af_12/2015</v>
      </c>
      <c r="E179" s="200" t="str">
        <f>IFERROR(LOWER(
IF($B179="DER-ES",INDEX('CDER-ES'!$C:$C,MATCH($C179,'CDER-ES'!$A:$A,0)),
IF($B179="SINAPI",INDEX(CSINAPI!$C:$C,MATCH($C179,CSINAPI!$A:$A,0)),
IF($B179="CESAN",INDEX(CCESAN!$C:$C,MATCH($C179,CCESAN!$A:$A,0)),
IF($B179="SCORIO",INDEX(CSCORIO!$A:$A,MATCH($C179,CSCORIO!#REF!,0)),
IF($B179="MERC",INDEX(MERCADO!$D:$D,MATCH($C179,MERCADO!$A:$A,0)),
IF($B179="COMP",INDEX(COMPOSICAO!$G:$G,MATCH($C179,COMPOSICAO!$A:$A,0)),
""))))))),"")</f>
        <v>m</v>
      </c>
      <c r="F179" s="208">
        <f>VLOOKUP(A179,'MEMÓRIA DE CÁLCULO'!A:H,8,0)</f>
        <v>183</v>
      </c>
      <c r="G179" s="202">
        <f>IFERROR(
IF($B179="DER-ES",INDEX('CDER-ES'!$D:$D,MATCH($C179,'CDER-ES'!$A:$A,0)),
IF($B179="SINAPI",INDEX(CSINAPI!$D:$D,MATCH($C179,CSINAPI!$A:$A,0)),
IF($B179="CESAN",INDEX(CCESAN!$D:$D,MATCH($C179,CCESAN!$A:$A,0)),
IF($B179="SCORIO",INDEX(CSCORIO!$B:$B,MATCH($C179,CSCORIO!#REF!,0)),
IF($B179="MERC",INDEX(MERCADO!$E:$E,MATCH($C179,MERCADO!$A:$A,0)),
IF($B179="COMP",INDEX(COMPOSICAO!$H:$H,MATCH($C179,COMPOSICAO!$A:$A,0)),
0)))))),0)</f>
        <v>9.18</v>
      </c>
      <c r="H179" s="202">
        <f t="shared" si="121"/>
        <v>11.48</v>
      </c>
      <c r="I179" s="209">
        <f t="shared" si="122"/>
        <v>2100.84</v>
      </c>
      <c r="J179" s="225">
        <f t="shared" ref="J179:J187" si="150">I179/I$158</f>
        <v>1.4376503240844751E-2</v>
      </c>
    </row>
    <row r="180" spans="1:10" ht="38.25">
      <c r="A180" s="204" t="s">
        <v>29036</v>
      </c>
      <c r="B180" s="205" t="s">
        <v>26583</v>
      </c>
      <c r="C180" s="206">
        <v>151138</v>
      </c>
      <c r="D180" s="207" t="str">
        <f>IFERROR(PROPER(
IF($B180="DER-ES",INDEX('CDER-ES'!$B:$B,MATCH($C180,'CDER-ES'!$A:$A,0)),
IF($B180="SINAPI",INDEX(CSINAPI!$B:$B,MATCH($C180,CSINAPI!$A:$A,0)),
IF($B180="CESAN",INDEX(CCESAN!$B:$B,MATCH($C180,CCESAN!$A:$A,0)),
IF($B180="SCORIO",INDEX(CSCORIO!$B:$B,MATCH($C180,CSCORIO!$A:$A,0)),
IF($B180="MERC",INDEX(MERCADO!$B:$B,MATCH($C180,MERCADO!$A:$A,0)),
IF($B180="COMP",INDEX(COMPOSICAO!$B:$B,MATCH($C180,COMPOSICAO!$A:$A,0)),
""))))))),"*Verificar código*")</f>
        <v>Eletroduto Pead, Cor Preta, Diam. 1.1/4", Marca Ref. Kanaflex Ou Equivalente</v>
      </c>
      <c r="E180" s="200" t="str">
        <f>IFERROR(LOWER(
IF($B180="DER-ES",INDEX('CDER-ES'!$C:$C,MATCH($C180,'CDER-ES'!$A:$A,0)),
IF($B180="SINAPI",INDEX(CSINAPI!$C:$C,MATCH($C180,CSINAPI!$A:$A,0)),
IF($B180="CESAN",INDEX(CCESAN!$C:$C,MATCH($C180,CCESAN!$A:$A,0)),
IF($B180="SCORIO",INDEX(CSCORIO!$A:$A,MATCH($C180,CSCORIO!#REF!,0)),
IF($B180="MERC",INDEX(MERCADO!$D:$D,MATCH($C180,MERCADO!$A:$A,0)),
IF($B180="COMP",INDEX(COMPOSICAO!$G:$G,MATCH($C180,COMPOSICAO!$A:$A,0)),
""))))))),"")</f>
        <v>m</v>
      </c>
      <c r="F180" s="208">
        <f>VLOOKUP(A180,'MEMÓRIA DE CÁLCULO'!A:H,8,0)</f>
        <v>63</v>
      </c>
      <c r="G180" s="202">
        <f>IFERROR(
IF($B180="DER-ES",INDEX('CDER-ES'!$D:$D,MATCH($C180,'CDER-ES'!$A:$A,0)),
IF($B180="SINAPI",INDEX(CSINAPI!$D:$D,MATCH($C180,CSINAPI!$A:$A,0)),
IF($B180="CESAN",INDEX(CCESAN!$D:$D,MATCH($C180,CCESAN!$A:$A,0)),
IF($B180="SCORIO",INDEX(CSCORIO!$B:$B,MATCH($C180,CSCORIO!#REF!,0)),
IF($B180="MERC",INDEX(MERCADO!$E:$E,MATCH($C180,MERCADO!$A:$A,0)),
IF($B180="COMP",INDEX(COMPOSICAO!$H:$H,MATCH($C180,COMPOSICAO!$A:$A,0)),
0)))))),0)</f>
        <v>18.95</v>
      </c>
      <c r="H180" s="202">
        <f t="shared" si="121"/>
        <v>23.69</v>
      </c>
      <c r="I180" s="209">
        <f t="shared" si="122"/>
        <v>1492.47</v>
      </c>
      <c r="J180" s="225">
        <f t="shared" si="150"/>
        <v>1.0213295535054342E-2</v>
      </c>
    </row>
    <row r="181" spans="1:10" ht="25.5">
      <c r="A181" s="204" t="s">
        <v>29047</v>
      </c>
      <c r="B181" s="205" t="s">
        <v>26583</v>
      </c>
      <c r="C181" s="206">
        <v>151139</v>
      </c>
      <c r="D181" s="207" t="str">
        <f>IFERROR(PROPER(
IF($B181="DER-ES",INDEX('CDER-ES'!$B:$B,MATCH($C181,'CDER-ES'!$A:$A,0)),
IF($B181="SINAPI",INDEX(CSINAPI!$B:$B,MATCH($C181,CSINAPI!$A:$A,0)),
IF($B181="CESAN",INDEX(CCESAN!$B:$B,MATCH($C181,CCESAN!$A:$A,0)),
IF($B181="SCORIO",INDEX(CSCORIO!$B:$B,MATCH($C181,CSCORIO!$A:$A,0)),
IF($B181="MERC",INDEX(MERCADO!$B:$B,MATCH($C181,MERCADO!$A:$A,0)),
IF($B181="COMP",INDEX(COMPOSICAO!$B:$B,MATCH($C181,COMPOSICAO!$A:$A,0)),
""))))))),"*Verificar código*")</f>
        <v>Eletroduto Pead, Cor Preta, Diam. 2", Marca Ref. Kanaflex Ou Equivalente</v>
      </c>
      <c r="E181" s="200" t="str">
        <f>IFERROR(LOWER(
IF($B181="DER-ES",INDEX('CDER-ES'!$C:$C,MATCH($C181,'CDER-ES'!$A:$A,0)),
IF($B181="SINAPI",INDEX(CSINAPI!$C:$C,MATCH($C181,CSINAPI!$A:$A,0)),
IF($B181="CESAN",INDEX(CCESAN!$C:$C,MATCH($C181,CCESAN!$A:$A,0)),
IF($B181="SCORIO",INDEX(CSCORIO!$A:$A,MATCH($C181,CSCORIO!#REF!,0)),
IF($B181="MERC",INDEX(MERCADO!$D:$D,MATCH($C181,MERCADO!$A:$A,0)),
IF($B181="COMP",INDEX(COMPOSICAO!$G:$G,MATCH($C181,COMPOSICAO!$A:$A,0)),
""))))))),"")</f>
        <v>m</v>
      </c>
      <c r="F181" s="208">
        <f>VLOOKUP(A181,'MEMÓRIA DE CÁLCULO'!A:H,8,0)</f>
        <v>136</v>
      </c>
      <c r="G181" s="202">
        <f>IFERROR(
IF($B181="DER-ES",INDEX('CDER-ES'!$D:$D,MATCH($C181,'CDER-ES'!$A:$A,0)),
IF($B181="SINAPI",INDEX(CSINAPI!$D:$D,MATCH($C181,CSINAPI!$A:$A,0)),
IF($B181="CESAN",INDEX(CCESAN!$D:$D,MATCH($C181,CCESAN!$A:$A,0)),
IF($B181="SCORIO",INDEX(CSCORIO!$B:$B,MATCH($C181,CSCORIO!#REF!,0)),
IF($B181="MERC",INDEX(MERCADO!$E:$E,MATCH($C181,MERCADO!$A:$A,0)),
IF($B181="COMP",INDEX(COMPOSICAO!$H:$H,MATCH($C181,COMPOSICAO!$A:$A,0)),
0)))))),0)</f>
        <v>22.68</v>
      </c>
      <c r="H181" s="202">
        <f t="shared" ref="H181:H184" si="151">ROUND(G181*(1+$J$2),2)</f>
        <v>28.35</v>
      </c>
      <c r="I181" s="209">
        <f t="shared" ref="I181:I184" si="152">ROUND($H181*F181,2)</f>
        <v>3855.6</v>
      </c>
      <c r="J181" s="225">
        <f t="shared" si="150"/>
        <v>2.6384706067763854E-2</v>
      </c>
    </row>
    <row r="182" spans="1:10" ht="51">
      <c r="A182" s="204" t="s">
        <v>29048</v>
      </c>
      <c r="B182" s="205" t="s">
        <v>1019</v>
      </c>
      <c r="C182" s="206">
        <v>91925</v>
      </c>
      <c r="D182" s="207" t="str">
        <f>IFERROR(PROPER(
IF($B182="DER-ES",INDEX('CDER-ES'!$B:$B,MATCH($C182,'CDER-ES'!$A:$A,0)),
IF($B182="SINAPI",INDEX(CSINAPI!$B:$B,MATCH($C182,CSINAPI!$A:$A,0)),
IF($B182="CESAN",INDEX(CCESAN!$B:$B,MATCH($C182,CCESAN!$A:$A,0)),
IF($B182="SCORIO",INDEX(CSCORIO!$B:$B,MATCH($C182,CSCORIO!$A:$A,0)),
IF($B182="MERC",INDEX(MERCADO!$B:$B,MATCH($C182,MERCADO!$A:$A,0)),
IF($B182="COMP",INDEX(COMPOSICAO!$B:$B,MATCH($C182,COMPOSICAO!$A:$A,0)),
""))))))),"*Verificar código*")</f>
        <v>Cabo De Cobre Flexível Isolado, 1,5 Mm², Anti-Chama 0,6/1,0 Kv, Para Circuitos Terminais - Fornecimento E Instalação. Af_12/2015</v>
      </c>
      <c r="E182" s="200" t="str">
        <f>IFERROR(LOWER(
IF($B182="DER-ES",INDEX('CDER-ES'!$C:$C,MATCH($C182,'CDER-ES'!$A:$A,0)),
IF($B182="SINAPI",INDEX(CSINAPI!$C:$C,MATCH($C182,CSINAPI!$A:$A,0)),
IF($B182="CESAN",INDEX(CCESAN!$C:$C,MATCH($C182,CCESAN!$A:$A,0)),
IF($B182="SCORIO",INDEX(CSCORIO!$A:$A,MATCH($C182,CSCORIO!#REF!,0)),
IF($B182="MERC",INDEX(MERCADO!$D:$D,MATCH($C182,MERCADO!$A:$A,0)),
IF($B182="COMP",INDEX(COMPOSICAO!$G:$G,MATCH($C182,COMPOSICAO!$A:$A,0)),
""))))))),"")</f>
        <v>m</v>
      </c>
      <c r="F182" s="208">
        <f>VLOOKUP(A182,'MEMÓRIA DE CÁLCULO'!A:H,8,0)</f>
        <v>917.4</v>
      </c>
      <c r="G182" s="202">
        <f>IFERROR(
IF($B182="DER-ES",INDEX('CDER-ES'!$D:$D,MATCH($C182,'CDER-ES'!$A:$A,0)),
IF($B182="SINAPI",INDEX(CSINAPI!$D:$D,MATCH($C182,CSINAPI!$A:$A,0)),
IF($B182="CESAN",INDEX(CCESAN!$D:$D,MATCH($C182,CCESAN!$A:$A,0)),
IF($B182="SCORIO",INDEX(CSCORIO!$B:$B,MATCH($C182,CSCORIO!#REF!,0)),
IF($B182="MERC",INDEX(MERCADO!$E:$E,MATCH($C182,MERCADO!$A:$A,0)),
IF($B182="COMP",INDEX(COMPOSICAO!$H:$H,MATCH($C182,COMPOSICAO!$A:$A,0)),
0)))))),0)</f>
        <v>4.1100000000000003</v>
      </c>
      <c r="H182" s="202">
        <f t="shared" si="151"/>
        <v>5.14</v>
      </c>
      <c r="I182" s="209">
        <f t="shared" si="152"/>
        <v>4715.4399999999996</v>
      </c>
      <c r="J182" s="225">
        <f t="shared" ref="J182:J184" si="153">I182/I$158</f>
        <v>3.2268777461400659E-2</v>
      </c>
    </row>
    <row r="183" spans="1:10" ht="51">
      <c r="A183" s="204" t="s">
        <v>29049</v>
      </c>
      <c r="B183" s="205" t="s">
        <v>1019</v>
      </c>
      <c r="C183" s="206">
        <v>91927</v>
      </c>
      <c r="D183" s="207" t="str">
        <f>IFERROR(PROPER(
IF($B183="DER-ES",INDEX('CDER-ES'!$B:$B,MATCH($C183,'CDER-ES'!$A:$A,0)),
IF($B183="SINAPI",INDEX(CSINAPI!$B:$B,MATCH($C183,CSINAPI!$A:$A,0)),
IF($B183="CESAN",INDEX(CCESAN!$B:$B,MATCH($C183,CCESAN!$A:$A,0)),
IF($B183="SCORIO",INDEX(CSCORIO!$B:$B,MATCH($C183,CSCORIO!$A:$A,0)),
IF($B183="MERC",INDEX(MERCADO!$B:$B,MATCH($C183,MERCADO!$A:$A,0)),
IF($B183="COMP",INDEX(COMPOSICAO!$B:$B,MATCH($C183,COMPOSICAO!$A:$A,0)),
""))))))),"*Verificar código*")</f>
        <v>Cabo De Cobre Flexível Isolado, 2,5 Mm², Anti-Chama 0,6/1,0 Kv, Para Circuitos Terminais - Fornecimento E Instalação. Af_12/2015</v>
      </c>
      <c r="E183" s="200" t="str">
        <f>IFERROR(LOWER(
IF($B183="DER-ES",INDEX('CDER-ES'!$C:$C,MATCH($C183,'CDER-ES'!$A:$A,0)),
IF($B183="SINAPI",INDEX(CSINAPI!$C:$C,MATCH($C183,CSINAPI!$A:$A,0)),
IF($B183="CESAN",INDEX(CCESAN!$C:$C,MATCH($C183,CCESAN!$A:$A,0)),
IF($B183="SCORIO",INDEX(CSCORIO!$A:$A,MATCH($C183,CSCORIO!#REF!,0)),
IF($B183="MERC",INDEX(MERCADO!$D:$D,MATCH($C183,MERCADO!$A:$A,0)),
IF($B183="COMP",INDEX(COMPOSICAO!$G:$G,MATCH($C183,COMPOSICAO!$A:$A,0)),
""))))))),"")</f>
        <v>m</v>
      </c>
      <c r="F183" s="208">
        <f>VLOOKUP(A183,'MEMÓRIA DE CÁLCULO'!A:H,8,0)</f>
        <v>1531.2</v>
      </c>
      <c r="G183" s="202">
        <f>IFERROR(
IF($B183="DER-ES",INDEX('CDER-ES'!$D:$D,MATCH($C183,'CDER-ES'!$A:$A,0)),
IF($B183="SINAPI",INDEX(CSINAPI!$D:$D,MATCH($C183,CSINAPI!$A:$A,0)),
IF($B183="CESAN",INDEX(CCESAN!$D:$D,MATCH($C183,CCESAN!$A:$A,0)),
IF($B183="SCORIO",INDEX(CSCORIO!$B:$B,MATCH($C183,CSCORIO!#REF!,0)),
IF($B183="MERC",INDEX(MERCADO!$E:$E,MATCH($C183,MERCADO!$A:$A,0)),
IF($B183="COMP",INDEX(COMPOSICAO!$H:$H,MATCH($C183,COMPOSICAO!$A:$A,0)),
0)))))),0)</f>
        <v>5.53</v>
      </c>
      <c r="H183" s="202">
        <f t="shared" si="151"/>
        <v>6.91</v>
      </c>
      <c r="I183" s="209">
        <f t="shared" si="152"/>
        <v>10580.59</v>
      </c>
      <c r="J183" s="225">
        <f t="shared" si="153"/>
        <v>7.2405269523166713E-2</v>
      </c>
    </row>
    <row r="184" spans="1:10" ht="51">
      <c r="A184" s="204" t="s">
        <v>29050</v>
      </c>
      <c r="B184" s="205" t="s">
        <v>1019</v>
      </c>
      <c r="C184" s="206">
        <v>91929</v>
      </c>
      <c r="D184" s="207" t="str">
        <f>IFERROR(PROPER(
IF($B184="DER-ES",INDEX('CDER-ES'!$B:$B,MATCH($C184,'CDER-ES'!$A:$A,0)),
IF($B184="SINAPI",INDEX(CSINAPI!$B:$B,MATCH($C184,CSINAPI!$A:$A,0)),
IF($B184="CESAN",INDEX(CCESAN!$B:$B,MATCH($C184,CCESAN!$A:$A,0)),
IF($B184="SCORIO",INDEX(CSCORIO!$B:$B,MATCH($C184,CSCORIO!$A:$A,0)),
IF($B184="MERC",INDEX(MERCADO!$B:$B,MATCH($C184,MERCADO!$A:$A,0)),
IF($B184="COMP",INDEX(COMPOSICAO!$B:$B,MATCH($C184,COMPOSICAO!$A:$A,0)),
""))))))),"*Verificar código*")</f>
        <v>Cabo De Cobre Flexível Isolado, 4 Mm², Anti-Chama 0,6/1,0 Kv, Para Circuitos Terminais - Fornecimento E Instalação. Af_12/2015</v>
      </c>
      <c r="E184" s="200" t="str">
        <f>IFERROR(LOWER(
IF($B184="DER-ES",INDEX('CDER-ES'!$C:$C,MATCH($C184,'CDER-ES'!$A:$A,0)),
IF($B184="SINAPI",INDEX(CSINAPI!$C:$C,MATCH($C184,CSINAPI!$A:$A,0)),
IF($B184="CESAN",INDEX(CCESAN!$C:$C,MATCH($C184,CCESAN!$A:$A,0)),
IF($B184="SCORIO",INDEX(CSCORIO!$A:$A,MATCH($C184,CSCORIO!#REF!,0)),
IF($B184="MERC",INDEX(MERCADO!$D:$D,MATCH($C184,MERCADO!$A:$A,0)),
IF($B184="COMP",INDEX(COMPOSICAO!$G:$G,MATCH($C184,COMPOSICAO!$A:$A,0)),
""))))))),"")</f>
        <v>m</v>
      </c>
      <c r="F184" s="208">
        <f>VLOOKUP(A184,'MEMÓRIA DE CÁLCULO'!A:H,8,0)</f>
        <v>303.60000000000002</v>
      </c>
      <c r="G184" s="202">
        <f>IFERROR(
IF($B184="DER-ES",INDEX('CDER-ES'!$D:$D,MATCH($C184,'CDER-ES'!$A:$A,0)),
IF($B184="SINAPI",INDEX(CSINAPI!$D:$D,MATCH($C184,CSINAPI!$A:$A,0)),
IF($B184="CESAN",INDEX(CCESAN!$D:$D,MATCH($C184,CCESAN!$A:$A,0)),
IF($B184="SCORIO",INDEX(CSCORIO!$B:$B,MATCH($C184,CSCORIO!#REF!,0)),
IF($B184="MERC",INDEX(MERCADO!$E:$E,MATCH($C184,MERCADO!$A:$A,0)),
IF($B184="COMP",INDEX(COMPOSICAO!$H:$H,MATCH($C184,COMPOSICAO!$A:$A,0)),
0)))))),0)</f>
        <v>7.77</v>
      </c>
      <c r="H184" s="202">
        <f t="shared" si="151"/>
        <v>9.7100000000000009</v>
      </c>
      <c r="I184" s="209">
        <f t="shared" si="152"/>
        <v>2947.96</v>
      </c>
      <c r="J184" s="225">
        <f t="shared" si="153"/>
        <v>2.0173528918851834E-2</v>
      </c>
    </row>
    <row r="185" spans="1:10" ht="51">
      <c r="A185" s="204" t="s">
        <v>29051</v>
      </c>
      <c r="B185" s="205" t="s">
        <v>1019</v>
      </c>
      <c r="C185" s="206">
        <v>92982</v>
      </c>
      <c r="D185" s="207" t="str">
        <f>IFERROR(PROPER(
IF($B185="DER-ES",INDEX('CDER-ES'!$B:$B,MATCH($C185,'CDER-ES'!$A:$A,0)),
IF($B185="SINAPI",INDEX(CSINAPI!$B:$B,MATCH($C185,CSINAPI!$A:$A,0)),
IF($B185="CESAN",INDEX(CCESAN!$B:$B,MATCH($C185,CCESAN!$A:$A,0)),
IF($B185="SCORIO",INDEX(CSCORIO!$B:$B,MATCH($C185,CSCORIO!$A:$A,0)),
IF($B185="MERC",INDEX(MERCADO!$B:$B,MATCH($C185,MERCADO!$A:$A,0)),
IF($B185="COMP",INDEX(COMPOSICAO!$B:$B,MATCH($C185,COMPOSICAO!$A:$A,0)),
""))))))),"*Verificar código*")</f>
        <v>Cabo De Cobre Flexível Isolado, 16 Mm², Anti-Chama 0,6/1,0 Kv, Para Distribuição - Fornecimento E Instalação. Af_12/2015</v>
      </c>
      <c r="E185" s="200" t="str">
        <f>IFERROR(LOWER(
IF($B185="DER-ES",INDEX('CDER-ES'!$C:$C,MATCH($C185,'CDER-ES'!$A:$A,0)),
IF($B185="SINAPI",INDEX(CSINAPI!$C:$C,MATCH($C185,CSINAPI!$A:$A,0)),
IF($B185="CESAN",INDEX(CCESAN!$C:$C,MATCH($C185,CCESAN!$A:$A,0)),
IF($B185="SCORIO",INDEX(CSCORIO!$A:$A,MATCH($C185,CSCORIO!#REF!,0)),
IF($B185="MERC",INDEX(MERCADO!$D:$D,MATCH($C185,MERCADO!$A:$A,0)),
IF($B185="COMP",INDEX(COMPOSICAO!$G:$G,MATCH($C185,COMPOSICAO!$A:$A,0)),
""))))))),"")</f>
        <v>m</v>
      </c>
      <c r="F185" s="208">
        <f>VLOOKUP(A185,'MEMÓRIA DE CÁLCULO'!A:H,8,0)</f>
        <v>164</v>
      </c>
      <c r="G185" s="202">
        <f>IFERROR(
IF($B185="DER-ES",INDEX('CDER-ES'!$D:$D,MATCH($C185,'CDER-ES'!$A:$A,0)),
IF($B185="SINAPI",INDEX(CSINAPI!$D:$D,MATCH($C185,CSINAPI!$A:$A,0)),
IF($B185="CESAN",INDEX(CCESAN!$D:$D,MATCH($C185,CCESAN!$A:$A,0)),
IF($B185="SCORIO",INDEX(CSCORIO!$B:$B,MATCH($C185,CSCORIO!#REF!,0)),
IF($B185="MERC",INDEX(MERCADO!$E:$E,MATCH($C185,MERCADO!$A:$A,0)),
IF($B185="COMP",INDEX(COMPOSICAO!$H:$H,MATCH($C185,COMPOSICAO!$A:$A,0)),
0)))))),0)</f>
        <v>17.63</v>
      </c>
      <c r="H185" s="202">
        <f t="shared" ref="H185" si="154">ROUND(G185*(1+$J$2),2)</f>
        <v>22.04</v>
      </c>
      <c r="I185" s="209">
        <f t="shared" ref="I185" si="155">ROUND($H185*F185,2)</f>
        <v>3614.56</v>
      </c>
      <c r="J185" s="225">
        <f t="shared" ref="J185" si="156">I185/I$158</f>
        <v>2.4735217129447172E-2</v>
      </c>
    </row>
    <row r="186" spans="1:10" ht="25.5">
      <c r="A186" s="204" t="s">
        <v>29052</v>
      </c>
      <c r="B186" s="205" t="s">
        <v>26583</v>
      </c>
      <c r="C186" s="206">
        <v>151506</v>
      </c>
      <c r="D186" s="207" t="str">
        <f>IFERROR(PROPER(
IF($B186="DER-ES",INDEX('CDER-ES'!$B:$B,MATCH($C186,'CDER-ES'!$A:$A,0)),
IF($B186="SINAPI",INDEX(CSINAPI!$B:$B,MATCH($C186,CSINAPI!$A:$A,0)),
IF($B186="CESAN",INDEX(CCESAN!$B:$B,MATCH($C186,CCESAN!$A:$A,0)),
IF($B186="SCORIO",INDEX(CSCORIO!$B:$B,MATCH($C186,CSCORIO!$A:$A,0)),
IF($B186="MERC",INDEX(MERCADO!$B:$B,MATCH($C186,MERCADO!$A:$A,0)),
IF($B186="COMP",INDEX(COMPOSICAO!$B:$B,MATCH($C186,COMPOSICAO!$A:$A,0)),
""))))))),"*Verificar código*")</f>
        <v>Haste De Terra Tipo Copperweld - 5/8" X 2.40M</v>
      </c>
      <c r="E186" s="200" t="str">
        <f>IFERROR(LOWER(
IF($B186="DER-ES",INDEX('CDER-ES'!$C:$C,MATCH($C186,'CDER-ES'!$A:$A,0)),
IF($B186="SINAPI",INDEX(CSINAPI!$C:$C,MATCH($C186,CSINAPI!$A:$A,0)),
IF($B186="CESAN",INDEX(CCESAN!$C:$C,MATCH($C186,CCESAN!$A:$A,0)),
IF($B186="SCORIO",INDEX(CSCORIO!$A:$A,MATCH($C186,CSCORIO!#REF!,0)),
IF($B186="MERC",INDEX(MERCADO!$D:$D,MATCH($C186,MERCADO!$A:$A,0)),
IF($B186="COMP",INDEX(COMPOSICAO!$G:$G,MATCH($C186,COMPOSICAO!$A:$A,0)),
""))))))),"")</f>
        <v>und</v>
      </c>
      <c r="F186" s="208">
        <f>VLOOKUP(A186,'MEMÓRIA DE CÁLCULO'!A:H,8,0)</f>
        <v>12</v>
      </c>
      <c r="G186" s="202">
        <f>IFERROR(
IF($B186="DER-ES",INDEX('CDER-ES'!$D:$D,MATCH($C186,'CDER-ES'!$A:$A,0)),
IF($B186="SINAPI",INDEX(CSINAPI!$D:$D,MATCH($C186,CSINAPI!$A:$A,0)),
IF($B186="CESAN",INDEX(CCESAN!$D:$D,MATCH($C186,CCESAN!$A:$A,0)),
IF($B186="SCORIO",INDEX(CSCORIO!$B:$B,MATCH($C186,CSCORIO!#REF!,0)),
IF($B186="MERC",INDEX(MERCADO!$E:$E,MATCH($C186,MERCADO!$A:$A,0)),
IF($B186="COMP",INDEX(COMPOSICAO!$H:$H,MATCH($C186,COMPOSICAO!$A:$A,0)),
0)))))),0)</f>
        <v>232.79</v>
      </c>
      <c r="H186" s="202">
        <f t="shared" ref="H186" si="157">ROUND(G186*(1+$J$2),2)</f>
        <v>290.99</v>
      </c>
      <c r="I186" s="209">
        <f t="shared" ref="I186" si="158">ROUND($H186*F186,2)</f>
        <v>3491.88</v>
      </c>
      <c r="J186" s="225">
        <f t="shared" ref="J186" si="159">I186/I$158</f>
        <v>2.3895691312351711E-2</v>
      </c>
    </row>
    <row r="187" spans="1:10" ht="76.5">
      <c r="A187" s="204" t="s">
        <v>29053</v>
      </c>
      <c r="B187" s="205" t="s">
        <v>1020</v>
      </c>
      <c r="C187" s="206">
        <v>15</v>
      </c>
      <c r="D187" s="207" t="str">
        <f>IFERROR(PROPER(
IF($B187="DER-ES",INDEX('CDER-ES'!$B:$B,MATCH($C187,'CDER-ES'!$A:$A,0)),
IF($B187="SINAPI",INDEX(CSINAPI!$B:$B,MATCH($C187,CSINAPI!$A:$A,0)),
IF($B187="CESAN",INDEX(CCESAN!$B:$B,MATCH($C187,CCESAN!$A:$A,0)),
IF($B187="SCORIO",INDEX(CSCORIO!$B:$B,MATCH($C187,CSCORIO!$A:$A,0)),
IF($B187="MERC",INDEX(MERCADO!$B:$B,MATCH($C187,MERCADO!$A:$A,0)),
IF($B187="COMP",INDEX(COMPOSICAO!$B:$B,MATCH($C187,COMPOSICAO!$A:$A,0)),
""))))))),"*Verificar código*")</f>
        <v>Poste De Aço Cônico Contínuo Curvo Duplo, Flangeado, H = 9 M, Inclusive Luminárias Led Para Iluminação Pública, De 240 W Até 350 W, Com Involucro Em Alumínio Ou Aço Inox - Fornecimento E Instalação</v>
      </c>
      <c r="E187" s="200" t="str">
        <f>IFERROR(LOWER(
IF($B187="DER-ES",INDEX('CDER-ES'!$C:$C,MATCH($C187,'CDER-ES'!$A:$A,0)),
IF($B187="SINAPI",INDEX(CSINAPI!$C:$C,MATCH($C187,CSINAPI!$A:$A,0)),
IF($B187="CESAN",INDEX(CCESAN!$C:$C,MATCH($C187,CCESAN!$A:$A,0)),
IF($B187="SCORIO",INDEX(CSCORIO!$A:$A,MATCH($C187,CSCORIO!#REF!,0)),
IF($B187="MERC",INDEX(MERCADO!$D:$D,MATCH($C187,MERCADO!$A:$A,0)),
IF($B187="COMP",INDEX(COMPOSICAO!$G:$G,MATCH($C187,COMPOSICAO!$A:$A,0)),
""))))))),"")</f>
        <v>und.</v>
      </c>
      <c r="F187" s="208">
        <f>VLOOKUP(A187,'MEMÓRIA DE CÁLCULO'!A:H,8,0)</f>
        <v>2</v>
      </c>
      <c r="G187" s="202">
        <f>IFERROR(
IF($B187="DER-ES",INDEX('CDER-ES'!$D:$D,MATCH($C187,'CDER-ES'!$A:$A,0)),
IF($B187="SINAPI",INDEX(CSINAPI!$D:$D,MATCH($C187,CSINAPI!$A:$A,0)),
IF($B187="CESAN",INDEX(CCESAN!$D:$D,MATCH($C187,CCESAN!$A:$A,0)),
IF($B187="SCORIO",INDEX(CSCORIO!$B:$B,MATCH($C187,CSCORIO!#REF!,0)),
IF($B187="MERC",INDEX(MERCADO!$E:$E,MATCH($C187,MERCADO!$A:$A,0)),
IF($B187="COMP",INDEX(COMPOSICAO!$H:$H,MATCH($C187,COMPOSICAO!$A:$A,0)),
0)))))),0)</f>
        <v>7070.6699999999983</v>
      </c>
      <c r="H187" s="202">
        <f t="shared" si="121"/>
        <v>8838.34</v>
      </c>
      <c r="I187" s="209">
        <f t="shared" si="122"/>
        <v>17676.68</v>
      </c>
      <c r="J187" s="225">
        <f t="shared" si="150"/>
        <v>0.12096535067276688</v>
      </c>
    </row>
    <row r="188" spans="1:10" ht="63.75">
      <c r="A188" s="204" t="s">
        <v>29054</v>
      </c>
      <c r="B188" s="205" t="s">
        <v>1020</v>
      </c>
      <c r="C188" s="206">
        <v>16</v>
      </c>
      <c r="D188" s="207" t="str">
        <f>IFERROR(PROPER(
IF($B188="DER-ES",INDEX('CDER-ES'!$B:$B,MATCH($C188,'CDER-ES'!$A:$A,0)),
IF($B188="SINAPI",INDEX(CSINAPI!$B:$B,MATCH($C188,CSINAPI!$A:$A,0)),
IF($B188="CESAN",INDEX(CCESAN!$B:$B,MATCH($C188,CCESAN!$A:$A,0)),
IF($B188="SCORIO",INDEX(CSCORIO!$B:$B,MATCH($C188,CSCORIO!$A:$A,0)),
IF($B188="MERC",INDEX(MERCADO!$B:$B,MATCH($C188,MERCADO!$A:$A,0)),
IF($B188="COMP",INDEX(COMPOSICAO!$B:$B,MATCH($C188,COMPOSICAO!$A:$A,0)),
""))))))),"*Verificar código*")</f>
        <v>Poste De Aço Galvanizado, Tipo Ornamental, Modelo Colonial, Com Dois Braços, 2,25 Metros De Altura, Flangeado, Inclusive Luminária E Lâmpada Led - Conforme Projeto</v>
      </c>
      <c r="E188" s="200" t="str">
        <f>IFERROR(LOWER(
IF($B188="DER-ES",INDEX('CDER-ES'!$C:$C,MATCH($C188,'CDER-ES'!$A:$A,0)),
IF($B188="SINAPI",INDEX(CSINAPI!$C:$C,MATCH($C188,CSINAPI!$A:$A,0)),
IF($B188="CESAN",INDEX(CCESAN!$C:$C,MATCH($C188,CCESAN!$A:$A,0)),
IF($B188="SCORIO",INDEX(CSCORIO!$A:$A,MATCH($C188,CSCORIO!#REF!,0)),
IF($B188="MERC",INDEX(MERCADO!$D:$D,MATCH($C188,MERCADO!$A:$A,0)),
IF($B188="COMP",INDEX(COMPOSICAO!$G:$G,MATCH($C188,COMPOSICAO!$A:$A,0)),
""))))))),"")</f>
        <v>und.</v>
      </c>
      <c r="F188" s="208">
        <f>VLOOKUP(A188,'MEMÓRIA DE CÁLCULO'!A:H,8,0)</f>
        <v>2</v>
      </c>
      <c r="G188" s="202">
        <f>IFERROR(
IF($B188="DER-ES",INDEX('CDER-ES'!$D:$D,MATCH($C188,'CDER-ES'!$A:$A,0)),
IF($B188="SINAPI",INDEX(CSINAPI!$D:$D,MATCH($C188,CSINAPI!$A:$A,0)),
IF($B188="CESAN",INDEX(CCESAN!$D:$D,MATCH($C188,CCESAN!$A:$A,0)),
IF($B188="SCORIO",INDEX(CSCORIO!$B:$B,MATCH($C188,CSCORIO!#REF!,0)),
IF($B188="MERC",INDEX(MERCADO!$E:$E,MATCH($C188,MERCADO!$A:$A,0)),
IF($B188="COMP",INDEX(COMPOSICAO!$H:$H,MATCH($C188,COMPOSICAO!$A:$A,0)),
0)))))),0)</f>
        <v>2308.5800000000004</v>
      </c>
      <c r="H188" s="202">
        <f t="shared" si="121"/>
        <v>2885.73</v>
      </c>
      <c r="I188" s="209">
        <f t="shared" si="122"/>
        <v>5771.46</v>
      </c>
      <c r="J188" s="225">
        <f>I188/I$158</f>
        <v>3.9495351094993358E-2</v>
      </c>
    </row>
    <row r="189" spans="1:10" ht="25.5">
      <c r="A189" s="204" t="s">
        <v>29055</v>
      </c>
      <c r="B189" s="205" t="s">
        <v>1020</v>
      </c>
      <c r="C189" s="206">
        <v>17</v>
      </c>
      <c r="D189" s="207" t="str">
        <f>IFERROR(PROPER(
IF($B189="DER-ES",INDEX('CDER-ES'!$B:$B,MATCH($C189,'CDER-ES'!$A:$A,0)),
IF($B189="SINAPI",INDEX(CSINAPI!$B:$B,MATCH($C189,CSINAPI!$A:$A,0)),
IF($B189="CESAN",INDEX(CCESAN!$B:$B,MATCH($C189,CCESAN!$A:$A,0)),
IF($B189="SCORIO",INDEX(CSCORIO!$B:$B,MATCH($C189,CSCORIO!$A:$A,0)),
IF($B189="MERC",INDEX(MERCADO!$B:$B,MATCH($C189,MERCADO!$A:$A,0)),
IF($B189="COMP",INDEX(COMPOSICAO!$B:$B,MATCH($C189,COMPOSICAO!$A:$A,0)),
""))))))),"*Verificar código*")</f>
        <v>Trilho Eletrificado Preto Com 3 Spots Led 10 W Preto Quente</v>
      </c>
      <c r="E189" s="200" t="str">
        <f>IFERROR(LOWER(
IF($B189="DER-ES",INDEX('CDER-ES'!$C:$C,MATCH($C189,'CDER-ES'!$A:$A,0)),
IF($B189="SINAPI",INDEX(CSINAPI!$C:$C,MATCH($C189,CSINAPI!$A:$A,0)),
IF($B189="CESAN",INDEX(CCESAN!$C:$C,MATCH($C189,CCESAN!$A:$A,0)),
IF($B189="SCORIO",INDEX(CSCORIO!$A:$A,MATCH($C189,CSCORIO!#REF!,0)),
IF($B189="MERC",INDEX(MERCADO!$D:$D,MATCH($C189,MERCADO!$A:$A,0)),
IF($B189="COMP",INDEX(COMPOSICAO!$G:$G,MATCH($C189,COMPOSICAO!$A:$A,0)),
""))))))),"")</f>
        <v>m</v>
      </c>
      <c r="F189" s="208">
        <f>VLOOKUP(A189,'MEMÓRIA DE CÁLCULO'!A:H,8,0)</f>
        <v>50</v>
      </c>
      <c r="G189" s="202">
        <f>IFERROR(
IF($B189="DER-ES",INDEX('CDER-ES'!$D:$D,MATCH($C189,'CDER-ES'!$A:$A,0)),
IF($B189="SINAPI",INDEX(CSINAPI!$D:$D,MATCH($C189,CSINAPI!$A:$A,0)),
IF($B189="CESAN",INDEX(CCESAN!$D:$D,MATCH($C189,CCESAN!$A:$A,0)),
IF($B189="SCORIO",INDEX(CSCORIO!$B:$B,MATCH($C189,CSCORIO!#REF!,0)),
IF($B189="MERC",INDEX(MERCADO!$E:$E,MATCH($C189,MERCADO!$A:$A,0)),
IF($B189="COMP",INDEX(COMPOSICAO!$H:$H,MATCH($C189,COMPOSICAO!$A:$A,0)),
0)))))),0)</f>
        <v>159.90999999999997</v>
      </c>
      <c r="H189" s="202">
        <f t="shared" si="121"/>
        <v>199.89</v>
      </c>
      <c r="I189" s="209">
        <f t="shared" si="122"/>
        <v>9994.5</v>
      </c>
      <c r="J189" s="225">
        <f t="shared" ref="J189:J202" si="160">I189/I$158</f>
        <v>6.8394528684061068E-2</v>
      </c>
    </row>
    <row r="190" spans="1:10" ht="25.5">
      <c r="A190" s="204" t="s">
        <v>29056</v>
      </c>
      <c r="B190" s="205" t="s">
        <v>1020</v>
      </c>
      <c r="C190" s="206">
        <v>18</v>
      </c>
      <c r="D190" s="207" t="str">
        <f>IFERROR(PROPER(
IF($B190="DER-ES",INDEX('CDER-ES'!$B:$B,MATCH($C190,'CDER-ES'!$A:$A,0)),
IF($B190="SINAPI",INDEX(CSINAPI!$B:$B,MATCH($C190,CSINAPI!$A:$A,0)),
IF($B190="CESAN",INDEX(CCESAN!$B:$B,MATCH($C190,CCESAN!$A:$A,0)),
IF($B190="SCORIO",INDEX(CSCORIO!$B:$B,MATCH($C190,CSCORIO!$A:$A,0)),
IF($B190="MERC",INDEX(MERCADO!$B:$B,MATCH($C190,MERCADO!$A:$A,0)),
IF($B190="COMP",INDEX(COMPOSICAO!$B:$B,MATCH($C190,COMPOSICAO!$A:$A,0)),
""))))))),"*Verificar código*")</f>
        <v>Lustre Pendente De Teto Com 6 Bocais Rústicos</v>
      </c>
      <c r="E190" s="200" t="str">
        <f>IFERROR(LOWER(
IF($B190="DER-ES",INDEX('CDER-ES'!$C:$C,MATCH($C190,'CDER-ES'!$A:$A,0)),
IF($B190="SINAPI",INDEX(CSINAPI!$C:$C,MATCH($C190,CSINAPI!$A:$A,0)),
IF($B190="CESAN",INDEX(CCESAN!$C:$C,MATCH($C190,CCESAN!$A:$A,0)),
IF($B190="SCORIO",INDEX(CSCORIO!$A:$A,MATCH($C190,CSCORIO!#REF!,0)),
IF($B190="MERC",INDEX(MERCADO!$D:$D,MATCH($C190,MERCADO!$A:$A,0)),
IF($B190="COMP",INDEX(COMPOSICAO!$G:$G,MATCH($C190,COMPOSICAO!$A:$A,0)),
""))))))),"")</f>
        <v>und.</v>
      </c>
      <c r="F190" s="208">
        <f>VLOOKUP(A190,'MEMÓRIA DE CÁLCULO'!A:H,8,0)</f>
        <v>7</v>
      </c>
      <c r="G190" s="202">
        <f>IFERROR(
IF($B190="DER-ES",INDEX('CDER-ES'!$D:$D,MATCH($C190,'CDER-ES'!$A:$A,0)),
IF($B190="SINAPI",INDEX(CSINAPI!$D:$D,MATCH($C190,CSINAPI!$A:$A,0)),
IF($B190="CESAN",INDEX(CCESAN!$D:$D,MATCH($C190,CCESAN!$A:$A,0)),
IF($B190="SCORIO",INDEX(CSCORIO!$B:$B,MATCH($C190,CSCORIO!#REF!,0)),
IF($B190="MERC",INDEX(MERCADO!$E:$E,MATCH($C190,MERCADO!$A:$A,0)),
IF($B190="COMP",INDEX(COMPOSICAO!$H:$H,MATCH($C190,COMPOSICAO!$A:$A,0)),
0)))))),0)</f>
        <v>926.57</v>
      </c>
      <c r="H190" s="202">
        <f t="shared" si="121"/>
        <v>1158.21</v>
      </c>
      <c r="I190" s="209">
        <f t="shared" si="122"/>
        <v>8107.47</v>
      </c>
      <c r="J190" s="225">
        <f t="shared" si="160"/>
        <v>5.5481173592492328E-2</v>
      </c>
    </row>
    <row r="191" spans="1:10" ht="38.25">
      <c r="A191" s="204" t="s">
        <v>29057</v>
      </c>
      <c r="B191" s="205" t="s">
        <v>1020</v>
      </c>
      <c r="C191" s="206">
        <v>19</v>
      </c>
      <c r="D191" s="207" t="str">
        <f>IFERROR(PROPER(
IF($B191="DER-ES",INDEX('CDER-ES'!$B:$B,MATCH($C191,'CDER-ES'!$A:$A,0)),
IF($B191="SINAPI",INDEX(CSINAPI!$B:$B,MATCH($C191,CSINAPI!$A:$A,0)),
IF($B191="CESAN",INDEX(CCESAN!$B:$B,MATCH($C191,CCESAN!$A:$A,0)),
IF($B191="SCORIO",INDEX(CSCORIO!$B:$B,MATCH($C191,CSCORIO!$A:$A,0)),
IF($B191="MERC",INDEX(MERCADO!$B:$B,MATCH($C191,MERCADO!$A:$A,0)),
IF($B191="COMP",INDEX(COMPOSICAO!$B:$B,MATCH($C191,COMPOSICAO!$A:$A,0)),
""))))))),"*Verificar código*")</f>
        <v xml:space="preserve">Luminária Pendente, Vintage Colonial, Cor Preto, Incluso 1 Lâmpada Fluorescente </v>
      </c>
      <c r="E191" s="200" t="str">
        <f>IFERROR(LOWER(
IF($B191="DER-ES",INDEX('CDER-ES'!$C:$C,MATCH($C191,'CDER-ES'!$A:$A,0)),
IF($B191="SINAPI",INDEX(CSINAPI!$C:$C,MATCH($C191,CSINAPI!$A:$A,0)),
IF($B191="CESAN",INDEX(CCESAN!$C:$C,MATCH($C191,CCESAN!$A:$A,0)),
IF($B191="SCORIO",INDEX(CSCORIO!$A:$A,MATCH($C191,CSCORIO!#REF!,0)),
IF($B191="MERC",INDEX(MERCADO!$D:$D,MATCH($C191,MERCADO!$A:$A,0)),
IF($B191="COMP",INDEX(COMPOSICAO!$G:$G,MATCH($C191,COMPOSICAO!$A:$A,0)),
""))))))),"")</f>
        <v>und.</v>
      </c>
      <c r="F191" s="208">
        <f>VLOOKUP(A191,'MEMÓRIA DE CÁLCULO'!A:H,8,0)</f>
        <v>5</v>
      </c>
      <c r="G191" s="202">
        <f>IFERROR(
IF($B191="DER-ES",INDEX('CDER-ES'!$D:$D,MATCH($C191,'CDER-ES'!$A:$A,0)),
IF($B191="SINAPI",INDEX(CSINAPI!$D:$D,MATCH($C191,CSINAPI!$A:$A,0)),
IF($B191="CESAN",INDEX(CCESAN!$D:$D,MATCH($C191,CCESAN!$A:$A,0)),
IF($B191="SCORIO",INDEX(CSCORIO!$B:$B,MATCH($C191,CSCORIO!#REF!,0)),
IF($B191="MERC",INDEX(MERCADO!$E:$E,MATCH($C191,MERCADO!$A:$A,0)),
IF($B191="COMP",INDEX(COMPOSICAO!$H:$H,MATCH($C191,COMPOSICAO!$A:$A,0)),
0)))))),0)</f>
        <v>96.279999999999987</v>
      </c>
      <c r="H191" s="202">
        <f t="shared" ref="H191" si="161">ROUND(G191*(1+$J$2),2)</f>
        <v>120.35</v>
      </c>
      <c r="I191" s="209">
        <f t="shared" ref="I191" si="162">ROUND($H191*F191,2)</f>
        <v>601.75</v>
      </c>
      <c r="J191" s="225">
        <f t="shared" ref="J191" si="163">I191/I$158</f>
        <v>4.1179056116497819E-3</v>
      </c>
    </row>
    <row r="192" spans="1:10" ht="25.5">
      <c r="A192" s="204" t="s">
        <v>29067</v>
      </c>
      <c r="B192" s="205" t="s">
        <v>1020</v>
      </c>
      <c r="C192" s="206">
        <v>20</v>
      </c>
      <c r="D192" s="207" t="str">
        <f>IFERROR(PROPER(
IF($B192="DER-ES",INDEX('CDER-ES'!$B:$B,MATCH($C192,'CDER-ES'!$A:$A,0)),
IF($B192="SINAPI",INDEX(CSINAPI!$B:$B,MATCH($C192,CSINAPI!$A:$A,0)),
IF($B192="CESAN",INDEX(CCESAN!$B:$B,MATCH($C192,CCESAN!$A:$A,0)),
IF($B192="SCORIO",INDEX(CSCORIO!$B:$B,MATCH($C192,CSCORIO!$A:$A,0)),
IF($B192="MERC",INDEX(MERCADO!$B:$B,MATCH($C192,MERCADO!$A:$A,0)),
IF($B192="COMP",INDEX(COMPOSICAO!$B:$B,MATCH($C192,COMPOSICAO!$A:$A,0)),
""))))))),"*Verificar código*")</f>
        <v xml:space="preserve">Luminária De Led Sobrepor Quadrado 24 W 6500 K </v>
      </c>
      <c r="E192" s="200" t="str">
        <f>IFERROR(LOWER(
IF($B192="DER-ES",INDEX('CDER-ES'!$C:$C,MATCH($C192,'CDER-ES'!$A:$A,0)),
IF($B192="SINAPI",INDEX(CSINAPI!$C:$C,MATCH($C192,CSINAPI!$A:$A,0)),
IF($B192="CESAN",INDEX(CCESAN!$C:$C,MATCH($C192,CCESAN!$A:$A,0)),
IF($B192="SCORIO",INDEX(CSCORIO!$A:$A,MATCH($C192,CSCORIO!#REF!,0)),
IF($B192="MERC",INDEX(MERCADO!$D:$D,MATCH($C192,MERCADO!$A:$A,0)),
IF($B192="COMP",INDEX(COMPOSICAO!$G:$G,MATCH($C192,COMPOSICAO!$A:$A,0)),
""))))))),"")</f>
        <v>und.</v>
      </c>
      <c r="F192" s="208">
        <f>VLOOKUP(A192,'MEMÓRIA DE CÁLCULO'!A:H,8,0)</f>
        <v>26</v>
      </c>
      <c r="G192" s="202">
        <f>IFERROR(
IF($B192="DER-ES",INDEX('CDER-ES'!$D:$D,MATCH($C192,'CDER-ES'!$A:$A,0)),
IF($B192="SINAPI",INDEX(CSINAPI!$D:$D,MATCH($C192,CSINAPI!$A:$A,0)),
IF($B192="CESAN",INDEX(CCESAN!$D:$D,MATCH($C192,CCESAN!$A:$A,0)),
IF($B192="SCORIO",INDEX(CSCORIO!$B:$B,MATCH($C192,CSCORIO!#REF!,0)),
IF($B192="MERC",INDEX(MERCADO!$E:$E,MATCH($C192,MERCADO!$A:$A,0)),
IF($B192="COMP",INDEX(COMPOSICAO!$H:$H,MATCH($C192,COMPOSICAO!$A:$A,0)),
0)))))),0)</f>
        <v>78.210000000000008</v>
      </c>
      <c r="H192" s="202">
        <f t="shared" si="121"/>
        <v>97.76</v>
      </c>
      <c r="I192" s="209">
        <f t="shared" si="122"/>
        <v>2541.7600000000002</v>
      </c>
      <c r="J192" s="225">
        <f t="shared" si="160"/>
        <v>1.7393814320676278E-2</v>
      </c>
    </row>
    <row r="193" spans="1:10" ht="38.25">
      <c r="A193" s="204" t="s">
        <v>29068</v>
      </c>
      <c r="B193" s="205" t="s">
        <v>1020</v>
      </c>
      <c r="C193" s="206">
        <v>21</v>
      </c>
      <c r="D193" s="207" t="str">
        <f>IFERROR(PROPER(
IF($B193="DER-ES",INDEX('CDER-ES'!$B:$B,MATCH($C193,'CDER-ES'!$A:$A,0)),
IF($B193="SINAPI",INDEX(CSINAPI!$B:$B,MATCH($C193,CSINAPI!$A:$A,0)),
IF($B193="CESAN",INDEX(CCESAN!$B:$B,MATCH($C193,CCESAN!$A:$A,0)),
IF($B193="SCORIO",INDEX(CSCORIO!$B:$B,MATCH($C193,CSCORIO!$A:$A,0)),
IF($B193="MERC",INDEX(MERCADO!$B:$B,MATCH($C193,MERCADO!$A:$A,0)),
IF($B193="COMP",INDEX(COMPOSICAO!$B:$B,MATCH($C193,COMPOSICAO!$A:$A,0)),
""))))))),"*Verificar código*")</f>
        <v>Luminária De Embutir Piso, Led 30 W, Ip 67, Bivolt, Dn 100 X 150 Mm - Cor Preto</v>
      </c>
      <c r="E193" s="200" t="str">
        <f>IFERROR(LOWER(
IF($B193="DER-ES",INDEX('CDER-ES'!$C:$C,MATCH($C193,'CDER-ES'!$A:$A,0)),
IF($B193="SINAPI",INDEX(CSINAPI!$C:$C,MATCH($C193,CSINAPI!$A:$A,0)),
IF($B193="CESAN",INDEX(CCESAN!$C:$C,MATCH($C193,CCESAN!$A:$A,0)),
IF($B193="SCORIO",INDEX(CSCORIO!$A:$A,MATCH($C193,CSCORIO!#REF!,0)),
IF($B193="MERC",INDEX(MERCADO!$D:$D,MATCH($C193,MERCADO!$A:$A,0)),
IF($B193="COMP",INDEX(COMPOSICAO!$G:$G,MATCH($C193,COMPOSICAO!$A:$A,0)),
""))))))),"")</f>
        <v>und.</v>
      </c>
      <c r="F193" s="208">
        <f>VLOOKUP(A193,'MEMÓRIA DE CÁLCULO'!A:H,8,0)</f>
        <v>29</v>
      </c>
      <c r="G193" s="202">
        <f>IFERROR(
IF($B193="DER-ES",INDEX('CDER-ES'!$D:$D,MATCH($C193,'CDER-ES'!$A:$A,0)),
IF($B193="SINAPI",INDEX(CSINAPI!$D:$D,MATCH($C193,CSINAPI!$A:$A,0)),
IF($B193="CESAN",INDEX(CCESAN!$D:$D,MATCH($C193,CCESAN!$A:$A,0)),
IF($B193="SCORIO",INDEX(CSCORIO!$B:$B,MATCH($C193,CSCORIO!#REF!,0)),
IF($B193="MERC",INDEX(MERCADO!$E:$E,MATCH($C193,MERCADO!$A:$A,0)),
IF($B193="COMP",INDEX(COMPOSICAO!$H:$H,MATCH($C193,COMPOSICAO!$A:$A,0)),
0)))))),0)</f>
        <v>551.07999999999993</v>
      </c>
      <c r="H193" s="202">
        <f t="shared" si="121"/>
        <v>688.85</v>
      </c>
      <c r="I193" s="209">
        <f t="shared" si="122"/>
        <v>19976.650000000001</v>
      </c>
      <c r="J193" s="225">
        <f t="shared" si="160"/>
        <v>0.13670454364264831</v>
      </c>
    </row>
    <row r="194" spans="1:10" ht="38.25">
      <c r="A194" s="204" t="s">
        <v>29073</v>
      </c>
      <c r="B194" s="205" t="s">
        <v>1019</v>
      </c>
      <c r="C194" s="206">
        <v>102085</v>
      </c>
      <c r="D194" s="207" t="str">
        <f>IFERROR(PROPER(
IF($B194="DER-ES",INDEX('CDER-ES'!$B:$B,MATCH($C194,'CDER-ES'!$A:$A,0)),
IF($B194="SINAPI",INDEX(CSINAPI!$B:$B,MATCH($C194,CSINAPI!$A:$A,0)),
IF($B194="CESAN",INDEX(CCESAN!$B:$B,MATCH($C194,CCESAN!$A:$A,0)),
IF($B194="SCORIO",INDEX(CSCORIO!$B:$B,MATCH($C194,CSCORIO!$A:$A,0)),
IF($B194="MERC",INDEX(MERCADO!$B:$B,MATCH($C194,MERCADO!$A:$A,0)),
IF($B194="COMP",INDEX(COMPOSICAO!$B:$B,MATCH($C194,COMPOSICAO!$A:$A,0)),
""))))))),"*Verificar código*")</f>
        <v>Luminária Estanque Com Proteção Contra Água, Poeira Ou Impactos - Fornecimento E Instalação. Af_08/2020</v>
      </c>
      <c r="E194" s="200" t="str">
        <f>IFERROR(LOWER(
IF($B194="DER-ES",INDEX('CDER-ES'!$C:$C,MATCH($C194,'CDER-ES'!$A:$A,0)),
IF($B194="SINAPI",INDEX(CSINAPI!$C:$C,MATCH($C194,CSINAPI!$A:$A,0)),
IF($B194="CESAN",INDEX(CCESAN!$C:$C,MATCH($C194,CCESAN!$A:$A,0)),
IF($B194="SCORIO",INDEX(CSCORIO!$A:$A,MATCH($C194,CSCORIO!#REF!,0)),
IF($B194="MERC",INDEX(MERCADO!$D:$D,MATCH($C194,MERCADO!$A:$A,0)),
IF($B194="COMP",INDEX(COMPOSICAO!$G:$G,MATCH($C194,COMPOSICAO!$A:$A,0)),
""))))))),"")</f>
        <v>und</v>
      </c>
      <c r="F194" s="208">
        <f>VLOOKUP(A194,'MEMÓRIA DE CÁLCULO'!A:H,8,0)</f>
        <v>14</v>
      </c>
      <c r="G194" s="202">
        <f>IFERROR(
IF($B194="DER-ES",INDEX('CDER-ES'!$D:$D,MATCH($C194,'CDER-ES'!$A:$A,0)),
IF($B194="SINAPI",INDEX(CSINAPI!$D:$D,MATCH($C194,CSINAPI!$A:$A,0)),
IF($B194="CESAN",INDEX(CCESAN!$D:$D,MATCH($C194,CCESAN!$A:$A,0)),
IF($B194="SCORIO",INDEX(CSCORIO!$B:$B,MATCH($C194,CSCORIO!#REF!,0)),
IF($B194="MERC",INDEX(MERCADO!$E:$E,MATCH($C194,MERCADO!$A:$A,0)),
IF($B194="COMP",INDEX(COMPOSICAO!$H:$H,MATCH($C194,COMPOSICAO!$A:$A,0)),
0)))))),0)</f>
        <v>232.32</v>
      </c>
      <c r="H194" s="202">
        <f t="shared" si="121"/>
        <v>290.39999999999998</v>
      </c>
      <c r="I194" s="209">
        <f t="shared" si="122"/>
        <v>4065.6</v>
      </c>
      <c r="J194" s="225">
        <f t="shared" si="160"/>
        <v>2.7821781561650775E-2</v>
      </c>
    </row>
    <row r="195" spans="1:10" ht="38.25">
      <c r="A195" s="204" t="s">
        <v>29074</v>
      </c>
      <c r="B195" s="205" t="s">
        <v>1019</v>
      </c>
      <c r="C195" s="206">
        <v>91953</v>
      </c>
      <c r="D195" s="207" t="str">
        <f>IFERROR(PROPER(
IF($B195="DER-ES",INDEX('CDER-ES'!$B:$B,MATCH($C195,'CDER-ES'!$A:$A,0)),
IF($B195="SINAPI",INDEX(CSINAPI!$B:$B,MATCH($C195,CSINAPI!$A:$A,0)),
IF($B195="CESAN",INDEX(CCESAN!$B:$B,MATCH($C195,CCESAN!$A:$A,0)),
IF($B195="SCORIO",INDEX(CSCORIO!$B:$B,MATCH($C195,CSCORIO!$A:$A,0)),
IF($B195="MERC",INDEX(MERCADO!$B:$B,MATCH($C195,MERCADO!$A:$A,0)),
IF($B195="COMP",INDEX(COMPOSICAO!$B:$B,MATCH($C195,COMPOSICAO!$A:$A,0)),
""))))))),"*Verificar código*")</f>
        <v>Interruptor Simples (1 Módulo), 10A/250V, Incluindo Suporte E Placa - Fornecimento E Instalação. Af_12/2015</v>
      </c>
      <c r="E195" s="200" t="str">
        <f>IFERROR(LOWER(
IF($B195="DER-ES",INDEX('CDER-ES'!$C:$C,MATCH($C195,'CDER-ES'!$A:$A,0)),
IF($B195="SINAPI",INDEX(CSINAPI!$C:$C,MATCH($C195,CSINAPI!$A:$A,0)),
IF($B195="CESAN",INDEX(CCESAN!$C:$C,MATCH($C195,CCESAN!$A:$A,0)),
IF($B195="SCORIO",INDEX(CSCORIO!$A:$A,MATCH($C195,CSCORIO!#REF!,0)),
IF($B195="MERC",INDEX(MERCADO!$D:$D,MATCH($C195,MERCADO!$A:$A,0)),
IF($B195="COMP",INDEX(COMPOSICAO!$G:$G,MATCH($C195,COMPOSICAO!$A:$A,0)),
""))))))),"")</f>
        <v>und</v>
      </c>
      <c r="F195" s="208">
        <f>VLOOKUP(A195,'MEMÓRIA DE CÁLCULO'!A:H,8,0)</f>
        <v>20</v>
      </c>
      <c r="G195" s="202">
        <f>IFERROR(
IF($B195="DER-ES",INDEX('CDER-ES'!$D:$D,MATCH($C195,'CDER-ES'!$A:$A,0)),
IF($B195="SINAPI",INDEX(CSINAPI!$D:$D,MATCH($C195,CSINAPI!$A:$A,0)),
IF($B195="CESAN",INDEX(CCESAN!$D:$D,MATCH($C195,CCESAN!$A:$A,0)),
IF($B195="SCORIO",INDEX(CSCORIO!$B:$B,MATCH($C195,CSCORIO!#REF!,0)),
IF($B195="MERC",INDEX(MERCADO!$E:$E,MATCH($C195,MERCADO!$A:$A,0)),
IF($B195="COMP",INDEX(COMPOSICAO!$H:$H,MATCH($C195,COMPOSICAO!$A:$A,0)),
0)))))),0)</f>
        <v>24.4</v>
      </c>
      <c r="H195" s="202">
        <f t="shared" ref="H195" si="164">ROUND(G195*(1+$J$2),2)</f>
        <v>30.5</v>
      </c>
      <c r="I195" s="209">
        <f t="shared" ref="I195" si="165">ROUND($H195*F195,2)</f>
        <v>610</v>
      </c>
      <c r="J195" s="225">
        <f t="shared" ref="J195" si="166">I195/I$158</f>
        <v>4.1743621489096251E-3</v>
      </c>
    </row>
    <row r="196" spans="1:10" ht="38.25">
      <c r="A196" s="204" t="s">
        <v>29075</v>
      </c>
      <c r="B196" s="205" t="s">
        <v>1019</v>
      </c>
      <c r="C196" s="206">
        <v>91955</v>
      </c>
      <c r="D196" s="207" t="str">
        <f>IFERROR(PROPER(
IF($B196="DER-ES",INDEX('CDER-ES'!$B:$B,MATCH($C196,'CDER-ES'!$A:$A,0)),
IF($B196="SINAPI",INDEX(CSINAPI!$B:$B,MATCH($C196,CSINAPI!$A:$A,0)),
IF($B196="CESAN",INDEX(CCESAN!$B:$B,MATCH($C196,CCESAN!$A:$A,0)),
IF($B196="SCORIO",INDEX(CSCORIO!$B:$B,MATCH($C196,CSCORIO!$A:$A,0)),
IF($B196="MERC",INDEX(MERCADO!$B:$B,MATCH($C196,MERCADO!$A:$A,0)),
IF($B196="COMP",INDEX(COMPOSICAO!$B:$B,MATCH($C196,COMPOSICAO!$A:$A,0)),
""))))))),"*Verificar código*")</f>
        <v>Interruptor Paralelo (1 Módulo), 10A/250V, Incluindo Suporte E Placa - Fornecimento E Instalação. Af_12/2015</v>
      </c>
      <c r="E196" s="200" t="str">
        <f>IFERROR(LOWER(
IF($B196="DER-ES",INDEX('CDER-ES'!$C:$C,MATCH($C196,'CDER-ES'!$A:$A,0)),
IF($B196="SINAPI",INDEX(CSINAPI!$C:$C,MATCH($C196,CSINAPI!$A:$A,0)),
IF($B196="CESAN",INDEX(CCESAN!$C:$C,MATCH($C196,CCESAN!$A:$A,0)),
IF($B196="SCORIO",INDEX(CSCORIO!$A:$A,MATCH($C196,CSCORIO!#REF!,0)),
IF($B196="MERC",INDEX(MERCADO!$D:$D,MATCH($C196,MERCADO!$A:$A,0)),
IF($B196="COMP",INDEX(COMPOSICAO!$G:$G,MATCH($C196,COMPOSICAO!$A:$A,0)),
""))))))),"")</f>
        <v>und</v>
      </c>
      <c r="F196" s="208">
        <f>VLOOKUP(A196,'MEMÓRIA DE CÁLCULO'!A:H,8,0)</f>
        <v>13</v>
      </c>
      <c r="G196" s="202">
        <f>IFERROR(
IF($B196="DER-ES",INDEX('CDER-ES'!$D:$D,MATCH($C196,'CDER-ES'!$A:$A,0)),
IF($B196="SINAPI",INDEX(CSINAPI!$D:$D,MATCH($C196,CSINAPI!$A:$A,0)),
IF($B196="CESAN",INDEX(CCESAN!$D:$D,MATCH($C196,CCESAN!$A:$A,0)),
IF($B196="SCORIO",INDEX(CSCORIO!$B:$B,MATCH($C196,CSCORIO!#REF!,0)),
IF($B196="MERC",INDEX(MERCADO!$E:$E,MATCH($C196,MERCADO!$A:$A,0)),
IF($B196="COMP",INDEX(COMPOSICAO!$H:$H,MATCH($C196,COMPOSICAO!$A:$A,0)),
0)))))),0)</f>
        <v>30.27</v>
      </c>
      <c r="H196" s="202">
        <f t="shared" ref="H196" si="167">ROUND(G196*(1+$J$2),2)</f>
        <v>37.840000000000003</v>
      </c>
      <c r="I196" s="209">
        <f t="shared" ref="I196" si="168">ROUND($H196*F196,2)</f>
        <v>491.92</v>
      </c>
      <c r="J196" s="225">
        <f t="shared" ref="J196" si="169">I196/I$158</f>
        <v>3.3663151283469229E-3</v>
      </c>
    </row>
    <row r="197" spans="1:10" ht="38.25">
      <c r="A197" s="204" t="s">
        <v>29077</v>
      </c>
      <c r="B197" s="205" t="s">
        <v>1019</v>
      </c>
      <c r="C197" s="206">
        <v>91996</v>
      </c>
      <c r="D197" s="207" t="str">
        <f>IFERROR(PROPER(
IF($B197="DER-ES",INDEX('CDER-ES'!$B:$B,MATCH($C197,'CDER-ES'!$A:$A,0)),
IF($B197="SINAPI",INDEX(CSINAPI!$B:$B,MATCH($C197,CSINAPI!$A:$A,0)),
IF($B197="CESAN",INDEX(CCESAN!$B:$B,MATCH($C197,CCESAN!$A:$A,0)),
IF($B197="SCORIO",INDEX(CSCORIO!$B:$B,MATCH($C197,CSCORIO!$A:$A,0)),
IF($B197="MERC",INDEX(MERCADO!$B:$B,MATCH($C197,MERCADO!$A:$A,0)),
IF($B197="COMP",INDEX(COMPOSICAO!$B:$B,MATCH($C197,COMPOSICAO!$A:$A,0)),
""))))))),"*Verificar código*")</f>
        <v>Tomada Média De Embutir (1 Módulo), 2P+T 10 A, Incluindo Suporte E Placa - Fornecimento E Instalação. Af_12/2015</v>
      </c>
      <c r="E197" s="200" t="str">
        <f>IFERROR(LOWER(
IF($B197="DER-ES",INDEX('CDER-ES'!$C:$C,MATCH($C197,'CDER-ES'!$A:$A,0)),
IF($B197="SINAPI",INDEX(CSINAPI!$C:$C,MATCH($C197,CSINAPI!$A:$A,0)),
IF($B197="CESAN",INDEX(CCESAN!$C:$C,MATCH($C197,CCESAN!$A:$A,0)),
IF($B197="SCORIO",INDEX(CSCORIO!$A:$A,MATCH($C197,CSCORIO!#REF!,0)),
IF($B197="MERC",INDEX(MERCADO!$D:$D,MATCH($C197,MERCADO!$A:$A,0)),
IF($B197="COMP",INDEX(COMPOSICAO!$G:$G,MATCH($C197,COMPOSICAO!$A:$A,0)),
""))))))),"")</f>
        <v>und</v>
      </c>
      <c r="F197" s="208">
        <f>VLOOKUP(A197,'MEMÓRIA DE CÁLCULO'!A:H,8,0)</f>
        <v>8</v>
      </c>
      <c r="G197" s="202">
        <f>IFERROR(
IF($B197="DER-ES",INDEX('CDER-ES'!$D:$D,MATCH($C197,'CDER-ES'!$A:$A,0)),
IF($B197="SINAPI",INDEX(CSINAPI!$D:$D,MATCH($C197,CSINAPI!$A:$A,0)),
IF($B197="CESAN",INDEX(CCESAN!$D:$D,MATCH($C197,CCESAN!$A:$A,0)),
IF($B197="SCORIO",INDEX(CSCORIO!$B:$B,MATCH($C197,CSCORIO!#REF!,0)),
IF($B197="MERC",INDEX(MERCADO!$E:$E,MATCH($C197,MERCADO!$A:$A,0)),
IF($B197="COMP",INDEX(COMPOSICAO!$H:$H,MATCH($C197,COMPOSICAO!$A:$A,0)),
0)))))),0)</f>
        <v>29.22</v>
      </c>
      <c r="H197" s="202">
        <f t="shared" ref="H197" si="170">ROUND(G197*(1+$J$2),2)</f>
        <v>36.53</v>
      </c>
      <c r="I197" s="209">
        <f t="shared" ref="I197" si="171">ROUND($H197*F197,2)</f>
        <v>292.24</v>
      </c>
      <c r="J197" s="225">
        <f t="shared" ref="J197" si="172">I197/I$158</f>
        <v>1.9998616301595885E-3</v>
      </c>
    </row>
    <row r="198" spans="1:10" ht="38.25">
      <c r="A198" s="204" t="s">
        <v>29078</v>
      </c>
      <c r="B198" s="205" t="s">
        <v>1019</v>
      </c>
      <c r="C198" s="206">
        <v>91997</v>
      </c>
      <c r="D198" s="207" t="str">
        <f>IFERROR(PROPER(
IF($B198="DER-ES",INDEX('CDER-ES'!$B:$B,MATCH($C198,'CDER-ES'!$A:$A,0)),
IF($B198="SINAPI",INDEX(CSINAPI!$B:$B,MATCH($C198,CSINAPI!$A:$A,0)),
IF($B198="CESAN",INDEX(CCESAN!$B:$B,MATCH($C198,CCESAN!$A:$A,0)),
IF($B198="SCORIO",INDEX(CSCORIO!$B:$B,MATCH($C198,CSCORIO!$A:$A,0)),
IF($B198="MERC",INDEX(MERCADO!$B:$B,MATCH($C198,MERCADO!$A:$A,0)),
IF($B198="COMP",INDEX(COMPOSICAO!$B:$B,MATCH($C198,COMPOSICAO!$A:$A,0)),
""))))))),"*Verificar código*")</f>
        <v>Tomada Média De Embutir (1 Módulo), 2P+T 20 A, Incluindo Suporte E Placa - Fornecimento E Instalação. Af_12/2015</v>
      </c>
      <c r="E198" s="200" t="str">
        <f>IFERROR(LOWER(
IF($B198="DER-ES",INDEX('CDER-ES'!$C:$C,MATCH($C198,'CDER-ES'!$A:$A,0)),
IF($B198="SINAPI",INDEX(CSINAPI!$C:$C,MATCH($C198,CSINAPI!$A:$A,0)),
IF($B198="CESAN",INDEX(CCESAN!$C:$C,MATCH($C198,CCESAN!$A:$A,0)),
IF($B198="SCORIO",INDEX(CSCORIO!$A:$A,MATCH($C198,CSCORIO!#REF!,0)),
IF($B198="MERC",INDEX(MERCADO!$D:$D,MATCH($C198,MERCADO!$A:$A,0)),
IF($B198="COMP",INDEX(COMPOSICAO!$G:$G,MATCH($C198,COMPOSICAO!$A:$A,0)),
""))))))),"")</f>
        <v>und</v>
      </c>
      <c r="F198" s="208">
        <f>VLOOKUP(A198,'MEMÓRIA DE CÁLCULO'!A:H,8,0)</f>
        <v>1</v>
      </c>
      <c r="G198" s="202">
        <f>IFERROR(
IF($B198="DER-ES",INDEX('CDER-ES'!$D:$D,MATCH($C198,'CDER-ES'!$A:$A,0)),
IF($B198="SINAPI",INDEX(CSINAPI!$D:$D,MATCH($C198,CSINAPI!$A:$A,0)),
IF($B198="CESAN",INDEX(CCESAN!$D:$D,MATCH($C198,CCESAN!$A:$A,0)),
IF($B198="SCORIO",INDEX(CSCORIO!$B:$B,MATCH($C198,CSCORIO!#REF!,0)),
IF($B198="MERC",INDEX(MERCADO!$E:$E,MATCH($C198,MERCADO!$A:$A,0)),
IF($B198="COMP",INDEX(COMPOSICAO!$H:$H,MATCH($C198,COMPOSICAO!$A:$A,0)),
0)))))),0)</f>
        <v>31.24</v>
      </c>
      <c r="H198" s="202">
        <f t="shared" ref="H198:H199" si="173">ROUND(G198*(1+$J$2),2)</f>
        <v>39.049999999999997</v>
      </c>
      <c r="I198" s="209">
        <f t="shared" ref="I198:I199" si="174">ROUND($H198*F198,2)</f>
        <v>39.049999999999997</v>
      </c>
      <c r="J198" s="225">
        <f t="shared" ref="J198:J199" si="175">I198/I$158</f>
        <v>2.6722760969659159E-4</v>
      </c>
    </row>
    <row r="199" spans="1:10" ht="38.25">
      <c r="A199" s="204" t="s">
        <v>29081</v>
      </c>
      <c r="B199" s="205" t="s">
        <v>1019</v>
      </c>
      <c r="C199" s="206">
        <v>92001</v>
      </c>
      <c r="D199" s="207" t="str">
        <f>IFERROR(PROPER(
IF($B199="DER-ES",INDEX('CDER-ES'!$B:$B,MATCH($C199,'CDER-ES'!$A:$A,0)),
IF($B199="SINAPI",INDEX(CSINAPI!$B:$B,MATCH($C199,CSINAPI!$A:$A,0)),
IF($B199="CESAN",INDEX(CCESAN!$B:$B,MATCH($C199,CCESAN!$A:$A,0)),
IF($B199="SCORIO",INDEX(CSCORIO!$B:$B,MATCH($C199,CSCORIO!$A:$A,0)),
IF($B199="MERC",INDEX(MERCADO!$B:$B,MATCH($C199,MERCADO!$A:$A,0)),
IF($B199="COMP",INDEX(COMPOSICAO!$B:$B,MATCH($C199,COMPOSICAO!$A:$A,0)),
""))))))),"*Verificar código*")</f>
        <v>Tomada Baixa De Embutir (1 Módulo), 2P+T 20 A, Incluindo Suporte E Placa - Fornecimento E Instalação. Af_12/2015</v>
      </c>
      <c r="E199" s="200" t="str">
        <f>IFERROR(LOWER(
IF($B199="DER-ES",INDEX('CDER-ES'!$C:$C,MATCH($C199,'CDER-ES'!$A:$A,0)),
IF($B199="SINAPI",INDEX(CSINAPI!$C:$C,MATCH($C199,CSINAPI!$A:$A,0)),
IF($B199="CESAN",INDEX(CCESAN!$C:$C,MATCH($C199,CCESAN!$A:$A,0)),
IF($B199="SCORIO",INDEX(CSCORIO!$A:$A,MATCH($C199,CSCORIO!#REF!,0)),
IF($B199="MERC",INDEX(MERCADO!$D:$D,MATCH($C199,MERCADO!$A:$A,0)),
IF($B199="COMP",INDEX(COMPOSICAO!$G:$G,MATCH($C199,COMPOSICAO!$A:$A,0)),
""))))))),"")</f>
        <v>und</v>
      </c>
      <c r="F199" s="208">
        <f>VLOOKUP(A199,'MEMÓRIA DE CÁLCULO'!A:H,8,0)</f>
        <v>50</v>
      </c>
      <c r="G199" s="202">
        <f>IFERROR(
IF($B199="DER-ES",INDEX('CDER-ES'!$D:$D,MATCH($C199,'CDER-ES'!$A:$A,0)),
IF($B199="SINAPI",INDEX(CSINAPI!$D:$D,MATCH($C199,CSINAPI!$A:$A,0)),
IF($B199="CESAN",INDEX(CCESAN!$D:$D,MATCH($C199,CCESAN!$A:$A,0)),
IF($B199="SCORIO",INDEX(CSCORIO!$B:$B,MATCH($C199,CSCORIO!#REF!,0)),
IF($B199="MERC",INDEX(MERCADO!$E:$E,MATCH($C199,MERCADO!$A:$A,0)),
IF($B199="COMP",INDEX(COMPOSICAO!$H:$H,MATCH($C199,COMPOSICAO!$A:$A,0)),
0)))))),0)</f>
        <v>27.78</v>
      </c>
      <c r="H199" s="202">
        <f t="shared" si="173"/>
        <v>34.729999999999997</v>
      </c>
      <c r="I199" s="209">
        <f t="shared" si="174"/>
        <v>1736.5</v>
      </c>
      <c r="J199" s="225">
        <f t="shared" si="175"/>
        <v>1.1883245691117319E-2</v>
      </c>
    </row>
    <row r="200" spans="1:10" ht="38.25">
      <c r="A200" s="204" t="s">
        <v>29082</v>
      </c>
      <c r="B200" s="205" t="s">
        <v>1019</v>
      </c>
      <c r="C200" s="206">
        <v>92001</v>
      </c>
      <c r="D200" s="207" t="str">
        <f>IFERROR(PROPER(
IF($B200="DER-ES",INDEX('CDER-ES'!$B:$B,MATCH($C200,'CDER-ES'!$A:$A,0)),
IF($B200="SINAPI",INDEX(CSINAPI!$B:$B,MATCH($C200,CSINAPI!$A:$A,0)),
IF($B200="CESAN",INDEX(CCESAN!$B:$B,MATCH($C200,CCESAN!$A:$A,0)),
IF($B200="SCORIO",INDEX(CSCORIO!$B:$B,MATCH($C200,CSCORIO!$A:$A,0)),
IF($B200="MERC",INDEX(MERCADO!$B:$B,MATCH($C200,MERCADO!$A:$A,0)),
IF($B200="COMP",INDEX(COMPOSICAO!$B:$B,MATCH($C200,COMPOSICAO!$A:$A,0)),
""))))))),"*Verificar código*")</f>
        <v>Tomada Baixa De Embutir (1 Módulo), 2P+T 20 A, Incluindo Suporte E Placa - Fornecimento E Instalação. Af_12/2015</v>
      </c>
      <c r="E200" s="200" t="str">
        <f>IFERROR(LOWER(
IF($B200="DER-ES",INDEX('CDER-ES'!$C:$C,MATCH($C200,'CDER-ES'!$A:$A,0)),
IF($B200="SINAPI",INDEX(CSINAPI!$C:$C,MATCH($C200,CSINAPI!$A:$A,0)),
IF($B200="CESAN",INDEX(CCESAN!$C:$C,MATCH($C200,CCESAN!$A:$A,0)),
IF($B200="SCORIO",INDEX(CSCORIO!$A:$A,MATCH($C200,CSCORIO!#REF!,0)),
IF($B200="MERC",INDEX(MERCADO!$D:$D,MATCH($C200,MERCADO!$A:$A,0)),
IF($B200="COMP",INDEX(COMPOSICAO!$G:$G,MATCH($C200,COMPOSICAO!$A:$A,0)),
""))))))),"")</f>
        <v>und</v>
      </c>
      <c r="F200" s="208">
        <f>VLOOKUP(A200,'MEMÓRIA DE CÁLCULO'!A:H,8,0)</f>
        <v>8</v>
      </c>
      <c r="G200" s="202">
        <f>IFERROR(
IF($B200="DER-ES",INDEX('CDER-ES'!$D:$D,MATCH($C200,'CDER-ES'!$A:$A,0)),
IF($B200="SINAPI",INDEX(CSINAPI!$D:$D,MATCH($C200,CSINAPI!$A:$A,0)),
IF($B200="CESAN",INDEX(CCESAN!$D:$D,MATCH($C200,CCESAN!$A:$A,0)),
IF($B200="SCORIO",INDEX(CSCORIO!$B:$B,MATCH($C200,CSCORIO!#REF!,0)),
IF($B200="MERC",INDEX(MERCADO!$E:$E,MATCH($C200,MERCADO!$A:$A,0)),
IF($B200="COMP",INDEX(COMPOSICAO!$H:$H,MATCH($C200,COMPOSICAO!$A:$A,0)),
0)))))),0)</f>
        <v>27.78</v>
      </c>
      <c r="H200" s="202">
        <f t="shared" ref="H200:H201" si="176">ROUND(G200*(1+$J$2),2)</f>
        <v>34.729999999999997</v>
      </c>
      <c r="I200" s="209">
        <f t="shared" ref="I200:I201" si="177">ROUND($H200*F200,2)</f>
        <v>277.83999999999997</v>
      </c>
      <c r="J200" s="225">
        <f t="shared" ref="J200:J201" si="178">I200/I$158</f>
        <v>1.9013193105787709E-3</v>
      </c>
    </row>
    <row r="201" spans="1:10" ht="25.5">
      <c r="A201" s="204" t="s">
        <v>29084</v>
      </c>
      <c r="B201" s="205" t="s">
        <v>26583</v>
      </c>
      <c r="C201" s="206">
        <v>150634</v>
      </c>
      <c r="D201" s="207" t="str">
        <f>IFERROR(PROPER(
IF($B201="DER-ES",INDEX('CDER-ES'!$B:$B,MATCH($C201,'CDER-ES'!$A:$A,0)),
IF($B201="SINAPI",INDEX(CSINAPI!$B:$B,MATCH($C201,CSINAPI!$A:$A,0)),
IF($B201="CESAN",INDEX(CCESAN!$B:$B,MATCH($C201,CCESAN!$A:$A,0)),
IF($B201="SCORIO",INDEX(CSCORIO!$B:$B,MATCH($C201,CSCORIO!$A:$A,0)),
IF($B201="MERC",INDEX(MERCADO!$B:$B,MATCH($C201,MERCADO!$A:$A,0)),
IF($B201="COMP",INDEX(COMPOSICAO!$B:$B,MATCH($C201,COMPOSICAO!$A:$A,0)),
""))))))),"*Verificar código*")</f>
        <v>Caixa De Passagem 300X300X120Mm, Chapa 18, Com Tampa Parafusada</v>
      </c>
      <c r="E201" s="200" t="str">
        <f>IFERROR(LOWER(
IF($B201="DER-ES",INDEX('CDER-ES'!$C:$C,MATCH($C201,'CDER-ES'!$A:$A,0)),
IF($B201="SINAPI",INDEX(CSINAPI!$C:$C,MATCH($C201,CSINAPI!$A:$A,0)),
IF($B201="CESAN",INDEX(CCESAN!$C:$C,MATCH($C201,CCESAN!$A:$A,0)),
IF($B201="SCORIO",INDEX(CSCORIO!$A:$A,MATCH($C201,CSCORIO!#REF!,0)),
IF($B201="MERC",INDEX(MERCADO!$D:$D,MATCH($C201,MERCADO!$A:$A,0)),
IF($B201="COMP",INDEX(COMPOSICAO!$G:$G,MATCH($C201,COMPOSICAO!$A:$A,0)),
""))))))),"")</f>
        <v>und</v>
      </c>
      <c r="F201" s="208">
        <f>VLOOKUP(A201,'MEMÓRIA DE CÁLCULO'!A:H,8,0)</f>
        <v>1</v>
      </c>
      <c r="G201" s="202">
        <f>IFERROR(
IF($B201="DER-ES",INDEX('CDER-ES'!$D:$D,MATCH($C201,'CDER-ES'!$A:$A,0)),
IF($B201="SINAPI",INDEX(CSINAPI!$D:$D,MATCH($C201,CSINAPI!$A:$A,0)),
IF($B201="CESAN",INDEX(CCESAN!$D:$D,MATCH($C201,CCESAN!$A:$A,0)),
IF($B201="SCORIO",INDEX(CSCORIO!$B:$B,MATCH($C201,CSCORIO!#REF!,0)),
IF($B201="MERC",INDEX(MERCADO!$E:$E,MATCH($C201,MERCADO!$A:$A,0)),
IF($B201="COMP",INDEX(COMPOSICAO!$H:$H,MATCH($C201,COMPOSICAO!$A:$A,0)),
0)))))),0)</f>
        <v>155.41</v>
      </c>
      <c r="H201" s="202">
        <f t="shared" si="176"/>
        <v>194.26</v>
      </c>
      <c r="I201" s="209">
        <f t="shared" si="177"/>
        <v>194.26</v>
      </c>
      <c r="J201" s="225">
        <f t="shared" si="178"/>
        <v>1.3293632640117767E-3</v>
      </c>
    </row>
    <row r="202" spans="1:10" ht="51">
      <c r="A202" s="204" t="s">
        <v>29085</v>
      </c>
      <c r="B202" s="205" t="s">
        <v>26583</v>
      </c>
      <c r="C202" s="206">
        <v>160613</v>
      </c>
      <c r="D202" s="207" t="str">
        <f>IFERROR(PROPER(
IF($B202="DER-ES",INDEX('CDER-ES'!$B:$B,MATCH($C202,'CDER-ES'!$A:$A,0)),
IF($B202="SINAPI",INDEX(CSINAPI!$B:$B,MATCH($C202,CSINAPI!$A:$A,0)),
IF($B202="CESAN",INDEX(CCESAN!$B:$B,MATCH($C202,CCESAN!$A:$A,0)),
IF($B202="SCORIO",INDEX(CSCORIO!$B:$B,MATCH($C202,CSCORIO!$A:$A,0)),
IF($B202="MERC",INDEX(MERCADO!$B:$B,MATCH($C202,MERCADO!$A:$A,0)),
IF($B202="COMP",INDEX(COMPOSICAO!$B:$B,MATCH($C202,COMPOSICAO!$A:$A,0)),
""))))))),"*Verificar código*")</f>
        <v>Ponto Para Iluminação De Emergência Completo, Inclusive Bloco Autônomo De Iluminação 2X9W Com Tomada Universal</v>
      </c>
      <c r="E202" s="200" t="str">
        <f>IFERROR(LOWER(
IF($B202="DER-ES",INDEX('CDER-ES'!$C:$C,MATCH($C202,'CDER-ES'!$A:$A,0)),
IF($B202="SINAPI",INDEX(CSINAPI!$C:$C,MATCH($C202,CSINAPI!$A:$A,0)),
IF($B202="CESAN",INDEX(CCESAN!$C:$C,MATCH($C202,CCESAN!$A:$A,0)),
IF($B202="SCORIO",INDEX(CSCORIO!$A:$A,MATCH($C202,CSCORIO!#REF!,0)),
IF($B202="MERC",INDEX(MERCADO!$D:$D,MATCH($C202,MERCADO!$A:$A,0)),
IF($B202="COMP",INDEX(COMPOSICAO!$G:$G,MATCH($C202,COMPOSICAO!$A:$A,0)),
""))))))),"")</f>
        <v>und</v>
      </c>
      <c r="F202" s="208">
        <f>VLOOKUP(A202,'MEMÓRIA DE CÁLCULO'!A:H,8,0)</f>
        <v>21</v>
      </c>
      <c r="G202" s="202">
        <f>IFERROR(
IF($B202="DER-ES",INDEX('CDER-ES'!$D:$D,MATCH($C202,'CDER-ES'!$A:$A,0)),
IF($B202="SINAPI",INDEX(CSINAPI!$D:$D,MATCH($C202,CSINAPI!$A:$A,0)),
IF($B202="CESAN",INDEX(CCESAN!$D:$D,MATCH($C202,CCESAN!$A:$A,0)),
IF($B202="SCORIO",INDEX(CSCORIO!$B:$B,MATCH($C202,CSCORIO!#REF!,0)),
IF($B202="MERC",INDEX(MERCADO!$E:$E,MATCH($C202,MERCADO!$A:$A,0)),
IF($B202="COMP",INDEX(COMPOSICAO!$H:$H,MATCH($C202,COMPOSICAO!$A:$A,0)),
0)))))),0)</f>
        <v>229.92</v>
      </c>
      <c r="H202" s="202">
        <f t="shared" si="121"/>
        <v>287.39999999999998</v>
      </c>
      <c r="I202" s="209">
        <f t="shared" si="122"/>
        <v>6035.4</v>
      </c>
      <c r="J202" s="225">
        <f t="shared" si="160"/>
        <v>4.1301549694310082E-2</v>
      </c>
    </row>
    <row r="203" spans="1:10" ht="25.5">
      <c r="A203" s="196" t="s">
        <v>26598</v>
      </c>
      <c r="B203" s="197"/>
      <c r="C203" s="198"/>
      <c r="D203" s="199" t="s">
        <v>28648</v>
      </c>
      <c r="E203" s="200"/>
      <c r="F203" s="201"/>
      <c r="G203" s="202"/>
      <c r="H203" s="202"/>
      <c r="I203" s="203">
        <f>SUBTOTAL(9,I204:I218)</f>
        <v>93087.560000000027</v>
      </c>
      <c r="J203" s="224">
        <f>SUBTOTAL(9,J204:J218)</f>
        <v>0.99999999999999978</v>
      </c>
    </row>
    <row r="204" spans="1:10" ht="25.5">
      <c r="A204" s="204" t="s">
        <v>26599</v>
      </c>
      <c r="B204" s="205" t="s">
        <v>26583</v>
      </c>
      <c r="C204" s="206" t="s">
        <v>19679</v>
      </c>
      <c r="D204" s="207" t="s">
        <v>28647</v>
      </c>
      <c r="E204" s="200" t="s">
        <v>28758</v>
      </c>
      <c r="F204" s="208">
        <f>VLOOKUP(A204,'MEMÓRIA DE CÁLCULO'!A:H,8,0)</f>
        <v>312.12</v>
      </c>
      <c r="G204" s="202">
        <v>8.1199999999999992</v>
      </c>
      <c r="H204" s="202">
        <f t="shared" ref="H204:H218" si="179">ROUND(G204*(1+$J$2),2)</f>
        <v>10.15</v>
      </c>
      <c r="I204" s="209">
        <f t="shared" ref="I204:I218" si="180">ROUND($H204*F204,2)</f>
        <v>3168.02</v>
      </c>
      <c r="J204" s="225">
        <f>I204/I$203</f>
        <v>3.403268922292086E-2</v>
      </c>
    </row>
    <row r="205" spans="1:10" ht="51">
      <c r="A205" s="204" t="s">
        <v>26600</v>
      </c>
      <c r="B205" s="205" t="s">
        <v>1019</v>
      </c>
      <c r="C205" s="206">
        <v>103251</v>
      </c>
      <c r="D205" s="207" t="str">
        <f>IFERROR(PROPER(
IF($B205="DER-ES",INDEX('CDER-ES'!$B:$B,MATCH($C205,'CDER-ES'!$A:$A,0)),
IF($B205="SINAPI",INDEX(CSINAPI!$B:$B,MATCH($C205,CSINAPI!$A:$A,0)),
IF($B205="CESAN",INDEX(CCESAN!$B:$B,MATCH($C205,CCESAN!$A:$A,0)),
IF($B205="SCORIO",INDEX(CSCORIO!$B:$B,MATCH($C205,CSCORIO!$A:$A,0)),
IF($B205="MERC",INDEX(MERCADO!$B:$B,MATCH($C205,MERCADO!$A:$A,0)),
IF($B205="COMP",INDEX(COMPOSICAO!$B:$B,MATCH($C205,COMPOSICAO!$A:$A,0)),
""))))))),"*Verificar código*")</f>
        <v>Ar Condicionado Split On/Off, Hi-Wall (Parede), 18000 Btus/H, Ciclo Frio - Fornecimento E Instalação. Af_11/2021_P</v>
      </c>
      <c r="E205" s="200" t="str">
        <f>IFERROR(LOWER(
IF($B205="DER-ES",INDEX('CDER-ES'!$C:$C,MATCH($C205,'CDER-ES'!$A:$A,0)),
IF($B205="SINAPI",INDEX(CSINAPI!$C:$C,MATCH($C205,CSINAPI!$A:$A,0)),
IF($B205="CESAN",INDEX(CCESAN!$C:$C,MATCH($C205,CCESAN!$A:$A,0)),
IF($B205="SCORIO",INDEX(CSCORIO!$A:$A,MATCH($C205,CSCORIO!#REF!,0)),
IF($B205="MERC",INDEX(MERCADO!$D:$D,MATCH($C205,MERCADO!$A:$A,0)),
IF($B205="COMP",INDEX(COMPOSICAO!$G:$G,MATCH($C205,COMPOSICAO!$A:$A,0)),
""))))))),"")</f>
        <v>und</v>
      </c>
      <c r="F205" s="208">
        <f>VLOOKUP(A205,'MEMÓRIA DE CÁLCULO'!A:H,8,0)</f>
        <v>5</v>
      </c>
      <c r="G205" s="202">
        <f>IFERROR(
IF($B205="DER-ES",INDEX('CDER-ES'!$D:$D,MATCH($C205,'CDER-ES'!$A:$A,0)),
IF($B205="SINAPI",INDEX(CSINAPI!$D:$D,MATCH($C205,CSINAPI!$A:$A,0)),
IF($B205="CESAN",INDEX(CCESAN!$D:$D,MATCH($C205,CCESAN!$A:$A,0)),
IF($B205="SCORIO",INDEX(CSCORIO!$B:$B,MATCH($C205,CSCORIO!#REF!,0)),
IF($B205="MERC",INDEX(MERCADO!$E:$E,MATCH($C205,MERCADO!$A:$A,0)),
IF($B205="COMP",INDEX(COMPOSICAO!$H:$H,MATCH($C205,COMPOSICAO!$A:$A,0)),
0)))))),0)</f>
        <v>2714.48</v>
      </c>
      <c r="H205" s="202">
        <f t="shared" si="179"/>
        <v>3393.1</v>
      </c>
      <c r="I205" s="209">
        <f t="shared" si="180"/>
        <v>16965.5</v>
      </c>
      <c r="J205" s="225">
        <f t="shared" ref="J205:J218" si="181">I205/I$203</f>
        <v>0.18225313887269143</v>
      </c>
    </row>
    <row r="206" spans="1:10" ht="51">
      <c r="A206" s="204" t="s">
        <v>26734</v>
      </c>
      <c r="B206" s="205" t="s">
        <v>1019</v>
      </c>
      <c r="C206" s="206">
        <v>103254</v>
      </c>
      <c r="D206" s="207" t="str">
        <f>IFERROR(PROPER(
IF($B206="DER-ES",INDEX('CDER-ES'!$B:$B,MATCH($C206,'CDER-ES'!$A:$A,0)),
IF($B206="SINAPI",INDEX(CSINAPI!$B:$B,MATCH($C206,CSINAPI!$A:$A,0)),
IF($B206="CESAN",INDEX(CCESAN!$B:$B,MATCH($C206,CCESAN!$A:$A,0)),
IF($B206="SCORIO",INDEX(CSCORIO!$B:$B,MATCH($C206,CSCORIO!$A:$A,0)),
IF($B206="MERC",INDEX(MERCADO!$B:$B,MATCH($C206,MERCADO!$A:$A,0)),
IF($B206="COMP",INDEX(COMPOSICAO!$B:$B,MATCH($C206,COMPOSICAO!$A:$A,0)),
""))))))),"*Verificar código*")</f>
        <v>Ar Condicionado Split On/Off, Hi-Wall (Parede), 24000 Btus/H, Ciclo Frio - Fornecimento E Instalação. Af_11/2021_P</v>
      </c>
      <c r="E206" s="200" t="str">
        <f>IFERROR(LOWER(
IF($B206="DER-ES",INDEX('CDER-ES'!$C:$C,MATCH($C206,'CDER-ES'!$A:$A,0)),
IF($B206="SINAPI",INDEX(CSINAPI!$C:$C,MATCH($C206,CSINAPI!$A:$A,0)),
IF($B206="CESAN",INDEX(CCESAN!$C:$C,MATCH($C206,CCESAN!$A:$A,0)),
IF($B206="SCORIO",INDEX(CSCORIO!$A:$A,MATCH($C206,CSCORIO!#REF!,0)),
IF($B206="MERC",INDEX(MERCADO!$D:$D,MATCH($C206,MERCADO!$A:$A,0)),
IF($B206="COMP",INDEX(COMPOSICAO!$G:$G,MATCH($C206,COMPOSICAO!$A:$A,0)),
""))))))),"")</f>
        <v>und</v>
      </c>
      <c r="F206" s="208">
        <f>VLOOKUP(A206,'MEMÓRIA DE CÁLCULO'!A:H,8,0)</f>
        <v>2</v>
      </c>
      <c r="G206" s="202">
        <f>IFERROR(
IF($B206="DER-ES",INDEX('CDER-ES'!$D:$D,MATCH($C206,'CDER-ES'!$A:$A,0)),
IF($B206="SINAPI",INDEX(CSINAPI!$D:$D,MATCH($C206,CSINAPI!$A:$A,0)),
IF($B206="CESAN",INDEX(CCESAN!$D:$D,MATCH($C206,CCESAN!$A:$A,0)),
IF($B206="SCORIO",INDEX(CSCORIO!$B:$B,MATCH($C206,CSCORIO!#REF!,0)),
IF($B206="MERC",INDEX(MERCADO!$E:$E,MATCH($C206,MERCADO!$A:$A,0)),
IF($B206="COMP",INDEX(COMPOSICAO!$H:$H,MATCH($C206,COMPOSICAO!$A:$A,0)),
0)))))),0)</f>
        <v>3499.05</v>
      </c>
      <c r="H206" s="202">
        <f t="shared" si="179"/>
        <v>4373.8100000000004</v>
      </c>
      <c r="I206" s="209">
        <f t="shared" si="180"/>
        <v>8747.6200000000008</v>
      </c>
      <c r="J206" s="225">
        <f t="shared" si="181"/>
        <v>9.3971955006662528E-2</v>
      </c>
    </row>
    <row r="207" spans="1:10" ht="38.25">
      <c r="A207" s="204" t="s">
        <v>26735</v>
      </c>
      <c r="B207" s="205" t="s">
        <v>1019</v>
      </c>
      <c r="C207" s="206">
        <v>103264</v>
      </c>
      <c r="D207" s="207" t="str">
        <f>IFERROR(PROPER(
IF($B207="DER-ES",INDEX('CDER-ES'!$B:$B,MATCH($C207,'CDER-ES'!$A:$A,0)),
IF($B207="SINAPI",INDEX(CSINAPI!$B:$B,MATCH($C207,CSINAPI!$A:$A,0)),
IF($B207="CESAN",INDEX(CCESAN!$B:$B,MATCH($C207,CCESAN!$A:$A,0)),
IF($B207="SCORIO",INDEX(CSCORIO!$B:$B,MATCH($C207,CSCORIO!$A:$A,0)),
IF($B207="MERC",INDEX(MERCADO!$B:$B,MATCH($C207,MERCADO!$A:$A,0)),
IF($B207="COMP",INDEX(COMPOSICAO!$B:$B,MATCH($C207,COMPOSICAO!$A:$A,0)),
""))))))),"*Verificar código*")</f>
        <v>Ar Condicionado Split On/Off, Piso Teto, 48.000 Btu/H, Ciclo Frio - Fornecimento E Instalação. Af_11/2021_P</v>
      </c>
      <c r="E207" s="200" t="str">
        <f>IFERROR(LOWER(
IF($B207="DER-ES",INDEX('CDER-ES'!$C:$C,MATCH($C207,'CDER-ES'!$A:$A,0)),
IF($B207="SINAPI",INDEX(CSINAPI!$C:$C,MATCH($C207,CSINAPI!$A:$A,0)),
IF($B207="CESAN",INDEX(CCESAN!$C:$C,MATCH($C207,CCESAN!$A:$A,0)),
IF($B207="SCORIO",INDEX(CSCORIO!$A:$A,MATCH($C207,CSCORIO!#REF!,0)),
IF($B207="MERC",INDEX(MERCADO!$D:$D,MATCH($C207,MERCADO!$A:$A,0)),
IF($B207="COMP",INDEX(COMPOSICAO!$G:$G,MATCH($C207,COMPOSICAO!$A:$A,0)),
""))))))),"")</f>
        <v>und</v>
      </c>
      <c r="F207" s="208">
        <f>VLOOKUP(A207,'MEMÓRIA DE CÁLCULO'!A:H,8,0)</f>
        <v>3</v>
      </c>
      <c r="G207" s="202">
        <f>IFERROR(
IF($B207="DER-ES",INDEX('CDER-ES'!$D:$D,MATCH($C207,'CDER-ES'!$A:$A,0)),
IF($B207="SINAPI",INDEX(CSINAPI!$D:$D,MATCH($C207,CSINAPI!$A:$A,0)),
IF($B207="CESAN",INDEX(CCESAN!$D:$D,MATCH($C207,CCESAN!$A:$A,0)),
IF($B207="SCORIO",INDEX(CSCORIO!$B:$B,MATCH($C207,CSCORIO!#REF!,0)),
IF($B207="MERC",INDEX(MERCADO!$E:$E,MATCH($C207,MERCADO!$A:$A,0)),
IF($B207="COMP",INDEX(COMPOSICAO!$H:$H,MATCH($C207,COMPOSICAO!$A:$A,0)),
0)))))),0)</f>
        <v>8479.08</v>
      </c>
      <c r="H207" s="202">
        <f t="shared" si="179"/>
        <v>10598.85</v>
      </c>
      <c r="I207" s="209">
        <f t="shared" si="180"/>
        <v>31796.55</v>
      </c>
      <c r="J207" s="225">
        <f t="shared" si="181"/>
        <v>0.34157679071188451</v>
      </c>
    </row>
    <row r="208" spans="1:10" ht="63.75">
      <c r="A208" s="204" t="s">
        <v>26739</v>
      </c>
      <c r="B208" s="205" t="s">
        <v>1019</v>
      </c>
      <c r="C208" s="206">
        <v>103292</v>
      </c>
      <c r="D208" s="207" t="str">
        <f>IFERROR(PROPER(
IF($B208="DER-ES",INDEX('CDER-ES'!$B:$B,MATCH($C208,'CDER-ES'!$A:$A,0)),
IF($B208="SINAPI",INDEX(CSINAPI!$B:$B,MATCH($C208,CSINAPI!$A:$A,0)),
IF($B208="CESAN",INDEX(CCESAN!$B:$B,MATCH($C208,CCESAN!$A:$A,0)),
IF($B208="SCORIO",INDEX(CSCORIO!$B:$B,MATCH($C208,CSCORIO!$A:$A,0)),
IF($B208="MERC",INDEX(MERCADO!$B:$B,MATCH($C208,MERCADO!$A:$A,0)),
IF($B208="COMP",INDEX(COMPOSICAO!$B:$B,MATCH($C208,COMPOSICAO!$A:$A,0)),
""))))))),"*Verificar código*")</f>
        <v>Tubo Em Cobre Flexível, Dn 5/8", Com Isolamento, Instalado Em Forro, Para Ramal De Alimentação De Ar Condicionado, Incluso Fixador. Af_11/2021</v>
      </c>
      <c r="E208" s="200" t="str">
        <f>IFERROR(LOWER(
IF($B208="DER-ES",INDEX('CDER-ES'!$C:$C,MATCH($C208,'CDER-ES'!$A:$A,0)),
IF($B208="SINAPI",INDEX(CSINAPI!$C:$C,MATCH($C208,CSINAPI!$A:$A,0)),
IF($B208="CESAN",INDEX(CCESAN!$C:$C,MATCH($C208,CCESAN!$A:$A,0)),
IF($B208="SCORIO",INDEX(CSCORIO!$A:$A,MATCH($C208,CSCORIO!#REF!,0)),
IF($B208="MERC",INDEX(MERCADO!$D:$D,MATCH($C208,MERCADO!$A:$A,0)),
IF($B208="COMP",INDEX(COMPOSICAO!$G:$G,MATCH($C208,COMPOSICAO!$A:$A,0)),
""))))))),"")</f>
        <v>m</v>
      </c>
      <c r="F208" s="208">
        <f>VLOOKUP(A208,'MEMÓRIA DE CÁLCULO'!A:H,8,0)</f>
        <v>143.5</v>
      </c>
      <c r="G208" s="202">
        <f>IFERROR(
IF($B208="DER-ES",INDEX('CDER-ES'!$D:$D,MATCH($C208,'CDER-ES'!$A:$A,0)),
IF($B208="SINAPI",INDEX(CSINAPI!$D:$D,MATCH($C208,CSINAPI!$A:$A,0)),
IF($B208="CESAN",INDEX(CCESAN!$D:$D,MATCH($C208,CCESAN!$A:$A,0)),
IF($B208="SCORIO",INDEX(CSCORIO!$B:$B,MATCH($C208,CSCORIO!#REF!,0)),
IF($B208="MERC",INDEX(MERCADO!$E:$E,MATCH($C208,MERCADO!$A:$A,0)),
IF($B208="COMP",INDEX(COMPOSICAO!$H:$H,MATCH($C208,COMPOSICAO!$A:$A,0)),
0)))))),0)</f>
        <v>82.97</v>
      </c>
      <c r="H208" s="202">
        <f t="shared" si="179"/>
        <v>103.71</v>
      </c>
      <c r="I208" s="209">
        <f t="shared" si="180"/>
        <v>14882.39</v>
      </c>
      <c r="J208" s="225">
        <f t="shared" si="181"/>
        <v>0.15987517558737166</v>
      </c>
    </row>
    <row r="209" spans="1:10" ht="51">
      <c r="A209" s="204" t="s">
        <v>28522</v>
      </c>
      <c r="B209" s="205" t="s">
        <v>1019</v>
      </c>
      <c r="C209" s="206">
        <v>89865</v>
      </c>
      <c r="D209" s="207" t="str">
        <f>IFERROR(PROPER(
IF($B209="DER-ES",INDEX('CDER-ES'!$B:$B,MATCH($C209,'CDER-ES'!$A:$A,0)),
IF($B209="SINAPI",INDEX(CSINAPI!$B:$B,MATCH($C209,CSINAPI!$A:$A,0)),
IF($B209="CESAN",INDEX(CCESAN!$B:$B,MATCH($C209,CCESAN!$A:$A,0)),
IF($B209="SCORIO",INDEX(CSCORIO!$B:$B,MATCH($C209,CSCORIO!$A:$A,0)),
IF($B209="MERC",INDEX(MERCADO!$B:$B,MATCH($C209,MERCADO!$A:$A,0)),
IF($B209="COMP",INDEX(COMPOSICAO!$B:$B,MATCH($C209,COMPOSICAO!$A:$A,0)),
""))))))),"*Verificar código*")</f>
        <v>Tubo, Pvc, Soldável, Dn 25Mm, Instalado Em Dreno De Ar-Condicionado - Fornecimento E Instalação. Af_12/2014</v>
      </c>
      <c r="E209" s="200" t="str">
        <f>IFERROR(LOWER(
IF($B209="DER-ES",INDEX('CDER-ES'!$C:$C,MATCH($C209,'CDER-ES'!$A:$A,0)),
IF($B209="SINAPI",INDEX(CSINAPI!$C:$C,MATCH($C209,CSINAPI!$A:$A,0)),
IF($B209="CESAN",INDEX(CCESAN!$C:$C,MATCH($C209,CCESAN!$A:$A,0)),
IF($B209="SCORIO",INDEX(CSCORIO!$A:$A,MATCH($C209,CSCORIO!#REF!,0)),
IF($B209="MERC",INDEX(MERCADO!$D:$D,MATCH($C209,MERCADO!$A:$A,0)),
IF($B209="COMP",INDEX(COMPOSICAO!$G:$G,MATCH($C209,COMPOSICAO!$A:$A,0)),
""))))))),"")</f>
        <v>m</v>
      </c>
      <c r="F209" s="208">
        <f>VLOOKUP(A209,'MEMÓRIA DE CÁLCULO'!A:H,8,0)</f>
        <v>74</v>
      </c>
      <c r="G209" s="202">
        <f>IFERROR(
IF($B209="DER-ES",INDEX('CDER-ES'!$D:$D,MATCH($C209,'CDER-ES'!$A:$A,0)),
IF($B209="SINAPI",INDEX(CSINAPI!$D:$D,MATCH($C209,CSINAPI!$A:$A,0)),
IF($B209="CESAN",INDEX(CCESAN!$D:$D,MATCH($C209,CCESAN!$A:$A,0)),
IF($B209="SCORIO",INDEX(CSCORIO!$B:$B,MATCH($C209,CSCORIO!#REF!,0)),
IF($B209="MERC",INDEX(MERCADO!$E:$E,MATCH($C209,MERCADO!$A:$A,0)),
IF($B209="COMP",INDEX(COMPOSICAO!$H:$H,MATCH($C209,COMPOSICAO!$A:$A,0)),
0)))))),0)</f>
        <v>13.84</v>
      </c>
      <c r="H209" s="202">
        <f t="shared" ref="H209:H217" si="182">ROUND(G209*(1+$J$2),2)</f>
        <v>17.3</v>
      </c>
      <c r="I209" s="209">
        <f t="shared" ref="I209:I217" si="183">ROUND($H209*F209,2)</f>
        <v>1280.2</v>
      </c>
      <c r="J209" s="225">
        <f t="shared" si="181"/>
        <v>1.3752643210327993E-2</v>
      </c>
    </row>
    <row r="210" spans="1:10" ht="51">
      <c r="A210" s="204" t="s">
        <v>28782</v>
      </c>
      <c r="B210" s="205" t="s">
        <v>1019</v>
      </c>
      <c r="C210" s="206">
        <v>89866</v>
      </c>
      <c r="D210" s="207" t="str">
        <f>IFERROR(PROPER(
IF($B210="DER-ES",INDEX('CDER-ES'!$B:$B,MATCH($C210,'CDER-ES'!$A:$A,0)),
IF($B210="SINAPI",INDEX(CSINAPI!$B:$B,MATCH($C210,CSINAPI!$A:$A,0)),
IF($B210="CESAN",INDEX(CCESAN!$B:$B,MATCH($C210,CCESAN!$A:$A,0)),
IF($B210="SCORIO",INDEX(CSCORIO!$B:$B,MATCH($C210,CSCORIO!$A:$A,0)),
IF($B210="MERC",INDEX(MERCADO!$B:$B,MATCH($C210,MERCADO!$A:$A,0)),
IF($B210="COMP",INDEX(COMPOSICAO!$B:$B,MATCH($C210,COMPOSICAO!$A:$A,0)),
""))))))),"*Verificar código*")</f>
        <v>Joelho 90 Graus, Pvc, Soldável, Dn 25Mm, Instalado Em Dreno De Ar-Condicionado - Fornecimento E Instalação. Af_12/2014</v>
      </c>
      <c r="E210" s="200" t="str">
        <f>IFERROR(LOWER(
IF($B210="DER-ES",INDEX('CDER-ES'!$C:$C,MATCH($C210,'CDER-ES'!$A:$A,0)),
IF($B210="SINAPI",INDEX(CSINAPI!$C:$C,MATCH($C210,CSINAPI!$A:$A,0)),
IF($B210="CESAN",INDEX(CCESAN!$C:$C,MATCH($C210,CCESAN!$A:$A,0)),
IF($B210="SCORIO",INDEX(CSCORIO!$A:$A,MATCH($C210,CSCORIO!#REF!,0)),
IF($B210="MERC",INDEX(MERCADO!$D:$D,MATCH($C210,MERCADO!$A:$A,0)),
IF($B210="COMP",INDEX(COMPOSICAO!$G:$G,MATCH($C210,COMPOSICAO!$A:$A,0)),
""))))))),"")</f>
        <v>und</v>
      </c>
      <c r="F210" s="208">
        <f>VLOOKUP(A210,'MEMÓRIA DE CÁLCULO'!A:H,8,0)</f>
        <v>28</v>
      </c>
      <c r="G210" s="202">
        <f>IFERROR(
IF($B210="DER-ES",INDEX('CDER-ES'!$D:$D,MATCH($C210,'CDER-ES'!$A:$A,0)),
IF($B210="SINAPI",INDEX(CSINAPI!$D:$D,MATCH($C210,CSINAPI!$A:$A,0)),
IF($B210="CESAN",INDEX(CCESAN!$D:$D,MATCH($C210,CCESAN!$A:$A,0)),
IF($B210="SCORIO",INDEX(CSCORIO!$B:$B,MATCH($C210,CSCORIO!#REF!,0)),
IF($B210="MERC",INDEX(MERCADO!$E:$E,MATCH($C210,MERCADO!$A:$A,0)),
IF($B210="COMP",INDEX(COMPOSICAO!$H:$H,MATCH($C210,COMPOSICAO!$A:$A,0)),
0)))))),0)</f>
        <v>5.0999999999999996</v>
      </c>
      <c r="H210" s="202">
        <f t="shared" si="182"/>
        <v>6.38</v>
      </c>
      <c r="I210" s="209">
        <f t="shared" si="183"/>
        <v>178.64</v>
      </c>
      <c r="J210" s="225">
        <f t="shared" si="181"/>
        <v>1.9190534159451589E-3</v>
      </c>
    </row>
    <row r="211" spans="1:10" ht="38.25">
      <c r="A211" s="204" t="s">
        <v>28783</v>
      </c>
      <c r="B211" s="205" t="s">
        <v>1019</v>
      </c>
      <c r="C211" s="206">
        <v>89869</v>
      </c>
      <c r="D211" s="207" t="str">
        <f>IFERROR(PROPER(
IF($B211="DER-ES",INDEX('CDER-ES'!$B:$B,MATCH($C211,'CDER-ES'!$A:$A,0)),
IF($B211="SINAPI",INDEX(CSINAPI!$B:$B,MATCH($C211,CSINAPI!$A:$A,0)),
IF($B211="CESAN",INDEX(CCESAN!$B:$B,MATCH($C211,CCESAN!$A:$A,0)),
IF($B211="SCORIO",INDEX(CSCORIO!$B:$B,MATCH($C211,CSCORIO!$A:$A,0)),
IF($B211="MERC",INDEX(MERCADO!$B:$B,MATCH($C211,MERCADO!$A:$A,0)),
IF($B211="COMP",INDEX(COMPOSICAO!$B:$B,MATCH($C211,COMPOSICAO!$A:$A,0)),
""))))))),"*Verificar código*")</f>
        <v>Te, Pvc, Soldável, Dn 25Mm, Instalado Em Dreno De Ar-Condicionado - Fornecimento E Instalação. Af_12/2014</v>
      </c>
      <c r="E211" s="200" t="str">
        <f>IFERROR(LOWER(
IF($B211="DER-ES",INDEX('CDER-ES'!$C:$C,MATCH($C211,'CDER-ES'!$A:$A,0)),
IF($B211="SINAPI",INDEX(CSINAPI!$C:$C,MATCH($C211,CSINAPI!$A:$A,0)),
IF($B211="CESAN",INDEX(CCESAN!$C:$C,MATCH($C211,CCESAN!$A:$A,0)),
IF($B211="SCORIO",INDEX(CSCORIO!$A:$A,MATCH($C211,CSCORIO!#REF!,0)),
IF($B211="MERC",INDEX(MERCADO!$D:$D,MATCH($C211,MERCADO!$A:$A,0)),
IF($B211="COMP",INDEX(COMPOSICAO!$G:$G,MATCH($C211,COMPOSICAO!$A:$A,0)),
""))))))),"")</f>
        <v>und</v>
      </c>
      <c r="F211" s="208">
        <f>VLOOKUP(A211,'MEMÓRIA DE CÁLCULO'!A:H,8,0)</f>
        <v>4</v>
      </c>
      <c r="G211" s="202">
        <f>IFERROR(
IF($B211="DER-ES",INDEX('CDER-ES'!$D:$D,MATCH($C211,'CDER-ES'!$A:$A,0)),
IF($B211="SINAPI",INDEX(CSINAPI!$D:$D,MATCH($C211,CSINAPI!$A:$A,0)),
IF($B211="CESAN",INDEX(CCESAN!$D:$D,MATCH($C211,CCESAN!$A:$A,0)),
IF($B211="SCORIO",INDEX(CSCORIO!$B:$B,MATCH($C211,CSCORIO!#REF!,0)),
IF($B211="MERC",INDEX(MERCADO!$E:$E,MATCH($C211,MERCADO!$A:$A,0)),
IF($B211="COMP",INDEX(COMPOSICAO!$H:$H,MATCH($C211,COMPOSICAO!$A:$A,0)),
0)))))),0)</f>
        <v>8.4600000000000009</v>
      </c>
      <c r="H211" s="202">
        <f t="shared" si="182"/>
        <v>10.58</v>
      </c>
      <c r="I211" s="209">
        <f t="shared" si="183"/>
        <v>42.32</v>
      </c>
      <c r="J211" s="225">
        <f t="shared" si="181"/>
        <v>4.5462573087102066E-4</v>
      </c>
    </row>
    <row r="212" spans="1:10" ht="38.25">
      <c r="A212" s="204" t="s">
        <v>28786</v>
      </c>
      <c r="B212" s="205" t="s">
        <v>1019</v>
      </c>
      <c r="C212" s="206">
        <v>103288</v>
      </c>
      <c r="D212" s="207" t="str">
        <f>IFERROR(PROPER(
IF($B212="DER-ES",INDEX('CDER-ES'!$B:$B,MATCH($C212,'CDER-ES'!$A:$A,0)),
IF($B212="SINAPI",INDEX(CSINAPI!$B:$B,MATCH($C212,CSINAPI!$A:$A,0)),
IF($B212="CESAN",INDEX(CCESAN!$B:$B,MATCH($C212,CCESAN!$A:$A,0)),
IF($B212="SCORIO",INDEX(CSCORIO!$B:$B,MATCH($C212,CSCORIO!$A:$A,0)),
IF($B212="MERC",INDEX(MERCADO!$B:$B,MATCH($C212,MERCADO!$A:$A,0)),
IF($B212="COMP",INDEX(COMPOSICAO!$B:$B,MATCH($C212,COMPOSICAO!$A:$A,0)),
""))))))),"*Verificar código*")</f>
        <v>Rasgo E Chumbamento Em Alvenaria Para Tubos De Split Parede De 9000 A 24000 Btus/H. Af_11/2021</v>
      </c>
      <c r="E212" s="200" t="str">
        <f>IFERROR(LOWER(
IF($B212="DER-ES",INDEX('CDER-ES'!$C:$C,MATCH($C212,'CDER-ES'!$A:$A,0)),
IF($B212="SINAPI",INDEX(CSINAPI!$C:$C,MATCH($C212,CSINAPI!$A:$A,0)),
IF($B212="CESAN",INDEX(CCESAN!$C:$C,MATCH($C212,CCESAN!$A:$A,0)),
IF($B212="SCORIO",INDEX(CSCORIO!$A:$A,MATCH($C212,CSCORIO!#REF!,0)),
IF($B212="MERC",INDEX(MERCADO!$D:$D,MATCH($C212,MERCADO!$A:$A,0)),
IF($B212="COMP",INDEX(COMPOSICAO!$G:$G,MATCH($C212,COMPOSICAO!$A:$A,0)),
""))))))),"")</f>
        <v>und</v>
      </c>
      <c r="F212" s="208">
        <f>VLOOKUP(A212,'MEMÓRIA DE CÁLCULO'!A:H,8,0)</f>
        <v>10</v>
      </c>
      <c r="G212" s="202">
        <f>IFERROR(
IF($B212="DER-ES",INDEX('CDER-ES'!$D:$D,MATCH($C212,'CDER-ES'!$A:$A,0)),
IF($B212="SINAPI",INDEX(CSINAPI!$D:$D,MATCH($C212,CSINAPI!$A:$A,0)),
IF($B212="CESAN",INDEX(CCESAN!$D:$D,MATCH($C212,CCESAN!$A:$A,0)),
IF($B212="SCORIO",INDEX(CSCORIO!$B:$B,MATCH($C212,CSCORIO!#REF!,0)),
IF($B212="MERC",INDEX(MERCADO!$E:$E,MATCH($C212,MERCADO!$A:$A,0)),
IF($B212="COMP",INDEX(COMPOSICAO!$H:$H,MATCH($C212,COMPOSICAO!$A:$A,0)),
0)))))),0)</f>
        <v>14.29</v>
      </c>
      <c r="H212" s="202">
        <f t="shared" si="182"/>
        <v>17.86</v>
      </c>
      <c r="I212" s="209">
        <f t="shared" si="183"/>
        <v>178.6</v>
      </c>
      <c r="J212" s="225">
        <f t="shared" si="181"/>
        <v>1.9186237129859235E-3</v>
      </c>
    </row>
    <row r="213" spans="1:10" ht="63.75">
      <c r="A213" s="204" t="s">
        <v>29089</v>
      </c>
      <c r="B213" s="205" t="s">
        <v>1019</v>
      </c>
      <c r="C213" s="206">
        <v>89737</v>
      </c>
      <c r="D213" s="207" t="str">
        <f>IFERROR(PROPER(
IF($B213="DER-ES",INDEX('CDER-ES'!$B:$B,MATCH($C213,'CDER-ES'!$A:$A,0)),
IF($B213="SINAPI",INDEX(CSINAPI!$B:$B,MATCH($C213,CSINAPI!$A:$A,0)),
IF($B213="CESAN",INDEX(CCESAN!$B:$B,MATCH($C213,CCESAN!$A:$A,0)),
IF($B213="SCORIO",INDEX(CSCORIO!$B:$B,MATCH($C213,CSCORIO!$A:$A,0)),
IF($B213="MERC",INDEX(MERCADO!$B:$B,MATCH($C213,MERCADO!$A:$A,0)),
IF($B213="COMP",INDEX(COMPOSICAO!$B:$B,MATCH($C213,COMPOSICAO!$A:$A,0)),
""))))))),"*Verificar código*")</f>
        <v>Joelho 90 Graus, Pvc, Serie Normal, Esgoto Predial, Dn 75 Mm, Junta Elástica, Fornecido E Instalado Em Ramal De Descarga Ou Ramal De Esgoto Sanitário. Af_12/2014</v>
      </c>
      <c r="E213" s="200" t="str">
        <f>IFERROR(LOWER(
IF($B213="DER-ES",INDEX('CDER-ES'!$C:$C,MATCH($C213,'CDER-ES'!$A:$A,0)),
IF($B213="SINAPI",INDEX(CSINAPI!$C:$C,MATCH($C213,CSINAPI!$A:$A,0)),
IF($B213="CESAN",INDEX(CCESAN!$C:$C,MATCH($C213,CCESAN!$A:$A,0)),
IF($B213="SCORIO",INDEX(CSCORIO!$A:$A,MATCH($C213,CSCORIO!#REF!,0)),
IF($B213="MERC",INDEX(MERCADO!$D:$D,MATCH($C213,MERCADO!$A:$A,0)),
IF($B213="COMP",INDEX(COMPOSICAO!$G:$G,MATCH($C213,COMPOSICAO!$A:$A,0)),
""))))))),"")</f>
        <v>und</v>
      </c>
      <c r="F213" s="208">
        <f>VLOOKUP(A213,'MEMÓRIA DE CÁLCULO'!A:H,8,0)</f>
        <v>20</v>
      </c>
      <c r="G213" s="202">
        <f>IFERROR(
IF($B213="DER-ES",INDEX('CDER-ES'!$D:$D,MATCH($C213,'CDER-ES'!$A:$A,0)),
IF($B213="SINAPI",INDEX(CSINAPI!$D:$D,MATCH($C213,CSINAPI!$A:$A,0)),
IF($B213="CESAN",INDEX(CCESAN!$D:$D,MATCH($C213,CCESAN!$A:$A,0)),
IF($B213="SCORIO",INDEX(CSCORIO!$B:$B,MATCH($C213,CSCORIO!#REF!,0)),
IF($B213="MERC",INDEX(MERCADO!$E:$E,MATCH($C213,MERCADO!$A:$A,0)),
IF($B213="COMP",INDEX(COMPOSICAO!$H:$H,MATCH($C213,COMPOSICAO!$A:$A,0)),
0)))))),0)</f>
        <v>21.29</v>
      </c>
      <c r="H213" s="202">
        <f t="shared" ref="H213:H215" si="184">ROUND(G213*(1+$J$2),2)</f>
        <v>26.61</v>
      </c>
      <c r="I213" s="209">
        <f t="shared" ref="I213:I215" si="185">ROUND($H213*F213,2)</f>
        <v>532.20000000000005</v>
      </c>
      <c r="J213" s="225">
        <f t="shared" si="181"/>
        <v>5.7171978726265884E-3</v>
      </c>
    </row>
    <row r="214" spans="1:10" ht="63.75">
      <c r="A214" s="204" t="s">
        <v>29090</v>
      </c>
      <c r="B214" s="205" t="s">
        <v>1019</v>
      </c>
      <c r="C214" s="206">
        <v>89739</v>
      </c>
      <c r="D214" s="207" t="str">
        <f>IFERROR(PROPER(
IF($B214="DER-ES",INDEX('CDER-ES'!$B:$B,MATCH($C214,'CDER-ES'!$A:$A,0)),
IF($B214="SINAPI",INDEX(CSINAPI!$B:$B,MATCH($C214,CSINAPI!$A:$A,0)),
IF($B214="CESAN",INDEX(CCESAN!$B:$B,MATCH($C214,CCESAN!$A:$A,0)),
IF($B214="SCORIO",INDEX(CSCORIO!$B:$B,MATCH($C214,CSCORIO!$A:$A,0)),
IF($B214="MERC",INDEX(MERCADO!$B:$B,MATCH($C214,MERCADO!$A:$A,0)),
IF($B214="COMP",INDEX(COMPOSICAO!$B:$B,MATCH($C214,COMPOSICAO!$A:$A,0)),
""))))))),"*Verificar código*")</f>
        <v>Joelho 45 Graus, Pvc, Serie Normal, Esgoto Predial, Dn 75 Mm, Junta Elástica, Fornecido E Instalado Em Ramal De Descarga Ou Ramal De Esgoto Sanitário. Af_12/2014</v>
      </c>
      <c r="E214" s="200" t="str">
        <f>IFERROR(LOWER(
IF($B214="DER-ES",INDEX('CDER-ES'!$C:$C,MATCH($C214,'CDER-ES'!$A:$A,0)),
IF($B214="SINAPI",INDEX(CSINAPI!$C:$C,MATCH($C214,CSINAPI!$A:$A,0)),
IF($B214="CESAN",INDEX(CCESAN!$C:$C,MATCH($C214,CCESAN!$A:$A,0)),
IF($B214="SCORIO",INDEX(CSCORIO!$A:$A,MATCH($C214,CSCORIO!#REF!,0)),
IF($B214="MERC",INDEX(MERCADO!$D:$D,MATCH($C214,MERCADO!$A:$A,0)),
IF($B214="COMP",INDEX(COMPOSICAO!$G:$G,MATCH($C214,COMPOSICAO!$A:$A,0)),
""))))))),"")</f>
        <v>und</v>
      </c>
      <c r="F214" s="208">
        <f>VLOOKUP(A214,'MEMÓRIA DE CÁLCULO'!A:H,8,0)</f>
        <v>22</v>
      </c>
      <c r="G214" s="202">
        <f>IFERROR(
IF($B214="DER-ES",INDEX('CDER-ES'!$D:$D,MATCH($C214,'CDER-ES'!$A:$A,0)),
IF($B214="SINAPI",INDEX(CSINAPI!$D:$D,MATCH($C214,CSINAPI!$A:$A,0)),
IF($B214="CESAN",INDEX(CCESAN!$D:$D,MATCH($C214,CCESAN!$A:$A,0)),
IF($B214="SCORIO",INDEX(CSCORIO!$B:$B,MATCH($C214,CSCORIO!#REF!,0)),
IF($B214="MERC",INDEX(MERCADO!$E:$E,MATCH($C214,MERCADO!$A:$A,0)),
IF($B214="COMP",INDEX(COMPOSICAO!$H:$H,MATCH($C214,COMPOSICAO!$A:$A,0)),
0)))))),0)</f>
        <v>22.64</v>
      </c>
      <c r="H214" s="202">
        <f t="shared" ref="H214" si="186">ROUND(G214*(1+$J$2),2)</f>
        <v>28.3</v>
      </c>
      <c r="I214" s="209">
        <f t="shared" ref="I214" si="187">ROUND($H214*F214,2)</f>
        <v>622.6</v>
      </c>
      <c r="J214" s="225">
        <f t="shared" si="181"/>
        <v>6.6883265604985222E-3</v>
      </c>
    </row>
    <row r="215" spans="1:10" ht="51">
      <c r="A215" s="204" t="s">
        <v>29091</v>
      </c>
      <c r="B215" s="205" t="s">
        <v>1019</v>
      </c>
      <c r="C215" s="206">
        <v>89713</v>
      </c>
      <c r="D215" s="207" t="str">
        <f>IFERROR(PROPER(
IF($B215="DER-ES",INDEX('CDER-ES'!$B:$B,MATCH($C215,'CDER-ES'!$A:$A,0)),
IF($B215="SINAPI",INDEX(CSINAPI!$B:$B,MATCH($C215,CSINAPI!$A:$A,0)),
IF($B215="CESAN",INDEX(CCESAN!$B:$B,MATCH($C215,CCESAN!$A:$A,0)),
IF($B215="SCORIO",INDEX(CSCORIO!$B:$B,MATCH($C215,CSCORIO!$A:$A,0)),
IF($B215="MERC",INDEX(MERCADO!$B:$B,MATCH($C215,MERCADO!$A:$A,0)),
IF($B215="COMP",INDEX(COMPOSICAO!$B:$B,MATCH($C215,COMPOSICAO!$A:$A,0)),
""))))))),"*Verificar código*")</f>
        <v>Tubo Pvc, Serie Normal, Esgoto Predial, Dn 75 Mm, Fornecido E Instalado Em Ramal De Descarga Ou Ramal De Esgoto Sanitário. Af_12/2014</v>
      </c>
      <c r="E215" s="200" t="str">
        <f>IFERROR(LOWER(
IF($B215="DER-ES",INDEX('CDER-ES'!$C:$C,MATCH($C215,'CDER-ES'!$A:$A,0)),
IF($B215="SINAPI",INDEX(CSINAPI!$C:$C,MATCH($C215,CSINAPI!$A:$A,0)),
IF($B215="CESAN",INDEX(CCESAN!$C:$C,MATCH($C215,CCESAN!$A:$A,0)),
IF($B215="SCORIO",INDEX(CSCORIO!$A:$A,MATCH($C215,CSCORIO!#REF!,0)),
IF($B215="MERC",INDEX(MERCADO!$D:$D,MATCH($C215,MERCADO!$A:$A,0)),
IF($B215="COMP",INDEX(COMPOSICAO!$G:$G,MATCH($C215,COMPOSICAO!$A:$A,0)),
""))))))),"")</f>
        <v>m</v>
      </c>
      <c r="F215" s="208">
        <f>VLOOKUP(A215,'MEMÓRIA DE CÁLCULO'!A:H,8,0)</f>
        <v>143.5</v>
      </c>
      <c r="G215" s="202">
        <f>IFERROR(
IF($B215="DER-ES",INDEX('CDER-ES'!$D:$D,MATCH($C215,'CDER-ES'!$A:$A,0)),
IF($B215="SINAPI",INDEX(CSINAPI!$D:$D,MATCH($C215,CSINAPI!$A:$A,0)),
IF($B215="CESAN",INDEX(CCESAN!$D:$D,MATCH($C215,CCESAN!$A:$A,0)),
IF($B215="SCORIO",INDEX(CSCORIO!$B:$B,MATCH($C215,CSCORIO!#REF!,0)),
IF($B215="MERC",INDEX(MERCADO!$E:$E,MATCH($C215,MERCADO!$A:$A,0)),
IF($B215="COMP",INDEX(COMPOSICAO!$H:$H,MATCH($C215,COMPOSICAO!$A:$A,0)),
0)))))),0)</f>
        <v>48.1</v>
      </c>
      <c r="H215" s="202">
        <f t="shared" si="184"/>
        <v>60.13</v>
      </c>
      <c r="I215" s="209">
        <f t="shared" si="185"/>
        <v>8628.66</v>
      </c>
      <c r="J215" s="225">
        <f t="shared" si="181"/>
        <v>9.2694018405896528E-2</v>
      </c>
    </row>
    <row r="216" spans="1:10" ht="76.5">
      <c r="A216" s="204" t="s">
        <v>29092</v>
      </c>
      <c r="B216" s="205" t="s">
        <v>1019</v>
      </c>
      <c r="C216" s="206">
        <v>91183</v>
      </c>
      <c r="D216" s="207" t="str">
        <f>IFERROR(PROPER(
IF($B216="DER-ES",INDEX('CDER-ES'!$B:$B,MATCH($C216,'CDER-ES'!$A:$A,0)),
IF($B216="SINAPI",INDEX(CSINAPI!$B:$B,MATCH($C216,CSINAPI!$A:$A,0)),
IF($B216="CESAN",INDEX(CCESAN!$B:$B,MATCH($C216,CCESAN!$A:$A,0)),
IF($B216="SCORIO",INDEX(CSCORIO!$B:$B,MATCH($C216,CSCORIO!$A:$A,0)),
IF($B216="MERC",INDEX(MERCADO!$B:$B,MATCH($C216,MERCADO!$A:$A,0)),
IF($B216="COMP",INDEX(COMPOSICAO!$B:$B,MATCH($C216,COMPOSICAO!$A:$A,0)),
""))))))),"*Verificar código*")</f>
        <v>Fixação De Tubos Horizontais De Ppr Diâmetros Maiores Que 40 Mm E Menores Ou Iguais A 75 Mm Com Abraçadeira Metálica Flexível 18 Mm, Fixada Diretamente Na Laje. Af_05/2015</v>
      </c>
      <c r="E216" s="200" t="str">
        <f>IFERROR(LOWER(
IF($B216="DER-ES",INDEX('CDER-ES'!$C:$C,MATCH($C216,'CDER-ES'!$A:$A,0)),
IF($B216="SINAPI",INDEX(CSINAPI!$C:$C,MATCH($C216,CSINAPI!$A:$A,0)),
IF($B216="CESAN",INDEX(CCESAN!$C:$C,MATCH($C216,CCESAN!$A:$A,0)),
IF($B216="SCORIO",INDEX(CSCORIO!$A:$A,MATCH($C216,CSCORIO!#REF!,0)),
IF($B216="MERC",INDEX(MERCADO!$D:$D,MATCH($C216,MERCADO!$A:$A,0)),
IF($B216="COMP",INDEX(COMPOSICAO!$G:$G,MATCH($C216,COMPOSICAO!$A:$A,0)),
""))))))),"")</f>
        <v>m</v>
      </c>
      <c r="F216" s="208">
        <f>VLOOKUP(A216,'MEMÓRIA DE CÁLCULO'!A:H,8,0)</f>
        <v>123</v>
      </c>
      <c r="G216" s="202">
        <f>IFERROR(
IF($B216="DER-ES",INDEX('CDER-ES'!$D:$D,MATCH($C216,'CDER-ES'!$A:$A,0)),
IF($B216="SINAPI",INDEX(CSINAPI!$D:$D,MATCH($C216,CSINAPI!$A:$A,0)),
IF($B216="CESAN",INDEX(CCESAN!$D:$D,MATCH($C216,CCESAN!$A:$A,0)),
IF($B216="SCORIO",INDEX(CSCORIO!$B:$B,MATCH($C216,CSCORIO!#REF!,0)),
IF($B216="MERC",INDEX(MERCADO!$E:$E,MATCH($C216,MERCADO!$A:$A,0)),
IF($B216="COMP",INDEX(COMPOSICAO!$H:$H,MATCH($C216,COMPOSICAO!$A:$A,0)),
0)))))),0)</f>
        <v>11.77</v>
      </c>
      <c r="H216" s="202">
        <f t="shared" ref="H216" si="188">ROUND(G216*(1+$J$2),2)</f>
        <v>14.71</v>
      </c>
      <c r="I216" s="209">
        <f t="shared" ref="I216" si="189">ROUND($H216*F216,2)</f>
        <v>1809.33</v>
      </c>
      <c r="J216" s="225">
        <f t="shared" si="181"/>
        <v>1.9436861380833264E-2</v>
      </c>
    </row>
    <row r="217" spans="1:10" ht="76.5">
      <c r="A217" s="204" t="s">
        <v>29093</v>
      </c>
      <c r="B217" s="205" t="s">
        <v>26583</v>
      </c>
      <c r="C217" s="206">
        <v>150614</v>
      </c>
      <c r="D217" s="207" t="str">
        <f>IFERROR(PROPER(
IF($B217="DER-ES",INDEX('CDER-ES'!$B:$B,MATCH($C217,'CDER-ES'!$A:$A,0)),
IF($B217="SINAPI",INDEX(CSINAPI!$B:$B,MATCH($C217,CSINAPI!$A:$A,0)),
IF($B217="CESAN",INDEX(CCESAN!$B:$B,MATCH($C217,CCESAN!$A:$A,0)),
IF($B217="SCORIO",INDEX(CSCORIO!$B:$B,MATCH($C217,CSCORIO!$A:$A,0)),
IF($B217="MERC",INDEX(MERCADO!$B:$B,MATCH($C217,MERCADO!$A:$A,0)),
IF($B217="COMP",INDEX(COMPOSICAO!$B:$B,MATCH($C217,COMPOSICAO!$A:$A,0)),
""))))))),"*Verificar código*")</f>
        <v>Caixa De Passagem De Alvenaria De Blocos De Concreto 9X19X39Cm, Dimensões De 30X30X50Cm, Com Revestimento Interno Em Chapisco E Reboco, Tampa De Concreto Esp.5Cm E Lastro De Brita 5 Cm</v>
      </c>
      <c r="E217" s="200" t="str">
        <f>IFERROR(LOWER(
IF($B217="DER-ES",INDEX('CDER-ES'!$C:$C,MATCH($C217,'CDER-ES'!$A:$A,0)),
IF($B217="SINAPI",INDEX(CSINAPI!$C:$C,MATCH($C217,CSINAPI!$A:$A,0)),
IF($B217="CESAN",INDEX(CCESAN!$C:$C,MATCH($C217,CCESAN!$A:$A,0)),
IF($B217="SCORIO",INDEX(CSCORIO!$A:$A,MATCH($C217,CSCORIO!#REF!,0)),
IF($B217="MERC",INDEX(MERCADO!$D:$D,MATCH($C217,MERCADO!$A:$A,0)),
IF($B217="COMP",INDEX(COMPOSICAO!$G:$G,MATCH($C217,COMPOSICAO!$A:$A,0)),
""))))))),"")</f>
        <v>und</v>
      </c>
      <c r="F217" s="208">
        <f>VLOOKUP(A217,'MEMÓRIA DE CÁLCULO'!A:H,8,0)</f>
        <v>3</v>
      </c>
      <c r="G217" s="202">
        <f>IFERROR(
IF($B217="DER-ES",INDEX('CDER-ES'!$D:$D,MATCH($C217,'CDER-ES'!$A:$A,0)),
IF($B217="SINAPI",INDEX(CSINAPI!$D:$D,MATCH($C217,CSINAPI!$A:$A,0)),
IF($B217="CESAN",INDEX(CCESAN!$D:$D,MATCH($C217,CCESAN!$A:$A,0)),
IF($B217="SCORIO",INDEX(CSCORIO!$B:$B,MATCH($C217,CSCORIO!#REF!,0)),
IF($B217="MERC",INDEX(MERCADO!$E:$E,MATCH($C217,MERCADO!$A:$A,0)),
IF($B217="COMP",INDEX(COMPOSICAO!$H:$H,MATCH($C217,COMPOSICAO!$A:$A,0)),
0)))))),0)</f>
        <v>120.17</v>
      </c>
      <c r="H217" s="202">
        <f t="shared" si="182"/>
        <v>150.21</v>
      </c>
      <c r="I217" s="209">
        <f t="shared" si="183"/>
        <v>450.63</v>
      </c>
      <c r="J217" s="225">
        <f t="shared" si="181"/>
        <v>4.8409261130058613E-3</v>
      </c>
    </row>
    <row r="218" spans="1:10" ht="63.75">
      <c r="A218" s="204" t="s">
        <v>29102</v>
      </c>
      <c r="B218" s="205" t="s">
        <v>26583</v>
      </c>
      <c r="C218" s="206">
        <v>151806</v>
      </c>
      <c r="D218" s="207" t="str">
        <f>IFERROR(PROPER(
IF($B218="DER-ES",INDEX('CDER-ES'!$B:$B,MATCH($C218,'CDER-ES'!$A:$A,0)),
IF($B218="SINAPI",INDEX(CSINAPI!$B:$B,MATCH($C218,CSINAPI!$A:$A,0)),
IF($B218="CESAN",INDEX(CCESAN!$B:$B,MATCH($C218,CCESAN!$A:$A,0)),
IF($B218="SCORIO",INDEX(CSCORIO!$B:$B,MATCH($C218,CSCORIO!$A:$A,0)),
IF($B218="MERC",INDEX(MERCADO!$B:$B,MATCH($C218,MERCADO!$A:$A,0)),
IF($B218="COMP",INDEX(COMPOSICAO!$B:$B,MATCH($C218,COMPOSICAO!$A:$A,0)),
""))))))),"*Verificar código*")</f>
        <v>Ponto Padrão De Tomada Para Ar Refrigerado - Considerando Eletroduto Pvc Rígido De 3/4" Inclusive Conexões (6.0M), Fio Isolado Pvc De 4.0Mm2 (21.6M) E Caixa Pvc 4X2" (1 Und)</v>
      </c>
      <c r="E218" s="200" t="str">
        <f>IFERROR(LOWER(
IF($B218="DER-ES",INDEX('CDER-ES'!$C:$C,MATCH($C218,'CDER-ES'!$A:$A,0)),
IF($B218="SINAPI",INDEX(CSINAPI!$C:$C,MATCH($C218,CSINAPI!$A:$A,0)),
IF($B218="CESAN",INDEX(CCESAN!$C:$C,MATCH($C218,CCESAN!$A:$A,0)),
IF($B218="SCORIO",INDEX(CSCORIO!$A:$A,MATCH($C218,CSCORIO!#REF!,0)),
IF($B218="MERC",INDEX(MERCADO!$D:$D,MATCH($C218,MERCADO!$A:$A,0)),
IF($B218="COMP",INDEX(COMPOSICAO!$G:$G,MATCH($C218,COMPOSICAO!$A:$A,0)),
""))))))),"")</f>
        <v>und</v>
      </c>
      <c r="F218" s="208">
        <f>VLOOKUP(A218,'MEMÓRIA DE CÁLCULO'!A:H,8,0)</f>
        <v>10</v>
      </c>
      <c r="G218" s="202">
        <f>IFERROR(
IF($B218="DER-ES",INDEX('CDER-ES'!$D:$D,MATCH($C218,'CDER-ES'!$A:$A,0)),
IF($B218="SINAPI",INDEX(CSINAPI!$D:$D,MATCH($C218,CSINAPI!$A:$A,0)),
IF($B218="CESAN",INDEX(CCESAN!$D:$D,MATCH($C218,CCESAN!$A:$A,0)),
IF($B218="SCORIO",INDEX(CSCORIO!$B:$B,MATCH($C218,CSCORIO!#REF!,0)),
IF($B218="MERC",INDEX(MERCADO!$E:$E,MATCH($C218,MERCADO!$A:$A,0)),
IF($B218="COMP",INDEX(COMPOSICAO!$H:$H,MATCH($C218,COMPOSICAO!$A:$A,0)),
0)))))),0)</f>
        <v>304.33999999999997</v>
      </c>
      <c r="H218" s="202">
        <f t="shared" si="179"/>
        <v>380.43</v>
      </c>
      <c r="I218" s="209">
        <f t="shared" si="180"/>
        <v>3804.3</v>
      </c>
      <c r="J218" s="225">
        <f t="shared" si="181"/>
        <v>4.0867974195477885E-2</v>
      </c>
    </row>
    <row r="219" spans="1:10">
      <c r="A219" s="196" t="s">
        <v>26601</v>
      </c>
      <c r="B219" s="197"/>
      <c r="C219" s="198"/>
      <c r="D219" s="199" t="s">
        <v>26543</v>
      </c>
      <c r="E219" s="200"/>
      <c r="F219" s="201"/>
      <c r="G219" s="202"/>
      <c r="H219" s="202"/>
      <c r="I219" s="203">
        <f>SUBTOTAL(9,I220:I237)</f>
        <v>188825.15</v>
      </c>
      <c r="J219" s="224">
        <f>SUBTOTAL(9,J220:J237)</f>
        <v>0.99999999999999989</v>
      </c>
    </row>
    <row r="220" spans="1:10" ht="51">
      <c r="A220" s="204" t="s">
        <v>26602</v>
      </c>
      <c r="B220" s="205" t="s">
        <v>26583</v>
      </c>
      <c r="C220" s="206">
        <v>71702</v>
      </c>
      <c r="D220" s="207" t="str">
        <f>IFERROR(PROPER(
IF($B220="DER-ES",INDEX('CDER-ES'!$B:$B,MATCH($C220,'CDER-ES'!$A:$A,0)),
IF($B220="SINAPI",INDEX(CSINAPI!$B:$B,MATCH($C220,CSINAPI!$A:$A,0)),
IF($B220="CESAN",INDEX(CCESAN!$B:$B,MATCH($C220,CCESAN!$A:$A,0)),
IF($B220="SCORIO",INDEX(CSCORIO!$B:$B,MATCH($C220,CSCORIO!$A:$A,0)),
IF($B220="MERC",INDEX(MERCADO!$B:$B,MATCH($C220,MERCADO!$A:$A,0)),
IF($B220="COMP",INDEX(COMPOSICAO!$B:$B,MATCH($C220,COMPOSICAO!$A:$A,0)),
""))))))),"*Verificar código*")</f>
        <v>Báscula Para Vidro Em Alumínio Anodizado Cor Natural, Linha 25, Completa, Com Tranca, Caixilho, Alizar E Contramarco, Exclusive Vidro</v>
      </c>
      <c r="E220" s="200" t="str">
        <f>IFERROR(LOWER(
IF($B220="DER-ES",INDEX('CDER-ES'!$C:$C,MATCH($C220,'CDER-ES'!$A:$A,0)),
IF($B220="SINAPI",INDEX(CSINAPI!$C:$C,MATCH($C220,CSINAPI!$A:$A,0)),
IF($B220="CESAN",INDEX(CCESAN!$C:$C,MATCH($C220,CCESAN!$A:$A,0)),
IF($B220="SCORIO",INDEX(CSCORIO!$A:$A,MATCH($C220,CSCORIO!#REF!,0)),
IF($B220="MERC",INDEX(MERCADO!$D:$D,MATCH($C220,MERCADO!$A:$A,0)),
IF($B220="COMP",INDEX(COMPOSICAO!$G:$G,MATCH($C220,COMPOSICAO!$A:$A,0)),
""))))))),"")</f>
        <v>m²</v>
      </c>
      <c r="F220" s="208">
        <f>VLOOKUP(A220,'MEMÓRIA DE CÁLCULO'!A:H,8,0)</f>
        <v>2.88</v>
      </c>
      <c r="G220" s="202">
        <f>IFERROR(
IF($B220="DER-ES",INDEX('CDER-ES'!$D:$D,MATCH($C220,'CDER-ES'!$A:$A,0)),
IF($B220="SINAPI",INDEX(CSINAPI!$D:$D,MATCH($C220,CSINAPI!$A:$A,0)),
IF($B220="CESAN",INDEX(CCESAN!$D:$D,MATCH($C220,CCESAN!$A:$A,0)),
IF($B220="SCORIO",INDEX(CSCORIO!$B:$B,MATCH($C220,CSCORIO!#REF!,0)),
IF($B220="MERC",INDEX(MERCADO!$E:$E,MATCH($C220,MERCADO!$A:$A,0)),
IF($B220="COMP",INDEX(COMPOSICAO!$H:$H,MATCH($C220,COMPOSICAO!$A:$A,0)),
0)))))),0)</f>
        <v>672.56</v>
      </c>
      <c r="H220" s="202">
        <f>ROUND(G220*(1+$J$2),2)</f>
        <v>840.7</v>
      </c>
      <c r="I220" s="209">
        <f>ROUND($H220*F220,2)</f>
        <v>2421.2199999999998</v>
      </c>
      <c r="J220" s="225">
        <f>I220/I$219</f>
        <v>1.2822550385899335E-2</v>
      </c>
    </row>
    <row r="221" spans="1:10" ht="51">
      <c r="A221" s="204" t="s">
        <v>26603</v>
      </c>
      <c r="B221" s="205" t="s">
        <v>1019</v>
      </c>
      <c r="C221" s="206">
        <v>102162</v>
      </c>
      <c r="D221" s="207" t="str">
        <f>IFERROR(PROPER(
IF($B221="DER-ES",INDEX('CDER-ES'!$B:$B,MATCH($C221,'CDER-ES'!$A:$A,0)),
IF($B221="SINAPI",INDEX(CSINAPI!$B:$B,MATCH($C221,CSINAPI!$A:$A,0)),
IF($B221="CESAN",INDEX(CCESAN!$B:$B,MATCH($C221,CCESAN!$A:$A,0)),
IF($B221="SCORIO",INDEX(CSCORIO!$B:$B,MATCH($C221,CSCORIO!$A:$A,0)),
IF($B221="MERC",INDEX(MERCADO!$B:$B,MATCH($C221,MERCADO!$A:$A,0)),
IF($B221="COMP",INDEX(COMPOSICAO!$B:$B,MATCH($C221,COMPOSICAO!$A:$A,0)),
""))))))),"*Verificar código*")</f>
        <v>Instalação De Vidro Liso Incolor, E = 4 Mm, Em Esquadria De Alumínio Ou Pvc, Fixado Com Baguete. Af_01/2021_P</v>
      </c>
      <c r="E221" s="200" t="str">
        <f>IFERROR(LOWER(
IF($B221="DER-ES",INDEX('CDER-ES'!$C:$C,MATCH($C221,'CDER-ES'!$A:$A,0)),
IF($B221="SINAPI",INDEX(CSINAPI!$C:$C,MATCH($C221,CSINAPI!$A:$A,0)),
IF($B221="CESAN",INDEX(CCESAN!$C:$C,MATCH($C221,CCESAN!$A:$A,0)),
IF($B221="SCORIO",INDEX(CSCORIO!$A:$A,MATCH($C221,CSCORIO!#REF!,0)),
IF($B221="MERC",INDEX(MERCADO!$D:$D,MATCH($C221,MERCADO!$A:$A,0)),
IF($B221="COMP",INDEX(COMPOSICAO!$G:$G,MATCH($C221,COMPOSICAO!$A:$A,0)),
""))))))),"")</f>
        <v>m²</v>
      </c>
      <c r="F221" s="208">
        <f>VLOOKUP(A221,'MEMÓRIA DE CÁLCULO'!A:H,8,0)</f>
        <v>2.88</v>
      </c>
      <c r="G221" s="202">
        <f>IFERROR(
IF($B221="DER-ES",INDEX('CDER-ES'!$D:$D,MATCH($C221,'CDER-ES'!$A:$A,0)),
IF($B221="SINAPI",INDEX(CSINAPI!$D:$D,MATCH($C221,CSINAPI!$A:$A,0)),
IF($B221="CESAN",INDEX(CCESAN!$D:$D,MATCH($C221,CCESAN!$A:$A,0)),
IF($B221="SCORIO",INDEX(CSCORIO!$B:$B,MATCH($C221,CSCORIO!#REF!,0)),
IF($B221="MERC",INDEX(MERCADO!$E:$E,MATCH($C221,MERCADO!$A:$A,0)),
IF($B221="COMP",INDEX(COMPOSICAO!$H:$H,MATCH($C221,COMPOSICAO!$A:$A,0)),
0)))))),0)</f>
        <v>342.6</v>
      </c>
      <c r="H221" s="202">
        <f>ROUND(G221*(1+$J$2),2)</f>
        <v>428.25</v>
      </c>
      <c r="I221" s="209">
        <f>ROUND($H221*F221,2)</f>
        <v>1233.3599999999999</v>
      </c>
      <c r="J221" s="225">
        <f t="shared" ref="J221:J237" si="190">I221/I$219</f>
        <v>6.5317570249513899E-3</v>
      </c>
    </row>
    <row r="222" spans="1:10" ht="114.75">
      <c r="A222" s="204" t="s">
        <v>26627</v>
      </c>
      <c r="B222" s="205" t="s">
        <v>1020</v>
      </c>
      <c r="C222" s="206">
        <v>22</v>
      </c>
      <c r="D222" s="207" t="str">
        <f>IFERROR(PROPER(
IF($B222="DER-ES",INDEX('CDER-ES'!$B:$B,MATCH($C222,'CDER-ES'!$A:$A,0)),
IF($B222="SINAPI",INDEX(CSINAPI!$B:$B,MATCH($C222,CSINAPI!$A:$A,0)),
IF($B222="CESAN",INDEX(CCESAN!$B:$B,MATCH($C222,CCESAN!$A:$A,0)),
IF($B222="SCORIO",INDEX(CSCORIO!$B:$B,MATCH($C222,CSCORIO!$A:$A,0)),
IF($B222="MERC",INDEX(MERCADO!$B:$B,MATCH($C222,MERCADO!$A:$A,0)),
IF($B222="COMP",INDEX(COMPOSICAO!$B:$B,MATCH($C222,COMPOSICAO!$A:$A,0)),
""))))))),"*Verificar código*")</f>
        <v>Elemento Decorativo (Gradil) Confeccionado Em Barras De Ferro Chato, Estrutura Principal Em Barra Chata 25,4 Mm X 6,35 Mm E Estrutura Secundária Em Barra Chata 12,7 Mm X 6,35 Mm. Lixamento E Pintura Com Esmalte Sintético E Instalação. Dimensão: 115 X 40 Cm - Conforme Projeto.</v>
      </c>
      <c r="E222" s="200" t="str">
        <f>IFERROR(LOWER(
IF($B222="DER-ES",INDEX('CDER-ES'!$C:$C,MATCH($C222,'CDER-ES'!$A:$A,0)),
IF($B222="SINAPI",INDEX(CSINAPI!$C:$C,MATCH($C222,CSINAPI!$A:$A,0)),
IF($B222="CESAN",INDEX(CCESAN!$C:$C,MATCH($C222,CCESAN!$A:$A,0)),
IF($B222="SCORIO",INDEX(CSCORIO!$A:$A,MATCH($C222,CSCORIO!#REF!,0)),
IF($B222="MERC",INDEX(MERCADO!$D:$D,MATCH($C222,MERCADO!$A:$A,0)),
IF($B222="COMP",INDEX(COMPOSICAO!$G:$G,MATCH($C222,COMPOSICAO!$A:$A,0)),
""))))))),"")</f>
        <v>und.</v>
      </c>
      <c r="F222" s="208">
        <f>VLOOKUP(A222,'MEMÓRIA DE CÁLCULO'!A:H,8,0)</f>
        <v>1</v>
      </c>
      <c r="G222" s="202">
        <f>IFERROR(
IF($B222="DER-ES",INDEX('CDER-ES'!$D:$D,MATCH($C222,'CDER-ES'!$A:$A,0)),
IF($B222="SINAPI",INDEX(CSINAPI!$D:$D,MATCH($C222,CSINAPI!$A:$A,0)),
IF($B222="CESAN",INDEX(CCESAN!$D:$D,MATCH($C222,CCESAN!$A:$A,0)),
IF($B222="SCORIO",INDEX(CSCORIO!$B:$B,MATCH($C222,CSCORIO!#REF!,0)),
IF($B222="MERC",INDEX(MERCADO!$E:$E,MATCH($C222,MERCADO!$A:$A,0)),
IF($B222="COMP",INDEX(COMPOSICAO!$H:$H,MATCH($C222,COMPOSICAO!$A:$A,0)),
0)))))),0)</f>
        <v>284.65999999999997</v>
      </c>
      <c r="H222" s="202">
        <f>ROUND(G222*(1+$J$2),2)</f>
        <v>355.83</v>
      </c>
      <c r="I222" s="209">
        <f>ROUND($H222*F222,2)</f>
        <v>355.83</v>
      </c>
      <c r="J222" s="225">
        <f t="shared" si="190"/>
        <v>1.8844417706010031E-3</v>
      </c>
    </row>
    <row r="223" spans="1:10" ht="63.75">
      <c r="A223" s="204" t="s">
        <v>28649</v>
      </c>
      <c r="B223" s="205" t="s">
        <v>1020</v>
      </c>
      <c r="C223" s="206">
        <v>23</v>
      </c>
      <c r="D223" s="207" t="str">
        <f>IFERROR(PROPER(
IF($B223="DER-ES",INDEX('CDER-ES'!$B:$B,MATCH($C223,'CDER-ES'!$A:$A,0)),
IF($B223="SINAPI",INDEX(CSINAPI!$B:$B,MATCH($C223,CSINAPI!$A:$A,0)),
IF($B223="CESAN",INDEX(CCESAN!$B:$B,MATCH($C223,CCESAN!$A:$A,0)),
IF($B223="SCORIO",INDEX(CSCORIO!$B:$B,MATCH($C223,CSCORIO!$A:$A,0)),
IF($B223="MERC",INDEX(MERCADO!$B:$B,MATCH($C223,MERCADO!$A:$A,0)),
IF($B223="COMP",INDEX(COMPOSICAO!$B:$B,MATCH($C223,COMPOSICAO!$A:$A,0)),
""))))))),"*Verificar código*")</f>
        <v>Restauração Em Porta De Aço De Enrolar Em Chapa Contínua. Lixamento E Pintura Com Esmalte Sintético A Duas Demãos. Dimensão: 140 X 165 Cm - Conforme Projeto</v>
      </c>
      <c r="E223" s="200" t="str">
        <f>IFERROR(LOWER(
IF($B223="DER-ES",INDEX('CDER-ES'!$C:$C,MATCH($C223,'CDER-ES'!$A:$A,0)),
IF($B223="SINAPI",INDEX(CSINAPI!$C:$C,MATCH($C223,CSINAPI!$A:$A,0)),
IF($B223="CESAN",INDEX(CCESAN!$C:$C,MATCH($C223,CCESAN!$A:$A,0)),
IF($B223="SCORIO",INDEX(CSCORIO!$A:$A,MATCH($C223,CSCORIO!#REF!,0)),
IF($B223="MERC",INDEX(MERCADO!$D:$D,MATCH($C223,MERCADO!$A:$A,0)),
IF($B223="COMP",INDEX(COMPOSICAO!$G:$G,MATCH($C223,COMPOSICAO!$A:$A,0)),
""))))))),"")</f>
        <v>und.</v>
      </c>
      <c r="F223" s="208">
        <f>VLOOKUP(A223,'MEMÓRIA DE CÁLCULO'!A:H,8,0)</f>
        <v>4</v>
      </c>
      <c r="G223" s="202">
        <f>IFERROR(
IF($B223="DER-ES",INDEX('CDER-ES'!$D:$D,MATCH($C223,'CDER-ES'!$A:$A,0)),
IF($B223="SINAPI",INDEX(CSINAPI!$D:$D,MATCH($C223,CSINAPI!$A:$A,0)),
IF($B223="CESAN",INDEX(CCESAN!$D:$D,MATCH($C223,CCESAN!$A:$A,0)),
IF($B223="SCORIO",INDEX(CSCORIO!$B:$B,MATCH($C223,CSCORIO!#REF!,0)),
IF($B223="MERC",INDEX(MERCADO!$E:$E,MATCH($C223,MERCADO!$A:$A,0)),
IF($B223="COMP",INDEX(COMPOSICAO!$H:$H,MATCH($C223,COMPOSICAO!$A:$A,0)),
0)))))),0)</f>
        <v>297.61</v>
      </c>
      <c r="H223" s="202">
        <f>ROUND(G223*(1+$J$2),2)</f>
        <v>372.01</v>
      </c>
      <c r="I223" s="209">
        <f>ROUND($H223*F223,2)</f>
        <v>1488.04</v>
      </c>
      <c r="J223" s="225">
        <f t="shared" si="190"/>
        <v>7.8805180348062737E-3</v>
      </c>
    </row>
    <row r="224" spans="1:10" ht="63.75">
      <c r="A224" s="204" t="s">
        <v>28650</v>
      </c>
      <c r="B224" s="205" t="s">
        <v>1020</v>
      </c>
      <c r="C224" s="206">
        <v>24</v>
      </c>
      <c r="D224" s="207" t="str">
        <f>IFERROR(PROPER(
IF($B224="DER-ES",INDEX('CDER-ES'!$B:$B,MATCH($C224,'CDER-ES'!$A:$A,0)),
IF($B224="SINAPI",INDEX(CSINAPI!$B:$B,MATCH($C224,CSINAPI!$A:$A,0)),
IF($B224="CESAN",INDEX(CCESAN!$B:$B,MATCH($C224,CCESAN!$A:$A,0)),
IF($B224="SCORIO",INDEX(CSCORIO!$B:$B,MATCH($C224,CSCORIO!$A:$A,0)),
IF($B224="MERC",INDEX(MERCADO!$B:$B,MATCH($C224,MERCADO!$A:$A,0)),
IF($B224="COMP",INDEX(COMPOSICAO!$B:$B,MATCH($C224,COMPOSICAO!$A:$A,0)),
""))))))),"*Verificar código*")</f>
        <v>Janela De Abrir, Em Vidro Temperado Incolor, E = 10 Mm, Trecho Superior Fixo Encaixado Em Perfil De Alumínio Tipo U, Inclusive Acessórios. Dimensão 140 X 205 Cm - Conforme Projeto</v>
      </c>
      <c r="E224" s="200" t="str">
        <f>IFERROR(LOWER(
IF($B224="DER-ES",INDEX('CDER-ES'!$C:$C,MATCH($C224,'CDER-ES'!$A:$A,0)),
IF($B224="SINAPI",INDEX(CSINAPI!$C:$C,MATCH($C224,CSINAPI!$A:$A,0)),
IF($B224="CESAN",INDEX(CCESAN!$C:$C,MATCH($C224,CCESAN!$A:$A,0)),
IF($B224="SCORIO",INDEX(CSCORIO!$C:$C,MATCH($C224,CSCORIO!$A:$A,0)),
IF($B224="MERC",INDEX(MERCADO!$D:$D,MATCH($C224,MERCADO!$A:$A,0)),
IF($B224="COMP",INDEX(COMPOSICAO!$G:$G,MATCH($C224,COMPOSICAO!$A:$A,0)),
""))))))),"")</f>
        <v>und.</v>
      </c>
      <c r="F224" s="208">
        <f>VLOOKUP(A224,'MEMÓRIA DE CÁLCULO'!A:H,8,0)</f>
        <v>4</v>
      </c>
      <c r="G224" s="202">
        <f>IFERROR(
IF($B224="DER-ES",INDEX('CDER-ES'!$D:$D,MATCH($C224,'CDER-ES'!$A:$A,0)),
IF($B224="SINAPI",INDEX(CSINAPI!$D:$D,MATCH($C224,CSINAPI!$A:$A,0)),
IF($B224="CESAN",INDEX(CCESAN!$D:$D,MATCH($C224,CCESAN!$A:$A,0)),
IF($B224="SCORIO",INDEX(CSCORIO!$D:$D,MATCH($C224,CSCORIO!$A:$A,0)),
IF($B224="MERC",INDEX(MERCADO!$E:$E,MATCH($C224,MERCADO!$A:$A,0)),
IF($B224="COMP",INDEX(COMPOSICAO!$H:$H,MATCH($C224,COMPOSICAO!$A:$A,0)),
0)))))),0)</f>
        <v>2144.87</v>
      </c>
      <c r="H224" s="202">
        <f t="shared" ref="H224" si="191">ROUND(G224*(1+$J$2),2)</f>
        <v>2681.09</v>
      </c>
      <c r="I224" s="209">
        <f t="shared" ref="I224" si="192">ROUND($H224*F224,2)</f>
        <v>10724.36</v>
      </c>
      <c r="J224" s="225">
        <f t="shared" si="190"/>
        <v>5.6795188564658899E-2</v>
      </c>
    </row>
    <row r="225" spans="1:10" ht="140.25">
      <c r="A225" s="204" t="s">
        <v>28651</v>
      </c>
      <c r="B225" s="205" t="s">
        <v>1020</v>
      </c>
      <c r="C225" s="206">
        <v>25</v>
      </c>
      <c r="D225" s="207" t="str">
        <f>IFERROR(PROPER(
IF($B225="DER-ES",INDEX('CDER-ES'!$B:$B,MATCH($C225,'CDER-ES'!$A:$A,0)),
IF($B225="SINAPI",INDEX(CSINAPI!$B:$B,MATCH($C225,CSINAPI!$A:$A,0)),
IF($B225="CESAN",INDEX(CCESAN!$B:$B,MATCH($C225,CCESAN!$A:$A,0)),
IF($B225="SCORIO",INDEX(CSCORIO!$B:$B,MATCH($C225,CSCORIO!$A:$A,0)),
IF($B225="MERC",INDEX(MERCADO!$B:$B,MATCH($C225,MERCADO!$A:$A,0)),
IF($B225="COMP",INDEX(COMPOSICAO!$B:$B,MATCH($C225,COMPOSICAO!$A:$A,0)),
""))))))),"*Verificar código*")</f>
        <v>Janela De Abrir Pantográfica De Madeira, Em Macaraduba, Angelim Ou Equivalente Da Região, 03 Folhas, Tipo Veneziana + Vidro + Veneziana, Com Postigo Em Todas As Folhas, Inclusive Guarnição Com Marco De 7 X 3 Cm. Maxim-Ar Superior Em Madeira Com Vidro Liso Incolor, E = 4 Mm. Lixamento E Pintura Com Esmalte Sintético À Duas Demãos. Dimensões: 125 X 205 Cm - Conforme Projeto</v>
      </c>
      <c r="E225" s="200" t="str">
        <f>IFERROR(LOWER(
IF($B225="DER-ES",INDEX('CDER-ES'!$C:$C,MATCH($C225,'CDER-ES'!$A:$A,0)),
IF($B225="SINAPI",INDEX(CSINAPI!$C:$C,MATCH($C225,CSINAPI!$A:$A,0)),
IF($B225="CESAN",INDEX(CCESAN!$C:$C,MATCH($C225,CCESAN!$A:$A,0)),
IF($B225="SCORIO",INDEX(CSCORIO!$C:$C,MATCH($C225,CSCORIO!$A:$A,0)),
IF($B225="MERC",INDEX(MERCADO!$D:$D,MATCH($C225,MERCADO!$A:$A,0)),
IF($B225="COMP",INDEX(COMPOSICAO!$G:$G,MATCH($C225,COMPOSICAO!$A:$A,0)),
""))))))),"")</f>
        <v>und.</v>
      </c>
      <c r="F225" s="208">
        <f>VLOOKUP(A225,'MEMÓRIA DE CÁLCULO'!A:H,8,0)</f>
        <v>10</v>
      </c>
      <c r="G225" s="202">
        <f>IFERROR(
IF($B225="DER-ES",INDEX('CDER-ES'!$D:$D,MATCH($C225,'CDER-ES'!$A:$A,0)),
IF($B225="SINAPI",INDEX(CSINAPI!$D:$D,MATCH($C225,CSINAPI!$A:$A,0)),
IF($B225="CESAN",INDEX(CCESAN!$D:$D,MATCH($C225,CCESAN!$A:$A,0)),
IF($B225="SCORIO",INDEX(CSCORIO!$D:$D,MATCH($C225,CSCORIO!$A:$A,0)),
IF($B225="MERC",INDEX(MERCADO!$E:$E,MATCH($C225,MERCADO!$A:$A,0)),
IF($B225="COMP",INDEX(COMPOSICAO!$H:$H,MATCH($C225,COMPOSICAO!$A:$A,0)),
0)))))),0)</f>
        <v>2677.8</v>
      </c>
      <c r="H225" s="202">
        <f t="shared" ref="H225" si="193">ROUND(G225*(1+$J$2),2)</f>
        <v>3347.25</v>
      </c>
      <c r="I225" s="209">
        <f t="shared" ref="I225" si="194">ROUND($H225*F225,2)</f>
        <v>33472.5</v>
      </c>
      <c r="J225" s="225">
        <f t="shared" si="190"/>
        <v>0.17726717018363286</v>
      </c>
    </row>
    <row r="226" spans="1:10" ht="51">
      <c r="A226" s="204" t="s">
        <v>28652</v>
      </c>
      <c r="B226" s="205" t="s">
        <v>1019</v>
      </c>
      <c r="C226" s="206">
        <v>91341</v>
      </c>
      <c r="D226" s="207" t="str">
        <f>IFERROR(PROPER(
IF($B226="DER-ES",INDEX('CDER-ES'!$B:$B,MATCH($C226,'CDER-ES'!$A:$A,0)),
IF($B226="SINAPI",INDEX(CSINAPI!$B:$B,MATCH($C226,CSINAPI!$A:$A,0)),
IF($B226="CESAN",INDEX(CCESAN!$B:$B,MATCH($C226,CCESAN!$A:$A,0)),
IF($B226="SCORIO",INDEX(CSCORIO!$B:$B,MATCH($C226,CSCORIO!$A:$A,0)),
IF($B226="MERC",INDEX(MERCADO!$B:$B,MATCH($C226,MERCADO!$A:$A,0)),
IF($B226="COMP",INDEX(COMPOSICAO!$B:$B,MATCH($C226,COMPOSICAO!$A:$A,0)),
""))))))),"*Verificar código*")</f>
        <v>Porta Em Alumínio De Abrir Tipo Veneziana Com Guarnição, Fixação Com Parafusos - Fornecimento E Instalação. Af_12/2019</v>
      </c>
      <c r="E226" s="200" t="str">
        <f>IFERROR(LOWER(
IF($B226="DER-ES",INDEX('CDER-ES'!$C:$C,MATCH($C226,'CDER-ES'!$A:$A,0)),
IF($B226="SINAPI",INDEX(CSINAPI!$C:$C,MATCH($C226,CSINAPI!$A:$A,0)),
IF($B226="CESAN",INDEX(CCESAN!$C:$C,MATCH($C226,CCESAN!$A:$A,0)),
IF($B226="SCORIO",INDEX(CSCORIO!$A:$A,MATCH($C226,CSCORIO!#REF!,0)),
IF($B226="MERC",INDEX(MERCADO!$D:$D,MATCH($C226,MERCADO!$A:$A,0)),
IF($B226="COMP",INDEX(COMPOSICAO!$G:$G,MATCH($C226,COMPOSICAO!$A:$A,0)),
""))))))),"")</f>
        <v>m²</v>
      </c>
      <c r="F226" s="208">
        <f>VLOOKUP(A226,'MEMÓRIA DE CÁLCULO'!A:H,8,0)</f>
        <v>14.82</v>
      </c>
      <c r="G226" s="202">
        <f>IFERROR(
IF($B226="DER-ES",INDEX('CDER-ES'!$D:$D,MATCH($C226,'CDER-ES'!$A:$A,0)),
IF($B226="SINAPI",INDEX(CSINAPI!$D:$D,MATCH($C226,CSINAPI!$A:$A,0)),
IF($B226="CESAN",INDEX(CCESAN!$D:$D,MATCH($C226,CCESAN!$A:$A,0)),
IF($B226="SCORIO",INDEX(CSCORIO!$B:$B,MATCH($C226,CSCORIO!#REF!,0)),
IF($B226="MERC",INDEX(MERCADO!$E:$E,MATCH($C226,MERCADO!$A:$A,0)),
IF($B226="COMP",INDEX(COMPOSICAO!$H:$H,MATCH($C226,COMPOSICAO!$A:$A,0)),
0)))))),0)</f>
        <v>818.26</v>
      </c>
      <c r="H226" s="202">
        <f>ROUND(G226*(1+$J$2),2)</f>
        <v>1022.83</v>
      </c>
      <c r="I226" s="209">
        <f>ROUND($H226*F226,2)</f>
        <v>15158.34</v>
      </c>
      <c r="J226" s="225">
        <f t="shared" si="190"/>
        <v>8.027712410131807E-2</v>
      </c>
    </row>
    <row r="227" spans="1:10" ht="102">
      <c r="A227" s="204" t="s">
        <v>28653</v>
      </c>
      <c r="B227" s="205" t="s">
        <v>1020</v>
      </c>
      <c r="C227" s="206">
        <v>26</v>
      </c>
      <c r="D227" s="207" t="str">
        <f>IFERROR(PROPER(
IF($B227="DER-ES",INDEX('CDER-ES'!$B:$B,MATCH($C227,'CDER-ES'!$A:$A,0)),
IF($B227="SINAPI",INDEX(CSINAPI!$B:$B,MATCH($C227,CSINAPI!$A:$A,0)),
IF($B227="CESAN",INDEX(CCESAN!$B:$B,MATCH($C227,CCESAN!$A:$A,0)),
IF($B227="SCORIO",INDEX(CSCORIO!$B:$B,MATCH($C227,CSCORIO!$A:$A,0)),
IF($B227="MERC",INDEX(MERCADO!$B:$B,MATCH($C227,MERCADO!$A:$A,0)),
IF($B227="COMP",INDEX(COMPOSICAO!$B:$B,MATCH($C227,COMPOSICAO!$A:$A,0)),
""))))))),"*Verificar código*")</f>
        <v>Porta De Abrir Com Almofadas, 01 Folha, De Madeira Maciça Em Macaranduba, Angelim Ou Equivalente Da Região. Incluso Dobradiças, Marco, Alizar E Fechadura. Lixamento E Pintura Com Esmalte Sintético À Duas Demãos. Dimensão: 80 X 210 Cm - Conforme Projeto</v>
      </c>
      <c r="E227" s="200" t="str">
        <f>IFERROR(LOWER(
IF($B227="DER-ES",INDEX('CDER-ES'!$C:$C,MATCH($C227,'CDER-ES'!$A:$A,0)),
IF($B227="SINAPI",INDEX(CSINAPI!$C:$C,MATCH($C227,CSINAPI!$A:$A,0)),
IF($B227="CESAN",INDEX(CCESAN!$C:$C,MATCH($C227,CCESAN!$A:$A,0)),
IF($B227="SCORIO",INDEX(CSCORIO!$A:$A,MATCH($C227,CSCORIO!#REF!,0)),
IF($B227="MERC",INDEX(MERCADO!$D:$D,MATCH($C227,MERCADO!$A:$A,0)),
IF($B227="COMP",INDEX(COMPOSICAO!$G:$G,MATCH($C227,COMPOSICAO!$A:$A,0)),
""))))))),"")</f>
        <v>und.</v>
      </c>
      <c r="F227" s="208">
        <f>VLOOKUP(A227,'MEMÓRIA DE CÁLCULO'!A:H,8,0)</f>
        <v>10</v>
      </c>
      <c r="G227" s="202">
        <f>IFERROR(
IF($B227="DER-ES",INDEX('CDER-ES'!$D:$D,MATCH($C227,'CDER-ES'!$A:$A,0)),
IF($B227="SINAPI",INDEX(CSINAPI!$D:$D,MATCH($C227,CSINAPI!$A:$A,0)),
IF($B227="CESAN",INDEX(CCESAN!$D:$D,MATCH($C227,CCESAN!$A:$A,0)),
IF($B227="SCORIO",INDEX(CSCORIO!$B:$B,MATCH($C227,CSCORIO!#REF!,0)),
IF($B227="MERC",INDEX(MERCADO!$E:$E,MATCH($C227,MERCADO!$A:$A,0)),
IF($B227="COMP",INDEX(COMPOSICAO!$H:$H,MATCH($C227,COMPOSICAO!$A:$A,0)),
0)))))),0)</f>
        <v>2044.8499999999995</v>
      </c>
      <c r="H227" s="202">
        <f>ROUND(G227*(1+$J$2),2)</f>
        <v>2556.06</v>
      </c>
      <c r="I227" s="209">
        <f>ROUND($H227*F227,2)</f>
        <v>25560.6</v>
      </c>
      <c r="J227" s="225">
        <f t="shared" si="190"/>
        <v>0.13536650176102072</v>
      </c>
    </row>
    <row r="228" spans="1:10" ht="127.5">
      <c r="A228" s="204" t="s">
        <v>28654</v>
      </c>
      <c r="B228" s="205" t="s">
        <v>1020</v>
      </c>
      <c r="C228" s="206">
        <v>27</v>
      </c>
      <c r="D228" s="207" t="str">
        <f>IFERROR(PROPER(
IF($B228="DER-ES",INDEX('CDER-ES'!$B:$B,MATCH($C228,'CDER-ES'!$A:$A,0)),
IF($B228="SINAPI",INDEX(CSINAPI!$B:$B,MATCH($C228,CSINAPI!$A:$A,0)),
IF($B228="CESAN",INDEX(CCESAN!$B:$B,MATCH($C228,CCESAN!$A:$A,0)),
IF($B228="SCORIO",INDEX(CSCORIO!$B:$B,MATCH($C228,CSCORIO!$A:$A,0)),
IF($B228="MERC",INDEX(MERCADO!$B:$B,MATCH($C228,MERCADO!$A:$A,0)),
IF($B228="COMP",INDEX(COMPOSICAO!$B:$B,MATCH($C228,COMPOSICAO!$A:$A,0)),
""))))))),"*Verificar código*")</f>
        <v>Porta De Abrir Com Almofadas, 02 Folhas, De Madeira Maciça Em Macaranduba, Angelim Ou Equivalente Da Região, Com Almofadas. Maxim-Ar Superior Em Madeira Com Vidro Liso Incolor, E = 4 Mm. Incluso Dobradiças, Marco, Alizar, Fechadura E Ferrolhos. Lixamento E Pintura Com Esmalte Sintético À Duas Demãos. Dimensão: 100 X 305 Cm - Conforme Projeto</v>
      </c>
      <c r="E228" s="200" t="str">
        <f>IFERROR(LOWER(
IF($B228="DER-ES",INDEX('CDER-ES'!$C:$C,MATCH($C228,'CDER-ES'!$A:$A,0)),
IF($B228="SINAPI",INDEX(CSINAPI!$C:$C,MATCH($C228,CSINAPI!$A:$A,0)),
IF($B228="CESAN",INDEX(CCESAN!$C:$C,MATCH($C228,CCESAN!$A:$A,0)),
IF($B228="SCORIO",INDEX(CSCORIO!$A:$A,MATCH($C228,CSCORIO!#REF!,0)),
IF($B228="MERC",INDEX(MERCADO!$D:$D,MATCH($C228,MERCADO!$A:$A,0)),
IF($B228="COMP",INDEX(COMPOSICAO!$G:$G,MATCH($C228,COMPOSICAO!$A:$A,0)),
""))))))),"")</f>
        <v>und.</v>
      </c>
      <c r="F228" s="208">
        <f>VLOOKUP(A228,'MEMÓRIA DE CÁLCULO'!A:H,8,0)</f>
        <v>1</v>
      </c>
      <c r="G228" s="202">
        <f>IFERROR(
IF($B228="DER-ES",INDEX('CDER-ES'!$D:$D,MATCH($C228,'CDER-ES'!$A:$A,0)),
IF($B228="SINAPI",INDEX(CSINAPI!$D:$D,MATCH($C228,CSINAPI!$A:$A,0)),
IF($B228="CESAN",INDEX(CCESAN!$D:$D,MATCH($C228,CCESAN!$A:$A,0)),
IF($B228="SCORIO",INDEX(CSCORIO!$B:$B,MATCH($C228,CSCORIO!#REF!,0)),
IF($B228="MERC",INDEX(MERCADO!$E:$E,MATCH($C228,MERCADO!$A:$A,0)),
IF($B228="COMP",INDEX(COMPOSICAO!$H:$H,MATCH($C228,COMPOSICAO!$A:$A,0)),
0)))))),0)</f>
        <v>3354.74</v>
      </c>
      <c r="H228" s="202">
        <f>ROUND(G228*(1+$J$2),2)</f>
        <v>4193.43</v>
      </c>
      <c r="I228" s="209">
        <f>ROUND($H228*F228,2)</f>
        <v>4193.43</v>
      </c>
      <c r="J228" s="225">
        <f t="shared" si="190"/>
        <v>2.2208005660262948E-2</v>
      </c>
    </row>
    <row r="229" spans="1:10" ht="165.75">
      <c r="A229" s="204" t="s">
        <v>28655</v>
      </c>
      <c r="B229" s="205" t="s">
        <v>1020</v>
      </c>
      <c r="C229" s="206">
        <v>28</v>
      </c>
      <c r="D229" s="207" t="str">
        <f>IFERROR(PROPER(
IF($B229="DER-ES",INDEX('CDER-ES'!$B:$B,MATCH($C229,'CDER-ES'!$A:$A,0)),
IF($B229="SINAPI",INDEX(CSINAPI!$B:$B,MATCH($C229,CSINAPI!$A:$A,0)),
IF($B229="CESAN",INDEX(CCESAN!$B:$B,MATCH($C229,CCESAN!$A:$A,0)),
IF($B229="SCORIO",INDEX(CSCORIO!$B:$B,MATCH($C229,CSCORIO!$A:$A,0)),
IF($B229="MERC",INDEX(MERCADO!$B:$B,MATCH($C229,MERCADO!$A:$A,0)),
IF($B229="COMP",INDEX(COMPOSICAO!$B:$B,MATCH($C229,COMPOSICAO!$A:$A,0)),
""))))))),"*Verificar código*")</f>
        <v>Porta De Abrir Pantográfica, 04 Folhas, De Madeira Maciça Em Macaranduba, Angelim Ou Equivalente Da Região, Tipo Veneziana + Vidro + Almofadas Maciça Na Parte Inferior, Postigo Nos Trechos Com Veneziana E Vidro. Maxim-Ar Superior Em Madeira Com Vidro Liso Incolor, E = 4 Mm. Incluso Dobradiças, Marco, Alizar, Fechadura E Ferrolhos. Lixamento E Pintura Com Esmalte Sintético À Duas Demãos. Dimensão: 140 X 305 Cm - Conforme Projeto</v>
      </c>
      <c r="E229" s="200" t="str">
        <f>IFERROR(LOWER(
IF($B229="DER-ES",INDEX('CDER-ES'!$C:$C,MATCH($C229,'CDER-ES'!$A:$A,0)),
IF($B229="SINAPI",INDEX(CSINAPI!$C:$C,MATCH($C229,CSINAPI!$A:$A,0)),
IF($B229="CESAN",INDEX(CCESAN!$C:$C,MATCH($C229,CCESAN!$A:$A,0)),
IF($B229="SCORIO",INDEX(CSCORIO!$A:$A,MATCH($C229,CSCORIO!#REF!,0)),
IF($B229="MERC",INDEX(MERCADO!$D:$D,MATCH($C229,MERCADO!$A:$A,0)),
IF($B229="COMP",INDEX(COMPOSICAO!$G:$G,MATCH($C229,COMPOSICAO!$A:$A,0)),
""))))))),"")</f>
        <v>und.</v>
      </c>
      <c r="F229" s="208">
        <f>VLOOKUP(A229,'MEMÓRIA DE CÁLCULO'!A:H,8,0)</f>
        <v>3</v>
      </c>
      <c r="G229" s="202">
        <f>IFERROR(
IF($B229="DER-ES",INDEX('CDER-ES'!$D:$D,MATCH($C229,'CDER-ES'!$A:$A,0)),
IF($B229="SINAPI",INDEX(CSINAPI!$D:$D,MATCH($C229,CSINAPI!$A:$A,0)),
IF($B229="CESAN",INDEX(CCESAN!$D:$D,MATCH($C229,CCESAN!$A:$A,0)),
IF($B229="SCORIO",INDEX(CSCORIO!$B:$B,MATCH($C229,CSCORIO!#REF!,0)),
IF($B229="MERC",INDEX(MERCADO!$E:$E,MATCH($C229,MERCADO!$A:$A,0)),
IF($B229="COMP",INDEX(COMPOSICAO!$H:$H,MATCH($C229,COMPOSICAO!$A:$A,0)),
0)))))),0)</f>
        <v>6024.4299999999994</v>
      </c>
      <c r="H229" s="202">
        <f>ROUND(G229*(1+$J$2),2)</f>
        <v>7530.54</v>
      </c>
      <c r="I229" s="209">
        <f>ROUND($H229*F229,2)</f>
        <v>22591.62</v>
      </c>
      <c r="J229" s="225">
        <f t="shared" si="190"/>
        <v>0.1196430666148021</v>
      </c>
    </row>
    <row r="230" spans="1:10" ht="127.5">
      <c r="A230" s="204" t="s">
        <v>28656</v>
      </c>
      <c r="B230" s="205" t="s">
        <v>1020</v>
      </c>
      <c r="C230" s="206">
        <v>29</v>
      </c>
      <c r="D230" s="207" t="str">
        <f>IFERROR(PROPER(
IF($B230="DER-ES",INDEX('CDER-ES'!$B:$B,MATCH($C230,'CDER-ES'!$A:$A,0)),
IF($B230="SINAPI",INDEX(CSINAPI!$B:$B,MATCH($C230,CSINAPI!$A:$A,0)),
IF($B230="CESAN",INDEX(CCESAN!$B:$B,MATCH($C230,CCESAN!$A:$A,0)),
IF($B230="SCORIO",INDEX(CSCORIO!$B:$B,MATCH($C230,CSCORIO!$A:$A,0)),
IF($B230="MERC",INDEX(MERCADO!$B:$B,MATCH($C230,MERCADO!$A:$A,0)),
IF($B230="COMP",INDEX(COMPOSICAO!$B:$B,MATCH($C230,COMPOSICAO!$A:$A,0)),
""))))))),"*Verificar código*")</f>
        <v>Porta De Abrir Com Almofadas, 02 Folhas, De Madeira Maciça Em Macaranduba, Angelim Ou Equivalente Da Região. Maxim-Ar Superior Em Madeira Com Vidro Liso Incolor, E = 4 Mm. Incluso Dobradiças, Marco, Alizar, Fechadura E Ferrolhos. Lixamento E Pintura Com Esmalte Sintético À Duas Demãos. Dimensão: 170 X 300 Cm - Conforme Projeto</v>
      </c>
      <c r="E230" s="200" t="str">
        <f>IFERROR(LOWER(
IF($B230="DER-ES",INDEX('CDER-ES'!$C:$C,MATCH($C230,'CDER-ES'!$A:$A,0)),
IF($B230="SINAPI",INDEX(CSINAPI!$C:$C,MATCH($C230,CSINAPI!$A:$A,0)),
IF($B230="CESAN",INDEX(CCESAN!$C:$C,MATCH($C230,CCESAN!$A:$A,0)),
IF($B230="SCORIO",INDEX(CSCORIO!$A:$A,MATCH($C230,CSCORIO!#REF!,0)),
IF($B230="MERC",INDEX(MERCADO!$D:$D,MATCH($C230,MERCADO!$A:$A,0)),
IF($B230="COMP",INDEX(COMPOSICAO!$G:$G,MATCH($C230,COMPOSICAO!$A:$A,0)),
""))))))),"")</f>
        <v>und.</v>
      </c>
      <c r="F230" s="208">
        <f>VLOOKUP(A230,'MEMÓRIA DE CÁLCULO'!A:H,8,0)</f>
        <v>1</v>
      </c>
      <c r="G230" s="202">
        <f>IFERROR(
IF($B230="DER-ES",INDEX('CDER-ES'!$D:$D,MATCH($C230,'CDER-ES'!$A:$A,0)),
IF($B230="SINAPI",INDEX(CSINAPI!$D:$D,MATCH($C230,CSINAPI!$A:$A,0)),
IF($B230="CESAN",INDEX(CCESAN!$D:$D,MATCH($C230,CCESAN!$A:$A,0)),
IF($B230="SCORIO",INDEX(CSCORIO!$B:$B,MATCH($C230,CSCORIO!#REF!,0)),
IF($B230="MERC",INDEX(MERCADO!$E:$E,MATCH($C230,MERCADO!$A:$A,0)),
IF($B230="COMP",INDEX(COMPOSICAO!$H:$H,MATCH($C230,COMPOSICAO!$A:$A,0)),
0)))))),0)</f>
        <v>5130.880000000001</v>
      </c>
      <c r="H230" s="202">
        <f>ROUND(G230*(1+$J$2),2)</f>
        <v>6413.6</v>
      </c>
      <c r="I230" s="209">
        <f>ROUND($H230*F230,2)</f>
        <v>6413.6</v>
      </c>
      <c r="J230" s="225">
        <f t="shared" si="190"/>
        <v>3.3965814405549265E-2</v>
      </c>
    </row>
    <row r="231" spans="1:10" ht="114.75">
      <c r="A231" s="204" t="s">
        <v>28657</v>
      </c>
      <c r="B231" s="205" t="s">
        <v>1020</v>
      </c>
      <c r="C231" s="206">
        <v>30</v>
      </c>
      <c r="D231" s="207" t="str">
        <f>IFERROR(PROPER(
IF($B231="DER-ES",INDEX('CDER-ES'!$B:$B,MATCH($C231,'CDER-ES'!$A:$A,0)),
IF($B231="SINAPI",INDEX(CSINAPI!$B:$B,MATCH($C231,CSINAPI!$A:$A,0)),
IF($B231="CESAN",INDEX(CCESAN!$B:$B,MATCH($C231,CCESAN!$A:$A,0)),
IF($B231="SCORIO",INDEX(CSCORIO!$B:$B,MATCH($C231,CSCORIO!$A:$A,0)),
IF($B231="MERC",INDEX(MERCADO!$B:$B,MATCH($C231,MERCADO!$A:$A,0)),
IF($B231="COMP",INDEX(COMPOSICAO!$B:$B,MATCH($C231,COMPOSICAO!$A:$A,0)),
""))))))),"*Verificar código*")</f>
        <v>Elemento Decorativo (Gradil) Confeccionado Em Barras De Ferro Chato, Estrutura Principal Em Barra Chata 25,4 Mm X 6,35 Mm E Estrutura Secundária Em Barra Chata 12,7 Mm X 6,35 Mm. Dimensão: 140 X 60 Cm. Inclui Lixamento E Pintura Com Esmalte Sintético E Instalação. Conforme Projeto.</v>
      </c>
      <c r="E231" s="200" t="str">
        <f>IFERROR(LOWER(
IF($B231="DER-ES",INDEX('CDER-ES'!$C:$C,MATCH($C231,'CDER-ES'!$A:$A,0)),
IF($B231="SINAPI",INDEX(CSINAPI!$C:$C,MATCH($C231,CSINAPI!$A:$A,0)),
IF($B231="CESAN",INDEX(CCESAN!$C:$C,MATCH($C231,CCESAN!$A:$A,0)),
IF($B231="SCORIO",INDEX(CSCORIO!$C:$C,MATCH($C231,CSCORIO!$A:$A,0)),
IF($B231="MERC",INDEX(MERCADO!$D:$D,MATCH($C231,MERCADO!$A:$A,0)),
IF($B231="COMP",INDEX(COMPOSICAO!$G:$G,MATCH($C231,COMPOSICAO!$A:$A,0)),
""))))))),"")</f>
        <v>und.</v>
      </c>
      <c r="F231" s="208">
        <f>VLOOKUP(A231,'MEMÓRIA DE CÁLCULO'!A:H,8,0)</f>
        <v>1</v>
      </c>
      <c r="G231" s="202">
        <f>IFERROR(
IF($B231="DER-ES",INDEX('CDER-ES'!$D:$D,MATCH($C231,'CDER-ES'!$A:$A,0)),
IF($B231="SINAPI",INDEX(CSINAPI!$D:$D,MATCH($C231,CSINAPI!$A:$A,0)),
IF($B231="CESAN",INDEX(CCESAN!$D:$D,MATCH($C231,CCESAN!$A:$A,0)),
IF($B231="SCORIO",INDEX(CSCORIO!$D:$D,MATCH($C231,CSCORIO!$A:$A,0)),
IF($B231="MERC",INDEX(MERCADO!$E:$E,MATCH($C231,MERCADO!$A:$A,0)),
IF($B231="COMP",INDEX(COMPOSICAO!$H:$H,MATCH($C231,COMPOSICAO!$A:$A,0)),
0)))))),0)</f>
        <v>389.5</v>
      </c>
      <c r="H231" s="202">
        <f t="shared" ref="H231:H236" si="195">ROUND(G231*(1+$J$2),2)</f>
        <v>486.88</v>
      </c>
      <c r="I231" s="209">
        <f t="shared" ref="I231:I236" si="196">ROUND($H231*F231,2)</f>
        <v>486.88</v>
      </c>
      <c r="J231" s="225">
        <f t="shared" si="190"/>
        <v>2.5784700819779568E-3</v>
      </c>
    </row>
    <row r="232" spans="1:10" ht="51">
      <c r="A232" s="204" t="s">
        <v>28658</v>
      </c>
      <c r="B232" s="205" t="s">
        <v>1020</v>
      </c>
      <c r="C232" s="206">
        <v>31</v>
      </c>
      <c r="D232" s="207" t="str">
        <f>IFERROR(PROPER(
IF($B232="DER-ES",INDEX('CDER-ES'!$B:$B,MATCH($C232,'CDER-ES'!$A:$A,0)),
IF($B232="SINAPI",INDEX(CSINAPI!$B:$B,MATCH($C232,CSINAPI!$A:$A,0)),
IF($B232="CESAN",INDEX(CCESAN!$B:$B,MATCH($C232,CCESAN!$A:$A,0)),
IF($B232="SCORIO",INDEX(CSCORIO!$B:$B,MATCH($C232,CSCORIO!$A:$A,0)),
IF($B232="MERC",INDEX(MERCADO!$B:$B,MATCH($C232,MERCADO!$A:$A,0)),
IF($B232="COMP",INDEX(COMPOSICAO!$B:$B,MATCH($C232,COMPOSICAO!$A:$A,0)),
""))))))),"*Verificar código*")</f>
        <v>Porta De Enrolar Manual Completa, Articulada Raiada Larga, Em Aco Galvanizado Natural, Chapa Número 24, Inclusive Instalação</v>
      </c>
      <c r="E232" s="200" t="str">
        <f>IFERROR(LOWER(
IF($B232="DER-ES",INDEX('CDER-ES'!$C:$C,MATCH($C232,'CDER-ES'!$A:$A,0)),
IF($B232="SINAPI",INDEX(CSINAPI!$C:$C,MATCH($C232,CSINAPI!$A:$A,0)),
IF($B232="CESAN",INDEX(CCESAN!$C:$C,MATCH($C232,CCESAN!$A:$A,0)),
IF($B232="SCORIO",INDEX(CSCORIO!$C:$C,MATCH($C232,CSCORIO!$A:$A,0)),
IF($B232="MERC",INDEX(MERCADO!$D:$D,MATCH($C232,MERCADO!$A:$A,0)),
IF($B232="COMP",INDEX(COMPOSICAO!$G:$G,MATCH($C232,COMPOSICAO!$A:$A,0)),
""))))))),"")</f>
        <v>m²</v>
      </c>
      <c r="F232" s="208">
        <f>VLOOKUP(A232,'MEMÓRIA DE CÁLCULO'!A:H,8,0)</f>
        <v>20.399999999999999</v>
      </c>
      <c r="G232" s="202">
        <f>IFERROR(
IF($B232="DER-ES",INDEX('CDER-ES'!$D:$D,MATCH($C232,'CDER-ES'!$A:$A,0)),
IF($B232="SINAPI",INDEX(CSINAPI!$D:$D,MATCH($C232,CSINAPI!$A:$A,0)),
IF($B232="CESAN",INDEX(CCESAN!$D:$D,MATCH($C232,CCESAN!$A:$A,0)),
IF($B232="SCORIO",INDEX(CSCORIO!$D:$D,MATCH($C232,CSCORIO!$A:$A,0)),
IF($B232="MERC",INDEX(MERCADO!$E:$E,MATCH($C232,MERCADO!$A:$A,0)),
IF($B232="COMP",INDEX(COMPOSICAO!$H:$H,MATCH($C232,COMPOSICAO!$A:$A,0)),
0)))))),0)</f>
        <v>839.28000000000009</v>
      </c>
      <c r="H232" s="202">
        <f t="shared" si="195"/>
        <v>1049.0999999999999</v>
      </c>
      <c r="I232" s="209">
        <f t="shared" si="196"/>
        <v>21401.64</v>
      </c>
      <c r="J232" s="225">
        <f t="shared" si="190"/>
        <v>0.11334104593588301</v>
      </c>
    </row>
    <row r="233" spans="1:10" ht="76.5">
      <c r="A233" s="204" t="s">
        <v>28659</v>
      </c>
      <c r="B233" s="205" t="s">
        <v>1020</v>
      </c>
      <c r="C233" s="206">
        <v>32</v>
      </c>
      <c r="D233" s="207" t="str">
        <f>IFERROR(PROPER(
IF($B233="DER-ES",INDEX('CDER-ES'!$B:$B,MATCH($C233,'CDER-ES'!$A:$A,0)),
IF($B233="SINAPI",INDEX(CSINAPI!$B:$B,MATCH($C233,CSINAPI!$A:$A,0)),
IF($B233="CESAN",INDEX(CCESAN!$B:$B,MATCH($C233,CCESAN!$A:$A,0)),
IF($B233="SCORIO",INDEX(CSCORIO!$B:$B,MATCH($C233,CSCORIO!$A:$A,0)),
IF($B233="MERC",INDEX(MERCADO!$B:$B,MATCH($C233,MERCADO!$A:$A,0)),
IF($B233="COMP",INDEX(COMPOSICAO!$B:$B,MATCH($C233,COMPOSICAO!$A:$A,0)),
""))))))),"*Verificar código*")</f>
        <v>Porta De Abrir, 02 Folhas, Com Mola Hidráulica, Em Vidro Temperado Incolor, E = 10 Mm, Bandeira Superior Fixa Em Vidro Temperado Encaixado Em Perfil De Alumínio U, Inclusive Acessórios. Dimensão 190 X 300 Cm</v>
      </c>
      <c r="E233" s="200" t="str">
        <f>IFERROR(LOWER(
IF($B233="DER-ES",INDEX('CDER-ES'!$C:$C,MATCH($C233,'CDER-ES'!$A:$A,0)),
IF($B233="SINAPI",INDEX(CSINAPI!$C:$C,MATCH($C233,CSINAPI!$A:$A,0)),
IF($B233="CESAN",INDEX(CCESAN!$C:$C,MATCH($C233,CCESAN!$A:$A,0)),
IF($B233="SCORIO",INDEX(CSCORIO!$C:$C,MATCH($C233,CSCORIO!$A:$A,0)),
IF($B233="MERC",INDEX(MERCADO!$D:$D,MATCH($C233,MERCADO!$A:$A,0)),
IF($B233="COMP",INDEX(COMPOSICAO!$G:$G,MATCH($C233,COMPOSICAO!$A:$A,0)),
""))))))),"")</f>
        <v>und.</v>
      </c>
      <c r="F233" s="208">
        <f>VLOOKUP(A233,'MEMÓRIA DE CÁLCULO'!A:H,8,0)</f>
        <v>1</v>
      </c>
      <c r="G233" s="202">
        <f>IFERROR(
IF($B233="DER-ES",INDEX('CDER-ES'!$D:$D,MATCH($C233,'CDER-ES'!$A:$A,0)),
IF($B233="SINAPI",INDEX(CSINAPI!$D:$D,MATCH($C233,CSINAPI!$A:$A,0)),
IF($B233="CESAN",INDEX(CCESAN!$D:$D,MATCH($C233,CCESAN!$A:$A,0)),
IF($B233="SCORIO",INDEX(CSCORIO!$D:$D,MATCH($C233,CSCORIO!$A:$A,0)),
IF($B233="MERC",INDEX(MERCADO!$E:$E,MATCH($C233,MERCADO!$A:$A,0)),
IF($B233="COMP",INDEX(COMPOSICAO!$H:$H,MATCH($C233,COMPOSICAO!$A:$A,0)),
0)))))),0)</f>
        <v>5088.9599999999991</v>
      </c>
      <c r="H233" s="202">
        <f t="shared" ref="H233" si="197">ROUND(G233*(1+$J$2),2)</f>
        <v>6361.2</v>
      </c>
      <c r="I233" s="209">
        <f t="shared" ref="I233" si="198">ROUND($H233*F233,2)</f>
        <v>6361.2</v>
      </c>
      <c r="J233" s="225">
        <f t="shared" si="190"/>
        <v>3.3688308999092545E-2</v>
      </c>
    </row>
    <row r="234" spans="1:10" ht="76.5">
      <c r="A234" s="204" t="s">
        <v>28660</v>
      </c>
      <c r="B234" s="205" t="s">
        <v>1020</v>
      </c>
      <c r="C234" s="206">
        <v>33</v>
      </c>
      <c r="D234" s="207" t="str">
        <f>IFERROR(PROPER(
IF($B234="DER-ES",INDEX('CDER-ES'!$B:$B,MATCH($C234,'CDER-ES'!$A:$A,0)),
IF($B234="SINAPI",INDEX(CSINAPI!$B:$B,MATCH($C234,CSINAPI!$A:$A,0)),
IF($B234="CESAN",INDEX(CCESAN!$B:$B,MATCH($C234,CCESAN!$A:$A,0)),
IF($B234="SCORIO",INDEX(CSCORIO!$B:$B,MATCH($C234,CSCORIO!$A:$A,0)),
IF($B234="MERC",INDEX(MERCADO!$B:$B,MATCH($C234,MERCADO!$A:$A,0)),
IF($B234="COMP",INDEX(COMPOSICAO!$B:$B,MATCH($C234,COMPOSICAO!$A:$A,0)),
""))))))),"*Verificar código*")</f>
        <v>Porta De Abrir, 02 Folhas, Com Mola Hidráulica, Em Vidro Temperado Incolor, E = 10 Mm, Bandeira Fixa Superior Em Vidro Temperado Encaixado Em Perfil De Alumínio U, Inclusive Acessórios. Dimensão 220 X 300 Cm</v>
      </c>
      <c r="E234" s="200" t="str">
        <f>IFERROR(LOWER(
IF($B234="DER-ES",INDEX('CDER-ES'!$C:$C,MATCH($C234,'CDER-ES'!$A:$A,0)),
IF($B234="SINAPI",INDEX(CSINAPI!$C:$C,MATCH($C234,CSINAPI!$A:$A,0)),
IF($B234="CESAN",INDEX(CCESAN!$C:$C,MATCH($C234,CCESAN!$A:$A,0)),
IF($B234="SCORIO",INDEX(CSCORIO!$C:$C,MATCH($C234,CSCORIO!$A:$A,0)),
IF($B234="MERC",INDEX(MERCADO!$D:$D,MATCH($C234,MERCADO!$A:$A,0)),
IF($B234="COMP",INDEX(COMPOSICAO!$G:$G,MATCH($C234,COMPOSICAO!$A:$A,0)),
""))))))),"")</f>
        <v>und.</v>
      </c>
      <c r="F234" s="208">
        <f>VLOOKUP(A234,'MEMÓRIA DE CÁLCULO'!A:H,8,0)</f>
        <v>2</v>
      </c>
      <c r="G234" s="202">
        <f>IFERROR(
IF($B234="DER-ES",INDEX('CDER-ES'!$D:$D,MATCH($C234,'CDER-ES'!$A:$A,0)),
IF($B234="SINAPI",INDEX(CSINAPI!$D:$D,MATCH($C234,CSINAPI!$A:$A,0)),
IF($B234="CESAN",INDEX(CCESAN!$D:$D,MATCH($C234,CCESAN!$A:$A,0)),
IF($B234="SCORIO",INDEX(CSCORIO!$D:$D,MATCH($C234,CSCORIO!$A:$A,0)),
IF($B234="MERC",INDEX(MERCADO!$E:$E,MATCH($C234,MERCADO!$A:$A,0)),
IF($B234="COMP",INDEX(COMPOSICAO!$H:$H,MATCH($C234,COMPOSICAO!$A:$A,0)),
0)))))),0)</f>
        <v>5592.01</v>
      </c>
      <c r="H234" s="202">
        <f t="shared" si="195"/>
        <v>6990.01</v>
      </c>
      <c r="I234" s="209">
        <f t="shared" si="196"/>
        <v>13980.02</v>
      </c>
      <c r="J234" s="225">
        <f t="shared" si="190"/>
        <v>7.4036853671240299E-2</v>
      </c>
    </row>
    <row r="235" spans="1:10" ht="76.5">
      <c r="A235" s="204" t="s">
        <v>28661</v>
      </c>
      <c r="B235" s="205" t="s">
        <v>1020</v>
      </c>
      <c r="C235" s="206">
        <v>34</v>
      </c>
      <c r="D235" s="207" t="str">
        <f>IFERROR(PROPER(
IF($B235="DER-ES",INDEX('CDER-ES'!$B:$B,MATCH($C235,'CDER-ES'!$A:$A,0)),
IF($B235="SINAPI",INDEX(CSINAPI!$B:$B,MATCH($C235,CSINAPI!$A:$A,0)),
IF($B235="CESAN",INDEX(CCESAN!$B:$B,MATCH($C235,CCESAN!$A:$A,0)),
IF($B235="SCORIO",INDEX(CSCORIO!$B:$B,MATCH($C235,CSCORIO!$A:$A,0)),
IF($B235="MERC",INDEX(MERCADO!$B:$B,MATCH($C235,MERCADO!$A:$A,0)),
IF($B235="COMP",INDEX(COMPOSICAO!$B:$B,MATCH($C235,COMPOSICAO!$A:$A,0)),
""))))))),"*Verificar código*")</f>
        <v>Porta De Abrir, 02 Folhas, Com Mola Hidráulica, Em Vidro Temperado Incolor, E = 10 Mm, Bandeira Fixa Superior Em Vidro Temperado Encaixado Em Perfil De Alumínio U, Inclusive Acessórios. Dimensão 250 X 300 Cm</v>
      </c>
      <c r="E235" s="200" t="str">
        <f>IFERROR(LOWER(
IF($B235="DER-ES",INDEX('CDER-ES'!$C:$C,MATCH($C235,'CDER-ES'!$A:$A,0)),
IF($B235="SINAPI",INDEX(CSINAPI!$C:$C,MATCH($C235,CSINAPI!$A:$A,0)),
IF($B235="CESAN",INDEX(CCESAN!$C:$C,MATCH($C235,CCESAN!$A:$A,0)),
IF($B235="SCORIO",INDEX(CSCORIO!$C:$C,MATCH($C235,CSCORIO!$A:$A,0)),
IF($B235="MERC",INDEX(MERCADO!$D:$D,MATCH($C235,MERCADO!$A:$A,0)),
IF($B235="COMP",INDEX(COMPOSICAO!$G:$G,MATCH($C235,COMPOSICAO!$A:$A,0)),
""))))))),"")</f>
        <v>und.</v>
      </c>
      <c r="F235" s="208">
        <f>VLOOKUP(A235,'MEMÓRIA DE CÁLCULO'!A:H,8,0)</f>
        <v>1</v>
      </c>
      <c r="G235" s="202">
        <f>IFERROR(
IF($B235="DER-ES",INDEX('CDER-ES'!$D:$D,MATCH($C235,'CDER-ES'!$A:$A,0)),
IF($B235="SINAPI",INDEX(CSINAPI!$D:$D,MATCH($C235,CSINAPI!$A:$A,0)),
IF($B235="CESAN",INDEX(CCESAN!$D:$D,MATCH($C235,CCESAN!$A:$A,0)),
IF($B235="SCORIO",INDEX(CSCORIO!$D:$D,MATCH($C235,CSCORIO!$A:$A,0)),
IF($B235="MERC",INDEX(MERCADO!$E:$E,MATCH($C235,MERCADO!$A:$A,0)),
IF($B235="COMP",INDEX(COMPOSICAO!$H:$H,MATCH($C235,COMPOSICAO!$A:$A,0)),
0)))))),0)</f>
        <v>6095.08</v>
      </c>
      <c r="H235" s="202">
        <f t="shared" si="195"/>
        <v>7618.85</v>
      </c>
      <c r="I235" s="209">
        <f t="shared" si="196"/>
        <v>7618.85</v>
      </c>
      <c r="J235" s="225">
        <f t="shared" si="190"/>
        <v>4.0348703549288857E-2</v>
      </c>
    </row>
    <row r="236" spans="1:10" ht="89.25">
      <c r="A236" s="204" t="s">
        <v>28699</v>
      </c>
      <c r="B236" s="205" t="s">
        <v>1019</v>
      </c>
      <c r="C236" s="206">
        <v>99839</v>
      </c>
      <c r="D236" s="207" t="str">
        <f>IFERROR(PROPER(
IF($B236="DER-ES",INDEX('CDER-ES'!$B:$B,MATCH($C236,'CDER-ES'!$A:$A,0)),
IF($B236="SINAPI",INDEX(CSINAPI!$B:$B,MATCH($C236,CSINAPI!$A:$A,0)),
IF($B236="CESAN",INDEX(CCESAN!$B:$B,MATCH($C236,CCESAN!$A:$A,0)),
IF($B236="SCORIO",INDEX(CSCORIO!$B:$B,MATCH($C236,CSCORIO!$A:$A,0)),
IF($B236="MERC",INDEX(MERCADO!$B:$B,MATCH($C236,MERCADO!$A:$A,0)),
IF($B236="COMP",INDEX(COMPOSICAO!$B:$B,MATCH($C236,COMPOSICAO!$A:$A,0)),
""))))))),"*Verificar código*")</f>
        <v>Guarda-Corpo De Aço Galvanizado De 1,10M De Altura, Montantes Tubulares De 1.1/2 Espaçados De 1,20M, Travessa Superior De 2, Gradil Formado Por Barras Chatas Em Ferro De 32X4,8Mm, Fixado Com Chumbador Mecânico. Af_04/2019_P</v>
      </c>
      <c r="E236" s="200" t="str">
        <f>IFERROR(LOWER(
IF($B236="DER-ES",INDEX('CDER-ES'!$C:$C,MATCH($C236,'CDER-ES'!$A:$A,0)),
IF($B236="SINAPI",INDEX(CSINAPI!$C:$C,MATCH($C236,CSINAPI!$A:$A,0)),
IF($B236="CESAN",INDEX(CCESAN!$C:$C,MATCH($C236,CCESAN!$A:$A,0)),
IF($B236="SCORIO",INDEX(CSCORIO!$C:$C,MATCH($C236,CSCORIO!$A:$A,0)),
IF($B236="MERC",INDEX(MERCADO!$D:$D,MATCH($C236,MERCADO!$A:$A,0)),
IF($B236="COMP",INDEX(COMPOSICAO!$G:$G,MATCH($C236,COMPOSICAO!$A:$A,0)),
""))))))),"")</f>
        <v>m</v>
      </c>
      <c r="F236" s="208">
        <f>VLOOKUP(A236,'MEMÓRIA DE CÁLCULO'!A:H,8,0)</f>
        <v>17.22</v>
      </c>
      <c r="G236" s="202">
        <f>IFERROR(
IF($B236="DER-ES",INDEX('CDER-ES'!$D:$D,MATCH($C236,'CDER-ES'!$A:$A,0)),
IF($B236="SINAPI",INDEX(CSINAPI!$D:$D,MATCH($C236,CSINAPI!$A:$A,0)),
IF($B236="CESAN",INDEX(CCESAN!$D:$D,MATCH($C236,CCESAN!$A:$A,0)),
IF($B236="SCORIO",INDEX(CSCORIO!$D:$D,MATCH($C236,CSCORIO!$A:$A,0)),
IF($B236="MERC",INDEX(MERCADO!$E:$E,MATCH($C236,MERCADO!$A:$A,0)),
IF($B236="COMP",INDEX(COMPOSICAO!$H:$H,MATCH($C236,COMPOSICAO!$A:$A,0)),
0)))))),0)</f>
        <v>576.75</v>
      </c>
      <c r="H236" s="202">
        <f t="shared" si="195"/>
        <v>720.94</v>
      </c>
      <c r="I236" s="209">
        <f t="shared" si="196"/>
        <v>12414.59</v>
      </c>
      <c r="J236" s="225">
        <f t="shared" si="190"/>
        <v>6.5746485571440041E-2</v>
      </c>
    </row>
    <row r="237" spans="1:10" ht="38.25">
      <c r="A237" s="204" t="s">
        <v>28727</v>
      </c>
      <c r="B237" s="205" t="s">
        <v>1019</v>
      </c>
      <c r="C237" s="206">
        <v>99855</v>
      </c>
      <c r="D237" s="207" t="str">
        <f>IFERROR(PROPER(
IF($B237="DER-ES",INDEX('CDER-ES'!$B:$B,MATCH($C237,'CDER-ES'!$A:$A,0)),
IF($B237="SINAPI",INDEX(CSINAPI!$B:$B,MATCH($C237,CSINAPI!$A:$A,0)),
IF($B237="CESAN",INDEX(CCESAN!$B:$B,MATCH($C237,CCESAN!$A:$A,0)),
IF($B237="SCORIO",INDEX(CSCORIO!$B:$B,MATCH($C237,CSCORIO!$A:$A,0)),
IF($B237="MERC",INDEX(MERCADO!$B:$B,MATCH($C237,MERCADO!$A:$A,0)),
IF($B237="COMP",INDEX(COMPOSICAO!$B:$B,MATCH($C237,COMPOSICAO!$A:$A,0)),
""))))))),"*Verificar código*")</f>
        <v>Corrimão Simples, Diâmetro Externo = 1 1/2", Em Aço Galvanizado. Af_04/2019_P</v>
      </c>
      <c r="E237" s="200" t="str">
        <f>IFERROR(LOWER(
IF($B237="DER-ES",INDEX('CDER-ES'!$C:$C,MATCH($C237,'CDER-ES'!$A:$A,0)),
IF($B237="SINAPI",INDEX(CSINAPI!$C:$C,MATCH($C237,CSINAPI!$A:$A,0)),
IF($B237="CESAN",INDEX(CCESAN!$C:$C,MATCH($C237,CCESAN!$A:$A,0)),
IF($B237="SCORIO",INDEX(CSCORIO!$C:$C,MATCH($C237,CSCORIO!$A:$A,0)),
IF($B237="MERC",INDEX(MERCADO!$D:$D,MATCH($C237,MERCADO!$A:$A,0)),
IF($B237="COMP",INDEX(COMPOSICAO!$G:$G,MATCH($C237,COMPOSICAO!$A:$A,0)),
""))))))),"")</f>
        <v>m</v>
      </c>
      <c r="F237" s="208">
        <f>VLOOKUP(A237,'MEMÓRIA DE CÁLCULO'!A:H,8,0)</f>
        <v>16.8</v>
      </c>
      <c r="G237" s="202">
        <f>IFERROR(
IF($B237="DER-ES",INDEX('CDER-ES'!$D:$D,MATCH($C237,'CDER-ES'!$A:$A,0)),
IF($B237="SINAPI",INDEX(CSINAPI!$D:$D,MATCH($C237,CSINAPI!$A:$A,0)),
IF($B237="CESAN",INDEX(CCESAN!$D:$D,MATCH($C237,CCESAN!$A:$A,0)),
IF($B237="SCORIO",INDEX(CSCORIO!$D:$D,MATCH($C237,CSCORIO!$A:$A,0)),
IF($B237="MERC",INDEX(MERCADO!$E:$E,MATCH($C237,MERCADO!$A:$A,0)),
IF($B237="COMP",INDEX(COMPOSICAO!$H:$H,MATCH($C237,COMPOSICAO!$A:$A,0)),
0)))))),0)</f>
        <v>140.43</v>
      </c>
      <c r="H237" s="202">
        <f t="shared" ref="H237" si="199">ROUND(G237*(1+$J$2),2)</f>
        <v>175.54</v>
      </c>
      <c r="I237" s="209">
        <f t="shared" ref="I237" si="200">ROUND($H237*F237,2)</f>
        <v>2949.07</v>
      </c>
      <c r="J237" s="225">
        <f t="shared" si="190"/>
        <v>1.5617993683574461E-2</v>
      </c>
    </row>
    <row r="238" spans="1:10">
      <c r="A238" s="196" t="s">
        <v>26604</v>
      </c>
      <c r="B238" s="197"/>
      <c r="C238" s="198"/>
      <c r="D238" s="199" t="s">
        <v>2316</v>
      </c>
      <c r="E238" s="200"/>
      <c r="F238" s="201"/>
      <c r="G238" s="202"/>
      <c r="H238" s="202"/>
      <c r="I238" s="203">
        <f>SUBTOTAL(9,I239:I240)</f>
        <v>44858.3</v>
      </c>
      <c r="J238" s="224">
        <f>SUBTOTAL(9,J239:J240)</f>
        <v>1</v>
      </c>
    </row>
    <row r="239" spans="1:10" ht="25.5">
      <c r="A239" s="204" t="s">
        <v>26605</v>
      </c>
      <c r="B239" s="205" t="s">
        <v>1019</v>
      </c>
      <c r="C239" s="206">
        <v>88494</v>
      </c>
      <c r="D239" s="207" t="str">
        <f>IFERROR(PROPER(
IF($B239="DER-ES",INDEX('CDER-ES'!$B:$B,MATCH($C239,'CDER-ES'!$A:$A,0)),
IF($B239="SINAPI",INDEX(CSINAPI!$B:$B,MATCH($C239,CSINAPI!$A:$A,0)),
IF($B239="CESAN",INDEX(CCESAN!$B:$B,MATCH($C239,CCESAN!$A:$A,0)),
IF($B239="SCORIO",INDEX(CSCORIO!$B:$B,MATCH($C239,CSCORIO!$A:$A,0)),
IF($B239="MERC",INDEX(MERCADO!$B:$B,MATCH($C239,MERCADO!$A:$A,0)),
IF($B239="COMP",INDEX(COMPOSICAO!$B:$B,MATCH($C239,COMPOSICAO!$A:$A,0)),
""))))))),"*Verificar código*")</f>
        <v>Aplicação E Lixamento De Massa Látex Em Teto, Uma Demão. Af_06/2014</v>
      </c>
      <c r="E239" s="200" t="str">
        <f>IFERROR(LOWER(
IF($B239="DER-ES",INDEX('CDER-ES'!$C:$C,MATCH($C239,'CDER-ES'!$A:$A,0)),
IF($B239="SINAPI",INDEX(CSINAPI!$C:$C,MATCH($C239,CSINAPI!$A:$A,0)),
IF($B239="CESAN",INDEX(CCESAN!$C:$C,MATCH($C239,CCESAN!$A:$A,0)),
IF($B239="SCORIO",INDEX(CSCORIO!$A:$A,MATCH($C239,CSCORIO!#REF!,0)),
IF($B239="MERC",INDEX(MERCADO!$D:$D,MATCH($C239,MERCADO!$A:$A,0)),
IF($B239="COMP",INDEX(COMPOSICAO!$G:$G,MATCH($C239,COMPOSICAO!$A:$A,0)),
""))))))),"")</f>
        <v>m²</v>
      </c>
      <c r="F239" s="208">
        <f>VLOOKUP(A239,'MEMÓRIA DE CÁLCULO'!A:H,8,0)</f>
        <v>77</v>
      </c>
      <c r="G239" s="202">
        <f>IFERROR(
IF($B239="DER-ES",INDEX('CDER-ES'!$D:$D,MATCH($C239,'CDER-ES'!$A:$A,0)),
IF($B239="SINAPI",INDEX(CSINAPI!$D:$D,MATCH($C239,CSINAPI!$A:$A,0)),
IF($B239="CESAN",INDEX(CCESAN!$D:$D,MATCH($C239,CCESAN!$A:$A,0)),
IF($B239="SCORIO",INDEX(CSCORIO!$B:$B,MATCH($C239,CSCORIO!#REF!,0)),
IF($B239="MERC",INDEX(MERCADO!$E:$E,MATCH($C239,MERCADO!$A:$A,0)),
IF($B239="COMP",INDEX(COMPOSICAO!$H:$H,MATCH($C239,COMPOSICAO!$A:$A,0)),
0)))))),0)</f>
        <v>21.63</v>
      </c>
      <c r="H239" s="202">
        <f t="shared" ref="H239:H240" si="201">ROUND(G239*(1+$J$2),2)</f>
        <v>27.04</v>
      </c>
      <c r="I239" s="209">
        <f t="shared" ref="I239:I240" si="202">ROUND($H239*F239,2)</f>
        <v>2082.08</v>
      </c>
      <c r="J239" s="225">
        <f t="shared" ref="J239:J240" si="203">I239/I$238</f>
        <v>4.6414598859074015E-2</v>
      </c>
    </row>
    <row r="240" spans="1:10" ht="51">
      <c r="A240" s="204" t="s">
        <v>26606</v>
      </c>
      <c r="B240" s="205" t="s">
        <v>26583</v>
      </c>
      <c r="C240" s="206">
        <v>190106</v>
      </c>
      <c r="D240" s="207" t="str">
        <f>IFERROR(PROPER(
IF($B240="DER-ES",INDEX('CDER-ES'!$B:$B,MATCH($C240,'CDER-ES'!$A:$A,0)),
IF($B240="SINAPI",INDEX(CSINAPI!$B:$B,MATCH($C240,CSINAPI!$A:$A,0)),
IF($B240="CESAN",INDEX(CCESAN!$B:$B,MATCH($C240,CCESAN!$A:$A,0)),
IF($B240="SCORIO",INDEX(CSCORIO!$B:$B,MATCH($C240,CSCORIO!$A:$A,0)),
IF($B240="MERC",INDEX(MERCADO!$B:$B,MATCH($C240,MERCADO!$A:$A,0)),
IF($B240="COMP",INDEX(COMPOSICAO!$B:$B,MATCH($C240,COMPOSICAO!$A:$A,0)),
""))))))),"*Verificar código*")</f>
        <v>Pintura Com Tinta Acrílica, Marcas De Referência Suvinil, Coral Ou Metalatex, Inclusive Selador Acrílico, Em Paredes E Forros, A Três Demãos</v>
      </c>
      <c r="E240" s="200" t="str">
        <f>IFERROR(LOWER(
IF($B240="DER-ES",INDEX('CDER-ES'!$C:$C,MATCH($C240,'CDER-ES'!$A:$A,0)),
IF($B240="SINAPI",INDEX(CSINAPI!$C:$C,MATCH($C240,CSINAPI!$A:$A,0)),
IF($B240="CESAN",INDEX(CCESAN!$C:$C,MATCH($C240,CCESAN!$A:$A,0)),
IF($B240="SCORIO",INDEX(CSCORIO!$A:$A,MATCH($C240,CSCORIO!#REF!,0)),
IF($B240="MERC",INDEX(MERCADO!$D:$D,MATCH($C240,MERCADO!$A:$A,0)),
IF($B240="COMP",INDEX(COMPOSICAO!$G:$G,MATCH($C240,COMPOSICAO!$A:$A,0)),
""))))))),"")</f>
        <v>m²</v>
      </c>
      <c r="F240" s="208">
        <f>VLOOKUP(A240,'MEMÓRIA DE CÁLCULO'!A:H,8,0)</f>
        <v>1622.77</v>
      </c>
      <c r="G240" s="202">
        <f>IFERROR(
IF($B240="DER-ES",INDEX('CDER-ES'!$D:$D,MATCH($C240,'CDER-ES'!$A:$A,0)),
IF($B240="SINAPI",INDEX(CSINAPI!$D:$D,MATCH($C240,CSINAPI!$A:$A,0)),
IF($B240="CESAN",INDEX(CCESAN!$D:$D,MATCH($C240,CCESAN!$A:$A,0)),
IF($B240="SCORIO",INDEX(CSCORIO!$B:$B,MATCH($C240,CSCORIO!#REF!,0)),
IF($B240="MERC",INDEX(MERCADO!$E:$E,MATCH($C240,MERCADO!$A:$A,0)),
IF($B240="COMP",INDEX(COMPOSICAO!$H:$H,MATCH($C240,COMPOSICAO!$A:$A,0)),
0)))))),0)</f>
        <v>21.09</v>
      </c>
      <c r="H240" s="202">
        <f t="shared" si="201"/>
        <v>26.36</v>
      </c>
      <c r="I240" s="209">
        <f t="shared" si="202"/>
        <v>42776.22</v>
      </c>
      <c r="J240" s="225">
        <f t="shared" si="203"/>
        <v>0.95358540114092594</v>
      </c>
    </row>
    <row r="241" spans="1:10" ht="25.5">
      <c r="A241" s="196" t="s">
        <v>26607</v>
      </c>
      <c r="B241" s="197"/>
      <c r="C241" s="198"/>
      <c r="D241" s="199" t="s">
        <v>28717</v>
      </c>
      <c r="E241" s="200"/>
      <c r="F241" s="201"/>
      <c r="G241" s="202"/>
      <c r="H241" s="202"/>
      <c r="I241" s="203">
        <f>SUBTOTAL(9,I242:I261)</f>
        <v>16211.459999999995</v>
      </c>
      <c r="J241" s="224">
        <f>SUBTOTAL(9,J242:J261)</f>
        <v>1.0000000000000004</v>
      </c>
    </row>
    <row r="242" spans="1:10" ht="63.75">
      <c r="A242" s="204" t="s">
        <v>26608</v>
      </c>
      <c r="B242" s="205" t="s">
        <v>1019</v>
      </c>
      <c r="C242" s="206">
        <v>95470</v>
      </c>
      <c r="D242" s="207" t="str">
        <f>IFERROR(PROPER(
IF($B242="DER-ES",INDEX('CDER-ES'!$B:$B,MATCH($C242,'CDER-ES'!$A:$A,0)),
IF($B242="SINAPI",INDEX(CSINAPI!$B:$B,MATCH($C242,CSINAPI!$A:$A,0)),
IF($B242="CESAN",INDEX(CCESAN!$B:$B,MATCH($C242,CCESAN!$A:$A,0)),
IF($B242="SCORIO",INDEX(CSCORIO!$B:$B,MATCH($C242,CSCORIO!$A:$A,0)),
IF($B242="MERC",INDEX(MERCADO!$B:$B,MATCH($C242,MERCADO!$A:$A,0)),
IF($B242="COMP",INDEX(COMPOSICAO!$B:$B,MATCH($C242,COMPOSICAO!$A:$A,0)),
""))))))),"*Verificar código*")</f>
        <v>Vaso Sanitario Sifonado Convencional Com Louça Branca, Incluso Conjunto De Ligação Para Bacia Sanitária Ajustável - Fornecimento E Instalação. Af_10/2016</v>
      </c>
      <c r="E242" s="200" t="str">
        <f>IFERROR(LOWER(
IF($B242="DER-ES",INDEX('CDER-ES'!$C:$C,MATCH($C242,'CDER-ES'!$A:$A,0)),
IF($B242="SINAPI",INDEX(CSINAPI!$C:$C,MATCH($C242,CSINAPI!$A:$A,0)),
IF($B242="CESAN",INDEX(CCESAN!$C:$C,MATCH($C242,CCESAN!$A:$A,0)),
IF($B242="SCORIO",INDEX(CSCORIO!$A:$A,MATCH($C242,CSCORIO!#REF!,0)),
IF($B242="MERC",INDEX(MERCADO!$D:$D,MATCH($C242,MERCADO!$A:$A,0)),
IF($B242="COMP",INDEX(COMPOSICAO!$G:$G,MATCH($C242,COMPOSICAO!$A:$A,0)),
""))))))),"")</f>
        <v>und</v>
      </c>
      <c r="F242" s="208">
        <f>VLOOKUP(A242,'MEMÓRIA DE CÁLCULO'!A:H,8,0)</f>
        <v>4</v>
      </c>
      <c r="G242" s="202">
        <f>IFERROR(
IF($B242="DER-ES",INDEX('CDER-ES'!$D:$D,MATCH($C242,'CDER-ES'!$A:$A,0)),
IF($B242="SINAPI",INDEX(CSINAPI!$D:$D,MATCH($C242,CSINAPI!$A:$A,0)),
IF($B242="CESAN",INDEX(CCESAN!$D:$D,MATCH($C242,CCESAN!$A:$A,0)),
IF($B242="SCORIO",INDEX(CSCORIO!$B:$B,MATCH($C242,CSCORIO!#REF!,0)),
IF($B242="MERC",INDEX(MERCADO!$E:$E,MATCH($C242,MERCADO!$A:$A,0)),
IF($B242="COMP",INDEX(COMPOSICAO!$H:$H,MATCH($C242,COMPOSICAO!$A:$A,0)),
0)))))),0)</f>
        <v>248.29</v>
      </c>
      <c r="H242" s="202">
        <f t="shared" ref="H242:H261" si="204">ROUND(G242*(1+$J$2),2)</f>
        <v>310.36</v>
      </c>
      <c r="I242" s="209">
        <f t="shared" ref="I242:I261" si="205">ROUND($H242*F242,2)</f>
        <v>1241.44</v>
      </c>
      <c r="J242" s="225">
        <f>I242/I$241</f>
        <v>7.6577926972647772E-2</v>
      </c>
    </row>
    <row r="243" spans="1:10" ht="51">
      <c r="A243" s="204" t="s">
        <v>28559</v>
      </c>
      <c r="B243" s="205" t="s">
        <v>1019</v>
      </c>
      <c r="C243" s="206">
        <v>95471</v>
      </c>
      <c r="D243" s="207" t="str">
        <f>IFERROR(PROPER(
IF($B243="DER-ES",INDEX('CDER-ES'!$B:$B,MATCH($C243,'CDER-ES'!$A:$A,0)),
IF($B243="SINAPI",INDEX(CSINAPI!$B:$B,MATCH($C243,CSINAPI!$A:$A,0)),
IF($B243="CESAN",INDEX(CCESAN!$B:$B,MATCH($C243,CCESAN!$A:$A,0)),
IF($B243="SCORIO",INDEX(CSCORIO!$B:$B,MATCH($C243,CSCORIO!$A:$A,0)),
IF($B243="MERC",INDEX(MERCADO!$B:$B,MATCH($C243,MERCADO!$A:$A,0)),
IF($B243="COMP",INDEX(COMPOSICAO!$B:$B,MATCH($C243,COMPOSICAO!$A:$A,0)),
""))))))),"*Verificar código*")</f>
        <v>Vaso Sanitario Sifonado Convencional Para Pcd Sem Furo Frontal Com  Louça Branca Sem Assento -  Fornecimento E Instalação. Af_01/2020</v>
      </c>
      <c r="E243" s="200" t="str">
        <f>IFERROR(LOWER(
IF($B243="DER-ES",INDEX('CDER-ES'!$C:$C,MATCH($C243,'CDER-ES'!$A:$A,0)),
IF($B243="SINAPI",INDEX(CSINAPI!$C:$C,MATCH($C243,CSINAPI!$A:$A,0)),
IF($B243="CESAN",INDEX(CCESAN!$C:$C,MATCH($C243,CCESAN!$A:$A,0)),
IF($B243="SCORIO",INDEX(CSCORIO!$A:$A,MATCH($C243,CSCORIO!#REF!,0)),
IF($B243="MERC",INDEX(MERCADO!$D:$D,MATCH($C243,MERCADO!$A:$A,0)),
IF($B243="COMP",INDEX(COMPOSICAO!$G:$G,MATCH($C243,COMPOSICAO!$A:$A,0)),
""))))))),"")</f>
        <v>und</v>
      </c>
      <c r="F243" s="208">
        <f>VLOOKUP(A243,'MEMÓRIA DE CÁLCULO'!A:H,8,0)</f>
        <v>2</v>
      </c>
      <c r="G243" s="202">
        <f>IFERROR(
IF($B243="DER-ES",INDEX('CDER-ES'!$D:$D,MATCH($C243,'CDER-ES'!$A:$A,0)),
IF($B243="SINAPI",INDEX(CSINAPI!$D:$D,MATCH($C243,CSINAPI!$A:$A,0)),
IF($B243="CESAN",INDEX(CCESAN!$D:$D,MATCH($C243,CCESAN!$A:$A,0)),
IF($B243="SCORIO",INDEX(CSCORIO!$B:$B,MATCH($C243,CSCORIO!#REF!,0)),
IF($B243="MERC",INDEX(MERCADO!$E:$E,MATCH($C243,MERCADO!$A:$A,0)),
IF($B243="COMP",INDEX(COMPOSICAO!$H:$H,MATCH($C243,COMPOSICAO!$A:$A,0)),
0)))))),0)</f>
        <v>599.77</v>
      </c>
      <c r="H243" s="202">
        <f t="shared" si="204"/>
        <v>749.71</v>
      </c>
      <c r="I243" s="209">
        <f t="shared" si="205"/>
        <v>1499.42</v>
      </c>
      <c r="J243" s="225">
        <f t="shared" ref="J243:J261" si="206">I243/I$241</f>
        <v>9.2491361049529194E-2</v>
      </c>
    </row>
    <row r="244" spans="1:10" ht="25.5">
      <c r="A244" s="204" t="s">
        <v>28560</v>
      </c>
      <c r="B244" s="205" t="s">
        <v>1019</v>
      </c>
      <c r="C244" s="206">
        <v>100849</v>
      </c>
      <c r="D244" s="207" t="str">
        <f>IFERROR(PROPER(
IF($B244="DER-ES",INDEX('CDER-ES'!$B:$B,MATCH($C244,'CDER-ES'!$A:$A,0)),
IF($B244="SINAPI",INDEX(CSINAPI!$B:$B,MATCH($C244,CSINAPI!$A:$A,0)),
IF($B244="CESAN",INDEX(CCESAN!$B:$B,MATCH($C244,CCESAN!$A:$A,0)),
IF($B244="SCORIO",INDEX(CSCORIO!$B:$B,MATCH($C244,CSCORIO!$A:$A,0)),
IF($B244="MERC",INDEX(MERCADO!$B:$B,MATCH($C244,MERCADO!$A:$A,0)),
IF($B244="COMP",INDEX(COMPOSICAO!$B:$B,MATCH($C244,COMPOSICAO!$A:$A,0)),
""))))))),"*Verificar código*")</f>
        <v>Assento Sanitário Convencional - Fornecimento E Instalacao. Af_01/2020</v>
      </c>
      <c r="E244" s="200" t="str">
        <f>IFERROR(LOWER(
IF($B244="DER-ES",INDEX('CDER-ES'!$C:$C,MATCH($C244,'CDER-ES'!$A:$A,0)),
IF($B244="SINAPI",INDEX(CSINAPI!$C:$C,MATCH($C244,CSINAPI!$A:$A,0)),
IF($B244="CESAN",INDEX(CCESAN!$C:$C,MATCH($C244,CCESAN!$A:$A,0)),
IF($B244="SCORIO",INDEX(CSCORIO!$A:$A,MATCH($C244,CSCORIO!#REF!,0)),
IF($B244="MERC",INDEX(MERCADO!$D:$D,MATCH($C244,MERCADO!$A:$A,0)),
IF($B244="COMP",INDEX(COMPOSICAO!$G:$G,MATCH($C244,COMPOSICAO!$A:$A,0)),
""))))))),"")</f>
        <v>und</v>
      </c>
      <c r="F244" s="208">
        <f>VLOOKUP(A244,'MEMÓRIA DE CÁLCULO'!A:H,8,0)</f>
        <v>6</v>
      </c>
      <c r="G244" s="202">
        <f>IFERROR(
IF($B244="DER-ES",INDEX('CDER-ES'!$D:$D,MATCH($C244,'CDER-ES'!$A:$A,0)),
IF($B244="SINAPI",INDEX(CSINAPI!$D:$D,MATCH($C244,CSINAPI!$A:$A,0)),
IF($B244="CESAN",INDEX(CCESAN!$D:$D,MATCH($C244,CCESAN!$A:$A,0)),
IF($B244="SCORIO",INDEX(CSCORIO!$B:$B,MATCH($C244,CSCORIO!#REF!,0)),
IF($B244="MERC",INDEX(MERCADO!$E:$E,MATCH($C244,MERCADO!$A:$A,0)),
IF($B244="COMP",INDEX(COMPOSICAO!$H:$H,MATCH($C244,COMPOSICAO!$A:$A,0)),
0)))))),0)</f>
        <v>44.13</v>
      </c>
      <c r="H244" s="202">
        <f t="shared" ref="H244" si="207">ROUND(G244*(1+$J$2),2)</f>
        <v>55.16</v>
      </c>
      <c r="I244" s="209">
        <f t="shared" ref="I244" si="208">ROUND($H244*F244,2)</f>
        <v>330.96</v>
      </c>
      <c r="J244" s="225">
        <f t="shared" si="206"/>
        <v>2.0415187774574288E-2</v>
      </c>
    </row>
    <row r="245" spans="1:10" ht="38.25">
      <c r="A245" s="204" t="s">
        <v>28561</v>
      </c>
      <c r="B245" s="205" t="s">
        <v>1019</v>
      </c>
      <c r="C245" s="206">
        <v>95544</v>
      </c>
      <c r="D245" s="207" t="str">
        <f>IFERROR(PROPER(
IF($B245="DER-ES",INDEX('CDER-ES'!$B:$B,MATCH($C245,'CDER-ES'!$A:$A,0)),
IF($B245="SINAPI",INDEX(CSINAPI!$B:$B,MATCH($C245,CSINAPI!$A:$A,0)),
IF($B245="CESAN",INDEX(CCESAN!$B:$B,MATCH($C245,CCESAN!$A:$A,0)),
IF($B245="SCORIO",INDEX(CSCORIO!$B:$B,MATCH($C245,CSCORIO!$A:$A,0)),
IF($B245="MERC",INDEX(MERCADO!$B:$B,MATCH($C245,MERCADO!$A:$A,0)),
IF($B245="COMP",INDEX(COMPOSICAO!$B:$B,MATCH($C245,COMPOSICAO!$A:$A,0)),
""))))))),"*Verificar código*")</f>
        <v>Papeleira De Parede Em Metal Cromado Sem Tampa, Incluso Fixação. Af_01/2020</v>
      </c>
      <c r="E245" s="200" t="str">
        <f>IFERROR(LOWER(
IF($B245="DER-ES",INDEX('CDER-ES'!$C:$C,MATCH($C245,'CDER-ES'!$A:$A,0)),
IF($B245="SINAPI",INDEX(CSINAPI!$C:$C,MATCH($C245,CSINAPI!$A:$A,0)),
IF($B245="CESAN",INDEX(CCESAN!$C:$C,MATCH($C245,CCESAN!$A:$A,0)),
IF($B245="SCORIO",INDEX(CSCORIO!$A:$A,MATCH($C245,CSCORIO!#REF!,0)),
IF($B245="MERC",INDEX(MERCADO!$D:$D,MATCH($C245,MERCADO!$A:$A,0)),
IF($B245="COMP",INDEX(COMPOSICAO!$G:$G,MATCH($C245,COMPOSICAO!$A:$A,0)),
""))))))),"")</f>
        <v>und</v>
      </c>
      <c r="F245" s="208">
        <f>VLOOKUP(A245,'MEMÓRIA DE CÁLCULO'!A:H,8,0)</f>
        <v>6</v>
      </c>
      <c r="G245" s="202">
        <f>IFERROR(
IF($B245="DER-ES",INDEX('CDER-ES'!$D:$D,MATCH($C245,'CDER-ES'!$A:$A,0)),
IF($B245="SINAPI",INDEX(CSINAPI!$D:$D,MATCH($C245,CSINAPI!$A:$A,0)),
IF($B245="CESAN",INDEX(CCESAN!$D:$D,MATCH($C245,CCESAN!$A:$A,0)),
IF($B245="SCORIO",INDEX(CSCORIO!$B:$B,MATCH($C245,CSCORIO!#REF!,0)),
IF($B245="MERC",INDEX(MERCADO!$E:$E,MATCH($C245,MERCADO!$A:$A,0)),
IF($B245="COMP",INDEX(COMPOSICAO!$H:$H,MATCH($C245,COMPOSICAO!$A:$A,0)),
0)))))),0)</f>
        <v>38.369999999999997</v>
      </c>
      <c r="H245" s="202">
        <f t="shared" si="204"/>
        <v>47.96</v>
      </c>
      <c r="I245" s="209">
        <f t="shared" si="205"/>
        <v>287.76</v>
      </c>
      <c r="J245" s="225">
        <f t="shared" si="206"/>
        <v>1.7750406194136745E-2</v>
      </c>
    </row>
    <row r="246" spans="1:10" ht="89.25">
      <c r="A246" s="204" t="s">
        <v>28562</v>
      </c>
      <c r="B246" s="205" t="s">
        <v>1019</v>
      </c>
      <c r="C246" s="206">
        <v>86943</v>
      </c>
      <c r="D246" s="207" t="str">
        <f>IFERROR(PROPER(
IF($B246="DER-ES",INDEX('CDER-ES'!$B:$B,MATCH($C246,'CDER-ES'!$A:$A,0)),
IF($B246="SINAPI",INDEX(CSINAPI!$B:$B,MATCH($C246,CSINAPI!$A:$A,0)),
IF($B246="CESAN",INDEX(CCESAN!$B:$B,MATCH($C246,CCESAN!$A:$A,0)),
IF($B246="SCORIO",INDEX(CSCORIO!$B:$B,MATCH($C246,CSCORIO!$A:$A,0)),
IF($B246="MERC",INDEX(MERCADO!$B:$B,MATCH($C246,MERCADO!$A:$A,0)),
IF($B246="COMP",INDEX(COMPOSICAO!$B:$B,MATCH($C246,COMPOSICAO!$A:$A,0)),
""))))))),"*Verificar código*")</f>
        <v>Lavatório Louça Branca Suspenso, 29,5 X 39Cm Ou Equivalente, Padrão Popular, Incluso Sifão Flexível Em Pvc, Válvula E Engate Flexível 30Cm Em Plástico E Torneira Cromada De Mesa, Padrão Popular - Fornecimento E Instalação. Af_01/2020</v>
      </c>
      <c r="E246" s="200" t="str">
        <f>IFERROR(LOWER(
IF($B246="DER-ES",INDEX('CDER-ES'!$C:$C,MATCH($C246,'CDER-ES'!$A:$A,0)),
IF($B246="SINAPI",INDEX(CSINAPI!$C:$C,MATCH($C246,CSINAPI!$A:$A,0)),
IF($B246="CESAN",INDEX(CCESAN!$C:$C,MATCH($C246,CCESAN!$A:$A,0)),
IF($B246="SCORIO",INDEX(CSCORIO!$A:$A,MATCH($C246,CSCORIO!#REF!,0)),
IF($B246="MERC",INDEX(MERCADO!$D:$D,MATCH($C246,MERCADO!$A:$A,0)),
IF($B246="COMP",INDEX(COMPOSICAO!$G:$G,MATCH($C246,COMPOSICAO!$A:$A,0)),
""))))))),"")</f>
        <v>und</v>
      </c>
      <c r="F246" s="208">
        <f>VLOOKUP(A246,'MEMÓRIA DE CÁLCULO'!A:H,8,0)</f>
        <v>6</v>
      </c>
      <c r="G246" s="202">
        <f>IFERROR(
IF($B246="DER-ES",INDEX('CDER-ES'!$D:$D,MATCH($C246,'CDER-ES'!$A:$A,0)),
IF($B246="SINAPI",INDEX(CSINAPI!$D:$D,MATCH($C246,CSINAPI!$A:$A,0)),
IF($B246="CESAN",INDEX(CCESAN!$D:$D,MATCH($C246,CCESAN!$A:$A,0)),
IF($B246="SCORIO",INDEX(CSCORIO!$B:$B,MATCH($C246,CSCORIO!#REF!,0)),
IF($B246="MERC",INDEX(MERCADO!$E:$E,MATCH($C246,MERCADO!$A:$A,0)),
IF($B246="COMP",INDEX(COMPOSICAO!$H:$H,MATCH($C246,COMPOSICAO!$A:$A,0)),
0)))))),0)</f>
        <v>195.66</v>
      </c>
      <c r="H246" s="202">
        <f t="shared" si="204"/>
        <v>244.58</v>
      </c>
      <c r="I246" s="209">
        <f t="shared" si="205"/>
        <v>1467.48</v>
      </c>
      <c r="J246" s="225">
        <f t="shared" si="206"/>
        <v>9.0521149853251992E-2</v>
      </c>
    </row>
    <row r="247" spans="1:10" ht="63.75">
      <c r="A247" s="204" t="s">
        <v>28662</v>
      </c>
      <c r="B247" s="205" t="s">
        <v>1020</v>
      </c>
      <c r="C247" s="206">
        <v>35</v>
      </c>
      <c r="D247" s="207" t="str">
        <f>IFERROR(PROPER(
IF($B247="DER-ES",INDEX('CDER-ES'!$B:$B,MATCH($C247,'CDER-ES'!$A:$A,0)),
IF($B247="SINAPI",INDEX(CSINAPI!$B:$B,MATCH($C247,CSINAPI!$A:$A,0)),
IF($B247="CESAN",INDEX(CCESAN!$B:$B,MATCH($C247,CCESAN!$A:$A,0)),
IF($B247="SCORIO",INDEX(CSCORIO!$B:$B,MATCH($C247,CSCORIO!$A:$A,0)),
IF($B247="MERC",INDEX(MERCADO!$B:$B,MATCH($C247,MERCADO!$A:$A,0)),
IF($B247="COMP",INDEX(COMPOSICAO!$B:$B,MATCH($C247,COMPOSICAO!$A:$A,0)),
""))))))),"*Verificar código*")</f>
        <v>Bancada De Granito Cinza Polido, Para Pia De Cozinha, Inclusive Suporte Mão-Francesa Em Cantoneira (Abas Iguais) Em Ferro Galvanizado - Fornecimento E Instalação</v>
      </c>
      <c r="E247" s="200" t="str">
        <f>IFERROR(LOWER(
IF($B247="DER-ES",INDEX('CDER-ES'!$C:$C,MATCH($C247,'CDER-ES'!$A:$A,0)),
IF($B247="SINAPI",INDEX(CSINAPI!$C:$C,MATCH($C247,CSINAPI!$A:$A,0)),
IF($B247="CESAN",INDEX(CCESAN!$C:$C,MATCH($C247,CCESAN!$A:$A,0)),
IF($B247="SCORIO",INDEX(CSCORIO!$A:$A,MATCH($C247,CSCORIO!#REF!,0)),
IF($B247="MERC",INDEX(MERCADO!$D:$D,MATCH($C247,MERCADO!$A:$A,0)),
IF($B247="COMP",INDEX(COMPOSICAO!$G:$G,MATCH($C247,COMPOSICAO!$A:$A,0)),
""))))))),"")</f>
        <v>m²</v>
      </c>
      <c r="F247" s="208">
        <f>VLOOKUP(A247,'MEMÓRIA DE CÁLCULO'!A:H,8,0)</f>
        <v>1.2</v>
      </c>
      <c r="G247" s="202">
        <f>IFERROR(
IF($B247="DER-ES",INDEX('CDER-ES'!$D:$D,MATCH($C247,'CDER-ES'!$A:$A,0)),
IF($B247="SINAPI",INDEX(CSINAPI!$D:$D,MATCH($C247,CSINAPI!$A:$A,0)),
IF($B247="CESAN",INDEX(CCESAN!$D:$D,MATCH($C247,CCESAN!$A:$A,0)),
IF($B247="SCORIO",INDEX(CSCORIO!$B:$B,MATCH($C247,CSCORIO!#REF!,0)),
IF($B247="MERC",INDEX(MERCADO!$E:$E,MATCH($C247,MERCADO!$A:$A,0)),
IF($B247="COMP",INDEX(COMPOSICAO!$H:$H,MATCH($C247,COMPOSICAO!$A:$A,0)),
0)))))),0)</f>
        <v>396.46999999999997</v>
      </c>
      <c r="H247" s="202">
        <f t="shared" ref="H247:H248" si="209">ROUND(G247*(1+$J$2),2)</f>
        <v>495.59</v>
      </c>
      <c r="I247" s="209">
        <f t="shared" ref="I247:I248" si="210">ROUND($H247*F247,2)</f>
        <v>594.71</v>
      </c>
      <c r="J247" s="225">
        <f t="shared" si="206"/>
        <v>3.6684542909768782E-2</v>
      </c>
    </row>
    <row r="248" spans="1:10" ht="38.25">
      <c r="A248" s="204" t="s">
        <v>28663</v>
      </c>
      <c r="B248" s="205" t="s">
        <v>1020</v>
      </c>
      <c r="C248" s="206">
        <v>36</v>
      </c>
      <c r="D248" s="207" t="str">
        <f>IFERROR(PROPER(
IF($B248="DER-ES",INDEX('CDER-ES'!$B:$B,MATCH($C248,'CDER-ES'!$A:$A,0)),
IF($B248="SINAPI",INDEX(CSINAPI!$B:$B,MATCH($C248,CSINAPI!$A:$A,0)),
IF($B248="CESAN",INDEX(CCESAN!$B:$B,MATCH($C248,CCESAN!$A:$A,0)),
IF($B248="SCORIO",INDEX(CSCORIO!$B:$B,MATCH($C248,CSCORIO!$A:$A,0)),
IF($B248="MERC",INDEX(MERCADO!$B:$B,MATCH($C248,MERCADO!$A:$A,0)),
IF($B248="COMP",INDEX(COMPOSICAO!$B:$B,MATCH($C248,COMPOSICAO!$A:$A,0)),
""))))))),"*Verificar código*")</f>
        <v>Testeira De Granito Cinza Polido, Para Bancada, Altura 10 Cm, Espessura 2 Cm</v>
      </c>
      <c r="E248" s="200" t="str">
        <f>IFERROR(LOWER(
IF($B248="DER-ES",INDEX('CDER-ES'!$C:$C,MATCH($C248,'CDER-ES'!$A:$A,0)),
IF($B248="SINAPI",INDEX(CSINAPI!$C:$C,MATCH($C248,CSINAPI!$A:$A,0)),
IF($B248="CESAN",INDEX(CCESAN!$C:$C,MATCH($C248,CCESAN!$A:$A,0)),
IF($B248="SCORIO",INDEX(CSCORIO!$A:$A,MATCH($C248,CSCORIO!#REF!,0)),
IF($B248="MERC",INDEX(MERCADO!$D:$D,MATCH($C248,MERCADO!$A:$A,0)),
IF($B248="COMP",INDEX(COMPOSICAO!$G:$G,MATCH($C248,COMPOSICAO!$A:$A,0)),
""))))))),"")</f>
        <v>m</v>
      </c>
      <c r="F248" s="208">
        <f>VLOOKUP(A248,'MEMÓRIA DE CÁLCULO'!A:H,8,0)</f>
        <v>2</v>
      </c>
      <c r="G248" s="202">
        <f>IFERROR(
IF($B248="DER-ES",INDEX('CDER-ES'!$D:$D,MATCH($C248,'CDER-ES'!$A:$A,0)),
IF($B248="SINAPI",INDEX(CSINAPI!$D:$D,MATCH($C248,CSINAPI!$A:$A,0)),
IF($B248="CESAN",INDEX(CCESAN!$D:$D,MATCH($C248,CCESAN!$A:$A,0)),
IF($B248="SCORIO",INDEX(CSCORIO!$B:$B,MATCH($C248,CSCORIO!#REF!,0)),
IF($B248="MERC",INDEX(MERCADO!$E:$E,MATCH($C248,MERCADO!$A:$A,0)),
IF($B248="COMP",INDEX(COMPOSICAO!$H:$H,MATCH($C248,COMPOSICAO!$A:$A,0)),
0)))))),0)</f>
        <v>48.379999999999995</v>
      </c>
      <c r="H248" s="202">
        <f t="shared" si="209"/>
        <v>60.48</v>
      </c>
      <c r="I248" s="209">
        <f t="shared" si="210"/>
        <v>120.96</v>
      </c>
      <c r="J248" s="225">
        <f t="shared" si="206"/>
        <v>7.4613884252251201E-3</v>
      </c>
    </row>
    <row r="249" spans="1:10" ht="38.25">
      <c r="A249" s="204" t="s">
        <v>28664</v>
      </c>
      <c r="B249" s="205" t="s">
        <v>1020</v>
      </c>
      <c r="C249" s="206">
        <v>37</v>
      </c>
      <c r="D249" s="207" t="str">
        <f>IFERROR(PROPER(
IF($B249="DER-ES",INDEX('CDER-ES'!$B:$B,MATCH($C249,'CDER-ES'!$A:$A,0)),
IF($B249="SINAPI",INDEX(CSINAPI!$B:$B,MATCH($C249,CSINAPI!$A:$A,0)),
IF($B249="CESAN",INDEX(CCESAN!$B:$B,MATCH($C249,CCESAN!$A:$A,0)),
IF($B249="SCORIO",INDEX(CSCORIO!$B:$B,MATCH($C249,CSCORIO!$A:$A,0)),
IF($B249="MERC",INDEX(MERCADO!$B:$B,MATCH($C249,MERCADO!$A:$A,0)),
IF($B249="COMP",INDEX(COMPOSICAO!$B:$B,MATCH($C249,COMPOSICAO!$A:$A,0)),
""))))))),"*Verificar código*")</f>
        <v>Rodabanca Em Granito Cinza Polido, Altura 10 Cm, Espessura 2 Cm - Fornecimento E Instalação</v>
      </c>
      <c r="E249" s="200" t="str">
        <f>IFERROR(LOWER(
IF($B249="DER-ES",INDEX('CDER-ES'!$C:$C,MATCH($C249,'CDER-ES'!$A:$A,0)),
IF($B249="SINAPI",INDEX(CSINAPI!$C:$C,MATCH($C249,CSINAPI!$A:$A,0)),
IF($B249="CESAN",INDEX(CCESAN!$C:$C,MATCH($C249,CCESAN!$A:$A,0)),
IF($B249="SCORIO",INDEX(CSCORIO!$A:$A,MATCH($C249,CSCORIO!#REF!,0)),
IF($B249="MERC",INDEX(MERCADO!$D:$D,MATCH($C249,MERCADO!$A:$A,0)),
IF($B249="COMP",INDEX(COMPOSICAO!$G:$G,MATCH($C249,COMPOSICAO!$A:$A,0)),
""))))))),"")</f>
        <v>m</v>
      </c>
      <c r="F249" s="208">
        <f>VLOOKUP(A249,'MEMÓRIA DE CÁLCULO'!A:H,8,0)</f>
        <v>3.2</v>
      </c>
      <c r="G249" s="202">
        <f>IFERROR(
IF($B249="DER-ES",INDEX('CDER-ES'!$D:$D,MATCH($C249,'CDER-ES'!$A:$A,0)),
IF($B249="SINAPI",INDEX(CSINAPI!$D:$D,MATCH($C249,CSINAPI!$A:$A,0)),
IF($B249="CESAN",INDEX(CCESAN!$D:$D,MATCH($C249,CCESAN!$A:$A,0)),
IF($B249="SCORIO",INDEX(CSCORIO!$B:$B,MATCH($C249,CSCORIO!#REF!,0)),
IF($B249="MERC",INDEX(MERCADO!$E:$E,MATCH($C249,MERCADO!$A:$A,0)),
IF($B249="COMP",INDEX(COMPOSICAO!$H:$H,MATCH($C249,COMPOSICAO!$A:$A,0)),
0)))))),0)</f>
        <v>39.409999999999997</v>
      </c>
      <c r="H249" s="202">
        <f t="shared" ref="H249:H250" si="211">ROUND(G249*(1+$J$2),2)</f>
        <v>49.26</v>
      </c>
      <c r="I249" s="209">
        <f t="shared" ref="I249:I250" si="212">ROUND($H249*F249,2)</f>
        <v>157.63</v>
      </c>
      <c r="J249" s="225">
        <f t="shared" si="206"/>
        <v>9.7233685306567109E-3</v>
      </c>
    </row>
    <row r="250" spans="1:10" ht="63.75">
      <c r="A250" s="204" t="s">
        <v>28665</v>
      </c>
      <c r="B250" s="205" t="s">
        <v>1019</v>
      </c>
      <c r="C250" s="206">
        <v>86935</v>
      </c>
      <c r="D250" s="207" t="str">
        <f>IFERROR(PROPER(
IF($B250="DER-ES",INDEX('CDER-ES'!$B:$B,MATCH($C250,'CDER-ES'!$A:$A,0)),
IF($B250="SINAPI",INDEX(CSINAPI!$B:$B,MATCH($C250,CSINAPI!$A:$A,0)),
IF($B250="CESAN",INDEX(CCESAN!$B:$B,MATCH($C250,CCESAN!$A:$A,0)),
IF($B250="SCORIO",INDEX(CSCORIO!$B:$B,MATCH($C250,CSCORIO!$A:$A,0)),
IF($B250="MERC",INDEX(MERCADO!$B:$B,MATCH($C250,MERCADO!$A:$A,0)),
IF($B250="COMP",INDEX(COMPOSICAO!$B:$B,MATCH($C250,COMPOSICAO!$A:$A,0)),
""))))))),"*Verificar código*")</f>
        <v>Cuba De Embutir De Aço Inoxidável Média, Incluso Válvula Tipo Americana Em Metal Cromado E Sifão Flexível Em Pvc - Fornecimento E Instalação. Af_01/2020</v>
      </c>
      <c r="E250" s="200" t="str">
        <f>IFERROR(LOWER(
IF($B250="DER-ES",INDEX('CDER-ES'!$C:$C,MATCH($C250,'CDER-ES'!$A:$A,0)),
IF($B250="SINAPI",INDEX(CSINAPI!$C:$C,MATCH($C250,CSINAPI!$A:$A,0)),
IF($B250="CESAN",INDEX(CCESAN!$C:$C,MATCH($C250,CCESAN!$A:$A,0)),
IF($B250="SCORIO",INDEX(CSCORIO!$A:$A,MATCH($C250,CSCORIO!#REF!,0)),
IF($B250="MERC",INDEX(MERCADO!$D:$D,MATCH($C250,MERCADO!$A:$A,0)),
IF($B250="COMP",INDEX(COMPOSICAO!$G:$G,MATCH($C250,COMPOSICAO!$A:$A,0)),
""))))))),"")</f>
        <v>und</v>
      </c>
      <c r="F250" s="208">
        <f>VLOOKUP(A250,'MEMÓRIA DE CÁLCULO'!A:H,8,0)</f>
        <v>1</v>
      </c>
      <c r="G250" s="202">
        <f>IFERROR(
IF($B250="DER-ES",INDEX('CDER-ES'!$D:$D,MATCH($C250,'CDER-ES'!$A:$A,0)),
IF($B250="SINAPI",INDEX(CSINAPI!$D:$D,MATCH($C250,CSINAPI!$A:$A,0)),
IF($B250="CESAN",INDEX(CCESAN!$D:$D,MATCH($C250,CCESAN!$A:$A,0)),
IF($B250="SCORIO",INDEX(CSCORIO!$B:$B,MATCH($C250,CSCORIO!#REF!,0)),
IF($B250="MERC",INDEX(MERCADO!$E:$E,MATCH($C250,MERCADO!$A:$A,0)),
IF($B250="COMP",INDEX(COMPOSICAO!$H:$H,MATCH($C250,COMPOSICAO!$A:$A,0)),
0)))))),0)</f>
        <v>274.61</v>
      </c>
      <c r="H250" s="202">
        <f t="shared" si="211"/>
        <v>343.26</v>
      </c>
      <c r="I250" s="209">
        <f t="shared" si="212"/>
        <v>343.26</v>
      </c>
      <c r="J250" s="225">
        <f t="shared" si="206"/>
        <v>2.1173910307893309E-2</v>
      </c>
    </row>
    <row r="251" spans="1:10" ht="51">
      <c r="A251" s="204" t="s">
        <v>28666</v>
      </c>
      <c r="B251" s="205" t="s">
        <v>1019</v>
      </c>
      <c r="C251" s="206">
        <v>100868</v>
      </c>
      <c r="D251" s="207" t="str">
        <f>IFERROR(PROPER(
IF($B251="DER-ES",INDEX('CDER-ES'!$B:$B,MATCH($C251,'CDER-ES'!$A:$A,0)),
IF($B251="SINAPI",INDEX(CSINAPI!$B:$B,MATCH($C251,CSINAPI!$A:$A,0)),
IF($B251="CESAN",INDEX(CCESAN!$B:$B,MATCH($C251,CCESAN!$A:$A,0)),
IF($B251="SCORIO",INDEX(CSCORIO!$B:$B,MATCH($C251,CSCORIO!$A:$A,0)),
IF($B251="MERC",INDEX(MERCADO!$B:$B,MATCH($C251,MERCADO!$A:$A,0)),
IF($B251="COMP",INDEX(COMPOSICAO!$B:$B,MATCH($C251,COMPOSICAO!$A:$A,0)),
""))))))),"*Verificar código*")</f>
        <v>Barra De Apoio Reta, Em Aco Inox Polido, Comprimento 80 Cm,  Fixada Na Parede - Fornecimento E Instalação. Af_01/2020</v>
      </c>
      <c r="E251" s="200" t="str">
        <f>IFERROR(LOWER(
IF($B251="DER-ES",INDEX('CDER-ES'!$C:$C,MATCH($C251,'CDER-ES'!$A:$A,0)),
IF($B251="SINAPI",INDEX(CSINAPI!$C:$C,MATCH($C251,CSINAPI!$A:$A,0)),
IF($B251="CESAN",INDEX(CCESAN!$C:$C,MATCH($C251,CCESAN!$A:$A,0)),
IF($B251="SCORIO",INDEX(CSCORIO!$A:$A,MATCH($C251,CSCORIO!#REF!,0)),
IF($B251="MERC",INDEX(MERCADO!$D:$D,MATCH($C251,MERCADO!$A:$A,0)),
IF($B251="COMP",INDEX(COMPOSICAO!$G:$G,MATCH($C251,COMPOSICAO!$A:$A,0)),
""))))))),"")</f>
        <v>und</v>
      </c>
      <c r="F251" s="208">
        <f>VLOOKUP(A251,'MEMÓRIA DE CÁLCULO'!A:H,8,0)</f>
        <v>6</v>
      </c>
      <c r="G251" s="202">
        <f>IFERROR(
IF($B251="DER-ES",INDEX('CDER-ES'!$D:$D,MATCH($C251,'CDER-ES'!$A:$A,0)),
IF($B251="SINAPI",INDEX(CSINAPI!$D:$D,MATCH($C251,CSINAPI!$A:$A,0)),
IF($B251="CESAN",INDEX(CCESAN!$D:$D,MATCH($C251,CCESAN!$A:$A,0)),
IF($B251="SCORIO",INDEX(CSCORIO!$B:$B,MATCH($C251,CSCORIO!#REF!,0)),
IF($B251="MERC",INDEX(MERCADO!$E:$E,MATCH($C251,MERCADO!$A:$A,0)),
IF($B251="COMP",INDEX(COMPOSICAO!$H:$H,MATCH($C251,COMPOSICAO!$A:$A,0)),
0)))))),0)</f>
        <v>307.85000000000002</v>
      </c>
      <c r="H251" s="202">
        <f t="shared" si="204"/>
        <v>384.81</v>
      </c>
      <c r="I251" s="209">
        <f t="shared" si="205"/>
        <v>2308.86</v>
      </c>
      <c r="J251" s="225">
        <f t="shared" si="206"/>
        <v>0.14242147221780152</v>
      </c>
    </row>
    <row r="252" spans="1:10" ht="76.5">
      <c r="A252" s="204" t="s">
        <v>28667</v>
      </c>
      <c r="B252" s="205" t="s">
        <v>2173</v>
      </c>
      <c r="C252" s="206" t="s">
        <v>7715</v>
      </c>
      <c r="D252" s="207" t="str">
        <f>IFERROR(PROPER(
IF($B252="DER-ES",INDEX('CDER-ES'!$B:$B,MATCH($C252,'CDER-ES'!$A:$A,0)),
IF($B252="SINAPI",INDEX(CSINAPI!$B:$B,MATCH($C252,CSINAPI!$A:$A,0)),
IF($B252="CESAN",INDEX(CCESAN!$B:$B,MATCH($C252,CCESAN!$A:$A,0)),
IF($B252="SCORIO",INDEX(CSCORIO!$B:$B,MATCH($C252,CSCORIO!$A:$A,0)),
IF($B252="MERC",INDEX(MERCADO!$B:$B,MATCH($C252,MERCADO!$A:$A,0)),
IF($B252="COMP",INDEX(COMPOSICAO!$B:$B,MATCH($C252,COMPOSICAO!$A:$A,0)),
""))))))),"*Verificar código*")</f>
        <v>Barra De Apoio Para Pia Ou Lavatório (Proteção Para Pia), Em Aço Inoxidável Aisi 304, Tubo De 1 1/4", Inclusive Fixação Com Parafusos Inoxidáveis E Buchas Plásticas.  Fornecimento.(Desonerado)</v>
      </c>
      <c r="E252" s="200" t="str">
        <f>IFERROR(LOWER(
IF($B252="DER-ES",INDEX('CDER-ES'!$C:$C,MATCH($C252,'CDER-ES'!$A:$A,0)),
IF($B252="SINAPI",INDEX(CSINAPI!$C:$C,MATCH($C252,CSINAPI!$A:$A,0)),
IF($B252="CESAN",INDEX(CCESAN!$C:$C,MATCH($C252,CCESAN!$A:$A,0)),
IF($B252="SCORIO",INDEX(CSCORIO!$C:$C,MATCH($C252,CSCORIO!$A:$A,0)),
IF($B252="MERC",INDEX(MERCADO!$D:$D,MATCH($C252,MERCADO!$A:$A,0)),
IF($B252="COMP",INDEX(COMPOSICAO!$G:$G,MATCH($C252,COMPOSICAO!$A:$A,0)),
""))))))),"")</f>
        <v>un</v>
      </c>
      <c r="F252" s="208">
        <f>VLOOKUP(A252,'MEMÓRIA DE CÁLCULO'!A:H,8,0)</f>
        <v>2</v>
      </c>
      <c r="G252" s="202">
        <f>IFERROR(
IF($B252="DER-ES",INDEX('CDER-ES'!$D:$D,MATCH($C252,'CDER-ES'!$A:$A,0)),
IF($B252="SINAPI",INDEX(CSINAPI!$D:$D,MATCH($C252,CSINAPI!$A:$A,0)),
IF($B252="CESAN",INDEX(CCESAN!$D:$D,MATCH($C252,CCESAN!$A:$A,0)),
IF($B252="SCORIO",INDEX(CSCORIO!$D:$D,MATCH($C252,CSCORIO!$A:$A,0)),
IF($B252="MERC",INDEX(MERCADO!$E:$E,MATCH($C252,MERCADO!$A:$A,0)),
IF($B252="COMP",INDEX(COMPOSICAO!$H:$H,MATCH($C252,COMPOSICAO!$A:$A,0)),
0)))))),0)</f>
        <v>402.71</v>
      </c>
      <c r="H252" s="202">
        <f t="shared" si="204"/>
        <v>503.39</v>
      </c>
      <c r="I252" s="209">
        <f t="shared" si="205"/>
        <v>1006.78</v>
      </c>
      <c r="J252" s="225">
        <f t="shared" si="206"/>
        <v>6.2102981471132163E-2</v>
      </c>
    </row>
    <row r="253" spans="1:10" ht="38.25">
      <c r="A253" s="204" t="s">
        <v>28668</v>
      </c>
      <c r="B253" s="205" t="s">
        <v>26583</v>
      </c>
      <c r="C253" s="206">
        <v>170107</v>
      </c>
      <c r="D253" s="207" t="str">
        <f>IFERROR(PROPER(
IF($B253="DER-ES",INDEX('CDER-ES'!$B:$B,MATCH($C253,'CDER-ES'!$A:$A,0)),
IF($B253="SINAPI",INDEX(CSINAPI!$B:$B,MATCH($C253,CSINAPI!$A:$A,0)),
IF($B253="CESAN",INDEX(CCESAN!$B:$B,MATCH($C253,CCESAN!$A:$A,0)),
IF($B253="SCORIO",INDEX(CSCORIO!$B:$B,MATCH($C253,CSCORIO!$A:$A,0)),
IF($B253="MERC",INDEX(MERCADO!$B:$B,MATCH($C253,MERCADO!$A:$A,0)),
IF($B253="COMP",INDEX(COMPOSICAO!$B:$B,MATCH($C253,COMPOSICAO!$A:$A,0)),
""))))))),"*Verificar código*")</f>
        <v>Mictório De Louça Branca, Marcas De Referência Deca, Celite Ou Ideal Standard, Inclusive Engates Cromados</v>
      </c>
      <c r="E253" s="200" t="str">
        <f>IFERROR(LOWER(
IF($B253="DER-ES",INDEX('CDER-ES'!$C:$C,MATCH($C253,'CDER-ES'!$A:$A,0)),
IF($B253="SINAPI",INDEX(CSINAPI!$C:$C,MATCH($C253,CSINAPI!$A:$A,0)),
IF($B253="CESAN",INDEX(CCESAN!$C:$C,MATCH($C253,CCESAN!$A:$A,0)),
IF($B253="SCORIO",INDEX(CSCORIO!$A:$A,MATCH($C253,CSCORIO!#REF!,0)),
IF($B253="MERC",INDEX(MERCADO!$D:$D,MATCH($C253,MERCADO!$A:$A,0)),
IF($B253="COMP",INDEX(COMPOSICAO!$G:$G,MATCH($C253,COMPOSICAO!$A:$A,0)),
""))))))),"")</f>
        <v>und</v>
      </c>
      <c r="F253" s="208">
        <f>VLOOKUP(A253,'MEMÓRIA DE CÁLCULO'!A:H,8,0)</f>
        <v>2</v>
      </c>
      <c r="G253" s="202">
        <f>IFERROR(
IF($B253="DER-ES",INDEX('CDER-ES'!$D:$D,MATCH($C253,'CDER-ES'!$A:$A,0)),
IF($B253="SINAPI",INDEX(CSINAPI!$D:$D,MATCH($C253,CSINAPI!$A:$A,0)),
IF($B253="CESAN",INDEX(CCESAN!$D:$D,MATCH($C253,CCESAN!$A:$A,0)),
IF($B253="SCORIO",INDEX(CSCORIO!$B:$B,MATCH($C253,CSCORIO!#REF!,0)),
IF($B253="MERC",INDEX(MERCADO!$E:$E,MATCH($C253,MERCADO!$A:$A,0)),
IF($B253="COMP",INDEX(COMPOSICAO!$H:$H,MATCH($C253,COMPOSICAO!$A:$A,0)),
0)))))),0)</f>
        <v>588.89</v>
      </c>
      <c r="H253" s="202">
        <f t="shared" ref="H253:H260" si="213">ROUND(G253*(1+$J$2),2)</f>
        <v>736.11</v>
      </c>
      <c r="I253" s="209">
        <f t="shared" ref="I253:I260" si="214">ROUND($H253*F253,2)</f>
        <v>1472.22</v>
      </c>
      <c r="J253" s="225">
        <f t="shared" si="206"/>
        <v>9.0813535609994445E-2</v>
      </c>
    </row>
    <row r="254" spans="1:10" ht="76.5">
      <c r="A254" s="204" t="s">
        <v>28669</v>
      </c>
      <c r="B254" s="205" t="s">
        <v>1019</v>
      </c>
      <c r="C254" s="206">
        <v>86923</v>
      </c>
      <c r="D254" s="207" t="str">
        <f>IFERROR(PROPER(
IF($B254="DER-ES",INDEX('CDER-ES'!$B:$B,MATCH($C254,'CDER-ES'!$A:$A,0)),
IF($B254="SINAPI",INDEX(CSINAPI!$B:$B,MATCH($C254,CSINAPI!$A:$A,0)),
IF($B254="CESAN",INDEX(CCESAN!$B:$B,MATCH($C254,CCESAN!$A:$A,0)),
IF($B254="SCORIO",INDEX(CSCORIO!$B:$B,MATCH($C254,CSCORIO!$A:$A,0)),
IF($B254="MERC",INDEX(MERCADO!$B:$B,MATCH($C254,MERCADO!$A:$A,0)),
IF($B254="COMP",INDEX(COMPOSICAO!$B:$B,MATCH($C254,COMPOSICAO!$A:$A,0)),
""))))))),"*Verificar código*")</f>
        <v>Tanque De Louça Branca Suspenso, 18L Ou Equivalente, Incluso Sifão Tipo Garrafa Em Pvc, Válvula Plástica E Torneira De Metal Cromado Padrão Popular - Fornecimento E Instalação. Af_01/2020</v>
      </c>
      <c r="E254" s="200" t="str">
        <f>IFERROR(LOWER(
IF($B254="DER-ES",INDEX('CDER-ES'!$C:$C,MATCH($C254,'CDER-ES'!$A:$A,0)),
IF($B254="SINAPI",INDEX(CSINAPI!$C:$C,MATCH($C254,CSINAPI!$A:$A,0)),
IF($B254="CESAN",INDEX(CCESAN!$C:$C,MATCH($C254,CCESAN!$A:$A,0)),
IF($B254="SCORIO",INDEX(CSCORIO!$A:$A,MATCH($C254,CSCORIO!#REF!,0)),
IF($B254="MERC",INDEX(MERCADO!$D:$D,MATCH($C254,MERCADO!$A:$A,0)),
IF($B254="COMP",INDEX(COMPOSICAO!$G:$G,MATCH($C254,COMPOSICAO!$A:$A,0)),
""))))))),"")</f>
        <v>und</v>
      </c>
      <c r="F254" s="208">
        <f>VLOOKUP(A254,'MEMÓRIA DE CÁLCULO'!A:H,8,0)</f>
        <v>1</v>
      </c>
      <c r="G254" s="202">
        <f>IFERROR(
IF($B254="DER-ES",INDEX('CDER-ES'!$D:$D,MATCH($C254,'CDER-ES'!$A:$A,0)),
IF($B254="SINAPI",INDEX(CSINAPI!$D:$D,MATCH($C254,CSINAPI!$A:$A,0)),
IF($B254="CESAN",INDEX(CCESAN!$D:$D,MATCH($C254,CCESAN!$A:$A,0)),
IF($B254="SCORIO",INDEX(CSCORIO!$B:$B,MATCH($C254,CSCORIO!#REF!,0)),
IF($B254="MERC",INDEX(MERCADO!$E:$E,MATCH($C254,MERCADO!$A:$A,0)),
IF($B254="COMP",INDEX(COMPOSICAO!$H:$H,MATCH($C254,COMPOSICAO!$A:$A,0)),
0)))))),0)</f>
        <v>460.45</v>
      </c>
      <c r="H254" s="202">
        <f t="shared" ref="H254" si="215">ROUND(G254*(1+$J$2),2)</f>
        <v>575.55999999999995</v>
      </c>
      <c r="I254" s="209">
        <f t="shared" ref="I254" si="216">ROUND($H254*F254,2)</f>
        <v>575.55999999999995</v>
      </c>
      <c r="J254" s="225">
        <f t="shared" si="206"/>
        <v>3.5503279778625746E-2</v>
      </c>
    </row>
    <row r="255" spans="1:10" ht="51">
      <c r="A255" s="204" t="s">
        <v>28718</v>
      </c>
      <c r="B255" s="205" t="s">
        <v>1019</v>
      </c>
      <c r="C255" s="206">
        <v>86909</v>
      </c>
      <c r="D255" s="207" t="str">
        <f>IFERROR(PROPER(
IF($B255="DER-ES",INDEX('CDER-ES'!$B:$B,MATCH($C255,'CDER-ES'!$A:$A,0)),
IF($B255="SINAPI",INDEX(CSINAPI!$B:$B,MATCH($C255,CSINAPI!$A:$A,0)),
IF($B255="CESAN",INDEX(CCESAN!$B:$B,MATCH($C255,CCESAN!$A:$A,0)),
IF($B255="SCORIO",INDEX(CSCORIO!$B:$B,MATCH($C255,CSCORIO!$A:$A,0)),
IF($B255="MERC",INDEX(MERCADO!$B:$B,MATCH($C255,MERCADO!$A:$A,0)),
IF($B255="COMP",INDEX(COMPOSICAO!$B:$B,MATCH($C255,COMPOSICAO!$A:$A,0)),
""))))))),"*Verificar código*")</f>
        <v>Torneira Cromada Tubo Móvel, De Mesa, 1/2 Ou 3/4, Para Pia De Cozinha, Padrão Alto - Fornecimento E Instalação. Af_01/2020</v>
      </c>
      <c r="E255" s="200" t="str">
        <f>IFERROR(LOWER(
IF($B255="DER-ES",INDEX('CDER-ES'!$C:$C,MATCH($C255,'CDER-ES'!$A:$A,0)),
IF($B255="SINAPI",INDEX(CSINAPI!$C:$C,MATCH($C255,CSINAPI!$A:$A,0)),
IF($B255="CESAN",INDEX(CCESAN!$C:$C,MATCH($C255,CCESAN!$A:$A,0)),
IF($B255="SCORIO",INDEX(CSCORIO!$A:$A,MATCH($C255,CSCORIO!#REF!,0)),
IF($B255="MERC",INDEX(MERCADO!$D:$D,MATCH($C255,MERCADO!$A:$A,0)),
IF($B255="COMP",INDEX(COMPOSICAO!$G:$G,MATCH($C255,COMPOSICAO!$A:$A,0)),
""))))))),"")</f>
        <v>und</v>
      </c>
      <c r="F255" s="208">
        <f>VLOOKUP(A255,'MEMÓRIA DE CÁLCULO'!A:H,8,0)</f>
        <v>1</v>
      </c>
      <c r="G255" s="202">
        <f>IFERROR(
IF($B255="DER-ES",INDEX('CDER-ES'!$D:$D,MATCH($C255,'CDER-ES'!$A:$A,0)),
IF($B255="SINAPI",INDEX(CSINAPI!$D:$D,MATCH($C255,CSINAPI!$A:$A,0)),
IF($B255="CESAN",INDEX(CCESAN!$D:$D,MATCH($C255,CCESAN!$A:$A,0)),
IF($B255="SCORIO",INDEX(CSCORIO!$B:$B,MATCH($C255,CSCORIO!#REF!,0)),
IF($B255="MERC",INDEX(MERCADO!$E:$E,MATCH($C255,MERCADO!$A:$A,0)),
IF($B255="COMP",INDEX(COMPOSICAO!$H:$H,MATCH($C255,COMPOSICAO!$A:$A,0)),
0)))))),0)</f>
        <v>91.37</v>
      </c>
      <c r="H255" s="202">
        <f t="shared" si="213"/>
        <v>114.21</v>
      </c>
      <c r="I255" s="209">
        <f t="shared" si="214"/>
        <v>114.21</v>
      </c>
      <c r="J255" s="225">
        <f t="shared" si="206"/>
        <v>7.0450163032817542E-3</v>
      </c>
    </row>
    <row r="256" spans="1:10" ht="38.25">
      <c r="A256" s="204" t="s">
        <v>28719</v>
      </c>
      <c r="B256" s="205" t="s">
        <v>1019</v>
      </c>
      <c r="C256" s="206">
        <v>86913</v>
      </c>
      <c r="D256" s="207" t="str">
        <f>IFERROR(PROPER(
IF($B256="DER-ES",INDEX('CDER-ES'!$B:$B,MATCH($C256,'CDER-ES'!$A:$A,0)),
IF($B256="SINAPI",INDEX(CSINAPI!$B:$B,MATCH($C256,CSINAPI!$A:$A,0)),
IF($B256="CESAN",INDEX(CCESAN!$B:$B,MATCH($C256,CCESAN!$A:$A,0)),
IF($B256="SCORIO",INDEX(CSCORIO!$B:$B,MATCH($C256,CSCORIO!$A:$A,0)),
IF($B256="MERC",INDEX(MERCADO!$B:$B,MATCH($C256,MERCADO!$A:$A,0)),
IF($B256="COMP",INDEX(COMPOSICAO!$B:$B,MATCH($C256,COMPOSICAO!$A:$A,0)),
""))))))),"*Verificar código*")</f>
        <v>Torneira Cromada 1/2 Ou 3/4 Para Tanque, Padrão Popular - Fornecimento E Instalação. Af_01/2020</v>
      </c>
      <c r="E256" s="200" t="str">
        <f>IFERROR(LOWER(
IF($B256="DER-ES",INDEX('CDER-ES'!$C:$C,MATCH($C256,'CDER-ES'!$A:$A,0)),
IF($B256="SINAPI",INDEX(CSINAPI!$C:$C,MATCH($C256,CSINAPI!$A:$A,0)),
IF($B256="CESAN",INDEX(CCESAN!$C:$C,MATCH($C256,CCESAN!$A:$A,0)),
IF($B256="SCORIO",INDEX(CSCORIO!$A:$A,MATCH($C256,CSCORIO!#REF!,0)),
IF($B256="MERC",INDEX(MERCADO!$D:$D,MATCH($C256,MERCADO!$A:$A,0)),
IF($B256="COMP",INDEX(COMPOSICAO!$G:$G,MATCH($C256,COMPOSICAO!$A:$A,0)),
""))))))),"")</f>
        <v>und</v>
      </c>
      <c r="F256" s="208">
        <f>VLOOKUP(A256,'MEMÓRIA DE CÁLCULO'!A:H,8,0)</f>
        <v>3</v>
      </c>
      <c r="G256" s="202">
        <f>IFERROR(
IF($B256="DER-ES",INDEX('CDER-ES'!$D:$D,MATCH($C256,'CDER-ES'!$A:$A,0)),
IF($B256="SINAPI",INDEX(CSINAPI!$D:$D,MATCH($C256,CSINAPI!$A:$A,0)),
IF($B256="CESAN",INDEX(CCESAN!$D:$D,MATCH($C256,CCESAN!$A:$A,0)),
IF($B256="SCORIO",INDEX(CSCORIO!$B:$B,MATCH($C256,CSCORIO!#REF!,0)),
IF($B256="MERC",INDEX(MERCADO!$E:$E,MATCH($C256,MERCADO!$A:$A,0)),
IF($B256="COMP",INDEX(COMPOSICAO!$H:$H,MATCH($C256,COMPOSICAO!$A:$A,0)),
0)))))),0)</f>
        <v>38.99</v>
      </c>
      <c r="H256" s="202">
        <f t="shared" si="213"/>
        <v>48.74</v>
      </c>
      <c r="I256" s="209">
        <f t="shared" si="214"/>
        <v>146.22</v>
      </c>
      <c r="J256" s="225">
        <f t="shared" si="206"/>
        <v>9.0195454326754063E-3</v>
      </c>
    </row>
    <row r="257" spans="1:10" ht="51">
      <c r="A257" s="204" t="s">
        <v>28720</v>
      </c>
      <c r="B257" s="205" t="s">
        <v>1019</v>
      </c>
      <c r="C257" s="206">
        <v>95547</v>
      </c>
      <c r="D257" s="207" t="str">
        <f>IFERROR(PROPER(
IF($B257="DER-ES",INDEX('CDER-ES'!$B:$B,MATCH($C257,'CDER-ES'!$A:$A,0)),
IF($B257="SINAPI",INDEX(CSINAPI!$B:$B,MATCH($C257,CSINAPI!$A:$A,0)),
IF($B257="CESAN",INDEX(CCESAN!$B:$B,MATCH($C257,CCESAN!$A:$A,0)),
IF($B257="SCORIO",INDEX(CSCORIO!$B:$B,MATCH($C257,CSCORIO!$A:$A,0)),
IF($B257="MERC",INDEX(MERCADO!$B:$B,MATCH($C257,MERCADO!$A:$A,0)),
IF($B257="COMP",INDEX(COMPOSICAO!$B:$B,MATCH($C257,COMPOSICAO!$A:$A,0)),
""))))))),"*Verificar código*")</f>
        <v>Saboneteira Plastica Tipo Dispenser Para Sabonete Liquido Com Reservatorio 800 A 1500 Ml, Incluso Fixação. Af_01/2020</v>
      </c>
      <c r="E257" s="200" t="str">
        <f>IFERROR(LOWER(
IF($B257="DER-ES",INDEX('CDER-ES'!$C:$C,MATCH($C257,'CDER-ES'!$A:$A,0)),
IF($B257="SINAPI",INDEX(CSINAPI!$C:$C,MATCH($C257,CSINAPI!$A:$A,0)),
IF($B257="CESAN",INDEX(CCESAN!$C:$C,MATCH($C257,CCESAN!$A:$A,0)),
IF($B257="SCORIO",INDEX(CSCORIO!$A:$A,MATCH($C257,CSCORIO!#REF!,0)),
IF($B257="MERC",INDEX(MERCADO!$D:$D,MATCH($C257,MERCADO!$A:$A,0)),
IF($B257="COMP",INDEX(COMPOSICAO!$G:$G,MATCH($C257,COMPOSICAO!$A:$A,0)),
""))))))),"")</f>
        <v>und</v>
      </c>
      <c r="F257" s="208">
        <f>VLOOKUP(A257,'MEMÓRIA DE CÁLCULO'!A:H,8,0)</f>
        <v>6</v>
      </c>
      <c r="G257" s="202">
        <f>IFERROR(
IF($B257="DER-ES",INDEX('CDER-ES'!$D:$D,MATCH($C257,'CDER-ES'!$A:$A,0)),
IF($B257="SINAPI",INDEX(CSINAPI!$D:$D,MATCH($C257,CSINAPI!$A:$A,0)),
IF($B257="CESAN",INDEX(CCESAN!$D:$D,MATCH($C257,CCESAN!$A:$A,0)),
IF($B257="SCORIO",INDEX(CSCORIO!$B:$B,MATCH($C257,CSCORIO!#REF!,0)),
IF($B257="MERC",INDEX(MERCADO!$E:$E,MATCH($C257,MERCADO!$A:$A,0)),
IF($B257="COMP",INDEX(COMPOSICAO!$H:$H,MATCH($C257,COMPOSICAO!$A:$A,0)),
0)))))),0)</f>
        <v>78.63</v>
      </c>
      <c r="H257" s="202">
        <f t="shared" si="213"/>
        <v>98.29</v>
      </c>
      <c r="I257" s="209">
        <f t="shared" si="214"/>
        <v>589.74</v>
      </c>
      <c r="J257" s="225">
        <f t="shared" si="206"/>
        <v>3.6377969658500847E-2</v>
      </c>
    </row>
    <row r="258" spans="1:10" ht="25.5">
      <c r="A258" s="204" t="s">
        <v>28721</v>
      </c>
      <c r="B258" s="205" t="s">
        <v>1020</v>
      </c>
      <c r="C258" s="206">
        <v>38</v>
      </c>
      <c r="D258" s="207" t="str">
        <f>IFERROR(PROPER(
IF($B258="DER-ES",INDEX('CDER-ES'!$B:$B,MATCH($C258,'CDER-ES'!$A:$A,0)),
IF($B258="SINAPI",INDEX(CSINAPI!$B:$B,MATCH($C258,CSINAPI!$A:$A,0)),
IF($B258="CESAN",INDEX(CCESAN!$B:$B,MATCH($C258,CCESAN!$A:$A,0)),
IF($B258="SCORIO",INDEX(CSCORIO!$B:$B,MATCH($C258,CSCORIO!$A:$A,0)),
IF($B258="MERC",INDEX(MERCADO!$B:$B,MATCH($C258,MERCADO!$A:$A,0)),
IF($B258="COMP",INDEX(COMPOSICAO!$B:$B,MATCH($C258,COMPOSICAO!$A:$A,0)),
""))))))),"*Verificar código*")</f>
        <v>Toalheiro Plástico Tipo Dispenser Para Papel Toalha Interfolhado</v>
      </c>
      <c r="E258" s="200" t="str">
        <f>IFERROR(LOWER(
IF($B258="DER-ES",INDEX('CDER-ES'!$C:$C,MATCH($C258,'CDER-ES'!$A:$A,0)),
IF($B258="SINAPI",INDEX(CSINAPI!$C:$C,MATCH($C258,CSINAPI!$A:$A,0)),
IF($B258="CESAN",INDEX(CCESAN!$C:$C,MATCH($C258,CCESAN!$A:$A,0)),
IF($B258="SCORIO",INDEX(CSCORIO!$A:$A,MATCH($C258,CSCORIO!#REF!,0)),
IF($B258="MERC",INDEX(MERCADO!$D:$D,MATCH($C258,MERCADO!$A:$A,0)),
IF($B258="COMP",INDEX(COMPOSICAO!$G:$G,MATCH($C258,COMPOSICAO!$A:$A,0)),
""))))))),"")</f>
        <v>und.</v>
      </c>
      <c r="F258" s="208">
        <f>VLOOKUP(A258,'MEMÓRIA DE CÁLCULO'!A:H,8,0)</f>
        <v>6</v>
      </c>
      <c r="G258" s="202">
        <f>IFERROR(
IF($B258="DER-ES",INDEX('CDER-ES'!$D:$D,MATCH($C258,'CDER-ES'!$A:$A,0)),
IF($B258="SINAPI",INDEX(CSINAPI!$D:$D,MATCH($C258,CSINAPI!$A:$A,0)),
IF($B258="CESAN",INDEX(CCESAN!$D:$D,MATCH($C258,CCESAN!$A:$A,0)),
IF($B258="SCORIO",INDEX(CSCORIO!$B:$B,MATCH($C258,CSCORIO!#REF!,0)),
IF($B258="MERC",INDEX(MERCADO!$E:$E,MATCH($C258,MERCADO!$A:$A,0)),
IF($B258="COMP",INDEX(COMPOSICAO!$H:$H,MATCH($C258,COMPOSICAO!$A:$A,0)),
0)))))),0)</f>
        <v>81.509999999999991</v>
      </c>
      <c r="H258" s="202">
        <f t="shared" ref="H258" si="217">ROUND(G258*(1+$J$2),2)</f>
        <v>101.89</v>
      </c>
      <c r="I258" s="209">
        <f t="shared" ref="I258" si="218">ROUND($H258*F258,2)</f>
        <v>611.34</v>
      </c>
      <c r="J258" s="225">
        <f t="shared" si="206"/>
        <v>3.7710360448719622E-2</v>
      </c>
    </row>
    <row r="259" spans="1:10" ht="25.5">
      <c r="A259" s="204" t="s">
        <v>28724</v>
      </c>
      <c r="B259" s="205" t="s">
        <v>1020</v>
      </c>
      <c r="C259" s="206">
        <v>39</v>
      </c>
      <c r="D259" s="207" t="str">
        <f>IFERROR(PROPER(
IF($B259="DER-ES",INDEX('CDER-ES'!$B:$B,MATCH($C259,'CDER-ES'!$A:$A,0)),
IF($B259="SINAPI",INDEX(CSINAPI!$B:$B,MATCH($C259,CSINAPI!$A:$A,0)),
IF($B259="CESAN",INDEX(CCESAN!$B:$B,MATCH($C259,CCESAN!$A:$A,0)),
IF($B259="SCORIO",INDEX(CSCORIO!$B:$B,MATCH($C259,CSCORIO!$A:$A,0)),
IF($B259="MERC",INDEX(MERCADO!$B:$B,MATCH($C259,MERCADO!$A:$A,0)),
IF($B259="COMP",INDEX(COMPOSICAO!$B:$B,MATCH($C259,COMPOSICAO!$A:$A,0)),
""))))))),"*Verificar código*")</f>
        <v>Ducha Manual Higiênica, Plástica, Com Registro Metálico</v>
      </c>
      <c r="E259" s="200" t="str">
        <f>IFERROR(LOWER(
IF($B259="DER-ES",INDEX('CDER-ES'!$C:$C,MATCH($C259,'CDER-ES'!$A:$A,0)),
IF($B259="SINAPI",INDEX(CSINAPI!$C:$C,MATCH($C259,CSINAPI!$A:$A,0)),
IF($B259="CESAN",INDEX(CCESAN!$C:$C,MATCH($C259,CCESAN!$A:$A,0)),
IF($B259="SCORIO",INDEX(CSCORIO!$A:$A,MATCH($C259,CSCORIO!#REF!,0)),
IF($B259="MERC",INDEX(MERCADO!$D:$D,MATCH($C259,MERCADO!$A:$A,0)),
IF($B259="COMP",INDEX(COMPOSICAO!$G:$G,MATCH($C259,COMPOSICAO!$A:$A,0)),
""))))))),"")</f>
        <v>und.</v>
      </c>
      <c r="F259" s="208">
        <f>VLOOKUP(A259,'MEMÓRIA DE CÁLCULO'!A:H,8,0)</f>
        <v>6</v>
      </c>
      <c r="G259" s="202">
        <f>IFERROR(
IF($B259="DER-ES",INDEX('CDER-ES'!$D:$D,MATCH($C259,'CDER-ES'!$A:$A,0)),
IF($B259="SINAPI",INDEX(CSINAPI!$D:$D,MATCH($C259,CSINAPI!$A:$A,0)),
IF($B259="CESAN",INDEX(CCESAN!$D:$D,MATCH($C259,CCESAN!$A:$A,0)),
IF($B259="SCORIO",INDEX(CSCORIO!$B:$B,MATCH($C259,CSCORIO!#REF!,0)),
IF($B259="MERC",INDEX(MERCADO!$E:$E,MATCH($C259,MERCADO!$A:$A,0)),
IF($B259="COMP",INDEX(COMPOSICAO!$H:$H,MATCH($C259,COMPOSICAO!$A:$A,0)),
0)))))),0)</f>
        <v>108.12</v>
      </c>
      <c r="H259" s="202">
        <f t="shared" si="213"/>
        <v>135.15</v>
      </c>
      <c r="I259" s="209">
        <f t="shared" si="214"/>
        <v>810.9</v>
      </c>
      <c r="J259" s="225">
        <f t="shared" si="206"/>
        <v>5.0020170916129716E-2</v>
      </c>
    </row>
    <row r="260" spans="1:10" ht="25.5">
      <c r="A260" s="204" t="s">
        <v>28725</v>
      </c>
      <c r="B260" s="205" t="s">
        <v>1020</v>
      </c>
      <c r="C260" s="206">
        <v>40</v>
      </c>
      <c r="D260" s="207" t="str">
        <f>IFERROR(PROPER(
IF($B260="DER-ES",INDEX('CDER-ES'!$B:$B,MATCH($C260,'CDER-ES'!$A:$A,0)),
IF($B260="SINAPI",INDEX(CSINAPI!$B:$B,MATCH($C260,CSINAPI!$A:$A,0)),
IF($B260="CESAN",INDEX(CCESAN!$B:$B,MATCH($C260,CCESAN!$A:$A,0)),
IF($B260="SCORIO",INDEX(CSCORIO!$B:$B,MATCH($C260,CSCORIO!$A:$A,0)),
IF($B260="MERC",INDEX(MERCADO!$B:$B,MATCH($C260,MERCADO!$A:$A,0)),
IF($B260="COMP",INDEX(COMPOSICAO!$B:$B,MATCH($C260,COMPOSICAO!$A:$A,0)),
""))))))),"*Verificar código*")</f>
        <v>Espelho Prata, Espessura 4 Mm Fixado Com Botão Frances Cromado</v>
      </c>
      <c r="E260" s="200" t="str">
        <f>IFERROR(LOWER(
IF($B260="DER-ES",INDEX('CDER-ES'!$C:$C,MATCH($C260,'CDER-ES'!$A:$A,0)),
IF($B260="SINAPI",INDEX(CSINAPI!$C:$C,MATCH($C260,CSINAPI!$A:$A,0)),
IF($B260="CESAN",INDEX(CCESAN!$C:$C,MATCH($C260,CCESAN!$A:$A,0)),
IF($B260="SCORIO",INDEX(CSCORIO!$A:$A,MATCH($C260,CSCORIO!#REF!,0)),
IF($B260="MERC",INDEX(MERCADO!$D:$D,MATCH($C260,MERCADO!$A:$A,0)),
IF($B260="COMP",INDEX(COMPOSICAO!$G:$G,MATCH($C260,COMPOSICAO!$A:$A,0)),
""))))))),"")</f>
        <v>m²</v>
      </c>
      <c r="F260" s="208">
        <f>VLOOKUP(A260,'MEMÓRIA DE CÁLCULO'!A:H,8,0)</f>
        <v>2.4300000000000002</v>
      </c>
      <c r="G260" s="202">
        <f>IFERROR(
IF($B260="DER-ES",INDEX('CDER-ES'!$D:$D,MATCH($C260,'CDER-ES'!$A:$A,0)),
IF($B260="SINAPI",INDEX(CSINAPI!$D:$D,MATCH($C260,CSINAPI!$A:$A,0)),
IF($B260="CESAN",INDEX(CCESAN!$D:$D,MATCH($C260,CCESAN!$A:$A,0)),
IF($B260="SCORIO",INDEX(CSCORIO!$B:$B,MATCH($C260,CSCORIO!#REF!,0)),
IF($B260="MERC",INDEX(MERCADO!$E:$E,MATCH($C260,MERCADO!$A:$A,0)),
IF($B260="COMP",INDEX(COMPOSICAO!$H:$H,MATCH($C260,COMPOSICAO!$A:$A,0)),
0)))))),0)</f>
        <v>555.98</v>
      </c>
      <c r="H260" s="202">
        <f t="shared" si="213"/>
        <v>694.98</v>
      </c>
      <c r="I260" s="209">
        <f t="shared" si="214"/>
        <v>1688.8</v>
      </c>
      <c r="J260" s="225">
        <f t="shared" si="206"/>
        <v>0.10417322067228987</v>
      </c>
    </row>
    <row r="261" spans="1:10" ht="25.5">
      <c r="A261" s="204" t="s">
        <v>29105</v>
      </c>
      <c r="B261" s="205" t="s">
        <v>26583</v>
      </c>
      <c r="C261" s="206">
        <v>210210</v>
      </c>
      <c r="D261" s="207" t="str">
        <f>IFERROR(PROPER(
IF($B261="DER-ES",INDEX('CDER-ES'!$B:$B,MATCH($C261,'CDER-ES'!$A:$A,0)),
IF($B261="SINAPI",INDEX(CSINAPI!$B:$B,MATCH($C261,CSINAPI!$A:$A,0)),
IF($B261="CESAN",INDEX(CCESAN!$B:$B,MATCH($C261,CCESAN!$A:$A,0)),
IF($B261="SCORIO",INDEX(CSCORIO!$B:$B,MATCH($C261,CSCORIO!$A:$A,0)),
IF($B261="MERC",INDEX(MERCADO!$B:$B,MATCH($C261,MERCADO!$A:$A,0)),
IF($B261="COMP",INDEX(COMPOSICAO!$B:$B,MATCH($C261,COMPOSICAO!$A:$A,0)),
""))))))),"*Verificar código*")</f>
        <v>Prateleiras Em Granito Cinza Andorinha, Esp. 2Cm</v>
      </c>
      <c r="E261" s="200" t="str">
        <f>IFERROR(LOWER(
IF($B261="DER-ES",INDEX('CDER-ES'!$C:$C,MATCH($C261,'CDER-ES'!$A:$A,0)),
IF($B261="SINAPI",INDEX(CSINAPI!$C:$C,MATCH($C261,CSINAPI!$A:$A,0)),
IF($B261="CESAN",INDEX(CCESAN!$C:$C,MATCH($C261,CCESAN!$A:$A,0)),
IF($B261="SCORIO",INDEX(CSCORIO!$A:$A,MATCH($C261,CSCORIO!#REF!,0)),
IF($B261="MERC",INDEX(MERCADO!$D:$D,MATCH($C261,MERCADO!$A:$A,0)),
IF($B261="COMP",INDEX(COMPOSICAO!$G:$G,MATCH($C261,COMPOSICAO!$A:$A,0)),
""))))))),"")</f>
        <v>m²</v>
      </c>
      <c r="F261" s="208">
        <f>VLOOKUP(A261,'MEMÓRIA DE CÁLCULO'!A:H,8,0)</f>
        <v>2.1</v>
      </c>
      <c r="G261" s="202">
        <f>IFERROR(
IF($B261="DER-ES",INDEX('CDER-ES'!$D:$D,MATCH($C261,'CDER-ES'!$A:$A,0)),
IF($B261="SINAPI",INDEX(CSINAPI!$D:$D,MATCH($C261,CSINAPI!$A:$A,0)),
IF($B261="CESAN",INDEX(CCESAN!$D:$D,MATCH($C261,CCESAN!$A:$A,0)),
IF($B261="SCORIO",INDEX(CSCORIO!$B:$B,MATCH($C261,CSCORIO!#REF!,0)),
IF($B261="MERC",INDEX(MERCADO!$E:$E,MATCH($C261,MERCADO!$A:$A,0)),
IF($B261="COMP",INDEX(COMPOSICAO!$H:$H,MATCH($C261,COMPOSICAO!$A:$A,0)),
0)))))),0)</f>
        <v>321.22000000000003</v>
      </c>
      <c r="H261" s="202">
        <f t="shared" si="204"/>
        <v>401.53</v>
      </c>
      <c r="I261" s="209">
        <f t="shared" si="205"/>
        <v>843.21</v>
      </c>
      <c r="J261" s="225">
        <f t="shared" si="206"/>
        <v>5.2013205473165298E-2</v>
      </c>
    </row>
    <row r="262" spans="1:10" ht="25.5">
      <c r="A262" s="196" t="s">
        <v>26609</v>
      </c>
      <c r="B262" s="197"/>
      <c r="C262" s="198"/>
      <c r="D262" s="199" t="s">
        <v>26567</v>
      </c>
      <c r="E262" s="200"/>
      <c r="F262" s="201"/>
      <c r="G262" s="202"/>
      <c r="H262" s="202"/>
      <c r="I262" s="203">
        <f>SUBTOTAL(9,I263:I268)</f>
        <v>106731.57</v>
      </c>
      <c r="J262" s="224">
        <f>SUBTOTAL(9,J263:J268)</f>
        <v>0.99999999999999989</v>
      </c>
    </row>
    <row r="263" spans="1:10" ht="25.5">
      <c r="A263" s="204" t="s">
        <v>26610</v>
      </c>
      <c r="B263" s="205" t="s">
        <v>26583</v>
      </c>
      <c r="C263" s="206">
        <v>40801</v>
      </c>
      <c r="D263" s="207" t="str">
        <f>IFERROR(PROPER(
IF($B263="DER-ES",INDEX('CDER-ES'!$B:$B,MATCH($C263,'CDER-ES'!$A:$A,0)),
IF($B263="SINAPI",INDEX(CSINAPI!$B:$B,MATCH($C263,CSINAPI!$A:$A,0)),
IF($B263="CESAN",INDEX(CCESAN!$B:$B,MATCH($C263,CCESAN!$A:$A,0)),
IF($B263="SCORIO",INDEX(CSCORIO!$B:$B,MATCH($C263,CSCORIO!$A:$A,0)),
IF($B263="MERC",INDEX(MERCADO!$B:$B,MATCH($C263,MERCADO!$A:$A,0)),
IF($B263="COMP",INDEX(COMPOSICAO!$B:$B,MATCH($C263,COMPOSICAO!$A:$A,0)),
""))))))),"*Verificar código*")</f>
        <v>Remoção Cuidadosa Do Concreto Afetado, Através De Escarificação</v>
      </c>
      <c r="E263" s="200" t="str">
        <f>IFERROR(LOWER(
IF($B263="DER-ES",INDEX('CDER-ES'!$C:$C,MATCH($C263,'CDER-ES'!$A:$A,0)),
IF($B263="SINAPI",INDEX(CSINAPI!$C:$C,MATCH($C263,CSINAPI!$A:$A,0)),
IF($B263="CESAN",INDEX(CCESAN!$C:$C,MATCH($C263,CCESAN!$A:$A,0)),
IF($B263="SCORIO",INDEX(CSCORIO!$C:$C,MATCH($C263,CSCORIO!$A:$A,0)),
IF($B263="MERC",INDEX(MERCADO!$D:$D,MATCH($C263,MERCADO!$A:$A,0)),
IF($B263="COMP",INDEX(COMPOSICAO!$G:$G,MATCH($C263,COMPOSICAO!$A:$A,0)),
""))))))),"")</f>
        <v>m³</v>
      </c>
      <c r="F263" s="208">
        <f>VLOOKUP(A263,'MEMÓRIA DE CÁLCULO'!A:H,8,0)</f>
        <v>0.03</v>
      </c>
      <c r="G263" s="202">
        <f>IFERROR(
IF($B263="DER-ES",INDEX('CDER-ES'!$D:$D,MATCH($C263,'CDER-ES'!$A:$A,0)),
IF($B263="SINAPI",INDEX(CSINAPI!$D:$D,MATCH($C263,CSINAPI!$A:$A,0)),
IF($B263="CESAN",INDEX(CCESAN!$D:$D,MATCH($C263,CCESAN!$A:$A,0)),
IF($B263="SCORIO",INDEX(CSCORIO!$D:$D,MATCH($C263,CSCORIO!$A:$A,0)),
IF($B263="MERC",INDEX(MERCADO!$E:$E,MATCH($C263,MERCADO!$A:$A,0)),
IF($B263="COMP",INDEX(COMPOSICAO!$H:$H,MATCH($C263,COMPOSICAO!$A:$A,0)),
0)))))),0)</f>
        <v>2379.89</v>
      </c>
      <c r="H263" s="202">
        <f t="shared" ref="H263:H268" si="219">ROUND(G263*(1+$J$2),2)</f>
        <v>2974.86</v>
      </c>
      <c r="I263" s="209">
        <f t="shared" ref="I263:I268" si="220">ROUND($H263*F263,2)</f>
        <v>89.25</v>
      </c>
      <c r="J263" s="225">
        <f>I263/I$262</f>
        <v>8.3620994238162139E-4</v>
      </c>
    </row>
    <row r="264" spans="1:10" ht="63.75">
      <c r="A264" s="204" t="s">
        <v>26611</v>
      </c>
      <c r="B264" s="205" t="s">
        <v>26583</v>
      </c>
      <c r="C264" s="206">
        <v>40806</v>
      </c>
      <c r="D264" s="207" t="str">
        <f>IFERROR(PROPER(
IF($B264="DER-ES",INDEX('CDER-ES'!$B:$B,MATCH($C264,'CDER-ES'!$A:$A,0)),
IF($B264="SINAPI",INDEX(CSINAPI!$B:$B,MATCH($C264,CSINAPI!$A:$A,0)),
IF($B264="CESAN",INDEX(CCESAN!$B:$B,MATCH($C264,CCESAN!$A:$A,0)),
IF($B264="SCORIO",INDEX(CSCORIO!$B:$B,MATCH($C264,CSCORIO!$A:$A,0)),
IF($B264="MERC",INDEX(MERCADO!$B:$B,MATCH($C264,MERCADO!$A:$A,0)),
IF($B264="COMP",INDEX(COMPOSICAO!$B:$B,MATCH($C264,COMPOSICAO!$A:$A,0)),
""))))))),"*Verificar código*")</f>
        <v>Limpeza De Aço Com Lixamento E Escovamento Com Escova De Aço, Até A Completa Remoção De Partículas Soltas, Materiais Indesejáveis E Corrosão</v>
      </c>
      <c r="E264" s="200" t="str">
        <f>IFERROR(LOWER(
IF($B264="DER-ES",INDEX('CDER-ES'!$C:$C,MATCH($C264,'CDER-ES'!$A:$A,0)),
IF($B264="SINAPI",INDEX(CSINAPI!$C:$C,MATCH($C264,CSINAPI!$A:$A,0)),
IF($B264="CESAN",INDEX(CCESAN!$C:$C,MATCH($C264,CCESAN!$A:$A,0)),
IF($B264="SCORIO",INDEX(CSCORIO!$C:$C,MATCH($C264,CSCORIO!$A:$A,0)),
IF($B264="MERC",INDEX(MERCADO!$D:$D,MATCH($C264,MERCADO!$A:$A,0)),
IF($B264="COMP",INDEX(COMPOSICAO!$G:$G,MATCH($C264,COMPOSICAO!$A:$A,0)),
""))))))),"")</f>
        <v>m²</v>
      </c>
      <c r="F264" s="208">
        <f>VLOOKUP(A264,'MEMÓRIA DE CÁLCULO'!A:H,8,0)</f>
        <v>0.6</v>
      </c>
      <c r="G264" s="202">
        <f>IFERROR(
IF($B264="DER-ES",INDEX('CDER-ES'!$D:$D,MATCH($C264,'CDER-ES'!$A:$A,0)),
IF($B264="SINAPI",INDEX(CSINAPI!$D:$D,MATCH($C264,CSINAPI!$A:$A,0)),
IF($B264="CESAN",INDEX(CCESAN!$D:$D,MATCH($C264,CCESAN!$A:$A,0)),
IF($B264="SCORIO",INDEX(CSCORIO!$D:$D,MATCH($C264,CSCORIO!$A:$A,0)),
IF($B264="MERC",INDEX(MERCADO!$E:$E,MATCH($C264,MERCADO!$A:$A,0)),
IF($B264="COMP",INDEX(COMPOSICAO!$H:$H,MATCH($C264,COMPOSICAO!$A:$A,0)),
0)))))),0)</f>
        <v>21.08</v>
      </c>
      <c r="H264" s="202">
        <f t="shared" si="219"/>
        <v>26.35</v>
      </c>
      <c r="I264" s="209">
        <f t="shared" si="220"/>
        <v>15.81</v>
      </c>
      <c r="J264" s="225">
        <f t="shared" ref="J264:J268" si="221">I264/I$262</f>
        <v>1.4812861836474437E-4</v>
      </c>
    </row>
    <row r="265" spans="1:10" ht="38.25">
      <c r="A265" s="204" t="s">
        <v>26612</v>
      </c>
      <c r="B265" s="205" t="s">
        <v>26583</v>
      </c>
      <c r="C265" s="206">
        <v>40807</v>
      </c>
      <c r="D265" s="207" t="str">
        <f>IFERROR(PROPER(
IF($B265="DER-ES",INDEX('CDER-ES'!$B:$B,MATCH($C265,'CDER-ES'!$A:$A,0)),
IF($B265="SINAPI",INDEX(CSINAPI!$B:$B,MATCH($C265,CSINAPI!$A:$A,0)),
IF($B265="CESAN",INDEX(CCESAN!$B:$B,MATCH($C265,CCESAN!$A:$A,0)),
IF($B265="SCORIO",INDEX(CSCORIO!$B:$B,MATCH($C265,CSCORIO!$A:$A,0)),
IF($B265="MERC",INDEX(MERCADO!$B:$B,MATCH($C265,MERCADO!$A:$A,0)),
IF($B265="COMP",INDEX(COMPOSICAO!$B:$B,MATCH($C265,COMPOSICAO!$A:$A,0)),
""))))))),"*Verificar código*")</f>
        <v>Aplicação De Sika Top 108 Armatec Ou Equivalente, Nas Ferragens A Serem Recuperadas</v>
      </c>
      <c r="E265" s="200" t="str">
        <f>IFERROR(LOWER(
IF($B265="DER-ES",INDEX('CDER-ES'!$C:$C,MATCH($C265,'CDER-ES'!$A:$A,0)),
IF($B265="SINAPI",INDEX(CSINAPI!$C:$C,MATCH($C265,CSINAPI!$A:$A,0)),
IF($B265="CESAN",INDEX(CCESAN!$C:$C,MATCH($C265,CCESAN!$A:$A,0)),
IF($B265="SCORIO",INDEX(CSCORIO!$C:$C,MATCH($C265,CSCORIO!$A:$A,0)),
IF($B265="MERC",INDEX(MERCADO!$D:$D,MATCH($C265,MERCADO!$A:$A,0)),
IF($B265="COMP",INDEX(COMPOSICAO!$G:$G,MATCH($C265,COMPOSICAO!$A:$A,0)),
""))))))),"")</f>
        <v>m²</v>
      </c>
      <c r="F265" s="208">
        <f>VLOOKUP(A265,'MEMÓRIA DE CÁLCULO'!A:H,8,0)</f>
        <v>0.6</v>
      </c>
      <c r="G265" s="202">
        <f>IFERROR(
IF($B265="DER-ES",INDEX('CDER-ES'!$D:$D,MATCH($C265,'CDER-ES'!$A:$A,0)),
IF($B265="SINAPI",INDEX(CSINAPI!$D:$D,MATCH($C265,CSINAPI!$A:$A,0)),
IF($B265="CESAN",INDEX(CCESAN!$D:$D,MATCH($C265,CCESAN!$A:$A,0)),
IF($B265="SCORIO",INDEX(CSCORIO!$D:$D,MATCH($C265,CSCORIO!$A:$A,0)),
IF($B265="MERC",INDEX(MERCADO!$E:$E,MATCH($C265,MERCADO!$A:$A,0)),
IF($B265="COMP",INDEX(COMPOSICAO!$H:$H,MATCH($C265,COMPOSICAO!$A:$A,0)),
0)))))),0)</f>
        <v>64.33</v>
      </c>
      <c r="H265" s="202">
        <f t="shared" si="219"/>
        <v>80.41</v>
      </c>
      <c r="I265" s="209">
        <f t="shared" si="220"/>
        <v>48.25</v>
      </c>
      <c r="J265" s="225">
        <f t="shared" si="221"/>
        <v>4.5206868033516231E-4</v>
      </c>
    </row>
    <row r="266" spans="1:10" ht="63.75">
      <c r="A266" s="204" t="s">
        <v>26628</v>
      </c>
      <c r="B266" s="205" t="s">
        <v>26583</v>
      </c>
      <c r="C266" s="206">
        <v>40817</v>
      </c>
      <c r="D266" s="207" t="str">
        <f>IFERROR(PROPER(
IF($B266="DER-ES",INDEX('CDER-ES'!$B:$B,MATCH($C266,'CDER-ES'!$A:$A,0)),
IF($B266="SINAPI",INDEX(CSINAPI!$B:$B,MATCH($C266,CSINAPI!$A:$A,0)),
IF($B266="CESAN",INDEX(CCESAN!$B:$B,MATCH($C266,CCESAN!$A:$A,0)),
IF($B266="SCORIO",INDEX(CSCORIO!$B:$B,MATCH($C266,CSCORIO!$A:$A,0)),
IF($B266="MERC",INDEX(MERCADO!$B:$B,MATCH($C266,MERCADO!$A:$A,0)),
IF($B266="COMP",INDEX(COMPOSICAO!$B:$B,MATCH($C266,COMPOSICAO!$A:$A,0)),
""))))))),"*Verificar código*")</f>
        <v>Fornecimento E Lançamento De Concreto Para Grouteamento Com Adição De Pedrisco (50% Em Peso), Utilizando Sikagrout Ou Produto Equivalente, Exclusive Forma</v>
      </c>
      <c r="E266" s="200" t="str">
        <f>IFERROR(LOWER(
IF($B266="DER-ES",INDEX('CDER-ES'!$C:$C,MATCH($C266,'CDER-ES'!$A:$A,0)),
IF($B266="SINAPI",INDEX(CSINAPI!$C:$C,MATCH($C266,CSINAPI!$A:$A,0)),
IF($B266="CESAN",INDEX(CCESAN!$C:$C,MATCH($C266,CCESAN!$A:$A,0)),
IF($B266="SCORIO",INDEX(CSCORIO!$C:$C,MATCH($C266,CSCORIO!$A:$A,0)),
IF($B266="MERC",INDEX(MERCADO!$D:$D,MATCH($C266,MERCADO!$A:$A,0)),
IF($B266="COMP",INDEX(COMPOSICAO!$G:$G,MATCH($C266,COMPOSICAO!$A:$A,0)),
""))))))),"")</f>
        <v>m³</v>
      </c>
      <c r="F266" s="208">
        <f>VLOOKUP(A266,'MEMÓRIA DE CÁLCULO'!A:H,8,0)</f>
        <v>0.03</v>
      </c>
      <c r="G266" s="202">
        <f>IFERROR(
IF($B266="DER-ES",INDEX('CDER-ES'!$D:$D,MATCH($C266,'CDER-ES'!$A:$A,0)),
IF($B266="SINAPI",INDEX(CSINAPI!$D:$D,MATCH($C266,CSINAPI!$A:$A,0)),
IF($B266="CESAN",INDEX(CCESAN!$D:$D,MATCH($C266,CCESAN!$A:$A,0)),
IF($B266="SCORIO",INDEX(CSCORIO!$D:$D,MATCH($C266,CSCORIO!$A:$A,0)),
IF($B266="MERC",INDEX(MERCADO!$E:$E,MATCH($C266,MERCADO!$A:$A,0)),
IF($B266="COMP",INDEX(COMPOSICAO!$H:$H,MATCH($C266,COMPOSICAO!$A:$A,0)),
0)))))),0)</f>
        <v>2812.31</v>
      </c>
      <c r="H266" s="202">
        <f t="shared" si="219"/>
        <v>3515.39</v>
      </c>
      <c r="I266" s="209">
        <f t="shared" si="220"/>
        <v>105.46</v>
      </c>
      <c r="J266" s="225">
        <f t="shared" si="221"/>
        <v>9.8808628037608736E-4</v>
      </c>
    </row>
    <row r="267" spans="1:10" ht="63.75">
      <c r="A267" s="204" t="s">
        <v>26629</v>
      </c>
      <c r="B267" s="205" t="s">
        <v>26583</v>
      </c>
      <c r="C267" s="206">
        <v>40249</v>
      </c>
      <c r="D267" s="207" t="str">
        <f>IFERROR(PROPER(
IF($B267="DER-ES",INDEX('CDER-ES'!$B:$B,MATCH($C267,'CDER-ES'!$A:$A,0)),
IF($B267="SINAPI",INDEX(CSINAPI!$B:$B,MATCH($C267,CSINAPI!$A:$A,0)),
IF($B267="CESAN",INDEX(CCESAN!$B:$B,MATCH($C267,CCESAN!$A:$A,0)),
IF($B267="SCORIO",INDEX(CSCORIO!$B:$B,MATCH($C267,CSCORIO!$A:$A,0)),
IF($B267="MERC",INDEX(MERCADO!$B:$B,MATCH($C267,MERCADO!$A:$A,0)),
IF($B267="COMP",INDEX(COMPOSICAO!$B:$B,MATCH($C267,COMPOSICAO!$A:$A,0)),
""))))))),"*Verificar código*")</f>
        <v>Fôrma De Tábua De Madeira De 2.5X30.0Cm, Levando-Se Em Conta Utilização 1 Vez (Incluindo O Material, Corte, Montagem, Escoramento E Desforma)</v>
      </c>
      <c r="E267" s="200" t="str">
        <f>IFERROR(LOWER(
IF($B267="DER-ES",INDEX('CDER-ES'!$C:$C,MATCH($C267,'CDER-ES'!$A:$A,0)),
IF($B267="SINAPI",INDEX(CSINAPI!$C:$C,MATCH($C267,CSINAPI!$A:$A,0)),
IF($B267="CESAN",INDEX(CCESAN!$C:$C,MATCH($C267,CCESAN!$A:$A,0)),
IF($B267="SCORIO",INDEX(CSCORIO!$C:$C,MATCH($C267,CSCORIO!$A:$A,0)),
IF($B267="MERC",INDEX(MERCADO!$D:$D,MATCH($C267,MERCADO!$A:$A,0)),
IF($B267="COMP",INDEX(COMPOSICAO!$G:$G,MATCH($C267,COMPOSICAO!$A:$A,0)),
""))))))),"")</f>
        <v>m²</v>
      </c>
      <c r="F267" s="208">
        <f>VLOOKUP(A267,'MEMÓRIA DE CÁLCULO'!A:H,8,0)</f>
        <v>0.6</v>
      </c>
      <c r="G267" s="202">
        <f>IFERROR(
IF($B267="DER-ES",INDEX('CDER-ES'!$D:$D,MATCH($C267,'CDER-ES'!$A:$A,0)),
IF($B267="SINAPI",INDEX(CSINAPI!$D:$D,MATCH($C267,CSINAPI!$A:$A,0)),
IF($B267="CESAN",INDEX(CCESAN!$D:$D,MATCH($C267,CCESAN!$A:$A,0)),
IF($B267="SCORIO",INDEX(CSCORIO!$D:$D,MATCH($C267,CSCORIO!$A:$A,0)),
IF($B267="MERC",INDEX(MERCADO!$E:$E,MATCH($C267,MERCADO!$A:$A,0)),
IF($B267="COMP",INDEX(COMPOSICAO!$H:$H,MATCH($C267,COMPOSICAO!$A:$A,0)),
0)))))),0)</f>
        <v>127.4</v>
      </c>
      <c r="H267" s="202">
        <f t="shared" si="219"/>
        <v>159.25</v>
      </c>
      <c r="I267" s="209">
        <f t="shared" si="220"/>
        <v>95.55</v>
      </c>
      <c r="J267" s="225">
        <f t="shared" si="221"/>
        <v>8.9523652654973588E-4</v>
      </c>
    </row>
    <row r="268" spans="1:10" ht="369.75">
      <c r="A268" s="204" t="s">
        <v>29134</v>
      </c>
      <c r="B268" s="205" t="s">
        <v>2173</v>
      </c>
      <c r="C268" s="206" t="s">
        <v>7948</v>
      </c>
      <c r="D268" s="207" t="str">
        <f>IFERROR(PROPER(
IF($B268="DER-ES",INDEX('CDER-ES'!$B:$B,MATCH($C268,'CDER-ES'!$A:$A,0)),
IF($B268="SINAPI",INDEX(CSINAPI!$B:$B,MATCH($C268,CSINAPI!$A:$A,0)),
IF($B268="CESAN",INDEX(CCESAN!$B:$B,MATCH($C268,CCESAN!$A:$A,0)),
IF($B268="SCORIO",INDEX(CSCORIO!$B:$B,MATCH($C268,CSCORIO!$A:$A,0)),
IF($B268="MERC",INDEX(MERCADO!$B:$B,MATCH($C268,MERCADO!$A:$A,0)),
IF($B268="COMP",INDEX(COMPOSICAO!$B:$B,MATCH($C268,COMPOSICAO!$A:$A,0)),
""))))))),"*Verificar código*")</f>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Instalação.(Desonerado)</v>
      </c>
      <c r="E268" s="200" t="str">
        <f>IFERROR(LOWER(
IF($B268="DER-ES",INDEX('CDER-ES'!$C:$C,MATCH($C268,'CDER-ES'!$A:$A,0)),
IF($B268="SINAPI",INDEX(CSINAPI!$C:$C,MATCH($C268,CSINAPI!$A:$A,0)),
IF($B268="CESAN",INDEX(CCESAN!$C:$C,MATCH($C268,CCESAN!$A:$A,0)),
IF($B268="SCORIO",INDEX(CSCORIO!$C:$C,MATCH($C268,CSCORIO!$A:$A,0)),
IF($B268="MERC",INDEX(MERCADO!$D:$D,MATCH($C268,MERCADO!$A:$A,0)),
IF($B268="COMP",INDEX(COMPOSICAO!$G:$G,MATCH($C268,COMPOSICAO!$A:$A,0)),
""))))))),"")</f>
        <v>un</v>
      </c>
      <c r="F268" s="208">
        <f>VLOOKUP(A268,'MEMÓRIA DE CÁLCULO'!A:H,8,0)</f>
        <v>1</v>
      </c>
      <c r="G268" s="202">
        <f>IFERROR(
IF($B268="DER-ES",INDEX('CDER-ES'!$D:$D,MATCH($C268,'CDER-ES'!$A:$A,0)),
IF($B268="SINAPI",INDEX(CSINAPI!$D:$D,MATCH($C268,CSINAPI!$A:$A,0)),
IF($B268="CESAN",INDEX(CCESAN!$D:$D,MATCH($C268,CCESAN!$A:$A,0)),
IF($B268="SCORIO",INDEX(CSCORIO!$D:$D,MATCH($C268,CSCORIO!$A:$A,0)),
IF($B268="MERC",INDEX(MERCADO!$E:$E,MATCH($C268,MERCADO!$A:$A,0)),
IF($B268="COMP",INDEX(COMPOSICAO!$H:$H,MATCH($C268,COMPOSICAO!$A:$A,0)),
0)))))),0)</f>
        <v>85101.8</v>
      </c>
      <c r="H268" s="202">
        <f t="shared" si="219"/>
        <v>106377.25</v>
      </c>
      <c r="I268" s="209">
        <f t="shared" si="220"/>
        <v>106377.25</v>
      </c>
      <c r="J268" s="225">
        <f t="shared" si="221"/>
        <v>0.99668026995199255</v>
      </c>
    </row>
    <row r="269" spans="1:10">
      <c r="A269" s="196" t="s">
        <v>26613</v>
      </c>
      <c r="B269" s="197"/>
      <c r="C269" s="198"/>
      <c r="D269" s="199" t="s">
        <v>26574</v>
      </c>
      <c r="E269" s="200"/>
      <c r="F269" s="201"/>
      <c r="G269" s="202"/>
      <c r="H269" s="202"/>
      <c r="I269" s="203">
        <f>SUBTOTAL(9,I270:I276)</f>
        <v>20925.520000000004</v>
      </c>
      <c r="J269" s="224">
        <f>SUBTOTAL(9,J270:J276)</f>
        <v>0.99999999999999978</v>
      </c>
    </row>
    <row r="270" spans="1:10" ht="51">
      <c r="A270" s="204" t="s">
        <v>28670</v>
      </c>
      <c r="B270" s="205" t="s">
        <v>1020</v>
      </c>
      <c r="C270" s="206">
        <v>41</v>
      </c>
      <c r="D270" s="207" t="str">
        <f>IFERROR(PROPER(
IF($B270="DER-ES",INDEX('CDER-ES'!$B:$B,MATCH($C270,'CDER-ES'!$A:$A,0)),
IF($B270="SINAPI",INDEX(CSINAPI!$B:$B,MATCH($C270,CSINAPI!$A:$A,0)),
IF($B270="CESAN",INDEX(CCESAN!$B:$B,MATCH($C270,CCESAN!$A:$A,0)),
IF($B270="SCORIO",INDEX(CSCORIO!$B:$B,MATCH($C270,CSCORIO!$A:$A,0)),
IF($B270="MERC",INDEX(MERCADO!$B:$B,MATCH($C270,MERCADO!$A:$A,0)),
IF($B270="COMP",INDEX(COMPOSICAO!$B:$B,MATCH($C270,COMPOSICAO!$A:$A,0)),
""))))))),"*Verificar código*")</f>
        <v>Banco Para Praça Estilo Tamanduá Em Ripas De Madeira Maciça E Pés Em Ferro Fundido - Largura 1,5 M - 3 Lugares</v>
      </c>
      <c r="E270" s="200" t="str">
        <f>IFERROR(LOWER(
IF($B270="DER-ES",INDEX('CDER-ES'!$C:$C,MATCH($C270,'CDER-ES'!$A:$A,0)),
IF($B270="SINAPI",INDEX(CSINAPI!$C:$C,MATCH($C270,CSINAPI!$A:$A,0)),
IF($B270="CESAN",INDEX(CCESAN!$C:$C,MATCH($C270,CCESAN!$A:$A,0)),
IF($B270="SCORIO",INDEX(CSCORIO!$A:$A,MATCH($C270,CSCORIO!#REF!,0)),
IF($B270="MERC",INDEX(MERCADO!$D:$D,MATCH($C270,MERCADO!$A:$A,0)),
IF($B270="COMP",INDEX(COMPOSICAO!$G:$G,MATCH($C270,COMPOSICAO!$A:$A,0)),
""))))))),"")</f>
        <v>und.</v>
      </c>
      <c r="F270" s="208">
        <f>VLOOKUP(A270,'MEMÓRIA DE CÁLCULO'!A:H,8,0)</f>
        <v>12</v>
      </c>
      <c r="G270" s="202">
        <f>IFERROR(
IF($B270="DER-ES",INDEX('CDER-ES'!$D:$D,MATCH($C270,'CDER-ES'!$A:$A,0)),
IF($B270="SINAPI",INDEX(CSINAPI!$D:$D,MATCH($C270,CSINAPI!$A:$A,0)),
IF($B270="CESAN",INDEX(CCESAN!$D:$D,MATCH($C270,CCESAN!$A:$A,0)),
IF($B270="SCORIO",INDEX(CSCORIO!$B:$B,MATCH($C270,CSCORIO!#REF!,0)),
IF($B270="MERC",INDEX(MERCADO!$E:$E,MATCH($C270,MERCADO!$A:$A,0)),
IF($B270="COMP",INDEX(COMPOSICAO!$H:$H,MATCH($C270,COMPOSICAO!$A:$A,0)),
0)))))),0)</f>
        <v>563.64</v>
      </c>
      <c r="H270" s="202">
        <f t="shared" ref="H270:H276" si="222">ROUND(G270*(1+$J$2),2)</f>
        <v>704.55</v>
      </c>
      <c r="I270" s="209">
        <f t="shared" ref="I270:I276" si="223">ROUND($H270*F270,2)</f>
        <v>8454.6</v>
      </c>
      <c r="J270" s="225">
        <f>I270/I$269</f>
        <v>0.40403297026788337</v>
      </c>
    </row>
    <row r="271" spans="1:10" ht="51">
      <c r="A271" s="204" t="s">
        <v>28671</v>
      </c>
      <c r="B271" s="205" t="s">
        <v>1020</v>
      </c>
      <c r="C271" s="206">
        <v>42</v>
      </c>
      <c r="D271" s="207" t="str">
        <f>IFERROR(PROPER(
IF($B271="DER-ES",INDEX('CDER-ES'!$B:$B,MATCH($C271,'CDER-ES'!$A:$A,0)),
IF($B271="SINAPI",INDEX(CSINAPI!$B:$B,MATCH($C271,CSINAPI!$A:$A,0)),
IF($B271="CESAN",INDEX(CCESAN!$B:$B,MATCH($C271,CCESAN!$A:$A,0)),
IF($B271="SCORIO",INDEX(CSCORIO!$B:$B,MATCH($C271,CSCORIO!$A:$A,0)),
IF($B271="MERC",INDEX(MERCADO!$B:$B,MATCH($C271,MERCADO!$A:$A,0)),
IF($B271="COMP",INDEX(COMPOSICAO!$B:$B,MATCH($C271,COMPOSICAO!$A:$A,0)),
""))))))),"*Verificar código*")</f>
        <v>Lixeira Cilíndrica Em Tela Belinox Com Suporte De Tubos Galvanizados, Inclusive Pintura, Conforme Projeto - Fornecimento E Instalação</v>
      </c>
      <c r="E271" s="200" t="str">
        <f>IFERROR(LOWER(
IF($B271="DER-ES",INDEX('CDER-ES'!$C:$C,MATCH($C271,'CDER-ES'!$A:$A,0)),
IF($B271="SINAPI",INDEX(CSINAPI!$C:$C,MATCH($C271,CSINAPI!$A:$A,0)),
IF($B271="CESAN",INDEX(CCESAN!$C:$C,MATCH($C271,CCESAN!$A:$A,0)),
IF($B271="SCORIO",INDEX(CSCORIO!$A:$A,MATCH($C271,CSCORIO!#REF!,0)),
IF($B271="MERC",INDEX(MERCADO!$D:$D,MATCH($C271,MERCADO!$A:$A,0)),
IF($B271="COMP",INDEX(COMPOSICAO!$G:$G,MATCH($C271,COMPOSICAO!$A:$A,0)),
""))))))),"")</f>
        <v>und.</v>
      </c>
      <c r="F271" s="208">
        <f>VLOOKUP(A271,'MEMÓRIA DE CÁLCULO'!A:H,8,0)</f>
        <v>5</v>
      </c>
      <c r="G271" s="202">
        <f>IFERROR(
IF($B271="DER-ES",INDEX('CDER-ES'!$D:$D,MATCH($C271,'CDER-ES'!$A:$A,0)),
IF($B271="SINAPI",INDEX(CSINAPI!$D:$D,MATCH($C271,CSINAPI!$A:$A,0)),
IF($B271="CESAN",INDEX(CCESAN!$D:$D,MATCH($C271,CCESAN!$A:$A,0)),
IF($B271="SCORIO",INDEX(CSCORIO!$B:$B,MATCH($C271,CSCORIO!#REF!,0)),
IF($B271="MERC",INDEX(MERCADO!$E:$E,MATCH($C271,MERCADO!$A:$A,0)),
IF($B271="COMP",INDEX(COMPOSICAO!$H:$H,MATCH($C271,COMPOSICAO!$A:$A,0)),
0)))))),0)</f>
        <v>552.5100000000001</v>
      </c>
      <c r="H271" s="202">
        <f t="shared" si="222"/>
        <v>690.64</v>
      </c>
      <c r="I271" s="209">
        <f t="shared" si="223"/>
        <v>3453.2</v>
      </c>
      <c r="J271" s="225">
        <f t="shared" ref="J271:J276" si="224">I271/I$269</f>
        <v>0.16502337815260978</v>
      </c>
    </row>
    <row r="272" spans="1:10" ht="51">
      <c r="A272" s="204" t="s">
        <v>26694</v>
      </c>
      <c r="B272" s="205" t="s">
        <v>26583</v>
      </c>
      <c r="C272" s="206">
        <v>200573</v>
      </c>
      <c r="D272" s="207" t="str">
        <f>IFERROR(PROPER(
IF($B272="DER-ES",INDEX('CDER-ES'!$B:$B,MATCH($C272,'CDER-ES'!$A:$A,0)),
IF($B272="SINAPI",INDEX(CSINAPI!$B:$B,MATCH($C272,CSINAPI!$A:$A,0)),
IF($B272="CESAN",INDEX(CCESAN!$B:$B,MATCH($C272,CCESAN!$A:$A,0)),
IF($B272="SCORIO",INDEX(CSCORIO!$B:$B,MATCH($C272,CSCORIO!$A:$A,0)),
IF($B272="MERC",INDEX(MERCADO!$B:$B,MATCH($C272,MERCADO!$A:$A,0)),
IF($B272="COMP",INDEX(COMPOSICAO!$B:$B,MATCH($C272,COMPOSICAO!$A:$A,0)),
""))))))),"*Verificar código*")</f>
        <v>Bicicletário Em Tubo De Ferro Galvanizado 1" E Ferro Liso 1/2", Inclusive Pintura, Conforme Projeto Padrão Sedu</v>
      </c>
      <c r="E272" s="200" t="str">
        <f>IFERROR(LOWER(
IF($B272="DER-ES",INDEX('CDER-ES'!$C:$C,MATCH($C272,'CDER-ES'!$A:$A,0)),
IF($B272="SINAPI",INDEX(CSINAPI!$C:$C,MATCH($C272,CSINAPI!$A:$A,0)),
IF($B272="CESAN",INDEX(CCESAN!$C:$C,MATCH($C272,CCESAN!$A:$A,0)),
IF($B272="SCORIO",INDEX(CSCORIO!$A:$A,MATCH($C272,CSCORIO!#REF!,0)),
IF($B272="MERC",INDEX(MERCADO!$D:$D,MATCH($C272,MERCADO!$A:$A,0)),
IF($B272="COMP",INDEX(COMPOSICAO!$G:$G,MATCH($C272,COMPOSICAO!$A:$A,0)),
""))))))),"")</f>
        <v>m</v>
      </c>
      <c r="F272" s="208">
        <f>VLOOKUP(A272,'MEMÓRIA DE CÁLCULO'!A:H,8,0)</f>
        <v>2</v>
      </c>
      <c r="G272" s="202">
        <f>IFERROR(
IF($B272="DER-ES",INDEX('CDER-ES'!$D:$D,MATCH($C272,'CDER-ES'!$A:$A,0)),
IF($B272="SINAPI",INDEX(CSINAPI!$D:$D,MATCH($C272,CSINAPI!$A:$A,0)),
IF($B272="CESAN",INDEX(CCESAN!$D:$D,MATCH($C272,CCESAN!$A:$A,0)),
IF($B272="SCORIO",INDEX(CSCORIO!$B:$B,MATCH($C272,CSCORIO!#REF!,0)),
IF($B272="MERC",INDEX(MERCADO!$E:$E,MATCH($C272,MERCADO!$A:$A,0)),
IF($B272="COMP",INDEX(COMPOSICAO!$H:$H,MATCH($C272,COMPOSICAO!$A:$A,0)),
0)))))),0)</f>
        <v>262.58999999999997</v>
      </c>
      <c r="H272" s="202">
        <f t="shared" si="222"/>
        <v>328.24</v>
      </c>
      <c r="I272" s="209">
        <f t="shared" si="223"/>
        <v>656.48</v>
      </c>
      <c r="J272" s="225">
        <f t="shared" ref="J272:J275" si="225">I272/I$269</f>
        <v>3.1372219184995158E-2</v>
      </c>
    </row>
    <row r="273" spans="1:11" ht="51">
      <c r="A273" s="204" t="s">
        <v>26806</v>
      </c>
      <c r="B273" s="205" t="s">
        <v>2173</v>
      </c>
      <c r="C273" s="206" t="s">
        <v>7887</v>
      </c>
      <c r="D273" s="207" t="str">
        <f>IFERROR(PROPER(
IF($B273="DER-ES",INDEX('CDER-ES'!$B:$B,MATCH($C273,'CDER-ES'!$A:$A,0)),
IF($B273="SINAPI",INDEX(CSINAPI!$B:$B,MATCH($C273,CSINAPI!$A:$A,0)),
IF($B273="CESAN",INDEX(CCESAN!$B:$B,MATCH($C273,CCESAN!$A:$A,0)),
IF($B273="SCORIO",INDEX(CSCORIO!$B:$B,MATCH($C273,CSCORIO!$A:$A,0)),
IF($B273="MERC",INDEX(MERCADO!$B:$B,MATCH($C273,MERCADO!$A:$A,0)),
IF($B273="COMP",INDEX(COMPOSICAO!$B:$B,MATCH($C273,COMPOSICAO!$A:$A,0)),
""))))))),"*Verificar código*")</f>
        <v>Bebedouro Elétrico Tipo Pressão Em Aço Inoxidável, Modelo De Pé, Adulto/Criança, Capacidade 80L/H.  Fornecimento.(Desonerado)</v>
      </c>
      <c r="E273" s="200" t="str">
        <f>IFERROR(LOWER(
IF($B273="DER-ES",INDEX('CDER-ES'!$C:$C,MATCH($C273,'CDER-ES'!$A:$A,0)),
IF($B273="SINAPI",INDEX(CSINAPI!$C:$C,MATCH($C273,CSINAPI!$A:$A,0)),
IF($B273="CESAN",INDEX(CCESAN!$C:$C,MATCH($C273,CCESAN!$A:$A,0)),
IF($B273="SCORIO",INDEX(CSCORIO!$C:$C,MATCH($C273,CSCORIO!$A:$A,0)),
IF($B273="MERC",INDEX(MERCADO!$D:$D,MATCH($C273,MERCADO!$A:$A,0)),
IF($B273="COMP",INDEX(COMPOSICAO!$G:$G,MATCH($C273,COMPOSICAO!$A:$A,0)),
""))))))),"")</f>
        <v>un</v>
      </c>
      <c r="F273" s="208">
        <f>VLOOKUP(A273,'MEMÓRIA DE CÁLCULO'!A:H,8,0)</f>
        <v>2</v>
      </c>
      <c r="G273" s="202">
        <f>IFERROR(
IF($B273="DER-ES",INDEX('CDER-ES'!$D:$D,MATCH($C273,'CDER-ES'!$A:$A,0)),
IF($B273="SINAPI",INDEX(CSINAPI!$D:$D,MATCH($C273,CSINAPI!$A:$A,0)),
IF($B273="CESAN",INDEX(CCESAN!$D:$D,MATCH($C273,CCESAN!$A:$A,0)),
IF($B273="SCORIO",INDEX(CSCORIO!$D:$D,MATCH($C273,CSCORIO!$A:$A,0)),
IF($B273="MERC",INDEX(MERCADO!$E:$E,MATCH($C273,MERCADO!$A:$A,0)),
IF($B273="COMP",INDEX(COMPOSICAO!$H:$H,MATCH($C273,COMPOSICAO!$A:$A,0)),
0)))))),0)</f>
        <v>875.14</v>
      </c>
      <c r="H273" s="202">
        <f t="shared" si="222"/>
        <v>1093.93</v>
      </c>
      <c r="I273" s="209">
        <f t="shared" si="223"/>
        <v>2187.86</v>
      </c>
      <c r="J273" s="225">
        <f t="shared" si="225"/>
        <v>0.10455462994467997</v>
      </c>
    </row>
    <row r="274" spans="1:11" ht="102">
      <c r="A274" s="204" t="s">
        <v>26807</v>
      </c>
      <c r="B274" s="205" t="s">
        <v>2173</v>
      </c>
      <c r="C274" s="206" t="s">
        <v>14615</v>
      </c>
      <c r="D274" s="207" t="str">
        <f>IFERROR(PROPER(
IF($B274="DER-ES",INDEX('CDER-ES'!$B:$B,MATCH($C274,'CDER-ES'!$A:$A,0)),
IF($B274="SINAPI",INDEX(CSINAPI!$B:$B,MATCH($C274,CSINAPI!$A:$A,0)),
IF($B274="CESAN",INDEX(CCESAN!$B:$B,MATCH($C274,CCESAN!$A:$A,0)),
IF($B274="SCORIO",INDEX(CSCORIO!$B:$B,MATCH($C274,CSCORIO!$A:$A,0)),
IF($B274="MERC",INDEX(MERCADO!$B:$B,MATCH($C274,MERCADO!$A:$A,0)),
IF($B274="COMP",INDEX(COMPOSICAO!$B:$B,MATCH($C274,COMPOSICAO!$A:$A,0)),
""))))))),"*Verificar código*")</f>
        <v>Mesa De Jogos Com 4 Bancos, Tampo De Mesa Em Marmorite Armado, Na Cor Natural, Tendo No Centro Tabuleiro De Xadrez Em Marmorite Nas Cores Branca E Preta, Pés (Mesa E Bancos) De Concreto Armado, Conforme Projeto Fpj.  Fornecimento E Colocação.(Desonerado)</v>
      </c>
      <c r="E274" s="200" t="str">
        <f>IFERROR(LOWER(
IF($B274="DER-ES",INDEX('CDER-ES'!$C:$C,MATCH($C274,'CDER-ES'!$A:$A,0)),
IF($B274="SINAPI",INDEX(CSINAPI!$C:$C,MATCH($C274,CSINAPI!$A:$A,0)),
IF($B274="CESAN",INDEX(CCESAN!$C:$C,MATCH($C274,CCESAN!$A:$A,0)),
IF($B274="SCORIO",INDEX(CSCORIO!$C:$C,MATCH($C274,CSCORIO!$A:$A,0)),
IF($B274="MERC",INDEX(MERCADO!$D:$D,MATCH($C274,MERCADO!$A:$A,0)),
IF($B274="COMP",INDEX(COMPOSICAO!$G:$G,MATCH($C274,COMPOSICAO!$A:$A,0)),
""))))))),"")</f>
        <v>un</v>
      </c>
      <c r="F274" s="208">
        <f>VLOOKUP(A274,'MEMÓRIA DE CÁLCULO'!A:H,8,0)</f>
        <v>1</v>
      </c>
      <c r="G274" s="202">
        <f>IFERROR(
IF($B274="DER-ES",INDEX('CDER-ES'!$D:$D,MATCH($C274,'CDER-ES'!$A:$A,0)),
IF($B274="SINAPI",INDEX(CSINAPI!$D:$D,MATCH($C274,CSINAPI!$A:$A,0)),
IF($B274="CESAN",INDEX(CCESAN!$D:$D,MATCH($C274,CCESAN!$A:$A,0)),
IF($B274="SCORIO",INDEX(CSCORIO!$D:$D,MATCH($C274,CSCORIO!$A:$A,0)),
IF($B274="MERC",INDEX(MERCADO!$E:$E,MATCH($C274,MERCADO!$A:$A,0)),
IF($B274="COMP",INDEX(COMPOSICAO!$H:$H,MATCH($C274,COMPOSICAO!$A:$A,0)),
0)))))),0)</f>
        <v>1595.86</v>
      </c>
      <c r="H274" s="202">
        <f t="shared" si="222"/>
        <v>1994.83</v>
      </c>
      <c r="I274" s="209">
        <f t="shared" si="223"/>
        <v>1994.83</v>
      </c>
      <c r="J274" s="225">
        <f t="shared" si="225"/>
        <v>9.5330008525475088E-2</v>
      </c>
    </row>
    <row r="275" spans="1:11" ht="102">
      <c r="A275" s="204" t="s">
        <v>28555</v>
      </c>
      <c r="B275" s="205" t="s">
        <v>1020</v>
      </c>
      <c r="C275" s="206">
        <v>43</v>
      </c>
      <c r="D275" s="207" t="str">
        <f>IFERROR(PROPER(
IF($B275="DER-ES",INDEX('CDER-ES'!$B:$B,MATCH($C275,'CDER-ES'!$A:$A,0)),
IF($B275="SINAPI",INDEX(CSINAPI!$B:$B,MATCH($C275,CSINAPI!$A:$A,0)),
IF($B275="CESAN",INDEX(CCESAN!$B:$B,MATCH($C275,CCESAN!$A:$A,0)),
IF($B275="SCORIO",INDEX(CSCORIO!$B:$B,MATCH($C275,CSCORIO!$A:$A,0)),
IF($B275="MERC",INDEX(MERCADO!$B:$B,MATCH($C275,MERCADO!$A:$A,0)),
IF($B275="COMP",INDEX(COMPOSICAO!$B:$B,MATCH($C275,COMPOSICAO!$A:$A,0)),
""))))))),"*Verificar código*")</f>
        <v>Escada Tipo Marinheiro De Tubo De Ferro 1" E 3/4" E Proteção Em Barra Chata De Ferro 1" X 3/16", Com Comprimento De 6,60 M, Para Acesso A Caixa D'Água, Fixado Com Argamassa, Inclusive Pintura Em Esmalte Sintético, Conforme Detalhe Em Projeto</v>
      </c>
      <c r="E275" s="200" t="str">
        <f>IFERROR(LOWER(
IF($B275="DER-ES",INDEX('CDER-ES'!$C:$C,MATCH($C275,'CDER-ES'!$A:$A,0)),
IF($B275="SINAPI",INDEX(CSINAPI!$C:$C,MATCH($C275,CSINAPI!$A:$A,0)),
IF($B275="CESAN",INDEX(CCESAN!$C:$C,MATCH($C275,CCESAN!$A:$A,0)),
IF($B275="SCORIO",INDEX(CSCORIO!$C:$C,MATCH($C275,CSCORIO!$A:$A,0)),
IF($B275="MERC",INDEX(MERCADO!$D:$D,MATCH($C275,MERCADO!$A:$A,0)),
IF($B275="COMP",INDEX(COMPOSICAO!$G:$G,MATCH($C275,COMPOSICAO!$A:$A,0)),
""))))))),"")</f>
        <v>und.</v>
      </c>
      <c r="F275" s="208">
        <f>VLOOKUP(A275,'MEMÓRIA DE CÁLCULO'!A:H,8,0)</f>
        <v>1</v>
      </c>
      <c r="G275" s="202">
        <f>IFERROR(
IF($B275="DER-ES",INDEX('CDER-ES'!$D:$D,MATCH($C275,'CDER-ES'!$A:$A,0)),
IF($B275="SINAPI",INDEX(CSINAPI!$D:$D,MATCH($C275,CSINAPI!$A:$A,0)),
IF($B275="CESAN",INDEX(CCESAN!$D:$D,MATCH($C275,CCESAN!$A:$A,0)),
IF($B275="SCORIO",INDEX(CSCORIO!$D:$D,MATCH($C275,CSCORIO!$A:$A,0)),
IF($B275="MERC",INDEX(MERCADO!$E:$E,MATCH($C275,MERCADO!$A:$A,0)),
IF($B275="COMP",INDEX(COMPOSICAO!$H:$H,MATCH($C275,COMPOSICAO!$A:$A,0)),
0)))))),0)</f>
        <v>2785.12</v>
      </c>
      <c r="H275" s="202">
        <f t="shared" ref="H275" si="226">ROUND(G275*(1+$J$2),2)</f>
        <v>3481.4</v>
      </c>
      <c r="I275" s="209">
        <f t="shared" ref="I275" si="227">ROUND($H275*F275,2)</f>
        <v>3481.4</v>
      </c>
      <c r="J275" s="225">
        <f t="shared" si="225"/>
        <v>0.16637101491384679</v>
      </c>
    </row>
    <row r="276" spans="1:11" ht="76.5">
      <c r="A276" s="204" t="s">
        <v>28672</v>
      </c>
      <c r="B276" s="205" t="s">
        <v>1020</v>
      </c>
      <c r="C276" s="206">
        <v>44</v>
      </c>
      <c r="D276" s="207" t="str">
        <f>IFERROR(PROPER(
IF($B276="DER-ES",INDEX('CDER-ES'!$B:$B,MATCH($C276,'CDER-ES'!$A:$A,0)),
IF($B276="SINAPI",INDEX(CSINAPI!$B:$B,MATCH($C276,CSINAPI!$A:$A,0)),
IF($B276="CESAN",INDEX(CCESAN!$B:$B,MATCH($C276,CCESAN!$A:$A,0)),
IF($B276="SCORIO",INDEX(CSCORIO!$B:$B,MATCH($C276,CSCORIO!$A:$A,0)),
IF($B276="MERC",INDEX(MERCADO!$B:$B,MATCH($C276,MERCADO!$A:$A,0)),
IF($B276="COMP",INDEX(COMPOSICAO!$B:$B,MATCH($C276,COMPOSICAO!$A:$A,0)),
""))))))),"*Verificar código*")</f>
        <v>Escada Complementar De Tubo De Ferro 1" E 3/4", Com Comprimento De 1,80 M, Para Complemento Ao Acesso À Caixa D'Água, Inclusive Pintura Em Esmalte Sintético, Conforme Detalhe Em Projeto</v>
      </c>
      <c r="E276" s="200" t="str">
        <f>IFERROR(LOWER(
IF($B276="DER-ES",INDEX('CDER-ES'!$C:$C,MATCH($C276,'CDER-ES'!$A:$A,0)),
IF($B276="SINAPI",INDEX(CSINAPI!$C:$C,MATCH($C276,CSINAPI!$A:$A,0)),
IF($B276="CESAN",INDEX(CCESAN!$C:$C,MATCH($C276,CCESAN!$A:$A,0)),
IF($B276="SCORIO",INDEX(CSCORIO!$C:$C,MATCH($C276,CSCORIO!$A:$A,0)),
IF($B276="MERC",INDEX(MERCADO!$D:$D,MATCH($C276,MERCADO!$A:$A,0)),
IF($B276="COMP",INDEX(COMPOSICAO!$G:$G,MATCH($C276,COMPOSICAO!$A:$A,0)),
""))))))),"")</f>
        <v>und.</v>
      </c>
      <c r="F276" s="208">
        <f>VLOOKUP(A276,'MEMÓRIA DE CÁLCULO'!A:H,8,0)</f>
        <v>1</v>
      </c>
      <c r="G276" s="202">
        <f>IFERROR(
IF($B276="DER-ES",INDEX('CDER-ES'!$D:$D,MATCH($C276,'CDER-ES'!$A:$A,0)),
IF($B276="SINAPI",INDEX(CSINAPI!$D:$D,MATCH($C276,CSINAPI!$A:$A,0)),
IF($B276="CESAN",INDEX(CCESAN!$D:$D,MATCH($C276,CCESAN!$A:$A,0)),
IF($B276="SCORIO",INDEX(CSCORIO!$D:$D,MATCH($C276,CSCORIO!$A:$A,0)),
IF($B276="MERC",INDEX(MERCADO!$E:$E,MATCH($C276,MERCADO!$A:$A,0)),
IF($B276="COMP",INDEX(COMPOSICAO!$H:$H,MATCH($C276,COMPOSICAO!$A:$A,0)),
0)))))),0)</f>
        <v>557.7199999999998</v>
      </c>
      <c r="H276" s="202">
        <f t="shared" si="222"/>
        <v>697.15</v>
      </c>
      <c r="I276" s="209">
        <f t="shared" si="223"/>
        <v>697.15</v>
      </c>
      <c r="J276" s="225">
        <f t="shared" si="224"/>
        <v>3.3315779010509645E-2</v>
      </c>
    </row>
    <row r="277" spans="1:11">
      <c r="A277" s="196" t="s">
        <v>26614</v>
      </c>
      <c r="B277" s="197"/>
      <c r="C277" s="198"/>
      <c r="D277" s="199" t="s">
        <v>1381</v>
      </c>
      <c r="E277" s="200"/>
      <c r="F277" s="201"/>
      <c r="G277" s="202"/>
      <c r="H277" s="202"/>
      <c r="I277" s="203">
        <f>SUBTOTAL(9,I278:I282)</f>
        <v>10630.009999999998</v>
      </c>
      <c r="J277" s="224">
        <f>SUBTOTAL(9,J278:J282)</f>
        <v>1.0000000000000002</v>
      </c>
    </row>
    <row r="278" spans="1:11" ht="25.5">
      <c r="A278" s="204" t="s">
        <v>26615</v>
      </c>
      <c r="B278" s="205" t="s">
        <v>1019</v>
      </c>
      <c r="C278" s="206">
        <v>98509</v>
      </c>
      <c r="D278" s="207" t="str">
        <f>IFERROR(PROPER(
IF($B278="DER-ES",INDEX('CDER-ES'!$B:$B,MATCH($C278,'CDER-ES'!$A:$A,0)),
IF($B278="SINAPI",INDEX(CSINAPI!$B:$B,MATCH($C278,CSINAPI!$A:$A,0)),
IF($B278="CESAN",INDEX(CCESAN!$B:$B,MATCH($C278,CCESAN!$A:$A,0)),
IF($B278="SCORIO",INDEX(CSCORIO!$B:$B,MATCH($C278,CSCORIO!$A:$A,0)),
IF($B278="MERC",INDEX(MERCADO!$B:$B,MATCH($C278,MERCADO!$A:$A,0)),
IF($B278="COMP",INDEX(COMPOSICAO!$B:$B,MATCH($C278,COMPOSICAO!$A:$A,0)),
""))))))),"*Verificar código*")</f>
        <v>Plantio De Arbusto Ou  Cerca Viva. Af_05/2018</v>
      </c>
      <c r="E278" s="200" t="str">
        <f>IFERROR(LOWER(
IF($B278="DER-ES",INDEX('CDER-ES'!$C:$C,MATCH($C278,'CDER-ES'!$A:$A,0)),
IF($B278="SINAPI",INDEX(CSINAPI!$C:$C,MATCH($C278,CSINAPI!$A:$A,0)),
IF($B278="CESAN",INDEX(CCESAN!$C:$C,MATCH($C278,CCESAN!$A:$A,0)),
IF($B278="SCORIO",INDEX(CSCORIO!$A:$A,MATCH($C278,CSCORIO!#REF!,0)),
IF($B278="MERC",INDEX(MERCADO!$D:$D,MATCH($C278,MERCADO!$A:$A,0)),
IF($B278="COMP",INDEX(COMPOSICAO!$G:$G,MATCH($C278,COMPOSICAO!$A:$A,0)),
""))))))),"")</f>
        <v>und</v>
      </c>
      <c r="F278" s="208">
        <f>VLOOKUP(A278,'MEMÓRIA DE CÁLCULO'!A:H,8,0)</f>
        <v>59</v>
      </c>
      <c r="G278" s="202">
        <f>IFERROR(
IF($B278="DER-ES",INDEX('CDER-ES'!$D:$D,MATCH($C278,'CDER-ES'!$A:$A,0)),
IF($B278="SINAPI",INDEX(CSINAPI!$D:$D,MATCH($C278,CSINAPI!$A:$A,0)),
IF($B278="CESAN",INDEX(CCESAN!$D:$D,MATCH($C278,CCESAN!$A:$A,0)),
IF($B278="SCORIO",INDEX(CSCORIO!$B:$B,MATCH($C278,CSCORIO!#REF!,0)),
IF($B278="MERC",INDEX(MERCADO!$E:$E,MATCH($C278,MERCADO!$A:$A,0)),
IF($B278="COMP",INDEX(COMPOSICAO!$H:$H,MATCH($C278,COMPOSICAO!$A:$A,0)),
0)))))),0)</f>
        <v>42.54</v>
      </c>
      <c r="H278" s="202">
        <f t="shared" ref="H278:H282" si="228">ROUND(G278*(1+$J$2),2)</f>
        <v>53.18</v>
      </c>
      <c r="I278" s="209">
        <f t="shared" ref="I278:I282" si="229">ROUND($H278*F278,2)</f>
        <v>3137.62</v>
      </c>
      <c r="J278" s="225">
        <f t="shared" ref="J278:J282" si="230">I278/I$277</f>
        <v>0.29516623220486154</v>
      </c>
    </row>
    <row r="279" spans="1:11" ht="38.25">
      <c r="A279" s="204" t="s">
        <v>26616</v>
      </c>
      <c r="B279" s="205" t="s">
        <v>1019</v>
      </c>
      <c r="C279" s="206">
        <v>98510</v>
      </c>
      <c r="D279" s="207" t="str">
        <f>IFERROR(PROPER(
IF($B279="DER-ES",INDEX('CDER-ES'!$B:$B,MATCH($C279,'CDER-ES'!$A:$A,0)),
IF($B279="SINAPI",INDEX(CSINAPI!$B:$B,MATCH($C279,CSINAPI!$A:$A,0)),
IF($B279="CESAN",INDEX(CCESAN!$B:$B,MATCH($C279,CCESAN!$A:$A,0)),
IF($B279="SCORIO",INDEX(CSCORIO!$B:$B,MATCH($C279,CSCORIO!$A:$A,0)),
IF($B279="MERC",INDEX(MERCADO!$B:$B,MATCH($C279,MERCADO!$A:$A,0)),
IF($B279="COMP",INDEX(COMPOSICAO!$B:$B,MATCH($C279,COMPOSICAO!$A:$A,0)),
""))))))),"*Verificar código*")</f>
        <v>Plantio De Árvore Ornamental Com Altura De Muda Menor Ou Igual A 2,00 M. Af_05/2018</v>
      </c>
      <c r="E279" s="200" t="str">
        <f>IFERROR(LOWER(
IF($B279="DER-ES",INDEX('CDER-ES'!$C:$C,MATCH($C279,'CDER-ES'!$A:$A,0)),
IF($B279="SINAPI",INDEX(CSINAPI!$C:$C,MATCH($C279,CSINAPI!$A:$A,0)),
IF($B279="CESAN",INDEX(CCESAN!$C:$C,MATCH($C279,CCESAN!$A:$A,0)),
IF($B279="SCORIO",INDEX(CSCORIO!$A:$A,MATCH($C279,CSCORIO!#REF!,0)),
IF($B279="MERC",INDEX(MERCADO!$D:$D,MATCH($C279,MERCADO!$A:$A,0)),
IF($B279="COMP",INDEX(COMPOSICAO!$G:$G,MATCH($C279,COMPOSICAO!$A:$A,0)),
""))))))),"")</f>
        <v>und</v>
      </c>
      <c r="F279" s="208">
        <f>VLOOKUP(A279,'MEMÓRIA DE CÁLCULO'!A:H,8,0)</f>
        <v>11</v>
      </c>
      <c r="G279" s="202">
        <f>IFERROR(
IF($B279="DER-ES",INDEX('CDER-ES'!$D:$D,MATCH($C279,'CDER-ES'!$A:$A,0)),
IF($B279="SINAPI",INDEX(CSINAPI!$D:$D,MATCH($C279,CSINAPI!$A:$A,0)),
IF($B279="CESAN",INDEX(CCESAN!$D:$D,MATCH($C279,CCESAN!$A:$A,0)),
IF($B279="SCORIO",INDEX(CSCORIO!$B:$B,MATCH($C279,CSCORIO!#REF!,0)),
IF($B279="MERC",INDEX(MERCADO!$E:$E,MATCH($C279,MERCADO!$A:$A,0)),
IF($B279="COMP",INDEX(COMPOSICAO!$H:$H,MATCH($C279,COMPOSICAO!$A:$A,0)),
0)))))),0)</f>
        <v>65.430000000000007</v>
      </c>
      <c r="H279" s="202">
        <f t="shared" si="228"/>
        <v>81.790000000000006</v>
      </c>
      <c r="I279" s="209">
        <f t="shared" si="229"/>
        <v>899.69</v>
      </c>
      <c r="J279" s="225">
        <f t="shared" si="230"/>
        <v>8.4636797143182382E-2</v>
      </c>
    </row>
    <row r="280" spans="1:11" ht="38.25">
      <c r="A280" s="204" t="s">
        <v>26617</v>
      </c>
      <c r="B280" s="205" t="s">
        <v>1019</v>
      </c>
      <c r="C280" s="206">
        <v>98511</v>
      </c>
      <c r="D280" s="207" t="str">
        <f>IFERROR(PROPER(
IF($B280="DER-ES",INDEX('CDER-ES'!$B:$B,MATCH($C280,'CDER-ES'!$A:$A,0)),
IF($B280="SINAPI",INDEX(CSINAPI!$B:$B,MATCH($C280,CSINAPI!$A:$A,0)),
IF($B280="CESAN",INDEX(CCESAN!$B:$B,MATCH($C280,CCESAN!$A:$A,0)),
IF($B280="SCORIO",INDEX(CSCORIO!$B:$B,MATCH($C280,CSCORIO!$A:$A,0)),
IF($B280="MERC",INDEX(MERCADO!$B:$B,MATCH($C280,MERCADO!$A:$A,0)),
IF($B280="COMP",INDEX(COMPOSICAO!$B:$B,MATCH($C280,COMPOSICAO!$A:$A,0)),
""))))))),"*Verificar código*")</f>
        <v>Plantio De Árvore Ornamental Com Altura De Muda Maior Que 2,00 M E Menor Ou Igual A 4,00 M. Af_05/2018</v>
      </c>
      <c r="E280" s="200" t="str">
        <f>IFERROR(LOWER(
IF($B280="DER-ES",INDEX('CDER-ES'!$C:$C,MATCH($C280,'CDER-ES'!$A:$A,0)),
IF($B280="SINAPI",INDEX(CSINAPI!$C:$C,MATCH($C280,CSINAPI!$A:$A,0)),
IF($B280="CESAN",INDEX(CCESAN!$C:$C,MATCH($C280,CCESAN!$A:$A,0)),
IF($B280="SCORIO",INDEX(CSCORIO!$A:$A,MATCH($C280,CSCORIO!#REF!,0)),
IF($B280="MERC",INDEX(MERCADO!$D:$D,MATCH($C280,MERCADO!$A:$A,0)),
IF($B280="COMP",INDEX(COMPOSICAO!$G:$G,MATCH($C280,COMPOSICAO!$A:$A,0)),
""))))))),"")</f>
        <v>und</v>
      </c>
      <c r="F280" s="208">
        <f>VLOOKUP(A280,'MEMÓRIA DE CÁLCULO'!A:H,8,0)</f>
        <v>2</v>
      </c>
      <c r="G280" s="202">
        <f>IFERROR(
IF($B280="DER-ES",INDEX('CDER-ES'!$D:$D,MATCH($C280,'CDER-ES'!$A:$A,0)),
IF($B280="SINAPI",INDEX(CSINAPI!$D:$D,MATCH($C280,CSINAPI!$A:$A,0)),
IF($B280="CESAN",INDEX(CCESAN!$D:$D,MATCH($C280,CCESAN!$A:$A,0)),
IF($B280="SCORIO",INDEX(CSCORIO!$B:$B,MATCH($C280,CSCORIO!#REF!,0)),
IF($B280="MERC",INDEX(MERCADO!$E:$E,MATCH($C280,MERCADO!$A:$A,0)),
IF($B280="COMP",INDEX(COMPOSICAO!$H:$H,MATCH($C280,COMPOSICAO!$A:$A,0)),
0)))))),0)</f>
        <v>123.44</v>
      </c>
      <c r="H280" s="202">
        <f t="shared" si="228"/>
        <v>154.30000000000001</v>
      </c>
      <c r="I280" s="209">
        <f t="shared" si="229"/>
        <v>308.60000000000002</v>
      </c>
      <c r="J280" s="225">
        <f t="shared" si="230"/>
        <v>2.9031016904029261E-2</v>
      </c>
    </row>
    <row r="281" spans="1:11" ht="38.25">
      <c r="A281" s="204" t="s">
        <v>28673</v>
      </c>
      <c r="B281" s="205" t="s">
        <v>26583</v>
      </c>
      <c r="C281" s="206">
        <v>200326</v>
      </c>
      <c r="D281" s="207" t="str">
        <f>IFERROR(PROPER(
IF($B281="DER-ES",INDEX('CDER-ES'!$B:$B,MATCH($C281,'CDER-ES'!$A:$A,0)),
IF($B281="SINAPI",INDEX(CSINAPI!$B:$B,MATCH($C281,CSINAPI!$A:$A,0)),
IF($B281="CESAN",INDEX(CCESAN!$B:$B,MATCH($C281,CCESAN!$A:$A,0)),
IF($B281="SCORIO",INDEX(CSCORIO!$B:$B,MATCH($C281,CSCORIO!$A:$A,0)),
IF($B281="MERC",INDEX(MERCADO!$B:$B,MATCH($C281,MERCADO!$A:$A,0)),
IF($B281="COMP",INDEX(COMPOSICAO!$B:$B,MATCH($C281,COMPOSICAO!$A:$A,0)),
""))))))),"*Verificar código*")</f>
        <v>Fornecimento E Plantio De Grama Em Placas Tipo Esmeralda, Inclusive Fornecimento De Terra Vegetal</v>
      </c>
      <c r="E281" s="200" t="str">
        <f>IFERROR(LOWER(
IF($B281="DER-ES",INDEX('CDER-ES'!$C:$C,MATCH($C281,'CDER-ES'!$A:$A,0)),
IF($B281="SINAPI",INDEX(CSINAPI!$C:$C,MATCH($C281,CSINAPI!$A:$A,0)),
IF($B281="CESAN",INDEX(CCESAN!$C:$C,MATCH($C281,CCESAN!$A:$A,0)),
IF($B281="SCORIO",INDEX(CSCORIO!$A:$A,MATCH($C281,CSCORIO!#REF!,0)),
IF($B281="MERC",INDEX(MERCADO!$D:$D,MATCH($C281,MERCADO!$A:$A,0)),
IF($B281="COMP",INDEX(COMPOSICAO!$G:$G,MATCH($C281,COMPOSICAO!$A:$A,0)),
""))))))),"")</f>
        <v>m²</v>
      </c>
      <c r="F281" s="208">
        <f>VLOOKUP(A281,'MEMÓRIA DE CÁLCULO'!A:H,8,0)</f>
        <v>178.91</v>
      </c>
      <c r="G281" s="202">
        <f>IFERROR(
IF($B281="DER-ES",INDEX('CDER-ES'!$D:$D,MATCH($C281,'CDER-ES'!$A:$A,0)),
IF($B281="SINAPI",INDEX(CSINAPI!$D:$D,MATCH($C281,CSINAPI!$A:$A,0)),
IF($B281="CESAN",INDEX(CCESAN!$D:$D,MATCH($C281,CCESAN!$A:$A,0)),
IF($B281="SCORIO",INDEX(CSCORIO!$B:$B,MATCH($C281,CSCORIO!#REF!,0)),
IF($B281="MERC",INDEX(MERCADO!$E:$E,MATCH($C281,MERCADO!$A:$A,0)),
IF($B281="COMP",INDEX(COMPOSICAO!$H:$H,MATCH($C281,COMPOSICAO!$A:$A,0)),
0)))))),0)</f>
        <v>26.2</v>
      </c>
      <c r="H281" s="202">
        <f t="shared" ref="H281" si="231">ROUND(G281*(1+$J$2),2)</f>
        <v>32.75</v>
      </c>
      <c r="I281" s="209">
        <f t="shared" ref="I281" si="232">ROUND($H281*F281,2)</f>
        <v>5859.3</v>
      </c>
      <c r="J281" s="225">
        <f t="shared" ref="J281" si="233">I281/I$277</f>
        <v>0.55120362069273698</v>
      </c>
    </row>
    <row r="282" spans="1:11" ht="25.5">
      <c r="A282" s="204" t="s">
        <v>29087</v>
      </c>
      <c r="B282" s="205" t="s">
        <v>1019</v>
      </c>
      <c r="C282" s="206">
        <v>98520</v>
      </c>
      <c r="D282" s="207" t="str">
        <f>IFERROR(PROPER(
IF($B282="DER-ES",INDEX('CDER-ES'!$B:$B,MATCH($C282,'CDER-ES'!$A:$A,0)),
IF($B282="SINAPI",INDEX(CSINAPI!$B:$B,MATCH($C282,CSINAPI!$A:$A,0)),
IF($B282="CESAN",INDEX(CCESAN!$B:$B,MATCH($C282,CCESAN!$A:$A,0)),
IF($B282="SCORIO",INDEX(CSCORIO!$B:$B,MATCH($C282,CSCORIO!$A:$A,0)),
IF($B282="MERC",INDEX(MERCADO!$B:$B,MATCH($C282,MERCADO!$A:$A,0)),
IF($B282="COMP",INDEX(COMPOSICAO!$B:$B,MATCH($C282,COMPOSICAO!$A:$A,0)),
""))))))),"*Verificar código*")</f>
        <v>Aplicação De Adubo Em Solo. Af_05/2018</v>
      </c>
      <c r="E282" s="200" t="str">
        <f>IFERROR(LOWER(
IF($B282="DER-ES",INDEX('CDER-ES'!$C:$C,MATCH($C282,'CDER-ES'!$A:$A,0)),
IF($B282="SINAPI",INDEX(CSINAPI!$C:$C,MATCH($C282,CSINAPI!$A:$A,0)),
IF($B282="CESAN",INDEX(CCESAN!$C:$C,MATCH($C282,CCESAN!$A:$A,0)),
IF($B282="SCORIO",INDEX(CSCORIO!$A:$A,MATCH($C282,CSCORIO!#REF!,0)),
IF($B282="MERC",INDEX(MERCADO!$D:$D,MATCH($C282,MERCADO!$A:$A,0)),
IF($B282="COMP",INDEX(COMPOSICAO!$G:$G,MATCH($C282,COMPOSICAO!$A:$A,0)),
""))))))),"")</f>
        <v>m²</v>
      </c>
      <c r="F282" s="208">
        <f>VLOOKUP(A282,'MEMÓRIA DE CÁLCULO'!A:H,8,0)</f>
        <v>72</v>
      </c>
      <c r="G282" s="202">
        <f>IFERROR(
IF($B282="DER-ES",INDEX('CDER-ES'!$D:$D,MATCH($C282,'CDER-ES'!$A:$A,0)),
IF($B282="SINAPI",INDEX(CSINAPI!$D:$D,MATCH($C282,CSINAPI!$A:$A,0)),
IF($B282="CESAN",INDEX(CCESAN!$D:$D,MATCH($C282,CCESAN!$A:$A,0)),
IF($B282="SCORIO",INDEX(CSCORIO!$B:$B,MATCH($C282,CSCORIO!#REF!,0)),
IF($B282="MERC",INDEX(MERCADO!$E:$E,MATCH($C282,MERCADO!$A:$A,0)),
IF($B282="COMP",INDEX(COMPOSICAO!$H:$H,MATCH($C282,COMPOSICAO!$A:$A,0)),
0)))))),0)</f>
        <v>4.72</v>
      </c>
      <c r="H282" s="202">
        <f t="shared" si="228"/>
        <v>5.9</v>
      </c>
      <c r="I282" s="209">
        <f t="shared" si="229"/>
        <v>424.8</v>
      </c>
      <c r="J282" s="225">
        <f t="shared" si="230"/>
        <v>3.996233305518998E-2</v>
      </c>
    </row>
    <row r="283" spans="1:11">
      <c r="A283" s="196" t="s">
        <v>26618</v>
      </c>
      <c r="B283" s="197"/>
      <c r="C283" s="198"/>
      <c r="D283" s="199" t="s">
        <v>1342</v>
      </c>
      <c r="E283" s="200"/>
      <c r="F283" s="201"/>
      <c r="G283" s="202"/>
      <c r="H283" s="202"/>
      <c r="I283" s="203">
        <f>SUBTOTAL(9,I284:I287)</f>
        <v>26279.9</v>
      </c>
      <c r="J283" s="224">
        <f>SUBTOTAL(9,J284:J287)</f>
        <v>1</v>
      </c>
    </row>
    <row r="284" spans="1:11" ht="38.25">
      <c r="A284" s="204" t="s">
        <v>26619</v>
      </c>
      <c r="B284" s="205" t="s">
        <v>1019</v>
      </c>
      <c r="C284" s="206">
        <v>100576</v>
      </c>
      <c r="D284" s="207" t="str">
        <f>IFERROR(PROPER(
IF($B284="DER-ES",INDEX('CDER-ES'!$B:$B,MATCH($C284,'CDER-ES'!$A:$A,0)),
IF($B284="SINAPI",INDEX(CSINAPI!$B:$B,MATCH($C284,CSINAPI!$A:$A,0)),
IF($B284="CESAN",INDEX(CCESAN!$B:$B,MATCH($C284,CCESAN!$A:$A,0)),
IF($B284="SCORIO",INDEX(CSCORIO!$B:$B,MATCH($C284,CSCORIO!$A:$A,0)),
IF($B284="MERC",INDEX(MERCADO!$B:$B,MATCH($C284,MERCADO!$A:$A,0)),
IF($B284="COMP",INDEX(COMPOSICAO!$B:$B,MATCH($C284,COMPOSICAO!$A:$A,0)),
""))))))),"*Verificar código*")</f>
        <v>Regularização E Compactação De Subleito De Solo  Predominantemente Argiloso. Af_11/2019</v>
      </c>
      <c r="E284" s="200" t="str">
        <f>IFERROR(LOWER(
IF($B284="DER-ES",INDEX('CDER-ES'!$C:$C,MATCH($C284,'CDER-ES'!$A:$A,0)),
IF($B284="SINAPI",INDEX(CSINAPI!$C:$C,MATCH($C284,CSINAPI!$A:$A,0)),
IF($B284="CESAN",INDEX(CCESAN!$C:$C,MATCH($C284,CCESAN!$A:$A,0)),
IF($B284="SCORIO",INDEX(CSCORIO!$A:$A,MATCH($C284,CSCORIO!#REF!,0)),
IF($B284="MERC",INDEX(MERCADO!$D:$D,MATCH($C284,MERCADO!$A:$A,0)),
IF($B284="COMP",INDEX(COMPOSICAO!$G:$G,MATCH($C284,COMPOSICAO!$A:$A,0)),
""))))))),"")</f>
        <v>m²</v>
      </c>
      <c r="F284" s="208">
        <f>VLOOKUP(A284,'MEMÓRIA DE CÁLCULO'!A:H,8,0)</f>
        <v>579.55999999999995</v>
      </c>
      <c r="G284" s="202">
        <f>IFERROR(
IF($B284="DER-ES",INDEX('CDER-ES'!$D:$D,MATCH($C284,'CDER-ES'!$A:$A,0)),
IF($B284="SINAPI",INDEX(CSINAPI!$D:$D,MATCH($C284,CSINAPI!$A:$A,0)),
IF($B284="CESAN",INDEX(CCESAN!$D:$D,MATCH($C284,CCESAN!$A:$A,0)),
IF($B284="SCORIO",INDEX(CSCORIO!$B:$B,MATCH($C284,CSCORIO!#REF!,0)),
IF($B284="MERC",INDEX(MERCADO!$E:$E,MATCH($C284,MERCADO!$A:$A,0)),
IF($B284="COMP",INDEX(COMPOSICAO!$H:$H,MATCH($C284,COMPOSICAO!$A:$A,0)),
0)))))),0)</f>
        <v>2.13</v>
      </c>
      <c r="H284" s="202">
        <f>ROUND(G284*(1+$J$2),2)</f>
        <v>2.66</v>
      </c>
      <c r="I284" s="209">
        <f>ROUND($H284*F284,2)</f>
        <v>1541.63</v>
      </c>
      <c r="J284" s="225">
        <f>I284/I$283</f>
        <v>5.8661943158078989E-2</v>
      </c>
    </row>
    <row r="285" spans="1:11" ht="51">
      <c r="A285" s="204" t="s">
        <v>26620</v>
      </c>
      <c r="B285" s="205" t="s">
        <v>1019</v>
      </c>
      <c r="C285" s="206">
        <v>92397</v>
      </c>
      <c r="D285" s="207" t="str">
        <f>IFERROR(PROPER(
IF($B285="DER-ES",INDEX('CDER-ES'!$B:$B,MATCH($C285,'CDER-ES'!$A:$A,0)),
IF($B285="SINAPI",INDEX(CSINAPI!$B:$B,MATCH($C285,CSINAPI!$A:$A,0)),
IF($B285="CESAN",INDEX(CCESAN!$B:$B,MATCH($C285,CCESAN!$A:$A,0)),
IF($B285="SCORIO",INDEX(CSCORIO!$B:$B,MATCH($C285,CSCORIO!$A:$A,0)),
IF($B285="MERC",INDEX(MERCADO!$B:$B,MATCH($C285,MERCADO!$A:$A,0)),
IF($B285="COMP",INDEX(COMPOSICAO!$B:$B,MATCH($C285,COMPOSICAO!$A:$A,0)),
""))))))),"*Verificar código*")</f>
        <v>Execução De Pátio/Estacionamento Em Piso Intertravado, Com Bloco Retangular Cor Natural De 20 X 10 Cm, Espessura 6 Cm. Af_12/2015</v>
      </c>
      <c r="E285" s="200" t="str">
        <f>IFERROR(LOWER(
IF($B285="DER-ES",INDEX('CDER-ES'!$C:$C,MATCH($C285,'CDER-ES'!$A:$A,0)),
IF($B285="SINAPI",INDEX(CSINAPI!$C:$C,MATCH($C285,CSINAPI!$A:$A,0)),
IF($B285="CESAN",INDEX(CCESAN!$C:$C,MATCH($C285,CCESAN!$A:$A,0)),
IF($B285="SCORIO",INDEX(CSCORIO!$A:$A,MATCH($C285,CSCORIO!#REF!,0)),
IF($B285="MERC",INDEX(MERCADO!$D:$D,MATCH($C285,MERCADO!$A:$A,0)),
IF($B285="COMP",INDEX(COMPOSICAO!$G:$G,MATCH($C285,COMPOSICAO!$A:$A,0)),
""))))))),"")</f>
        <v>m²</v>
      </c>
      <c r="F285" s="208">
        <f>VLOOKUP(A285,'MEMÓRIA DE CÁLCULO'!A:H,8,0)</f>
        <v>139.82</v>
      </c>
      <c r="G285" s="202">
        <f>IFERROR(
IF($B285="DER-ES",INDEX('CDER-ES'!$D:$D,MATCH($C285,'CDER-ES'!$A:$A,0)),
IF($B285="SINAPI",INDEX(CSINAPI!$D:$D,MATCH($C285,CSINAPI!$A:$A,0)),
IF($B285="CESAN",INDEX(CCESAN!$D:$D,MATCH($C285,CCESAN!$A:$A,0)),
IF($B285="SCORIO",INDEX(CSCORIO!$B:$B,MATCH($C285,CSCORIO!#REF!,0)),
IF($B285="MERC",INDEX(MERCADO!$E:$E,MATCH($C285,MERCADO!$A:$A,0)),
IF($B285="COMP",INDEX(COMPOSICAO!$H:$H,MATCH($C285,COMPOSICAO!$A:$A,0)),
0)))))),0)</f>
        <v>52.29</v>
      </c>
      <c r="H285" s="202">
        <f>ROUND(G285*(1+$J$2),2)</f>
        <v>65.36</v>
      </c>
      <c r="I285" s="209">
        <f>ROUND($H285*F285,2)</f>
        <v>9138.64</v>
      </c>
      <c r="J285" s="225">
        <f>I285/I$283</f>
        <v>0.34774257131876452</v>
      </c>
    </row>
    <row r="286" spans="1:11" ht="89.25">
      <c r="A286" s="204" t="s">
        <v>26808</v>
      </c>
      <c r="B286" s="205" t="s">
        <v>1019</v>
      </c>
      <c r="C286" s="206">
        <v>94273</v>
      </c>
      <c r="D286" s="207" t="str">
        <f>IFERROR(PROPER(
IF($B286="DER-ES",INDEX('CDER-ES'!$B:$B,MATCH($C286,'CDER-ES'!$A:$A,0)),
IF($B286="SINAPI",INDEX(CSINAPI!$B:$B,MATCH($C286,CSINAPI!$A:$A,0)),
IF($B286="CESAN",INDEX(CCESAN!$B:$B,MATCH($C286,CCESAN!$A:$A,0)),
IF($B286="SCORIO",INDEX(CSCORIO!$B:$B,MATCH($C286,CSCORIO!$A:$A,0)),
IF($B286="MERC",INDEX(MERCADO!$B:$B,MATCH($C286,MERCADO!$A:$A,0)),
IF($B286="COMP",INDEX(COMPOSICAO!$B:$B,MATCH($C286,COMPOSICAO!$A:$A,0)),
""))))))),"*Verificar código*")</f>
        <v>Assentamento De Guia (Meio-Fio) Em Trecho Reto, Confeccionada Em Concreto Pré-Fabricado, Dimensões 100X15X13X30 Cm (Comprimento X Base Inferior X Base Superior X Altura), Para Vias Urbanas (Uso Viário). Af_06/2016</v>
      </c>
      <c r="E286" s="200" t="str">
        <f>IFERROR(LOWER(
IF($B286="DER-ES",INDEX('CDER-ES'!$C:$C,MATCH($C286,'CDER-ES'!$A:$A,0)),
IF($B286="SINAPI",INDEX(CSINAPI!$C:$C,MATCH($C286,CSINAPI!$A:$A,0)),
IF($B286="CESAN",INDEX(CCESAN!$C:$C,MATCH($C286,CCESAN!$A:$A,0)),
IF($B286="SCORIO",INDEX(CSCORIO!$A:$A,MATCH($C286,CSCORIO!#REF!,0)),
IF($B286="MERC",INDEX(MERCADO!$D:$D,MATCH($C286,MERCADO!$A:$A,0)),
IF($B286="COMP",INDEX(COMPOSICAO!$G:$G,MATCH($C286,COMPOSICAO!$A:$A,0)),
""))))))),"")</f>
        <v>m</v>
      </c>
      <c r="F286" s="208">
        <f>VLOOKUP(A286,'MEMÓRIA DE CÁLCULO'!A:H,8,0)</f>
        <v>114.68</v>
      </c>
      <c r="G286" s="202">
        <f>IFERROR(
IF($B286="DER-ES",INDEX('CDER-ES'!$D:$D,MATCH($C286,'CDER-ES'!$A:$A,0)),
IF($B286="SINAPI",INDEX(CSINAPI!$D:$D,MATCH($C286,CSINAPI!$A:$A,0)),
IF($B286="CESAN",INDEX(CCESAN!$D:$D,MATCH($C286,CCESAN!$A:$A,0)),
IF($B286="SCORIO",INDEX(CSCORIO!$B:$B,MATCH($C286,CSCORIO!#REF!,0)),
IF($B286="MERC",INDEX(MERCADO!$E:$E,MATCH($C286,MERCADO!$A:$A,0)),
IF($B286="COMP",INDEX(COMPOSICAO!$H:$H,MATCH($C286,COMPOSICAO!$A:$A,0)),
0)))))),0)</f>
        <v>48.8</v>
      </c>
      <c r="H286" s="202">
        <f>ROUND(G286*(1+$J$2),2)</f>
        <v>61</v>
      </c>
      <c r="I286" s="209">
        <f>ROUND($H286*F286,2)</f>
        <v>6995.48</v>
      </c>
      <c r="J286" s="225">
        <f>I286/I$283</f>
        <v>0.26619127165628481</v>
      </c>
    </row>
    <row r="287" spans="1:11" ht="63.75">
      <c r="A287" s="204" t="s">
        <v>28787</v>
      </c>
      <c r="B287" s="205" t="s">
        <v>1019</v>
      </c>
      <c r="C287" s="206">
        <v>94994</v>
      </c>
      <c r="D287" s="207" t="str">
        <f>IFERROR(PROPER(
IF($B287="DER-ES",INDEX('CDER-ES'!$B:$B,MATCH($C287,'CDER-ES'!$A:$A,0)),
IF($B287="SINAPI",INDEX(CSINAPI!$B:$B,MATCH($C287,CSINAPI!$A:$A,0)),
IF($B287="CESAN",INDEX(CCESAN!$B:$B,MATCH($C287,CCESAN!$A:$A,0)),
IF($B287="SCORIO",INDEX(CSCORIO!$B:$B,MATCH($C287,CSCORIO!$A:$A,0)),
IF($B287="MERC",INDEX(MERCADO!$B:$B,MATCH($C287,MERCADO!$A:$A,0)),
IF($B287="COMP",INDEX(COMPOSICAO!$B:$B,MATCH($C287,COMPOSICAO!$A:$A,0)),
""))))))),"*Verificar código*")</f>
        <v>Execução De Passeio (Calçada) Ou Piso De Concreto Com Concreto Moldado In Loco, Feito Em Obra, Acabamento Convencional, Espessura 8 Cm, Armado. Af_07/2016</v>
      </c>
      <c r="E287" s="200" t="str">
        <f>IFERROR(LOWER(
IF($B287="DER-ES",INDEX('CDER-ES'!$C:$C,MATCH($C287,'CDER-ES'!$A:$A,0)),
IF($B287="SINAPI",INDEX(CSINAPI!$C:$C,MATCH($C287,CSINAPI!$A:$A,0)),
IF($B287="CESAN",INDEX(CCESAN!$C:$C,MATCH($C287,CCESAN!$A:$A,0)),
IF($B287="SCORIO",INDEX(CSCORIO!$A:$A,MATCH($C287,CSCORIO!#REF!,0)),
IF($B287="MERC",INDEX(MERCADO!$D:$D,MATCH($C287,MERCADO!$A:$A,0)),
IF($B287="COMP",INDEX(COMPOSICAO!$G:$G,MATCH($C287,COMPOSICAO!$A:$A,0)),
""))))))),"")</f>
        <v>m²</v>
      </c>
      <c r="F287" s="208">
        <f>VLOOKUP(A287,'MEMÓRIA DE CÁLCULO'!A:H,8,0)</f>
        <v>58.27</v>
      </c>
      <c r="G287" s="202">
        <f>IFERROR(
IF($B287="DER-ES",INDEX('CDER-ES'!$D:$D,MATCH($C287,'CDER-ES'!$A:$A,0)),
IF($B287="SINAPI",INDEX(CSINAPI!$D:$D,MATCH($C287,CSINAPI!$A:$A,0)),
IF($B287="CESAN",INDEX(CCESAN!$D:$D,MATCH($C287,CCESAN!$A:$A,0)),
IF($B287="SCORIO",INDEX(CSCORIO!$B:$B,MATCH($C287,CSCORIO!#REF!,0)),
IF($B287="MERC",INDEX(MERCADO!$E:$E,MATCH($C287,MERCADO!$A:$A,0)),
IF($B287="COMP",INDEX(COMPOSICAO!$H:$H,MATCH($C287,COMPOSICAO!$A:$A,0)),
0)))))),0)</f>
        <v>118.13</v>
      </c>
      <c r="H287" s="202">
        <f>ROUND(G287*(1+$J$2),2)</f>
        <v>147.66</v>
      </c>
      <c r="I287" s="209">
        <f>ROUND($H287*F287,2)</f>
        <v>8604.15</v>
      </c>
      <c r="J287" s="225">
        <f>I287/I$283</f>
        <v>0.32740421386687163</v>
      </c>
      <c r="K287" s="261"/>
    </row>
    <row r="288" spans="1:11">
      <c r="A288" s="196" t="s">
        <v>26809</v>
      </c>
      <c r="B288" s="197"/>
      <c r="C288" s="198"/>
      <c r="D288" s="199" t="s">
        <v>26575</v>
      </c>
      <c r="E288" s="200"/>
      <c r="F288" s="201"/>
      <c r="G288" s="202"/>
      <c r="H288" s="202"/>
      <c r="I288" s="203">
        <f>SUBTOTAL(9,I289:I293)</f>
        <v>27897.810000000005</v>
      </c>
      <c r="J288" s="224">
        <f>SUBTOTAL(9,J289:J293)</f>
        <v>0.99999999999999989</v>
      </c>
    </row>
    <row r="289" spans="1:11" ht="63.75">
      <c r="A289" s="204" t="s">
        <v>26810</v>
      </c>
      <c r="B289" s="205" t="s">
        <v>1019</v>
      </c>
      <c r="C289" s="206">
        <v>94994</v>
      </c>
      <c r="D289" s="207" t="str">
        <f>IFERROR(PROPER(
IF($B289="DER-ES",INDEX('CDER-ES'!$B:$B,MATCH($C289,'CDER-ES'!$A:$A,0)),
IF($B289="SINAPI",INDEX(CSINAPI!$B:$B,MATCH($C289,CSINAPI!$A:$A,0)),
IF($B289="CESAN",INDEX(CCESAN!$B:$B,MATCH($C289,CCESAN!$A:$A,0)),
IF($B289="SCORIO",INDEX(CSCORIO!$B:$B,MATCH($C289,CSCORIO!$A:$A,0)),
IF($B289="MERC",INDEX(MERCADO!$B:$B,MATCH($C289,MERCADO!$A:$A,0)),
IF($B289="COMP",INDEX(COMPOSICAO!$B:$B,MATCH($C289,COMPOSICAO!$A:$A,0)),
""))))))),"*Verificar código*")</f>
        <v>Execução De Passeio (Calçada) Ou Piso De Concreto Com Concreto Moldado In Loco, Feito Em Obra, Acabamento Convencional, Espessura 8 Cm, Armado. Af_07/2016</v>
      </c>
      <c r="E289" s="200" t="str">
        <f>IFERROR(LOWER(
IF($B289="DER-ES",INDEX('CDER-ES'!$C:$C,MATCH($C289,'CDER-ES'!$A:$A,0)),
IF($B289="SINAPI",INDEX(CSINAPI!$C:$C,MATCH($C289,CSINAPI!$A:$A,0)),
IF($B289="CESAN",INDEX(CCESAN!$C:$C,MATCH($C289,CCESAN!$A:$A,0)),
IF($B289="SCORIO",INDEX(CSCORIO!$A:$A,MATCH($C289,CSCORIO!#REF!,0)),
IF($B289="MERC",INDEX(MERCADO!$D:$D,MATCH($C289,MERCADO!$A:$A,0)),
IF($B289="COMP",INDEX(COMPOSICAO!$G:$G,MATCH($C289,COMPOSICAO!$A:$A,0)),
""))))))),"")</f>
        <v>m²</v>
      </c>
      <c r="F289" s="208">
        <f>VLOOKUP(A289,'MEMÓRIA DE CÁLCULO'!A:H,8,0)</f>
        <v>112.65</v>
      </c>
      <c r="G289" s="202">
        <f>IFERROR(
IF($B289="DER-ES",INDEX('CDER-ES'!$D:$D,MATCH($C289,'CDER-ES'!$A:$A,0)),
IF($B289="SINAPI",INDEX(CSINAPI!$D:$D,MATCH($C289,CSINAPI!$A:$A,0)),
IF($B289="CESAN",INDEX(CCESAN!$D:$D,MATCH($C289,CCESAN!$A:$A,0)),
IF($B289="SCORIO",INDEX(CSCORIO!$B:$B,MATCH($C289,CSCORIO!#REF!,0)),
IF($B289="MERC",INDEX(MERCADO!$E:$E,MATCH($C289,MERCADO!$A:$A,0)),
IF($B289="COMP",INDEX(COMPOSICAO!$H:$H,MATCH($C289,COMPOSICAO!$A:$A,0)),
0)))))),0)</f>
        <v>118.13</v>
      </c>
      <c r="H289" s="202">
        <f>ROUND(G289*(1+$J$2),2)</f>
        <v>147.66</v>
      </c>
      <c r="I289" s="209">
        <f>ROUND($H289*F289,2)</f>
        <v>16633.900000000001</v>
      </c>
      <c r="J289" s="225">
        <f>I289/I$288</f>
        <v>0.59624393455973779</v>
      </c>
      <c r="K289" s="261"/>
    </row>
    <row r="290" spans="1:11" ht="51">
      <c r="A290" s="204" t="s">
        <v>26811</v>
      </c>
      <c r="B290" s="205" t="s">
        <v>1019</v>
      </c>
      <c r="C290" s="206">
        <v>94991</v>
      </c>
      <c r="D290" s="207" t="str">
        <f>IFERROR(PROPER(
IF($B290="DER-ES",INDEX('CDER-ES'!$B:$B,MATCH($C290,'CDER-ES'!$A:$A,0)),
IF($B290="SINAPI",INDEX(CSINAPI!$B:$B,MATCH($C290,CSINAPI!$A:$A,0)),
IF($B290="CESAN",INDEX(CCESAN!$B:$B,MATCH($C290,CCESAN!$A:$A,0)),
IF($B290="SCORIO",INDEX(CSCORIO!$B:$B,MATCH($C290,CSCORIO!$A:$A,0)),
IF($B290="MERC",INDEX(MERCADO!$B:$B,MATCH($C290,MERCADO!$A:$A,0)),
IF($B290="COMP",INDEX(COMPOSICAO!$B:$B,MATCH($C290,COMPOSICAO!$A:$A,0)),
""))))))),"*Verificar código*")</f>
        <v>Execução De Passeio (Calçada) Ou Piso De Concreto Com Concreto Moldado In Loco, Usinado, Acabamento Convencional, Não Armado. Af_07/2016</v>
      </c>
      <c r="E290" s="200" t="str">
        <f>IFERROR(LOWER(
IF($B290="DER-ES",INDEX('CDER-ES'!$C:$C,MATCH($C290,'CDER-ES'!$A:$A,0)),
IF($B290="SINAPI",INDEX(CSINAPI!$C:$C,MATCH($C290,CSINAPI!$A:$A,0)),
IF($B290="CESAN",INDEX(CCESAN!$C:$C,MATCH($C290,CCESAN!$A:$A,0)),
IF($B290="SCORIO",INDEX(CSCORIO!$A:$A,MATCH($C290,CSCORIO!#REF!,0)),
IF($B290="MERC",INDEX(MERCADO!$D:$D,MATCH($C290,MERCADO!$A:$A,0)),
IF($B290="COMP",INDEX(COMPOSICAO!$G:$G,MATCH($C290,COMPOSICAO!$A:$A,0)),
""))))))),"")</f>
        <v>m³</v>
      </c>
      <c r="F290" s="208">
        <f>VLOOKUP(A290,'MEMÓRIA DE CÁLCULO'!A:H,8,0)</f>
        <v>4.97</v>
      </c>
      <c r="G290" s="202">
        <f>IFERROR(
IF($B290="DER-ES",INDEX('CDER-ES'!$D:$D,MATCH($C290,'CDER-ES'!$A:$A,0)),
IF($B290="SINAPI",INDEX(CSINAPI!$D:$D,MATCH($C290,CSINAPI!$A:$A,0)),
IF($B290="CESAN",INDEX(CCESAN!$D:$D,MATCH($C290,CCESAN!$A:$A,0)),
IF($B290="SCORIO",INDEX(CSCORIO!$B:$B,MATCH($C290,CSCORIO!#REF!,0)),
IF($B290="MERC",INDEX(MERCADO!$E:$E,MATCH($C290,MERCADO!$A:$A,0)),
IF($B290="COMP",INDEX(COMPOSICAO!$H:$H,MATCH($C290,COMPOSICAO!$A:$A,0)),
0)))))),0)</f>
        <v>545.82000000000005</v>
      </c>
      <c r="H290" s="202">
        <f>ROUND(G290*(1+$J$2),2)</f>
        <v>682.28</v>
      </c>
      <c r="I290" s="209">
        <f>ROUND($H290*F290,2)</f>
        <v>3390.93</v>
      </c>
      <c r="J290" s="225">
        <f t="shared" ref="J290" si="234">I290/I$288</f>
        <v>0.12154825056160319</v>
      </c>
    </row>
    <row r="291" spans="1:11" ht="76.5">
      <c r="A291" s="204" t="s">
        <v>28674</v>
      </c>
      <c r="B291" s="205" t="s">
        <v>26583</v>
      </c>
      <c r="C291" s="206">
        <v>200253</v>
      </c>
      <c r="D291" s="207" t="str">
        <f>IFERROR(PROPER(
IF($B291="DER-ES",INDEX('CDER-ES'!$B:$B,MATCH($C291,'CDER-ES'!$A:$A,0)),
IF($B291="SINAPI",INDEX(CSINAPI!$B:$B,MATCH($C291,CSINAPI!$A:$A,0)),
IF($B291="CESAN",INDEX(CCESAN!$B:$B,MATCH($C291,CCESAN!$A:$A,0)),
IF($B291="SCORIO",INDEX(CSCORIO!$B:$B,MATCH($C291,CSCORIO!$A:$A,0)),
IF($B291="MERC",INDEX(MERCADO!$B:$B,MATCH($C291,MERCADO!$A:$A,0)),
IF($B291="COMP",INDEX(COMPOSICAO!$B:$B,MATCH($C291,COMPOSICAO!$A:$A,0)),
""))))))),"*Verificar código*")</f>
        <v>Fornecimento E Assentamento De Ladrilho Hidráulico Pastilhado, Vermelho, Dim. 20X20 Cm, Esp. 1.5Cm, Assentado Com Pasta De Cimento Colante, Exclusive Regularização E Lastro</v>
      </c>
      <c r="E291" s="200" t="str">
        <f>IFERROR(LOWER(
IF($B291="DER-ES",INDEX('CDER-ES'!$C:$C,MATCH($C291,'CDER-ES'!$A:$A,0)),
IF($B291="SINAPI",INDEX(CSINAPI!$C:$C,MATCH($C291,CSINAPI!$A:$A,0)),
IF($B291="CESAN",INDEX(CCESAN!$C:$C,MATCH($C291,CCESAN!$A:$A,0)),
IF($B291="SCORIO",INDEX(CSCORIO!$A:$A,MATCH($C291,CSCORIO!#REF!,0)),
IF($B291="MERC",INDEX(MERCADO!$D:$D,MATCH($C291,MERCADO!$A:$A,0)),
IF($B291="COMP",INDEX(COMPOSICAO!$G:$G,MATCH($C291,COMPOSICAO!$A:$A,0)),
""))))))),"")</f>
        <v>m²</v>
      </c>
      <c r="F291" s="208">
        <f>VLOOKUP(A291,'MEMÓRIA DE CÁLCULO'!A:H,8,0)</f>
        <v>30.58</v>
      </c>
      <c r="G291" s="202">
        <f>IFERROR(
IF($B291="DER-ES",INDEX('CDER-ES'!$D:$D,MATCH($C291,'CDER-ES'!$A:$A,0)),
IF($B291="SINAPI",INDEX(CSINAPI!$D:$D,MATCH($C291,CSINAPI!$A:$A,0)),
IF($B291="CESAN",INDEX(CCESAN!$D:$D,MATCH($C291,CCESAN!$A:$A,0)),
IF($B291="SCORIO",INDEX(CSCORIO!$B:$B,MATCH($C291,CSCORIO!#REF!,0)),
IF($B291="MERC",INDEX(MERCADO!$E:$E,MATCH($C291,MERCADO!$A:$A,0)),
IF($B291="COMP",INDEX(COMPOSICAO!$H:$H,MATCH($C291,COMPOSICAO!$A:$A,0)),
0)))))),0)</f>
        <v>68.349999999999994</v>
      </c>
      <c r="H291" s="202">
        <f>ROUND(G291*(1+$J$2),2)</f>
        <v>85.44</v>
      </c>
      <c r="I291" s="209">
        <f>ROUND($H291*F291,2)</f>
        <v>2612.7600000000002</v>
      </c>
      <c r="J291" s="225">
        <f t="shared" ref="J291:J293" si="235">I291/I$288</f>
        <v>9.3654663215499701E-2</v>
      </c>
    </row>
    <row r="292" spans="1:11" ht="89.25">
      <c r="A292" s="204" t="s">
        <v>28675</v>
      </c>
      <c r="B292" s="205" t="s">
        <v>1019</v>
      </c>
      <c r="C292" s="206">
        <v>94273</v>
      </c>
      <c r="D292" s="207" t="str">
        <f>IFERROR(PROPER(
IF($B292="DER-ES",INDEX('CDER-ES'!$B:$B,MATCH($C292,'CDER-ES'!$A:$A,0)),
IF($B292="SINAPI",INDEX(CSINAPI!$B:$B,MATCH($C292,CSINAPI!$A:$A,0)),
IF($B292="CESAN",INDEX(CCESAN!$B:$B,MATCH($C292,CCESAN!$A:$A,0)),
IF($B292="SCORIO",INDEX(CSCORIO!$B:$B,MATCH($C292,CSCORIO!$A:$A,0)),
IF($B292="MERC",INDEX(MERCADO!$B:$B,MATCH($C292,MERCADO!$A:$A,0)),
IF($B292="COMP",INDEX(COMPOSICAO!$B:$B,MATCH($C292,COMPOSICAO!$A:$A,0)),
""))))))),"*Verificar código*")</f>
        <v>Assentamento De Guia (Meio-Fio) Em Trecho Reto, Confeccionada Em Concreto Pré-Fabricado, Dimensões 100X15X13X30 Cm (Comprimento X Base Inferior X Base Superior X Altura), Para Vias Urbanas (Uso Viário). Af_06/2016</v>
      </c>
      <c r="E292" s="200" t="str">
        <f>IFERROR(LOWER(
IF($B292="DER-ES",INDEX('CDER-ES'!$C:$C,MATCH($C292,'CDER-ES'!$A:$A,0)),
IF($B292="SINAPI",INDEX(CSINAPI!$C:$C,MATCH($C292,CSINAPI!$A:$A,0)),
IF($B292="CESAN",INDEX(CCESAN!$C:$C,MATCH($C292,CCESAN!$A:$A,0)),
IF($B292="SCORIO",INDEX(CSCORIO!$A:$A,MATCH($C292,CSCORIO!#REF!,0)),
IF($B292="MERC",INDEX(MERCADO!$D:$D,MATCH($C292,MERCADO!$A:$A,0)),
IF($B292="COMP",INDEX(COMPOSICAO!$G:$G,MATCH($C292,COMPOSICAO!$A:$A,0)),
""))))))),"")</f>
        <v>m</v>
      </c>
      <c r="F292" s="208">
        <f>VLOOKUP(A292,'MEMÓRIA DE CÁLCULO'!A:H,8,0)</f>
        <v>79.239999999999995</v>
      </c>
      <c r="G292" s="202">
        <f>IFERROR(
IF($B292="DER-ES",INDEX('CDER-ES'!$D:$D,MATCH($C292,'CDER-ES'!$A:$A,0)),
IF($B292="SINAPI",INDEX(CSINAPI!$D:$D,MATCH($C292,CSINAPI!$A:$A,0)),
IF($B292="CESAN",INDEX(CCESAN!$D:$D,MATCH($C292,CCESAN!$A:$A,0)),
IF($B292="SCORIO",INDEX(CSCORIO!$B:$B,MATCH($C292,CSCORIO!#REF!,0)),
IF($B292="MERC",INDEX(MERCADO!$E:$E,MATCH($C292,MERCADO!$A:$A,0)),
IF($B292="COMP",INDEX(COMPOSICAO!$H:$H,MATCH($C292,COMPOSICAO!$A:$A,0)),
0)))))),0)</f>
        <v>48.8</v>
      </c>
      <c r="H292" s="202">
        <f>ROUND(G292*(1+$J$2),2)</f>
        <v>61</v>
      </c>
      <c r="I292" s="209">
        <f>ROUND($H292*F292,2)</f>
        <v>4833.6400000000003</v>
      </c>
      <c r="J292" s="225">
        <f t="shared" si="235"/>
        <v>0.17326234568233131</v>
      </c>
    </row>
    <row r="293" spans="1:11" ht="89.25">
      <c r="A293" s="204" t="s">
        <v>28676</v>
      </c>
      <c r="B293" s="205" t="s">
        <v>1019</v>
      </c>
      <c r="C293" s="206">
        <v>94274</v>
      </c>
      <c r="D293" s="207" t="str">
        <f>IFERROR(PROPER(
IF($B293="DER-ES",INDEX('CDER-ES'!$B:$B,MATCH($C293,'CDER-ES'!$A:$A,0)),
IF($B293="SINAPI",INDEX(CSINAPI!$B:$B,MATCH($C293,CSINAPI!$A:$A,0)),
IF($B293="CESAN",INDEX(CCESAN!$B:$B,MATCH($C293,CCESAN!$A:$A,0)),
IF($B293="SCORIO",INDEX(CSCORIO!$B:$B,MATCH($C293,CSCORIO!$A:$A,0)),
IF($B293="MERC",INDEX(MERCADO!$B:$B,MATCH($C293,MERCADO!$A:$A,0)),
IF($B293="COMP",INDEX(COMPOSICAO!$B:$B,MATCH($C293,COMPOSICAO!$A:$A,0)),
""))))))),"*Verificar código*")</f>
        <v>Assentamento De Guia (Meio-Fio) Em Trecho Curvo, Confeccionada Em Concreto Pré-Fabricado, Dimensões 100X15X13X30 Cm (Comprimento X Base Inferior X Base Superior X Altura), Para Vias Urbanas (Uso Viário). Af_06/2016</v>
      </c>
      <c r="E293" s="200" t="str">
        <f>IFERROR(LOWER(
IF($B293="DER-ES",INDEX('CDER-ES'!$C:$C,MATCH($C293,'CDER-ES'!$A:$A,0)),
IF($B293="SINAPI",INDEX(CSINAPI!$C:$C,MATCH($C293,CSINAPI!$A:$A,0)),
IF($B293="CESAN",INDEX(CCESAN!$C:$C,MATCH($C293,CCESAN!$A:$A,0)),
IF($B293="SCORIO",INDEX(CSCORIO!$A:$A,MATCH($C293,CSCORIO!#REF!,0)),
IF($B293="MERC",INDEX(MERCADO!$D:$D,MATCH($C293,MERCADO!$A:$A,0)),
IF($B293="COMP",INDEX(COMPOSICAO!$G:$G,MATCH($C293,COMPOSICAO!$A:$A,0)),
""))))))),"")</f>
        <v>m</v>
      </c>
      <c r="F293" s="208">
        <f>VLOOKUP(A293,'MEMÓRIA DE CÁLCULO'!A:H,8,0)</f>
        <v>6.48</v>
      </c>
      <c r="G293" s="202">
        <f>IFERROR(
IF($B293="DER-ES",INDEX('CDER-ES'!$D:$D,MATCH($C293,'CDER-ES'!$A:$A,0)),
IF($B293="SINAPI",INDEX(CSINAPI!$D:$D,MATCH($C293,CSINAPI!$A:$A,0)),
IF($B293="CESAN",INDEX(CCESAN!$D:$D,MATCH($C293,CCESAN!$A:$A,0)),
IF($B293="SCORIO",INDEX(CSCORIO!$B:$B,MATCH($C293,CSCORIO!#REF!,0)),
IF($B293="MERC",INDEX(MERCADO!$E:$E,MATCH($C293,MERCADO!$A:$A,0)),
IF($B293="COMP",INDEX(COMPOSICAO!$H:$H,MATCH($C293,COMPOSICAO!$A:$A,0)),
0)))))),0)</f>
        <v>52.66</v>
      </c>
      <c r="H293" s="202">
        <f>ROUND(G293*(1+$J$2),2)</f>
        <v>65.83</v>
      </c>
      <c r="I293" s="209">
        <f>ROUND($H293*F293,2)</f>
        <v>426.58</v>
      </c>
      <c r="J293" s="225">
        <f t="shared" si="235"/>
        <v>1.5290805980827882E-2</v>
      </c>
    </row>
    <row r="294" spans="1:11">
      <c r="A294" s="196" t="s">
        <v>28677</v>
      </c>
      <c r="B294" s="197"/>
      <c r="C294" s="198"/>
      <c r="D294" s="199" t="s">
        <v>26566</v>
      </c>
      <c r="E294" s="200"/>
      <c r="F294" s="201"/>
      <c r="G294" s="202"/>
      <c r="H294" s="202"/>
      <c r="I294" s="203">
        <f>SUBTOTAL(9,I295:I297)</f>
        <v>71872.39</v>
      </c>
      <c r="J294" s="224">
        <f>SUBTOTAL(9,J295:J297)</f>
        <v>1</v>
      </c>
    </row>
    <row r="295" spans="1:11" ht="51">
      <c r="A295" s="204" t="s">
        <v>28678</v>
      </c>
      <c r="B295" s="205" t="s">
        <v>26583</v>
      </c>
      <c r="C295" s="206">
        <v>20339</v>
      </c>
      <c r="D295" s="207" t="str">
        <f>IFERROR(PROPER(
IF($B295="DER-ES",INDEX('CDER-ES'!$B:$B,MATCH($C295,'CDER-ES'!$A:$A,0)),
IF($B295="SINAPI",INDEX(CSINAPI!$B:$B,MATCH($C295,CSINAPI!$A:$A,0)),
IF($B295="CESAN",INDEX(CCESAN!$B:$B,MATCH($C295,CCESAN!$A:$A,0)),
IF($B295="SCORIO",INDEX(CSCORIO!$B:$B,MATCH($C295,CSCORIO!$A:$A,0)),
IF($B295="MERC",INDEX(MERCADO!$B:$B,MATCH($C295,MERCADO!$A:$A,0)),
IF($B295="COMP",INDEX(COMPOSICAO!$B:$B,MATCH($C295,COMPOSICAO!$A:$A,0)),
""))))))),"*Verificar código*")</f>
        <v>Locação De Andaime Metálico Para Trabalho Em Fachada De Edifíco (Aluguel De 1 M² Por 1 Mês) Inclusive Frete, Montagem E Desmontagem</v>
      </c>
      <c r="E295" s="200" t="str">
        <f>IFERROR(LOWER(
IF($B295="DER-ES",INDEX('CDER-ES'!$C:$C,MATCH($C295,'CDER-ES'!$A:$A,0)),
IF($B295="SINAPI",INDEX(CSINAPI!$C:$C,MATCH($C295,CSINAPI!$A:$A,0)),
IF($B295="CESAN",INDEX(CCESAN!$C:$C,MATCH($C295,CCESAN!$A:$A,0)),
IF($B295="SCORIO",INDEX(CSCORIO!$A:$A,MATCH($C295,CSCORIO!#REF!,0)),
IF($B295="MERC",INDEX(MERCADO!$D:$D,MATCH($C295,MERCADO!$A:$A,0)),
IF($B295="COMP",INDEX(COMPOSICAO!$G:$G,MATCH($C295,COMPOSICAO!$A:$A,0)),
""))))))),"")</f>
        <v>m²</v>
      </c>
      <c r="F295" s="208">
        <f>VLOOKUP(A295,'MEMÓRIA DE CÁLCULO'!A:H,8,0)</f>
        <v>3760</v>
      </c>
      <c r="G295" s="202">
        <f>IFERROR(
IF($B295="DER-ES",INDEX('CDER-ES'!$D:$D,MATCH($C295,'CDER-ES'!$A:$A,0)),
IF($B295="SINAPI",INDEX(CSINAPI!$D:$D,MATCH($C295,CSINAPI!$A:$A,0)),
IF($B295="CESAN",INDEX(CCESAN!$D:$D,MATCH($C295,CCESAN!$A:$A,0)),
IF($B295="SCORIO",INDEX(CSCORIO!$B:$B,MATCH($C295,CSCORIO!#REF!,0)),
IF($B295="MERC",INDEX(MERCADO!$E:$E,MATCH($C295,MERCADO!$A:$A,0)),
IF($B295="COMP",INDEX(COMPOSICAO!$H:$H,MATCH($C295,COMPOSICAO!$A:$A,0)),
0)))))),0)</f>
        <v>14.88</v>
      </c>
      <c r="H295" s="202">
        <f>ROUND(G295*(1+$J$2),2)</f>
        <v>18.600000000000001</v>
      </c>
      <c r="I295" s="209">
        <f>ROUND($H295*F295,2)</f>
        <v>69936</v>
      </c>
      <c r="J295" s="225">
        <f>I295/I$294</f>
        <v>0.97305794339105744</v>
      </c>
    </row>
    <row r="296" spans="1:11" ht="25.5">
      <c r="A296" s="204" t="s">
        <v>28679</v>
      </c>
      <c r="B296" s="205" t="s">
        <v>26583</v>
      </c>
      <c r="C296" s="206">
        <v>200402</v>
      </c>
      <c r="D296" s="207" t="str">
        <f>IFERROR(PROPER(
IF($B296="DER-ES",INDEX('CDER-ES'!$B:$B,MATCH($C296,'CDER-ES'!$A:$A,0)),
IF($B296="SINAPI",INDEX(CSINAPI!$B:$B,MATCH($C296,CSINAPI!$A:$A,0)),
IF($B296="CESAN",INDEX(CCESAN!$B:$B,MATCH($C296,CCESAN!$A:$A,0)),
IF($B296="SCORIO",INDEX(CSCORIO!$B:$B,MATCH($C296,CSCORIO!$A:$A,0)),
IF($B296="MERC",INDEX(MERCADO!$B:$B,MATCH($C296,MERCADO!$A:$A,0)),
IF($B296="COMP",INDEX(COMPOSICAO!$B:$B,MATCH($C296,COMPOSICAO!$A:$A,0)),
""))))))),"*Verificar código*")</f>
        <v>Limpeza Geral De Obras (Quadras, Praças E Jardins)</v>
      </c>
      <c r="E296" s="200" t="str">
        <f>IFERROR(LOWER(
IF($B296="DER-ES",INDEX('CDER-ES'!$C:$C,MATCH($C296,'CDER-ES'!$A:$A,0)),
IF($B296="SINAPI",INDEX(CSINAPI!$C:$C,MATCH($C296,CSINAPI!$A:$A,0)),
IF($B296="CESAN",INDEX(CCESAN!$C:$C,MATCH($C296,CCESAN!$A:$A,0)),
IF($B296="SCORIO",INDEX(CSCORIO!$A:$A,MATCH($C296,CSCORIO!#REF!,0)),
IF($B296="MERC",INDEX(MERCADO!$D:$D,MATCH($C296,MERCADO!$A:$A,0)),
IF($B296="COMP",INDEX(COMPOSICAO!$G:$G,MATCH($C296,COMPOSICAO!$A:$A,0)),
""))))))),"")</f>
        <v>m²</v>
      </c>
      <c r="F296" s="208">
        <f>VLOOKUP(A296,'MEMÓRIA DE CÁLCULO'!A:H,8,0)</f>
        <v>793.33</v>
      </c>
      <c r="G296" s="202">
        <f>IFERROR(
IF($B296="DER-ES",INDEX('CDER-ES'!$D:$D,MATCH($C296,'CDER-ES'!$A:$A,0)),
IF($B296="SINAPI",INDEX(CSINAPI!$D:$D,MATCH($C296,CSINAPI!$A:$A,0)),
IF($B296="CESAN",INDEX(CCESAN!$D:$D,MATCH($C296,CCESAN!$A:$A,0)),
IF($B296="SCORIO",INDEX(CSCORIO!$B:$B,MATCH($C296,CSCORIO!#REF!,0)),
IF($B296="MERC",INDEX(MERCADO!$E:$E,MATCH($C296,MERCADO!$A:$A,0)),
IF($B296="COMP",INDEX(COMPOSICAO!$H:$H,MATCH($C296,COMPOSICAO!$A:$A,0)),
0)))))),0)</f>
        <v>0.98</v>
      </c>
      <c r="H296" s="202">
        <f>ROUND(G296*(1+$J$2),2)</f>
        <v>1.23</v>
      </c>
      <c r="I296" s="209">
        <f>ROUND($H296*F296,2)</f>
        <v>975.8</v>
      </c>
      <c r="J296" s="225">
        <f>I296/I$294</f>
        <v>1.3576840842498767E-2</v>
      </c>
    </row>
    <row r="297" spans="1:11" ht="51">
      <c r="A297" s="204" t="s">
        <v>29003</v>
      </c>
      <c r="B297" s="205" t="s">
        <v>26583</v>
      </c>
      <c r="C297" s="206">
        <v>200576</v>
      </c>
      <c r="D297" s="207" t="str">
        <f>IFERROR(PROPER(
IF($B297="DER-ES",INDEX('CDER-ES'!$B:$B,MATCH($C297,'CDER-ES'!$A:$A,0)),
IF($B297="SINAPI",INDEX(CSINAPI!$B:$B,MATCH($C297,CSINAPI!$A:$A,0)),
IF($B297="CESAN",INDEX(CCESAN!$B:$B,MATCH($C297,CCESAN!$A:$A,0)),
IF($B297="SCORIO",INDEX(CSCORIO!$B:$B,MATCH($C297,CSCORIO!$A:$A,0)),
IF($B297="MERC",INDEX(MERCADO!$B:$B,MATCH($C297,MERCADO!$A:$A,0)),
IF($B297="COMP",INDEX(COMPOSICAO!$B:$B,MATCH($C297,COMPOSICAO!$A:$A,0)),
""))))))),"*Verificar código*")</f>
        <v>Placa Para Inauguração De Obra Em Alumínio Polido E=4Mm, Dimensões 40 X 50 Cm, Gravação Em Baixo Relevo, Inclusive Pintura E Fixação</v>
      </c>
      <c r="E297" s="200" t="str">
        <f>IFERROR(LOWER(
IF($B297="DER-ES",INDEX('CDER-ES'!$C:$C,MATCH($C297,'CDER-ES'!$A:$A,0)),
IF($B297="SINAPI",INDEX(CSINAPI!$C:$C,MATCH($C297,CSINAPI!$A:$A,0)),
IF($B297="CESAN",INDEX(CCESAN!$C:$C,MATCH($C297,CCESAN!$A:$A,0)),
IF($B297="SCORIO",INDEX(CSCORIO!$A:$A,MATCH($C297,CSCORIO!#REF!,0)),
IF($B297="MERC",INDEX(MERCADO!$D:$D,MATCH($C297,MERCADO!$A:$A,0)),
IF($B297="COMP",INDEX(COMPOSICAO!$G:$G,MATCH($C297,COMPOSICAO!$A:$A,0)),
""))))))),"")</f>
        <v>und</v>
      </c>
      <c r="F297" s="208">
        <f>VLOOKUP(A297,'MEMÓRIA DE CÁLCULO'!A:H,8,0)</f>
        <v>1</v>
      </c>
      <c r="G297" s="202">
        <f>IFERROR(
IF($B297="DER-ES",INDEX('CDER-ES'!$D:$D,MATCH($C297,'CDER-ES'!$A:$A,0)),
IF($B297="SINAPI",INDEX(CSINAPI!$D:$D,MATCH($C297,CSINAPI!$A:$A,0)),
IF($B297="CESAN",INDEX(CCESAN!$D:$D,MATCH($C297,CCESAN!$A:$A,0)),
IF($B297="SCORIO",INDEX(CSCORIO!$B:$B,MATCH($C297,CSCORIO!#REF!,0)),
IF($B297="MERC",INDEX(MERCADO!$E:$E,MATCH($C297,MERCADO!$A:$A,0)),
IF($B297="COMP",INDEX(COMPOSICAO!$H:$H,MATCH($C297,COMPOSICAO!$A:$A,0)),
0)))))),0)</f>
        <v>768.47</v>
      </c>
      <c r="H297" s="202">
        <f>ROUND(G297*(1+$J$2),2)</f>
        <v>960.59</v>
      </c>
      <c r="I297" s="209">
        <f>ROUND($H297*F297,2)</f>
        <v>960.59</v>
      </c>
      <c r="J297" s="225">
        <f>I297/I$294</f>
        <v>1.3365215766443832E-2</v>
      </c>
    </row>
    <row r="298" spans="1:11" ht="30" customHeight="1">
      <c r="A298" s="367" t="s">
        <v>19673</v>
      </c>
      <c r="B298" s="368"/>
      <c r="C298" s="368"/>
      <c r="D298" s="368"/>
      <c r="E298" s="368"/>
      <c r="F298" s="368"/>
      <c r="G298" s="368"/>
      <c r="H298" s="369"/>
      <c r="I298" s="210">
        <f>SUBTOTAL(9,I6:I297)</f>
        <v>1563066.0200000003</v>
      </c>
      <c r="J298" s="210"/>
    </row>
    <row r="299" spans="1:11">
      <c r="A299" s="81"/>
      <c r="B299" s="82"/>
      <c r="C299" s="82"/>
      <c r="D299" s="82"/>
      <c r="E299" s="82"/>
      <c r="F299" s="82"/>
      <c r="G299" s="215"/>
      <c r="H299" s="216"/>
      <c r="I299" s="216"/>
    </row>
    <row r="300" spans="1:11">
      <c r="A300" s="267" t="s">
        <v>28495</v>
      </c>
    </row>
    <row r="301" spans="1:11">
      <c r="A301" s="267" t="s">
        <v>28497</v>
      </c>
    </row>
    <row r="302" spans="1:11">
      <c r="A302" s="267" t="s">
        <v>28496</v>
      </c>
    </row>
    <row r="303" spans="1:11">
      <c r="A303" s="267" t="s">
        <v>28737</v>
      </c>
    </row>
  </sheetData>
  <autoFilter ref="A5:J297"/>
  <mergeCells count="8">
    <mergeCell ref="I3:J3"/>
    <mergeCell ref="A1:J1"/>
    <mergeCell ref="A298:H298"/>
    <mergeCell ref="G3:H3"/>
    <mergeCell ref="A2:B2"/>
    <mergeCell ref="A3:B3"/>
    <mergeCell ref="C3:F3"/>
    <mergeCell ref="C2:F2"/>
  </mergeCells>
  <phoneticPr fontId="35" type="noConversion"/>
  <conditionalFormatting sqref="A6:J6 A7:I7 C41:C43 B43 A40:A43 D43 A8:D8 H8:I8 F8 G68:G69 D68:E69 A98 D98:E98 G98 G223 D223:E223 G239 D239:E239 G284 D284:E284 D7:D10 B7:B10 G8:G10 D8:E10 D268 A57 G57 D57:E57 B31 D31:E31 G31 G33 D33:E33 B33 D62:E62 G62 A62 B39 D39:E39 G39 B28:I29 B35:I35 A87:A91 A220:A234 A237 A100:I100 A240 F47:F49 D48 B48:B49 A103:A124 A278:A280 G278:G280 D278:E280 D12:E13 G12:G13 B12:B13 A159:A184 D282:E282 G282 A282 A14:A15 A78:A82 B37:I37 G45:G50 E45:E50 A47:A55">
    <cfRule type="expression" dxfId="3396" priority="6735">
      <formula>IF(AND($B6="",$C6="",LEN($A6)&lt;=2),TRUE,FALSE)</formula>
    </cfRule>
    <cfRule type="expression" dxfId="3395" priority="6736">
      <formula>IF(AND($B6="",$C6=""),TRUE,FALSE)</formula>
    </cfRule>
  </conditionalFormatting>
  <conditionalFormatting sqref="C7">
    <cfRule type="expression" dxfId="3394" priority="8879">
      <formula>IF((COUNTIF(#REF!,#REF!))&gt;1,TRUE,FALSE)</formula>
    </cfRule>
  </conditionalFormatting>
  <conditionalFormatting sqref="G269:G271 G238:G242 G41:G60 G223 G226:G227 G245:G251 G287:G297 G203:G212 G277:G284 G218:G219 G6:G15 G214:G216 G255:G262 G75:G103 G151:G192 G17:G37 G39 G62:G73">
    <cfRule type="expression" dxfId="3393" priority="10435">
      <formula>IF((SUMIF(#REF!,#REF!,G:G)/COUNTIF(#REF!,#REF!))&lt;&gt;G6,TRUE,FALSE)</formula>
    </cfRule>
  </conditionalFormatting>
  <conditionalFormatting sqref="C6">
    <cfRule type="expression" dxfId="3392" priority="10553">
      <formula>IF((COUNTIF(#REF!,#REF!))&gt;1,TRUE,FALSE)</formula>
    </cfRule>
  </conditionalFormatting>
  <conditionalFormatting sqref="C8">
    <cfRule type="expression" dxfId="3391" priority="5563">
      <formula>IF((COUNTIF(#REF!,#REF!))&gt;1,TRUE,FALSE)</formula>
    </cfRule>
  </conditionalFormatting>
  <conditionalFormatting sqref="A298 I298:J298">
    <cfRule type="expression" dxfId="3390" priority="10554">
      <formula>IF(AND($B298="",$C298="",LEN(#REF!)&lt;=2),TRUE,FALSE)</formula>
    </cfRule>
    <cfRule type="expression" dxfId="3389" priority="10555">
      <formula>IF(AND($B298="",$C298=""),TRUE,FALSE)</formula>
    </cfRule>
  </conditionalFormatting>
  <conditionalFormatting sqref="B63:J63 H64:I64 B64:C64">
    <cfRule type="expression" dxfId="3388" priority="5455">
      <formula>IF(AND($B63="",$C63="",LEN($A63)&lt;=2),TRUE,FALSE)</formula>
    </cfRule>
    <cfRule type="expression" dxfId="3387" priority="5456">
      <formula>IF(AND($B63="",$C63=""),TRUE,FALSE)</formula>
    </cfRule>
  </conditionalFormatting>
  <conditionalFormatting sqref="C64">
    <cfRule type="expression" dxfId="3386" priority="5457">
      <formula>IF((COUNTIF(#REF!,#REF!))&gt;1,TRUE,FALSE)</formula>
    </cfRule>
  </conditionalFormatting>
  <conditionalFormatting sqref="C63">
    <cfRule type="expression" dxfId="3385" priority="5459">
      <formula>IF((COUNTIF(#REF!,#REF!))&gt;1,TRUE,FALSE)</formula>
    </cfRule>
  </conditionalFormatting>
  <conditionalFormatting sqref="B44:J44 B45:C45 F45 H47:I47 B47:C47 H45:I45">
    <cfRule type="expression" dxfId="3384" priority="5417">
      <formula>IF(AND($B44="",$C44="",LEN($A44)&lt;=2),TRUE,FALSE)</formula>
    </cfRule>
    <cfRule type="expression" dxfId="3383" priority="5418">
      <formula>IF(AND($B44="",$C44=""),TRUE,FALSE)</formula>
    </cfRule>
  </conditionalFormatting>
  <conditionalFormatting sqref="C45">
    <cfRule type="expression" dxfId="3382" priority="5419">
      <formula>IF((COUNTIF(#REF!,#REF!))&gt;1,TRUE,FALSE)</formula>
    </cfRule>
  </conditionalFormatting>
  <conditionalFormatting sqref="C44">
    <cfRule type="expression" dxfId="3381" priority="5420">
      <formula>IF((COUNTIF(#REF!,#REF!))&gt;1,TRUE,FALSE)</formula>
    </cfRule>
  </conditionalFormatting>
  <conditionalFormatting sqref="C47">
    <cfRule type="expression" dxfId="3380" priority="5415">
      <formula>IF((COUNTIF(#REF!,#REF!))&gt;1,TRUE,FALSE)</formula>
    </cfRule>
  </conditionalFormatting>
  <conditionalFormatting sqref="H49:I49">
    <cfRule type="expression" dxfId="3379" priority="5411">
      <formula>IF(AND($B49="",$C49="",LEN($A49)&lt;=2),TRUE,FALSE)</formula>
    </cfRule>
    <cfRule type="expression" dxfId="3378" priority="5412">
      <formula>IF(AND($B49="",$C49=""),TRUE,FALSE)</formula>
    </cfRule>
  </conditionalFormatting>
  <conditionalFormatting sqref="F64:G64">
    <cfRule type="expression" dxfId="3377" priority="5382">
      <formula>IF(AND($B64="",$C64="",LEN($A64)&lt;=2),TRUE,FALSE)</formula>
    </cfRule>
    <cfRule type="expression" dxfId="3376" priority="5383">
      <formula>IF(AND($B64="",$C64=""),TRUE,FALSE)</formula>
    </cfRule>
  </conditionalFormatting>
  <conditionalFormatting sqref="G16 G40 G286 G272:G276 G252:G253 G263:G265 G224 G220 G243:G244 G267:G268">
    <cfRule type="expression" dxfId="3375" priority="5343">
      <formula>IF((SUMIF(#REF!,#REF!,G:G)/COUNTIF(#REF!,#REF!))&lt;&gt;G16,TRUE,FALSE)</formula>
    </cfRule>
  </conditionalFormatting>
  <conditionalFormatting sqref="B40:J40">
    <cfRule type="expression" dxfId="3374" priority="5340">
      <formula>IF(AND($B40="",$C40="",LEN($A40)&lt;=2),TRUE,FALSE)</formula>
    </cfRule>
    <cfRule type="expression" dxfId="3373" priority="5341">
      <formula>IF(AND($B40="",$C40=""),TRUE,FALSE)</formula>
    </cfRule>
  </conditionalFormatting>
  <conditionalFormatting sqref="C40">
    <cfRule type="expression" dxfId="3372" priority="5342">
      <formula>IF((COUNTIF(#REF!,#REF!))&gt;1,TRUE,FALSE)</formula>
    </cfRule>
  </conditionalFormatting>
  <conditionalFormatting sqref="C294">
    <cfRule type="expression" dxfId="3371" priority="5315">
      <formula>IF((COUNTIF(#REF!,#REF!))&gt;1,TRUE,FALSE)</formula>
    </cfRule>
  </conditionalFormatting>
  <conditionalFormatting sqref="A294:J294">
    <cfRule type="expression" dxfId="3370" priority="5312">
      <formula>IF(AND($B294="",$C294="",LEN($A294)&lt;=2),TRUE,FALSE)</formula>
    </cfRule>
    <cfRule type="expression" dxfId="3369" priority="5313">
      <formula>IF(AND($B294="",$C294=""),TRUE,FALSE)</formula>
    </cfRule>
  </conditionalFormatting>
  <conditionalFormatting sqref="F43 H43:I43">
    <cfRule type="expression" dxfId="3368" priority="5286">
      <formula>IF(AND($B43="",$C43="",LEN($A43)&lt;=2),TRUE,FALSE)</formula>
    </cfRule>
    <cfRule type="expression" dxfId="3367" priority="5287">
      <formula>IF(AND($B43="",$C43=""),TRUE,FALSE)</formula>
    </cfRule>
  </conditionalFormatting>
  <conditionalFormatting sqref="F41 H41:I41">
    <cfRule type="expression" dxfId="3366" priority="5276">
      <formula>IF(AND($B41="",$C41="",LEN($A41)&lt;=2),TRUE,FALSE)</formula>
    </cfRule>
    <cfRule type="expression" dxfId="3365" priority="5277">
      <formula>IF(AND($B41="",$C41=""),TRUE,FALSE)</formula>
    </cfRule>
  </conditionalFormatting>
  <conditionalFormatting sqref="C41:C43">
    <cfRule type="expression" dxfId="3364" priority="5271">
      <formula>IF((COUNTIF(#REF!,#REF!))&gt;1,TRUE,FALSE)</formula>
    </cfRule>
  </conditionalFormatting>
  <conditionalFormatting sqref="C41:C43">
    <cfRule type="expression" dxfId="3363" priority="5270">
      <formula>IF((COUNTIF(#REF!,#REF!))&gt;1,TRUE,FALSE)</formula>
    </cfRule>
  </conditionalFormatting>
  <conditionalFormatting sqref="C41:C43">
    <cfRule type="expression" dxfId="3362" priority="5269">
      <formula>IF((COUNTIF(#REF!,#REF!))&gt;1,TRUE,FALSE)</formula>
    </cfRule>
  </conditionalFormatting>
  <conditionalFormatting sqref="B46:C46 F46 H46:I46">
    <cfRule type="expression" dxfId="3361" priority="5263">
      <formula>IF(AND($B46="",$C46="",LEN($A46)&lt;=2),TRUE,FALSE)</formula>
    </cfRule>
    <cfRule type="expression" dxfId="3360" priority="5264">
      <formula>IF(AND($B46="",$C46=""),TRUE,FALSE)</formula>
    </cfRule>
  </conditionalFormatting>
  <conditionalFormatting sqref="C46">
    <cfRule type="expression" dxfId="3359" priority="5265">
      <formula>IF((COUNTIF(#REF!,#REF!))&gt;1,TRUE,FALSE)</formula>
    </cfRule>
  </conditionalFormatting>
  <conditionalFormatting sqref="A9 F9">
    <cfRule type="expression" dxfId="3358" priority="5258">
      <formula>IF(AND($B9="",$C9="",LEN($A9)&lt;=2),TRUE,FALSE)</formula>
    </cfRule>
    <cfRule type="expression" dxfId="3357" priority="5259">
      <formula>IF(AND($B9="",$C9=""),TRUE,FALSE)</formula>
    </cfRule>
  </conditionalFormatting>
  <conditionalFormatting sqref="B9:C9 H9:I9">
    <cfRule type="expression" dxfId="3356" priority="5256">
      <formula>IF(AND($B9="",$C9="",LEN($A9)&lt;=2),TRUE,FALSE)</formula>
    </cfRule>
    <cfRule type="expression" dxfId="3355" priority="5257">
      <formula>IF(AND($B9="",$C9=""),TRUE,FALSE)</formula>
    </cfRule>
  </conditionalFormatting>
  <conditionalFormatting sqref="C9">
    <cfRule type="expression" dxfId="3354" priority="5255">
      <formula>IF((COUNTIF(#REF!,#REF!))&gt;1,TRUE,FALSE)</formula>
    </cfRule>
  </conditionalFormatting>
  <conditionalFormatting sqref="C9">
    <cfRule type="expression" dxfId="3353" priority="5254">
      <formula>IF((COUNTIF(#REF!,#REF!))&gt;1,TRUE,FALSE)</formula>
    </cfRule>
  </conditionalFormatting>
  <conditionalFormatting sqref="C9">
    <cfRule type="expression" dxfId="3352" priority="5253">
      <formula>IF((COUNTIF(#REF!,#REF!))&gt;1,TRUE,FALSE)</formula>
    </cfRule>
  </conditionalFormatting>
  <conditionalFormatting sqref="D10 F10 A10:A13">
    <cfRule type="expression" dxfId="3351" priority="5250">
      <formula>IF(AND($B10="",$C10="",LEN($A10)&lt;=2),TRUE,FALSE)</formula>
    </cfRule>
    <cfRule type="expression" dxfId="3350" priority="5251">
      <formula>IF(AND($B10="",$C10=""),TRUE,FALSE)</formula>
    </cfRule>
  </conditionalFormatting>
  <conditionalFormatting sqref="B10:C10 H10:I10">
    <cfRule type="expression" dxfId="3349" priority="5248">
      <formula>IF(AND($B10="",$C10="",LEN($A10)&lt;=2),TRUE,FALSE)</formula>
    </cfRule>
    <cfRule type="expression" dxfId="3348" priority="5249">
      <formula>IF(AND($B10="",$C10=""),TRUE,FALSE)</formula>
    </cfRule>
  </conditionalFormatting>
  <conditionalFormatting sqref="C10">
    <cfRule type="expression" dxfId="3347" priority="5247">
      <formula>IF((COUNTIF(#REF!,#REF!))&gt;1,TRUE,FALSE)</formula>
    </cfRule>
  </conditionalFormatting>
  <conditionalFormatting sqref="C10">
    <cfRule type="expression" dxfId="3346" priority="5246">
      <formula>IF((COUNTIF(#REF!,#REF!))&gt;1,TRUE,FALSE)</formula>
    </cfRule>
  </conditionalFormatting>
  <conditionalFormatting sqref="C10">
    <cfRule type="expression" dxfId="3345" priority="5245">
      <formula>IF((COUNTIF(#REF!,#REF!))&gt;1,TRUE,FALSE)</formula>
    </cfRule>
  </conditionalFormatting>
  <conditionalFormatting sqref="F42 H42:I42">
    <cfRule type="expression" dxfId="3344" priority="5240">
      <formula>IF(AND($B42="",$C42="",LEN($A42)&lt;=2),TRUE,FALSE)</formula>
    </cfRule>
    <cfRule type="expression" dxfId="3343" priority="5241">
      <formula>IF(AND($B42="",$C42=""),TRUE,FALSE)</formula>
    </cfRule>
  </conditionalFormatting>
  <conditionalFormatting sqref="D12 F12">
    <cfRule type="expression" dxfId="3342" priority="5230">
      <formula>IF(AND($B12="",$C12="",LEN($A12)&lt;=2),TRUE,FALSE)</formula>
    </cfRule>
    <cfRule type="expression" dxfId="3341" priority="5231">
      <formula>IF(AND($B12="",$C12=""),TRUE,FALSE)</formula>
    </cfRule>
  </conditionalFormatting>
  <conditionalFormatting sqref="B12:C12 H12:I12">
    <cfRule type="expression" dxfId="3340" priority="5228">
      <formula>IF(AND($B12="",$C12="",LEN($A12)&lt;=2),TRUE,FALSE)</formula>
    </cfRule>
    <cfRule type="expression" dxfId="3339" priority="5229">
      <formula>IF(AND($B12="",$C12=""),TRUE,FALSE)</formula>
    </cfRule>
  </conditionalFormatting>
  <conditionalFormatting sqref="C12">
    <cfRule type="expression" dxfId="3338" priority="5227">
      <formula>IF((COUNTIF(#REF!,#REF!))&gt;1,TRUE,FALSE)</formula>
    </cfRule>
  </conditionalFormatting>
  <conditionalFormatting sqref="C12">
    <cfRule type="expression" dxfId="3337" priority="5226">
      <formula>IF((COUNTIF(#REF!,#REF!))&gt;1,TRUE,FALSE)</formula>
    </cfRule>
  </conditionalFormatting>
  <conditionalFormatting sqref="C12">
    <cfRule type="expression" dxfId="3336" priority="5225">
      <formula>IF((COUNTIF(#REF!,#REF!))&gt;1,TRUE,FALSE)</formula>
    </cfRule>
  </conditionalFormatting>
  <conditionalFormatting sqref="H295:I295 C295 A295:A297">
    <cfRule type="expression" dxfId="3335" priority="5197">
      <formula>IF(AND($B295="",$C295="",LEN($A295)&lt;=2),TRUE,FALSE)</formula>
    </cfRule>
    <cfRule type="expression" dxfId="3334" priority="5198">
      <formula>IF(AND($B295="",$C295=""),TRUE,FALSE)</formula>
    </cfRule>
  </conditionalFormatting>
  <conditionalFormatting sqref="C295">
    <cfRule type="expression" dxfId="3333" priority="5199">
      <formula>IF((COUNTIF(#REF!,#REF!))&gt;1,TRUE,FALSE)</formula>
    </cfRule>
  </conditionalFormatting>
  <conditionalFormatting sqref="F295">
    <cfRule type="expression" dxfId="3332" priority="5195">
      <formula>IF(AND($B295="",$C295="",LEN($A295)&lt;=2),TRUE,FALSE)</formula>
    </cfRule>
    <cfRule type="expression" dxfId="3331" priority="5196">
      <formula>IF(AND($B295="",$C295=""),TRUE,FALSE)</formula>
    </cfRule>
  </conditionalFormatting>
  <conditionalFormatting sqref="D13 F13">
    <cfRule type="expression" dxfId="3330" priority="5190">
      <formula>IF(AND($B13="",$C13="",LEN($A13)&lt;=2),TRUE,FALSE)</formula>
    </cfRule>
    <cfRule type="expression" dxfId="3329" priority="5191">
      <formula>IF(AND($B13="",$C13=""),TRUE,FALSE)</formula>
    </cfRule>
  </conditionalFormatting>
  <conditionalFormatting sqref="B13:C13 H13:I13">
    <cfRule type="expression" dxfId="3328" priority="5188">
      <formula>IF(AND($B13="",$C13="",LEN($A13)&lt;=2),TRUE,FALSE)</formula>
    </cfRule>
    <cfRule type="expression" dxfId="3327" priority="5189">
      <formula>IF(AND($B13="",$C13=""),TRUE,FALSE)</formula>
    </cfRule>
  </conditionalFormatting>
  <conditionalFormatting sqref="C13">
    <cfRule type="expression" dxfId="3326" priority="5187">
      <formula>IF((COUNTIF(#REF!,#REF!))&gt;1,TRUE,FALSE)</formula>
    </cfRule>
  </conditionalFormatting>
  <conditionalFormatting sqref="C13">
    <cfRule type="expression" dxfId="3325" priority="5186">
      <formula>IF((COUNTIF(#REF!,#REF!))&gt;1,TRUE,FALSE)</formula>
    </cfRule>
  </conditionalFormatting>
  <conditionalFormatting sqref="C13">
    <cfRule type="expression" dxfId="3324" priority="5185">
      <formula>IF((COUNTIF(#REF!,#REF!))&gt;1,TRUE,FALSE)</formula>
    </cfRule>
  </conditionalFormatting>
  <conditionalFormatting sqref="C297 H297:I297">
    <cfRule type="expression" dxfId="3323" priority="5173">
      <formula>IF(AND($B297="",$C297="",LEN($A297)&lt;=2),TRUE,FALSE)</formula>
    </cfRule>
    <cfRule type="expression" dxfId="3322" priority="5174">
      <formula>IF(AND($B297="",$C297=""),TRUE,FALSE)</formula>
    </cfRule>
  </conditionalFormatting>
  <conditionalFormatting sqref="C297">
    <cfRule type="expression" dxfId="3321" priority="5175">
      <formula>IF((COUNTIF(#REF!,#REF!))&gt;1,TRUE,FALSE)</formula>
    </cfRule>
  </conditionalFormatting>
  <conditionalFormatting sqref="F297">
    <cfRule type="expression" dxfId="3320" priority="5171">
      <formula>IF(AND($B297="",$C297="",LEN($A297)&lt;=2),TRUE,FALSE)</formula>
    </cfRule>
    <cfRule type="expression" dxfId="3319" priority="5172">
      <formula>IF(AND($B297="",$C297=""),TRUE,FALSE)</formula>
    </cfRule>
  </conditionalFormatting>
  <conditionalFormatting sqref="C97">
    <cfRule type="expression" dxfId="3318" priority="5145">
      <formula>IF((COUNTIF(#REF!,#REF!))&gt;1,TRUE,FALSE)</formula>
    </cfRule>
  </conditionalFormatting>
  <conditionalFormatting sqref="A97:J97">
    <cfRule type="expression" dxfId="3317" priority="5142">
      <formula>IF(AND($B97="",$C97="",LEN($A97)&lt;=2),TRUE,FALSE)</formula>
    </cfRule>
    <cfRule type="expression" dxfId="3316" priority="5143">
      <formula>IF(AND($B97="",$C97=""),TRUE,FALSE)</formula>
    </cfRule>
  </conditionalFormatting>
  <conditionalFormatting sqref="A98">
    <cfRule type="expression" dxfId="3315" priority="5135">
      <formula>IF(AND($B98="",$C98="",LEN($A98)&lt;=2),TRUE,FALSE)</formula>
    </cfRule>
    <cfRule type="expression" dxfId="3314" priority="5136">
      <formula>IF(AND($B98="",$C98=""),TRUE,FALSE)</formula>
    </cfRule>
  </conditionalFormatting>
  <conditionalFormatting sqref="C100">
    <cfRule type="expression" dxfId="3313" priority="5137">
      <formula>IF((COUNTIF(#REF!,#REF!))&gt;1,TRUE,FALSE)</formula>
    </cfRule>
  </conditionalFormatting>
  <conditionalFormatting sqref="B98:C98 H98:I98">
    <cfRule type="expression" dxfId="3312" priority="5128">
      <formula>IF(AND($B98="",$C98="",LEN($A98)&lt;=2),TRUE,FALSE)</formula>
    </cfRule>
    <cfRule type="expression" dxfId="3311" priority="5129">
      <formula>IF(AND($B98="",$C98=""),TRUE,FALSE)</formula>
    </cfRule>
  </conditionalFormatting>
  <conditionalFormatting sqref="C98">
    <cfRule type="expression" dxfId="3310" priority="5130">
      <formula>IF((COUNTIF(#REF!,#REF!))&gt;1,TRUE,FALSE)</formula>
    </cfRule>
  </conditionalFormatting>
  <conditionalFormatting sqref="F98">
    <cfRule type="expression" dxfId="3309" priority="5126">
      <formula>IF(AND($B98="",$C98="",LEN($A98)&lt;=2),TRUE,FALSE)</formula>
    </cfRule>
    <cfRule type="expression" dxfId="3308" priority="5127">
      <formula>IF(AND($B98="",$C98=""),TRUE,FALSE)</formula>
    </cfRule>
  </conditionalFormatting>
  <conditionalFormatting sqref="C77">
    <cfRule type="expression" dxfId="3307" priority="5121">
      <formula>IF((COUNTIF(#REF!,#REF!))&gt;1,TRUE,FALSE)</formula>
    </cfRule>
  </conditionalFormatting>
  <conditionalFormatting sqref="A77:J77">
    <cfRule type="expression" dxfId="3306" priority="5118">
      <formula>IF(AND($B77="",$C77="",LEN($A77)&lt;=2),TRUE,FALSE)</formula>
    </cfRule>
    <cfRule type="expression" dxfId="3305" priority="5119">
      <formula>IF(AND($B77="",$C77=""),TRUE,FALSE)</formula>
    </cfRule>
  </conditionalFormatting>
  <conditionalFormatting sqref="A78:C78 H78:I78">
    <cfRule type="expression" dxfId="3304" priority="5111">
      <formula>IF(AND($B78="",$C78="",LEN($A78)&lt;=2),TRUE,FALSE)</formula>
    </cfRule>
    <cfRule type="expression" dxfId="3303" priority="5112">
      <formula>IF(AND($B78="",$C78=""),TRUE,FALSE)</formula>
    </cfRule>
  </conditionalFormatting>
  <conditionalFormatting sqref="C78">
    <cfRule type="expression" dxfId="3302" priority="5113">
      <formula>IF((COUNTIF(#REF!,#REF!))&gt;1,TRUE,FALSE)</formula>
    </cfRule>
  </conditionalFormatting>
  <conditionalFormatting sqref="F78">
    <cfRule type="expression" dxfId="3301" priority="5109">
      <formula>IF(AND($B78="",$C78="",LEN($A78)&lt;=2),TRUE,FALSE)</formula>
    </cfRule>
    <cfRule type="expression" dxfId="3300" priority="5110">
      <formula>IF(AND($B78="",$C78=""),TRUE,FALSE)</formula>
    </cfRule>
  </conditionalFormatting>
  <conditionalFormatting sqref="A63">
    <cfRule type="expression" dxfId="3299" priority="4984">
      <formula>IF(AND($B63="",$C63="",LEN($A63)&lt;=2),TRUE,FALSE)</formula>
    </cfRule>
    <cfRule type="expression" dxfId="3298" priority="4985">
      <formula>IF(AND($B63="",$C63=""),TRUE,FALSE)</formula>
    </cfRule>
  </conditionalFormatting>
  <conditionalFormatting sqref="C101:C102">
    <cfRule type="expression" dxfId="3297" priority="5097">
      <formula>IF((COUNTIF(#REF!,#REF!))&gt;1,TRUE,FALSE)</formula>
    </cfRule>
  </conditionalFormatting>
  <conditionalFormatting sqref="A101:J102">
    <cfRule type="expression" dxfId="3296" priority="5094">
      <formula>IF(AND($B101="",$C101="",LEN($A101)&lt;=2),TRUE,FALSE)</formula>
    </cfRule>
    <cfRule type="expression" dxfId="3295" priority="5095">
      <formula>IF(AND($B101="",$C101=""),TRUE,FALSE)</formula>
    </cfRule>
  </conditionalFormatting>
  <conditionalFormatting sqref="A64 A66 A68 A70 A72 A74 A76">
    <cfRule type="expression" dxfId="3294" priority="4982">
      <formula>IF(AND($B64="",$C64="",LEN($A64)&lt;=2),TRUE,FALSE)</formula>
    </cfRule>
    <cfRule type="expression" dxfId="3293" priority="4983">
      <formula>IF(AND($B64="",$C64=""),TRUE,FALSE)</formula>
    </cfRule>
  </conditionalFormatting>
  <conditionalFormatting sqref="A103:C103 H103:I103 A104:A124">
    <cfRule type="expression" dxfId="3292" priority="5087">
      <formula>IF(AND($B103="",$C103="",LEN($A103)&lt;=2),TRUE,FALSE)</formula>
    </cfRule>
    <cfRule type="expression" dxfId="3291" priority="5088">
      <formula>IF(AND($B103="",$C103=""),TRUE,FALSE)</formula>
    </cfRule>
  </conditionalFormatting>
  <conditionalFormatting sqref="C103">
    <cfRule type="expression" dxfId="3290" priority="5089">
      <formula>IF((COUNTIF(#REF!,#REF!))&gt;1,TRUE,FALSE)</formula>
    </cfRule>
  </conditionalFormatting>
  <conditionalFormatting sqref="F103">
    <cfRule type="expression" dxfId="3289" priority="5085">
      <formula>IF(AND($B103="",$C103="",LEN($A103)&lt;=2),TRUE,FALSE)</formula>
    </cfRule>
    <cfRule type="expression" dxfId="3288" priority="5086">
      <formula>IF(AND($B103="",$C103=""),TRUE,FALSE)</formula>
    </cfRule>
  </conditionalFormatting>
  <conditionalFormatting sqref="C158">
    <cfRule type="expression" dxfId="3287" priority="5073">
      <formula>IF((COUNTIF(#REF!,#REF!))&gt;1,TRUE,FALSE)</formula>
    </cfRule>
  </conditionalFormatting>
  <conditionalFormatting sqref="A158:J158">
    <cfRule type="expression" dxfId="3286" priority="5070">
      <formula>IF(AND($B158="",$C158="",LEN($A158)&lt;=2),TRUE,FALSE)</formula>
    </cfRule>
    <cfRule type="expression" dxfId="3285" priority="5071">
      <formula>IF(AND($B158="",$C158=""),TRUE,FALSE)</formula>
    </cfRule>
  </conditionalFormatting>
  <conditionalFormatting sqref="A159:C159 H159:I159">
    <cfRule type="expression" dxfId="3284" priority="5063">
      <formula>IF(AND($B159="",$C159="",LEN($A159)&lt;=2),TRUE,FALSE)</formula>
    </cfRule>
    <cfRule type="expression" dxfId="3283" priority="5064">
      <formula>IF(AND($B159="",$C159=""),TRUE,FALSE)</formula>
    </cfRule>
  </conditionalFormatting>
  <conditionalFormatting sqref="C159">
    <cfRule type="expression" dxfId="3282" priority="5065">
      <formula>IF((COUNTIF(#REF!,#REF!))&gt;1,TRUE,FALSE)</formula>
    </cfRule>
  </conditionalFormatting>
  <conditionalFormatting sqref="F159">
    <cfRule type="expression" dxfId="3281" priority="5061">
      <formula>IF(AND($B159="",$C159="",LEN($A159)&lt;=2),TRUE,FALSE)</formula>
    </cfRule>
    <cfRule type="expression" dxfId="3280" priority="5062">
      <formula>IF(AND($B159="",$C159=""),TRUE,FALSE)</formula>
    </cfRule>
  </conditionalFormatting>
  <conditionalFormatting sqref="C179 H179:I179">
    <cfRule type="expression" dxfId="3279" priority="5056">
      <formula>IF(AND($B179="",$C179="",LEN($A179)&lt;=2),TRUE,FALSE)</formula>
    </cfRule>
    <cfRule type="expression" dxfId="3278" priority="5057">
      <formula>IF(AND($B179="",$C179=""),TRUE,FALSE)</formula>
    </cfRule>
  </conditionalFormatting>
  <conditionalFormatting sqref="C179">
    <cfRule type="expression" dxfId="3277" priority="5058">
      <formula>IF((COUNTIF(#REF!,#REF!))&gt;1,TRUE,FALSE)</formula>
    </cfRule>
  </conditionalFormatting>
  <conditionalFormatting sqref="F179">
    <cfRule type="expression" dxfId="3276" priority="5054">
      <formula>IF(AND($B179="",$C179="",LEN($A179)&lt;=2),TRUE,FALSE)</formula>
    </cfRule>
    <cfRule type="expression" dxfId="3275" priority="5055">
      <formula>IF(AND($B179="",$C179=""),TRUE,FALSE)</formula>
    </cfRule>
  </conditionalFormatting>
  <conditionalFormatting sqref="F39 H39:I39">
    <cfRule type="expression" dxfId="3274" priority="5050">
      <formula>IF(AND($B39="",$C39="",LEN($A39)&lt;=2),TRUE,FALSE)</formula>
    </cfRule>
    <cfRule type="expression" dxfId="3273" priority="5051">
      <formula>IF(AND($B39="",$C39=""),TRUE,FALSE)</formula>
    </cfRule>
  </conditionalFormatting>
  <conditionalFormatting sqref="A16:J16">
    <cfRule type="expression" dxfId="3272" priority="5046">
      <formula>IF(AND($B16="",$C16="",LEN($A16)&lt;=2),TRUE,FALSE)</formula>
    </cfRule>
    <cfRule type="expression" dxfId="3271" priority="5047">
      <formula>IF(AND($B16="",$C16=""),TRUE,FALSE)</formula>
    </cfRule>
  </conditionalFormatting>
  <conditionalFormatting sqref="C16">
    <cfRule type="expression" dxfId="3270" priority="5048">
      <formula>IF((COUNTIF(#REF!,#REF!))&gt;1,TRUE,FALSE)</formula>
    </cfRule>
  </conditionalFormatting>
  <conditionalFormatting sqref="F25 H25:I25">
    <cfRule type="expression" dxfId="3269" priority="5044">
      <formula>IF(AND($B25="",$C25="",LEN($A25)&lt;=2),TRUE,FALSE)</formula>
    </cfRule>
    <cfRule type="expression" dxfId="3268" priority="5045">
      <formula>IF(AND($B25="",$C25=""),TRUE,FALSE)</formula>
    </cfRule>
  </conditionalFormatting>
  <conditionalFormatting sqref="F23 H23:I23">
    <cfRule type="expression" dxfId="3267" priority="5042">
      <formula>IF(AND($B23="",$C23="",LEN($A23)&lt;=2),TRUE,FALSE)</formula>
    </cfRule>
    <cfRule type="expression" dxfId="3266" priority="5043">
      <formula>IF(AND($B23="",$C23=""),TRUE,FALSE)</formula>
    </cfRule>
  </conditionalFormatting>
  <conditionalFormatting sqref="F17 H17:I17">
    <cfRule type="expression" dxfId="3265" priority="5040">
      <formula>IF(AND($B17="",$C17="",LEN($A17)&lt;=2),TRUE,FALSE)</formula>
    </cfRule>
    <cfRule type="expression" dxfId="3264" priority="5041">
      <formula>IF(AND($B17="",$C17=""),TRUE,FALSE)</formula>
    </cfRule>
  </conditionalFormatting>
  <conditionalFormatting sqref="A17:A35 A37:A39">
    <cfRule type="expression" dxfId="3263" priority="5038">
      <formula>IF(AND($B17="",$C17="",LEN($A17)&lt;=2),TRUE,FALSE)</formula>
    </cfRule>
    <cfRule type="expression" dxfId="3262" priority="5039">
      <formula>IF(AND($B17="",$C17=""),TRUE,FALSE)</formula>
    </cfRule>
  </conditionalFormatting>
  <conditionalFormatting sqref="C17 C39 C23 C25 C21">
    <cfRule type="expression" dxfId="3261" priority="5036">
      <formula>IF(AND($B17="",$C17="",LEN($A17)&lt;=2),TRUE,FALSE)</formula>
    </cfRule>
    <cfRule type="expression" dxfId="3260" priority="5037">
      <formula>IF(AND($B17="",$C17=""),TRUE,FALSE)</formula>
    </cfRule>
  </conditionalFormatting>
  <conditionalFormatting sqref="C17 C39 C23 C25 C21">
    <cfRule type="expression" dxfId="3259" priority="5035">
      <formula>IF((COUNTIF(#REF!,#REF!))&gt;1,TRUE,FALSE)</formula>
    </cfRule>
  </conditionalFormatting>
  <conditionalFormatting sqref="C17 C39 C23 C25 C21">
    <cfRule type="expression" dxfId="3258" priority="5034">
      <formula>IF((COUNTIF(#REF!,#REF!))&gt;1,TRUE,FALSE)</formula>
    </cfRule>
  </conditionalFormatting>
  <conditionalFormatting sqref="C17 C39 C23 C25 C21">
    <cfRule type="expression" dxfId="3257" priority="5033">
      <formula>IF((COUNTIF(#REF!,#REF!))&gt;1,TRUE,FALSE)</formula>
    </cfRule>
  </conditionalFormatting>
  <conditionalFormatting sqref="B282:C282 H282:I282">
    <cfRule type="expression" dxfId="3256" priority="4875">
      <formula>IF(AND($B282="",$C282="",LEN($A282)&lt;=2),TRUE,FALSE)</formula>
    </cfRule>
    <cfRule type="expression" dxfId="3255" priority="4876">
      <formula>IF(AND($B282="",$C282=""),TRUE,FALSE)</formula>
    </cfRule>
  </conditionalFormatting>
  <conditionalFormatting sqref="F21 H21:I21">
    <cfRule type="expression" dxfId="3254" priority="5029">
      <formula>IF(AND($B21="",$C21="",LEN($A21)&lt;=2),TRUE,FALSE)</formula>
    </cfRule>
    <cfRule type="expression" dxfId="3253" priority="5030">
      <formula>IF(AND($B21="",$C21=""),TRUE,FALSE)</formula>
    </cfRule>
  </conditionalFormatting>
  <conditionalFormatting sqref="F31 H31:I31">
    <cfRule type="expression" dxfId="3252" priority="5025">
      <formula>IF(AND($B31="",$C31="",LEN($A31)&lt;=2),TRUE,FALSE)</formula>
    </cfRule>
    <cfRule type="expression" dxfId="3251" priority="5026">
      <formula>IF(AND($B31="",$C31=""),TRUE,FALSE)</formula>
    </cfRule>
  </conditionalFormatting>
  <conditionalFormatting sqref="C31">
    <cfRule type="expression" dxfId="3250" priority="5021">
      <formula>IF(AND($B31="",$C31="",LEN($A31)&lt;=2),TRUE,FALSE)</formula>
    </cfRule>
    <cfRule type="expression" dxfId="3249" priority="5022">
      <formula>IF(AND($B31="",$C31=""),TRUE,FALSE)</formula>
    </cfRule>
  </conditionalFormatting>
  <conditionalFormatting sqref="C31">
    <cfRule type="expression" dxfId="3248" priority="5020">
      <formula>IF((COUNTIF(#REF!,#REF!))&gt;1,TRUE,FALSE)</formula>
    </cfRule>
  </conditionalFormatting>
  <conditionalFormatting sqref="C31">
    <cfRule type="expression" dxfId="3247" priority="5019">
      <formula>IF((COUNTIF(#REF!,#REF!))&gt;1,TRUE,FALSE)</formula>
    </cfRule>
  </conditionalFormatting>
  <conditionalFormatting sqref="C31">
    <cfRule type="expression" dxfId="3246" priority="5018">
      <formula>IF((COUNTIF(#REF!,#REF!))&gt;1,TRUE,FALSE)</formula>
    </cfRule>
  </conditionalFormatting>
  <conditionalFormatting sqref="F33 H33:I33">
    <cfRule type="expression" dxfId="3245" priority="5014">
      <formula>IF(AND($B33="",$C33="",LEN($A33)&lt;=2),TRUE,FALSE)</formula>
    </cfRule>
    <cfRule type="expression" dxfId="3244" priority="5015">
      <formula>IF(AND($B33="",$C33=""),TRUE,FALSE)</formula>
    </cfRule>
  </conditionalFormatting>
  <conditionalFormatting sqref="C33">
    <cfRule type="expression" dxfId="3243" priority="5010">
      <formula>IF(AND($B33="",$C33="",LEN($A33)&lt;=2),TRUE,FALSE)</formula>
    </cfRule>
    <cfRule type="expression" dxfId="3242" priority="5011">
      <formula>IF(AND($B33="",$C33=""),TRUE,FALSE)</formula>
    </cfRule>
  </conditionalFormatting>
  <conditionalFormatting sqref="C33">
    <cfRule type="expression" dxfId="3241" priority="5009">
      <formula>IF((COUNTIF(#REF!,#REF!))&gt;1,TRUE,FALSE)</formula>
    </cfRule>
  </conditionalFormatting>
  <conditionalFormatting sqref="C33">
    <cfRule type="expression" dxfId="3240" priority="5008">
      <formula>IF((COUNTIF(#REF!,#REF!))&gt;1,TRUE,FALSE)</formula>
    </cfRule>
  </conditionalFormatting>
  <conditionalFormatting sqref="C33">
    <cfRule type="expression" dxfId="3239" priority="5007">
      <formula>IF((COUNTIF(#REF!,#REF!))&gt;1,TRUE,FALSE)</formula>
    </cfRule>
  </conditionalFormatting>
  <conditionalFormatting sqref="F270">
    <cfRule type="expression" dxfId="3238" priority="4849">
      <formula>IF(AND($B270="",$C270="",LEN($A270)&lt;=2),TRUE,FALSE)</formula>
    </cfRule>
    <cfRule type="expression" dxfId="3237" priority="4850">
      <formula>IF(AND($B270="",$C270=""),TRUE,FALSE)</formula>
    </cfRule>
  </conditionalFormatting>
  <conditionalFormatting sqref="A46">
    <cfRule type="expression" dxfId="3236" priority="4990">
      <formula>IF(AND($B46="",$C46="",LEN($A46)&lt;=2),TRUE,FALSE)</formula>
    </cfRule>
    <cfRule type="expression" dxfId="3235" priority="4991">
      <formula>IF(AND($B46="",$C46=""),TRUE,FALSE)</formula>
    </cfRule>
  </conditionalFormatting>
  <conditionalFormatting sqref="A44:A45">
    <cfRule type="expression" dxfId="3234" priority="4988">
      <formula>IF(AND($B44="",$C44="",LEN($A44)&lt;=2),TRUE,FALSE)</formula>
    </cfRule>
    <cfRule type="expression" dxfId="3233" priority="4989">
      <formula>IF(AND($B44="",$C44=""),TRUE,FALSE)</formula>
    </cfRule>
  </conditionalFormatting>
  <conditionalFormatting sqref="A158">
    <cfRule type="expression" dxfId="3232" priority="4978">
      <formula>IF(AND($B158="",$C158="",LEN($A158)&lt;=2),TRUE,FALSE)</formula>
    </cfRule>
    <cfRule type="expression" dxfId="3231" priority="4979">
      <formula>IF(AND($B158="",$C158=""),TRUE,FALSE)</formula>
    </cfRule>
  </conditionalFormatting>
  <conditionalFormatting sqref="A77">
    <cfRule type="expression" dxfId="3230" priority="4974">
      <formula>IF(AND($B77="",$C77="",LEN($A77)&lt;=2),TRUE,FALSE)</formula>
    </cfRule>
    <cfRule type="expression" dxfId="3229" priority="4975">
      <formula>IF(AND($B77="",$C77=""),TRUE,FALSE)</formula>
    </cfRule>
  </conditionalFormatting>
  <conditionalFormatting sqref="A97">
    <cfRule type="expression" dxfId="3228" priority="4970">
      <formula>IF(AND($B97="",$C97="",LEN($A97)&lt;=2),TRUE,FALSE)</formula>
    </cfRule>
    <cfRule type="expression" dxfId="3227" priority="4971">
      <formula>IF(AND($B97="",$C97=""),TRUE,FALSE)</formula>
    </cfRule>
  </conditionalFormatting>
  <conditionalFormatting sqref="A101:A102">
    <cfRule type="expression" dxfId="3226" priority="4966">
      <formula>IF(AND($B101="",$C101="",LEN($A101)&lt;=2),TRUE,FALSE)</formula>
    </cfRule>
    <cfRule type="expression" dxfId="3225" priority="4967">
      <formula>IF(AND($B101="",$C101=""),TRUE,FALSE)</formula>
    </cfRule>
  </conditionalFormatting>
  <conditionalFormatting sqref="C219">
    <cfRule type="expression" dxfId="3224" priority="4953">
      <formula>IF((COUNTIF(#REF!,#REF!))&gt;1,TRUE,FALSE)</formula>
    </cfRule>
  </conditionalFormatting>
  <conditionalFormatting sqref="A219:J219">
    <cfRule type="expression" dxfId="3223" priority="4950">
      <formula>IF(AND($B219="",$C219="",LEN($A219)&lt;=2),TRUE,FALSE)</formula>
    </cfRule>
    <cfRule type="expression" dxfId="3222" priority="4951">
      <formula>IF(AND($B219="",$C219=""),TRUE,FALSE)</formula>
    </cfRule>
  </conditionalFormatting>
  <conditionalFormatting sqref="B223:C223 H223:I223">
    <cfRule type="expression" dxfId="3221" priority="4943">
      <formula>IF(AND($B223="",$C223="",LEN($A223)&lt;=2),TRUE,FALSE)</formula>
    </cfRule>
    <cfRule type="expression" dxfId="3220" priority="4944">
      <formula>IF(AND($B223="",$C223=""),TRUE,FALSE)</formula>
    </cfRule>
  </conditionalFormatting>
  <conditionalFormatting sqref="C223">
    <cfRule type="expression" dxfId="3219" priority="4945">
      <formula>IF((COUNTIF(#REF!,#REF!))&gt;1,TRUE,FALSE)</formula>
    </cfRule>
  </conditionalFormatting>
  <conditionalFormatting sqref="F223">
    <cfRule type="expression" dxfId="3218" priority="4941">
      <formula>IF(AND($B223="",$C223="",LEN($A223)&lt;=2),TRUE,FALSE)</formula>
    </cfRule>
    <cfRule type="expression" dxfId="3217" priority="4942">
      <formula>IF(AND($B223="",$C223=""),TRUE,FALSE)</formula>
    </cfRule>
  </conditionalFormatting>
  <conditionalFormatting sqref="C262">
    <cfRule type="expression" dxfId="3216" priority="4929">
      <formula>IF((COUNTIF(#REF!,#REF!))&gt;1,TRUE,FALSE)</formula>
    </cfRule>
  </conditionalFormatting>
  <conditionalFormatting sqref="A262:J262">
    <cfRule type="expression" dxfId="3215" priority="4926">
      <formula>IF(AND($B262="",$C262="",LEN($A262)&lt;=2),TRUE,FALSE)</formula>
    </cfRule>
    <cfRule type="expression" dxfId="3214" priority="4927">
      <formula>IF(AND($B262="",$C262=""),TRUE,FALSE)</formula>
    </cfRule>
  </conditionalFormatting>
  <conditionalFormatting sqref="H289:I289 A289:A293">
    <cfRule type="expression" dxfId="3213" priority="4826">
      <formula>IF(AND($B289="",$C289="",LEN($A289)&lt;=2),TRUE,FALSE)</formula>
    </cfRule>
    <cfRule type="expression" dxfId="3212" priority="4827">
      <formula>IF(AND($B289="",$C289=""),TRUE,FALSE)</formula>
    </cfRule>
  </conditionalFormatting>
  <conditionalFormatting sqref="H293:I293">
    <cfRule type="expression" dxfId="3211" priority="4819">
      <formula>IF(AND($B293="",$C293="",LEN($A293)&lt;=2),TRUE,FALSE)</formula>
    </cfRule>
    <cfRule type="expression" dxfId="3210" priority="4820">
      <formula>IF(AND($B293="",$C293=""),TRUE,FALSE)</formula>
    </cfRule>
  </conditionalFormatting>
  <conditionalFormatting sqref="B268:C268">
    <cfRule type="expression" dxfId="3209" priority="4912">
      <formula>IF(AND($B268="",$C268="",LEN($A268)&lt;=2),TRUE,FALSE)</formula>
    </cfRule>
    <cfRule type="expression" dxfId="3208" priority="4913">
      <formula>IF(AND($B268="",$C268=""),TRUE,FALSE)</formula>
    </cfRule>
  </conditionalFormatting>
  <conditionalFormatting sqref="C268">
    <cfRule type="expression" dxfId="3207" priority="4914">
      <formula>IF((COUNTIF(#REF!,#REF!))&gt;1,TRUE,FALSE)</formula>
    </cfRule>
  </conditionalFormatting>
  <conditionalFormatting sqref="C277">
    <cfRule type="expression" dxfId="3206" priority="4905">
      <formula>IF((COUNTIF(#REF!,#REF!))&gt;1,TRUE,FALSE)</formula>
    </cfRule>
  </conditionalFormatting>
  <conditionalFormatting sqref="A277:J277">
    <cfRule type="expression" dxfId="3205" priority="4902">
      <formula>IF(AND($B277="",$C277="",LEN($A277)&lt;=2),TRUE,FALSE)</formula>
    </cfRule>
    <cfRule type="expression" dxfId="3204" priority="4903">
      <formula>IF(AND($B277="",$C277=""),TRUE,FALSE)</formula>
    </cfRule>
  </conditionalFormatting>
  <conditionalFormatting sqref="C35">
    <cfRule type="expression" dxfId="3203" priority="4897">
      <formula>IF((COUNTIF(#REF!,#REF!))&gt;1,TRUE,FALSE)</formula>
    </cfRule>
  </conditionalFormatting>
  <conditionalFormatting sqref="H279:I279">
    <cfRule type="expression" dxfId="3202" priority="4888">
      <formula>IF(AND($B279="",$C279="",LEN($A279)&lt;=2),TRUE,FALSE)</formula>
    </cfRule>
    <cfRule type="expression" dxfId="3201" priority="4889">
      <formula>IF(AND($B279="",$C279=""),TRUE,FALSE)</formula>
    </cfRule>
  </conditionalFormatting>
  <conditionalFormatting sqref="F279">
    <cfRule type="expression" dxfId="3200" priority="4886">
      <formula>IF(AND($B279="",$C279="",LEN($A279)&lt;=2),TRUE,FALSE)</formula>
    </cfRule>
    <cfRule type="expression" dxfId="3199" priority="4887">
      <formula>IF(AND($B279="",$C279=""),TRUE,FALSE)</formula>
    </cfRule>
  </conditionalFormatting>
  <conditionalFormatting sqref="B279">
    <cfRule type="expression" dxfId="3198" priority="4882">
      <formula>IF(AND($B279="",$C279="",LEN($A279)&lt;=2),TRUE,FALSE)</formula>
    </cfRule>
    <cfRule type="expression" dxfId="3197" priority="4883">
      <formula>IF(AND($B279="",$C279=""),TRUE,FALSE)</formula>
    </cfRule>
  </conditionalFormatting>
  <conditionalFormatting sqref="C279:C280">
    <cfRule type="expression" dxfId="3196" priority="4879">
      <formula>IF(AND($B279="",$C279="",LEN($A279)&lt;=2),TRUE,FALSE)</formula>
    </cfRule>
    <cfRule type="expression" dxfId="3195" priority="4880">
      <formula>IF(AND($B279="",$C279=""),TRUE,FALSE)</formula>
    </cfRule>
  </conditionalFormatting>
  <conditionalFormatting sqref="C279:C280">
    <cfRule type="expression" dxfId="3194" priority="4881">
      <formula>IF((COUNTIF(#REF!,#REF!))&gt;1,TRUE,FALSE)</formula>
    </cfRule>
  </conditionalFormatting>
  <conditionalFormatting sqref="C282">
    <cfRule type="expression" dxfId="3193" priority="4877">
      <formula>IF((COUNTIF(#REF!,#REF!))&gt;1,TRUE,FALSE)</formula>
    </cfRule>
  </conditionalFormatting>
  <conditionalFormatting sqref="F282">
    <cfRule type="expression" dxfId="3192" priority="4873">
      <formula>IF(AND($B282="",$C282="",LEN($A282)&lt;=2),TRUE,FALSE)</formula>
    </cfRule>
    <cfRule type="expression" dxfId="3191" priority="4874">
      <formula>IF(AND($B282="",$C282=""),TRUE,FALSE)</formula>
    </cfRule>
  </conditionalFormatting>
  <conditionalFormatting sqref="B280 H280:I280">
    <cfRule type="expression" dxfId="3190" priority="4863">
      <formula>IF(AND($B280="",$C280="",LEN($A280)&lt;=2),TRUE,FALSE)</formula>
    </cfRule>
    <cfRule type="expression" dxfId="3189" priority="4864">
      <formula>IF(AND($B280="",$C280=""),TRUE,FALSE)</formula>
    </cfRule>
  </conditionalFormatting>
  <conditionalFormatting sqref="F280">
    <cfRule type="expression" dxfId="3188" priority="4861">
      <formula>IF(AND($B280="",$C280="",LEN($A280)&lt;=2),TRUE,FALSE)</formula>
    </cfRule>
    <cfRule type="expression" dxfId="3187" priority="4862">
      <formula>IF(AND($B280="",$C280=""),TRUE,FALSE)</formula>
    </cfRule>
  </conditionalFormatting>
  <conditionalFormatting sqref="B278:C278 H278:I278">
    <cfRule type="expression" dxfId="3186" priority="4783">
      <formula>IF(AND($B278="",$C278="",LEN($A278)&lt;=2),TRUE,FALSE)</formula>
    </cfRule>
    <cfRule type="expression" dxfId="3185" priority="4784">
      <formula>IF(AND($B278="",$C278=""),TRUE,FALSE)</formula>
    </cfRule>
  </conditionalFormatting>
  <conditionalFormatting sqref="C269">
    <cfRule type="expression" dxfId="3184" priority="4856">
      <formula>IF((COUNTIF(#REF!,#REF!))&gt;1,TRUE,FALSE)</formula>
    </cfRule>
  </conditionalFormatting>
  <conditionalFormatting sqref="A269:J269">
    <cfRule type="expression" dxfId="3183" priority="4854">
      <formula>IF(AND($B269="",$C269="",LEN($A269)&lt;=2),TRUE,FALSE)</formula>
    </cfRule>
    <cfRule type="expression" dxfId="3182" priority="4855">
      <formula>IF(AND($B269="",$C269=""),TRUE,FALSE)</formula>
    </cfRule>
  </conditionalFormatting>
  <conditionalFormatting sqref="A270:C270 H270:I270 A271:A276">
    <cfRule type="expression" dxfId="3181" priority="4851">
      <formula>IF(AND($B270="",$C270="",LEN($A270)&lt;=2),TRUE,FALSE)</formula>
    </cfRule>
    <cfRule type="expression" dxfId="3180" priority="4852">
      <formula>IF(AND($B270="",$C270=""),TRUE,FALSE)</formula>
    </cfRule>
  </conditionalFormatting>
  <conditionalFormatting sqref="C270">
    <cfRule type="expression" dxfId="3179" priority="4853">
      <formula>IF((COUNTIF(#REF!,#REF!))&gt;1,TRUE,FALSE)</formula>
    </cfRule>
  </conditionalFormatting>
  <conditionalFormatting sqref="B17 B23 B25 B21">
    <cfRule type="expression" dxfId="3178" priority="4775">
      <formula>IF(AND($B17="",$C17="",LEN($A17)&lt;=2),TRUE,FALSE)</formula>
    </cfRule>
    <cfRule type="expression" dxfId="3177" priority="4776">
      <formula>IF(AND($B17="",$C17=""),TRUE,FALSE)</formula>
    </cfRule>
  </conditionalFormatting>
  <conditionalFormatting sqref="H276:I276">
    <cfRule type="expression" dxfId="3176" priority="4845">
      <formula>IF(AND($B276="",$C276="",LEN($A276)&lt;=2),TRUE,FALSE)</formula>
    </cfRule>
    <cfRule type="expression" dxfId="3175" priority="4846">
      <formula>IF(AND($B276="",$C276=""),TRUE,FALSE)</formula>
    </cfRule>
  </conditionalFormatting>
  <conditionalFormatting sqref="F276">
    <cfRule type="expression" dxfId="3174" priority="4843">
      <formula>IF(AND($B276="",$C276="",LEN($A276)&lt;=2),TRUE,FALSE)</formula>
    </cfRule>
    <cfRule type="expression" dxfId="3173" priority="4844">
      <formula>IF(AND($B276="",$C276=""),TRUE,FALSE)</formula>
    </cfRule>
  </conditionalFormatting>
  <conditionalFormatting sqref="C276">
    <cfRule type="expression" dxfId="3172" priority="4836">
      <formula>IF(AND($B276="",$C276="",LEN($A276)&lt;=2),TRUE,FALSE)</formula>
    </cfRule>
    <cfRule type="expression" dxfId="3171" priority="4837">
      <formula>IF(AND($B276="",$C276=""),TRUE,FALSE)</formula>
    </cfRule>
  </conditionalFormatting>
  <conditionalFormatting sqref="C276">
    <cfRule type="expression" dxfId="3170" priority="4838">
      <formula>IF((COUNTIF(#REF!,#REF!))&gt;1,TRUE,FALSE)</formula>
    </cfRule>
  </conditionalFormatting>
  <conditionalFormatting sqref="C288">
    <cfRule type="expression" dxfId="3169" priority="4831">
      <formula>IF((COUNTIF(#REF!,#REF!))&gt;1,TRUE,FALSE)</formula>
    </cfRule>
  </conditionalFormatting>
  <conditionalFormatting sqref="A288:J288">
    <cfRule type="expression" dxfId="3168" priority="4829">
      <formula>IF(AND($B288="",$C288="",LEN($A288)&lt;=2),TRUE,FALSE)</formula>
    </cfRule>
    <cfRule type="expression" dxfId="3167" priority="4830">
      <formula>IF(AND($B288="",$C288=""),TRUE,FALSE)</formula>
    </cfRule>
  </conditionalFormatting>
  <conditionalFormatting sqref="F289">
    <cfRule type="expression" dxfId="3166" priority="4824">
      <formula>IF(AND($B289="",$C289="",LEN($A289)&lt;=2),TRUE,FALSE)</formula>
    </cfRule>
    <cfRule type="expression" dxfId="3165" priority="4825">
      <formula>IF(AND($B289="",$C289=""),TRUE,FALSE)</formula>
    </cfRule>
  </conditionalFormatting>
  <conditionalFormatting sqref="F293">
    <cfRule type="expression" dxfId="3164" priority="4817">
      <formula>IF(AND($B293="",$C293="",LEN($A293)&lt;=2),TRUE,FALSE)</formula>
    </cfRule>
    <cfRule type="expression" dxfId="3163" priority="4818">
      <formula>IF(AND($B293="",$C293=""),TRUE,FALSE)</formula>
    </cfRule>
  </conditionalFormatting>
  <conditionalFormatting sqref="C291 H291:I291">
    <cfRule type="expression" dxfId="3162" priority="4809">
      <formula>IF(AND($B291="",$C291="",LEN($A291)&lt;=2),TRUE,FALSE)</formula>
    </cfRule>
    <cfRule type="expression" dxfId="3161" priority="4810">
      <formula>IF(AND($B291="",$C291=""),TRUE,FALSE)</formula>
    </cfRule>
  </conditionalFormatting>
  <conditionalFormatting sqref="C291">
    <cfRule type="expression" dxfId="3160" priority="4811">
      <formula>IF((COUNTIF(#REF!,#REF!))&gt;1,TRUE,FALSE)</formula>
    </cfRule>
  </conditionalFormatting>
  <conditionalFormatting sqref="F291">
    <cfRule type="expression" dxfId="3159" priority="4807">
      <formula>IF(AND($B291="",$C291="",LEN($A291)&lt;=2),TRUE,FALSE)</formula>
    </cfRule>
    <cfRule type="expression" dxfId="3158" priority="4808">
      <formula>IF(AND($B291="",$C291=""),TRUE,FALSE)</formula>
    </cfRule>
  </conditionalFormatting>
  <conditionalFormatting sqref="B292:C292 H292:I292">
    <cfRule type="expression" dxfId="3157" priority="4799">
      <formula>IF(AND($B292="",$C292="",LEN($A292)&lt;=2),TRUE,FALSE)</formula>
    </cfRule>
    <cfRule type="expression" dxfId="3156" priority="4800">
      <formula>IF(AND($B292="",$C292=""),TRUE,FALSE)</formula>
    </cfRule>
  </conditionalFormatting>
  <conditionalFormatting sqref="C292">
    <cfRule type="expression" dxfId="3155" priority="4801">
      <formula>IF((COUNTIF(#REF!,#REF!))&gt;1,TRUE,FALSE)</formula>
    </cfRule>
  </conditionalFormatting>
  <conditionalFormatting sqref="F292">
    <cfRule type="expression" dxfId="3154" priority="4797">
      <formula>IF(AND($B292="",$C292="",LEN($A292)&lt;=2),TRUE,FALSE)</formula>
    </cfRule>
    <cfRule type="expression" dxfId="3153" priority="4798">
      <formula>IF(AND($B292="",$C292=""),TRUE,FALSE)</formula>
    </cfRule>
  </conditionalFormatting>
  <conditionalFormatting sqref="B271:C271 H271:I271">
    <cfRule type="expression" dxfId="3152" priority="4791">
      <formula>IF(AND($B271="",$C271="",LEN($A271)&lt;=2),TRUE,FALSE)</formula>
    </cfRule>
    <cfRule type="expression" dxfId="3151" priority="4792">
      <formula>IF(AND($B271="",$C271=""),TRUE,FALSE)</formula>
    </cfRule>
  </conditionalFormatting>
  <conditionalFormatting sqref="C271">
    <cfRule type="expression" dxfId="3150" priority="4793">
      <formula>IF((COUNTIF(#REF!,#REF!))&gt;1,TRUE,FALSE)</formula>
    </cfRule>
  </conditionalFormatting>
  <conditionalFormatting sqref="F271">
    <cfRule type="expression" dxfId="3149" priority="4789">
      <formula>IF(AND($B271="",$C271="",LEN($A271)&lt;=2),TRUE,FALSE)</formula>
    </cfRule>
    <cfRule type="expression" dxfId="3148" priority="4790">
      <formula>IF(AND($B271="",$C271=""),TRUE,FALSE)</formula>
    </cfRule>
  </conditionalFormatting>
  <conditionalFormatting sqref="C278">
    <cfRule type="expression" dxfId="3147" priority="4785">
      <formula>IF((COUNTIF(#REF!,#REF!))&gt;1,TRUE,FALSE)</formula>
    </cfRule>
  </conditionalFormatting>
  <conditionalFormatting sqref="F278">
    <cfRule type="expression" dxfId="3146" priority="4781">
      <formula>IF(AND($B278="",$C278="",LEN($A278)&lt;=2),TRUE,FALSE)</formula>
    </cfRule>
    <cfRule type="expression" dxfId="3145" priority="4782">
      <formula>IF(AND($B278="",$C278=""),TRUE,FALSE)</formula>
    </cfRule>
  </conditionalFormatting>
  <conditionalFormatting sqref="B17 B23 B25 B21">
    <cfRule type="expression" dxfId="3144" priority="4777">
      <formula>IF(AND($B17="",$C17="",LEN($A17)&lt;=2),TRUE,FALSE)</formula>
    </cfRule>
    <cfRule type="expression" dxfId="3143" priority="4778">
      <formula>IF(AND($B17="",$C17=""),TRUE,FALSE)</formula>
    </cfRule>
  </conditionalFormatting>
  <conditionalFormatting sqref="B41:B42">
    <cfRule type="expression" dxfId="3142" priority="4773">
      <formula>IF(AND($B41="",$C41="",LEN($A41)&lt;=2),TRUE,FALSE)</formula>
    </cfRule>
    <cfRule type="expression" dxfId="3141" priority="4774">
      <formula>IF(AND($B41="",$C41=""),TRUE,FALSE)</formula>
    </cfRule>
  </conditionalFormatting>
  <conditionalFormatting sqref="B41:B42">
    <cfRule type="expression" dxfId="3140" priority="4771">
      <formula>IF(AND($B41="",$C41="",LEN($A41)&lt;=2),TRUE,FALSE)</formula>
    </cfRule>
    <cfRule type="expression" dxfId="3139" priority="4772">
      <formula>IF(AND($B41="",$C41=""),TRUE,FALSE)</formula>
    </cfRule>
  </conditionalFormatting>
  <conditionalFormatting sqref="B276">
    <cfRule type="expression" dxfId="3138" priority="4769">
      <formula>IF(AND($B276="",$C276="",LEN($A276)&lt;=2),TRUE,FALSE)</formula>
    </cfRule>
    <cfRule type="expression" dxfId="3137" priority="4770">
      <formula>IF(AND($B276="",$C276=""),TRUE,FALSE)</formula>
    </cfRule>
  </conditionalFormatting>
  <conditionalFormatting sqref="B276">
    <cfRule type="expression" dxfId="3136" priority="4767">
      <formula>IF(AND($B276="",$C276="",LEN($A276)&lt;=2),TRUE,FALSE)</formula>
    </cfRule>
    <cfRule type="expression" dxfId="3135" priority="4768">
      <formula>IF(AND($B276="",$C276=""),TRUE,FALSE)</formula>
    </cfRule>
  </conditionalFormatting>
  <conditionalFormatting sqref="B291">
    <cfRule type="expression" dxfId="3134" priority="4761">
      <formula>IF(AND($B291="",$C291="",LEN($A291)&lt;=2),TRUE,FALSE)</formula>
    </cfRule>
    <cfRule type="expression" dxfId="3133" priority="4762">
      <formula>IF(AND($B291="",$C291=""),TRUE,FALSE)</formula>
    </cfRule>
  </conditionalFormatting>
  <conditionalFormatting sqref="B291">
    <cfRule type="expression" dxfId="3132" priority="4759">
      <formula>IF(AND($B291="",$C291="",LEN($A291)&lt;=2),TRUE,FALSE)</formula>
    </cfRule>
    <cfRule type="expression" dxfId="3131" priority="4760">
      <formula>IF(AND($B291="",$C291=""),TRUE,FALSE)</formula>
    </cfRule>
  </conditionalFormatting>
  <conditionalFormatting sqref="B295 B297">
    <cfRule type="expression" dxfId="3130" priority="4757">
      <formula>IF(AND($B295="",$C295="",LEN($A295)&lt;=2),TRUE,FALSE)</formula>
    </cfRule>
    <cfRule type="expression" dxfId="3129" priority="4758">
      <formula>IF(AND($B295="",$C295=""),TRUE,FALSE)</formula>
    </cfRule>
  </conditionalFormatting>
  <conditionalFormatting sqref="B295 B297">
    <cfRule type="expression" dxfId="3128" priority="4755">
      <formula>IF(AND($B295="",$C295="",LEN($A295)&lt;=2),TRUE,FALSE)</formula>
    </cfRule>
    <cfRule type="expression" dxfId="3127" priority="4756">
      <formula>IF(AND($B295="",$C295=""),TRUE,FALSE)</formula>
    </cfRule>
  </conditionalFormatting>
  <conditionalFormatting sqref="D295 D297">
    <cfRule type="expression" dxfId="3126" priority="4625">
      <formula>IF(AND($B295="",$C295="",LEN($A295)&lt;=2),TRUE,FALSE)</formula>
    </cfRule>
    <cfRule type="expression" dxfId="3125" priority="4626">
      <formula>IF(AND($B295="",$C295=""),TRUE,FALSE)</formula>
    </cfRule>
  </conditionalFormatting>
  <conditionalFormatting sqref="D295 D297">
    <cfRule type="expression" dxfId="3124" priority="4623">
      <formula>IF(AND($B295="",$C295="",LEN($A295)&lt;=2),TRUE,FALSE)</formula>
    </cfRule>
    <cfRule type="expression" dxfId="3123" priority="4624">
      <formula>IF(AND($B295="",$C295=""),TRUE,FALSE)</formula>
    </cfRule>
  </conditionalFormatting>
  <conditionalFormatting sqref="D17 D23 D25 D21">
    <cfRule type="expression" dxfId="3122" priority="4685">
      <formula>IF(AND($B17="",$C17="",LEN($A17)&lt;=2),TRUE,FALSE)</formula>
    </cfRule>
    <cfRule type="expression" dxfId="3121" priority="4686">
      <formula>IF(AND($B17="",$C17=""),TRUE,FALSE)</formula>
    </cfRule>
  </conditionalFormatting>
  <conditionalFormatting sqref="D17 D23 D25 D21">
    <cfRule type="expression" dxfId="3120" priority="4683">
      <formula>IF(AND($B17="",$C17="",LEN($A17)&lt;=2),TRUE,FALSE)</formula>
    </cfRule>
    <cfRule type="expression" dxfId="3119" priority="4684">
      <formula>IF(AND($B17="",$C17=""),TRUE,FALSE)</formula>
    </cfRule>
  </conditionalFormatting>
  <conditionalFormatting sqref="D42">
    <cfRule type="expression" dxfId="3118" priority="4677">
      <formula>IF(AND($B42="",$C42="",LEN($A42)&lt;=2),TRUE,FALSE)</formula>
    </cfRule>
    <cfRule type="expression" dxfId="3117" priority="4678">
      <formula>IF(AND($B42="",$C42=""),TRUE,FALSE)</formula>
    </cfRule>
  </conditionalFormatting>
  <conditionalFormatting sqref="D42">
    <cfRule type="expression" dxfId="3116" priority="4675">
      <formula>IF(AND($B42="",$C42="",LEN($A42)&lt;=2),TRUE,FALSE)</formula>
    </cfRule>
    <cfRule type="expression" dxfId="3115" priority="4676">
      <formula>IF(AND($B42="",$C42=""),TRUE,FALSE)</formula>
    </cfRule>
  </conditionalFormatting>
  <conditionalFormatting sqref="D41">
    <cfRule type="expression" dxfId="3114" priority="4681">
      <formula>IF(AND($B41="",$C41="",LEN($A41)&lt;=2),TRUE,FALSE)</formula>
    </cfRule>
    <cfRule type="expression" dxfId="3113" priority="4682">
      <formula>IF(AND($B41="",$C41=""),TRUE,FALSE)</formula>
    </cfRule>
  </conditionalFormatting>
  <conditionalFormatting sqref="D41">
    <cfRule type="expression" dxfId="3112" priority="4679">
      <formula>IF(AND($B41="",$C41="",LEN($A41)&lt;=2),TRUE,FALSE)</formula>
    </cfRule>
    <cfRule type="expression" dxfId="3111" priority="4680">
      <formula>IF(AND($B41="",$C41=""),TRUE,FALSE)</formula>
    </cfRule>
  </conditionalFormatting>
  <conditionalFormatting sqref="D45:D47 D49">
    <cfRule type="expression" dxfId="3110" priority="4669">
      <formula>IF(AND($B45="",$C45="",LEN($A45)&lt;=2),TRUE,FALSE)</formula>
    </cfRule>
    <cfRule type="expression" dxfId="3109" priority="4670">
      <formula>IF(AND($B45="",$C45=""),TRUE,FALSE)</formula>
    </cfRule>
  </conditionalFormatting>
  <conditionalFormatting sqref="D45:D47 D49">
    <cfRule type="expression" dxfId="3108" priority="4667">
      <formula>IF(AND($B45="",$C45="",LEN($A45)&lt;=2),TRUE,FALSE)</formula>
    </cfRule>
    <cfRule type="expression" dxfId="3107" priority="4668">
      <formula>IF(AND($B45="",$C45=""),TRUE,FALSE)</formula>
    </cfRule>
  </conditionalFormatting>
  <conditionalFormatting sqref="D64">
    <cfRule type="expression" dxfId="3106" priority="4665">
      <formula>IF(AND($B64="",$C64="",LEN($A64)&lt;=2),TRUE,FALSE)</formula>
    </cfRule>
    <cfRule type="expression" dxfId="3105" priority="4666">
      <formula>IF(AND($B64="",$C64=""),TRUE,FALSE)</formula>
    </cfRule>
  </conditionalFormatting>
  <conditionalFormatting sqref="D64">
    <cfRule type="expression" dxfId="3104" priority="4663">
      <formula>IF(AND($B64="",$C64="",LEN($A64)&lt;=2),TRUE,FALSE)</formula>
    </cfRule>
    <cfRule type="expression" dxfId="3103" priority="4664">
      <formula>IF(AND($B64="",$C64=""),TRUE,FALSE)</formula>
    </cfRule>
  </conditionalFormatting>
  <conditionalFormatting sqref="D78">
    <cfRule type="expression" dxfId="3102" priority="4661">
      <formula>IF(AND($B78="",$C78="",LEN($A78)&lt;=2),TRUE,FALSE)</formula>
    </cfRule>
    <cfRule type="expression" dxfId="3101" priority="4662">
      <formula>IF(AND($B78="",$C78=""),TRUE,FALSE)</formula>
    </cfRule>
  </conditionalFormatting>
  <conditionalFormatting sqref="D78">
    <cfRule type="expression" dxfId="3100" priority="4659">
      <formula>IF(AND($B78="",$C78="",LEN($A78)&lt;=2),TRUE,FALSE)</formula>
    </cfRule>
    <cfRule type="expression" dxfId="3099" priority="4660">
      <formula>IF(AND($B78="",$C78=""),TRUE,FALSE)</formula>
    </cfRule>
  </conditionalFormatting>
  <conditionalFormatting sqref="D103">
    <cfRule type="expression" dxfId="3098" priority="4653">
      <formula>IF(AND($B103="",$C103="",LEN($A103)&lt;=2),TRUE,FALSE)</formula>
    </cfRule>
    <cfRule type="expression" dxfId="3097" priority="4654">
      <formula>IF(AND($B103="",$C103=""),TRUE,FALSE)</formula>
    </cfRule>
  </conditionalFormatting>
  <conditionalFormatting sqref="D103">
    <cfRule type="expression" dxfId="3096" priority="4651">
      <formula>IF(AND($B103="",$C103="",LEN($A103)&lt;=2),TRUE,FALSE)</formula>
    </cfRule>
    <cfRule type="expression" dxfId="3095" priority="4652">
      <formula>IF(AND($B103="",$C103=""),TRUE,FALSE)</formula>
    </cfRule>
  </conditionalFormatting>
  <conditionalFormatting sqref="D159 D179">
    <cfRule type="expression" dxfId="3094" priority="4649">
      <formula>IF(AND($B159="",$C159="",LEN($A159)&lt;=2),TRUE,FALSE)</formula>
    </cfRule>
    <cfRule type="expression" dxfId="3093" priority="4650">
      <formula>IF(AND($B159="",$C159=""),TRUE,FALSE)</formula>
    </cfRule>
  </conditionalFormatting>
  <conditionalFormatting sqref="D159 D179">
    <cfRule type="expression" dxfId="3092" priority="4647">
      <formula>IF(AND($B159="",$C159="",LEN($A159)&lt;=2),TRUE,FALSE)</formula>
    </cfRule>
    <cfRule type="expression" dxfId="3091" priority="4648">
      <formula>IF(AND($B159="",$C159=""),TRUE,FALSE)</formula>
    </cfRule>
  </conditionalFormatting>
  <conditionalFormatting sqref="D270:D271 D276">
    <cfRule type="expression" dxfId="3090" priority="4637">
      <formula>IF(AND($B270="",$C270="",LEN($A270)&lt;=2),TRUE,FALSE)</formula>
    </cfRule>
    <cfRule type="expression" dxfId="3089" priority="4638">
      <formula>IF(AND($B270="",$C270=""),TRUE,FALSE)</formula>
    </cfRule>
  </conditionalFormatting>
  <conditionalFormatting sqref="D270:D271 D276">
    <cfRule type="expression" dxfId="3088" priority="4635">
      <formula>IF(AND($B270="",$C270="",LEN($A270)&lt;=2),TRUE,FALSE)</formula>
    </cfRule>
    <cfRule type="expression" dxfId="3087" priority="4636">
      <formula>IF(AND($B270="",$C270=""),TRUE,FALSE)</formula>
    </cfRule>
  </conditionalFormatting>
  <conditionalFormatting sqref="D289 D291:D293">
    <cfRule type="expression" dxfId="3086" priority="4629">
      <formula>IF(AND($B289="",$C289="",LEN($A289)&lt;=2),TRUE,FALSE)</formula>
    </cfRule>
    <cfRule type="expression" dxfId="3085" priority="4630">
      <formula>IF(AND($B289="",$C289=""),TRUE,FALSE)</formula>
    </cfRule>
  </conditionalFormatting>
  <conditionalFormatting sqref="D289 D291:D293">
    <cfRule type="expression" dxfId="3084" priority="4627">
      <formula>IF(AND($B289="",$C289="",LEN($A289)&lt;=2),TRUE,FALSE)</formula>
    </cfRule>
    <cfRule type="expression" dxfId="3083" priority="4628">
      <formula>IF(AND($B289="",$C289=""),TRUE,FALSE)</formula>
    </cfRule>
  </conditionalFormatting>
  <conditionalFormatting sqref="C48 H48:I48">
    <cfRule type="expression" dxfId="3082" priority="4613">
      <formula>IF(AND($B48="",$C48="",LEN($A48)&lt;=2),TRUE,FALSE)</formula>
    </cfRule>
    <cfRule type="expression" dxfId="3081" priority="4614">
      <formula>IF(AND($B48="",$C48=""),TRUE,FALSE)</formula>
    </cfRule>
  </conditionalFormatting>
  <conditionalFormatting sqref="C48">
    <cfRule type="expression" dxfId="3080" priority="4612">
      <formula>IF((COUNTIF(#REF!,#REF!))&gt;1,TRUE,FALSE)</formula>
    </cfRule>
  </conditionalFormatting>
  <conditionalFormatting sqref="C48">
    <cfRule type="expression" dxfId="3079" priority="4611">
      <formula>IF((COUNTIF(#REF!,#REF!))&gt;1,TRUE,FALSE)</formula>
    </cfRule>
  </conditionalFormatting>
  <conditionalFormatting sqref="C48">
    <cfRule type="expression" dxfId="3078" priority="4610">
      <formula>IF((COUNTIF(#REF!,#REF!))&gt;1,TRUE,FALSE)</formula>
    </cfRule>
  </conditionalFormatting>
  <conditionalFormatting sqref="C49">
    <cfRule type="expression" dxfId="3077" priority="4598">
      <formula>IF(AND($B49="",$C49="",LEN($A49)&lt;=2),TRUE,FALSE)</formula>
    </cfRule>
    <cfRule type="expression" dxfId="3076" priority="4599">
      <formula>IF(AND($B49="",$C49=""),TRUE,FALSE)</formula>
    </cfRule>
  </conditionalFormatting>
  <conditionalFormatting sqref="C49">
    <cfRule type="expression" dxfId="3075" priority="4597">
      <formula>IF((COUNTIF(#REF!,#REF!))&gt;1,TRUE,FALSE)</formula>
    </cfRule>
  </conditionalFormatting>
  <conditionalFormatting sqref="F50">
    <cfRule type="expression" dxfId="3074" priority="4592">
      <formula>IF(AND($B50="",$C50="",LEN($A50)&lt;=2),TRUE,FALSE)</formula>
    </cfRule>
    <cfRule type="expression" dxfId="3073" priority="4593">
      <formula>IF(AND($B50="",$C50=""),TRUE,FALSE)</formula>
    </cfRule>
  </conditionalFormatting>
  <conditionalFormatting sqref="C50">
    <cfRule type="expression" dxfId="3072" priority="4588">
      <formula>IF((COUNTIF(#REF!,#REF!))&gt;1,TRUE,FALSE)</formula>
    </cfRule>
  </conditionalFormatting>
  <conditionalFormatting sqref="C50">
    <cfRule type="expression" dxfId="3071" priority="4587">
      <formula>IF((COUNTIF(#REF!,#REF!))&gt;1,TRUE,FALSE)</formula>
    </cfRule>
  </conditionalFormatting>
  <conditionalFormatting sqref="C50 H50:I50">
    <cfRule type="expression" dxfId="3070" priority="4590">
      <formula>IF(AND($B50="",$C50="",LEN($A50)&lt;=2),TRUE,FALSE)</formula>
    </cfRule>
    <cfRule type="expression" dxfId="3069" priority="4591">
      <formula>IF(AND($B50="",$C50=""),TRUE,FALSE)</formula>
    </cfRule>
  </conditionalFormatting>
  <conditionalFormatting sqref="C50">
    <cfRule type="expression" dxfId="3068" priority="4589">
      <formula>IF((COUNTIF(#REF!,#REF!))&gt;1,TRUE,FALSE)</formula>
    </cfRule>
  </conditionalFormatting>
  <conditionalFormatting sqref="D50">
    <cfRule type="expression" dxfId="3067" priority="4583">
      <formula>IF(AND($B50="",$C50="",LEN($A50)&lt;=2),TRUE,FALSE)</formula>
    </cfRule>
    <cfRule type="expression" dxfId="3066" priority="4584">
      <formula>IF(AND($B50="",$C50=""),TRUE,FALSE)</formula>
    </cfRule>
  </conditionalFormatting>
  <conditionalFormatting sqref="D50">
    <cfRule type="expression" dxfId="3065" priority="4581">
      <formula>IF(AND($B50="",$C50="",LEN($A50)&lt;=2),TRUE,FALSE)</formula>
    </cfRule>
    <cfRule type="expression" dxfId="3064" priority="4582">
      <formula>IF(AND($B50="",$C50=""),TRUE,FALSE)</formula>
    </cfRule>
  </conditionalFormatting>
  <conditionalFormatting sqref="B50">
    <cfRule type="expression" dxfId="3063" priority="4579">
      <formula>IF(AND($B50="",$C50="",LEN($A50)&lt;=2),TRUE,FALSE)</formula>
    </cfRule>
    <cfRule type="expression" dxfId="3062" priority="4580">
      <formula>IF(AND($B50="",$C50=""),TRUE,FALSE)</formula>
    </cfRule>
  </conditionalFormatting>
  <conditionalFormatting sqref="G17 G23 G25 G21">
    <cfRule type="expression" dxfId="3061" priority="4557">
      <formula>IF(AND($B17="",$C17="",LEN($A17)&lt;=2),TRUE,FALSE)</formula>
    </cfRule>
    <cfRule type="expression" dxfId="3060" priority="4558">
      <formula>IF(AND($B17="",$C17=""),TRUE,FALSE)</formula>
    </cfRule>
  </conditionalFormatting>
  <conditionalFormatting sqref="G41:G43">
    <cfRule type="expression" dxfId="3059" priority="4554">
      <formula>IF(AND($B41="",$C41="",LEN($A41)&lt;=2),TRUE,FALSE)</formula>
    </cfRule>
    <cfRule type="expression" dxfId="3058" priority="4555">
      <formula>IF(AND($B41="",$C41=""),TRUE,FALSE)</formula>
    </cfRule>
  </conditionalFormatting>
  <conditionalFormatting sqref="G64">
    <cfRule type="expression" dxfId="3057" priority="4549">
      <formula>IF(AND($B64="",$C64="",LEN($A64)&lt;=2),TRUE,FALSE)</formula>
    </cfRule>
    <cfRule type="expression" dxfId="3056" priority="4550">
      <formula>IF(AND($B64="",$C64=""),TRUE,FALSE)</formula>
    </cfRule>
  </conditionalFormatting>
  <conditionalFormatting sqref="G78">
    <cfRule type="expression" dxfId="3055" priority="4546">
      <formula>IF(AND($B78="",$C78="",LEN($A78)&lt;=2),TRUE,FALSE)</formula>
    </cfRule>
    <cfRule type="expression" dxfId="3054" priority="4547">
      <formula>IF(AND($B78="",$C78=""),TRUE,FALSE)</formula>
    </cfRule>
  </conditionalFormatting>
  <conditionalFormatting sqref="G103">
    <cfRule type="expression" dxfId="3053" priority="4540">
      <formula>IF(AND($B103="",$C103="",LEN($A103)&lt;=2),TRUE,FALSE)</formula>
    </cfRule>
    <cfRule type="expression" dxfId="3052" priority="4541">
      <formula>IF(AND($B103="",$C103=""),TRUE,FALSE)</formula>
    </cfRule>
  </conditionalFormatting>
  <conditionalFormatting sqref="G159 G179">
    <cfRule type="expression" dxfId="3051" priority="4537">
      <formula>IF(AND($B159="",$C159="",LEN($A159)&lt;=2),TRUE,FALSE)</formula>
    </cfRule>
    <cfRule type="expression" dxfId="3050" priority="4538">
      <formula>IF(AND($B159="",$C159=""),TRUE,FALSE)</formula>
    </cfRule>
  </conditionalFormatting>
  <conditionalFormatting sqref="G270:G271">
    <cfRule type="expression" dxfId="3049" priority="4528">
      <formula>IF(AND($B270="",$C270="",LEN($A270)&lt;=2),TRUE,FALSE)</formula>
    </cfRule>
    <cfRule type="expression" dxfId="3048" priority="4529">
      <formula>IF(AND($B270="",$C270=""),TRUE,FALSE)</formula>
    </cfRule>
  </conditionalFormatting>
  <conditionalFormatting sqref="G289 G291:G293">
    <cfRule type="expression" dxfId="3047" priority="4522">
      <formula>IF(AND($B289="",$C289="",LEN($A289)&lt;=2),TRUE,FALSE)</formula>
    </cfRule>
    <cfRule type="expression" dxfId="3046" priority="4523">
      <formula>IF(AND($B289="",$C289=""),TRUE,FALSE)</formula>
    </cfRule>
  </conditionalFormatting>
  <conditionalFormatting sqref="G295 G297">
    <cfRule type="expression" dxfId="3045" priority="4519">
      <formula>IF(AND($B295="",$C295="",LEN($A295)&lt;=2),TRUE,FALSE)</formula>
    </cfRule>
    <cfRule type="expression" dxfId="3044" priority="4520">
      <formula>IF(AND($B295="",$C295=""),TRUE,FALSE)</formula>
    </cfRule>
  </conditionalFormatting>
  <conditionalFormatting sqref="E17 E23 E25 E21">
    <cfRule type="expression" dxfId="3043" priority="4515">
      <formula>IF(AND($B17="",$C17="",LEN($A17)&lt;=2),TRUE,FALSE)</formula>
    </cfRule>
    <cfRule type="expression" dxfId="3042" priority="4516">
      <formula>IF(AND($B17="",$C17=""),TRUE,FALSE)</formula>
    </cfRule>
  </conditionalFormatting>
  <conditionalFormatting sqref="E41:E43">
    <cfRule type="expression" dxfId="3041" priority="4513">
      <formula>IF(AND($B41="",$C41="",LEN($A41)&lt;=2),TRUE,FALSE)</formula>
    </cfRule>
    <cfRule type="expression" dxfId="3040" priority="4514">
      <formula>IF(AND($B41="",$C41=""),TRUE,FALSE)</formula>
    </cfRule>
  </conditionalFormatting>
  <conditionalFormatting sqref="E64">
    <cfRule type="expression" dxfId="3039" priority="4509">
      <formula>IF(AND($B64="",$C64="",LEN($A64)&lt;=2),TRUE,FALSE)</formula>
    </cfRule>
    <cfRule type="expression" dxfId="3038" priority="4510">
      <formula>IF(AND($B64="",$C64=""),TRUE,FALSE)</formula>
    </cfRule>
  </conditionalFormatting>
  <conditionalFormatting sqref="E78">
    <cfRule type="expression" dxfId="3037" priority="4507">
      <formula>IF(AND($B78="",$C78="",LEN($A78)&lt;=2),TRUE,FALSE)</formula>
    </cfRule>
    <cfRule type="expression" dxfId="3036" priority="4508">
      <formula>IF(AND($B78="",$C78=""),TRUE,FALSE)</formula>
    </cfRule>
  </conditionalFormatting>
  <conditionalFormatting sqref="E103">
    <cfRule type="expression" dxfId="3035" priority="4503">
      <formula>IF(AND($B103="",$C103="",LEN($A103)&lt;=2),TRUE,FALSE)</formula>
    </cfRule>
    <cfRule type="expression" dxfId="3034" priority="4504">
      <formula>IF(AND($B103="",$C103=""),TRUE,FALSE)</formula>
    </cfRule>
  </conditionalFormatting>
  <conditionalFormatting sqref="E159 E179">
    <cfRule type="expression" dxfId="3033" priority="4501">
      <formula>IF(AND($B159="",$C159="",LEN($A159)&lt;=2),TRUE,FALSE)</formula>
    </cfRule>
    <cfRule type="expression" dxfId="3032" priority="4502">
      <formula>IF(AND($B159="",$C159=""),TRUE,FALSE)</formula>
    </cfRule>
  </conditionalFormatting>
  <conditionalFormatting sqref="E270:E271 E276">
    <cfRule type="expression" dxfId="3031" priority="4495">
      <formula>IF(AND($B270="",$C270="",LEN($A270)&lt;=2),TRUE,FALSE)</formula>
    </cfRule>
    <cfRule type="expression" dxfId="3030" priority="4496">
      <formula>IF(AND($B270="",$C270=""),TRUE,FALSE)</formula>
    </cfRule>
  </conditionalFormatting>
  <conditionalFormatting sqref="E289 E291:E293">
    <cfRule type="expression" dxfId="3029" priority="4491">
      <formula>IF(AND($B289="",$C289="",LEN($A289)&lt;=2),TRUE,FALSE)</formula>
    </cfRule>
    <cfRule type="expression" dxfId="3028" priority="4492">
      <formula>IF(AND($B289="",$C289=""),TRUE,FALSE)</formula>
    </cfRule>
  </conditionalFormatting>
  <conditionalFormatting sqref="E295 E297">
    <cfRule type="expression" dxfId="3027" priority="4489">
      <formula>IF(AND($B295="",$C295="",LEN($A295)&lt;=2),TRUE,FALSE)</formula>
    </cfRule>
    <cfRule type="expression" dxfId="3026" priority="4490">
      <formula>IF(AND($B295="",$C295=""),TRUE,FALSE)</formula>
    </cfRule>
  </conditionalFormatting>
  <conditionalFormatting sqref="B68:C68 H68:I68">
    <cfRule type="expression" dxfId="3025" priority="4438">
      <formula>IF(AND($B68="",$C68="",LEN($A68)&lt;=2),TRUE,FALSE)</formula>
    </cfRule>
    <cfRule type="expression" dxfId="3024" priority="4439">
      <formula>IF(AND($B68="",$C68=""),TRUE,FALSE)</formula>
    </cfRule>
  </conditionalFormatting>
  <conditionalFormatting sqref="C68">
    <cfRule type="expression" dxfId="3023" priority="4437">
      <formula>IF((COUNTIF(#REF!,#REF!))&gt;1,TRUE,FALSE)</formula>
    </cfRule>
  </conditionalFormatting>
  <conditionalFormatting sqref="F68:G68">
    <cfRule type="expression" dxfId="3022" priority="4435">
      <formula>IF(AND($B68="",$C68="",LEN($A68)&lt;=2),TRUE,FALSE)</formula>
    </cfRule>
    <cfRule type="expression" dxfId="3021" priority="4436">
      <formula>IF(AND($B68="",$C68=""),TRUE,FALSE)</formula>
    </cfRule>
  </conditionalFormatting>
  <conditionalFormatting sqref="C68">
    <cfRule type="expression" dxfId="3020" priority="4429">
      <formula>IF((COUNTIF(#REF!,#REF!))&gt;1,TRUE,FALSE)</formula>
    </cfRule>
  </conditionalFormatting>
  <conditionalFormatting sqref="C71 H71:I71">
    <cfRule type="expression" dxfId="3019" priority="4412">
      <formula>IF(AND($B71="",$C71="",LEN($A71)&lt;=2),TRUE,FALSE)</formula>
    </cfRule>
    <cfRule type="expression" dxfId="3018" priority="4413">
      <formula>IF(AND($B71="",$C71=""),TRUE,FALSE)</formula>
    </cfRule>
  </conditionalFormatting>
  <conditionalFormatting sqref="C71">
    <cfRule type="expression" dxfId="3017" priority="4411">
      <formula>IF((COUNTIF(#REF!,#REF!))&gt;1,TRUE,FALSE)</formula>
    </cfRule>
  </conditionalFormatting>
  <conditionalFormatting sqref="F71:G71">
    <cfRule type="expression" dxfId="3016" priority="4409">
      <formula>IF(AND($B71="",$C71="",LEN($A71)&lt;=2),TRUE,FALSE)</formula>
    </cfRule>
    <cfRule type="expression" dxfId="3015" priority="4410">
      <formula>IF(AND($B71="",$C71=""),TRUE,FALSE)</formula>
    </cfRule>
  </conditionalFormatting>
  <conditionalFormatting sqref="B76 H76:I76">
    <cfRule type="expression" dxfId="3014" priority="4407">
      <formula>IF(AND($B76="",$C76="",LEN($A76)&lt;=2),TRUE,FALSE)</formula>
    </cfRule>
    <cfRule type="expression" dxfId="3013" priority="4408">
      <formula>IF(AND($B76="",$C76=""),TRUE,FALSE)</formula>
    </cfRule>
  </conditionalFormatting>
  <conditionalFormatting sqref="F76:G76">
    <cfRule type="expression" dxfId="3012" priority="4404">
      <formula>IF(AND($B76="",$C76="",LEN($A76)&lt;=2),TRUE,FALSE)</formula>
    </cfRule>
    <cfRule type="expression" dxfId="3011" priority="4405">
      <formula>IF(AND($B76="",$C76=""),TRUE,FALSE)</formula>
    </cfRule>
  </conditionalFormatting>
  <conditionalFormatting sqref="C71">
    <cfRule type="expression" dxfId="3010" priority="4403">
      <formula>IF((COUNTIF(#REF!,#REF!))&gt;1,TRUE,FALSE)</formula>
    </cfRule>
  </conditionalFormatting>
  <conditionalFormatting sqref="D71 D76">
    <cfRule type="expression" dxfId="3009" priority="4395">
      <formula>IF(AND($B71="",$C71="",LEN($A71)&lt;=2),TRUE,FALSE)</formula>
    </cfRule>
    <cfRule type="expression" dxfId="3008" priority="4396">
      <formula>IF(AND($B71="",$C71=""),TRUE,FALSE)</formula>
    </cfRule>
  </conditionalFormatting>
  <conditionalFormatting sqref="D71 D76">
    <cfRule type="expression" dxfId="3007" priority="4393">
      <formula>IF(AND($B71="",$C71="",LEN($A71)&lt;=2),TRUE,FALSE)</formula>
    </cfRule>
    <cfRule type="expression" dxfId="3006" priority="4394">
      <formula>IF(AND($B71="",$C71=""),TRUE,FALSE)</formula>
    </cfRule>
  </conditionalFormatting>
  <conditionalFormatting sqref="G71 G76">
    <cfRule type="expression" dxfId="3005" priority="4391">
      <formula>IF(AND($B71="",$C71="",LEN($A71)&lt;=2),TRUE,FALSE)</formula>
    </cfRule>
    <cfRule type="expression" dxfId="3004" priority="4392">
      <formula>IF(AND($B71="",$C71=""),TRUE,FALSE)</formula>
    </cfRule>
  </conditionalFormatting>
  <conditionalFormatting sqref="E71 E76">
    <cfRule type="expression" dxfId="3003" priority="4389">
      <formula>IF(AND($B71="",$C71="",LEN($A71)&lt;=2),TRUE,FALSE)</formula>
    </cfRule>
    <cfRule type="expression" dxfId="3002" priority="4390">
      <formula>IF(AND($B71="",$C71=""),TRUE,FALSE)</formula>
    </cfRule>
  </conditionalFormatting>
  <conditionalFormatting sqref="B69:C69 H69:I69">
    <cfRule type="expression" dxfId="3001" priority="4382">
      <formula>IF(AND($B69="",$C69="",LEN($A69)&lt;=2),TRUE,FALSE)</formula>
    </cfRule>
    <cfRule type="expression" dxfId="3000" priority="4383">
      <formula>IF(AND($B69="",$C69=""),TRUE,FALSE)</formula>
    </cfRule>
  </conditionalFormatting>
  <conditionalFormatting sqref="C69">
    <cfRule type="expression" dxfId="2999" priority="4381">
      <formula>IF((COUNTIF(#REF!,#REF!))&gt;1,TRUE,FALSE)</formula>
    </cfRule>
  </conditionalFormatting>
  <conditionalFormatting sqref="F69:G69">
    <cfRule type="expression" dxfId="2998" priority="4379">
      <formula>IF(AND($B69="",$C69="",LEN($A69)&lt;=2),TRUE,FALSE)</formula>
    </cfRule>
    <cfRule type="expression" dxfId="2997" priority="4380">
      <formula>IF(AND($B69="",$C69=""),TRUE,FALSE)</formula>
    </cfRule>
  </conditionalFormatting>
  <conditionalFormatting sqref="A284:C284 H284:I284 A285:A287">
    <cfRule type="expression" dxfId="2996" priority="4332">
      <formula>IF(AND($B284="",$C284="",LEN($A284)&lt;=2),TRUE,FALSE)</formula>
    </cfRule>
    <cfRule type="expression" dxfId="2995" priority="4333">
      <formula>IF(AND($B284="",$C284=""),TRUE,FALSE)</formula>
    </cfRule>
  </conditionalFormatting>
  <conditionalFormatting sqref="C283">
    <cfRule type="expression" dxfId="2994" priority="4337">
      <formula>IF((COUNTIF(#REF!,#REF!))&gt;1,TRUE,FALSE)</formula>
    </cfRule>
  </conditionalFormatting>
  <conditionalFormatting sqref="A283:J283">
    <cfRule type="expression" dxfId="2993" priority="4335">
      <formula>IF(AND($B283="",$C283="",LEN($A283)&lt;=2),TRUE,FALSE)</formula>
    </cfRule>
    <cfRule type="expression" dxfId="2992" priority="4336">
      <formula>IF(AND($B283="",$C283=""),TRUE,FALSE)</formula>
    </cfRule>
  </conditionalFormatting>
  <conditionalFormatting sqref="C284">
    <cfRule type="expression" dxfId="2991" priority="4334">
      <formula>IF((COUNTIF(#REF!,#REF!))&gt;1,TRUE,FALSE)</formula>
    </cfRule>
  </conditionalFormatting>
  <conditionalFormatting sqref="F284">
    <cfRule type="expression" dxfId="2990" priority="4330">
      <formula>IF(AND($B284="",$C284="",LEN($A284)&lt;=2),TRUE,FALSE)</formula>
    </cfRule>
    <cfRule type="expression" dxfId="2989" priority="4331">
      <formula>IF(AND($B284="",$C284=""),TRUE,FALSE)</formula>
    </cfRule>
  </conditionalFormatting>
  <conditionalFormatting sqref="C238">
    <cfRule type="expression" dxfId="2988" priority="4297">
      <formula>IF((COUNTIF(#REF!,#REF!))&gt;1,TRUE,FALSE)</formula>
    </cfRule>
  </conditionalFormatting>
  <conditionalFormatting sqref="A238:J238">
    <cfRule type="expression" dxfId="2987" priority="4294">
      <formula>IF(AND($B238="",$C238="",LEN($A238)&lt;=2),TRUE,FALSE)</formula>
    </cfRule>
    <cfRule type="expression" dxfId="2986" priority="4295">
      <formula>IF(AND($B238="",$C238=""),TRUE,FALSE)</formula>
    </cfRule>
  </conditionalFormatting>
  <conditionalFormatting sqref="A239:C239 H239:I239">
    <cfRule type="expression" dxfId="2985" priority="4289">
      <formula>IF(AND($B239="",$C239="",LEN($A239)&lt;=2),TRUE,FALSE)</formula>
    </cfRule>
    <cfRule type="expression" dxfId="2984" priority="4290">
      <formula>IF(AND($B239="",$C239=""),TRUE,FALSE)</formula>
    </cfRule>
  </conditionalFormatting>
  <conditionalFormatting sqref="C239">
    <cfRule type="expression" dxfId="2983" priority="4291">
      <formula>IF((COUNTIF(#REF!,#REF!))&gt;1,TRUE,FALSE)</formula>
    </cfRule>
  </conditionalFormatting>
  <conditionalFormatting sqref="F239">
    <cfRule type="expression" dxfId="2982" priority="4287">
      <formula>IF(AND($B239="",$C239="",LEN($A239)&lt;=2),TRUE,FALSE)</formula>
    </cfRule>
    <cfRule type="expression" dxfId="2981" priority="4288">
      <formula>IF(AND($B239="",$C239=""),TRUE,FALSE)</formula>
    </cfRule>
  </conditionalFormatting>
  <conditionalFormatting sqref="C241">
    <cfRule type="expression" dxfId="2980" priority="4272">
      <formula>IF((COUNTIF(#REF!,#REF!))&gt;1,TRUE,FALSE)</formula>
    </cfRule>
  </conditionalFormatting>
  <conditionalFormatting sqref="A241:J241 B261:C261 H261:I261">
    <cfRule type="expression" dxfId="2979" priority="4269">
      <formula>IF(AND($B241="",$C241="",LEN($A241)&lt;=2),TRUE,FALSE)</formula>
    </cfRule>
    <cfRule type="expression" dxfId="2978" priority="4270">
      <formula>IF(AND($B241="",$C241=""),TRUE,FALSE)</formula>
    </cfRule>
  </conditionalFormatting>
  <conditionalFormatting sqref="C261">
    <cfRule type="expression" dxfId="2977" priority="4271">
      <formula>IF((COUNTIF(#REF!,#REF!))&gt;1,TRUE,FALSE)</formula>
    </cfRule>
  </conditionalFormatting>
  <conditionalFormatting sqref="F261">
    <cfRule type="expression" dxfId="2976" priority="4267">
      <formula>IF(AND($B261="",$C261="",LEN($A261)&lt;=2),TRUE,FALSE)</formula>
    </cfRule>
    <cfRule type="expression" dxfId="2975" priority="4268">
      <formula>IF(AND($B261="",$C261=""),TRUE,FALSE)</formula>
    </cfRule>
  </conditionalFormatting>
  <conditionalFormatting sqref="A242:C242 H242:I242 A243:A255">
    <cfRule type="expression" dxfId="2974" priority="4264">
      <formula>IF(AND($B242="",$C242="",LEN($A242)&lt;=2),TRUE,FALSE)</formula>
    </cfRule>
    <cfRule type="expression" dxfId="2973" priority="4265">
      <formula>IF(AND($B242="",$C242=""),TRUE,FALSE)</formula>
    </cfRule>
  </conditionalFormatting>
  <conditionalFormatting sqref="C242">
    <cfRule type="expression" dxfId="2972" priority="4266">
      <formula>IF((COUNTIF(#REF!,#REF!))&gt;1,TRUE,FALSE)</formula>
    </cfRule>
  </conditionalFormatting>
  <conditionalFormatting sqref="F242">
    <cfRule type="expression" dxfId="2971" priority="4262">
      <formula>IF(AND($B242="",$C242="",LEN($A242)&lt;=2),TRUE,FALSE)</formula>
    </cfRule>
    <cfRule type="expression" dxfId="2970" priority="4263">
      <formula>IF(AND($B242="",$C242=""),TRUE,FALSE)</formula>
    </cfRule>
  </conditionalFormatting>
  <conditionalFormatting sqref="C245 H245:I245">
    <cfRule type="expression" dxfId="2969" priority="4259">
      <formula>IF(AND($B245="",$C245="",LEN($A245)&lt;=2),TRUE,FALSE)</formula>
    </cfRule>
    <cfRule type="expression" dxfId="2968" priority="4260">
      <formula>IF(AND($B245="",$C245=""),TRUE,FALSE)</formula>
    </cfRule>
  </conditionalFormatting>
  <conditionalFormatting sqref="C245">
    <cfRule type="expression" dxfId="2967" priority="4261">
      <formula>IF((COUNTIF(#REF!,#REF!))&gt;1,TRUE,FALSE)</formula>
    </cfRule>
  </conditionalFormatting>
  <conditionalFormatting sqref="F245">
    <cfRule type="expression" dxfId="2966" priority="4257">
      <formula>IF(AND($B245="",$C245="",LEN($A245)&lt;=2),TRUE,FALSE)</formula>
    </cfRule>
    <cfRule type="expression" dxfId="2965" priority="4258">
      <formula>IF(AND($B245="",$C245=""),TRUE,FALSE)</formula>
    </cfRule>
  </conditionalFormatting>
  <conditionalFormatting sqref="D242 D261 D245">
    <cfRule type="expression" dxfId="2964" priority="4255">
      <formula>IF(AND($B242="",$C242="",LEN($A242)&lt;=2),TRUE,FALSE)</formula>
    </cfRule>
    <cfRule type="expression" dxfId="2963" priority="4256">
      <formula>IF(AND($B242="",$C242=""),TRUE,FALSE)</formula>
    </cfRule>
  </conditionalFormatting>
  <conditionalFormatting sqref="D242 D261 D245">
    <cfRule type="expression" dxfId="2962" priority="4253">
      <formula>IF(AND($B242="",$C242="",LEN($A242)&lt;=2),TRUE,FALSE)</formula>
    </cfRule>
    <cfRule type="expression" dxfId="2961" priority="4254">
      <formula>IF(AND($B242="",$C242=""),TRUE,FALSE)</formula>
    </cfRule>
  </conditionalFormatting>
  <conditionalFormatting sqref="G242 G261 G245">
    <cfRule type="expression" dxfId="2960" priority="4251">
      <formula>IF(AND($B242="",$C242="",LEN($A242)&lt;=2),TRUE,FALSE)</formula>
    </cfRule>
    <cfRule type="expression" dxfId="2959" priority="4252">
      <formula>IF(AND($B242="",$C242=""),TRUE,FALSE)</formula>
    </cfRule>
  </conditionalFormatting>
  <conditionalFormatting sqref="E242 E261 E245">
    <cfRule type="expression" dxfId="2958" priority="4249">
      <formula>IF(AND($B242="",$C242="",LEN($A242)&lt;=2),TRUE,FALSE)</formula>
    </cfRule>
    <cfRule type="expression" dxfId="2957" priority="4250">
      <formula>IF(AND($B242="",$C242=""),TRUE,FALSE)</formula>
    </cfRule>
  </conditionalFormatting>
  <conditionalFormatting sqref="C86">
    <cfRule type="expression" dxfId="2956" priority="4218">
      <formula>IF((COUNTIF(#REF!,#REF!))&gt;1,TRUE,FALSE)</formula>
    </cfRule>
  </conditionalFormatting>
  <conditionalFormatting sqref="A86:J86 H91:I91">
    <cfRule type="expression" dxfId="2955" priority="4215">
      <formula>IF(AND($B86="",$C86="",LEN($A86)&lt;=2),TRUE,FALSE)</formula>
    </cfRule>
    <cfRule type="expression" dxfId="2954" priority="4216">
      <formula>IF(AND($B86="",$C86=""),TRUE,FALSE)</formula>
    </cfRule>
  </conditionalFormatting>
  <conditionalFormatting sqref="C28">
    <cfRule type="expression" dxfId="2953" priority="4212">
      <formula>IF((COUNTIF(#REF!,#REF!))&gt;1,TRUE,FALSE)</formula>
    </cfRule>
  </conditionalFormatting>
  <conditionalFormatting sqref="F91">
    <cfRule type="expression" dxfId="2952" priority="4213">
      <formula>IF(AND($B91="",$C91="",LEN($A91)&lt;=2),TRUE,FALSE)</formula>
    </cfRule>
    <cfRule type="expression" dxfId="2951" priority="4214">
      <formula>IF(AND($B91="",$C91=""),TRUE,FALSE)</formula>
    </cfRule>
  </conditionalFormatting>
  <conditionalFormatting sqref="B87:C87 H87:I87">
    <cfRule type="expression" dxfId="2950" priority="4205">
      <formula>IF(AND($B87="",$C87="",LEN($A87)&lt;=2),TRUE,FALSE)</formula>
    </cfRule>
    <cfRule type="expression" dxfId="2949" priority="4206">
      <formula>IF(AND($B87="",$C87=""),TRUE,FALSE)</formula>
    </cfRule>
  </conditionalFormatting>
  <conditionalFormatting sqref="C87">
    <cfRule type="expression" dxfId="2948" priority="4207">
      <formula>IF((COUNTIF(#REF!,#REF!))&gt;1,TRUE,FALSE)</formula>
    </cfRule>
  </conditionalFormatting>
  <conditionalFormatting sqref="F87">
    <cfRule type="expression" dxfId="2947" priority="4203">
      <formula>IF(AND($B87="",$C87="",LEN($A87)&lt;=2),TRUE,FALSE)</formula>
    </cfRule>
    <cfRule type="expression" dxfId="2946" priority="4204">
      <formula>IF(AND($B87="",$C87=""),TRUE,FALSE)</formula>
    </cfRule>
  </conditionalFormatting>
  <conditionalFormatting sqref="A86">
    <cfRule type="expression" dxfId="2945" priority="4201">
      <formula>IF(AND($B86="",$C86="",LEN($A86)&lt;=2),TRUE,FALSE)</formula>
    </cfRule>
    <cfRule type="expression" dxfId="2944" priority="4202">
      <formula>IF(AND($B86="",$C86=""),TRUE,FALSE)</formula>
    </cfRule>
  </conditionalFormatting>
  <conditionalFormatting sqref="D91 D87">
    <cfRule type="expression" dxfId="2943" priority="4197">
      <formula>IF(AND($B87="",$C87="",LEN($A87)&lt;=2),TRUE,FALSE)</formula>
    </cfRule>
    <cfRule type="expression" dxfId="2942" priority="4198">
      <formula>IF(AND($B87="",$C87=""),TRUE,FALSE)</formula>
    </cfRule>
  </conditionalFormatting>
  <conditionalFormatting sqref="D91 D87">
    <cfRule type="expression" dxfId="2941" priority="4195">
      <formula>IF(AND($B87="",$C87="",LEN($A87)&lt;=2),TRUE,FALSE)</formula>
    </cfRule>
    <cfRule type="expression" dxfId="2940" priority="4196">
      <formula>IF(AND($B87="",$C87=""),TRUE,FALSE)</formula>
    </cfRule>
  </conditionalFormatting>
  <conditionalFormatting sqref="G91 G87">
    <cfRule type="expression" dxfId="2939" priority="4193">
      <formula>IF(AND($B87="",$C87="",LEN($A87)&lt;=2),TRUE,FALSE)</formula>
    </cfRule>
    <cfRule type="expression" dxfId="2938" priority="4194">
      <formula>IF(AND($B87="",$C87=""),TRUE,FALSE)</formula>
    </cfRule>
  </conditionalFormatting>
  <conditionalFormatting sqref="E91 E87">
    <cfRule type="expression" dxfId="2937" priority="4191">
      <formula>IF(AND($B87="",$C87="",LEN($A87)&lt;=2),TRUE,FALSE)</formula>
    </cfRule>
    <cfRule type="expression" dxfId="2936" priority="4192">
      <formula>IF(AND($B87="",$C87=""),TRUE,FALSE)</formula>
    </cfRule>
  </conditionalFormatting>
  <conditionalFormatting sqref="C92">
    <cfRule type="expression" dxfId="2935" priority="4189">
      <formula>IF((COUNTIF(#REF!,#REF!))&gt;1,TRUE,FALSE)</formula>
    </cfRule>
  </conditionalFormatting>
  <conditionalFormatting sqref="A92:J92 H96:I96">
    <cfRule type="expression" dxfId="2934" priority="4186">
      <formula>IF(AND($B92="",$C92="",LEN($A92)&lt;=2),TRUE,FALSE)</formula>
    </cfRule>
    <cfRule type="expression" dxfId="2933" priority="4187">
      <formula>IF(AND($B92="",$C92=""),TRUE,FALSE)</formula>
    </cfRule>
  </conditionalFormatting>
  <conditionalFormatting sqref="F96">
    <cfRule type="expression" dxfId="2932" priority="4184">
      <formula>IF(AND($B96="",$C96="",LEN($A96)&lt;=2),TRUE,FALSE)</formula>
    </cfRule>
    <cfRule type="expression" dxfId="2931" priority="4185">
      <formula>IF(AND($B96="",$C96=""),TRUE,FALSE)</formula>
    </cfRule>
  </conditionalFormatting>
  <conditionalFormatting sqref="H93:I93 A93:A96">
    <cfRule type="expression" dxfId="2930" priority="4181">
      <formula>IF(AND($B93="",$C93="",LEN($A93)&lt;=2),TRUE,FALSE)</formula>
    </cfRule>
    <cfRule type="expression" dxfId="2929" priority="4182">
      <formula>IF(AND($B93="",$C93=""),TRUE,FALSE)</formula>
    </cfRule>
  </conditionalFormatting>
  <conditionalFormatting sqref="F93">
    <cfRule type="expression" dxfId="2928" priority="4179">
      <formula>IF(AND($B93="",$C93="",LEN($A93)&lt;=2),TRUE,FALSE)</formula>
    </cfRule>
    <cfRule type="expression" dxfId="2927" priority="4180">
      <formula>IF(AND($B93="",$C93=""),TRUE,FALSE)</formula>
    </cfRule>
  </conditionalFormatting>
  <conditionalFormatting sqref="H94:I94 A94:A96">
    <cfRule type="expression" dxfId="2926" priority="4176">
      <formula>IF(AND($B94="",$C94="",LEN($A94)&lt;=2),TRUE,FALSE)</formula>
    </cfRule>
    <cfRule type="expression" dxfId="2925" priority="4177">
      <formula>IF(AND($B94="",$C94=""),TRUE,FALSE)</formula>
    </cfRule>
  </conditionalFormatting>
  <conditionalFormatting sqref="F94">
    <cfRule type="expression" dxfId="2924" priority="4174">
      <formula>IF(AND($B94="",$C94="",LEN($A94)&lt;=2),TRUE,FALSE)</formula>
    </cfRule>
    <cfRule type="expression" dxfId="2923" priority="4175">
      <formula>IF(AND($B94="",$C94=""),TRUE,FALSE)</formula>
    </cfRule>
  </conditionalFormatting>
  <conditionalFormatting sqref="A92">
    <cfRule type="expression" dxfId="2922" priority="4172">
      <formula>IF(AND($B92="",$C92="",LEN($A92)&lt;=2),TRUE,FALSE)</formula>
    </cfRule>
    <cfRule type="expression" dxfId="2921" priority="4173">
      <formula>IF(AND($B92="",$C92=""),TRUE,FALSE)</formula>
    </cfRule>
  </conditionalFormatting>
  <conditionalFormatting sqref="A93:A96">
    <cfRule type="expression" dxfId="2920" priority="4170">
      <formula>IF(AND($B93="",$C93="",LEN($A93)&lt;=2),TRUE,FALSE)</formula>
    </cfRule>
    <cfRule type="expression" dxfId="2919" priority="4171">
      <formula>IF(AND($B93="",$C93=""),TRUE,FALSE)</formula>
    </cfRule>
  </conditionalFormatting>
  <conditionalFormatting sqref="D93:D94 D96">
    <cfRule type="expression" dxfId="2918" priority="4168">
      <formula>IF(AND($B93="",$C93="",LEN($A93)&lt;=2),TRUE,FALSE)</formula>
    </cfRule>
    <cfRule type="expression" dxfId="2917" priority="4169">
      <formula>IF(AND($B93="",$C93=""),TRUE,FALSE)</formula>
    </cfRule>
  </conditionalFormatting>
  <conditionalFormatting sqref="D93:D94 D96">
    <cfRule type="expression" dxfId="2916" priority="4166">
      <formula>IF(AND($B93="",$C93="",LEN($A93)&lt;=2),TRUE,FALSE)</formula>
    </cfRule>
    <cfRule type="expression" dxfId="2915" priority="4167">
      <formula>IF(AND($B93="",$C93=""),TRUE,FALSE)</formula>
    </cfRule>
  </conditionalFormatting>
  <conditionalFormatting sqref="G93:G94 G96">
    <cfRule type="expression" dxfId="2914" priority="4164">
      <formula>IF(AND($B93="",$C93="",LEN($A93)&lt;=2),TRUE,FALSE)</formula>
    </cfRule>
    <cfRule type="expression" dxfId="2913" priority="4165">
      <formula>IF(AND($B93="",$C93=""),TRUE,FALSE)</formula>
    </cfRule>
  </conditionalFormatting>
  <conditionalFormatting sqref="E93:E94 E96">
    <cfRule type="expression" dxfId="2912" priority="4162">
      <formula>IF(AND($B93="",$C93="",LEN($A93)&lt;=2),TRUE,FALSE)</formula>
    </cfRule>
    <cfRule type="expression" dxfId="2911" priority="4163">
      <formula>IF(AND($B93="",$C93=""),TRUE,FALSE)</formula>
    </cfRule>
  </conditionalFormatting>
  <conditionalFormatting sqref="F22 H22:I22">
    <cfRule type="expression" dxfId="2910" priority="4159">
      <formula>IF(AND($B22="",$C22="",LEN($A22)&lt;=2),TRUE,FALSE)</formula>
    </cfRule>
    <cfRule type="expression" dxfId="2909" priority="4160">
      <formula>IF(AND($B22="",$C22=""),TRUE,FALSE)</formula>
    </cfRule>
  </conditionalFormatting>
  <conditionalFormatting sqref="C22">
    <cfRule type="expression" dxfId="2908" priority="4155">
      <formula>IF(AND($B22="",$C22="",LEN($A22)&lt;=2),TRUE,FALSE)</formula>
    </cfRule>
    <cfRule type="expression" dxfId="2907" priority="4156">
      <formula>IF(AND($B22="",$C22=""),TRUE,FALSE)</formula>
    </cfRule>
  </conditionalFormatting>
  <conditionalFormatting sqref="C22">
    <cfRule type="expression" dxfId="2906" priority="4154">
      <formula>IF((COUNTIF(#REF!,#REF!))&gt;1,TRUE,FALSE)</formula>
    </cfRule>
  </conditionalFormatting>
  <conditionalFormatting sqref="C22">
    <cfRule type="expression" dxfId="2905" priority="4153">
      <formula>IF((COUNTIF(#REF!,#REF!))&gt;1,TRUE,FALSE)</formula>
    </cfRule>
  </conditionalFormatting>
  <conditionalFormatting sqref="C22">
    <cfRule type="expression" dxfId="2904" priority="4152">
      <formula>IF((COUNTIF(#REF!,#REF!))&gt;1,TRUE,FALSE)</formula>
    </cfRule>
  </conditionalFormatting>
  <conditionalFormatting sqref="B22">
    <cfRule type="expression" dxfId="2903" priority="4148">
      <formula>IF(AND($B22="",$C22="",LEN($A22)&lt;=2),TRUE,FALSE)</formula>
    </cfRule>
    <cfRule type="expression" dxfId="2902" priority="4149">
      <formula>IF(AND($B22="",$C22=""),TRUE,FALSE)</formula>
    </cfRule>
  </conditionalFormatting>
  <conditionalFormatting sqref="B22">
    <cfRule type="expression" dxfId="2901" priority="4150">
      <formula>IF(AND($B22="",$C22="",LEN($A22)&lt;=2),TRUE,FALSE)</formula>
    </cfRule>
    <cfRule type="expression" dxfId="2900" priority="4151">
      <formula>IF(AND($B22="",$C22=""),TRUE,FALSE)</formula>
    </cfRule>
  </conditionalFormatting>
  <conditionalFormatting sqref="D22">
    <cfRule type="expression" dxfId="2899" priority="4146">
      <formula>IF(AND($B22="",$C22="",LEN($A22)&lt;=2),TRUE,FALSE)</formula>
    </cfRule>
    <cfRule type="expression" dxfId="2898" priority="4147">
      <formula>IF(AND($B22="",$C22=""),TRUE,FALSE)</formula>
    </cfRule>
  </conditionalFormatting>
  <conditionalFormatting sqref="D22">
    <cfRule type="expression" dxfId="2897" priority="4144">
      <formula>IF(AND($B22="",$C22="",LEN($A22)&lt;=2),TRUE,FALSE)</formula>
    </cfRule>
    <cfRule type="expression" dxfId="2896" priority="4145">
      <formula>IF(AND($B22="",$C22=""),TRUE,FALSE)</formula>
    </cfRule>
  </conditionalFormatting>
  <conditionalFormatting sqref="G22">
    <cfRule type="expression" dxfId="2895" priority="4142">
      <formula>IF(AND($B22="",$C22="",LEN($A22)&lt;=2),TRUE,FALSE)</formula>
    </cfRule>
    <cfRule type="expression" dxfId="2894" priority="4143">
      <formula>IF(AND($B22="",$C22=""),TRUE,FALSE)</formula>
    </cfRule>
  </conditionalFormatting>
  <conditionalFormatting sqref="E22">
    <cfRule type="expression" dxfId="2893" priority="4140">
      <formula>IF(AND($B22="",$C22="",LEN($A22)&lt;=2),TRUE,FALSE)</formula>
    </cfRule>
    <cfRule type="expression" dxfId="2892" priority="4141">
      <formula>IF(AND($B22="",$C22=""),TRUE,FALSE)</formula>
    </cfRule>
  </conditionalFormatting>
  <conditionalFormatting sqref="F24 H24:I24">
    <cfRule type="expression" dxfId="2891" priority="4137">
      <formula>IF(AND($B24="",$C24="",LEN($A24)&lt;=2),TRUE,FALSE)</formula>
    </cfRule>
    <cfRule type="expression" dxfId="2890" priority="4138">
      <formula>IF(AND($B24="",$C24=""),TRUE,FALSE)</formula>
    </cfRule>
  </conditionalFormatting>
  <conditionalFormatting sqref="C24">
    <cfRule type="expression" dxfId="2889" priority="4135">
      <formula>IF(AND($B24="",$C24="",LEN($A24)&lt;=2),TRUE,FALSE)</formula>
    </cfRule>
    <cfRule type="expression" dxfId="2888" priority="4136">
      <formula>IF(AND($B24="",$C24=""),TRUE,FALSE)</formula>
    </cfRule>
  </conditionalFormatting>
  <conditionalFormatting sqref="C24">
    <cfRule type="expression" dxfId="2887" priority="4134">
      <formula>IF((COUNTIF(#REF!,#REF!))&gt;1,TRUE,FALSE)</formula>
    </cfRule>
  </conditionalFormatting>
  <conditionalFormatting sqref="C24">
    <cfRule type="expression" dxfId="2886" priority="4133">
      <formula>IF((COUNTIF(#REF!,#REF!))&gt;1,TRUE,FALSE)</formula>
    </cfRule>
  </conditionalFormatting>
  <conditionalFormatting sqref="C24">
    <cfRule type="expression" dxfId="2885" priority="4132">
      <formula>IF((COUNTIF(#REF!,#REF!))&gt;1,TRUE,FALSE)</formula>
    </cfRule>
  </conditionalFormatting>
  <conditionalFormatting sqref="B24">
    <cfRule type="expression" dxfId="2884" priority="4128">
      <formula>IF(AND($B24="",$C24="",LEN($A24)&lt;=2),TRUE,FALSE)</formula>
    </cfRule>
    <cfRule type="expression" dxfId="2883" priority="4129">
      <formula>IF(AND($B24="",$C24=""),TRUE,FALSE)</formula>
    </cfRule>
  </conditionalFormatting>
  <conditionalFormatting sqref="B24">
    <cfRule type="expression" dxfId="2882" priority="4130">
      <formula>IF(AND($B24="",$C24="",LEN($A24)&lt;=2),TRUE,FALSE)</formula>
    </cfRule>
    <cfRule type="expression" dxfId="2881" priority="4131">
      <formula>IF(AND($B24="",$C24=""),TRUE,FALSE)</formula>
    </cfRule>
  </conditionalFormatting>
  <conditionalFormatting sqref="D24">
    <cfRule type="expression" dxfId="2880" priority="4126">
      <formula>IF(AND($B24="",$C24="",LEN($A24)&lt;=2),TRUE,FALSE)</formula>
    </cfRule>
    <cfRule type="expression" dxfId="2879" priority="4127">
      <formula>IF(AND($B24="",$C24=""),TRUE,FALSE)</formula>
    </cfRule>
  </conditionalFormatting>
  <conditionalFormatting sqref="D24">
    <cfRule type="expression" dxfId="2878" priority="4124">
      <formula>IF(AND($B24="",$C24="",LEN($A24)&lt;=2),TRUE,FALSE)</formula>
    </cfRule>
    <cfRule type="expression" dxfId="2877" priority="4125">
      <formula>IF(AND($B24="",$C24=""),TRUE,FALSE)</formula>
    </cfRule>
  </conditionalFormatting>
  <conditionalFormatting sqref="G24">
    <cfRule type="expression" dxfId="2876" priority="4122">
      <formula>IF(AND($B24="",$C24="",LEN($A24)&lt;=2),TRUE,FALSE)</formula>
    </cfRule>
    <cfRule type="expression" dxfId="2875" priority="4123">
      <formula>IF(AND($B24="",$C24=""),TRUE,FALSE)</formula>
    </cfRule>
  </conditionalFormatting>
  <conditionalFormatting sqref="E24">
    <cfRule type="expression" dxfId="2874" priority="4120">
      <formula>IF(AND($B24="",$C24="",LEN($A24)&lt;=2),TRUE,FALSE)</formula>
    </cfRule>
    <cfRule type="expression" dxfId="2873" priority="4121">
      <formula>IF(AND($B24="",$C24=""),TRUE,FALSE)</formula>
    </cfRule>
  </conditionalFormatting>
  <conditionalFormatting sqref="C20">
    <cfRule type="expression" dxfId="2872" priority="4113">
      <formula>IF(AND($B20="",$C20="",LEN($A20)&lt;=2),TRUE,FALSE)</formula>
    </cfRule>
    <cfRule type="expression" dxfId="2871" priority="4114">
      <formula>IF(AND($B20="",$C20=""),TRUE,FALSE)</formula>
    </cfRule>
  </conditionalFormatting>
  <conditionalFormatting sqref="C20">
    <cfRule type="expression" dxfId="2870" priority="4112">
      <formula>IF((COUNTIF(#REF!,#REF!))&gt;1,TRUE,FALSE)</formula>
    </cfRule>
  </conditionalFormatting>
  <conditionalFormatting sqref="C20">
    <cfRule type="expression" dxfId="2869" priority="4111">
      <formula>IF((COUNTIF(#REF!,#REF!))&gt;1,TRUE,FALSE)</formula>
    </cfRule>
  </conditionalFormatting>
  <conditionalFormatting sqref="C20">
    <cfRule type="expression" dxfId="2868" priority="4110">
      <formula>IF((COUNTIF(#REF!,#REF!))&gt;1,TRUE,FALSE)</formula>
    </cfRule>
  </conditionalFormatting>
  <conditionalFormatting sqref="F20 H20:I20">
    <cfRule type="expression" dxfId="2867" priority="4108">
      <formula>IF(AND($B20="",$C20="",LEN($A20)&lt;=2),TRUE,FALSE)</formula>
    </cfRule>
    <cfRule type="expression" dxfId="2866" priority="4109">
      <formula>IF(AND($B20="",$C20=""),TRUE,FALSE)</formula>
    </cfRule>
  </conditionalFormatting>
  <conditionalFormatting sqref="B20">
    <cfRule type="expression" dxfId="2865" priority="4104">
      <formula>IF(AND($B20="",$C20="",LEN($A20)&lt;=2),TRUE,FALSE)</formula>
    </cfRule>
    <cfRule type="expression" dxfId="2864" priority="4105">
      <formula>IF(AND($B20="",$C20=""),TRUE,FALSE)</formula>
    </cfRule>
  </conditionalFormatting>
  <conditionalFormatting sqref="B20">
    <cfRule type="expression" dxfId="2863" priority="4106">
      <formula>IF(AND($B20="",$C20="",LEN($A20)&lt;=2),TRUE,FALSE)</formula>
    </cfRule>
    <cfRule type="expression" dxfId="2862" priority="4107">
      <formula>IF(AND($B20="",$C20=""),TRUE,FALSE)</formula>
    </cfRule>
  </conditionalFormatting>
  <conditionalFormatting sqref="D20">
    <cfRule type="expression" dxfId="2861" priority="4102">
      <formula>IF(AND($B20="",$C20="",LEN($A20)&lt;=2),TRUE,FALSE)</formula>
    </cfRule>
    <cfRule type="expression" dxfId="2860" priority="4103">
      <formula>IF(AND($B20="",$C20=""),TRUE,FALSE)</formula>
    </cfRule>
  </conditionalFormatting>
  <conditionalFormatting sqref="D20">
    <cfRule type="expression" dxfId="2859" priority="4100">
      <formula>IF(AND($B20="",$C20="",LEN($A20)&lt;=2),TRUE,FALSE)</formula>
    </cfRule>
    <cfRule type="expression" dxfId="2858" priority="4101">
      <formula>IF(AND($B20="",$C20=""),TRUE,FALSE)</formula>
    </cfRule>
  </conditionalFormatting>
  <conditionalFormatting sqref="G20">
    <cfRule type="expression" dxfId="2857" priority="4098">
      <formula>IF(AND($B20="",$C20="",LEN($A20)&lt;=2),TRUE,FALSE)</formula>
    </cfRule>
    <cfRule type="expression" dxfId="2856" priority="4099">
      <formula>IF(AND($B20="",$C20=""),TRUE,FALSE)</formula>
    </cfRule>
  </conditionalFormatting>
  <conditionalFormatting sqref="E20">
    <cfRule type="expression" dxfId="2855" priority="4096">
      <formula>IF(AND($B20="",$C20="",LEN($A20)&lt;=2),TRUE,FALSE)</formula>
    </cfRule>
    <cfRule type="expression" dxfId="2854" priority="4097">
      <formula>IF(AND($B20="",$C20=""),TRUE,FALSE)</formula>
    </cfRule>
  </conditionalFormatting>
  <conditionalFormatting sqref="F26 H26:I26">
    <cfRule type="expression" dxfId="2853" priority="4093">
      <formula>IF(AND($B26="",$C26="",LEN($A26)&lt;=2),TRUE,FALSE)</formula>
    </cfRule>
    <cfRule type="expression" dxfId="2852" priority="4094">
      <formula>IF(AND($B26="",$C26=""),TRUE,FALSE)</formula>
    </cfRule>
  </conditionalFormatting>
  <conditionalFormatting sqref="C26">
    <cfRule type="expression" dxfId="2851" priority="4091">
      <formula>IF(AND($B26="",$C26="",LEN($A26)&lt;=2),TRUE,FALSE)</formula>
    </cfRule>
    <cfRule type="expression" dxfId="2850" priority="4092">
      <formula>IF(AND($B26="",$C26=""),TRUE,FALSE)</formula>
    </cfRule>
  </conditionalFormatting>
  <conditionalFormatting sqref="C26">
    <cfRule type="expression" dxfId="2849" priority="4090">
      <formula>IF((COUNTIF(#REF!,#REF!))&gt;1,TRUE,FALSE)</formula>
    </cfRule>
  </conditionalFormatting>
  <conditionalFormatting sqref="C26">
    <cfRule type="expression" dxfId="2848" priority="4089">
      <formula>IF((COUNTIF(#REF!,#REF!))&gt;1,TRUE,FALSE)</formula>
    </cfRule>
  </conditionalFormatting>
  <conditionalFormatting sqref="C26">
    <cfRule type="expression" dxfId="2847" priority="4088">
      <formula>IF((COUNTIF(#REF!,#REF!))&gt;1,TRUE,FALSE)</formula>
    </cfRule>
  </conditionalFormatting>
  <conditionalFormatting sqref="B26">
    <cfRule type="expression" dxfId="2846" priority="4084">
      <formula>IF(AND($B26="",$C26="",LEN($A26)&lt;=2),TRUE,FALSE)</formula>
    </cfRule>
    <cfRule type="expression" dxfId="2845" priority="4085">
      <formula>IF(AND($B26="",$C26=""),TRUE,FALSE)</formula>
    </cfRule>
  </conditionalFormatting>
  <conditionalFormatting sqref="B26">
    <cfRule type="expression" dxfId="2844" priority="4086">
      <formula>IF(AND($B26="",$C26="",LEN($A26)&lt;=2),TRUE,FALSE)</formula>
    </cfRule>
    <cfRule type="expression" dxfId="2843" priority="4087">
      <formula>IF(AND($B26="",$C26=""),TRUE,FALSE)</formula>
    </cfRule>
  </conditionalFormatting>
  <conditionalFormatting sqref="D26">
    <cfRule type="expression" dxfId="2842" priority="4082">
      <formula>IF(AND($B26="",$C26="",LEN($A26)&lt;=2),TRUE,FALSE)</formula>
    </cfRule>
    <cfRule type="expression" dxfId="2841" priority="4083">
      <formula>IF(AND($B26="",$C26=""),TRUE,FALSE)</formula>
    </cfRule>
  </conditionalFormatting>
  <conditionalFormatting sqref="D26">
    <cfRule type="expression" dxfId="2840" priority="4080">
      <formula>IF(AND($B26="",$C26="",LEN($A26)&lt;=2),TRUE,FALSE)</formula>
    </cfRule>
    <cfRule type="expression" dxfId="2839" priority="4081">
      <formula>IF(AND($B26="",$C26=""),TRUE,FALSE)</formula>
    </cfRule>
  </conditionalFormatting>
  <conditionalFormatting sqref="G26">
    <cfRule type="expression" dxfId="2838" priority="4078">
      <formula>IF(AND($B26="",$C26="",LEN($A26)&lt;=2),TRUE,FALSE)</formula>
    </cfRule>
    <cfRule type="expression" dxfId="2837" priority="4079">
      <formula>IF(AND($B26="",$C26=""),TRUE,FALSE)</formula>
    </cfRule>
  </conditionalFormatting>
  <conditionalFormatting sqref="E26">
    <cfRule type="expression" dxfId="2836" priority="4076">
      <formula>IF(AND($B26="",$C26="",LEN($A26)&lt;=2),TRUE,FALSE)</formula>
    </cfRule>
    <cfRule type="expression" dxfId="2835" priority="4077">
      <formula>IF(AND($B26="",$C26=""),TRUE,FALSE)</formula>
    </cfRule>
  </conditionalFormatting>
  <conditionalFormatting sqref="C72 H72:I72">
    <cfRule type="expression" dxfId="2834" priority="4071">
      <formula>IF(AND($B72="",$C72="",LEN($A72)&lt;=2),TRUE,FALSE)</formula>
    </cfRule>
    <cfRule type="expression" dxfId="2833" priority="4072">
      <formula>IF(AND($B72="",$C72=""),TRUE,FALSE)</formula>
    </cfRule>
  </conditionalFormatting>
  <conditionalFormatting sqref="C72">
    <cfRule type="expression" dxfId="2832" priority="4070">
      <formula>IF((COUNTIF(#REF!,#REF!))&gt;1,TRUE,FALSE)</formula>
    </cfRule>
  </conditionalFormatting>
  <conditionalFormatting sqref="F72:G72">
    <cfRule type="expression" dxfId="2831" priority="4068">
      <formula>IF(AND($B72="",$C72="",LEN($A72)&lt;=2),TRUE,FALSE)</formula>
    </cfRule>
    <cfRule type="expression" dxfId="2830" priority="4069">
      <formula>IF(AND($B72="",$C72=""),TRUE,FALSE)</formula>
    </cfRule>
  </conditionalFormatting>
  <conditionalFormatting sqref="D72">
    <cfRule type="expression" dxfId="2829" priority="4066">
      <formula>IF(AND($B72="",$C72="",LEN($A72)&lt;=2),TRUE,FALSE)</formula>
    </cfRule>
    <cfRule type="expression" dxfId="2828" priority="4067">
      <formula>IF(AND($B72="",$C72=""),TRUE,FALSE)</formula>
    </cfRule>
  </conditionalFormatting>
  <conditionalFormatting sqref="D72">
    <cfRule type="expression" dxfId="2827" priority="4064">
      <formula>IF(AND($B72="",$C72="",LEN($A72)&lt;=2),TRUE,FALSE)</formula>
    </cfRule>
    <cfRule type="expression" dxfId="2826" priority="4065">
      <formula>IF(AND($B72="",$C72=""),TRUE,FALSE)</formula>
    </cfRule>
  </conditionalFormatting>
  <conditionalFormatting sqref="G72">
    <cfRule type="expression" dxfId="2825" priority="4062">
      <formula>IF(AND($B72="",$C72="",LEN($A72)&lt;=2),TRUE,FALSE)</formula>
    </cfRule>
    <cfRule type="expression" dxfId="2824" priority="4063">
      <formula>IF(AND($B72="",$C72=""),TRUE,FALSE)</formula>
    </cfRule>
  </conditionalFormatting>
  <conditionalFormatting sqref="E72">
    <cfRule type="expression" dxfId="2823" priority="4060">
      <formula>IF(AND($B72="",$C72="",LEN($A72)&lt;=2),TRUE,FALSE)</formula>
    </cfRule>
    <cfRule type="expression" dxfId="2822" priority="4061">
      <formula>IF(AND($B72="",$C72=""),TRUE,FALSE)</formula>
    </cfRule>
  </conditionalFormatting>
  <conditionalFormatting sqref="C76">
    <cfRule type="expression" dxfId="2821" priority="4055">
      <formula>IF(AND($B76="",$C76="",LEN($A76)&lt;=2),TRUE,FALSE)</formula>
    </cfRule>
    <cfRule type="expression" dxfId="2820" priority="4056">
      <formula>IF(AND($B76="",$C76=""),TRUE,FALSE)</formula>
    </cfRule>
  </conditionalFormatting>
  <conditionalFormatting sqref="C76">
    <cfRule type="expression" dxfId="2819" priority="4057">
      <formula>IF((COUNTIF(#REF!,#REF!))&gt;1,TRUE,FALSE)</formula>
    </cfRule>
  </conditionalFormatting>
  <conditionalFormatting sqref="B73 H73:I73">
    <cfRule type="expression" dxfId="2818" priority="4052">
      <formula>IF(AND($B73="",$C73="",LEN($A73)&lt;=2),TRUE,FALSE)</formula>
    </cfRule>
    <cfRule type="expression" dxfId="2817" priority="4053">
      <formula>IF(AND($B73="",$C73=""),TRUE,FALSE)</formula>
    </cfRule>
  </conditionalFormatting>
  <conditionalFormatting sqref="F73:G73">
    <cfRule type="expression" dxfId="2816" priority="4050">
      <formula>IF(AND($B73="",$C73="",LEN($A73)&lt;=2),TRUE,FALSE)</formula>
    </cfRule>
    <cfRule type="expression" dxfId="2815" priority="4051">
      <formula>IF(AND($B73="",$C73=""),TRUE,FALSE)</formula>
    </cfRule>
  </conditionalFormatting>
  <conditionalFormatting sqref="D73">
    <cfRule type="expression" dxfId="2814" priority="4048">
      <formula>IF(AND($B73="",$C73="",LEN($A73)&lt;=2),TRUE,FALSE)</formula>
    </cfRule>
    <cfRule type="expression" dxfId="2813" priority="4049">
      <formula>IF(AND($B73="",$C73=""),TRUE,FALSE)</formula>
    </cfRule>
  </conditionalFormatting>
  <conditionalFormatting sqref="D73">
    <cfRule type="expression" dxfId="2812" priority="4046">
      <formula>IF(AND($B73="",$C73="",LEN($A73)&lt;=2),TRUE,FALSE)</formula>
    </cfRule>
    <cfRule type="expression" dxfId="2811" priority="4047">
      <formula>IF(AND($B73="",$C73=""),TRUE,FALSE)</formula>
    </cfRule>
  </conditionalFormatting>
  <conditionalFormatting sqref="G73">
    <cfRule type="expression" dxfId="2810" priority="4044">
      <formula>IF(AND($B73="",$C73="",LEN($A73)&lt;=2),TRUE,FALSE)</formula>
    </cfRule>
    <cfRule type="expression" dxfId="2809" priority="4045">
      <formula>IF(AND($B73="",$C73=""),TRUE,FALSE)</formula>
    </cfRule>
  </conditionalFormatting>
  <conditionalFormatting sqref="E73">
    <cfRule type="expression" dxfId="2808" priority="4042">
      <formula>IF(AND($B73="",$C73="",LEN($A73)&lt;=2),TRUE,FALSE)</formula>
    </cfRule>
    <cfRule type="expression" dxfId="2807" priority="4043">
      <formula>IF(AND($B73="",$C73=""),TRUE,FALSE)</formula>
    </cfRule>
  </conditionalFormatting>
  <conditionalFormatting sqref="C73">
    <cfRule type="expression" dxfId="2806" priority="4037">
      <formula>IF(AND($B73="",$C73="",LEN($A73)&lt;=2),TRUE,FALSE)</formula>
    </cfRule>
    <cfRule type="expression" dxfId="2805" priority="4038">
      <formula>IF(AND($B73="",$C73=""),TRUE,FALSE)</formula>
    </cfRule>
  </conditionalFormatting>
  <conditionalFormatting sqref="C73">
    <cfRule type="expression" dxfId="2804" priority="4039">
      <formula>IF((COUNTIF(#REF!,#REF!))&gt;1,TRUE,FALSE)</formula>
    </cfRule>
  </conditionalFormatting>
  <conditionalFormatting sqref="B93:C93">
    <cfRule type="expression" dxfId="2803" priority="4031">
      <formula>IF(AND($B93="",$C93="",LEN($A93)&lt;=2),TRUE,FALSE)</formula>
    </cfRule>
    <cfRule type="expression" dxfId="2802" priority="4032">
      <formula>IF(AND($B93="",$C93=""),TRUE,FALSE)</formula>
    </cfRule>
  </conditionalFormatting>
  <conditionalFormatting sqref="C93">
    <cfRule type="expression" dxfId="2801" priority="4033">
      <formula>IF((COUNTIF(#REF!,#REF!))&gt;1,TRUE,FALSE)</formula>
    </cfRule>
  </conditionalFormatting>
  <conditionalFormatting sqref="B94:C94">
    <cfRule type="expression" dxfId="2800" priority="4028">
      <formula>IF(AND($B94="",$C94="",LEN($A94)&lt;=2),TRUE,FALSE)</formula>
    </cfRule>
    <cfRule type="expression" dxfId="2799" priority="4029">
      <formula>IF(AND($B94="",$C94=""),TRUE,FALSE)</formula>
    </cfRule>
  </conditionalFormatting>
  <conditionalFormatting sqref="C94">
    <cfRule type="expression" dxfId="2798" priority="4030">
      <formula>IF((COUNTIF(#REF!,#REF!))&gt;1,TRUE,FALSE)</formula>
    </cfRule>
  </conditionalFormatting>
  <conditionalFormatting sqref="H80:I80">
    <cfRule type="expression" dxfId="2797" priority="4024">
      <formula>IF(AND($B80="",$C80="",LEN($A80)&lt;=2),TRUE,FALSE)</formula>
    </cfRule>
    <cfRule type="expression" dxfId="2796" priority="4025">
      <formula>IF(AND($B80="",$C80=""),TRUE,FALSE)</formula>
    </cfRule>
  </conditionalFormatting>
  <conditionalFormatting sqref="F80">
    <cfRule type="expression" dxfId="2795" priority="4022">
      <formula>IF(AND($B80="",$C80="",LEN($A80)&lt;=2),TRUE,FALSE)</formula>
    </cfRule>
    <cfRule type="expression" dxfId="2794" priority="4023">
      <formula>IF(AND($B80="",$C80=""),TRUE,FALSE)</formula>
    </cfRule>
  </conditionalFormatting>
  <conditionalFormatting sqref="D80">
    <cfRule type="expression" dxfId="2793" priority="4018">
      <formula>IF(AND($B80="",$C80="",LEN($A80)&lt;=2),TRUE,FALSE)</formula>
    </cfRule>
    <cfRule type="expression" dxfId="2792" priority="4019">
      <formula>IF(AND($B80="",$C80=""),TRUE,FALSE)</formula>
    </cfRule>
  </conditionalFormatting>
  <conditionalFormatting sqref="D80">
    <cfRule type="expression" dxfId="2791" priority="4016">
      <formula>IF(AND($B80="",$C80="",LEN($A80)&lt;=2),TRUE,FALSE)</formula>
    </cfRule>
    <cfRule type="expression" dxfId="2790" priority="4017">
      <formula>IF(AND($B80="",$C80=""),TRUE,FALSE)</formula>
    </cfRule>
  </conditionalFormatting>
  <conditionalFormatting sqref="G80">
    <cfRule type="expression" dxfId="2789" priority="4014">
      <formula>IF(AND($B80="",$C80="",LEN($A80)&lt;=2),TRUE,FALSE)</formula>
    </cfRule>
    <cfRule type="expression" dxfId="2788" priority="4015">
      <formula>IF(AND($B80="",$C80=""),TRUE,FALSE)</formula>
    </cfRule>
  </conditionalFormatting>
  <conditionalFormatting sqref="E80">
    <cfRule type="expression" dxfId="2787" priority="4012">
      <formula>IF(AND($B80="",$C80="",LEN($A80)&lt;=2),TRUE,FALSE)</formula>
    </cfRule>
    <cfRule type="expression" dxfId="2786" priority="4013">
      <formula>IF(AND($B80="",$C80=""),TRUE,FALSE)</formula>
    </cfRule>
  </conditionalFormatting>
  <conditionalFormatting sqref="C81 H81:I81">
    <cfRule type="expression" dxfId="2785" priority="4008">
      <formula>IF(AND($B81="",$C81="",LEN($A81)&lt;=2),TRUE,FALSE)</formula>
    </cfRule>
    <cfRule type="expression" dxfId="2784" priority="4009">
      <formula>IF(AND($B81="",$C81=""),TRUE,FALSE)</formula>
    </cfRule>
  </conditionalFormatting>
  <conditionalFormatting sqref="C81">
    <cfRule type="expression" dxfId="2783" priority="4010">
      <formula>IF((COUNTIF(#REF!,#REF!))&gt;1,TRUE,FALSE)</formula>
    </cfRule>
  </conditionalFormatting>
  <conditionalFormatting sqref="F81">
    <cfRule type="expression" dxfId="2782" priority="4006">
      <formula>IF(AND($B81="",$C81="",LEN($A81)&lt;=2),TRUE,FALSE)</formula>
    </cfRule>
    <cfRule type="expression" dxfId="2781" priority="4007">
      <formula>IF(AND($B81="",$C81=""),TRUE,FALSE)</formula>
    </cfRule>
  </conditionalFormatting>
  <conditionalFormatting sqref="D81">
    <cfRule type="expression" dxfId="2780" priority="4002">
      <formula>IF(AND($B81="",$C81="",LEN($A81)&lt;=2),TRUE,FALSE)</formula>
    </cfRule>
    <cfRule type="expression" dxfId="2779" priority="4003">
      <formula>IF(AND($B81="",$C81=""),TRUE,FALSE)</formula>
    </cfRule>
  </conditionalFormatting>
  <conditionalFormatting sqref="D81">
    <cfRule type="expression" dxfId="2778" priority="4000">
      <formula>IF(AND($B81="",$C81="",LEN($A81)&lt;=2),TRUE,FALSE)</formula>
    </cfRule>
    <cfRule type="expression" dxfId="2777" priority="4001">
      <formula>IF(AND($B81="",$C81=""),TRUE,FALSE)</formula>
    </cfRule>
  </conditionalFormatting>
  <conditionalFormatting sqref="G81">
    <cfRule type="expression" dxfId="2776" priority="3998">
      <formula>IF(AND($B81="",$C81="",LEN($A81)&lt;=2),TRUE,FALSE)</formula>
    </cfRule>
    <cfRule type="expression" dxfId="2775" priority="3999">
      <formula>IF(AND($B81="",$C81=""),TRUE,FALSE)</formula>
    </cfRule>
  </conditionalFormatting>
  <conditionalFormatting sqref="E81">
    <cfRule type="expression" dxfId="2774" priority="3996">
      <formula>IF(AND($B81="",$C81="",LEN($A81)&lt;=2),TRUE,FALSE)</formula>
    </cfRule>
    <cfRule type="expression" dxfId="2773" priority="3997">
      <formula>IF(AND($B81="",$C81=""),TRUE,FALSE)</formula>
    </cfRule>
  </conditionalFormatting>
  <conditionalFormatting sqref="C151 H151:I151">
    <cfRule type="expression" dxfId="2772" priority="3911">
      <formula>IF(AND($B151="",$C151="",LEN($A151)&lt;=2),TRUE,FALSE)</formula>
    </cfRule>
    <cfRule type="expression" dxfId="2771" priority="3912">
      <formula>IF(AND($B151="",$C151=""),TRUE,FALSE)</formula>
    </cfRule>
  </conditionalFormatting>
  <conditionalFormatting sqref="C151">
    <cfRule type="expression" dxfId="2770" priority="3913">
      <formula>IF((COUNTIF(#REF!,#REF!))&gt;1,TRUE,FALSE)</formula>
    </cfRule>
  </conditionalFormatting>
  <conditionalFormatting sqref="F151">
    <cfRule type="expression" dxfId="2769" priority="3909">
      <formula>IF(AND($B151="",$C151="",LEN($A151)&lt;=2),TRUE,FALSE)</formula>
    </cfRule>
    <cfRule type="expression" dxfId="2768" priority="3910">
      <formula>IF(AND($B151="",$C151=""),TRUE,FALSE)</formula>
    </cfRule>
  </conditionalFormatting>
  <conditionalFormatting sqref="D151">
    <cfRule type="expression" dxfId="2767" priority="3903">
      <formula>IF(AND($B151="",$C151="",LEN($A151)&lt;=2),TRUE,FALSE)</formula>
    </cfRule>
    <cfRule type="expression" dxfId="2766" priority="3904">
      <formula>IF(AND($B151="",$C151=""),TRUE,FALSE)</formula>
    </cfRule>
  </conditionalFormatting>
  <conditionalFormatting sqref="D151">
    <cfRule type="expression" dxfId="2765" priority="3901">
      <formula>IF(AND($B151="",$C151="",LEN($A151)&lt;=2),TRUE,FALSE)</formula>
    </cfRule>
    <cfRule type="expression" dxfId="2764" priority="3902">
      <formula>IF(AND($B151="",$C151=""),TRUE,FALSE)</formula>
    </cfRule>
  </conditionalFormatting>
  <conditionalFormatting sqref="G151">
    <cfRule type="expression" dxfId="2763" priority="3899">
      <formula>IF(AND($B151="",$C151="",LEN($A151)&lt;=2),TRUE,FALSE)</formula>
    </cfRule>
    <cfRule type="expression" dxfId="2762" priority="3900">
      <formula>IF(AND($B151="",$C151=""),TRUE,FALSE)</formula>
    </cfRule>
  </conditionalFormatting>
  <conditionalFormatting sqref="E151">
    <cfRule type="expression" dxfId="2761" priority="3897">
      <formula>IF(AND($B151="",$C151="",LEN($A151)&lt;=2),TRUE,FALSE)</formula>
    </cfRule>
    <cfRule type="expression" dxfId="2760" priority="3898">
      <formula>IF(AND($B151="",$C151=""),TRUE,FALSE)</formula>
    </cfRule>
  </conditionalFormatting>
  <conditionalFormatting sqref="B151">
    <cfRule type="expression" dxfId="2759" priority="3895">
      <formula>IF(AND($B151="",$C151="",LEN($A151)&lt;=2),TRUE,FALSE)</formula>
    </cfRule>
    <cfRule type="expression" dxfId="2758" priority="3896">
      <formula>IF(AND($B151="",$C151=""),TRUE,FALSE)</formula>
    </cfRule>
  </conditionalFormatting>
  <conditionalFormatting sqref="C180 H180:I180">
    <cfRule type="expression" dxfId="2757" priority="3891">
      <formula>IF(AND($B180="",$C180="",LEN($A180)&lt;=2),TRUE,FALSE)</formula>
    </cfRule>
    <cfRule type="expression" dxfId="2756" priority="3892">
      <formula>IF(AND($B180="",$C180=""),TRUE,FALSE)</formula>
    </cfRule>
  </conditionalFormatting>
  <conditionalFormatting sqref="C180">
    <cfRule type="expression" dxfId="2755" priority="3893">
      <formula>IF((COUNTIF(#REF!,#REF!))&gt;1,TRUE,FALSE)</formula>
    </cfRule>
  </conditionalFormatting>
  <conditionalFormatting sqref="F180">
    <cfRule type="expression" dxfId="2754" priority="3889">
      <formula>IF(AND($B180="",$C180="",LEN($A180)&lt;=2),TRUE,FALSE)</formula>
    </cfRule>
    <cfRule type="expression" dxfId="2753" priority="3890">
      <formula>IF(AND($B180="",$C180=""),TRUE,FALSE)</formula>
    </cfRule>
  </conditionalFormatting>
  <conditionalFormatting sqref="D180">
    <cfRule type="expression" dxfId="2752" priority="3883">
      <formula>IF(AND($B180="",$C180="",LEN($A180)&lt;=2),TRUE,FALSE)</formula>
    </cfRule>
    <cfRule type="expression" dxfId="2751" priority="3884">
      <formula>IF(AND($B180="",$C180=""),TRUE,FALSE)</formula>
    </cfRule>
  </conditionalFormatting>
  <conditionalFormatting sqref="D180">
    <cfRule type="expression" dxfId="2750" priority="3881">
      <formula>IF(AND($B180="",$C180="",LEN($A180)&lt;=2),TRUE,FALSE)</formula>
    </cfRule>
    <cfRule type="expression" dxfId="2749" priority="3882">
      <formula>IF(AND($B180="",$C180=""),TRUE,FALSE)</formula>
    </cfRule>
  </conditionalFormatting>
  <conditionalFormatting sqref="G180">
    <cfRule type="expression" dxfId="2748" priority="3879">
      <formula>IF(AND($B180="",$C180="",LEN($A180)&lt;=2),TRUE,FALSE)</formula>
    </cfRule>
    <cfRule type="expression" dxfId="2747" priority="3880">
      <formula>IF(AND($B180="",$C180=""),TRUE,FALSE)</formula>
    </cfRule>
  </conditionalFormatting>
  <conditionalFormatting sqref="E180">
    <cfRule type="expression" dxfId="2746" priority="3877">
      <formula>IF(AND($B180="",$C180="",LEN($A180)&lt;=2),TRUE,FALSE)</formula>
    </cfRule>
    <cfRule type="expression" dxfId="2745" priority="3878">
      <formula>IF(AND($B180="",$C180=""),TRUE,FALSE)</formula>
    </cfRule>
  </conditionalFormatting>
  <conditionalFormatting sqref="B179:B180">
    <cfRule type="expression" dxfId="2744" priority="3875">
      <formula>IF(AND($B179="",$C179="",LEN($A179)&lt;=2),TRUE,FALSE)</formula>
    </cfRule>
    <cfRule type="expression" dxfId="2743" priority="3876">
      <formula>IF(AND($B179="",$C179=""),TRUE,FALSE)</formula>
    </cfRule>
  </conditionalFormatting>
  <conditionalFormatting sqref="C187 H187:I187 C189 C191">
    <cfRule type="expression" dxfId="2742" priority="3871">
      <formula>IF(AND($B187="",$C187="",LEN($A187)&lt;=2),TRUE,FALSE)</formula>
    </cfRule>
    <cfRule type="expression" dxfId="2741" priority="3872">
      <formula>IF(AND($B187="",$C187=""),TRUE,FALSE)</formula>
    </cfRule>
  </conditionalFormatting>
  <conditionalFormatting sqref="C187 C189 C191">
    <cfRule type="expression" dxfId="2740" priority="3873">
      <formula>IF((COUNTIF(#REF!,#REF!))&gt;1,TRUE,FALSE)</formula>
    </cfRule>
  </conditionalFormatting>
  <conditionalFormatting sqref="F187">
    <cfRule type="expression" dxfId="2739" priority="3869">
      <formula>IF(AND($B187="",$C187="",LEN($A187)&lt;=2),TRUE,FALSE)</formula>
    </cfRule>
    <cfRule type="expression" dxfId="2738" priority="3870">
      <formula>IF(AND($B187="",$C187=""),TRUE,FALSE)</formula>
    </cfRule>
  </conditionalFormatting>
  <conditionalFormatting sqref="D187">
    <cfRule type="expression" dxfId="2737" priority="3863">
      <formula>IF(AND($B187="",$C187="",LEN($A187)&lt;=2),TRUE,FALSE)</formula>
    </cfRule>
    <cfRule type="expression" dxfId="2736" priority="3864">
      <formula>IF(AND($B187="",$C187=""),TRUE,FALSE)</formula>
    </cfRule>
  </conditionalFormatting>
  <conditionalFormatting sqref="D187">
    <cfRule type="expression" dxfId="2735" priority="3861">
      <formula>IF(AND($B187="",$C187="",LEN($A187)&lt;=2),TRUE,FALSE)</formula>
    </cfRule>
    <cfRule type="expression" dxfId="2734" priority="3862">
      <formula>IF(AND($B187="",$C187=""),TRUE,FALSE)</formula>
    </cfRule>
  </conditionalFormatting>
  <conditionalFormatting sqref="G187">
    <cfRule type="expression" dxfId="2733" priority="3859">
      <formula>IF(AND($B187="",$C187="",LEN($A187)&lt;=2),TRUE,FALSE)</formula>
    </cfRule>
    <cfRule type="expression" dxfId="2732" priority="3860">
      <formula>IF(AND($B187="",$C187=""),TRUE,FALSE)</formula>
    </cfRule>
  </conditionalFormatting>
  <conditionalFormatting sqref="E187">
    <cfRule type="expression" dxfId="2731" priority="3857">
      <formula>IF(AND($B187="",$C187="",LEN($A187)&lt;=2),TRUE,FALSE)</formula>
    </cfRule>
    <cfRule type="expression" dxfId="2730" priority="3858">
      <formula>IF(AND($B187="",$C187=""),TRUE,FALSE)</formula>
    </cfRule>
  </conditionalFormatting>
  <conditionalFormatting sqref="B187">
    <cfRule type="expression" dxfId="2729" priority="3855">
      <formula>IF(AND($B187="",$C187="",LEN($A187)&lt;=2),TRUE,FALSE)</formula>
    </cfRule>
    <cfRule type="expression" dxfId="2728" priority="3856">
      <formula>IF(AND($B187="",$C187=""),TRUE,FALSE)</formula>
    </cfRule>
  </conditionalFormatting>
  <conditionalFormatting sqref="B246:C246 H246:I246">
    <cfRule type="expression" dxfId="2727" priority="3848">
      <formula>IF(AND($B246="",$C246="",LEN($A246)&lt;=2),TRUE,FALSE)</formula>
    </cfRule>
    <cfRule type="expression" dxfId="2726" priority="3849">
      <formula>IF(AND($B246="",$C246=""),TRUE,FALSE)</formula>
    </cfRule>
  </conditionalFormatting>
  <conditionalFormatting sqref="C246">
    <cfRule type="expression" dxfId="2725" priority="3850">
      <formula>IF((COUNTIF(#REF!,#REF!))&gt;1,TRUE,FALSE)</formula>
    </cfRule>
  </conditionalFormatting>
  <conditionalFormatting sqref="F246">
    <cfRule type="expression" dxfId="2724" priority="3846">
      <formula>IF(AND($B246="",$C246="",LEN($A246)&lt;=2),TRUE,FALSE)</formula>
    </cfRule>
    <cfRule type="expression" dxfId="2723" priority="3847">
      <formula>IF(AND($B246="",$C246=""),TRUE,FALSE)</formula>
    </cfRule>
  </conditionalFormatting>
  <conditionalFormatting sqref="D246">
    <cfRule type="expression" dxfId="2722" priority="3842">
      <formula>IF(AND($B246="",$C246="",LEN($A246)&lt;=2),TRUE,FALSE)</formula>
    </cfRule>
    <cfRule type="expression" dxfId="2721" priority="3843">
      <formula>IF(AND($B246="",$C246=""),TRUE,FALSE)</formula>
    </cfRule>
  </conditionalFormatting>
  <conditionalFormatting sqref="D246">
    <cfRule type="expression" dxfId="2720" priority="3840">
      <formula>IF(AND($B246="",$C246="",LEN($A246)&lt;=2),TRUE,FALSE)</formula>
    </cfRule>
    <cfRule type="expression" dxfId="2719" priority="3841">
      <formula>IF(AND($B246="",$C246=""),TRUE,FALSE)</formula>
    </cfRule>
  </conditionalFormatting>
  <conditionalFormatting sqref="G246">
    <cfRule type="expression" dxfId="2718" priority="3838">
      <formula>IF(AND($B246="",$C246="",LEN($A246)&lt;=2),TRUE,FALSE)</formula>
    </cfRule>
    <cfRule type="expression" dxfId="2717" priority="3839">
      <formula>IF(AND($B246="",$C246=""),TRUE,FALSE)</formula>
    </cfRule>
  </conditionalFormatting>
  <conditionalFormatting sqref="E246">
    <cfRule type="expression" dxfId="2716" priority="3836">
      <formula>IF(AND($B246="",$C246="",LEN($A246)&lt;=2),TRUE,FALSE)</formula>
    </cfRule>
    <cfRule type="expression" dxfId="2715" priority="3837">
      <formula>IF(AND($B246="",$C246=""),TRUE,FALSE)</formula>
    </cfRule>
  </conditionalFormatting>
  <conditionalFormatting sqref="H88:I88 C88">
    <cfRule type="expression" dxfId="2714" priority="3829">
      <formula>IF(AND($B88="",$C88="",LEN($A88)&lt;=2),TRUE,FALSE)</formula>
    </cfRule>
    <cfRule type="expression" dxfId="2713" priority="3830">
      <formula>IF(AND($B88="",$C88=""),TRUE,FALSE)</formula>
    </cfRule>
  </conditionalFormatting>
  <conditionalFormatting sqref="C88">
    <cfRule type="expression" dxfId="2712" priority="3831">
      <formula>IF((COUNTIF(#REF!,#REF!))&gt;1,TRUE,FALSE)</formula>
    </cfRule>
  </conditionalFormatting>
  <conditionalFormatting sqref="F88">
    <cfRule type="expression" dxfId="2711" priority="3827">
      <formula>IF(AND($B88="",$C88="",LEN($A88)&lt;=2),TRUE,FALSE)</formula>
    </cfRule>
    <cfRule type="expression" dxfId="2710" priority="3828">
      <formula>IF(AND($B88="",$C88=""),TRUE,FALSE)</formula>
    </cfRule>
  </conditionalFormatting>
  <conditionalFormatting sqref="D88">
    <cfRule type="expression" dxfId="2709" priority="3821">
      <formula>IF(AND($B88="",$C88="",LEN($A88)&lt;=2),TRUE,FALSE)</formula>
    </cfRule>
    <cfRule type="expression" dxfId="2708" priority="3822">
      <formula>IF(AND($B88="",$C88=""),TRUE,FALSE)</formula>
    </cfRule>
  </conditionalFormatting>
  <conditionalFormatting sqref="D88">
    <cfRule type="expression" dxfId="2707" priority="3819">
      <formula>IF(AND($B88="",$C88="",LEN($A88)&lt;=2),TRUE,FALSE)</formula>
    </cfRule>
    <cfRule type="expression" dxfId="2706" priority="3820">
      <formula>IF(AND($B88="",$C88=""),TRUE,FALSE)</formula>
    </cfRule>
  </conditionalFormatting>
  <conditionalFormatting sqref="G88">
    <cfRule type="expression" dxfId="2705" priority="3817">
      <formula>IF(AND($B88="",$C88="",LEN($A88)&lt;=2),TRUE,FALSE)</formula>
    </cfRule>
    <cfRule type="expression" dxfId="2704" priority="3818">
      <formula>IF(AND($B88="",$C88=""),TRUE,FALSE)</formula>
    </cfRule>
  </conditionalFormatting>
  <conditionalFormatting sqref="E88">
    <cfRule type="expression" dxfId="2703" priority="3815">
      <formula>IF(AND($B88="",$C88="",LEN($A88)&lt;=2),TRUE,FALSE)</formula>
    </cfRule>
    <cfRule type="expression" dxfId="2702" priority="3816">
      <formula>IF(AND($B88="",$C88=""),TRUE,FALSE)</formula>
    </cfRule>
  </conditionalFormatting>
  <conditionalFormatting sqref="B88">
    <cfRule type="expression" dxfId="2701" priority="3813">
      <formula>IF(AND($B88="",$C88="",LEN($A88)&lt;=2),TRUE,FALSE)</formula>
    </cfRule>
    <cfRule type="expression" dxfId="2700" priority="3814">
      <formula>IF(AND($B88="",$C88=""),TRUE,FALSE)</formula>
    </cfRule>
  </conditionalFormatting>
  <conditionalFormatting sqref="B89:C89 H89:I89">
    <cfRule type="expression" dxfId="2699" priority="3809">
      <formula>IF(AND($B89="",$C89="",LEN($A89)&lt;=2),TRUE,FALSE)</formula>
    </cfRule>
    <cfRule type="expression" dxfId="2698" priority="3810">
      <formula>IF(AND($B89="",$C89=""),TRUE,FALSE)</formula>
    </cfRule>
  </conditionalFormatting>
  <conditionalFormatting sqref="C89">
    <cfRule type="expression" dxfId="2697" priority="3811">
      <formula>IF((COUNTIF(#REF!,#REF!))&gt;1,TRUE,FALSE)</formula>
    </cfRule>
  </conditionalFormatting>
  <conditionalFormatting sqref="F89">
    <cfRule type="expression" dxfId="2696" priority="3807">
      <formula>IF(AND($B89="",$C89="",LEN($A89)&lt;=2),TRUE,FALSE)</formula>
    </cfRule>
    <cfRule type="expression" dxfId="2695" priority="3808">
      <formula>IF(AND($B89="",$C89=""),TRUE,FALSE)</formula>
    </cfRule>
  </conditionalFormatting>
  <conditionalFormatting sqref="D89">
    <cfRule type="expression" dxfId="2694" priority="3801">
      <formula>IF(AND($B89="",$C89="",LEN($A89)&lt;=2),TRUE,FALSE)</formula>
    </cfRule>
    <cfRule type="expression" dxfId="2693" priority="3802">
      <formula>IF(AND($B89="",$C89=""),TRUE,FALSE)</formula>
    </cfRule>
  </conditionalFormatting>
  <conditionalFormatting sqref="D89">
    <cfRule type="expression" dxfId="2692" priority="3799">
      <formula>IF(AND($B89="",$C89="",LEN($A89)&lt;=2),TRUE,FALSE)</formula>
    </cfRule>
    <cfRule type="expression" dxfId="2691" priority="3800">
      <formula>IF(AND($B89="",$C89=""),TRUE,FALSE)</formula>
    </cfRule>
  </conditionalFormatting>
  <conditionalFormatting sqref="G89">
    <cfRule type="expression" dxfId="2690" priority="3797">
      <formula>IF(AND($B89="",$C89="",LEN($A89)&lt;=2),TRUE,FALSE)</formula>
    </cfRule>
    <cfRule type="expression" dxfId="2689" priority="3798">
      <formula>IF(AND($B89="",$C89=""),TRUE,FALSE)</formula>
    </cfRule>
  </conditionalFormatting>
  <conditionalFormatting sqref="E89">
    <cfRule type="expression" dxfId="2688" priority="3795">
      <formula>IF(AND($B89="",$C89="",LEN($A89)&lt;=2),TRUE,FALSE)</formula>
    </cfRule>
    <cfRule type="expression" dxfId="2687" priority="3796">
      <formula>IF(AND($B89="",$C89=""),TRUE,FALSE)</formula>
    </cfRule>
  </conditionalFormatting>
  <conditionalFormatting sqref="B90:C90 H90:I90">
    <cfRule type="expression" dxfId="2686" priority="3770">
      <formula>IF(AND($B90="",$C90="",LEN($A90)&lt;=2),TRUE,FALSE)</formula>
    </cfRule>
    <cfRule type="expression" dxfId="2685" priority="3771">
      <formula>IF(AND($B90="",$C90=""),TRUE,FALSE)</formula>
    </cfRule>
  </conditionalFormatting>
  <conditionalFormatting sqref="C90">
    <cfRule type="expression" dxfId="2684" priority="3772">
      <formula>IF((COUNTIF(#REF!,#REF!))&gt;1,TRUE,FALSE)</formula>
    </cfRule>
  </conditionalFormatting>
  <conditionalFormatting sqref="F90">
    <cfRule type="expression" dxfId="2683" priority="3768">
      <formula>IF(AND($B90="",$C90="",LEN($A90)&lt;=2),TRUE,FALSE)</formula>
    </cfRule>
    <cfRule type="expression" dxfId="2682" priority="3769">
      <formula>IF(AND($B90="",$C90=""),TRUE,FALSE)</formula>
    </cfRule>
  </conditionalFormatting>
  <conditionalFormatting sqref="D90">
    <cfRule type="expression" dxfId="2681" priority="3762">
      <formula>IF(AND($B90="",$C90="",LEN($A90)&lt;=2),TRUE,FALSE)</formula>
    </cfRule>
    <cfRule type="expression" dxfId="2680" priority="3763">
      <formula>IF(AND($B90="",$C90=""),TRUE,FALSE)</formula>
    </cfRule>
  </conditionalFormatting>
  <conditionalFormatting sqref="D90">
    <cfRule type="expression" dxfId="2679" priority="3760">
      <formula>IF(AND($B90="",$C90="",LEN($A90)&lt;=2),TRUE,FALSE)</formula>
    </cfRule>
    <cfRule type="expression" dxfId="2678" priority="3761">
      <formula>IF(AND($B90="",$C90=""),TRUE,FALSE)</formula>
    </cfRule>
  </conditionalFormatting>
  <conditionalFormatting sqref="G90">
    <cfRule type="expression" dxfId="2677" priority="3758">
      <formula>IF(AND($B90="",$C90="",LEN($A90)&lt;=2),TRUE,FALSE)</formula>
    </cfRule>
    <cfRule type="expression" dxfId="2676" priority="3759">
      <formula>IF(AND($B90="",$C90=""),TRUE,FALSE)</formula>
    </cfRule>
  </conditionalFormatting>
  <conditionalFormatting sqref="E90">
    <cfRule type="expression" dxfId="2675" priority="3756">
      <formula>IF(AND($B90="",$C90="",LEN($A90)&lt;=2),TRUE,FALSE)</formula>
    </cfRule>
    <cfRule type="expression" dxfId="2674" priority="3757">
      <formula>IF(AND($B90="",$C90=""),TRUE,FALSE)</formula>
    </cfRule>
  </conditionalFormatting>
  <conditionalFormatting sqref="B91">
    <cfRule type="expression" dxfId="2673" priority="3754">
      <formula>IF(AND($B91="",$C91="",LEN($A91)&lt;=2),TRUE,FALSE)</formula>
    </cfRule>
    <cfRule type="expression" dxfId="2672" priority="3755">
      <formula>IF(AND($B91="",$C91=""),TRUE,FALSE)</formula>
    </cfRule>
  </conditionalFormatting>
  <conditionalFormatting sqref="C91">
    <cfRule type="expression" dxfId="2671" priority="3751">
      <formula>IF(AND($B91="",$C91="",LEN($A91)&lt;=2),TRUE,FALSE)</formula>
    </cfRule>
    <cfRule type="expression" dxfId="2670" priority="3752">
      <formula>IF(AND($B91="",$C91=""),TRUE,FALSE)</formula>
    </cfRule>
  </conditionalFormatting>
  <conditionalFormatting sqref="C91">
    <cfRule type="expression" dxfId="2669" priority="3753">
      <formula>IF((COUNTIF(#REF!,#REF!))&gt;1,TRUE,FALSE)</formula>
    </cfRule>
  </conditionalFormatting>
  <conditionalFormatting sqref="B251:C251 H251:I251">
    <cfRule type="expression" dxfId="2668" priority="3727">
      <formula>IF(AND($B251="",$C251="",LEN($A251)&lt;=2),TRUE,FALSE)</formula>
    </cfRule>
    <cfRule type="expression" dxfId="2667" priority="3728">
      <formula>IF(AND($B251="",$C251=""),TRUE,FALSE)</formula>
    </cfRule>
  </conditionalFormatting>
  <conditionalFormatting sqref="C251">
    <cfRule type="expression" dxfId="2666" priority="3729">
      <formula>IF((COUNTIF(#REF!,#REF!))&gt;1,TRUE,FALSE)</formula>
    </cfRule>
  </conditionalFormatting>
  <conditionalFormatting sqref="F251">
    <cfRule type="expression" dxfId="2665" priority="3725">
      <formula>IF(AND($B251="",$C251="",LEN($A251)&lt;=2),TRUE,FALSE)</formula>
    </cfRule>
    <cfRule type="expression" dxfId="2664" priority="3726">
      <formula>IF(AND($B251="",$C251=""),TRUE,FALSE)</formula>
    </cfRule>
  </conditionalFormatting>
  <conditionalFormatting sqref="D251">
    <cfRule type="expression" dxfId="2663" priority="3721">
      <formula>IF(AND($B251="",$C251="",LEN($A251)&lt;=2),TRUE,FALSE)</formula>
    </cfRule>
    <cfRule type="expression" dxfId="2662" priority="3722">
      <formula>IF(AND($B251="",$C251=""),TRUE,FALSE)</formula>
    </cfRule>
  </conditionalFormatting>
  <conditionalFormatting sqref="D251">
    <cfRule type="expression" dxfId="2661" priority="3719">
      <formula>IF(AND($B251="",$C251="",LEN($A251)&lt;=2),TRUE,FALSE)</formula>
    </cfRule>
    <cfRule type="expression" dxfId="2660" priority="3720">
      <formula>IF(AND($B251="",$C251=""),TRUE,FALSE)</formula>
    </cfRule>
  </conditionalFormatting>
  <conditionalFormatting sqref="G251">
    <cfRule type="expression" dxfId="2659" priority="3717">
      <formula>IF(AND($B251="",$C251="",LEN($A251)&lt;=2),TRUE,FALSE)</formula>
    </cfRule>
    <cfRule type="expression" dxfId="2658" priority="3718">
      <formula>IF(AND($B251="",$C251=""),TRUE,FALSE)</formula>
    </cfRule>
  </conditionalFormatting>
  <conditionalFormatting sqref="E251">
    <cfRule type="expression" dxfId="2657" priority="3715">
      <formula>IF(AND($B251="",$C251="",LEN($A251)&lt;=2),TRUE,FALSE)</formula>
    </cfRule>
    <cfRule type="expression" dxfId="2656" priority="3716">
      <formula>IF(AND($B251="",$C251=""),TRUE,FALSE)</formula>
    </cfRule>
  </conditionalFormatting>
  <conditionalFormatting sqref="H272:I272">
    <cfRule type="expression" dxfId="2655" priority="3690">
      <formula>IF(AND($B272="",$C272="",LEN($A272)&lt;=2),TRUE,FALSE)</formula>
    </cfRule>
    <cfRule type="expression" dxfId="2654" priority="3691">
      <formula>IF(AND($B272="",$C272=""),TRUE,FALSE)</formula>
    </cfRule>
  </conditionalFormatting>
  <conditionalFormatting sqref="F272">
    <cfRule type="expression" dxfId="2653" priority="3688">
      <formula>IF(AND($B272="",$C272="",LEN($A272)&lt;=2),TRUE,FALSE)</formula>
    </cfRule>
    <cfRule type="expression" dxfId="2652" priority="3689">
      <formula>IF(AND($B272="",$C272=""),TRUE,FALSE)</formula>
    </cfRule>
  </conditionalFormatting>
  <conditionalFormatting sqref="C272">
    <cfRule type="expression" dxfId="2651" priority="3685">
      <formula>IF(AND($B272="",$C272="",LEN($A272)&lt;=2),TRUE,FALSE)</formula>
    </cfRule>
    <cfRule type="expression" dxfId="2650" priority="3686">
      <formula>IF(AND($B272="",$C272=""),TRUE,FALSE)</formula>
    </cfRule>
  </conditionalFormatting>
  <conditionalFormatting sqref="C272">
    <cfRule type="expression" dxfId="2649" priority="3687">
      <formula>IF((COUNTIF(#REF!,#REF!))&gt;1,TRUE,FALSE)</formula>
    </cfRule>
  </conditionalFormatting>
  <conditionalFormatting sqref="B272">
    <cfRule type="expression" dxfId="2648" priority="3683">
      <formula>IF(AND($B272="",$C272="",LEN($A272)&lt;=2),TRUE,FALSE)</formula>
    </cfRule>
    <cfRule type="expression" dxfId="2647" priority="3684">
      <formula>IF(AND($B272="",$C272=""),TRUE,FALSE)</formula>
    </cfRule>
  </conditionalFormatting>
  <conditionalFormatting sqref="B272">
    <cfRule type="expression" dxfId="2646" priority="3681">
      <formula>IF(AND($B272="",$C272="",LEN($A272)&lt;=2),TRUE,FALSE)</formula>
    </cfRule>
    <cfRule type="expression" dxfId="2645" priority="3682">
      <formula>IF(AND($B272="",$C272=""),TRUE,FALSE)</formula>
    </cfRule>
  </conditionalFormatting>
  <conditionalFormatting sqref="D272">
    <cfRule type="expression" dxfId="2644" priority="3679">
      <formula>IF(AND($B272="",$C272="",LEN($A272)&lt;=2),TRUE,FALSE)</formula>
    </cfRule>
    <cfRule type="expression" dxfId="2643" priority="3680">
      <formula>IF(AND($B272="",$C272=""),TRUE,FALSE)</formula>
    </cfRule>
  </conditionalFormatting>
  <conditionalFormatting sqref="D272">
    <cfRule type="expression" dxfId="2642" priority="3677">
      <formula>IF(AND($B272="",$C272="",LEN($A272)&lt;=2),TRUE,FALSE)</formula>
    </cfRule>
    <cfRule type="expression" dxfId="2641" priority="3678">
      <formula>IF(AND($B272="",$C272=""),TRUE,FALSE)</formula>
    </cfRule>
  </conditionalFormatting>
  <conditionalFormatting sqref="G272 G276">
    <cfRule type="expression" dxfId="2640" priority="3675">
      <formula>IF(AND($B272="",$C272="",LEN($A272)&lt;=2),TRUE,FALSE)</formula>
    </cfRule>
    <cfRule type="expression" dxfId="2639" priority="3676">
      <formula>IF(AND($B272="",$C272=""),TRUE,FALSE)</formula>
    </cfRule>
  </conditionalFormatting>
  <conditionalFormatting sqref="E272">
    <cfRule type="expression" dxfId="2638" priority="3673">
      <formula>IF(AND($B272="",$C272="",LEN($A272)&lt;=2),TRUE,FALSE)</formula>
    </cfRule>
    <cfRule type="expression" dxfId="2637" priority="3674">
      <formula>IF(AND($B272="",$C272=""),TRUE,FALSE)</formula>
    </cfRule>
  </conditionalFormatting>
  <conditionalFormatting sqref="H290:I290">
    <cfRule type="expression" dxfId="2636" priority="3667">
      <formula>IF(AND($B290="",$C290="",LEN($A290)&lt;=2),TRUE,FALSE)</formula>
    </cfRule>
    <cfRule type="expression" dxfId="2635" priority="3668">
      <formula>IF(AND($B290="",$C290=""),TRUE,FALSE)</formula>
    </cfRule>
  </conditionalFormatting>
  <conditionalFormatting sqref="F290">
    <cfRule type="expression" dxfId="2634" priority="3665">
      <formula>IF(AND($B290="",$C290="",LEN($A290)&lt;=2),TRUE,FALSE)</formula>
    </cfRule>
    <cfRule type="expression" dxfId="2633" priority="3666">
      <formula>IF(AND($B290="",$C290=""),TRUE,FALSE)</formula>
    </cfRule>
  </conditionalFormatting>
  <conditionalFormatting sqref="D290">
    <cfRule type="expression" dxfId="2632" priority="3659">
      <formula>IF(AND($B290="",$C290="",LEN($A290)&lt;=2),TRUE,FALSE)</formula>
    </cfRule>
    <cfRule type="expression" dxfId="2631" priority="3660">
      <formula>IF(AND($B290="",$C290=""),TRUE,FALSE)</formula>
    </cfRule>
  </conditionalFormatting>
  <conditionalFormatting sqref="D290">
    <cfRule type="expression" dxfId="2630" priority="3657">
      <formula>IF(AND($B290="",$C290="",LEN($A290)&lt;=2),TRUE,FALSE)</formula>
    </cfRule>
    <cfRule type="expression" dxfId="2629" priority="3658">
      <formula>IF(AND($B290="",$C290=""),TRUE,FALSE)</formula>
    </cfRule>
  </conditionalFormatting>
  <conditionalFormatting sqref="G290">
    <cfRule type="expression" dxfId="2628" priority="3655">
      <formula>IF(AND($B290="",$C290="",LEN($A290)&lt;=2),TRUE,FALSE)</formula>
    </cfRule>
    <cfRule type="expression" dxfId="2627" priority="3656">
      <formula>IF(AND($B290="",$C290=""),TRUE,FALSE)</formula>
    </cfRule>
  </conditionalFormatting>
  <conditionalFormatting sqref="E290">
    <cfRule type="expression" dxfId="2626" priority="3653">
      <formula>IF(AND($B290="",$C290="",LEN($A290)&lt;=2),TRUE,FALSE)</formula>
    </cfRule>
    <cfRule type="expression" dxfId="2625" priority="3654">
      <formula>IF(AND($B290="",$C290=""),TRUE,FALSE)</formula>
    </cfRule>
  </conditionalFormatting>
  <conditionalFormatting sqref="C290">
    <cfRule type="expression" dxfId="2624" priority="3650">
      <formula>IF(AND($B290="",$C290="",LEN($A290)&lt;=2),TRUE,FALSE)</formula>
    </cfRule>
    <cfRule type="expression" dxfId="2623" priority="3651">
      <formula>IF(AND($B290="",$C290=""),TRUE,FALSE)</formula>
    </cfRule>
  </conditionalFormatting>
  <conditionalFormatting sqref="C290">
    <cfRule type="expression" dxfId="2622" priority="3652">
      <formula>IF((COUNTIF(#REF!,#REF!))&gt;1,TRUE,FALSE)</formula>
    </cfRule>
  </conditionalFormatting>
  <conditionalFormatting sqref="B290">
    <cfRule type="expression" dxfId="2621" priority="3648">
      <formula>IF(AND($B290="",$C290="",LEN($A290)&lt;=2),TRUE,FALSE)</formula>
    </cfRule>
    <cfRule type="expression" dxfId="2620" priority="3649">
      <formula>IF(AND($B290="",$C290=""),TRUE,FALSE)</formula>
    </cfRule>
  </conditionalFormatting>
  <conditionalFormatting sqref="B293:C293">
    <cfRule type="expression" dxfId="2619" priority="3645">
      <formula>IF(AND($B293="",$C293="",LEN($A293)&lt;=2),TRUE,FALSE)</formula>
    </cfRule>
    <cfRule type="expression" dxfId="2618" priority="3646">
      <formula>IF(AND($B293="",$C293=""),TRUE,FALSE)</formula>
    </cfRule>
  </conditionalFormatting>
  <conditionalFormatting sqref="C293">
    <cfRule type="expression" dxfId="2617" priority="3647">
      <formula>IF((COUNTIF(#REF!,#REF!))&gt;1,TRUE,FALSE)</formula>
    </cfRule>
  </conditionalFormatting>
  <conditionalFormatting sqref="H273:I273">
    <cfRule type="expression" dxfId="2616" priority="3641">
      <formula>IF(AND($B273="",$C273="",LEN($A273)&lt;=2),TRUE,FALSE)</formula>
    </cfRule>
    <cfRule type="expression" dxfId="2615" priority="3642">
      <formula>IF(AND($B273="",$C273=""),TRUE,FALSE)</formula>
    </cfRule>
  </conditionalFormatting>
  <conditionalFormatting sqref="F273">
    <cfRule type="expression" dxfId="2614" priority="3639">
      <formula>IF(AND($B273="",$C273="",LEN($A273)&lt;=2),TRUE,FALSE)</formula>
    </cfRule>
    <cfRule type="expression" dxfId="2613" priority="3640">
      <formula>IF(AND($B273="",$C273=""),TRUE,FALSE)</formula>
    </cfRule>
  </conditionalFormatting>
  <conditionalFormatting sqref="C273">
    <cfRule type="expression" dxfId="2612" priority="3636">
      <formula>IF(AND($B273="",$C273="",LEN($A273)&lt;=2),TRUE,FALSE)</formula>
    </cfRule>
    <cfRule type="expression" dxfId="2611" priority="3637">
      <formula>IF(AND($B273="",$C273=""),TRUE,FALSE)</formula>
    </cfRule>
  </conditionalFormatting>
  <conditionalFormatting sqref="C273">
    <cfRule type="expression" dxfId="2610" priority="3638">
      <formula>IF((COUNTIF(#REF!,#REF!))&gt;1,TRUE,FALSE)</formula>
    </cfRule>
  </conditionalFormatting>
  <conditionalFormatting sqref="B273">
    <cfRule type="expression" dxfId="2609" priority="3634">
      <formula>IF(AND($B273="",$C273="",LEN($A273)&lt;=2),TRUE,FALSE)</formula>
    </cfRule>
    <cfRule type="expression" dxfId="2608" priority="3635">
      <formula>IF(AND($B273="",$C273=""),TRUE,FALSE)</formula>
    </cfRule>
  </conditionalFormatting>
  <conditionalFormatting sqref="B273">
    <cfRule type="expression" dxfId="2607" priority="3632">
      <formula>IF(AND($B273="",$C273="",LEN($A273)&lt;=2),TRUE,FALSE)</formula>
    </cfRule>
    <cfRule type="expression" dxfId="2606" priority="3633">
      <formula>IF(AND($B273="",$C273=""),TRUE,FALSE)</formula>
    </cfRule>
  </conditionalFormatting>
  <conditionalFormatting sqref="D273">
    <cfRule type="expression" dxfId="2605" priority="3630">
      <formula>IF(AND($B273="",$C273="",LEN($A273)&lt;=2),TRUE,FALSE)</formula>
    </cfRule>
    <cfRule type="expression" dxfId="2604" priority="3631">
      <formula>IF(AND($B273="",$C273=""),TRUE,FALSE)</formula>
    </cfRule>
  </conditionalFormatting>
  <conditionalFormatting sqref="D273">
    <cfRule type="expression" dxfId="2603" priority="3628">
      <formula>IF(AND($B273="",$C273="",LEN($A273)&lt;=2),TRUE,FALSE)</formula>
    </cfRule>
    <cfRule type="expression" dxfId="2602" priority="3629">
      <formula>IF(AND($B273="",$C273=""),TRUE,FALSE)</formula>
    </cfRule>
  </conditionalFormatting>
  <conditionalFormatting sqref="E273">
    <cfRule type="expression" dxfId="2601" priority="3626">
      <formula>IF(AND($B273="",$C273="",LEN($A273)&lt;=2),TRUE,FALSE)</formula>
    </cfRule>
    <cfRule type="expression" dxfId="2600" priority="3627">
      <formula>IF(AND($B273="",$C273=""),TRUE,FALSE)</formula>
    </cfRule>
  </conditionalFormatting>
  <conditionalFormatting sqref="G273">
    <cfRule type="expression" dxfId="2599" priority="3623">
      <formula>IF(AND($B273="",$C273="",LEN($A273)&lt;=2),TRUE,FALSE)</formula>
    </cfRule>
    <cfRule type="expression" dxfId="2598" priority="3624">
      <formula>IF(AND($B273="",$C273=""),TRUE,FALSE)</formula>
    </cfRule>
  </conditionalFormatting>
  <conditionalFormatting sqref="D286:E286 G286">
    <cfRule type="expression" dxfId="2597" priority="3620">
      <formula>IF(AND($B286="",$C286="",LEN($A286)&lt;=2),TRUE,FALSE)</formula>
    </cfRule>
    <cfRule type="expression" dxfId="2596" priority="3621">
      <formula>IF(AND($B286="",$C286=""),TRUE,FALSE)</formula>
    </cfRule>
  </conditionalFormatting>
  <conditionalFormatting sqref="H286:I286">
    <cfRule type="expression" dxfId="2595" priority="3616">
      <formula>IF(AND($B286="",$C286="",LEN($A286)&lt;=2),TRUE,FALSE)</formula>
    </cfRule>
    <cfRule type="expression" dxfId="2594" priority="3617">
      <formula>IF(AND($B286="",$C286=""),TRUE,FALSE)</formula>
    </cfRule>
  </conditionalFormatting>
  <conditionalFormatting sqref="F286">
    <cfRule type="expression" dxfId="2593" priority="3614">
      <formula>IF(AND($B286="",$C286="",LEN($A286)&lt;=2),TRUE,FALSE)</formula>
    </cfRule>
    <cfRule type="expression" dxfId="2592" priority="3615">
      <formula>IF(AND($B286="",$C286=""),TRUE,FALSE)</formula>
    </cfRule>
  </conditionalFormatting>
  <conditionalFormatting sqref="B81">
    <cfRule type="expression" dxfId="2591" priority="3609">
      <formula>IF(AND($B81="",$C81="",LEN($A81)&lt;=2),TRUE,FALSE)</formula>
    </cfRule>
    <cfRule type="expression" dxfId="2590" priority="3610">
      <formula>IF(AND($B81="",$C81=""),TRUE,FALSE)</formula>
    </cfRule>
  </conditionalFormatting>
  <conditionalFormatting sqref="H268:I268">
    <cfRule type="expression" dxfId="2589" priority="3580">
      <formula>IF(AND($B268="",$C268="",LEN($A268)&lt;=2),TRUE,FALSE)</formula>
    </cfRule>
    <cfRule type="expression" dxfId="2588" priority="3581">
      <formula>IF(AND($B268="",$C268=""),TRUE,FALSE)</formula>
    </cfRule>
  </conditionalFormatting>
  <conditionalFormatting sqref="F268">
    <cfRule type="expression" dxfId="2587" priority="3578">
      <formula>IF(AND($B268="",$C268="",LEN($A268)&lt;=2),TRUE,FALSE)</formula>
    </cfRule>
    <cfRule type="expression" dxfId="2586" priority="3579">
      <formula>IF(AND($B268="",$C268=""),TRUE,FALSE)</formula>
    </cfRule>
  </conditionalFormatting>
  <conditionalFormatting sqref="E268">
    <cfRule type="expression" dxfId="2585" priority="3576">
      <formula>IF(AND($B268="",$C268="",LEN($A268)&lt;=2),TRUE,FALSE)</formula>
    </cfRule>
    <cfRule type="expression" dxfId="2584" priority="3577">
      <formula>IF(AND($B268="",$C268=""),TRUE,FALSE)</formula>
    </cfRule>
  </conditionalFormatting>
  <conditionalFormatting sqref="G268">
    <cfRule type="expression" dxfId="2583" priority="3574">
      <formula>IF(AND($B268="",$C268="",LEN($A268)&lt;=2),TRUE,FALSE)</formula>
    </cfRule>
    <cfRule type="expression" dxfId="2582" priority="3575">
      <formula>IF(AND($B268="",$C268=""),TRUE,FALSE)</formula>
    </cfRule>
  </conditionalFormatting>
  <conditionalFormatting sqref="D240:E240 G240">
    <cfRule type="expression" dxfId="2581" priority="3561">
      <formula>IF(AND($B240="",$C240="",LEN($A240)&lt;=2),TRUE,FALSE)</formula>
    </cfRule>
    <cfRule type="expression" dxfId="2580" priority="3562">
      <formula>IF(AND($B240="",$C240=""),TRUE,FALSE)</formula>
    </cfRule>
  </conditionalFormatting>
  <conditionalFormatting sqref="B240:C240 H240:I240">
    <cfRule type="expression" dxfId="2579" priority="3558">
      <formula>IF(AND($B240="",$C240="",LEN($A240)&lt;=2),TRUE,FALSE)</formula>
    </cfRule>
    <cfRule type="expression" dxfId="2578" priority="3559">
      <formula>IF(AND($B240="",$C240=""),TRUE,FALSE)</formula>
    </cfRule>
  </conditionalFormatting>
  <conditionalFormatting sqref="C240">
    <cfRule type="expression" dxfId="2577" priority="3560">
      <formula>IF((COUNTIF(#REF!,#REF!))&gt;1,TRUE,FALSE)</formula>
    </cfRule>
  </conditionalFormatting>
  <conditionalFormatting sqref="F240">
    <cfRule type="expression" dxfId="2576" priority="3556">
      <formula>IF(AND($B240="",$C240="",LEN($A240)&lt;=2),TRUE,FALSE)</formula>
    </cfRule>
    <cfRule type="expression" dxfId="2575" priority="3557">
      <formula>IF(AND($B240="",$C240=""),TRUE,FALSE)</formula>
    </cfRule>
  </conditionalFormatting>
  <conditionalFormatting sqref="G70 D70:E70">
    <cfRule type="expression" dxfId="2574" priority="3553">
      <formula>IF(AND($B70="",$C70="",LEN($A70)&lt;=2),TRUE,FALSE)</formula>
    </cfRule>
    <cfRule type="expression" dxfId="2573" priority="3554">
      <formula>IF(AND($B70="",$C70=""),TRUE,FALSE)</formula>
    </cfRule>
  </conditionalFormatting>
  <conditionalFormatting sqref="B70:C70 H70:I70">
    <cfRule type="expression" dxfId="2572" priority="3549">
      <formula>IF(AND($B70="",$C70="",LEN($A70)&lt;=2),TRUE,FALSE)</formula>
    </cfRule>
    <cfRule type="expression" dxfId="2571" priority="3550">
      <formula>IF(AND($B70="",$C70=""),TRUE,FALSE)</formula>
    </cfRule>
  </conditionalFormatting>
  <conditionalFormatting sqref="C70">
    <cfRule type="expression" dxfId="2570" priority="3548">
      <formula>IF((COUNTIF(#REF!,#REF!))&gt;1,TRUE,FALSE)</formula>
    </cfRule>
  </conditionalFormatting>
  <conditionalFormatting sqref="F70:G70">
    <cfRule type="expression" dxfId="2569" priority="3546">
      <formula>IF(AND($B70="",$C70="",LEN($A70)&lt;=2),TRUE,FALSE)</formula>
    </cfRule>
    <cfRule type="expression" dxfId="2568" priority="3547">
      <formula>IF(AND($B70="",$C70=""),TRUE,FALSE)</formula>
    </cfRule>
  </conditionalFormatting>
  <conditionalFormatting sqref="B286:C286">
    <cfRule type="expression" dxfId="2567" priority="3521">
      <formula>IF(AND($B286="",$C286="",LEN($A286)&lt;=2),TRUE,FALSE)</formula>
    </cfRule>
    <cfRule type="expression" dxfId="2566" priority="3522">
      <formula>IF(AND($B286="",$C286=""),TRUE,FALSE)</formula>
    </cfRule>
  </conditionalFormatting>
  <conditionalFormatting sqref="C286">
    <cfRule type="expression" dxfId="2565" priority="3523">
      <formula>IF((COUNTIF(#REF!,#REF!))&gt;1,TRUE,FALSE)</formula>
    </cfRule>
  </conditionalFormatting>
  <conditionalFormatting sqref="D287:E287 G287">
    <cfRule type="expression" dxfId="2564" priority="3518">
      <formula>IF(AND($B287="",$C287="",LEN($A287)&lt;=2),TRUE,FALSE)</formula>
    </cfRule>
    <cfRule type="expression" dxfId="2563" priority="3519">
      <formula>IF(AND($B287="",$C287=""),TRUE,FALSE)</formula>
    </cfRule>
  </conditionalFormatting>
  <conditionalFormatting sqref="H287:I287">
    <cfRule type="expression" dxfId="2562" priority="3514">
      <formula>IF(AND($B287="",$C287="",LEN($A287)&lt;=2),TRUE,FALSE)</formula>
    </cfRule>
    <cfRule type="expression" dxfId="2561" priority="3515">
      <formula>IF(AND($B287="",$C287=""),TRUE,FALSE)</formula>
    </cfRule>
  </conditionalFormatting>
  <conditionalFormatting sqref="F287">
    <cfRule type="expression" dxfId="2560" priority="3512">
      <formula>IF(AND($B287="",$C287="",LEN($A287)&lt;=2),TRUE,FALSE)</formula>
    </cfRule>
    <cfRule type="expression" dxfId="2559" priority="3513">
      <formula>IF(AND($B287="",$C287=""),TRUE,FALSE)</formula>
    </cfRule>
  </conditionalFormatting>
  <conditionalFormatting sqref="B71">
    <cfRule type="expression" dxfId="2558" priority="3507">
      <formula>IF(AND($B71="",$C71="",LEN($A71)&lt;=2),TRUE,FALSE)</formula>
    </cfRule>
    <cfRule type="expression" dxfId="2557" priority="3508">
      <formula>IF(AND($B71="",$C71=""),TRUE,FALSE)</formula>
    </cfRule>
  </conditionalFormatting>
  <conditionalFormatting sqref="B72">
    <cfRule type="expression" dxfId="2556" priority="3505">
      <formula>IF(AND($B72="",$C72="",LEN($A72)&lt;=2),TRUE,FALSE)</formula>
    </cfRule>
    <cfRule type="expression" dxfId="2555" priority="3506">
      <formula>IF(AND($B72="",$C72=""),TRUE,FALSE)</formula>
    </cfRule>
  </conditionalFormatting>
  <conditionalFormatting sqref="B75 H75:I75">
    <cfRule type="expression" dxfId="2554" priority="3500">
      <formula>IF(AND($B75="",$C75="",LEN($A75)&lt;=2),TRUE,FALSE)</formula>
    </cfRule>
    <cfRule type="expression" dxfId="2553" priority="3501">
      <formula>IF(AND($B75="",$C75=""),TRUE,FALSE)</formula>
    </cfRule>
  </conditionalFormatting>
  <conditionalFormatting sqref="F75:G75">
    <cfRule type="expression" dxfId="2552" priority="3498">
      <formula>IF(AND($B75="",$C75="",LEN($A75)&lt;=2),TRUE,FALSE)</formula>
    </cfRule>
    <cfRule type="expression" dxfId="2551" priority="3499">
      <formula>IF(AND($B75="",$C75=""),TRUE,FALSE)</formula>
    </cfRule>
  </conditionalFormatting>
  <conditionalFormatting sqref="D75">
    <cfRule type="expression" dxfId="2550" priority="3496">
      <formula>IF(AND($B75="",$C75="",LEN($A75)&lt;=2),TRUE,FALSE)</formula>
    </cfRule>
    <cfRule type="expression" dxfId="2549" priority="3497">
      <formula>IF(AND($B75="",$C75=""),TRUE,FALSE)</formula>
    </cfRule>
  </conditionalFormatting>
  <conditionalFormatting sqref="D75">
    <cfRule type="expression" dxfId="2548" priority="3494">
      <formula>IF(AND($B75="",$C75="",LEN($A75)&lt;=2),TRUE,FALSE)</formula>
    </cfRule>
    <cfRule type="expression" dxfId="2547" priority="3495">
      <formula>IF(AND($B75="",$C75=""),TRUE,FALSE)</formula>
    </cfRule>
  </conditionalFormatting>
  <conditionalFormatting sqref="G75">
    <cfRule type="expression" dxfId="2546" priority="3492">
      <formula>IF(AND($B75="",$C75="",LEN($A75)&lt;=2),TRUE,FALSE)</formula>
    </cfRule>
    <cfRule type="expression" dxfId="2545" priority="3493">
      <formula>IF(AND($B75="",$C75=""),TRUE,FALSE)</formula>
    </cfRule>
  </conditionalFormatting>
  <conditionalFormatting sqref="E75">
    <cfRule type="expression" dxfId="2544" priority="3490">
      <formula>IF(AND($B75="",$C75="",LEN($A75)&lt;=2),TRUE,FALSE)</formula>
    </cfRule>
    <cfRule type="expression" dxfId="2543" priority="3491">
      <formula>IF(AND($B75="",$C75=""),TRUE,FALSE)</formula>
    </cfRule>
  </conditionalFormatting>
  <conditionalFormatting sqref="C75">
    <cfRule type="expression" dxfId="2542" priority="3487">
      <formula>IF(AND($B75="",$C75="",LEN($A75)&lt;=2),TRUE,FALSE)</formula>
    </cfRule>
    <cfRule type="expression" dxfId="2541" priority="3488">
      <formula>IF(AND($B75="",$C75=""),TRUE,FALSE)</formula>
    </cfRule>
  </conditionalFormatting>
  <conditionalFormatting sqref="C75">
    <cfRule type="expression" dxfId="2540" priority="3489">
      <formula>IF((COUNTIF(#REF!,#REF!))&gt;1,TRUE,FALSE)</formula>
    </cfRule>
  </conditionalFormatting>
  <conditionalFormatting sqref="D226:E226 G226">
    <cfRule type="expression" dxfId="2539" priority="3484">
      <formula>IF(AND($B226="",$C226="",LEN($A226)&lt;=2),TRUE,FALSE)</formula>
    </cfRule>
    <cfRule type="expression" dxfId="2538" priority="3485">
      <formula>IF(AND($B226="",$C226=""),TRUE,FALSE)</formula>
    </cfRule>
  </conditionalFormatting>
  <conditionalFormatting sqref="H226:I226">
    <cfRule type="expression" dxfId="2537" priority="3482">
      <formula>IF(AND($B226="",$C226="",LEN($A226)&lt;=2),TRUE,FALSE)</formula>
    </cfRule>
    <cfRule type="expression" dxfId="2536" priority="3483">
      <formula>IF(AND($B226="",$C226=""),TRUE,FALSE)</formula>
    </cfRule>
  </conditionalFormatting>
  <conditionalFormatting sqref="F226">
    <cfRule type="expression" dxfId="2535" priority="3480">
      <formula>IF(AND($B226="",$C226="",LEN($A226)&lt;=2),TRUE,FALSE)</formula>
    </cfRule>
    <cfRule type="expression" dxfId="2534" priority="3481">
      <formula>IF(AND($B226="",$C226=""),TRUE,FALSE)</formula>
    </cfRule>
  </conditionalFormatting>
  <conditionalFormatting sqref="B226:C226">
    <cfRule type="expression" dxfId="2533" priority="3477">
      <formula>IF(AND($B226="",$C226="",LEN($A226)&lt;=2),TRUE,FALSE)</formula>
    </cfRule>
    <cfRule type="expression" dxfId="2532" priority="3478">
      <formula>IF(AND($B226="",$C226=""),TRUE,FALSE)</formula>
    </cfRule>
  </conditionalFormatting>
  <conditionalFormatting sqref="C226">
    <cfRule type="expression" dxfId="2531" priority="3479">
      <formula>IF((COUNTIF(#REF!,#REF!))&gt;1,TRUE,FALSE)</formula>
    </cfRule>
  </conditionalFormatting>
  <conditionalFormatting sqref="H274:I274">
    <cfRule type="expression" dxfId="2530" priority="3426">
      <formula>IF(AND($B274="",$C274="",LEN($A274)&lt;=2),TRUE,FALSE)</formula>
    </cfRule>
    <cfRule type="expression" dxfId="2529" priority="3427">
      <formula>IF(AND($B274="",$C274=""),TRUE,FALSE)</formula>
    </cfRule>
  </conditionalFormatting>
  <conditionalFormatting sqref="F274">
    <cfRule type="expression" dxfId="2528" priority="3424">
      <formula>IF(AND($B274="",$C274="",LEN($A274)&lt;=2),TRUE,FALSE)</formula>
    </cfRule>
    <cfRule type="expression" dxfId="2527" priority="3425">
      <formula>IF(AND($B274="",$C274=""),TRUE,FALSE)</formula>
    </cfRule>
  </conditionalFormatting>
  <conditionalFormatting sqref="C274">
    <cfRule type="expression" dxfId="2526" priority="3421">
      <formula>IF(AND($B274="",$C274="",LEN($A274)&lt;=2),TRUE,FALSE)</formula>
    </cfRule>
    <cfRule type="expression" dxfId="2525" priority="3422">
      <formula>IF(AND($B274="",$C274=""),TRUE,FALSE)</formula>
    </cfRule>
  </conditionalFormatting>
  <conditionalFormatting sqref="C274">
    <cfRule type="expression" dxfId="2524" priority="3423">
      <formula>IF((COUNTIF(#REF!,#REF!))&gt;1,TRUE,FALSE)</formula>
    </cfRule>
  </conditionalFormatting>
  <conditionalFormatting sqref="B274">
    <cfRule type="expression" dxfId="2523" priority="3419">
      <formula>IF(AND($B274="",$C274="",LEN($A274)&lt;=2),TRUE,FALSE)</formula>
    </cfRule>
    <cfRule type="expression" dxfId="2522" priority="3420">
      <formula>IF(AND($B274="",$C274=""),TRUE,FALSE)</formula>
    </cfRule>
  </conditionalFormatting>
  <conditionalFormatting sqref="B274">
    <cfRule type="expression" dxfId="2521" priority="3417">
      <formula>IF(AND($B274="",$C274="",LEN($A274)&lt;=2),TRUE,FALSE)</formula>
    </cfRule>
    <cfRule type="expression" dxfId="2520" priority="3418">
      <formula>IF(AND($B274="",$C274=""),TRUE,FALSE)</formula>
    </cfRule>
  </conditionalFormatting>
  <conditionalFormatting sqref="D274">
    <cfRule type="expression" dxfId="2519" priority="3415">
      <formula>IF(AND($B274="",$C274="",LEN($A274)&lt;=2),TRUE,FALSE)</formula>
    </cfRule>
    <cfRule type="expression" dxfId="2518" priority="3416">
      <formula>IF(AND($B274="",$C274=""),TRUE,FALSE)</formula>
    </cfRule>
  </conditionalFormatting>
  <conditionalFormatting sqref="D274">
    <cfRule type="expression" dxfId="2517" priority="3413">
      <formula>IF(AND($B274="",$C274="",LEN($A274)&lt;=2),TRUE,FALSE)</formula>
    </cfRule>
    <cfRule type="expression" dxfId="2516" priority="3414">
      <formula>IF(AND($B274="",$C274=""),TRUE,FALSE)</formula>
    </cfRule>
  </conditionalFormatting>
  <conditionalFormatting sqref="E274">
    <cfRule type="expression" dxfId="2515" priority="3411">
      <formula>IF(AND($B274="",$C274="",LEN($A274)&lt;=2),TRUE,FALSE)</formula>
    </cfRule>
    <cfRule type="expression" dxfId="2514" priority="3412">
      <formula>IF(AND($B274="",$C274=""),TRUE,FALSE)</formula>
    </cfRule>
  </conditionalFormatting>
  <conditionalFormatting sqref="G274">
    <cfRule type="expression" dxfId="2513" priority="3409">
      <formula>IF(AND($B274="",$C274="",LEN($A274)&lt;=2),TRUE,FALSE)</formula>
    </cfRule>
    <cfRule type="expression" dxfId="2512" priority="3410">
      <formula>IF(AND($B274="",$C274=""),TRUE,FALSE)</formula>
    </cfRule>
  </conditionalFormatting>
  <conditionalFormatting sqref="B243:C243 H243:I243">
    <cfRule type="expression" dxfId="2511" priority="3405">
      <formula>IF(AND($B243="",$C243="",LEN($A243)&lt;=2),TRUE,FALSE)</formula>
    </cfRule>
    <cfRule type="expression" dxfId="2510" priority="3406">
      <formula>IF(AND($B243="",$C243=""),TRUE,FALSE)</formula>
    </cfRule>
  </conditionalFormatting>
  <conditionalFormatting sqref="C243">
    <cfRule type="expression" dxfId="2509" priority="3407">
      <formula>IF((COUNTIF(#REF!,#REF!))&gt;1,TRUE,FALSE)</formula>
    </cfRule>
  </conditionalFormatting>
  <conditionalFormatting sqref="F243">
    <cfRule type="expression" dxfId="2508" priority="3403">
      <formula>IF(AND($B243="",$C243="",LEN($A243)&lt;=2),TRUE,FALSE)</formula>
    </cfRule>
    <cfRule type="expression" dxfId="2507" priority="3404">
      <formula>IF(AND($B243="",$C243=""),TRUE,FALSE)</formula>
    </cfRule>
  </conditionalFormatting>
  <conditionalFormatting sqref="D243">
    <cfRule type="expression" dxfId="2506" priority="3401">
      <formula>IF(AND($B243="",$C243="",LEN($A243)&lt;=2),TRUE,FALSE)</formula>
    </cfRule>
    <cfRule type="expression" dxfId="2505" priority="3402">
      <formula>IF(AND($B243="",$C243=""),TRUE,FALSE)</formula>
    </cfRule>
  </conditionalFormatting>
  <conditionalFormatting sqref="D243">
    <cfRule type="expression" dxfId="2504" priority="3399">
      <formula>IF(AND($B243="",$C243="",LEN($A243)&lt;=2),TRUE,FALSE)</formula>
    </cfRule>
    <cfRule type="expression" dxfId="2503" priority="3400">
      <formula>IF(AND($B243="",$C243=""),TRUE,FALSE)</formula>
    </cfRule>
  </conditionalFormatting>
  <conditionalFormatting sqref="G243">
    <cfRule type="expression" dxfId="2502" priority="3397">
      <formula>IF(AND($B243="",$C243="",LEN($A243)&lt;=2),TRUE,FALSE)</formula>
    </cfRule>
    <cfRule type="expression" dxfId="2501" priority="3398">
      <formula>IF(AND($B243="",$C243=""),TRUE,FALSE)</formula>
    </cfRule>
  </conditionalFormatting>
  <conditionalFormatting sqref="E243">
    <cfRule type="expression" dxfId="2500" priority="3395">
      <formula>IF(AND($B243="",$C243="",LEN($A243)&lt;=2),TRUE,FALSE)</formula>
    </cfRule>
    <cfRule type="expression" dxfId="2499" priority="3396">
      <formula>IF(AND($B243="",$C243=""),TRUE,FALSE)</formula>
    </cfRule>
  </conditionalFormatting>
  <conditionalFormatting sqref="B247:C247 H247:I247">
    <cfRule type="expression" dxfId="2498" priority="3389">
      <formula>IF(AND($B247="",$C247="",LEN($A247)&lt;=2),TRUE,FALSE)</formula>
    </cfRule>
    <cfRule type="expression" dxfId="2497" priority="3390">
      <formula>IF(AND($B247="",$C247=""),TRUE,FALSE)</formula>
    </cfRule>
  </conditionalFormatting>
  <conditionalFormatting sqref="C247">
    <cfRule type="expression" dxfId="2496" priority="3391">
      <formula>IF((COUNTIF(#REF!,#REF!))&gt;1,TRUE,FALSE)</formula>
    </cfRule>
  </conditionalFormatting>
  <conditionalFormatting sqref="F247">
    <cfRule type="expression" dxfId="2495" priority="3387">
      <formula>IF(AND($B247="",$C247="",LEN($A247)&lt;=2),TRUE,FALSE)</formula>
    </cfRule>
    <cfRule type="expression" dxfId="2494" priority="3388">
      <formula>IF(AND($B247="",$C247=""),TRUE,FALSE)</formula>
    </cfRule>
  </conditionalFormatting>
  <conditionalFormatting sqref="D247">
    <cfRule type="expression" dxfId="2493" priority="3385">
      <formula>IF(AND($B247="",$C247="",LEN($A247)&lt;=2),TRUE,FALSE)</formula>
    </cfRule>
    <cfRule type="expression" dxfId="2492" priority="3386">
      <formula>IF(AND($B247="",$C247=""),TRUE,FALSE)</formula>
    </cfRule>
  </conditionalFormatting>
  <conditionalFormatting sqref="D247">
    <cfRule type="expression" dxfId="2491" priority="3383">
      <formula>IF(AND($B247="",$C247="",LEN($A247)&lt;=2),TRUE,FALSE)</formula>
    </cfRule>
    <cfRule type="expression" dxfId="2490" priority="3384">
      <formula>IF(AND($B247="",$C247=""),TRUE,FALSE)</formula>
    </cfRule>
  </conditionalFormatting>
  <conditionalFormatting sqref="G247">
    <cfRule type="expression" dxfId="2489" priority="3381">
      <formula>IF(AND($B247="",$C247="",LEN($A247)&lt;=2),TRUE,FALSE)</formula>
    </cfRule>
    <cfRule type="expression" dxfId="2488" priority="3382">
      <formula>IF(AND($B247="",$C247=""),TRUE,FALSE)</formula>
    </cfRule>
  </conditionalFormatting>
  <conditionalFormatting sqref="E247">
    <cfRule type="expression" dxfId="2487" priority="3379">
      <formula>IF(AND($B247="",$C247="",LEN($A247)&lt;=2),TRUE,FALSE)</formula>
    </cfRule>
    <cfRule type="expression" dxfId="2486" priority="3380">
      <formula>IF(AND($B247="",$C247=""),TRUE,FALSE)</formula>
    </cfRule>
  </conditionalFormatting>
  <conditionalFormatting sqref="C29">
    <cfRule type="expression" dxfId="2485" priority="3377">
      <formula>IF((COUNTIF(#REF!,#REF!))&gt;1,TRUE,FALSE)</formula>
    </cfRule>
  </conditionalFormatting>
  <conditionalFormatting sqref="B253:C253 H253:I253">
    <cfRule type="expression" dxfId="2484" priority="3359">
      <formula>IF(AND($B253="",$C253="",LEN($A253)&lt;=2),TRUE,FALSE)</formula>
    </cfRule>
    <cfRule type="expression" dxfId="2483" priority="3360">
      <formula>IF(AND($B253="",$C253=""),TRUE,FALSE)</formula>
    </cfRule>
  </conditionalFormatting>
  <conditionalFormatting sqref="C253">
    <cfRule type="expression" dxfId="2482" priority="3361">
      <formula>IF((COUNTIF(#REF!,#REF!))&gt;1,TRUE,FALSE)</formula>
    </cfRule>
  </conditionalFormatting>
  <conditionalFormatting sqref="F253">
    <cfRule type="expression" dxfId="2481" priority="3357">
      <formula>IF(AND($B253="",$C253="",LEN($A253)&lt;=2),TRUE,FALSE)</formula>
    </cfRule>
    <cfRule type="expression" dxfId="2480" priority="3358">
      <formula>IF(AND($B253="",$C253=""),TRUE,FALSE)</formula>
    </cfRule>
  </conditionalFormatting>
  <conditionalFormatting sqref="D253">
    <cfRule type="expression" dxfId="2479" priority="3353">
      <formula>IF(AND($B253="",$C253="",LEN($A253)&lt;=2),TRUE,FALSE)</formula>
    </cfRule>
    <cfRule type="expression" dxfId="2478" priority="3354">
      <formula>IF(AND($B253="",$C253=""),TRUE,FALSE)</formula>
    </cfRule>
  </conditionalFormatting>
  <conditionalFormatting sqref="D253">
    <cfRule type="expression" dxfId="2477" priority="3351">
      <formula>IF(AND($B253="",$C253="",LEN($A253)&lt;=2),TRUE,FALSE)</formula>
    </cfRule>
    <cfRule type="expression" dxfId="2476" priority="3352">
      <formula>IF(AND($B253="",$C253=""),TRUE,FALSE)</formula>
    </cfRule>
  </conditionalFormatting>
  <conditionalFormatting sqref="G253">
    <cfRule type="expression" dxfId="2475" priority="3349">
      <formula>IF(AND($B253="",$C253="",LEN($A253)&lt;=2),TRUE,FALSE)</formula>
    </cfRule>
    <cfRule type="expression" dxfId="2474" priority="3350">
      <formula>IF(AND($B253="",$C253=""),TRUE,FALSE)</formula>
    </cfRule>
  </conditionalFormatting>
  <conditionalFormatting sqref="E253">
    <cfRule type="expression" dxfId="2473" priority="3347">
      <formula>IF(AND($B253="",$C253="",LEN($A253)&lt;=2),TRUE,FALSE)</formula>
    </cfRule>
    <cfRule type="expression" dxfId="2472" priority="3348">
      <formula>IF(AND($B253="",$C253=""),TRUE,FALSE)</formula>
    </cfRule>
  </conditionalFormatting>
  <conditionalFormatting sqref="F30 H30:I30">
    <cfRule type="expression" dxfId="2471" priority="3320">
      <formula>IF(AND($B30="",$C30="",LEN($A30)&lt;=2),TRUE,FALSE)</formula>
    </cfRule>
    <cfRule type="expression" dxfId="2470" priority="3321">
      <formula>IF(AND($B30="",$C30=""),TRUE,FALSE)</formula>
    </cfRule>
  </conditionalFormatting>
  <conditionalFormatting sqref="C30">
    <cfRule type="expression" dxfId="2469" priority="3318">
      <formula>IF(AND($B30="",$C30="",LEN($A30)&lt;=2),TRUE,FALSE)</formula>
    </cfRule>
    <cfRule type="expression" dxfId="2468" priority="3319">
      <formula>IF(AND($B30="",$C30=""),TRUE,FALSE)</formula>
    </cfRule>
  </conditionalFormatting>
  <conditionalFormatting sqref="C30">
    <cfRule type="expression" dxfId="2467" priority="3317">
      <formula>IF((COUNTIF(#REF!,#REF!))&gt;1,TRUE,FALSE)</formula>
    </cfRule>
  </conditionalFormatting>
  <conditionalFormatting sqref="C30">
    <cfRule type="expression" dxfId="2466" priority="3316">
      <formula>IF((COUNTIF(#REF!,#REF!))&gt;1,TRUE,FALSE)</formula>
    </cfRule>
  </conditionalFormatting>
  <conditionalFormatting sqref="C30">
    <cfRule type="expression" dxfId="2465" priority="3315">
      <formula>IF((COUNTIF(#REF!,#REF!))&gt;1,TRUE,FALSE)</formula>
    </cfRule>
  </conditionalFormatting>
  <conditionalFormatting sqref="B30">
    <cfRule type="expression" dxfId="2464" priority="3311">
      <formula>IF(AND($B30="",$C30="",LEN($A30)&lt;=2),TRUE,FALSE)</formula>
    </cfRule>
    <cfRule type="expression" dxfId="2463" priority="3312">
      <formula>IF(AND($B30="",$C30=""),TRUE,FALSE)</formula>
    </cfRule>
  </conditionalFormatting>
  <conditionalFormatting sqref="B30">
    <cfRule type="expression" dxfId="2462" priority="3313">
      <formula>IF(AND($B30="",$C30="",LEN($A30)&lt;=2),TRUE,FALSE)</formula>
    </cfRule>
    <cfRule type="expression" dxfId="2461" priority="3314">
      <formula>IF(AND($B30="",$C30=""),TRUE,FALSE)</formula>
    </cfRule>
  </conditionalFormatting>
  <conditionalFormatting sqref="D30">
    <cfRule type="expression" dxfId="2460" priority="3309">
      <formula>IF(AND($B30="",$C30="",LEN($A30)&lt;=2),TRUE,FALSE)</formula>
    </cfRule>
    <cfRule type="expression" dxfId="2459" priority="3310">
      <formula>IF(AND($B30="",$C30=""),TRUE,FALSE)</formula>
    </cfRule>
  </conditionalFormatting>
  <conditionalFormatting sqref="D30">
    <cfRule type="expression" dxfId="2458" priority="3307">
      <formula>IF(AND($B30="",$C30="",LEN($A30)&lt;=2),TRUE,FALSE)</formula>
    </cfRule>
    <cfRule type="expression" dxfId="2457" priority="3308">
      <formula>IF(AND($B30="",$C30=""),TRUE,FALSE)</formula>
    </cfRule>
  </conditionalFormatting>
  <conditionalFormatting sqref="G30">
    <cfRule type="expression" dxfId="2456" priority="3305">
      <formula>IF(AND($B30="",$C30="",LEN($A30)&lt;=2),TRUE,FALSE)</formula>
    </cfRule>
    <cfRule type="expression" dxfId="2455" priority="3306">
      <formula>IF(AND($B30="",$C30=""),TRUE,FALSE)</formula>
    </cfRule>
  </conditionalFormatting>
  <conditionalFormatting sqref="E30">
    <cfRule type="expression" dxfId="2454" priority="3303">
      <formula>IF(AND($B30="",$C30="",LEN($A30)&lt;=2),TRUE,FALSE)</formula>
    </cfRule>
    <cfRule type="expression" dxfId="2453" priority="3304">
      <formula>IF(AND($B30="",$C30=""),TRUE,FALSE)</formula>
    </cfRule>
  </conditionalFormatting>
  <conditionalFormatting sqref="B255:C255 H255:I255">
    <cfRule type="expression" dxfId="2452" priority="3299">
      <formula>IF(AND($B255="",$C255="",LEN($A255)&lt;=2),TRUE,FALSE)</formula>
    </cfRule>
    <cfRule type="expression" dxfId="2451" priority="3300">
      <formula>IF(AND($B255="",$C255=""),TRUE,FALSE)</formula>
    </cfRule>
  </conditionalFormatting>
  <conditionalFormatting sqref="C255">
    <cfRule type="expression" dxfId="2450" priority="3301">
      <formula>IF((COUNTIF(#REF!,#REF!))&gt;1,TRUE,FALSE)</formula>
    </cfRule>
  </conditionalFormatting>
  <conditionalFormatting sqref="F255">
    <cfRule type="expression" dxfId="2449" priority="3297">
      <formula>IF(AND($B255="",$C255="",LEN($A255)&lt;=2),TRUE,FALSE)</formula>
    </cfRule>
    <cfRule type="expression" dxfId="2448" priority="3298">
      <formula>IF(AND($B255="",$C255=""),TRUE,FALSE)</formula>
    </cfRule>
  </conditionalFormatting>
  <conditionalFormatting sqref="D255">
    <cfRule type="expression" dxfId="2447" priority="3291">
      <formula>IF(AND($B255="",$C255="",LEN($A255)&lt;=2),TRUE,FALSE)</formula>
    </cfRule>
    <cfRule type="expression" dxfId="2446" priority="3292">
      <formula>IF(AND($B255="",$C255=""),TRUE,FALSE)</formula>
    </cfRule>
  </conditionalFormatting>
  <conditionalFormatting sqref="D255">
    <cfRule type="expression" dxfId="2445" priority="3293">
      <formula>IF(AND($B255="",$C255="",LEN($A255)&lt;=2),TRUE,FALSE)</formula>
    </cfRule>
    <cfRule type="expression" dxfId="2444" priority="3294">
      <formula>IF(AND($B255="",$C255=""),TRUE,FALSE)</formula>
    </cfRule>
  </conditionalFormatting>
  <conditionalFormatting sqref="G255">
    <cfRule type="expression" dxfId="2443" priority="3289">
      <formula>IF(AND($B255="",$C255="",LEN($A255)&lt;=2),TRUE,FALSE)</formula>
    </cfRule>
    <cfRule type="expression" dxfId="2442" priority="3290">
      <formula>IF(AND($B255="",$C255=""),TRUE,FALSE)</formula>
    </cfRule>
  </conditionalFormatting>
  <conditionalFormatting sqref="E255">
    <cfRule type="expression" dxfId="2441" priority="3287">
      <formula>IF(AND($B255="",$C255="",LEN($A255)&lt;=2),TRUE,FALSE)</formula>
    </cfRule>
    <cfRule type="expression" dxfId="2440" priority="3288">
      <formula>IF(AND($B255="",$C255=""),TRUE,FALSE)</formula>
    </cfRule>
  </conditionalFormatting>
  <conditionalFormatting sqref="G254 G61 G228:G230 G221:G222">
    <cfRule type="expression" dxfId="2439" priority="3286">
      <formula>IF((SUMIF(#REF!,#REF!,G:G)/COUNTIF(#REF!,#REF!))&lt;&gt;G61,TRUE,FALSE)</formula>
    </cfRule>
  </conditionalFormatting>
  <conditionalFormatting sqref="C254 H254:I254">
    <cfRule type="expression" dxfId="2438" priority="3283">
      <formula>IF(AND($B254="",$C254="",LEN($A254)&lt;=2),TRUE,FALSE)</formula>
    </cfRule>
    <cfRule type="expression" dxfId="2437" priority="3284">
      <formula>IF(AND($B254="",$C254=""),TRUE,FALSE)</formula>
    </cfRule>
  </conditionalFormatting>
  <conditionalFormatting sqref="C254">
    <cfRule type="expression" dxfId="2436" priority="3285">
      <formula>IF((COUNTIF(#REF!,#REF!))&gt;1,TRUE,FALSE)</formula>
    </cfRule>
  </conditionalFormatting>
  <conditionalFormatting sqref="F254">
    <cfRule type="expression" dxfId="2435" priority="3281">
      <formula>IF(AND($B254="",$C254="",LEN($A254)&lt;=2),TRUE,FALSE)</formula>
    </cfRule>
    <cfRule type="expression" dxfId="2434" priority="3282">
      <formula>IF(AND($B254="",$C254=""),TRUE,FALSE)</formula>
    </cfRule>
  </conditionalFormatting>
  <conditionalFormatting sqref="D254">
    <cfRule type="expression" dxfId="2433" priority="3275">
      <formula>IF(AND($B254="",$C254="",LEN($A254)&lt;=2),TRUE,FALSE)</formula>
    </cfRule>
    <cfRule type="expression" dxfId="2432" priority="3276">
      <formula>IF(AND($B254="",$C254=""),TRUE,FALSE)</formula>
    </cfRule>
  </conditionalFormatting>
  <conditionalFormatting sqref="D254">
    <cfRule type="expression" dxfId="2431" priority="3277">
      <formula>IF(AND($B254="",$C254="",LEN($A254)&lt;=2),TRUE,FALSE)</formula>
    </cfRule>
    <cfRule type="expression" dxfId="2430" priority="3278">
      <formula>IF(AND($B254="",$C254=""),TRUE,FALSE)</formula>
    </cfRule>
  </conditionalFormatting>
  <conditionalFormatting sqref="G254">
    <cfRule type="expression" dxfId="2429" priority="3273">
      <formula>IF(AND($B254="",$C254="",LEN($A254)&lt;=2),TRUE,FALSE)</formula>
    </cfRule>
    <cfRule type="expression" dxfId="2428" priority="3274">
      <formula>IF(AND($B254="",$C254=""),TRUE,FALSE)</formula>
    </cfRule>
  </conditionalFormatting>
  <conditionalFormatting sqref="E254">
    <cfRule type="expression" dxfId="2427" priority="3271">
      <formula>IF(AND($B254="",$C254="",LEN($A254)&lt;=2),TRUE,FALSE)</formula>
    </cfRule>
    <cfRule type="expression" dxfId="2426" priority="3272">
      <formula>IF(AND($B254="",$C254=""),TRUE,FALSE)</formula>
    </cfRule>
  </conditionalFormatting>
  <conditionalFormatting sqref="B254">
    <cfRule type="expression" dxfId="2425" priority="3269">
      <formula>IF(AND($B254="",$C254="",LEN($A254)&lt;=2),TRUE,FALSE)</formula>
    </cfRule>
    <cfRule type="expression" dxfId="2424" priority="3270">
      <formula>IF(AND($B254="",$C254=""),TRUE,FALSE)</formula>
    </cfRule>
  </conditionalFormatting>
  <conditionalFormatting sqref="B245">
    <cfRule type="expression" dxfId="2423" priority="3267">
      <formula>IF(AND($B245="",$C245="",LEN($A245)&lt;=2),TRUE,FALSE)</formula>
    </cfRule>
    <cfRule type="expression" dxfId="2422" priority="3268">
      <formula>IF(AND($B245="",$C245=""),TRUE,FALSE)</formula>
    </cfRule>
  </conditionalFormatting>
  <conditionalFormatting sqref="C56">
    <cfRule type="expression" dxfId="2421" priority="3265">
      <formula>IF((COUNTIF(#REF!,#REF!))&gt;1,TRUE,FALSE)</formula>
    </cfRule>
  </conditionalFormatting>
  <conditionalFormatting sqref="A56:J56">
    <cfRule type="expression" dxfId="2420" priority="3263">
      <formula>IF(AND($B56="",$C56="",LEN($A56)&lt;=2),TRUE,FALSE)</formula>
    </cfRule>
    <cfRule type="expression" dxfId="2419" priority="3264">
      <formula>IF(AND($B56="",$C56=""),TRUE,FALSE)</formula>
    </cfRule>
  </conditionalFormatting>
  <conditionalFormatting sqref="H57:I57">
    <cfRule type="expression" dxfId="2418" priority="3259">
      <formula>IF(AND($B57="",$C57="",LEN($A57)&lt;=2),TRUE,FALSE)</formula>
    </cfRule>
    <cfRule type="expression" dxfId="2417" priority="3260">
      <formula>IF(AND($B57="",$C57=""),TRUE,FALSE)</formula>
    </cfRule>
  </conditionalFormatting>
  <conditionalFormatting sqref="F57">
    <cfRule type="expression" dxfId="2416" priority="3257">
      <formula>IF(AND($B57="",$C57="",LEN($A57)&lt;=2),TRUE,FALSE)</formula>
    </cfRule>
    <cfRule type="expression" dxfId="2415" priority="3258">
      <formula>IF(AND($B57="",$C57=""),TRUE,FALSE)</formula>
    </cfRule>
  </conditionalFormatting>
  <conditionalFormatting sqref="A62 H62:I62">
    <cfRule type="expression" dxfId="2414" priority="3255">
      <formula>IF(AND($B62="",$C62="",LEN($A62)&lt;=2),TRUE,FALSE)</formula>
    </cfRule>
    <cfRule type="expression" dxfId="2413" priority="3256">
      <formula>IF(AND($B62="",$C62=""),TRUE,FALSE)</formula>
    </cfRule>
  </conditionalFormatting>
  <conditionalFormatting sqref="F62">
    <cfRule type="expression" dxfId="2412" priority="3253">
      <formula>IF(AND($B62="",$C62="",LEN($A62)&lt;=2),TRUE,FALSE)</formula>
    </cfRule>
    <cfRule type="expression" dxfId="2411" priority="3254">
      <formula>IF(AND($B62="",$C62=""),TRUE,FALSE)</formula>
    </cfRule>
  </conditionalFormatting>
  <conditionalFormatting sqref="A56">
    <cfRule type="expression" dxfId="2410" priority="3251">
      <formula>IF(AND($B56="",$C56="",LEN($A56)&lt;=2),TRUE,FALSE)</formula>
    </cfRule>
    <cfRule type="expression" dxfId="2409" priority="3252">
      <formula>IF(AND($B56="",$C56=""),TRUE,FALSE)</formula>
    </cfRule>
  </conditionalFormatting>
  <conditionalFormatting sqref="B57:C57">
    <cfRule type="expression" dxfId="2408" priority="3235">
      <formula>IF(AND($B57="",$C57="",LEN($A57)&lt;=2),TRUE,FALSE)</formula>
    </cfRule>
    <cfRule type="expression" dxfId="2407" priority="3236">
      <formula>IF(AND($B57="",$C57=""),TRUE,FALSE)</formula>
    </cfRule>
  </conditionalFormatting>
  <conditionalFormatting sqref="C57">
    <cfRule type="expression" dxfId="2406" priority="3237">
      <formula>IF((COUNTIF(#REF!,#REF!))&gt;1,TRUE,FALSE)</formula>
    </cfRule>
  </conditionalFormatting>
  <conditionalFormatting sqref="B62:C62">
    <cfRule type="expression" dxfId="2405" priority="3232">
      <formula>IF(AND($B62="",$C62="",LEN($A62)&lt;=2),TRUE,FALSE)</formula>
    </cfRule>
    <cfRule type="expression" dxfId="2404" priority="3233">
      <formula>IF(AND($B62="",$C62=""),TRUE,FALSE)</formula>
    </cfRule>
  </conditionalFormatting>
  <conditionalFormatting sqref="C62">
    <cfRule type="expression" dxfId="2403" priority="3234">
      <formula>IF((COUNTIF(#REF!,#REF!))&gt;1,TRUE,FALSE)</formula>
    </cfRule>
  </conditionalFormatting>
  <conditionalFormatting sqref="G32 D32:E32 B32">
    <cfRule type="expression" dxfId="2402" priority="3229">
      <formula>IF(AND($B32="",$C32="",LEN($A32)&lt;=2),TRUE,FALSE)</formula>
    </cfRule>
    <cfRule type="expression" dxfId="2401" priority="3230">
      <formula>IF(AND($B32="",$C32=""),TRUE,FALSE)</formula>
    </cfRule>
  </conditionalFormatting>
  <conditionalFormatting sqref="F32 H32:I32">
    <cfRule type="expression" dxfId="2400" priority="3225">
      <formula>IF(AND($B32="",$C32="",LEN($A32)&lt;=2),TRUE,FALSE)</formula>
    </cfRule>
    <cfRule type="expression" dxfId="2399" priority="3226">
      <formula>IF(AND($B32="",$C32=""),TRUE,FALSE)</formula>
    </cfRule>
  </conditionalFormatting>
  <conditionalFormatting sqref="C32">
    <cfRule type="expression" dxfId="2398" priority="3223">
      <formula>IF(AND($B32="",$C32="",LEN($A32)&lt;=2),TRUE,FALSE)</formula>
    </cfRule>
    <cfRule type="expression" dxfId="2397" priority="3224">
      <formula>IF(AND($B32="",$C32=""),TRUE,FALSE)</formula>
    </cfRule>
  </conditionalFormatting>
  <conditionalFormatting sqref="C32">
    <cfRule type="expression" dxfId="2396" priority="3222">
      <formula>IF((COUNTIF(#REF!,#REF!))&gt;1,TRUE,FALSE)</formula>
    </cfRule>
  </conditionalFormatting>
  <conditionalFormatting sqref="C32">
    <cfRule type="expression" dxfId="2395" priority="3221">
      <formula>IF((COUNTIF(#REF!,#REF!))&gt;1,TRUE,FALSE)</formula>
    </cfRule>
  </conditionalFormatting>
  <conditionalFormatting sqref="C32">
    <cfRule type="expression" dxfId="2394" priority="3220">
      <formula>IF((COUNTIF(#REF!,#REF!))&gt;1,TRUE,FALSE)</formula>
    </cfRule>
  </conditionalFormatting>
  <conditionalFormatting sqref="D58:E58 G58 A58">
    <cfRule type="expression" dxfId="2393" priority="3217">
      <formula>IF(AND($B58="",$C58="",LEN($A58)&lt;=2),TRUE,FALSE)</formula>
    </cfRule>
    <cfRule type="expression" dxfId="2392" priority="3218">
      <formula>IF(AND($B58="",$C58=""),TRUE,FALSE)</formula>
    </cfRule>
  </conditionalFormatting>
  <conditionalFormatting sqref="A58 H58:I58">
    <cfRule type="expression" dxfId="2391" priority="3215">
      <formula>IF(AND($B58="",$C58="",LEN($A58)&lt;=2),TRUE,FALSE)</formula>
    </cfRule>
    <cfRule type="expression" dxfId="2390" priority="3216">
      <formula>IF(AND($B58="",$C58=""),TRUE,FALSE)</formula>
    </cfRule>
  </conditionalFormatting>
  <conditionalFormatting sqref="F58">
    <cfRule type="expression" dxfId="2389" priority="3213">
      <formula>IF(AND($B58="",$C58="",LEN($A58)&lt;=2),TRUE,FALSE)</formula>
    </cfRule>
    <cfRule type="expression" dxfId="2388" priority="3214">
      <formula>IF(AND($B58="",$C58=""),TRUE,FALSE)</formula>
    </cfRule>
  </conditionalFormatting>
  <conditionalFormatting sqref="B58:C58">
    <cfRule type="expression" dxfId="2387" priority="3210">
      <formula>IF(AND($B58="",$C58="",LEN($A58)&lt;=2),TRUE,FALSE)</formula>
    </cfRule>
    <cfRule type="expression" dxfId="2386" priority="3211">
      <formula>IF(AND($B58="",$C58=""),TRUE,FALSE)</formula>
    </cfRule>
  </conditionalFormatting>
  <conditionalFormatting sqref="C58">
    <cfRule type="expression" dxfId="2385" priority="3212">
      <formula>IF((COUNTIF(#REF!,#REF!))&gt;1,TRUE,FALSE)</formula>
    </cfRule>
  </conditionalFormatting>
  <conditionalFormatting sqref="H275:I275">
    <cfRule type="expression" dxfId="2384" priority="3205">
      <formula>IF(AND($B275="",$C275="",LEN($A275)&lt;=2),TRUE,FALSE)</formula>
    </cfRule>
    <cfRule type="expression" dxfId="2383" priority="3206">
      <formula>IF(AND($B275="",$C275=""),TRUE,FALSE)</formula>
    </cfRule>
  </conditionalFormatting>
  <conditionalFormatting sqref="F275">
    <cfRule type="expression" dxfId="2382" priority="3203">
      <formula>IF(AND($B275="",$C275="",LEN($A275)&lt;=2),TRUE,FALSE)</formula>
    </cfRule>
    <cfRule type="expression" dxfId="2381" priority="3204">
      <formula>IF(AND($B275="",$C275=""),TRUE,FALSE)</formula>
    </cfRule>
  </conditionalFormatting>
  <conditionalFormatting sqref="C275">
    <cfRule type="expression" dxfId="2380" priority="3200">
      <formula>IF(AND($B275="",$C275="",LEN($A275)&lt;=2),TRUE,FALSE)</formula>
    </cfRule>
    <cfRule type="expression" dxfId="2379" priority="3201">
      <formula>IF(AND($B275="",$C275=""),TRUE,FALSE)</formula>
    </cfRule>
  </conditionalFormatting>
  <conditionalFormatting sqref="C275">
    <cfRule type="expression" dxfId="2378" priority="3202">
      <formula>IF((COUNTIF(#REF!,#REF!))&gt;1,TRUE,FALSE)</formula>
    </cfRule>
  </conditionalFormatting>
  <conditionalFormatting sqref="B275">
    <cfRule type="expression" dxfId="2377" priority="3198">
      <formula>IF(AND($B275="",$C275="",LEN($A275)&lt;=2),TRUE,FALSE)</formula>
    </cfRule>
    <cfRule type="expression" dxfId="2376" priority="3199">
      <formula>IF(AND($B275="",$C275=""),TRUE,FALSE)</formula>
    </cfRule>
  </conditionalFormatting>
  <conditionalFormatting sqref="B275">
    <cfRule type="expression" dxfId="2375" priority="3196">
      <formula>IF(AND($B275="",$C275="",LEN($A275)&lt;=2),TRUE,FALSE)</formula>
    </cfRule>
    <cfRule type="expression" dxfId="2374" priority="3197">
      <formula>IF(AND($B275="",$C275=""),TRUE,FALSE)</formula>
    </cfRule>
  </conditionalFormatting>
  <conditionalFormatting sqref="D275">
    <cfRule type="expression" dxfId="2373" priority="3194">
      <formula>IF(AND($B275="",$C275="",LEN($A275)&lt;=2),TRUE,FALSE)</formula>
    </cfRule>
    <cfRule type="expression" dxfId="2372" priority="3195">
      <formula>IF(AND($B275="",$C275=""),TRUE,FALSE)</formula>
    </cfRule>
  </conditionalFormatting>
  <conditionalFormatting sqref="D275">
    <cfRule type="expression" dxfId="2371" priority="3192">
      <formula>IF(AND($B275="",$C275="",LEN($A275)&lt;=2),TRUE,FALSE)</formula>
    </cfRule>
    <cfRule type="expression" dxfId="2370" priority="3193">
      <formula>IF(AND($B275="",$C275=""),TRUE,FALSE)</formula>
    </cfRule>
  </conditionalFormatting>
  <conditionalFormatting sqref="E275">
    <cfRule type="expression" dxfId="2369" priority="3190">
      <formula>IF(AND($B275="",$C275="",LEN($A275)&lt;=2),TRUE,FALSE)</formula>
    </cfRule>
    <cfRule type="expression" dxfId="2368" priority="3191">
      <formula>IF(AND($B275="",$C275=""),TRUE,FALSE)</formula>
    </cfRule>
  </conditionalFormatting>
  <conditionalFormatting sqref="G275">
    <cfRule type="expression" dxfId="2367" priority="3188">
      <formula>IF(AND($B275="",$C275="",LEN($A275)&lt;=2),TRUE,FALSE)</formula>
    </cfRule>
    <cfRule type="expression" dxfId="2366" priority="3189">
      <formula>IF(AND($B275="",$C275=""),TRUE,FALSE)</formula>
    </cfRule>
  </conditionalFormatting>
  <conditionalFormatting sqref="D59:E59 G59 A59">
    <cfRule type="expression" dxfId="2365" priority="3185">
      <formula>IF(AND($B59="",$C59="",LEN($A59)&lt;=2),TRUE,FALSE)</formula>
    </cfRule>
    <cfRule type="expression" dxfId="2364" priority="3186">
      <formula>IF(AND($B59="",$C59=""),TRUE,FALSE)</formula>
    </cfRule>
  </conditionalFormatting>
  <conditionalFormatting sqref="A59 H59:I59">
    <cfRule type="expression" dxfId="2363" priority="3183">
      <formula>IF(AND($B59="",$C59="",LEN($A59)&lt;=2),TRUE,FALSE)</formula>
    </cfRule>
    <cfRule type="expression" dxfId="2362" priority="3184">
      <formula>IF(AND($B59="",$C59=""),TRUE,FALSE)</formula>
    </cfRule>
  </conditionalFormatting>
  <conditionalFormatting sqref="F59">
    <cfRule type="expression" dxfId="2361" priority="3181">
      <formula>IF(AND($B59="",$C59="",LEN($A59)&lt;=2),TRUE,FALSE)</formula>
    </cfRule>
    <cfRule type="expression" dxfId="2360" priority="3182">
      <formula>IF(AND($B59="",$C59=""),TRUE,FALSE)</formula>
    </cfRule>
  </conditionalFormatting>
  <conditionalFormatting sqref="B59:C59">
    <cfRule type="expression" dxfId="2359" priority="3178">
      <formula>IF(AND($B59="",$C59="",LEN($A59)&lt;=2),TRUE,FALSE)</formula>
    </cfRule>
    <cfRule type="expression" dxfId="2358" priority="3179">
      <formula>IF(AND($B59="",$C59=""),TRUE,FALSE)</formula>
    </cfRule>
  </conditionalFormatting>
  <conditionalFormatting sqref="C59">
    <cfRule type="expression" dxfId="2357" priority="3180">
      <formula>IF((COUNTIF(#REF!,#REF!))&gt;1,TRUE,FALSE)</formula>
    </cfRule>
  </conditionalFormatting>
  <conditionalFormatting sqref="G67 D67:E67">
    <cfRule type="expression" dxfId="2356" priority="3175">
      <formula>IF(AND($B67="",$C67="",LEN($A67)&lt;=2),TRUE,FALSE)</formula>
    </cfRule>
    <cfRule type="expression" dxfId="2355" priority="3176">
      <formula>IF(AND($B67="",$C67=""),TRUE,FALSE)</formula>
    </cfRule>
  </conditionalFormatting>
  <conditionalFormatting sqref="B67:C67 H67:I67">
    <cfRule type="expression" dxfId="2354" priority="3171">
      <formula>IF(AND($B67="",$C67="",LEN($A67)&lt;=2),TRUE,FALSE)</formula>
    </cfRule>
    <cfRule type="expression" dxfId="2353" priority="3172">
      <formula>IF(AND($B67="",$C67=""),TRUE,FALSE)</formula>
    </cfRule>
  </conditionalFormatting>
  <conditionalFormatting sqref="C67">
    <cfRule type="expression" dxfId="2352" priority="3170">
      <formula>IF((COUNTIF(#REF!,#REF!))&gt;1,TRUE,FALSE)</formula>
    </cfRule>
  </conditionalFormatting>
  <conditionalFormatting sqref="F67:G67">
    <cfRule type="expression" dxfId="2351" priority="3168">
      <formula>IF(AND($B67="",$C67="",LEN($A67)&lt;=2),TRUE,FALSE)</formula>
    </cfRule>
    <cfRule type="expression" dxfId="2350" priority="3169">
      <formula>IF(AND($B67="",$C67=""),TRUE,FALSE)</formula>
    </cfRule>
  </conditionalFormatting>
  <conditionalFormatting sqref="C67">
    <cfRule type="expression" dxfId="2349" priority="3167">
      <formula>IF((COUNTIF(#REF!,#REF!))&gt;1,TRUE,FALSE)</formula>
    </cfRule>
  </conditionalFormatting>
  <conditionalFormatting sqref="F51">
    <cfRule type="expression" dxfId="2348" priority="3164">
      <formula>IF(AND($B51="",$C51="",LEN($A51)&lt;=2),TRUE,FALSE)</formula>
    </cfRule>
    <cfRule type="expression" dxfId="2347" priority="3165">
      <formula>IF(AND($B51="",$C51=""),TRUE,FALSE)</formula>
    </cfRule>
  </conditionalFormatting>
  <conditionalFormatting sqref="C51">
    <cfRule type="expression" dxfId="2346" priority="3160">
      <formula>IF((COUNTIF(#REF!,#REF!))&gt;1,TRUE,FALSE)</formula>
    </cfRule>
  </conditionalFormatting>
  <conditionalFormatting sqref="C51">
    <cfRule type="expression" dxfId="2345" priority="3159">
      <formula>IF((COUNTIF(#REF!,#REF!))&gt;1,TRUE,FALSE)</formula>
    </cfRule>
  </conditionalFormatting>
  <conditionalFormatting sqref="C51 H51:I51">
    <cfRule type="expression" dxfId="2344" priority="3162">
      <formula>IF(AND($B51="",$C51="",LEN($A51)&lt;=2),TRUE,FALSE)</formula>
    </cfRule>
    <cfRule type="expression" dxfId="2343" priority="3163">
      <formula>IF(AND($B51="",$C51=""),TRUE,FALSE)</formula>
    </cfRule>
  </conditionalFormatting>
  <conditionalFormatting sqref="C51">
    <cfRule type="expression" dxfId="2342" priority="3161">
      <formula>IF((COUNTIF(#REF!,#REF!))&gt;1,TRUE,FALSE)</formula>
    </cfRule>
  </conditionalFormatting>
  <conditionalFormatting sqref="D51">
    <cfRule type="expression" dxfId="2341" priority="3157">
      <formula>IF(AND($B51="",$C51="",LEN($A51)&lt;=2),TRUE,FALSE)</formula>
    </cfRule>
    <cfRule type="expression" dxfId="2340" priority="3158">
      <formula>IF(AND($B51="",$C51=""),TRUE,FALSE)</formula>
    </cfRule>
  </conditionalFormatting>
  <conditionalFormatting sqref="D51">
    <cfRule type="expression" dxfId="2339" priority="3155">
      <formula>IF(AND($B51="",$C51="",LEN($A51)&lt;=2),TRUE,FALSE)</formula>
    </cfRule>
    <cfRule type="expression" dxfId="2338" priority="3156">
      <formula>IF(AND($B51="",$C51=""),TRUE,FALSE)</formula>
    </cfRule>
  </conditionalFormatting>
  <conditionalFormatting sqref="B51">
    <cfRule type="expression" dxfId="2337" priority="3153">
      <formula>IF(AND($B51="",$C51="",LEN($A51)&lt;=2),TRUE,FALSE)</formula>
    </cfRule>
    <cfRule type="expression" dxfId="2336" priority="3154">
      <formula>IF(AND($B51="",$C51=""),TRUE,FALSE)</formula>
    </cfRule>
  </conditionalFormatting>
  <conditionalFormatting sqref="G51">
    <cfRule type="expression" dxfId="2335" priority="3149">
      <formula>IF(AND($B51="",$C51="",LEN($A51)&lt;=2),TRUE,FALSE)</formula>
    </cfRule>
    <cfRule type="expression" dxfId="2334" priority="3150">
      <formula>IF(AND($B51="",$C51=""),TRUE,FALSE)</formula>
    </cfRule>
  </conditionalFormatting>
  <conditionalFormatting sqref="E51">
    <cfRule type="expression" dxfId="2333" priority="3147">
      <formula>IF(AND($B51="",$C51="",LEN($A51)&lt;=2),TRUE,FALSE)</formula>
    </cfRule>
    <cfRule type="expression" dxfId="2332" priority="3148">
      <formula>IF(AND($B51="",$C51=""),TRUE,FALSE)</formula>
    </cfRule>
  </conditionalFormatting>
  <conditionalFormatting sqref="D228:E228 G228">
    <cfRule type="expression" dxfId="2331" priority="3144">
      <formula>IF(AND($B228="",$C228="",LEN($A228)&lt;=2),TRUE,FALSE)</formula>
    </cfRule>
    <cfRule type="expression" dxfId="2330" priority="3145">
      <formula>IF(AND($B228="",$C228=""),TRUE,FALSE)</formula>
    </cfRule>
  </conditionalFormatting>
  <conditionalFormatting sqref="H228:I228">
    <cfRule type="expression" dxfId="2329" priority="3140">
      <formula>IF(AND($B228="",$C228="",LEN($A228)&lt;=2),TRUE,FALSE)</formula>
    </cfRule>
    <cfRule type="expression" dxfId="2328" priority="3141">
      <formula>IF(AND($B228="",$C228=""),TRUE,FALSE)</formula>
    </cfRule>
  </conditionalFormatting>
  <conditionalFormatting sqref="F228">
    <cfRule type="expression" dxfId="2327" priority="3138">
      <formula>IF(AND($B228="",$C228="",LEN($A228)&lt;=2),TRUE,FALSE)</formula>
    </cfRule>
    <cfRule type="expression" dxfId="2326" priority="3139">
      <formula>IF(AND($B228="",$C228=""),TRUE,FALSE)</formula>
    </cfRule>
  </conditionalFormatting>
  <conditionalFormatting sqref="G231:G235 G237 G104:G149">
    <cfRule type="expression" dxfId="2325" priority="3134">
      <formula>IF((SUMIF(#REF!,#REF!,G:G)/COUNTIF(#REF!,#REF!))&lt;&gt;G104,TRUE,FALSE)</formula>
    </cfRule>
  </conditionalFormatting>
  <conditionalFormatting sqref="H82:I82">
    <cfRule type="expression" dxfId="2324" priority="3121">
      <formula>IF(AND($B82="",$C82="",LEN($A82)&lt;=2),TRUE,FALSE)</formula>
    </cfRule>
    <cfRule type="expression" dxfId="2323" priority="3122">
      <formula>IF(AND($B82="",$C82=""),TRUE,FALSE)</formula>
    </cfRule>
  </conditionalFormatting>
  <conditionalFormatting sqref="F82">
    <cfRule type="expression" dxfId="2322" priority="3119">
      <formula>IF(AND($B82="",$C82="",LEN($A82)&lt;=2),TRUE,FALSE)</formula>
    </cfRule>
    <cfRule type="expression" dxfId="2321" priority="3120">
      <formula>IF(AND($B82="",$C82=""),TRUE,FALSE)</formula>
    </cfRule>
  </conditionalFormatting>
  <conditionalFormatting sqref="D82">
    <cfRule type="expression" dxfId="2320" priority="3115">
      <formula>IF(AND($B82="",$C82="",LEN($A82)&lt;=2),TRUE,FALSE)</formula>
    </cfRule>
    <cfRule type="expression" dxfId="2319" priority="3116">
      <formula>IF(AND($B82="",$C82=""),TRUE,FALSE)</formula>
    </cfRule>
  </conditionalFormatting>
  <conditionalFormatting sqref="D82">
    <cfRule type="expression" dxfId="2318" priority="3113">
      <formula>IF(AND($B82="",$C82="",LEN($A82)&lt;=2),TRUE,FALSE)</formula>
    </cfRule>
    <cfRule type="expression" dxfId="2317" priority="3114">
      <formula>IF(AND($B82="",$C82=""),TRUE,FALSE)</formula>
    </cfRule>
  </conditionalFormatting>
  <conditionalFormatting sqref="G82">
    <cfRule type="expression" dxfId="2316" priority="3111">
      <formula>IF(AND($B82="",$C82="",LEN($A82)&lt;=2),TRUE,FALSE)</formula>
    </cfRule>
    <cfRule type="expression" dxfId="2315" priority="3112">
      <formula>IF(AND($B82="",$C82=""),TRUE,FALSE)</formula>
    </cfRule>
  </conditionalFormatting>
  <conditionalFormatting sqref="E82">
    <cfRule type="expression" dxfId="2314" priority="3109">
      <formula>IF(AND($B82="",$C82="",LEN($A82)&lt;=2),TRUE,FALSE)</formula>
    </cfRule>
    <cfRule type="expression" dxfId="2313" priority="3110">
      <formula>IF(AND($B82="",$C82=""),TRUE,FALSE)</formula>
    </cfRule>
  </conditionalFormatting>
  <conditionalFormatting sqref="B82:C82">
    <cfRule type="expression" dxfId="2312" priority="3106">
      <formula>IF(AND($B82="",$C82="",LEN($A82)&lt;=2),TRUE,FALSE)</formula>
    </cfRule>
    <cfRule type="expression" dxfId="2311" priority="3107">
      <formula>IF(AND($B82="",$C82=""),TRUE,FALSE)</formula>
    </cfRule>
  </conditionalFormatting>
  <conditionalFormatting sqref="C82">
    <cfRule type="expression" dxfId="2310" priority="3108">
      <formula>IF((COUNTIF(#REF!,#REF!))&gt;1,TRUE,FALSE)</formula>
    </cfRule>
  </conditionalFormatting>
  <conditionalFormatting sqref="F27 H27:I27">
    <cfRule type="expression" dxfId="2309" priority="3098">
      <formula>IF(AND($B27="",$C27="",LEN($A27)&lt;=2),TRUE,FALSE)</formula>
    </cfRule>
    <cfRule type="expression" dxfId="2308" priority="3099">
      <formula>IF(AND($B27="",$C27=""),TRUE,FALSE)</formula>
    </cfRule>
  </conditionalFormatting>
  <conditionalFormatting sqref="C27">
    <cfRule type="expression" dxfId="2307" priority="3096">
      <formula>IF(AND($B27="",$C27="",LEN($A27)&lt;=2),TRUE,FALSE)</formula>
    </cfRule>
    <cfRule type="expression" dxfId="2306" priority="3097">
      <formula>IF(AND($B27="",$C27=""),TRUE,FALSE)</formula>
    </cfRule>
  </conditionalFormatting>
  <conditionalFormatting sqref="C27">
    <cfRule type="expression" dxfId="2305" priority="3095">
      <formula>IF((COUNTIF(#REF!,#REF!))&gt;1,TRUE,FALSE)</formula>
    </cfRule>
  </conditionalFormatting>
  <conditionalFormatting sqref="C27">
    <cfRule type="expression" dxfId="2304" priority="3094">
      <formula>IF((COUNTIF(#REF!,#REF!))&gt;1,TRUE,FALSE)</formula>
    </cfRule>
  </conditionalFormatting>
  <conditionalFormatting sqref="C27">
    <cfRule type="expression" dxfId="2303" priority="3093">
      <formula>IF((COUNTIF(#REF!,#REF!))&gt;1,TRUE,FALSE)</formula>
    </cfRule>
  </conditionalFormatting>
  <conditionalFormatting sqref="B27">
    <cfRule type="expression" dxfId="2302" priority="3089">
      <formula>IF(AND($B27="",$C27="",LEN($A27)&lt;=2),TRUE,FALSE)</formula>
    </cfRule>
    <cfRule type="expression" dxfId="2301" priority="3090">
      <formula>IF(AND($B27="",$C27=""),TRUE,FALSE)</formula>
    </cfRule>
  </conditionalFormatting>
  <conditionalFormatting sqref="B27">
    <cfRule type="expression" dxfId="2300" priority="3091">
      <formula>IF(AND($B27="",$C27="",LEN($A27)&lt;=2),TRUE,FALSE)</formula>
    </cfRule>
    <cfRule type="expression" dxfId="2299" priority="3092">
      <formula>IF(AND($B27="",$C27=""),TRUE,FALSE)</formula>
    </cfRule>
  </conditionalFormatting>
  <conditionalFormatting sqref="D27">
    <cfRule type="expression" dxfId="2298" priority="3087">
      <formula>IF(AND($B27="",$C27="",LEN($A27)&lt;=2),TRUE,FALSE)</formula>
    </cfRule>
    <cfRule type="expression" dxfId="2297" priority="3088">
      <formula>IF(AND($B27="",$C27=""),TRUE,FALSE)</formula>
    </cfRule>
  </conditionalFormatting>
  <conditionalFormatting sqref="D27">
    <cfRule type="expression" dxfId="2296" priority="3085">
      <formula>IF(AND($B27="",$C27="",LEN($A27)&lt;=2),TRUE,FALSE)</formula>
    </cfRule>
    <cfRule type="expression" dxfId="2295" priority="3086">
      <formula>IF(AND($B27="",$C27=""),TRUE,FALSE)</formula>
    </cfRule>
  </conditionalFormatting>
  <conditionalFormatting sqref="G27">
    <cfRule type="expression" dxfId="2294" priority="3083">
      <formula>IF(AND($B27="",$C27="",LEN($A27)&lt;=2),TRUE,FALSE)</formula>
    </cfRule>
    <cfRule type="expression" dxfId="2293" priority="3084">
      <formula>IF(AND($B27="",$C27=""),TRUE,FALSE)</formula>
    </cfRule>
  </conditionalFormatting>
  <conditionalFormatting sqref="E27">
    <cfRule type="expression" dxfId="2292" priority="3081">
      <formula>IF(AND($B27="",$C27="",LEN($A27)&lt;=2),TRUE,FALSE)</formula>
    </cfRule>
    <cfRule type="expression" dxfId="2291" priority="3082">
      <formula>IF(AND($B27="",$C27=""),TRUE,FALSE)</formula>
    </cfRule>
  </conditionalFormatting>
  <conditionalFormatting sqref="B249:C249 H249:I249">
    <cfRule type="expression" dxfId="2290" priority="3072">
      <formula>IF(AND($B249="",$C249="",LEN($A249)&lt;=2),TRUE,FALSE)</formula>
    </cfRule>
    <cfRule type="expression" dxfId="2289" priority="3073">
      <formula>IF(AND($B249="",$C249=""),TRUE,FALSE)</formula>
    </cfRule>
  </conditionalFormatting>
  <conditionalFormatting sqref="C249">
    <cfRule type="expression" dxfId="2288" priority="3074">
      <formula>IF((COUNTIF(#REF!,#REF!))&gt;1,TRUE,FALSE)</formula>
    </cfRule>
  </conditionalFormatting>
  <conditionalFormatting sqref="F249">
    <cfRule type="expression" dxfId="2287" priority="3070">
      <formula>IF(AND($B249="",$C249="",LEN($A249)&lt;=2),TRUE,FALSE)</formula>
    </cfRule>
    <cfRule type="expression" dxfId="2286" priority="3071">
      <formula>IF(AND($B249="",$C249=""),TRUE,FALSE)</formula>
    </cfRule>
  </conditionalFormatting>
  <conditionalFormatting sqref="D249">
    <cfRule type="expression" dxfId="2285" priority="3068">
      <formula>IF(AND($B249="",$C249="",LEN($A249)&lt;=2),TRUE,FALSE)</formula>
    </cfRule>
    <cfRule type="expression" dxfId="2284" priority="3069">
      <formula>IF(AND($B249="",$C249=""),TRUE,FALSE)</formula>
    </cfRule>
  </conditionalFormatting>
  <conditionalFormatting sqref="D249">
    <cfRule type="expression" dxfId="2283" priority="3066">
      <formula>IF(AND($B249="",$C249="",LEN($A249)&lt;=2),TRUE,FALSE)</formula>
    </cfRule>
    <cfRule type="expression" dxfId="2282" priority="3067">
      <formula>IF(AND($B249="",$C249=""),TRUE,FALSE)</formula>
    </cfRule>
  </conditionalFormatting>
  <conditionalFormatting sqref="G249">
    <cfRule type="expression" dxfId="2281" priority="3064">
      <formula>IF(AND($B249="",$C249="",LEN($A249)&lt;=2),TRUE,FALSE)</formula>
    </cfRule>
    <cfRule type="expression" dxfId="2280" priority="3065">
      <formula>IF(AND($B249="",$C249=""),TRUE,FALSE)</formula>
    </cfRule>
  </conditionalFormatting>
  <conditionalFormatting sqref="E249">
    <cfRule type="expression" dxfId="2279" priority="3062">
      <formula>IF(AND($B249="",$C249="",LEN($A249)&lt;=2),TRUE,FALSE)</formula>
    </cfRule>
    <cfRule type="expression" dxfId="2278" priority="3063">
      <formula>IF(AND($B249="",$C249=""),TRUE,FALSE)</formula>
    </cfRule>
  </conditionalFormatting>
  <conditionalFormatting sqref="B248:C248 H248:I248">
    <cfRule type="expression" dxfId="2277" priority="3056">
      <formula>IF(AND($B248="",$C248="",LEN($A248)&lt;=2),TRUE,FALSE)</formula>
    </cfRule>
    <cfRule type="expression" dxfId="2276" priority="3057">
      <formula>IF(AND($B248="",$C248=""),TRUE,FALSE)</formula>
    </cfRule>
  </conditionalFormatting>
  <conditionalFormatting sqref="C248">
    <cfRule type="expression" dxfId="2275" priority="3058">
      <formula>IF((COUNTIF(#REF!,#REF!))&gt;1,TRUE,FALSE)</formula>
    </cfRule>
  </conditionalFormatting>
  <conditionalFormatting sqref="F248">
    <cfRule type="expression" dxfId="2274" priority="3054">
      <formula>IF(AND($B248="",$C248="",LEN($A248)&lt;=2),TRUE,FALSE)</formula>
    </cfRule>
    <cfRule type="expression" dxfId="2273" priority="3055">
      <formula>IF(AND($B248="",$C248=""),TRUE,FALSE)</formula>
    </cfRule>
  </conditionalFormatting>
  <conditionalFormatting sqref="D248">
    <cfRule type="expression" dxfId="2272" priority="3052">
      <formula>IF(AND($B248="",$C248="",LEN($A248)&lt;=2),TRUE,FALSE)</formula>
    </cfRule>
    <cfRule type="expression" dxfId="2271" priority="3053">
      <formula>IF(AND($B248="",$C248=""),TRUE,FALSE)</formula>
    </cfRule>
  </conditionalFormatting>
  <conditionalFormatting sqref="D248">
    <cfRule type="expression" dxfId="2270" priority="3050">
      <formula>IF(AND($B248="",$C248="",LEN($A248)&lt;=2),TRUE,FALSE)</formula>
    </cfRule>
    <cfRule type="expression" dxfId="2269" priority="3051">
      <formula>IF(AND($B248="",$C248=""),TRUE,FALSE)</formula>
    </cfRule>
  </conditionalFormatting>
  <conditionalFormatting sqref="G248">
    <cfRule type="expression" dxfId="2268" priority="3048">
      <formula>IF(AND($B248="",$C248="",LEN($A248)&lt;=2),TRUE,FALSE)</formula>
    </cfRule>
    <cfRule type="expression" dxfId="2267" priority="3049">
      <formula>IF(AND($B248="",$C248=""),TRUE,FALSE)</formula>
    </cfRule>
  </conditionalFormatting>
  <conditionalFormatting sqref="E248">
    <cfRule type="expression" dxfId="2266" priority="3046">
      <formula>IF(AND($B248="",$C248="",LEN($A248)&lt;=2),TRUE,FALSE)</formula>
    </cfRule>
    <cfRule type="expression" dxfId="2265" priority="3047">
      <formula>IF(AND($B248="",$C248=""),TRUE,FALSE)</formula>
    </cfRule>
  </conditionalFormatting>
  <conditionalFormatting sqref="B252:C252">
    <cfRule type="expression" dxfId="2264" priority="3040">
      <formula>IF(AND($B252="",$C252="",LEN($A252)&lt;=2),TRUE,FALSE)</formula>
    </cfRule>
    <cfRule type="expression" dxfId="2263" priority="3041">
      <formula>IF(AND($B252="",$C252=""),TRUE,FALSE)</formula>
    </cfRule>
  </conditionalFormatting>
  <conditionalFormatting sqref="C252">
    <cfRule type="expression" dxfId="2262" priority="3042">
      <formula>IF((COUNTIF(#REF!,#REF!))&gt;1,TRUE,FALSE)</formula>
    </cfRule>
  </conditionalFormatting>
  <conditionalFormatting sqref="D252">
    <cfRule type="expression" dxfId="2261" priority="3036">
      <formula>IF(AND($B252="",$C252="",LEN($A252)&lt;=2),TRUE,FALSE)</formula>
    </cfRule>
    <cfRule type="expression" dxfId="2260" priority="3037">
      <formula>IF(AND($B252="",$C252=""),TRUE,FALSE)</formula>
    </cfRule>
  </conditionalFormatting>
  <conditionalFormatting sqref="D252">
    <cfRule type="expression" dxfId="2259" priority="3034">
      <formula>IF(AND($B252="",$C252="",LEN($A252)&lt;=2),TRUE,FALSE)</formula>
    </cfRule>
    <cfRule type="expression" dxfId="2258" priority="3035">
      <formula>IF(AND($B252="",$C252=""),TRUE,FALSE)</formula>
    </cfRule>
  </conditionalFormatting>
  <conditionalFormatting sqref="E252">
    <cfRule type="expression" dxfId="2257" priority="3023">
      <formula>IF(AND($B252="",$C252="",LEN($A252)&lt;=2),TRUE,FALSE)</formula>
    </cfRule>
    <cfRule type="expression" dxfId="2256" priority="3024">
      <formula>IF(AND($B252="",$C252=""),TRUE,FALSE)</formula>
    </cfRule>
  </conditionalFormatting>
  <conditionalFormatting sqref="G252">
    <cfRule type="expression" dxfId="2255" priority="3021">
      <formula>IF(AND($B252="",$C252="",LEN($A252)&lt;=2),TRUE,FALSE)</formula>
    </cfRule>
    <cfRule type="expression" dxfId="2254" priority="3022">
      <formula>IF(AND($B252="",$C252=""),TRUE,FALSE)</formula>
    </cfRule>
  </conditionalFormatting>
  <conditionalFormatting sqref="H252:I252">
    <cfRule type="expression" dxfId="2253" priority="3027">
      <formula>IF(AND($B252="",$C252="",LEN($A252)&lt;=2),TRUE,FALSE)</formula>
    </cfRule>
    <cfRule type="expression" dxfId="2252" priority="3028">
      <formula>IF(AND($B252="",$C252=""),TRUE,FALSE)</formula>
    </cfRule>
  </conditionalFormatting>
  <conditionalFormatting sqref="F252">
    <cfRule type="expression" dxfId="2251" priority="3025">
      <formula>IF(AND($B252="",$C252="",LEN($A252)&lt;=2),TRUE,FALSE)</formula>
    </cfRule>
    <cfRule type="expression" dxfId="2250" priority="3026">
      <formula>IF(AND($B252="",$C252=""),TRUE,FALSE)</formula>
    </cfRule>
  </conditionalFormatting>
  <conditionalFormatting sqref="G34 D34:E34">
    <cfRule type="expression" dxfId="2249" priority="3006">
      <formula>IF(AND($B34="",$C34="",LEN($A34)&lt;=2),TRUE,FALSE)</formula>
    </cfRule>
    <cfRule type="expression" dxfId="2248" priority="3007">
      <formula>IF(AND($B34="",$C34=""),TRUE,FALSE)</formula>
    </cfRule>
  </conditionalFormatting>
  <conditionalFormatting sqref="F34 H34:I34">
    <cfRule type="expression" dxfId="2247" priority="3002">
      <formula>IF(AND($B34="",$C34="",LEN($A34)&lt;=2),TRUE,FALSE)</formula>
    </cfRule>
    <cfRule type="expression" dxfId="2246" priority="3003">
      <formula>IF(AND($B34="",$C34=""),TRUE,FALSE)</formula>
    </cfRule>
  </conditionalFormatting>
  <conditionalFormatting sqref="C34">
    <cfRule type="expression" dxfId="2245" priority="3000">
      <formula>IF(AND($B34="",$C34="",LEN($A34)&lt;=2),TRUE,FALSE)</formula>
    </cfRule>
    <cfRule type="expression" dxfId="2244" priority="3001">
      <formula>IF(AND($B34="",$C34=""),TRUE,FALSE)</formula>
    </cfRule>
  </conditionalFormatting>
  <conditionalFormatting sqref="C34">
    <cfRule type="expression" dxfId="2243" priority="2999">
      <formula>IF((COUNTIF(#REF!,#REF!))&gt;1,TRUE,FALSE)</formula>
    </cfRule>
  </conditionalFormatting>
  <conditionalFormatting sqref="C34">
    <cfRule type="expression" dxfId="2242" priority="2998">
      <formula>IF((COUNTIF(#REF!,#REF!))&gt;1,TRUE,FALSE)</formula>
    </cfRule>
  </conditionalFormatting>
  <conditionalFormatting sqref="C34">
    <cfRule type="expression" dxfId="2241" priority="2997">
      <formula>IF((COUNTIF(#REF!,#REF!))&gt;1,TRUE,FALSE)</formula>
    </cfRule>
  </conditionalFormatting>
  <conditionalFormatting sqref="B34">
    <cfRule type="expression" dxfId="2240" priority="2995">
      <formula>IF(AND($B34="",$C34="",LEN($A34)&lt;=2),TRUE,FALSE)</formula>
    </cfRule>
    <cfRule type="expression" dxfId="2239" priority="2996">
      <formula>IF(AND($B34="",$C34=""),TRUE,FALSE)</formula>
    </cfRule>
  </conditionalFormatting>
  <conditionalFormatting sqref="D231">
    <cfRule type="expression" dxfId="2238" priority="2993">
      <formula>IF(AND($B231="",$C231="",LEN($A231)&lt;=2),TRUE,FALSE)</formula>
    </cfRule>
    <cfRule type="expression" dxfId="2237" priority="2994">
      <formula>IF(AND($B231="",$C231=""),TRUE,FALSE)</formula>
    </cfRule>
  </conditionalFormatting>
  <conditionalFormatting sqref="B231:C231">
    <cfRule type="expression" dxfId="2236" priority="2988">
      <formula>IF(AND($B231="",$C231="",LEN($A231)&lt;=2),TRUE,FALSE)</formula>
    </cfRule>
    <cfRule type="expression" dxfId="2235" priority="2989">
      <formula>IF(AND($B231="",$C231=""),TRUE,FALSE)</formula>
    </cfRule>
  </conditionalFormatting>
  <conditionalFormatting sqref="C231">
    <cfRule type="expression" dxfId="2234" priority="2990">
      <formula>IF((COUNTIF(#REF!,#REF!))&gt;1,TRUE,FALSE)</formula>
    </cfRule>
  </conditionalFormatting>
  <conditionalFormatting sqref="H231:I231">
    <cfRule type="expression" dxfId="2233" priority="2985">
      <formula>IF(AND($B231="",$C231="",LEN($A231)&lt;=2),TRUE,FALSE)</formula>
    </cfRule>
    <cfRule type="expression" dxfId="2232" priority="2986">
      <formula>IF(AND($B231="",$C231=""),TRUE,FALSE)</formula>
    </cfRule>
  </conditionalFormatting>
  <conditionalFormatting sqref="F231">
    <cfRule type="expression" dxfId="2231" priority="2983">
      <formula>IF(AND($B231="",$C231="",LEN($A231)&lt;=2),TRUE,FALSE)</formula>
    </cfRule>
    <cfRule type="expression" dxfId="2230" priority="2984">
      <formula>IF(AND($B231="",$C231=""),TRUE,FALSE)</formula>
    </cfRule>
  </conditionalFormatting>
  <conditionalFormatting sqref="E231">
    <cfRule type="expression" dxfId="2229" priority="2981">
      <formula>IF(AND($B231="",$C231="",LEN($A231)&lt;=2),TRUE,FALSE)</formula>
    </cfRule>
    <cfRule type="expression" dxfId="2228" priority="2982">
      <formula>IF(AND($B231="",$C231=""),TRUE,FALSE)</formula>
    </cfRule>
  </conditionalFormatting>
  <conditionalFormatting sqref="G231">
    <cfRule type="expression" dxfId="2227" priority="2979">
      <formula>IF(AND($B231="",$C231="",LEN($A231)&lt;=2),TRUE,FALSE)</formula>
    </cfRule>
    <cfRule type="expression" dxfId="2226" priority="2980">
      <formula>IF(AND($B231="",$C231=""),TRUE,FALSE)</formula>
    </cfRule>
  </conditionalFormatting>
  <conditionalFormatting sqref="D60:E60 G60 A60">
    <cfRule type="expression" dxfId="2225" priority="2976">
      <formula>IF(AND($B60="",$C60="",LEN($A60)&lt;=2),TRUE,FALSE)</formula>
    </cfRule>
    <cfRule type="expression" dxfId="2224" priority="2977">
      <formula>IF(AND($B60="",$C60=""),TRUE,FALSE)</formula>
    </cfRule>
  </conditionalFormatting>
  <conditionalFormatting sqref="A60 H60:I60">
    <cfRule type="expression" dxfId="2223" priority="2974">
      <formula>IF(AND($B60="",$C60="",LEN($A60)&lt;=2),TRUE,FALSE)</formula>
    </cfRule>
    <cfRule type="expression" dxfId="2222" priority="2975">
      <formula>IF(AND($B60="",$C60=""),TRUE,FALSE)</formula>
    </cfRule>
  </conditionalFormatting>
  <conditionalFormatting sqref="F60">
    <cfRule type="expression" dxfId="2221" priority="2972">
      <formula>IF(AND($B60="",$C60="",LEN($A60)&lt;=2),TRUE,FALSE)</formula>
    </cfRule>
    <cfRule type="expression" dxfId="2220" priority="2973">
      <formula>IF(AND($B60="",$C60=""),TRUE,FALSE)</formula>
    </cfRule>
  </conditionalFormatting>
  <conditionalFormatting sqref="B60:C60">
    <cfRule type="expression" dxfId="2219" priority="2969">
      <formula>IF(AND($B60="",$C60="",LEN($A60)&lt;=2),TRUE,FALSE)</formula>
    </cfRule>
    <cfRule type="expression" dxfId="2218" priority="2970">
      <formula>IF(AND($B60="",$C60=""),TRUE,FALSE)</formula>
    </cfRule>
  </conditionalFormatting>
  <conditionalFormatting sqref="C60">
    <cfRule type="expression" dxfId="2217" priority="2971">
      <formula>IF((COUNTIF(#REF!,#REF!))&gt;1,TRUE,FALSE)</formula>
    </cfRule>
  </conditionalFormatting>
  <conditionalFormatting sqref="B79:C79 H79:I79">
    <cfRule type="expression" dxfId="2216" priority="2961">
      <formula>IF(AND($B79="",$C79="",LEN($A79)&lt;=2),TRUE,FALSE)</formula>
    </cfRule>
    <cfRule type="expression" dxfId="2215" priority="2962">
      <formula>IF(AND($B79="",$C79=""),TRUE,FALSE)</formula>
    </cfRule>
  </conditionalFormatting>
  <conditionalFormatting sqref="C79">
    <cfRule type="expression" dxfId="2214" priority="2963">
      <formula>IF((COUNTIF(#REF!,#REF!))&gt;1,TRUE,FALSE)</formula>
    </cfRule>
  </conditionalFormatting>
  <conditionalFormatting sqref="F79">
    <cfRule type="expression" dxfId="2213" priority="2959">
      <formula>IF(AND($B79="",$C79="",LEN($A79)&lt;=2),TRUE,FALSE)</formula>
    </cfRule>
    <cfRule type="expression" dxfId="2212" priority="2960">
      <formula>IF(AND($B79="",$C79=""),TRUE,FALSE)</formula>
    </cfRule>
  </conditionalFormatting>
  <conditionalFormatting sqref="D79">
    <cfRule type="expression" dxfId="2211" priority="2957">
      <formula>IF(AND($B79="",$C79="",LEN($A79)&lt;=2),TRUE,FALSE)</formula>
    </cfRule>
    <cfRule type="expression" dxfId="2210" priority="2958">
      <formula>IF(AND($B79="",$C79=""),TRUE,FALSE)</formula>
    </cfRule>
  </conditionalFormatting>
  <conditionalFormatting sqref="D79">
    <cfRule type="expression" dxfId="2209" priority="2955">
      <formula>IF(AND($B79="",$C79="",LEN($A79)&lt;=2),TRUE,FALSE)</formula>
    </cfRule>
    <cfRule type="expression" dxfId="2208" priority="2956">
      <formula>IF(AND($B79="",$C79=""),TRUE,FALSE)</formula>
    </cfRule>
  </conditionalFormatting>
  <conditionalFormatting sqref="G79">
    <cfRule type="expression" dxfId="2207" priority="2953">
      <formula>IF(AND($B79="",$C79="",LEN($A79)&lt;=2),TRUE,FALSE)</formula>
    </cfRule>
    <cfRule type="expression" dxfId="2206" priority="2954">
      <formula>IF(AND($B79="",$C79=""),TRUE,FALSE)</formula>
    </cfRule>
  </conditionalFormatting>
  <conditionalFormatting sqref="E79">
    <cfRule type="expression" dxfId="2205" priority="2951">
      <formula>IF(AND($B79="",$C79="",LEN($A79)&lt;=2),TRUE,FALSE)</formula>
    </cfRule>
    <cfRule type="expression" dxfId="2204" priority="2952">
      <formula>IF(AND($B79="",$C79=""),TRUE,FALSE)</formula>
    </cfRule>
  </conditionalFormatting>
  <conditionalFormatting sqref="C37">
    <cfRule type="expression" dxfId="2203" priority="2935">
      <formula>IF((COUNTIF(#REF!,#REF!))&gt;1,TRUE,FALSE)</formula>
    </cfRule>
  </conditionalFormatting>
  <conditionalFormatting sqref="D263 A263:A265 A267:A268">
    <cfRule type="expression" dxfId="2202" priority="2925">
      <formula>IF(AND($B263="",$C263="",LEN($A263)&lt;=2),TRUE,FALSE)</formula>
    </cfRule>
    <cfRule type="expression" dxfId="2201" priority="2926">
      <formula>IF(AND($B263="",$C263=""),TRUE,FALSE)</formula>
    </cfRule>
  </conditionalFormatting>
  <conditionalFormatting sqref="B263:C263">
    <cfRule type="expression" dxfId="2200" priority="2921">
      <formula>IF(AND($B263="",$C263="",LEN($A263)&lt;=2),TRUE,FALSE)</formula>
    </cfRule>
    <cfRule type="expression" dxfId="2199" priority="2922">
      <formula>IF(AND($B263="",$C263=""),TRUE,FALSE)</formula>
    </cfRule>
  </conditionalFormatting>
  <conditionalFormatting sqref="C263">
    <cfRule type="expression" dxfId="2198" priority="2923">
      <formula>IF((COUNTIF(#REF!,#REF!))&gt;1,TRUE,FALSE)</formula>
    </cfRule>
  </conditionalFormatting>
  <conditionalFormatting sqref="H263:I263">
    <cfRule type="expression" dxfId="2197" priority="2919">
      <formula>IF(AND($B263="",$C263="",LEN($A263)&lt;=2),TRUE,FALSE)</formula>
    </cfRule>
    <cfRule type="expression" dxfId="2196" priority="2920">
      <formula>IF(AND($B263="",$C263=""),TRUE,FALSE)</formula>
    </cfRule>
  </conditionalFormatting>
  <conditionalFormatting sqref="F263">
    <cfRule type="expression" dxfId="2195" priority="2917">
      <formula>IF(AND($B263="",$C263="",LEN($A263)&lt;=2),TRUE,FALSE)</formula>
    </cfRule>
    <cfRule type="expression" dxfId="2194" priority="2918">
      <formula>IF(AND($B263="",$C263=""),TRUE,FALSE)</formula>
    </cfRule>
  </conditionalFormatting>
  <conditionalFormatting sqref="E263">
    <cfRule type="expression" dxfId="2193" priority="2915">
      <formula>IF(AND($B263="",$C263="",LEN($A263)&lt;=2),TRUE,FALSE)</formula>
    </cfRule>
    <cfRule type="expression" dxfId="2192" priority="2916">
      <formula>IF(AND($B263="",$C263=""),TRUE,FALSE)</formula>
    </cfRule>
  </conditionalFormatting>
  <conditionalFormatting sqref="G263">
    <cfRule type="expression" dxfId="2191" priority="2913">
      <formula>IF(AND($B263="",$C263="",LEN($A263)&lt;=2),TRUE,FALSE)</formula>
    </cfRule>
    <cfRule type="expression" dxfId="2190" priority="2914">
      <formula>IF(AND($B263="",$C263=""),TRUE,FALSE)</formula>
    </cfRule>
  </conditionalFormatting>
  <conditionalFormatting sqref="D267">
    <cfRule type="expression" dxfId="2189" priority="2910">
      <formula>IF(AND($B267="",$C267="",LEN($A267)&lt;=2),TRUE,FALSE)</formula>
    </cfRule>
    <cfRule type="expression" dxfId="2188" priority="2911">
      <formula>IF(AND($B267="",$C267=""),TRUE,FALSE)</formula>
    </cfRule>
  </conditionalFormatting>
  <conditionalFormatting sqref="B267:C267">
    <cfRule type="expression" dxfId="2187" priority="2907">
      <formula>IF(AND($B267="",$C267="",LEN($A267)&lt;=2),TRUE,FALSE)</formula>
    </cfRule>
    <cfRule type="expression" dxfId="2186" priority="2908">
      <formula>IF(AND($B267="",$C267=""),TRUE,FALSE)</formula>
    </cfRule>
  </conditionalFormatting>
  <conditionalFormatting sqref="C267">
    <cfRule type="expression" dxfId="2185" priority="2909">
      <formula>IF((COUNTIF(#REF!,#REF!))&gt;1,TRUE,FALSE)</formula>
    </cfRule>
  </conditionalFormatting>
  <conditionalFormatting sqref="H267:I267">
    <cfRule type="expression" dxfId="2184" priority="2905">
      <formula>IF(AND($B267="",$C267="",LEN($A267)&lt;=2),TRUE,FALSE)</formula>
    </cfRule>
    <cfRule type="expression" dxfId="2183" priority="2906">
      <formula>IF(AND($B267="",$C267=""),TRUE,FALSE)</formula>
    </cfRule>
  </conditionalFormatting>
  <conditionalFormatting sqref="F267">
    <cfRule type="expression" dxfId="2182" priority="2903">
      <formula>IF(AND($B267="",$C267="",LEN($A267)&lt;=2),TRUE,FALSE)</formula>
    </cfRule>
    <cfRule type="expression" dxfId="2181" priority="2904">
      <formula>IF(AND($B267="",$C267=""),TRUE,FALSE)</formula>
    </cfRule>
  </conditionalFormatting>
  <conditionalFormatting sqref="E267">
    <cfRule type="expression" dxfId="2180" priority="2901">
      <formula>IF(AND($B267="",$C267="",LEN($A267)&lt;=2),TRUE,FALSE)</formula>
    </cfRule>
    <cfRule type="expression" dxfId="2179" priority="2902">
      <formula>IF(AND($B267="",$C267=""),TRUE,FALSE)</formula>
    </cfRule>
  </conditionalFormatting>
  <conditionalFormatting sqref="G267">
    <cfRule type="expression" dxfId="2178" priority="2899">
      <formula>IF(AND($B267="",$C267="",LEN($A267)&lt;=2),TRUE,FALSE)</formula>
    </cfRule>
    <cfRule type="expression" dxfId="2177" priority="2900">
      <formula>IF(AND($B267="",$C267=""),TRUE,FALSE)</formula>
    </cfRule>
  </conditionalFormatting>
  <conditionalFormatting sqref="D264">
    <cfRule type="expression" dxfId="2176" priority="2896">
      <formula>IF(AND($B264="",$C264="",LEN($A264)&lt;=2),TRUE,FALSE)</formula>
    </cfRule>
    <cfRule type="expression" dxfId="2175" priority="2897">
      <formula>IF(AND($B264="",$C264=""),TRUE,FALSE)</formula>
    </cfRule>
  </conditionalFormatting>
  <conditionalFormatting sqref="B264:C264">
    <cfRule type="expression" dxfId="2174" priority="2893">
      <formula>IF(AND($B264="",$C264="",LEN($A264)&lt;=2),TRUE,FALSE)</formula>
    </cfRule>
    <cfRule type="expression" dxfId="2173" priority="2894">
      <formula>IF(AND($B264="",$C264=""),TRUE,FALSE)</formula>
    </cfRule>
  </conditionalFormatting>
  <conditionalFormatting sqref="C264">
    <cfRule type="expression" dxfId="2172" priority="2895">
      <formula>IF((COUNTIF(#REF!,#REF!))&gt;1,TRUE,FALSE)</formula>
    </cfRule>
  </conditionalFormatting>
  <conditionalFormatting sqref="H264:I264">
    <cfRule type="expression" dxfId="2171" priority="2891">
      <formula>IF(AND($B264="",$C264="",LEN($A264)&lt;=2),TRUE,FALSE)</formula>
    </cfRule>
    <cfRule type="expression" dxfId="2170" priority="2892">
      <formula>IF(AND($B264="",$C264=""),TRUE,FALSE)</formula>
    </cfRule>
  </conditionalFormatting>
  <conditionalFormatting sqref="F264">
    <cfRule type="expression" dxfId="2169" priority="2889">
      <formula>IF(AND($B264="",$C264="",LEN($A264)&lt;=2),TRUE,FALSE)</formula>
    </cfRule>
    <cfRule type="expression" dxfId="2168" priority="2890">
      <formula>IF(AND($B264="",$C264=""),TRUE,FALSE)</formula>
    </cfRule>
  </conditionalFormatting>
  <conditionalFormatting sqref="E264">
    <cfRule type="expression" dxfId="2167" priority="2887">
      <formula>IF(AND($B264="",$C264="",LEN($A264)&lt;=2),TRUE,FALSE)</formula>
    </cfRule>
    <cfRule type="expression" dxfId="2166" priority="2888">
      <formula>IF(AND($B264="",$C264=""),TRUE,FALSE)</formula>
    </cfRule>
  </conditionalFormatting>
  <conditionalFormatting sqref="G264">
    <cfRule type="expression" dxfId="2165" priority="2885">
      <formula>IF(AND($B264="",$C264="",LEN($A264)&lt;=2),TRUE,FALSE)</formula>
    </cfRule>
    <cfRule type="expression" dxfId="2164" priority="2886">
      <formula>IF(AND($B264="",$C264=""),TRUE,FALSE)</formula>
    </cfRule>
  </conditionalFormatting>
  <conditionalFormatting sqref="D265">
    <cfRule type="expression" dxfId="2163" priority="2882">
      <formula>IF(AND($B265="",$C265="",LEN($A265)&lt;=2),TRUE,FALSE)</formula>
    </cfRule>
    <cfRule type="expression" dxfId="2162" priority="2883">
      <formula>IF(AND($B265="",$C265=""),TRUE,FALSE)</formula>
    </cfRule>
  </conditionalFormatting>
  <conditionalFormatting sqref="B265:C265">
    <cfRule type="expression" dxfId="2161" priority="2879">
      <formula>IF(AND($B265="",$C265="",LEN($A265)&lt;=2),TRUE,FALSE)</formula>
    </cfRule>
    <cfRule type="expression" dxfId="2160" priority="2880">
      <formula>IF(AND($B265="",$C265=""),TRUE,FALSE)</formula>
    </cfRule>
  </conditionalFormatting>
  <conditionalFormatting sqref="C265">
    <cfRule type="expression" dxfId="2159" priority="2881">
      <formula>IF((COUNTIF(#REF!,#REF!))&gt;1,TRUE,FALSE)</formula>
    </cfRule>
  </conditionalFormatting>
  <conditionalFormatting sqref="H265:I265">
    <cfRule type="expression" dxfId="2158" priority="2877">
      <formula>IF(AND($B265="",$C265="",LEN($A265)&lt;=2),TRUE,FALSE)</formula>
    </cfRule>
    <cfRule type="expression" dxfId="2157" priority="2878">
      <formula>IF(AND($B265="",$C265=""),TRUE,FALSE)</formula>
    </cfRule>
  </conditionalFormatting>
  <conditionalFormatting sqref="F265">
    <cfRule type="expression" dxfId="2156" priority="2875">
      <formula>IF(AND($B265="",$C265="",LEN($A265)&lt;=2),TRUE,FALSE)</formula>
    </cfRule>
    <cfRule type="expression" dxfId="2155" priority="2876">
      <formula>IF(AND($B265="",$C265=""),TRUE,FALSE)</formula>
    </cfRule>
  </conditionalFormatting>
  <conditionalFormatting sqref="E265">
    <cfRule type="expression" dxfId="2154" priority="2873">
      <formula>IF(AND($B265="",$C265="",LEN($A265)&lt;=2),TRUE,FALSE)</formula>
    </cfRule>
    <cfRule type="expression" dxfId="2153" priority="2874">
      <formula>IF(AND($B265="",$C265=""),TRUE,FALSE)</formula>
    </cfRule>
  </conditionalFormatting>
  <conditionalFormatting sqref="G265">
    <cfRule type="expression" dxfId="2152" priority="2871">
      <formula>IF(AND($B265="",$C265="",LEN($A265)&lt;=2),TRUE,FALSE)</formula>
    </cfRule>
    <cfRule type="expression" dxfId="2151" priority="2872">
      <formula>IF(AND($B265="",$C265=""),TRUE,FALSE)</formula>
    </cfRule>
  </conditionalFormatting>
  <conditionalFormatting sqref="D61:E61 G61 A61">
    <cfRule type="expression" dxfId="2150" priority="2868">
      <formula>IF(AND($B61="",$C61="",LEN($A61)&lt;=2),TRUE,FALSE)</formula>
    </cfRule>
    <cfRule type="expression" dxfId="2149" priority="2869">
      <formula>IF(AND($B61="",$C61=""),TRUE,FALSE)</formula>
    </cfRule>
  </conditionalFormatting>
  <conditionalFormatting sqref="A61 H61:I61">
    <cfRule type="expression" dxfId="2148" priority="2866">
      <formula>IF(AND($B61="",$C61="",LEN($A61)&lt;=2),TRUE,FALSE)</formula>
    </cfRule>
    <cfRule type="expression" dxfId="2147" priority="2867">
      <formula>IF(AND($B61="",$C61=""),TRUE,FALSE)</formula>
    </cfRule>
  </conditionalFormatting>
  <conditionalFormatting sqref="F61">
    <cfRule type="expression" dxfId="2146" priority="2864">
      <formula>IF(AND($B61="",$C61="",LEN($A61)&lt;=2),TRUE,FALSE)</formula>
    </cfRule>
    <cfRule type="expression" dxfId="2145" priority="2865">
      <formula>IF(AND($B61="",$C61=""),TRUE,FALSE)</formula>
    </cfRule>
  </conditionalFormatting>
  <conditionalFormatting sqref="B61:C61">
    <cfRule type="expression" dxfId="2144" priority="2861">
      <formula>IF(AND($B61="",$C61="",LEN($A61)&lt;=2),TRUE,FALSE)</formula>
    </cfRule>
    <cfRule type="expression" dxfId="2143" priority="2862">
      <formula>IF(AND($B61="",$C61=""),TRUE,FALSE)</formula>
    </cfRule>
  </conditionalFormatting>
  <conditionalFormatting sqref="C61">
    <cfRule type="expression" dxfId="2142" priority="2863">
      <formula>IF((COUNTIF(#REF!,#REF!))&gt;1,TRUE,FALSE)</formula>
    </cfRule>
  </conditionalFormatting>
  <conditionalFormatting sqref="F52">
    <cfRule type="expression" dxfId="2141" priority="2858">
      <formula>IF(AND($B52="",$C52="",LEN($A52)&lt;=2),TRUE,FALSE)</formula>
    </cfRule>
    <cfRule type="expression" dxfId="2140" priority="2859">
      <formula>IF(AND($B52="",$C52=""),TRUE,FALSE)</formula>
    </cfRule>
  </conditionalFormatting>
  <conditionalFormatting sqref="C52">
    <cfRule type="expression" dxfId="2139" priority="2854">
      <formula>IF((COUNTIF(#REF!,#REF!))&gt;1,TRUE,FALSE)</formula>
    </cfRule>
  </conditionalFormatting>
  <conditionalFormatting sqref="C52">
    <cfRule type="expression" dxfId="2138" priority="2853">
      <formula>IF((COUNTIF(#REF!,#REF!))&gt;1,TRUE,FALSE)</formula>
    </cfRule>
  </conditionalFormatting>
  <conditionalFormatting sqref="C52 H52:I52">
    <cfRule type="expression" dxfId="2137" priority="2856">
      <formula>IF(AND($B52="",$C52="",LEN($A52)&lt;=2),TRUE,FALSE)</formula>
    </cfRule>
    <cfRule type="expression" dxfId="2136" priority="2857">
      <formula>IF(AND($B52="",$C52=""),TRUE,FALSE)</formula>
    </cfRule>
  </conditionalFormatting>
  <conditionalFormatting sqref="C52">
    <cfRule type="expression" dxfId="2135" priority="2855">
      <formula>IF((COUNTIF(#REF!,#REF!))&gt;1,TRUE,FALSE)</formula>
    </cfRule>
  </conditionalFormatting>
  <conditionalFormatting sqref="D52">
    <cfRule type="expression" dxfId="2134" priority="2851">
      <formula>IF(AND($B52="",$C52="",LEN($A52)&lt;=2),TRUE,FALSE)</formula>
    </cfRule>
    <cfRule type="expression" dxfId="2133" priority="2852">
      <formula>IF(AND($B52="",$C52=""),TRUE,FALSE)</formula>
    </cfRule>
  </conditionalFormatting>
  <conditionalFormatting sqref="D52">
    <cfRule type="expression" dxfId="2132" priority="2849">
      <formula>IF(AND($B52="",$C52="",LEN($A52)&lt;=2),TRUE,FALSE)</formula>
    </cfRule>
    <cfRule type="expression" dxfId="2131" priority="2850">
      <formula>IF(AND($B52="",$C52=""),TRUE,FALSE)</formula>
    </cfRule>
  </conditionalFormatting>
  <conditionalFormatting sqref="B52">
    <cfRule type="expression" dxfId="2130" priority="2847">
      <formula>IF(AND($B52="",$C52="",LEN($A52)&lt;=2),TRUE,FALSE)</formula>
    </cfRule>
    <cfRule type="expression" dxfId="2129" priority="2848">
      <formula>IF(AND($B52="",$C52=""),TRUE,FALSE)</formula>
    </cfRule>
  </conditionalFormatting>
  <conditionalFormatting sqref="G52">
    <cfRule type="expression" dxfId="2128" priority="2843">
      <formula>IF(AND($B52="",$C52="",LEN($A52)&lt;=2),TRUE,FALSE)</formula>
    </cfRule>
    <cfRule type="expression" dxfId="2127" priority="2844">
      <formula>IF(AND($B52="",$C52=""),TRUE,FALSE)</formula>
    </cfRule>
  </conditionalFormatting>
  <conditionalFormatting sqref="E52">
    <cfRule type="expression" dxfId="2126" priority="2841">
      <formula>IF(AND($B52="",$C52="",LEN($A52)&lt;=2),TRUE,FALSE)</formula>
    </cfRule>
    <cfRule type="expression" dxfId="2125" priority="2842">
      <formula>IF(AND($B52="",$C52=""),TRUE,FALSE)</formula>
    </cfRule>
  </conditionalFormatting>
  <conditionalFormatting sqref="F53">
    <cfRule type="expression" dxfId="2124" priority="2838">
      <formula>IF(AND($B53="",$C53="",LEN($A53)&lt;=2),TRUE,FALSE)</formula>
    </cfRule>
    <cfRule type="expression" dxfId="2123" priority="2839">
      <formula>IF(AND($B53="",$C53=""),TRUE,FALSE)</formula>
    </cfRule>
  </conditionalFormatting>
  <conditionalFormatting sqref="C53">
    <cfRule type="expression" dxfId="2122" priority="2834">
      <formula>IF((COUNTIF(#REF!,#REF!))&gt;1,TRUE,FALSE)</formula>
    </cfRule>
  </conditionalFormatting>
  <conditionalFormatting sqref="C53">
    <cfRule type="expression" dxfId="2121" priority="2833">
      <formula>IF((COUNTIF(#REF!,#REF!))&gt;1,TRUE,FALSE)</formula>
    </cfRule>
  </conditionalFormatting>
  <conditionalFormatting sqref="C53 H53:I53">
    <cfRule type="expression" dxfId="2120" priority="2836">
      <formula>IF(AND($B53="",$C53="",LEN($A53)&lt;=2),TRUE,FALSE)</formula>
    </cfRule>
    <cfRule type="expression" dxfId="2119" priority="2837">
      <formula>IF(AND($B53="",$C53=""),TRUE,FALSE)</formula>
    </cfRule>
  </conditionalFormatting>
  <conditionalFormatting sqref="C53">
    <cfRule type="expression" dxfId="2118" priority="2835">
      <formula>IF((COUNTIF(#REF!,#REF!))&gt;1,TRUE,FALSE)</formula>
    </cfRule>
  </conditionalFormatting>
  <conditionalFormatting sqref="D53">
    <cfRule type="expression" dxfId="2117" priority="2831">
      <formula>IF(AND($B53="",$C53="",LEN($A53)&lt;=2),TRUE,FALSE)</formula>
    </cfRule>
    <cfRule type="expression" dxfId="2116" priority="2832">
      <formula>IF(AND($B53="",$C53=""),TRUE,FALSE)</formula>
    </cfRule>
  </conditionalFormatting>
  <conditionalFormatting sqref="D53">
    <cfRule type="expression" dxfId="2115" priority="2829">
      <formula>IF(AND($B53="",$C53="",LEN($A53)&lt;=2),TRUE,FALSE)</formula>
    </cfRule>
    <cfRule type="expression" dxfId="2114" priority="2830">
      <formula>IF(AND($B53="",$C53=""),TRUE,FALSE)</formula>
    </cfRule>
  </conditionalFormatting>
  <conditionalFormatting sqref="B53">
    <cfRule type="expression" dxfId="2113" priority="2827">
      <formula>IF(AND($B53="",$C53="",LEN($A53)&lt;=2),TRUE,FALSE)</formula>
    </cfRule>
    <cfRule type="expression" dxfId="2112" priority="2828">
      <formula>IF(AND($B53="",$C53=""),TRUE,FALSE)</formula>
    </cfRule>
  </conditionalFormatting>
  <conditionalFormatting sqref="G53">
    <cfRule type="expression" dxfId="2111" priority="2823">
      <formula>IF(AND($B53="",$C53="",LEN($A53)&lt;=2),TRUE,FALSE)</formula>
    </cfRule>
    <cfRule type="expression" dxfId="2110" priority="2824">
      <formula>IF(AND($B53="",$C53=""),TRUE,FALSE)</formula>
    </cfRule>
  </conditionalFormatting>
  <conditionalFormatting sqref="E53">
    <cfRule type="expression" dxfId="2109" priority="2821">
      <formula>IF(AND($B53="",$C53="",LEN($A53)&lt;=2),TRUE,FALSE)</formula>
    </cfRule>
    <cfRule type="expression" dxfId="2108" priority="2822">
      <formula>IF(AND($B53="",$C53=""),TRUE,FALSE)</formula>
    </cfRule>
  </conditionalFormatting>
  <conditionalFormatting sqref="F54">
    <cfRule type="expression" dxfId="2107" priority="2818">
      <formula>IF(AND($B54="",$C54="",LEN($A54)&lt;=2),TRUE,FALSE)</formula>
    </cfRule>
    <cfRule type="expression" dxfId="2106" priority="2819">
      <formula>IF(AND($B54="",$C54=""),TRUE,FALSE)</formula>
    </cfRule>
  </conditionalFormatting>
  <conditionalFormatting sqref="C54">
    <cfRule type="expression" dxfId="2105" priority="2814">
      <formula>IF((COUNTIF(#REF!,#REF!))&gt;1,TRUE,FALSE)</formula>
    </cfRule>
  </conditionalFormatting>
  <conditionalFormatting sqref="C54">
    <cfRule type="expression" dxfId="2104" priority="2813">
      <formula>IF((COUNTIF(#REF!,#REF!))&gt;1,TRUE,FALSE)</formula>
    </cfRule>
  </conditionalFormatting>
  <conditionalFormatting sqref="C54 H54:I54">
    <cfRule type="expression" dxfId="2103" priority="2816">
      <formula>IF(AND($B54="",$C54="",LEN($A54)&lt;=2),TRUE,FALSE)</formula>
    </cfRule>
    <cfRule type="expression" dxfId="2102" priority="2817">
      <formula>IF(AND($B54="",$C54=""),TRUE,FALSE)</formula>
    </cfRule>
  </conditionalFormatting>
  <conditionalFormatting sqref="C54">
    <cfRule type="expression" dxfId="2101" priority="2815">
      <formula>IF((COUNTIF(#REF!,#REF!))&gt;1,TRUE,FALSE)</formula>
    </cfRule>
  </conditionalFormatting>
  <conditionalFormatting sqref="D54">
    <cfRule type="expression" dxfId="2100" priority="2811">
      <formula>IF(AND($B54="",$C54="",LEN($A54)&lt;=2),TRUE,FALSE)</formula>
    </cfRule>
    <cfRule type="expression" dxfId="2099" priority="2812">
      <formula>IF(AND($B54="",$C54=""),TRUE,FALSE)</formula>
    </cfRule>
  </conditionalFormatting>
  <conditionalFormatting sqref="D54">
    <cfRule type="expression" dxfId="2098" priority="2809">
      <formula>IF(AND($B54="",$C54="",LEN($A54)&lt;=2),TRUE,FALSE)</formula>
    </cfRule>
    <cfRule type="expression" dxfId="2097" priority="2810">
      <formula>IF(AND($B54="",$C54=""),TRUE,FALSE)</formula>
    </cfRule>
  </conditionalFormatting>
  <conditionalFormatting sqref="B54">
    <cfRule type="expression" dxfId="2096" priority="2807">
      <formula>IF(AND($B54="",$C54="",LEN($A54)&lt;=2),TRUE,FALSE)</formula>
    </cfRule>
    <cfRule type="expression" dxfId="2095" priority="2808">
      <formula>IF(AND($B54="",$C54=""),TRUE,FALSE)</formula>
    </cfRule>
  </conditionalFormatting>
  <conditionalFormatting sqref="G54">
    <cfRule type="expression" dxfId="2094" priority="2803">
      <formula>IF(AND($B54="",$C54="",LEN($A54)&lt;=2),TRUE,FALSE)</formula>
    </cfRule>
    <cfRule type="expression" dxfId="2093" priority="2804">
      <formula>IF(AND($B54="",$C54=""),TRUE,FALSE)</formula>
    </cfRule>
  </conditionalFormatting>
  <conditionalFormatting sqref="E54">
    <cfRule type="expression" dxfId="2092" priority="2801">
      <formula>IF(AND($B54="",$C54="",LEN($A54)&lt;=2),TRUE,FALSE)</formula>
    </cfRule>
    <cfRule type="expression" dxfId="2091" priority="2802">
      <formula>IF(AND($B54="",$C54=""),TRUE,FALSE)</formula>
    </cfRule>
  </conditionalFormatting>
  <conditionalFormatting sqref="F55">
    <cfRule type="expression" dxfId="2090" priority="2798">
      <formula>IF(AND($B55="",$C55="",LEN($A55)&lt;=2),TRUE,FALSE)</formula>
    </cfRule>
    <cfRule type="expression" dxfId="2089" priority="2799">
      <formula>IF(AND($B55="",$C55=""),TRUE,FALSE)</formula>
    </cfRule>
  </conditionalFormatting>
  <conditionalFormatting sqref="C55">
    <cfRule type="expression" dxfId="2088" priority="2794">
      <formula>IF((COUNTIF(#REF!,#REF!))&gt;1,TRUE,FALSE)</formula>
    </cfRule>
  </conditionalFormatting>
  <conditionalFormatting sqref="C55">
    <cfRule type="expression" dxfId="2087" priority="2793">
      <formula>IF((COUNTIF(#REF!,#REF!))&gt;1,TRUE,FALSE)</formula>
    </cfRule>
  </conditionalFormatting>
  <conditionalFormatting sqref="C55 H55:I55">
    <cfRule type="expression" dxfId="2086" priority="2796">
      <formula>IF(AND($B55="",$C55="",LEN($A55)&lt;=2),TRUE,FALSE)</formula>
    </cfRule>
    <cfRule type="expression" dxfId="2085" priority="2797">
      <formula>IF(AND($B55="",$C55=""),TRUE,FALSE)</formula>
    </cfRule>
  </conditionalFormatting>
  <conditionalFormatting sqref="C55">
    <cfRule type="expression" dxfId="2084" priority="2795">
      <formula>IF((COUNTIF(#REF!,#REF!))&gt;1,TRUE,FALSE)</formula>
    </cfRule>
  </conditionalFormatting>
  <conditionalFormatting sqref="D55">
    <cfRule type="expression" dxfId="2083" priority="2791">
      <formula>IF(AND($B55="",$C55="",LEN($A55)&lt;=2),TRUE,FALSE)</formula>
    </cfRule>
    <cfRule type="expression" dxfId="2082" priority="2792">
      <formula>IF(AND($B55="",$C55=""),TRUE,FALSE)</formula>
    </cfRule>
  </conditionalFormatting>
  <conditionalFormatting sqref="D55">
    <cfRule type="expression" dxfId="2081" priority="2789">
      <formula>IF(AND($B55="",$C55="",LEN($A55)&lt;=2),TRUE,FALSE)</formula>
    </cfRule>
    <cfRule type="expression" dxfId="2080" priority="2790">
      <formula>IF(AND($B55="",$C55=""),TRUE,FALSE)</formula>
    </cfRule>
  </conditionalFormatting>
  <conditionalFormatting sqref="B55">
    <cfRule type="expression" dxfId="2079" priority="2787">
      <formula>IF(AND($B55="",$C55="",LEN($A55)&lt;=2),TRUE,FALSE)</formula>
    </cfRule>
    <cfRule type="expression" dxfId="2078" priority="2788">
      <formula>IF(AND($B55="",$C55=""),TRUE,FALSE)</formula>
    </cfRule>
  </conditionalFormatting>
  <conditionalFormatting sqref="G55">
    <cfRule type="expression" dxfId="2077" priority="2785">
      <formula>IF(AND($B55="",$C55="",LEN($A55)&lt;=2),TRUE,FALSE)</formula>
    </cfRule>
    <cfRule type="expression" dxfId="2076" priority="2786">
      <formula>IF(AND($B55="",$C55=""),TRUE,FALSE)</formula>
    </cfRule>
  </conditionalFormatting>
  <conditionalFormatting sqref="E55">
    <cfRule type="expression" dxfId="2075" priority="2783">
      <formula>IF(AND($B55="",$C55="",LEN($A55)&lt;=2),TRUE,FALSE)</formula>
    </cfRule>
    <cfRule type="expression" dxfId="2074" priority="2784">
      <formula>IF(AND($B55="",$C55=""),TRUE,FALSE)</formula>
    </cfRule>
  </conditionalFormatting>
  <conditionalFormatting sqref="H83:I83">
    <cfRule type="expression" dxfId="2073" priority="2778">
      <formula>IF(AND($B83="",$C83="",LEN($A83)&lt;=2),TRUE,FALSE)</formula>
    </cfRule>
    <cfRule type="expression" dxfId="2072" priority="2779">
      <formula>IF(AND($B83="",$C83=""),TRUE,FALSE)</formula>
    </cfRule>
  </conditionalFormatting>
  <conditionalFormatting sqref="F83">
    <cfRule type="expression" dxfId="2071" priority="2776">
      <formula>IF(AND($B83="",$C83="",LEN($A83)&lt;=2),TRUE,FALSE)</formula>
    </cfRule>
    <cfRule type="expression" dxfId="2070" priority="2777">
      <formula>IF(AND($B83="",$C83=""),TRUE,FALSE)</formula>
    </cfRule>
  </conditionalFormatting>
  <conditionalFormatting sqref="D83">
    <cfRule type="expression" dxfId="2069" priority="2774">
      <formula>IF(AND($B83="",$C83="",LEN($A83)&lt;=2),TRUE,FALSE)</formula>
    </cfRule>
    <cfRule type="expression" dxfId="2068" priority="2775">
      <formula>IF(AND($B83="",$C83=""),TRUE,FALSE)</formula>
    </cfRule>
  </conditionalFormatting>
  <conditionalFormatting sqref="D83">
    <cfRule type="expression" dxfId="2067" priority="2772">
      <formula>IF(AND($B83="",$C83="",LEN($A83)&lt;=2),TRUE,FALSE)</formula>
    </cfRule>
    <cfRule type="expression" dxfId="2066" priority="2773">
      <formula>IF(AND($B83="",$C83=""),TRUE,FALSE)</formula>
    </cfRule>
  </conditionalFormatting>
  <conditionalFormatting sqref="G83">
    <cfRule type="expression" dxfId="2065" priority="2770">
      <formula>IF(AND($B83="",$C83="",LEN($A83)&lt;=2),TRUE,FALSE)</formula>
    </cfRule>
    <cfRule type="expression" dxfId="2064" priority="2771">
      <formula>IF(AND($B83="",$C83=""),TRUE,FALSE)</formula>
    </cfRule>
  </conditionalFormatting>
  <conditionalFormatting sqref="E83">
    <cfRule type="expression" dxfId="2063" priority="2768">
      <formula>IF(AND($B83="",$C83="",LEN($A83)&lt;=2),TRUE,FALSE)</formula>
    </cfRule>
    <cfRule type="expression" dxfId="2062" priority="2769">
      <formula>IF(AND($B83="",$C83=""),TRUE,FALSE)</formula>
    </cfRule>
  </conditionalFormatting>
  <conditionalFormatting sqref="B83:C83">
    <cfRule type="expression" dxfId="2061" priority="2765">
      <formula>IF(AND($B83="",$C83="",LEN($A83)&lt;=2),TRUE,FALSE)</formula>
    </cfRule>
    <cfRule type="expression" dxfId="2060" priority="2766">
      <formula>IF(AND($B83="",$C83=""),TRUE,FALSE)</formula>
    </cfRule>
  </conditionalFormatting>
  <conditionalFormatting sqref="C83">
    <cfRule type="expression" dxfId="2059" priority="2767">
      <formula>IF((COUNTIF(#REF!,#REF!))&gt;1,TRUE,FALSE)</formula>
    </cfRule>
  </conditionalFormatting>
  <conditionalFormatting sqref="A83">
    <cfRule type="expression" dxfId="2058" priority="2763">
      <formula>IF(AND($B83="",$C83="",LEN($A83)&lt;=2),TRUE,FALSE)</formula>
    </cfRule>
    <cfRule type="expression" dxfId="2057" priority="2764">
      <formula>IF(AND($B83="",$C83=""),TRUE,FALSE)</formula>
    </cfRule>
  </conditionalFormatting>
  <conditionalFormatting sqref="A83">
    <cfRule type="expression" dxfId="2056" priority="2761">
      <formula>IF(AND($B83="",$C83="",LEN($A83)&lt;=2),TRUE,FALSE)</formula>
    </cfRule>
    <cfRule type="expression" dxfId="2055" priority="2762">
      <formula>IF(AND($B83="",$C83=""),TRUE,FALSE)</formula>
    </cfRule>
  </conditionalFormatting>
  <conditionalFormatting sqref="B96:C96">
    <cfRule type="expression" dxfId="2054" priority="2758">
      <formula>IF(AND($B96="",$C96="",LEN($A96)&lt;=2),TRUE,FALSE)</formula>
    </cfRule>
    <cfRule type="expression" dxfId="2053" priority="2759">
      <formula>IF(AND($B96="",$C96=""),TRUE,FALSE)</formula>
    </cfRule>
  </conditionalFormatting>
  <conditionalFormatting sqref="C96">
    <cfRule type="expression" dxfId="2052" priority="2760">
      <formula>IF((COUNTIF(#REF!,#REF!))&gt;1,TRUE,FALSE)</formula>
    </cfRule>
  </conditionalFormatting>
  <conditionalFormatting sqref="D232">
    <cfRule type="expression" dxfId="2051" priority="2756">
      <formula>IF(AND($B232="",$C232="",LEN($A232)&lt;=2),TRUE,FALSE)</formula>
    </cfRule>
    <cfRule type="expression" dxfId="2050" priority="2757">
      <formula>IF(AND($B232="",$C232=""),TRUE,FALSE)</formula>
    </cfRule>
  </conditionalFormatting>
  <conditionalFormatting sqref="B232:C232">
    <cfRule type="expression" dxfId="2049" priority="2751">
      <formula>IF(AND($B232="",$C232="",LEN($A232)&lt;=2),TRUE,FALSE)</formula>
    </cfRule>
    <cfRule type="expression" dxfId="2048" priority="2752">
      <formula>IF(AND($B232="",$C232=""),TRUE,FALSE)</formula>
    </cfRule>
  </conditionalFormatting>
  <conditionalFormatting sqref="C232">
    <cfRule type="expression" dxfId="2047" priority="2753">
      <formula>IF((COUNTIF(#REF!,#REF!))&gt;1,TRUE,FALSE)</formula>
    </cfRule>
  </conditionalFormatting>
  <conditionalFormatting sqref="H232:I232">
    <cfRule type="expression" dxfId="2046" priority="2748">
      <formula>IF(AND($B232="",$C232="",LEN($A232)&lt;=2),TRUE,FALSE)</formula>
    </cfRule>
    <cfRule type="expression" dxfId="2045" priority="2749">
      <formula>IF(AND($B232="",$C232=""),TRUE,FALSE)</formula>
    </cfRule>
  </conditionalFormatting>
  <conditionalFormatting sqref="F232">
    <cfRule type="expression" dxfId="2044" priority="2746">
      <formula>IF(AND($B232="",$C232="",LEN($A232)&lt;=2),TRUE,FALSE)</formula>
    </cfRule>
    <cfRule type="expression" dxfId="2043" priority="2747">
      <formula>IF(AND($B232="",$C232=""),TRUE,FALSE)</formula>
    </cfRule>
  </conditionalFormatting>
  <conditionalFormatting sqref="E232">
    <cfRule type="expression" dxfId="2042" priority="2744">
      <formula>IF(AND($B232="",$C232="",LEN($A232)&lt;=2),TRUE,FALSE)</formula>
    </cfRule>
    <cfRule type="expression" dxfId="2041" priority="2745">
      <formula>IF(AND($B232="",$C232=""),TRUE,FALSE)</formula>
    </cfRule>
  </conditionalFormatting>
  <conditionalFormatting sqref="G232">
    <cfRule type="expression" dxfId="2040" priority="2742">
      <formula>IF(AND($B232="",$C232="",LEN($A232)&lt;=2),TRUE,FALSE)</formula>
    </cfRule>
    <cfRule type="expression" dxfId="2039" priority="2743">
      <formula>IF(AND($B232="",$C232=""),TRUE,FALSE)</formula>
    </cfRule>
  </conditionalFormatting>
  <conditionalFormatting sqref="D237">
    <cfRule type="expression" dxfId="2038" priority="2691">
      <formula>IF(AND($B237="",$C237="",LEN($A237)&lt;=2),TRUE,FALSE)</formula>
    </cfRule>
    <cfRule type="expression" dxfId="2037" priority="2692">
      <formula>IF(AND($B237="",$C237=""),TRUE,FALSE)</formula>
    </cfRule>
  </conditionalFormatting>
  <conditionalFormatting sqref="B237">
    <cfRule type="expression" dxfId="2036" priority="2686">
      <formula>IF(AND($B237="",$C237="",LEN($A237)&lt;=2),TRUE,FALSE)</formula>
    </cfRule>
    <cfRule type="expression" dxfId="2035" priority="2687">
      <formula>IF(AND($B237="",$C237=""),TRUE,FALSE)</formula>
    </cfRule>
  </conditionalFormatting>
  <conditionalFormatting sqref="H237:I237">
    <cfRule type="expression" dxfId="2034" priority="2684">
      <formula>IF(AND($B237="",$C237="",LEN($A237)&lt;=2),TRUE,FALSE)</formula>
    </cfRule>
    <cfRule type="expression" dxfId="2033" priority="2685">
      <formula>IF(AND($B237="",$C237=""),TRUE,FALSE)</formula>
    </cfRule>
  </conditionalFormatting>
  <conditionalFormatting sqref="F237">
    <cfRule type="expression" dxfId="2032" priority="2682">
      <formula>IF(AND($B237="",$C237="",LEN($A237)&lt;=2),TRUE,FALSE)</formula>
    </cfRule>
    <cfRule type="expression" dxfId="2031" priority="2683">
      <formula>IF(AND($B237="",$C237=""),TRUE,FALSE)</formula>
    </cfRule>
  </conditionalFormatting>
  <conditionalFormatting sqref="E237">
    <cfRule type="expression" dxfId="2030" priority="2680">
      <formula>IF(AND($B237="",$C237="",LEN($A237)&lt;=2),TRUE,FALSE)</formula>
    </cfRule>
    <cfRule type="expression" dxfId="2029" priority="2681">
      <formula>IF(AND($B237="",$C237=""),TRUE,FALSE)</formula>
    </cfRule>
  </conditionalFormatting>
  <conditionalFormatting sqref="G237">
    <cfRule type="expression" dxfId="2028" priority="2678">
      <formula>IF(AND($B237="",$C237="",LEN($A237)&lt;=2),TRUE,FALSE)</formula>
    </cfRule>
    <cfRule type="expression" dxfId="2027" priority="2679">
      <formula>IF(AND($B237="",$C237=""),TRUE,FALSE)</formula>
    </cfRule>
  </conditionalFormatting>
  <conditionalFormatting sqref="D224">
    <cfRule type="expression" dxfId="2026" priority="2661">
      <formula>IF(AND($B224="",$C224="",LEN($A224)&lt;=2),TRUE,FALSE)</formula>
    </cfRule>
    <cfRule type="expression" dxfId="2025" priority="2662">
      <formula>IF(AND($B224="",$C224=""),TRUE,FALSE)</formula>
    </cfRule>
  </conditionalFormatting>
  <conditionalFormatting sqref="B224:C224">
    <cfRule type="expression" dxfId="2024" priority="2654">
      <formula>IF(AND($B224="",$C224="",LEN($A224)&lt;=2),TRUE,FALSE)</formula>
    </cfRule>
    <cfRule type="expression" dxfId="2023" priority="2655">
      <formula>IF(AND($B224="",$C224=""),TRUE,FALSE)</formula>
    </cfRule>
  </conditionalFormatting>
  <conditionalFormatting sqref="C224">
    <cfRule type="expression" dxfId="2022" priority="2656">
      <formula>IF((COUNTIF(#REF!,#REF!))&gt;1,TRUE,FALSE)</formula>
    </cfRule>
  </conditionalFormatting>
  <conditionalFormatting sqref="H224:I224">
    <cfRule type="expression" dxfId="2021" priority="2651">
      <formula>IF(AND($B224="",$C224="",LEN($A224)&lt;=2),TRUE,FALSE)</formula>
    </cfRule>
    <cfRule type="expression" dxfId="2020" priority="2652">
      <formula>IF(AND($B224="",$C224=""),TRUE,FALSE)</formula>
    </cfRule>
  </conditionalFormatting>
  <conditionalFormatting sqref="F224">
    <cfRule type="expression" dxfId="2019" priority="2649">
      <formula>IF(AND($B224="",$C224="",LEN($A224)&lt;=2),TRUE,FALSE)</formula>
    </cfRule>
    <cfRule type="expression" dxfId="2018" priority="2650">
      <formula>IF(AND($B224="",$C224=""),TRUE,FALSE)</formula>
    </cfRule>
  </conditionalFormatting>
  <conditionalFormatting sqref="E224">
    <cfRule type="expression" dxfId="2017" priority="2647">
      <formula>IF(AND($B224="",$C224="",LEN($A224)&lt;=2),TRUE,FALSE)</formula>
    </cfRule>
    <cfRule type="expression" dxfId="2016" priority="2648">
      <formula>IF(AND($B224="",$C224=""),TRUE,FALSE)</formula>
    </cfRule>
  </conditionalFormatting>
  <conditionalFormatting sqref="G224">
    <cfRule type="expression" dxfId="2015" priority="2645">
      <formula>IF(AND($B224="",$C224="",LEN($A224)&lt;=2),TRUE,FALSE)</formula>
    </cfRule>
    <cfRule type="expression" dxfId="2014" priority="2646">
      <formula>IF(AND($B224="",$C224=""),TRUE,FALSE)</formula>
    </cfRule>
  </conditionalFormatting>
  <conditionalFormatting sqref="G225 G74 G236 G285">
    <cfRule type="expression" dxfId="2013" priority="2644">
      <formula>IF((SUMIF(#REF!,#REF!,G:G)/COUNTIF(#REF!,#REF!))&lt;&gt;G74,TRUE,FALSE)</formula>
    </cfRule>
  </conditionalFormatting>
  <conditionalFormatting sqref="D225">
    <cfRule type="expression" dxfId="2012" priority="2640">
      <formula>IF(AND($B225="",$C225="",LEN($A225)&lt;=2),TRUE,FALSE)</formula>
    </cfRule>
    <cfRule type="expression" dxfId="2011" priority="2641">
      <formula>IF(AND($B225="",$C225=""),TRUE,FALSE)</formula>
    </cfRule>
  </conditionalFormatting>
  <conditionalFormatting sqref="B225:C225">
    <cfRule type="expression" dxfId="2010" priority="2637">
      <formula>IF(AND($B225="",$C225="",LEN($A225)&lt;=2),TRUE,FALSE)</formula>
    </cfRule>
    <cfRule type="expression" dxfId="2009" priority="2638">
      <formula>IF(AND($B225="",$C225=""),TRUE,FALSE)</formula>
    </cfRule>
  </conditionalFormatting>
  <conditionalFormatting sqref="C225">
    <cfRule type="expression" dxfId="2008" priority="2639">
      <formula>IF((COUNTIF(#REF!,#REF!))&gt;1,TRUE,FALSE)</formula>
    </cfRule>
  </conditionalFormatting>
  <conditionalFormatting sqref="H225:I225">
    <cfRule type="expression" dxfId="2007" priority="2635">
      <formula>IF(AND($B225="",$C225="",LEN($A225)&lt;=2),TRUE,FALSE)</formula>
    </cfRule>
    <cfRule type="expression" dxfId="2006" priority="2636">
      <formula>IF(AND($B225="",$C225=""),TRUE,FALSE)</formula>
    </cfRule>
  </conditionalFormatting>
  <conditionalFormatting sqref="F225">
    <cfRule type="expression" dxfId="2005" priority="2633">
      <formula>IF(AND($B225="",$C225="",LEN($A225)&lt;=2),TRUE,FALSE)</formula>
    </cfRule>
    <cfRule type="expression" dxfId="2004" priority="2634">
      <formula>IF(AND($B225="",$C225=""),TRUE,FALSE)</formula>
    </cfRule>
  </conditionalFormatting>
  <conditionalFormatting sqref="E225">
    <cfRule type="expression" dxfId="2003" priority="2631">
      <formula>IF(AND($B225="",$C225="",LEN($A225)&lt;=2),TRUE,FALSE)</formula>
    </cfRule>
    <cfRule type="expression" dxfId="2002" priority="2632">
      <formula>IF(AND($B225="",$C225=""),TRUE,FALSE)</formula>
    </cfRule>
  </conditionalFormatting>
  <conditionalFormatting sqref="G225">
    <cfRule type="expression" dxfId="2001" priority="2629">
      <formula>IF(AND($B225="",$C225="",LEN($A225)&lt;=2),TRUE,FALSE)</formula>
    </cfRule>
    <cfRule type="expression" dxfId="2000" priority="2630">
      <formula>IF(AND($B225="",$C225=""),TRUE,FALSE)</formula>
    </cfRule>
  </conditionalFormatting>
  <conditionalFormatting sqref="D220:E220 G220">
    <cfRule type="expression" dxfId="1999" priority="2624">
      <formula>IF(AND($B220="",$C220="",LEN($A220)&lt;=2),TRUE,FALSE)</formula>
    </cfRule>
    <cfRule type="expression" dxfId="1998" priority="2625">
      <formula>IF(AND($B220="",$C220=""),TRUE,FALSE)</formula>
    </cfRule>
  </conditionalFormatting>
  <conditionalFormatting sqref="H220:I220">
    <cfRule type="expression" dxfId="1997" priority="2622">
      <formula>IF(AND($B220="",$C220="",LEN($A220)&lt;=2),TRUE,FALSE)</formula>
    </cfRule>
    <cfRule type="expression" dxfId="1996" priority="2623">
      <formula>IF(AND($B220="",$C220=""),TRUE,FALSE)</formula>
    </cfRule>
  </conditionalFormatting>
  <conditionalFormatting sqref="F220">
    <cfRule type="expression" dxfId="1995" priority="2620">
      <formula>IF(AND($B220="",$C220="",LEN($A220)&lt;=2),TRUE,FALSE)</formula>
    </cfRule>
    <cfRule type="expression" dxfId="1994" priority="2621">
      <formula>IF(AND($B220="",$C220=""),TRUE,FALSE)</formula>
    </cfRule>
  </conditionalFormatting>
  <conditionalFormatting sqref="B220:C220">
    <cfRule type="expression" dxfId="1993" priority="2617">
      <formula>IF(AND($B220="",$C220="",LEN($A220)&lt;=2),TRUE,FALSE)</formula>
    </cfRule>
    <cfRule type="expression" dxfId="1992" priority="2618">
      <formula>IF(AND($B220="",$C220=""),TRUE,FALSE)</formula>
    </cfRule>
  </conditionalFormatting>
  <conditionalFormatting sqref="C220">
    <cfRule type="expression" dxfId="1991" priority="2619">
      <formula>IF((COUNTIF(#REF!,#REF!))&gt;1,TRUE,FALSE)</formula>
    </cfRule>
  </conditionalFormatting>
  <conditionalFormatting sqref="D222:E222 G222">
    <cfRule type="expression" dxfId="1990" priority="2602">
      <formula>IF(AND($B222="",$C222="",LEN($A222)&lt;=2),TRUE,FALSE)</formula>
    </cfRule>
    <cfRule type="expression" dxfId="1989" priority="2603">
      <formula>IF(AND($B222="",$C222=""),TRUE,FALSE)</formula>
    </cfRule>
  </conditionalFormatting>
  <conditionalFormatting sqref="H222:I222">
    <cfRule type="expression" dxfId="1988" priority="2600">
      <formula>IF(AND($B222="",$C222="",LEN($A222)&lt;=2),TRUE,FALSE)</formula>
    </cfRule>
    <cfRule type="expression" dxfId="1987" priority="2601">
      <formula>IF(AND($B222="",$C222=""),TRUE,FALSE)</formula>
    </cfRule>
  </conditionalFormatting>
  <conditionalFormatting sqref="F222">
    <cfRule type="expression" dxfId="1986" priority="2598">
      <formula>IF(AND($B222="",$C222="",LEN($A222)&lt;=2),TRUE,FALSE)</formula>
    </cfRule>
    <cfRule type="expression" dxfId="1985" priority="2599">
      <formula>IF(AND($B222="",$C222=""),TRUE,FALSE)</formula>
    </cfRule>
  </conditionalFormatting>
  <conditionalFormatting sqref="B222:C222">
    <cfRule type="expression" dxfId="1984" priority="2595">
      <formula>IF(AND($B222="",$C222="",LEN($A222)&lt;=2),TRUE,FALSE)</formula>
    </cfRule>
    <cfRule type="expression" dxfId="1983" priority="2596">
      <formula>IF(AND($B222="",$C222=""),TRUE,FALSE)</formula>
    </cfRule>
  </conditionalFormatting>
  <conditionalFormatting sqref="C222">
    <cfRule type="expression" dxfId="1982" priority="2597">
      <formula>IF((COUNTIF(#REF!,#REF!))&gt;1,TRUE,FALSE)</formula>
    </cfRule>
  </conditionalFormatting>
  <conditionalFormatting sqref="D227:E227 G227">
    <cfRule type="expression" dxfId="1981" priority="2590">
      <formula>IF(AND($B227="",$C227="",LEN($A227)&lt;=2),TRUE,FALSE)</formula>
    </cfRule>
    <cfRule type="expression" dxfId="1980" priority="2591">
      <formula>IF(AND($B227="",$C227=""),TRUE,FALSE)</formula>
    </cfRule>
  </conditionalFormatting>
  <conditionalFormatting sqref="H227:I227">
    <cfRule type="expression" dxfId="1979" priority="2588">
      <formula>IF(AND($B227="",$C227="",LEN($A227)&lt;=2),TRUE,FALSE)</formula>
    </cfRule>
    <cfRule type="expression" dxfId="1978" priority="2589">
      <formula>IF(AND($B227="",$C227=""),TRUE,FALSE)</formula>
    </cfRule>
  </conditionalFormatting>
  <conditionalFormatting sqref="F227">
    <cfRule type="expression" dxfId="1977" priority="2586">
      <formula>IF(AND($B227="",$C227="",LEN($A227)&lt;=2),TRUE,FALSE)</formula>
    </cfRule>
    <cfRule type="expression" dxfId="1976" priority="2587">
      <formula>IF(AND($B227="",$C227=""),TRUE,FALSE)</formula>
    </cfRule>
  </conditionalFormatting>
  <conditionalFormatting sqref="B227:C228 C229:C230">
    <cfRule type="expression" dxfId="1975" priority="2583">
      <formula>IF(AND($B227="",$C227="",LEN($A227)&lt;=2),TRUE,FALSE)</formula>
    </cfRule>
    <cfRule type="expression" dxfId="1974" priority="2584">
      <formula>IF(AND($B227="",$C227=""),TRUE,FALSE)</formula>
    </cfRule>
  </conditionalFormatting>
  <conditionalFormatting sqref="C227:C230">
    <cfRule type="expression" dxfId="1973" priority="2585">
      <formula>IF((COUNTIF(#REF!,#REF!))&gt;1,TRUE,FALSE)</formula>
    </cfRule>
  </conditionalFormatting>
  <conditionalFormatting sqref="D230:E230 G230">
    <cfRule type="expression" dxfId="1972" priority="2580">
      <formula>IF(AND($B230="",$C230="",LEN($A230)&lt;=2),TRUE,FALSE)</formula>
    </cfRule>
    <cfRule type="expression" dxfId="1971" priority="2581">
      <formula>IF(AND($B230="",$C230=""),TRUE,FALSE)</formula>
    </cfRule>
  </conditionalFormatting>
  <conditionalFormatting sqref="H230:I230">
    <cfRule type="expression" dxfId="1970" priority="2578">
      <formula>IF(AND($B230="",$C230="",LEN($A230)&lt;=2),TRUE,FALSE)</formula>
    </cfRule>
    <cfRule type="expression" dxfId="1969" priority="2579">
      <formula>IF(AND($B230="",$C230=""),TRUE,FALSE)</formula>
    </cfRule>
  </conditionalFormatting>
  <conditionalFormatting sqref="F230">
    <cfRule type="expression" dxfId="1968" priority="2576">
      <formula>IF(AND($B230="",$C230="",LEN($A230)&lt;=2),TRUE,FALSE)</formula>
    </cfRule>
    <cfRule type="expression" dxfId="1967" priority="2577">
      <formula>IF(AND($B230="",$C230=""),TRUE,FALSE)</formula>
    </cfRule>
  </conditionalFormatting>
  <conditionalFormatting sqref="B230">
    <cfRule type="expression" dxfId="1966" priority="2571">
      <formula>IF(AND($B230="",$C230="",LEN($A230)&lt;=2),TRUE,FALSE)</formula>
    </cfRule>
    <cfRule type="expression" dxfId="1965" priority="2572">
      <formula>IF(AND($B230="",$C230=""),TRUE,FALSE)</formula>
    </cfRule>
  </conditionalFormatting>
  <conditionalFormatting sqref="D229:E229 G229">
    <cfRule type="expression" dxfId="1964" priority="2568">
      <formula>IF(AND($B229="",$C229="",LEN($A229)&lt;=2),TRUE,FALSE)</formula>
    </cfRule>
    <cfRule type="expression" dxfId="1963" priority="2569">
      <formula>IF(AND($B229="",$C229=""),TRUE,FALSE)</formula>
    </cfRule>
  </conditionalFormatting>
  <conditionalFormatting sqref="H229:I229">
    <cfRule type="expression" dxfId="1962" priority="2566">
      <formula>IF(AND($B229="",$C229="",LEN($A229)&lt;=2),TRUE,FALSE)</formula>
    </cfRule>
    <cfRule type="expression" dxfId="1961" priority="2567">
      <formula>IF(AND($B229="",$C229=""),TRUE,FALSE)</formula>
    </cfRule>
  </conditionalFormatting>
  <conditionalFormatting sqref="F229">
    <cfRule type="expression" dxfId="1960" priority="2564">
      <formula>IF(AND($B229="",$C229="",LEN($A229)&lt;=2),TRUE,FALSE)</formula>
    </cfRule>
    <cfRule type="expression" dxfId="1959" priority="2565">
      <formula>IF(AND($B229="",$C229=""),TRUE,FALSE)</formula>
    </cfRule>
  </conditionalFormatting>
  <conditionalFormatting sqref="B229">
    <cfRule type="expression" dxfId="1958" priority="2559">
      <formula>IF(AND($B229="",$C229="",LEN($A229)&lt;=2),TRUE,FALSE)</formula>
    </cfRule>
    <cfRule type="expression" dxfId="1957" priority="2560">
      <formula>IF(AND($B229="",$C229=""),TRUE,FALSE)</formula>
    </cfRule>
  </conditionalFormatting>
  <conditionalFormatting sqref="D234">
    <cfRule type="expression" dxfId="1956" priority="2554">
      <formula>IF(AND($B234="",$C234="",LEN($A234)&lt;=2),TRUE,FALSE)</formula>
    </cfRule>
    <cfRule type="expression" dxfId="1955" priority="2555">
      <formula>IF(AND($B234="",$C234=""),TRUE,FALSE)</formula>
    </cfRule>
  </conditionalFormatting>
  <conditionalFormatting sqref="B234">
    <cfRule type="expression" dxfId="1954" priority="2551">
      <formula>IF(AND($B234="",$C234="",LEN($A234)&lt;=2),TRUE,FALSE)</formula>
    </cfRule>
    <cfRule type="expression" dxfId="1953" priority="2552">
      <formula>IF(AND($B234="",$C234=""),TRUE,FALSE)</formula>
    </cfRule>
  </conditionalFormatting>
  <conditionalFormatting sqref="H234:I234">
    <cfRule type="expression" dxfId="1952" priority="2549">
      <formula>IF(AND($B234="",$C234="",LEN($A234)&lt;=2),TRUE,FALSE)</formula>
    </cfRule>
    <cfRule type="expression" dxfId="1951" priority="2550">
      <formula>IF(AND($B234="",$C234=""),TRUE,FALSE)</formula>
    </cfRule>
  </conditionalFormatting>
  <conditionalFormatting sqref="F234">
    <cfRule type="expression" dxfId="1950" priority="2547">
      <formula>IF(AND($B234="",$C234="",LEN($A234)&lt;=2),TRUE,FALSE)</formula>
    </cfRule>
    <cfRule type="expression" dxfId="1949" priority="2548">
      <formula>IF(AND($B234="",$C234=""),TRUE,FALSE)</formula>
    </cfRule>
  </conditionalFormatting>
  <conditionalFormatting sqref="E234">
    <cfRule type="expression" dxfId="1948" priority="2545">
      <formula>IF(AND($B234="",$C234="",LEN($A234)&lt;=2),TRUE,FALSE)</formula>
    </cfRule>
    <cfRule type="expression" dxfId="1947" priority="2546">
      <formula>IF(AND($B234="",$C234=""),TRUE,FALSE)</formula>
    </cfRule>
  </conditionalFormatting>
  <conditionalFormatting sqref="G234">
    <cfRule type="expression" dxfId="1946" priority="2543">
      <formula>IF(AND($B234="",$C234="",LEN($A234)&lt;=2),TRUE,FALSE)</formula>
    </cfRule>
    <cfRule type="expression" dxfId="1945" priority="2544">
      <formula>IF(AND($B234="",$C234=""),TRUE,FALSE)</formula>
    </cfRule>
  </conditionalFormatting>
  <conditionalFormatting sqref="D233">
    <cfRule type="expression" dxfId="1944" priority="2538">
      <formula>IF(AND($B233="",$C233="",LEN($A233)&lt;=2),TRUE,FALSE)</formula>
    </cfRule>
    <cfRule type="expression" dxfId="1943" priority="2539">
      <formula>IF(AND($B233="",$C233=""),TRUE,FALSE)</formula>
    </cfRule>
  </conditionalFormatting>
  <conditionalFormatting sqref="B233:C233 C234 C237">
    <cfRule type="expression" dxfId="1942" priority="2535">
      <formula>IF(AND($B233="",$C233="",LEN($A233)&lt;=2),TRUE,FALSE)</formula>
    </cfRule>
    <cfRule type="expression" dxfId="1941" priority="2536">
      <formula>IF(AND($B233="",$C233=""),TRUE,FALSE)</formula>
    </cfRule>
  </conditionalFormatting>
  <conditionalFormatting sqref="C233:C234 C237">
    <cfRule type="expression" dxfId="1940" priority="2537">
      <formula>IF((COUNTIF(#REF!,#REF!))&gt;1,TRUE,FALSE)</formula>
    </cfRule>
  </conditionalFormatting>
  <conditionalFormatting sqref="H233:I233">
    <cfRule type="expression" dxfId="1939" priority="2533">
      <formula>IF(AND($B233="",$C233="",LEN($A233)&lt;=2),TRUE,FALSE)</formula>
    </cfRule>
    <cfRule type="expression" dxfId="1938" priority="2534">
      <formula>IF(AND($B233="",$C233=""),TRUE,FALSE)</formula>
    </cfRule>
  </conditionalFormatting>
  <conditionalFormatting sqref="F233">
    <cfRule type="expression" dxfId="1937" priority="2531">
      <formula>IF(AND($B233="",$C233="",LEN($A233)&lt;=2),TRUE,FALSE)</formula>
    </cfRule>
    <cfRule type="expression" dxfId="1936" priority="2532">
      <formula>IF(AND($B233="",$C233=""),TRUE,FALSE)</formula>
    </cfRule>
  </conditionalFormatting>
  <conditionalFormatting sqref="E233">
    <cfRule type="expression" dxfId="1935" priority="2529">
      <formula>IF(AND($B233="",$C233="",LEN($A233)&lt;=2),TRUE,FALSE)</formula>
    </cfRule>
    <cfRule type="expression" dxfId="1934" priority="2530">
      <formula>IF(AND($B233="",$C233=""),TRUE,FALSE)</formula>
    </cfRule>
  </conditionalFormatting>
  <conditionalFormatting sqref="G233">
    <cfRule type="expression" dxfId="1933" priority="2527">
      <formula>IF(AND($B233="",$C233="",LEN($A233)&lt;=2),TRUE,FALSE)</formula>
    </cfRule>
    <cfRule type="expression" dxfId="1932" priority="2528">
      <formula>IF(AND($B233="",$C233=""),TRUE,FALSE)</formula>
    </cfRule>
  </conditionalFormatting>
  <conditionalFormatting sqref="B178:C178 H178:I178">
    <cfRule type="expression" dxfId="1931" priority="2523">
      <formula>IF(AND($B178="",$C178="",LEN($A178)&lt;=2),TRUE,FALSE)</formula>
    </cfRule>
    <cfRule type="expression" dxfId="1930" priority="2524">
      <formula>IF(AND($B178="",$C178=""),TRUE,FALSE)</formula>
    </cfRule>
  </conditionalFormatting>
  <conditionalFormatting sqref="C178">
    <cfRule type="expression" dxfId="1929" priority="2525">
      <formula>IF((COUNTIF(#REF!,#REF!))&gt;1,TRUE,FALSE)</formula>
    </cfRule>
  </conditionalFormatting>
  <conditionalFormatting sqref="F178">
    <cfRule type="expression" dxfId="1928" priority="2521">
      <formula>IF(AND($B178="",$C178="",LEN($A178)&lt;=2),TRUE,FALSE)</formula>
    </cfRule>
    <cfRule type="expression" dxfId="1927" priority="2522">
      <formula>IF(AND($B178="",$C178=""),TRUE,FALSE)</formula>
    </cfRule>
  </conditionalFormatting>
  <conditionalFormatting sqref="D178">
    <cfRule type="expression" dxfId="1926" priority="2517">
      <formula>IF(AND($B178="",$C178="",LEN($A178)&lt;=2),TRUE,FALSE)</formula>
    </cfRule>
    <cfRule type="expression" dxfId="1925" priority="2518">
      <formula>IF(AND($B178="",$C178=""),TRUE,FALSE)</formula>
    </cfRule>
  </conditionalFormatting>
  <conditionalFormatting sqref="D178">
    <cfRule type="expression" dxfId="1924" priority="2515">
      <formula>IF(AND($B178="",$C178="",LEN($A178)&lt;=2),TRUE,FALSE)</formula>
    </cfRule>
    <cfRule type="expression" dxfId="1923" priority="2516">
      <formula>IF(AND($B178="",$C178=""),TRUE,FALSE)</formula>
    </cfRule>
  </conditionalFormatting>
  <conditionalFormatting sqref="G178">
    <cfRule type="expression" dxfId="1922" priority="2513">
      <formula>IF(AND($B178="",$C178="",LEN($A178)&lt;=2),TRUE,FALSE)</formula>
    </cfRule>
    <cfRule type="expression" dxfId="1921" priority="2514">
      <formula>IF(AND($B178="",$C178=""),TRUE,FALSE)</formula>
    </cfRule>
  </conditionalFormatting>
  <conditionalFormatting sqref="E178">
    <cfRule type="expression" dxfId="1920" priority="2511">
      <formula>IF(AND($B178="",$C178="",LEN($A178)&lt;=2),TRUE,FALSE)</formula>
    </cfRule>
    <cfRule type="expression" dxfId="1919" priority="2512">
      <formula>IF(AND($B178="",$C178=""),TRUE,FALSE)</formula>
    </cfRule>
  </conditionalFormatting>
  <conditionalFormatting sqref="B164:C164 H164:I164">
    <cfRule type="expression" dxfId="1918" priority="2507">
      <formula>IF(AND($B164="",$C164="",LEN($A164)&lt;=2),TRUE,FALSE)</formula>
    </cfRule>
    <cfRule type="expression" dxfId="1917" priority="2508">
      <formula>IF(AND($B164="",$C164=""),TRUE,FALSE)</formula>
    </cfRule>
  </conditionalFormatting>
  <conditionalFormatting sqref="C164">
    <cfRule type="expression" dxfId="1916" priority="2509">
      <formula>IF((COUNTIF(#REF!,#REF!))&gt;1,TRUE,FALSE)</formula>
    </cfRule>
  </conditionalFormatting>
  <conditionalFormatting sqref="F164">
    <cfRule type="expression" dxfId="1915" priority="2505">
      <formula>IF(AND($B164="",$C164="",LEN($A164)&lt;=2),TRUE,FALSE)</formula>
    </cfRule>
    <cfRule type="expression" dxfId="1914" priority="2506">
      <formula>IF(AND($B164="",$C164=""),TRUE,FALSE)</formula>
    </cfRule>
  </conditionalFormatting>
  <conditionalFormatting sqref="D164">
    <cfRule type="expression" dxfId="1913" priority="2501">
      <formula>IF(AND($B164="",$C164="",LEN($A164)&lt;=2),TRUE,FALSE)</formula>
    </cfRule>
    <cfRule type="expression" dxfId="1912" priority="2502">
      <formula>IF(AND($B164="",$C164=""),TRUE,FALSE)</formula>
    </cfRule>
  </conditionalFormatting>
  <conditionalFormatting sqref="D164">
    <cfRule type="expression" dxfId="1911" priority="2499">
      <formula>IF(AND($B164="",$C164="",LEN($A164)&lt;=2),TRUE,FALSE)</formula>
    </cfRule>
    <cfRule type="expression" dxfId="1910" priority="2500">
      <formula>IF(AND($B164="",$C164=""),TRUE,FALSE)</formula>
    </cfRule>
  </conditionalFormatting>
  <conditionalFormatting sqref="G164">
    <cfRule type="expression" dxfId="1909" priority="2497">
      <formula>IF(AND($B164="",$C164="",LEN($A164)&lt;=2),TRUE,FALSE)</formula>
    </cfRule>
    <cfRule type="expression" dxfId="1908" priority="2498">
      <formula>IF(AND($B164="",$C164=""),TRUE,FALSE)</formula>
    </cfRule>
  </conditionalFormatting>
  <conditionalFormatting sqref="E164">
    <cfRule type="expression" dxfId="1907" priority="2495">
      <formula>IF(AND($B164="",$C164="",LEN($A164)&lt;=2),TRUE,FALSE)</formula>
    </cfRule>
    <cfRule type="expression" dxfId="1906" priority="2496">
      <formula>IF(AND($B164="",$C164=""),TRUE,FALSE)</formula>
    </cfRule>
  </conditionalFormatting>
  <conditionalFormatting sqref="C188 H188:I188 C190 C192">
    <cfRule type="expression" dxfId="1905" priority="2471">
      <formula>IF(AND($B188="",$C188="",LEN($A188)&lt;=2),TRUE,FALSE)</formula>
    </cfRule>
    <cfRule type="expression" dxfId="1904" priority="2472">
      <formula>IF(AND($B188="",$C188=""),TRUE,FALSE)</formula>
    </cfRule>
  </conditionalFormatting>
  <conditionalFormatting sqref="C188 C190 C192">
    <cfRule type="expression" dxfId="1903" priority="2473">
      <formula>IF((COUNTIF(#REF!,#REF!))&gt;1,TRUE,FALSE)</formula>
    </cfRule>
  </conditionalFormatting>
  <conditionalFormatting sqref="F188">
    <cfRule type="expression" dxfId="1902" priority="2469">
      <formula>IF(AND($B188="",$C188="",LEN($A188)&lt;=2),TRUE,FALSE)</formula>
    </cfRule>
    <cfRule type="expression" dxfId="1901" priority="2470">
      <formula>IF(AND($B188="",$C188=""),TRUE,FALSE)</formula>
    </cfRule>
  </conditionalFormatting>
  <conditionalFormatting sqref="D188">
    <cfRule type="expression" dxfId="1900" priority="2467">
      <formula>IF(AND($B188="",$C188="",LEN($A188)&lt;=2),TRUE,FALSE)</formula>
    </cfRule>
    <cfRule type="expression" dxfId="1899" priority="2468">
      <formula>IF(AND($B188="",$C188=""),TRUE,FALSE)</formula>
    </cfRule>
  </conditionalFormatting>
  <conditionalFormatting sqref="D188">
    <cfRule type="expression" dxfId="1898" priority="2465">
      <formula>IF(AND($B188="",$C188="",LEN($A188)&lt;=2),TRUE,FALSE)</formula>
    </cfRule>
    <cfRule type="expression" dxfId="1897" priority="2466">
      <formula>IF(AND($B188="",$C188=""),TRUE,FALSE)</formula>
    </cfRule>
  </conditionalFormatting>
  <conditionalFormatting sqref="G188">
    <cfRule type="expression" dxfId="1896" priority="2463">
      <formula>IF(AND($B188="",$C188="",LEN($A188)&lt;=2),TRUE,FALSE)</formula>
    </cfRule>
    <cfRule type="expression" dxfId="1895" priority="2464">
      <formula>IF(AND($B188="",$C188=""),TRUE,FALSE)</formula>
    </cfRule>
  </conditionalFormatting>
  <conditionalFormatting sqref="E188">
    <cfRule type="expression" dxfId="1894" priority="2461">
      <formula>IF(AND($B188="",$C188="",LEN($A188)&lt;=2),TRUE,FALSE)</formula>
    </cfRule>
    <cfRule type="expression" dxfId="1893" priority="2462">
      <formula>IF(AND($B188="",$C188=""),TRUE,FALSE)</formula>
    </cfRule>
  </conditionalFormatting>
  <conditionalFormatting sqref="B188">
    <cfRule type="expression" dxfId="1892" priority="2459">
      <formula>IF(AND($B188="",$C188="",LEN($A188)&lt;=2),TRUE,FALSE)</formula>
    </cfRule>
    <cfRule type="expression" dxfId="1891" priority="2460">
      <formula>IF(AND($B188="",$C188=""),TRUE,FALSE)</formula>
    </cfRule>
  </conditionalFormatting>
  <conditionalFormatting sqref="C203">
    <cfRule type="expression" dxfId="1890" priority="2453">
      <formula>IF((COUNTIF(#REF!,#REF!))&gt;1,TRUE,FALSE)</formula>
    </cfRule>
  </conditionalFormatting>
  <conditionalFormatting sqref="A203:J203">
    <cfRule type="expression" dxfId="1889" priority="2451">
      <formula>IF(AND($B203="",$C203="",LEN($A203)&lt;=2),TRUE,FALSE)</formula>
    </cfRule>
    <cfRule type="expression" dxfId="1888" priority="2452">
      <formula>IF(AND($B203="",$C203=""),TRUE,FALSE)</formula>
    </cfRule>
  </conditionalFormatting>
  <conditionalFormatting sqref="A204:C204 H204:I204 A205:A207">
    <cfRule type="expression" dxfId="1887" priority="2448">
      <formula>IF(AND($B204="",$C204="",LEN($A204)&lt;=2),TRUE,FALSE)</formula>
    </cfRule>
    <cfRule type="expression" dxfId="1886" priority="2449">
      <formula>IF(AND($B204="",$C204=""),TRUE,FALSE)</formula>
    </cfRule>
  </conditionalFormatting>
  <conditionalFormatting sqref="C204">
    <cfRule type="expression" dxfId="1885" priority="2450">
      <formula>IF((COUNTIF(#REF!,#REF!))&gt;1,TRUE,FALSE)</formula>
    </cfRule>
  </conditionalFormatting>
  <conditionalFormatting sqref="F204">
    <cfRule type="expression" dxfId="1884" priority="2446">
      <formula>IF(AND($B204="",$C204="",LEN($A204)&lt;=2),TRUE,FALSE)</formula>
    </cfRule>
    <cfRule type="expression" dxfId="1883" priority="2447">
      <formula>IF(AND($B204="",$C204=""),TRUE,FALSE)</formula>
    </cfRule>
  </conditionalFormatting>
  <conditionalFormatting sqref="A203">
    <cfRule type="expression" dxfId="1882" priority="2444">
      <formula>IF(AND($B203="",$C203="",LEN($A203)&lt;=2),TRUE,FALSE)</formula>
    </cfRule>
    <cfRule type="expression" dxfId="1881" priority="2445">
      <formula>IF(AND($B203="",$C203=""),TRUE,FALSE)</formula>
    </cfRule>
  </conditionalFormatting>
  <conditionalFormatting sqref="A204:A207">
    <cfRule type="expression" dxfId="1880" priority="2442">
      <formula>IF(AND($B204="",$C204="",LEN($A204)&lt;=2),TRUE,FALSE)</formula>
    </cfRule>
    <cfRule type="expression" dxfId="1879" priority="2443">
      <formula>IF(AND($B204="",$C204=""),TRUE,FALSE)</formula>
    </cfRule>
  </conditionalFormatting>
  <conditionalFormatting sqref="D204">
    <cfRule type="expression" dxfId="1878" priority="2440">
      <formula>IF(AND($B204="",$C204="",LEN($A204)&lt;=2),TRUE,FALSE)</formula>
    </cfRule>
    <cfRule type="expression" dxfId="1877" priority="2441">
      <formula>IF(AND($B204="",$C204=""),TRUE,FALSE)</formula>
    </cfRule>
  </conditionalFormatting>
  <conditionalFormatting sqref="D204">
    <cfRule type="expression" dxfId="1876" priority="2438">
      <formula>IF(AND($B204="",$C204="",LEN($A204)&lt;=2),TRUE,FALSE)</formula>
    </cfRule>
    <cfRule type="expression" dxfId="1875" priority="2439">
      <formula>IF(AND($B204="",$C204=""),TRUE,FALSE)</formula>
    </cfRule>
  </conditionalFormatting>
  <conditionalFormatting sqref="G204">
    <cfRule type="expression" dxfId="1874" priority="2436">
      <formula>IF(AND($B204="",$C204="",LEN($A204)&lt;=2),TRUE,FALSE)</formula>
    </cfRule>
    <cfRule type="expression" dxfId="1873" priority="2437">
      <formula>IF(AND($B204="",$C204=""),TRUE,FALSE)</formula>
    </cfRule>
  </conditionalFormatting>
  <conditionalFormatting sqref="E204">
    <cfRule type="expression" dxfId="1872" priority="2434">
      <formula>IF(AND($B204="",$C204="",LEN($A204)&lt;=2),TRUE,FALSE)</formula>
    </cfRule>
    <cfRule type="expression" dxfId="1871" priority="2435">
      <formula>IF(AND($B204="",$C204=""),TRUE,FALSE)</formula>
    </cfRule>
  </conditionalFormatting>
  <conditionalFormatting sqref="C218 H218:I218">
    <cfRule type="expression" dxfId="1870" priority="2431">
      <formula>IF(AND($B218="",$C218="",LEN($A218)&lt;=2),TRUE,FALSE)</formula>
    </cfRule>
    <cfRule type="expression" dxfId="1869" priority="2432">
      <formula>IF(AND($B218="",$C218=""),TRUE,FALSE)</formula>
    </cfRule>
  </conditionalFormatting>
  <conditionalFormatting sqref="C218">
    <cfRule type="expression" dxfId="1868" priority="2433">
      <formula>IF((COUNTIF(#REF!,#REF!))&gt;1,TRUE,FALSE)</formula>
    </cfRule>
  </conditionalFormatting>
  <conditionalFormatting sqref="F218">
    <cfRule type="expression" dxfId="1867" priority="2429">
      <formula>IF(AND($B218="",$C218="",LEN($A218)&lt;=2),TRUE,FALSE)</formula>
    </cfRule>
    <cfRule type="expression" dxfId="1866" priority="2430">
      <formula>IF(AND($B218="",$C218=""),TRUE,FALSE)</formula>
    </cfRule>
  </conditionalFormatting>
  <conditionalFormatting sqref="D218">
    <cfRule type="expression" dxfId="1865" priority="2427">
      <formula>IF(AND($B218="",$C218="",LEN($A218)&lt;=2),TRUE,FALSE)</formula>
    </cfRule>
    <cfRule type="expression" dxfId="1864" priority="2428">
      <formula>IF(AND($B218="",$C218=""),TRUE,FALSE)</formula>
    </cfRule>
  </conditionalFormatting>
  <conditionalFormatting sqref="D218">
    <cfRule type="expression" dxfId="1863" priority="2425">
      <formula>IF(AND($B218="",$C218="",LEN($A218)&lt;=2),TRUE,FALSE)</formula>
    </cfRule>
    <cfRule type="expression" dxfId="1862" priority="2426">
      <formula>IF(AND($B218="",$C218=""),TRUE,FALSE)</formula>
    </cfRule>
  </conditionalFormatting>
  <conditionalFormatting sqref="G218">
    <cfRule type="expression" dxfId="1861" priority="2423">
      <formula>IF(AND($B218="",$C218="",LEN($A218)&lt;=2),TRUE,FALSE)</formula>
    </cfRule>
    <cfRule type="expression" dxfId="1860" priority="2424">
      <formula>IF(AND($B218="",$C218=""),TRUE,FALSE)</formula>
    </cfRule>
  </conditionalFormatting>
  <conditionalFormatting sqref="E218">
    <cfRule type="expression" dxfId="1859" priority="2421">
      <formula>IF(AND($B218="",$C218="",LEN($A218)&lt;=2),TRUE,FALSE)</formula>
    </cfRule>
    <cfRule type="expression" dxfId="1858" priority="2422">
      <formula>IF(AND($B218="",$C218=""),TRUE,FALSE)</formula>
    </cfRule>
  </conditionalFormatting>
  <conditionalFormatting sqref="B205:C205 H205:I205">
    <cfRule type="expression" dxfId="1857" priority="2418">
      <formula>IF(AND($B205="",$C205="",LEN($A205)&lt;=2),TRUE,FALSE)</formula>
    </cfRule>
    <cfRule type="expression" dxfId="1856" priority="2419">
      <formula>IF(AND($B205="",$C205=""),TRUE,FALSE)</formula>
    </cfRule>
  </conditionalFormatting>
  <conditionalFormatting sqref="C205">
    <cfRule type="expression" dxfId="1855" priority="2420">
      <formula>IF((COUNTIF(#REF!,#REF!))&gt;1,TRUE,FALSE)</formula>
    </cfRule>
  </conditionalFormatting>
  <conditionalFormatting sqref="F205">
    <cfRule type="expression" dxfId="1854" priority="2416">
      <formula>IF(AND($B205="",$C205="",LEN($A205)&lt;=2),TRUE,FALSE)</formula>
    </cfRule>
    <cfRule type="expression" dxfId="1853" priority="2417">
      <formula>IF(AND($B205="",$C205=""),TRUE,FALSE)</formula>
    </cfRule>
  </conditionalFormatting>
  <conditionalFormatting sqref="D205">
    <cfRule type="expression" dxfId="1852" priority="2412">
      <formula>IF(AND($B205="",$C205="",LEN($A205)&lt;=2),TRUE,FALSE)</formula>
    </cfRule>
    <cfRule type="expression" dxfId="1851" priority="2413">
      <formula>IF(AND($B205="",$C205=""),TRUE,FALSE)</formula>
    </cfRule>
  </conditionalFormatting>
  <conditionalFormatting sqref="D205">
    <cfRule type="expression" dxfId="1850" priority="2410">
      <formula>IF(AND($B205="",$C205="",LEN($A205)&lt;=2),TRUE,FALSE)</formula>
    </cfRule>
    <cfRule type="expression" dxfId="1849" priority="2411">
      <formula>IF(AND($B205="",$C205=""),TRUE,FALSE)</formula>
    </cfRule>
  </conditionalFormatting>
  <conditionalFormatting sqref="G205">
    <cfRule type="expression" dxfId="1848" priority="2408">
      <formula>IF(AND($B205="",$C205="",LEN($A205)&lt;=2),TRUE,FALSE)</formula>
    </cfRule>
    <cfRule type="expression" dxfId="1847" priority="2409">
      <formula>IF(AND($B205="",$C205=""),TRUE,FALSE)</formula>
    </cfRule>
  </conditionalFormatting>
  <conditionalFormatting sqref="E205">
    <cfRule type="expression" dxfId="1846" priority="2406">
      <formula>IF(AND($B205="",$C205="",LEN($A205)&lt;=2),TRUE,FALSE)</formula>
    </cfRule>
    <cfRule type="expression" dxfId="1845" priority="2407">
      <formula>IF(AND($B205="",$C205=""),TRUE,FALSE)</formula>
    </cfRule>
  </conditionalFormatting>
  <conditionalFormatting sqref="B218">
    <cfRule type="expression" dxfId="1844" priority="2404">
      <formula>IF(AND($B218="",$C218="",LEN($A218)&lt;=2),TRUE,FALSE)</formula>
    </cfRule>
    <cfRule type="expression" dxfId="1843" priority="2405">
      <formula>IF(AND($B218="",$C218=""),TRUE,FALSE)</formula>
    </cfRule>
  </conditionalFormatting>
  <conditionalFormatting sqref="B207:C207 H207:I207">
    <cfRule type="expression" dxfId="1842" priority="2396">
      <formula>IF(AND($B207="",$C207="",LEN($A207)&lt;=2),TRUE,FALSE)</formula>
    </cfRule>
    <cfRule type="expression" dxfId="1841" priority="2397">
      <formula>IF(AND($B207="",$C207=""),TRUE,FALSE)</formula>
    </cfRule>
  </conditionalFormatting>
  <conditionalFormatting sqref="C207">
    <cfRule type="expression" dxfId="1840" priority="2398">
      <formula>IF((COUNTIF(#REF!,#REF!))&gt;1,TRUE,FALSE)</formula>
    </cfRule>
  </conditionalFormatting>
  <conditionalFormatting sqref="F207">
    <cfRule type="expression" dxfId="1839" priority="2394">
      <formula>IF(AND($B207="",$C207="",LEN($A207)&lt;=2),TRUE,FALSE)</formula>
    </cfRule>
    <cfRule type="expression" dxfId="1838" priority="2395">
      <formula>IF(AND($B207="",$C207=""),TRUE,FALSE)</formula>
    </cfRule>
  </conditionalFormatting>
  <conditionalFormatting sqref="D207">
    <cfRule type="expression" dxfId="1837" priority="2392">
      <formula>IF(AND($B207="",$C207="",LEN($A207)&lt;=2),TRUE,FALSE)</formula>
    </cfRule>
    <cfRule type="expression" dxfId="1836" priority="2393">
      <formula>IF(AND($B207="",$C207=""),TRUE,FALSE)</formula>
    </cfRule>
  </conditionalFormatting>
  <conditionalFormatting sqref="D207">
    <cfRule type="expression" dxfId="1835" priority="2390">
      <formula>IF(AND($B207="",$C207="",LEN($A207)&lt;=2),TRUE,FALSE)</formula>
    </cfRule>
    <cfRule type="expression" dxfId="1834" priority="2391">
      <formula>IF(AND($B207="",$C207=""),TRUE,FALSE)</formula>
    </cfRule>
  </conditionalFormatting>
  <conditionalFormatting sqref="G207">
    <cfRule type="expression" dxfId="1833" priority="2388">
      <formula>IF(AND($B207="",$C207="",LEN($A207)&lt;=2),TRUE,FALSE)</formula>
    </cfRule>
    <cfRule type="expression" dxfId="1832" priority="2389">
      <formula>IF(AND($B207="",$C207=""),TRUE,FALSE)</formula>
    </cfRule>
  </conditionalFormatting>
  <conditionalFormatting sqref="E207">
    <cfRule type="expression" dxfId="1831" priority="2386">
      <formula>IF(AND($B207="",$C207="",LEN($A207)&lt;=2),TRUE,FALSE)</formula>
    </cfRule>
    <cfRule type="expression" dxfId="1830" priority="2387">
      <formula>IF(AND($B207="",$C207=""),TRUE,FALSE)</formula>
    </cfRule>
  </conditionalFormatting>
  <conditionalFormatting sqref="B206:C206 H206:I206">
    <cfRule type="expression" dxfId="1829" priority="2378">
      <formula>IF(AND($B206="",$C206="",LEN($A206)&lt;=2),TRUE,FALSE)</formula>
    </cfRule>
    <cfRule type="expression" dxfId="1828" priority="2379">
      <formula>IF(AND($B206="",$C206=""),TRUE,FALSE)</formula>
    </cfRule>
  </conditionalFormatting>
  <conditionalFormatting sqref="C206">
    <cfRule type="expression" dxfId="1827" priority="2380">
      <formula>IF((COUNTIF(#REF!,#REF!))&gt;1,TRUE,FALSE)</formula>
    </cfRule>
  </conditionalFormatting>
  <conditionalFormatting sqref="F206">
    <cfRule type="expression" dxfId="1826" priority="2376">
      <formula>IF(AND($B206="",$C206="",LEN($A206)&lt;=2),TRUE,FALSE)</formula>
    </cfRule>
    <cfRule type="expression" dxfId="1825" priority="2377">
      <formula>IF(AND($B206="",$C206=""),TRUE,FALSE)</formula>
    </cfRule>
  </conditionalFormatting>
  <conditionalFormatting sqref="D206">
    <cfRule type="expression" dxfId="1824" priority="2374">
      <formula>IF(AND($B206="",$C206="",LEN($A206)&lt;=2),TRUE,FALSE)</formula>
    </cfRule>
    <cfRule type="expression" dxfId="1823" priority="2375">
      <formula>IF(AND($B206="",$C206=""),TRUE,FALSE)</formula>
    </cfRule>
  </conditionalFormatting>
  <conditionalFormatting sqref="D206">
    <cfRule type="expression" dxfId="1822" priority="2372">
      <formula>IF(AND($B206="",$C206="",LEN($A206)&lt;=2),TRUE,FALSE)</formula>
    </cfRule>
    <cfRule type="expression" dxfId="1821" priority="2373">
      <formula>IF(AND($B206="",$C206=""),TRUE,FALSE)</formula>
    </cfRule>
  </conditionalFormatting>
  <conditionalFormatting sqref="G206">
    <cfRule type="expression" dxfId="1820" priority="2370">
      <formula>IF(AND($B206="",$C206="",LEN($A206)&lt;=2),TRUE,FALSE)</formula>
    </cfRule>
    <cfRule type="expression" dxfId="1819" priority="2371">
      <formula>IF(AND($B206="",$C206=""),TRUE,FALSE)</formula>
    </cfRule>
  </conditionalFormatting>
  <conditionalFormatting sqref="E206">
    <cfRule type="expression" dxfId="1818" priority="2368">
      <formula>IF(AND($B206="",$C206="",LEN($A206)&lt;=2),TRUE,FALSE)</formula>
    </cfRule>
    <cfRule type="expression" dxfId="1817" priority="2369">
      <formula>IF(AND($B206="",$C206=""),TRUE,FALSE)</formula>
    </cfRule>
  </conditionalFormatting>
  <conditionalFormatting sqref="A208">
    <cfRule type="expression" dxfId="1816" priority="2365">
      <formula>IF(AND($B208="",$C208="",LEN($A208)&lt;=2),TRUE,FALSE)</formula>
    </cfRule>
    <cfRule type="expression" dxfId="1815" priority="2366">
      <formula>IF(AND($B208="",$C208=""),TRUE,FALSE)</formula>
    </cfRule>
  </conditionalFormatting>
  <conditionalFormatting sqref="A208">
    <cfRule type="expression" dxfId="1814" priority="2363">
      <formula>IF(AND($B208="",$C208="",LEN($A208)&lt;=2),TRUE,FALSE)</formula>
    </cfRule>
    <cfRule type="expression" dxfId="1813" priority="2364">
      <formula>IF(AND($B208="",$C208=""),TRUE,FALSE)</formula>
    </cfRule>
  </conditionalFormatting>
  <conditionalFormatting sqref="C208 H208:I208">
    <cfRule type="expression" dxfId="1812" priority="2360">
      <formula>IF(AND($B208="",$C208="",LEN($A208)&lt;=2),TRUE,FALSE)</formula>
    </cfRule>
    <cfRule type="expression" dxfId="1811" priority="2361">
      <formula>IF(AND($B208="",$C208=""),TRUE,FALSE)</formula>
    </cfRule>
  </conditionalFormatting>
  <conditionalFormatting sqref="C208">
    <cfRule type="expression" dxfId="1810" priority="2362">
      <formula>IF((COUNTIF(#REF!,#REF!))&gt;1,TRUE,FALSE)</formula>
    </cfRule>
  </conditionalFormatting>
  <conditionalFormatting sqref="F208">
    <cfRule type="expression" dxfId="1809" priority="2358">
      <formula>IF(AND($B208="",$C208="",LEN($A208)&lt;=2),TRUE,FALSE)</formula>
    </cfRule>
    <cfRule type="expression" dxfId="1808" priority="2359">
      <formula>IF(AND($B208="",$C208=""),TRUE,FALSE)</formula>
    </cfRule>
  </conditionalFormatting>
  <conditionalFormatting sqref="D208">
    <cfRule type="expression" dxfId="1807" priority="2356">
      <formula>IF(AND($B208="",$C208="",LEN($A208)&lt;=2),TRUE,FALSE)</formula>
    </cfRule>
    <cfRule type="expression" dxfId="1806" priority="2357">
      <formula>IF(AND($B208="",$C208=""),TRUE,FALSE)</formula>
    </cfRule>
  </conditionalFormatting>
  <conditionalFormatting sqref="D208">
    <cfRule type="expression" dxfId="1805" priority="2354">
      <formula>IF(AND($B208="",$C208="",LEN($A208)&lt;=2),TRUE,FALSE)</formula>
    </cfRule>
    <cfRule type="expression" dxfId="1804" priority="2355">
      <formula>IF(AND($B208="",$C208=""),TRUE,FALSE)</formula>
    </cfRule>
  </conditionalFormatting>
  <conditionalFormatting sqref="G208">
    <cfRule type="expression" dxfId="1803" priority="2352">
      <formula>IF(AND($B208="",$C208="",LEN($A208)&lt;=2),TRUE,FALSE)</formula>
    </cfRule>
    <cfRule type="expression" dxfId="1802" priority="2353">
      <formula>IF(AND($B208="",$C208=""),TRUE,FALSE)</formula>
    </cfRule>
  </conditionalFormatting>
  <conditionalFormatting sqref="E208">
    <cfRule type="expression" dxfId="1801" priority="2350">
      <formula>IF(AND($B208="",$C208="",LEN($A208)&lt;=2),TRUE,FALSE)</formula>
    </cfRule>
    <cfRule type="expression" dxfId="1800" priority="2351">
      <formula>IF(AND($B208="",$C208=""),TRUE,FALSE)</formula>
    </cfRule>
  </conditionalFormatting>
  <conditionalFormatting sqref="B208">
    <cfRule type="expression" dxfId="1799" priority="2348">
      <formula>IF(AND($B208="",$C208="",LEN($A208)&lt;=2),TRUE,FALSE)</formula>
    </cfRule>
    <cfRule type="expression" dxfId="1798" priority="2349">
      <formula>IF(AND($B208="",$C208=""),TRUE,FALSE)</formula>
    </cfRule>
  </conditionalFormatting>
  <conditionalFormatting sqref="D221:E221 G221">
    <cfRule type="expression" dxfId="1797" priority="2343">
      <formula>IF(AND($B221="",$C221="",LEN($A221)&lt;=2),TRUE,FALSE)</formula>
    </cfRule>
    <cfRule type="expression" dxfId="1796" priority="2344">
      <formula>IF(AND($B221="",$C221=""),TRUE,FALSE)</formula>
    </cfRule>
  </conditionalFormatting>
  <conditionalFormatting sqref="H221:I221">
    <cfRule type="expression" dxfId="1795" priority="2341">
      <formula>IF(AND($B221="",$C221="",LEN($A221)&lt;=2),TRUE,FALSE)</formula>
    </cfRule>
    <cfRule type="expression" dxfId="1794" priority="2342">
      <formula>IF(AND($B221="",$C221=""),TRUE,FALSE)</formula>
    </cfRule>
  </conditionalFormatting>
  <conditionalFormatting sqref="F221">
    <cfRule type="expression" dxfId="1793" priority="2339">
      <formula>IF(AND($B221="",$C221="",LEN($A221)&lt;=2),TRUE,FALSE)</formula>
    </cfRule>
    <cfRule type="expression" dxfId="1792" priority="2340">
      <formula>IF(AND($B221="",$C221=""),TRUE,FALSE)</formula>
    </cfRule>
  </conditionalFormatting>
  <conditionalFormatting sqref="B221:C221">
    <cfRule type="expression" dxfId="1791" priority="2336">
      <formula>IF(AND($B221="",$C221="",LEN($A221)&lt;=2),TRUE,FALSE)</formula>
    </cfRule>
    <cfRule type="expression" dxfId="1790" priority="2337">
      <formula>IF(AND($B221="",$C221=""),TRUE,FALSE)</formula>
    </cfRule>
  </conditionalFormatting>
  <conditionalFormatting sqref="C221">
    <cfRule type="expression" dxfId="1789" priority="2338">
      <formula>IF((COUNTIF(#REF!,#REF!))&gt;1,TRUE,FALSE)</formula>
    </cfRule>
  </conditionalFormatting>
  <conditionalFormatting sqref="B122:C122 H122:I122">
    <cfRule type="expression" dxfId="1788" priority="2330">
      <formula>IF(AND($B122="",$C122="",LEN($A122)&lt;=2),TRUE,FALSE)</formula>
    </cfRule>
    <cfRule type="expression" dxfId="1787" priority="2331">
      <formula>IF(AND($B122="",$C122=""),TRUE,FALSE)</formula>
    </cfRule>
  </conditionalFormatting>
  <conditionalFormatting sqref="C122">
    <cfRule type="expression" dxfId="1786" priority="2332">
      <formula>IF((COUNTIF(#REF!,#REF!))&gt;1,TRUE,FALSE)</formula>
    </cfRule>
  </conditionalFormatting>
  <conditionalFormatting sqref="F122">
    <cfRule type="expression" dxfId="1785" priority="2328">
      <formula>IF(AND($B122="",$C122="",LEN($A122)&lt;=2),TRUE,FALSE)</formula>
    </cfRule>
    <cfRule type="expression" dxfId="1784" priority="2329">
      <formula>IF(AND($B122="",$C122=""),TRUE,FALSE)</formula>
    </cfRule>
  </conditionalFormatting>
  <conditionalFormatting sqref="D122">
    <cfRule type="expression" dxfId="1783" priority="2326">
      <formula>IF(AND($B122="",$C122="",LEN($A122)&lt;=2),TRUE,FALSE)</formula>
    </cfRule>
    <cfRule type="expression" dxfId="1782" priority="2327">
      <formula>IF(AND($B122="",$C122=""),TRUE,FALSE)</formula>
    </cfRule>
  </conditionalFormatting>
  <conditionalFormatting sqref="D122">
    <cfRule type="expression" dxfId="1781" priority="2324">
      <formula>IF(AND($B122="",$C122="",LEN($A122)&lt;=2),TRUE,FALSE)</formula>
    </cfRule>
    <cfRule type="expression" dxfId="1780" priority="2325">
      <formula>IF(AND($B122="",$C122=""),TRUE,FALSE)</formula>
    </cfRule>
  </conditionalFormatting>
  <conditionalFormatting sqref="G122">
    <cfRule type="expression" dxfId="1779" priority="2322">
      <formula>IF(AND($B122="",$C122="",LEN($A122)&lt;=2),TRUE,FALSE)</formula>
    </cfRule>
    <cfRule type="expression" dxfId="1778" priority="2323">
      <formula>IF(AND($B122="",$C122=""),TRUE,FALSE)</formula>
    </cfRule>
  </conditionalFormatting>
  <conditionalFormatting sqref="E122">
    <cfRule type="expression" dxfId="1777" priority="2320">
      <formula>IF(AND($B122="",$C122="",LEN($A122)&lt;=2),TRUE,FALSE)</formula>
    </cfRule>
    <cfRule type="expression" dxfId="1776" priority="2321">
      <formula>IF(AND($B122="",$C122=""),TRUE,FALSE)</formula>
    </cfRule>
  </conditionalFormatting>
  <conditionalFormatting sqref="A235">
    <cfRule type="expression" dxfId="1775" priority="2318">
      <formula>IF(AND($B235="",$C235="",LEN($A235)&lt;=2),TRUE,FALSE)</formula>
    </cfRule>
    <cfRule type="expression" dxfId="1774" priority="2319">
      <formula>IF(AND($B235="",$C235=""),TRUE,FALSE)</formula>
    </cfRule>
  </conditionalFormatting>
  <conditionalFormatting sqref="D235">
    <cfRule type="expression" dxfId="1773" priority="2315">
      <formula>IF(AND($B235="",$C235="",LEN($A235)&lt;=2),TRUE,FALSE)</formula>
    </cfRule>
    <cfRule type="expression" dxfId="1772" priority="2316">
      <formula>IF(AND($B235="",$C235=""),TRUE,FALSE)</formula>
    </cfRule>
  </conditionalFormatting>
  <conditionalFormatting sqref="B235">
    <cfRule type="expression" dxfId="1771" priority="2313">
      <formula>IF(AND($B235="",$C235="",LEN($A235)&lt;=2),TRUE,FALSE)</formula>
    </cfRule>
    <cfRule type="expression" dxfId="1770" priority="2314">
      <formula>IF(AND($B235="",$C235=""),TRUE,FALSE)</formula>
    </cfRule>
  </conditionalFormatting>
  <conditionalFormatting sqref="H235:I235">
    <cfRule type="expression" dxfId="1769" priority="2311">
      <formula>IF(AND($B235="",$C235="",LEN($A235)&lt;=2),TRUE,FALSE)</formula>
    </cfRule>
    <cfRule type="expression" dxfId="1768" priority="2312">
      <formula>IF(AND($B235="",$C235=""),TRUE,FALSE)</formula>
    </cfRule>
  </conditionalFormatting>
  <conditionalFormatting sqref="F235">
    <cfRule type="expression" dxfId="1767" priority="2309">
      <formula>IF(AND($B235="",$C235="",LEN($A235)&lt;=2),TRUE,FALSE)</formula>
    </cfRule>
    <cfRule type="expression" dxfId="1766" priority="2310">
      <formula>IF(AND($B235="",$C235=""),TRUE,FALSE)</formula>
    </cfRule>
  </conditionalFormatting>
  <conditionalFormatting sqref="E235">
    <cfRule type="expression" dxfId="1765" priority="2307">
      <formula>IF(AND($B235="",$C235="",LEN($A235)&lt;=2),TRUE,FALSE)</formula>
    </cfRule>
    <cfRule type="expression" dxfId="1764" priority="2308">
      <formula>IF(AND($B235="",$C235=""),TRUE,FALSE)</formula>
    </cfRule>
  </conditionalFormatting>
  <conditionalFormatting sqref="G235">
    <cfRule type="expression" dxfId="1763" priority="2305">
      <formula>IF(AND($B235="",$C235="",LEN($A235)&lt;=2),TRUE,FALSE)</formula>
    </cfRule>
    <cfRule type="expression" dxfId="1762" priority="2306">
      <formula>IF(AND($B235="",$C235=""),TRUE,FALSE)</formula>
    </cfRule>
  </conditionalFormatting>
  <conditionalFormatting sqref="C235">
    <cfRule type="expression" dxfId="1761" priority="2302">
      <formula>IF(AND($B235="",$C235="",LEN($A235)&lt;=2),TRUE,FALSE)</formula>
    </cfRule>
    <cfRule type="expression" dxfId="1760" priority="2303">
      <formula>IF(AND($B235="",$C235=""),TRUE,FALSE)</formula>
    </cfRule>
  </conditionalFormatting>
  <conditionalFormatting sqref="C235">
    <cfRule type="expression" dxfId="1759" priority="2304">
      <formula>IF((COUNTIF(#REF!,#REF!))&gt;1,TRUE,FALSE)</formula>
    </cfRule>
  </conditionalFormatting>
  <conditionalFormatting sqref="G66 D66:E66">
    <cfRule type="expression" dxfId="1758" priority="2299">
      <formula>IF(AND($B66="",$C66="",LEN($A66)&lt;=2),TRUE,FALSE)</formula>
    </cfRule>
    <cfRule type="expression" dxfId="1757" priority="2300">
      <formula>IF(AND($B66="",$C66=""),TRUE,FALSE)</formula>
    </cfRule>
  </conditionalFormatting>
  <conditionalFormatting sqref="B66:C66 H66:I66">
    <cfRule type="expression" dxfId="1756" priority="2295">
      <formula>IF(AND($B66="",$C66="",LEN($A66)&lt;=2),TRUE,FALSE)</formula>
    </cfRule>
    <cfRule type="expression" dxfId="1755" priority="2296">
      <formula>IF(AND($B66="",$C66=""),TRUE,FALSE)</formula>
    </cfRule>
  </conditionalFormatting>
  <conditionalFormatting sqref="C66">
    <cfRule type="expression" dxfId="1754" priority="2294">
      <formula>IF((COUNTIF(#REF!,#REF!))&gt;1,TRUE,FALSE)</formula>
    </cfRule>
  </conditionalFormatting>
  <conditionalFormatting sqref="F66:G66">
    <cfRule type="expression" dxfId="1753" priority="2292">
      <formula>IF(AND($B66="",$C66="",LEN($A66)&lt;=2),TRUE,FALSE)</formula>
    </cfRule>
    <cfRule type="expression" dxfId="1752" priority="2293">
      <formula>IF(AND($B66="",$C66=""),TRUE,FALSE)</formula>
    </cfRule>
  </conditionalFormatting>
  <conditionalFormatting sqref="C66">
    <cfRule type="expression" dxfId="1751" priority="2291">
      <formula>IF((COUNTIF(#REF!,#REF!))&gt;1,TRUE,FALSE)</formula>
    </cfRule>
  </conditionalFormatting>
  <conditionalFormatting sqref="B74 H74:I74">
    <cfRule type="expression" dxfId="1750" priority="2288">
      <formula>IF(AND($B74="",$C74="",LEN($A74)&lt;=2),TRUE,FALSE)</formula>
    </cfRule>
    <cfRule type="expression" dxfId="1749" priority="2289">
      <formula>IF(AND($B74="",$C74=""),TRUE,FALSE)</formula>
    </cfRule>
  </conditionalFormatting>
  <conditionalFormatting sqref="F74:G74">
    <cfRule type="expression" dxfId="1748" priority="2286">
      <formula>IF(AND($B74="",$C74="",LEN($A74)&lt;=2),TRUE,FALSE)</formula>
    </cfRule>
    <cfRule type="expression" dxfId="1747" priority="2287">
      <formula>IF(AND($B74="",$C74=""),TRUE,FALSE)</formula>
    </cfRule>
  </conditionalFormatting>
  <conditionalFormatting sqref="D74">
    <cfRule type="expression" dxfId="1746" priority="2284">
      <formula>IF(AND($B74="",$C74="",LEN($A74)&lt;=2),TRUE,FALSE)</formula>
    </cfRule>
    <cfRule type="expression" dxfId="1745" priority="2285">
      <formula>IF(AND($B74="",$C74=""),TRUE,FALSE)</formula>
    </cfRule>
  </conditionalFormatting>
  <conditionalFormatting sqref="D74">
    <cfRule type="expression" dxfId="1744" priority="2282">
      <formula>IF(AND($B74="",$C74="",LEN($A74)&lt;=2),TRUE,FALSE)</formula>
    </cfRule>
    <cfRule type="expression" dxfId="1743" priority="2283">
      <formula>IF(AND($B74="",$C74=""),TRUE,FALSE)</formula>
    </cfRule>
  </conditionalFormatting>
  <conditionalFormatting sqref="G74">
    <cfRule type="expression" dxfId="1742" priority="2280">
      <formula>IF(AND($B74="",$C74="",LEN($A74)&lt;=2),TRUE,FALSE)</formula>
    </cfRule>
    <cfRule type="expression" dxfId="1741" priority="2281">
      <formula>IF(AND($B74="",$C74=""),TRUE,FALSE)</formula>
    </cfRule>
  </conditionalFormatting>
  <conditionalFormatting sqref="E74">
    <cfRule type="expression" dxfId="1740" priority="2278">
      <formula>IF(AND($B74="",$C74="",LEN($A74)&lt;=2),TRUE,FALSE)</formula>
    </cfRule>
    <cfRule type="expression" dxfId="1739" priority="2279">
      <formula>IF(AND($B74="",$C74=""),TRUE,FALSE)</formula>
    </cfRule>
  </conditionalFormatting>
  <conditionalFormatting sqref="C74">
    <cfRule type="expression" dxfId="1738" priority="2275">
      <formula>IF(AND($B74="",$C74="",LEN($A74)&lt;=2),TRUE,FALSE)</formula>
    </cfRule>
    <cfRule type="expression" dxfId="1737" priority="2276">
      <formula>IF(AND($B74="",$C74=""),TRUE,FALSE)</formula>
    </cfRule>
  </conditionalFormatting>
  <conditionalFormatting sqref="C74">
    <cfRule type="expression" dxfId="1736" priority="2277">
      <formula>IF((COUNTIF(#REF!,#REF!))&gt;1,TRUE,FALSE)</formula>
    </cfRule>
  </conditionalFormatting>
  <conditionalFormatting sqref="A99:I99">
    <cfRule type="expression" dxfId="1735" priority="2270">
      <formula>IF(AND($B99="",$C99="",LEN($A99)&lt;=2),TRUE,FALSE)</formula>
    </cfRule>
    <cfRule type="expression" dxfId="1734" priority="2271">
      <formula>IF(AND($B99="",$C99=""),TRUE,FALSE)</formula>
    </cfRule>
  </conditionalFormatting>
  <conditionalFormatting sqref="C99">
    <cfRule type="expression" dxfId="1733" priority="2269">
      <formula>IF((COUNTIF(#REF!,#REF!))&gt;1,TRUE,FALSE)</formula>
    </cfRule>
  </conditionalFormatting>
  <conditionalFormatting sqref="C19">
    <cfRule type="expression" dxfId="1732" priority="2264">
      <formula>IF(AND($B19="",$C19="",LEN($A19)&lt;=2),TRUE,FALSE)</formula>
    </cfRule>
    <cfRule type="expression" dxfId="1731" priority="2265">
      <formula>IF(AND($B19="",$C19=""),TRUE,FALSE)</formula>
    </cfRule>
  </conditionalFormatting>
  <conditionalFormatting sqref="C19">
    <cfRule type="expression" dxfId="1730" priority="2263">
      <formula>IF((COUNTIF(#REF!,#REF!))&gt;1,TRUE,FALSE)</formula>
    </cfRule>
  </conditionalFormatting>
  <conditionalFormatting sqref="C19">
    <cfRule type="expression" dxfId="1729" priority="2262">
      <formula>IF((COUNTIF(#REF!,#REF!))&gt;1,TRUE,FALSE)</formula>
    </cfRule>
  </conditionalFormatting>
  <conditionalFormatting sqref="C19">
    <cfRule type="expression" dxfId="1728" priority="2261">
      <formula>IF((COUNTIF(#REF!,#REF!))&gt;1,TRUE,FALSE)</formula>
    </cfRule>
  </conditionalFormatting>
  <conditionalFormatting sqref="F19 H19:I19">
    <cfRule type="expression" dxfId="1727" priority="2259">
      <formula>IF(AND($B19="",$C19="",LEN($A19)&lt;=2),TRUE,FALSE)</formula>
    </cfRule>
    <cfRule type="expression" dxfId="1726" priority="2260">
      <formula>IF(AND($B19="",$C19=""),TRUE,FALSE)</formula>
    </cfRule>
  </conditionalFormatting>
  <conditionalFormatting sqref="B19">
    <cfRule type="expression" dxfId="1725" priority="2255">
      <formula>IF(AND($B19="",$C19="",LEN($A19)&lt;=2),TRUE,FALSE)</formula>
    </cfRule>
    <cfRule type="expression" dxfId="1724" priority="2256">
      <formula>IF(AND($B19="",$C19=""),TRUE,FALSE)</formula>
    </cfRule>
  </conditionalFormatting>
  <conditionalFormatting sqref="B19">
    <cfRule type="expression" dxfId="1723" priority="2257">
      <formula>IF(AND($B19="",$C19="",LEN($A19)&lt;=2),TRUE,FALSE)</formula>
    </cfRule>
    <cfRule type="expression" dxfId="1722" priority="2258">
      <formula>IF(AND($B19="",$C19=""),TRUE,FALSE)</formula>
    </cfRule>
  </conditionalFormatting>
  <conditionalFormatting sqref="D19">
    <cfRule type="expression" dxfId="1721" priority="2253">
      <formula>IF(AND($B19="",$C19="",LEN($A19)&lt;=2),TRUE,FALSE)</formula>
    </cfRule>
    <cfRule type="expression" dxfId="1720" priority="2254">
      <formula>IF(AND($B19="",$C19=""),TRUE,FALSE)</formula>
    </cfRule>
  </conditionalFormatting>
  <conditionalFormatting sqref="D19">
    <cfRule type="expression" dxfId="1719" priority="2251">
      <formula>IF(AND($B19="",$C19="",LEN($A19)&lt;=2),TRUE,FALSE)</formula>
    </cfRule>
    <cfRule type="expression" dxfId="1718" priority="2252">
      <formula>IF(AND($B19="",$C19=""),TRUE,FALSE)</formula>
    </cfRule>
  </conditionalFormatting>
  <conditionalFormatting sqref="G19">
    <cfRule type="expression" dxfId="1717" priority="2249">
      <formula>IF(AND($B19="",$C19="",LEN($A19)&lt;=2),TRUE,FALSE)</formula>
    </cfRule>
    <cfRule type="expression" dxfId="1716" priority="2250">
      <formula>IF(AND($B19="",$C19=""),TRUE,FALSE)</formula>
    </cfRule>
  </conditionalFormatting>
  <conditionalFormatting sqref="E19">
    <cfRule type="expression" dxfId="1715" priority="2247">
      <formula>IF(AND($B19="",$C19="",LEN($A19)&lt;=2),TRUE,FALSE)</formula>
    </cfRule>
    <cfRule type="expression" dxfId="1714" priority="2248">
      <formula>IF(AND($B19="",$C19=""),TRUE,FALSE)</formula>
    </cfRule>
  </conditionalFormatting>
  <conditionalFormatting sqref="C18">
    <cfRule type="expression" dxfId="1713" priority="2242">
      <formula>IF(AND($B18="",$C18="",LEN($A18)&lt;=2),TRUE,FALSE)</formula>
    </cfRule>
    <cfRule type="expression" dxfId="1712" priority="2243">
      <formula>IF(AND($B18="",$C18=""),TRUE,FALSE)</formula>
    </cfRule>
  </conditionalFormatting>
  <conditionalFormatting sqref="C18">
    <cfRule type="expression" dxfId="1711" priority="2241">
      <formula>IF((COUNTIF(#REF!,#REF!))&gt;1,TRUE,FALSE)</formula>
    </cfRule>
  </conditionalFormatting>
  <conditionalFormatting sqref="C18">
    <cfRule type="expression" dxfId="1710" priority="2240">
      <formula>IF((COUNTIF(#REF!,#REF!))&gt;1,TRUE,FALSE)</formula>
    </cfRule>
  </conditionalFormatting>
  <conditionalFormatting sqref="C18">
    <cfRule type="expression" dxfId="1709" priority="2239">
      <formula>IF((COUNTIF(#REF!,#REF!))&gt;1,TRUE,FALSE)</formula>
    </cfRule>
  </conditionalFormatting>
  <conditionalFormatting sqref="F18 H18:I18">
    <cfRule type="expression" dxfId="1708" priority="2237">
      <formula>IF(AND($B18="",$C18="",LEN($A18)&lt;=2),TRUE,FALSE)</formula>
    </cfRule>
    <cfRule type="expression" dxfId="1707" priority="2238">
      <formula>IF(AND($B18="",$C18=""),TRUE,FALSE)</formula>
    </cfRule>
  </conditionalFormatting>
  <conditionalFormatting sqref="B18">
    <cfRule type="expression" dxfId="1706" priority="2233">
      <formula>IF(AND($B18="",$C18="",LEN($A18)&lt;=2),TRUE,FALSE)</formula>
    </cfRule>
    <cfRule type="expression" dxfId="1705" priority="2234">
      <formula>IF(AND($B18="",$C18=""),TRUE,FALSE)</formula>
    </cfRule>
  </conditionalFormatting>
  <conditionalFormatting sqref="B18">
    <cfRule type="expression" dxfId="1704" priority="2235">
      <formula>IF(AND($B18="",$C18="",LEN($A18)&lt;=2),TRUE,FALSE)</formula>
    </cfRule>
    <cfRule type="expression" dxfId="1703" priority="2236">
      <formula>IF(AND($B18="",$C18=""),TRUE,FALSE)</formula>
    </cfRule>
  </conditionalFormatting>
  <conditionalFormatting sqref="D18">
    <cfRule type="expression" dxfId="1702" priority="2231">
      <formula>IF(AND($B18="",$C18="",LEN($A18)&lt;=2),TRUE,FALSE)</formula>
    </cfRule>
    <cfRule type="expression" dxfId="1701" priority="2232">
      <formula>IF(AND($B18="",$C18=""),TRUE,FALSE)</formula>
    </cfRule>
  </conditionalFormatting>
  <conditionalFormatting sqref="D18">
    <cfRule type="expression" dxfId="1700" priority="2229">
      <formula>IF(AND($B18="",$C18="",LEN($A18)&lt;=2),TRUE,FALSE)</formula>
    </cfRule>
    <cfRule type="expression" dxfId="1699" priority="2230">
      <formula>IF(AND($B18="",$C18=""),TRUE,FALSE)</formula>
    </cfRule>
  </conditionalFormatting>
  <conditionalFormatting sqref="G18">
    <cfRule type="expression" dxfId="1698" priority="2227">
      <formula>IF(AND($B18="",$C18="",LEN($A18)&lt;=2),TRUE,FALSE)</formula>
    </cfRule>
    <cfRule type="expression" dxfId="1697" priority="2228">
      <formula>IF(AND($B18="",$C18=""),TRUE,FALSE)</formula>
    </cfRule>
  </conditionalFormatting>
  <conditionalFormatting sqref="E18">
    <cfRule type="expression" dxfId="1696" priority="2225">
      <formula>IF(AND($B18="",$C18="",LEN($A18)&lt;=2),TRUE,FALSE)</formula>
    </cfRule>
    <cfRule type="expression" dxfId="1695" priority="2226">
      <formula>IF(AND($B18="",$C18=""),TRUE,FALSE)</formula>
    </cfRule>
  </conditionalFormatting>
  <conditionalFormatting sqref="B244:C244 H244:I244">
    <cfRule type="expression" dxfId="1694" priority="2219">
      <formula>IF(AND($B244="",$C244="",LEN($A244)&lt;=2),TRUE,FALSE)</formula>
    </cfRule>
    <cfRule type="expression" dxfId="1693" priority="2220">
      <formula>IF(AND($B244="",$C244=""),TRUE,FALSE)</formula>
    </cfRule>
  </conditionalFormatting>
  <conditionalFormatting sqref="C244">
    <cfRule type="expression" dxfId="1692" priority="2221">
      <formula>IF((COUNTIF(#REF!,#REF!))&gt;1,TRUE,FALSE)</formula>
    </cfRule>
  </conditionalFormatting>
  <conditionalFormatting sqref="F244">
    <cfRule type="expression" dxfId="1691" priority="2217">
      <formula>IF(AND($B244="",$C244="",LEN($A244)&lt;=2),TRUE,FALSE)</formula>
    </cfRule>
    <cfRule type="expression" dxfId="1690" priority="2218">
      <formula>IF(AND($B244="",$C244=""),TRUE,FALSE)</formula>
    </cfRule>
  </conditionalFormatting>
  <conditionalFormatting sqref="D244">
    <cfRule type="expression" dxfId="1689" priority="2215">
      <formula>IF(AND($B244="",$C244="",LEN($A244)&lt;=2),TRUE,FALSE)</formula>
    </cfRule>
    <cfRule type="expression" dxfId="1688" priority="2216">
      <formula>IF(AND($B244="",$C244=""),TRUE,FALSE)</formula>
    </cfRule>
  </conditionalFormatting>
  <conditionalFormatting sqref="D244">
    <cfRule type="expression" dxfId="1687" priority="2213">
      <formula>IF(AND($B244="",$C244="",LEN($A244)&lt;=2),TRUE,FALSE)</formula>
    </cfRule>
    <cfRule type="expression" dxfId="1686" priority="2214">
      <formula>IF(AND($B244="",$C244=""),TRUE,FALSE)</formula>
    </cfRule>
  </conditionalFormatting>
  <conditionalFormatting sqref="G244">
    <cfRule type="expression" dxfId="1685" priority="2211">
      <formula>IF(AND($B244="",$C244="",LEN($A244)&lt;=2),TRUE,FALSE)</formula>
    </cfRule>
    <cfRule type="expression" dxfId="1684" priority="2212">
      <formula>IF(AND($B244="",$C244=""),TRUE,FALSE)</formula>
    </cfRule>
  </conditionalFormatting>
  <conditionalFormatting sqref="E244">
    <cfRule type="expression" dxfId="1683" priority="2209">
      <formula>IF(AND($B244="",$C244="",LEN($A244)&lt;=2),TRUE,FALSE)</formula>
    </cfRule>
    <cfRule type="expression" dxfId="1682" priority="2210">
      <formula>IF(AND($B244="",$C244=""),TRUE,FALSE)</formula>
    </cfRule>
  </conditionalFormatting>
  <conditionalFormatting sqref="B250:C250 H250:I250">
    <cfRule type="expression" dxfId="1681" priority="2203">
      <formula>IF(AND($B250="",$C250="",LEN($A250)&lt;=2),TRUE,FALSE)</formula>
    </cfRule>
    <cfRule type="expression" dxfId="1680" priority="2204">
      <formula>IF(AND($B250="",$C250=""),TRUE,FALSE)</formula>
    </cfRule>
  </conditionalFormatting>
  <conditionalFormatting sqref="C250">
    <cfRule type="expression" dxfId="1679" priority="2205">
      <formula>IF((COUNTIF(#REF!,#REF!))&gt;1,TRUE,FALSE)</formula>
    </cfRule>
  </conditionalFormatting>
  <conditionalFormatting sqref="F250">
    <cfRule type="expression" dxfId="1678" priority="2201">
      <formula>IF(AND($B250="",$C250="",LEN($A250)&lt;=2),TRUE,FALSE)</formula>
    </cfRule>
    <cfRule type="expression" dxfId="1677" priority="2202">
      <formula>IF(AND($B250="",$C250=""),TRUE,FALSE)</formula>
    </cfRule>
  </conditionalFormatting>
  <conditionalFormatting sqref="D250">
    <cfRule type="expression" dxfId="1676" priority="2199">
      <formula>IF(AND($B250="",$C250="",LEN($A250)&lt;=2),TRUE,FALSE)</formula>
    </cfRule>
    <cfRule type="expression" dxfId="1675" priority="2200">
      <formula>IF(AND($B250="",$C250=""),TRUE,FALSE)</formula>
    </cfRule>
  </conditionalFormatting>
  <conditionalFormatting sqref="D250">
    <cfRule type="expression" dxfId="1674" priority="2197">
      <formula>IF(AND($B250="",$C250="",LEN($A250)&lt;=2),TRUE,FALSE)</formula>
    </cfRule>
    <cfRule type="expression" dxfId="1673" priority="2198">
      <formula>IF(AND($B250="",$C250=""),TRUE,FALSE)</formula>
    </cfRule>
  </conditionalFormatting>
  <conditionalFormatting sqref="G250">
    <cfRule type="expression" dxfId="1672" priority="2195">
      <formula>IF(AND($B250="",$C250="",LEN($A250)&lt;=2),TRUE,FALSE)</formula>
    </cfRule>
    <cfRule type="expression" dxfId="1671" priority="2196">
      <formula>IF(AND($B250="",$C250=""),TRUE,FALSE)</formula>
    </cfRule>
  </conditionalFormatting>
  <conditionalFormatting sqref="E250">
    <cfRule type="expression" dxfId="1670" priority="2193">
      <formula>IF(AND($B250="",$C250="",LEN($A250)&lt;=2),TRUE,FALSE)</formula>
    </cfRule>
    <cfRule type="expression" dxfId="1669" priority="2194">
      <formula>IF(AND($B250="",$C250=""),TRUE,FALSE)</formula>
    </cfRule>
  </conditionalFormatting>
  <conditionalFormatting sqref="B256:C256 H256:I256">
    <cfRule type="expression" dxfId="1668" priority="2189">
      <formula>IF(AND($B256="",$C256="",LEN($A256)&lt;=2),TRUE,FALSE)</formula>
    </cfRule>
    <cfRule type="expression" dxfId="1667" priority="2190">
      <formula>IF(AND($B256="",$C256=""),TRUE,FALSE)</formula>
    </cfRule>
  </conditionalFormatting>
  <conditionalFormatting sqref="C256">
    <cfRule type="expression" dxfId="1666" priority="2191">
      <formula>IF((COUNTIF(#REF!,#REF!))&gt;1,TRUE,FALSE)</formula>
    </cfRule>
  </conditionalFormatting>
  <conditionalFormatting sqref="F256">
    <cfRule type="expression" dxfId="1665" priority="2187">
      <formula>IF(AND($B256="",$C256="",LEN($A256)&lt;=2),TRUE,FALSE)</formula>
    </cfRule>
    <cfRule type="expression" dxfId="1664" priority="2188">
      <formula>IF(AND($B256="",$C256=""),TRUE,FALSE)</formula>
    </cfRule>
  </conditionalFormatting>
  <conditionalFormatting sqref="A256">
    <cfRule type="expression" dxfId="1663" priority="2185">
      <formula>IF(AND($B256="",$C256="",LEN($A256)&lt;=2),TRUE,FALSE)</formula>
    </cfRule>
    <cfRule type="expression" dxfId="1662" priority="2186">
      <formula>IF(AND($B256="",$C256=""),TRUE,FALSE)</formula>
    </cfRule>
  </conditionalFormatting>
  <conditionalFormatting sqref="D256">
    <cfRule type="expression" dxfId="1661" priority="2183">
      <formula>IF(AND($B256="",$C256="",LEN($A256)&lt;=2),TRUE,FALSE)</formula>
    </cfRule>
    <cfRule type="expression" dxfId="1660" priority="2184">
      <formula>IF(AND($B256="",$C256=""),TRUE,FALSE)</formula>
    </cfRule>
  </conditionalFormatting>
  <conditionalFormatting sqref="D256">
    <cfRule type="expression" dxfId="1659" priority="2181">
      <formula>IF(AND($B256="",$C256="",LEN($A256)&lt;=2),TRUE,FALSE)</formula>
    </cfRule>
    <cfRule type="expression" dxfId="1658" priority="2182">
      <formula>IF(AND($B256="",$C256=""),TRUE,FALSE)</formula>
    </cfRule>
  </conditionalFormatting>
  <conditionalFormatting sqref="G256">
    <cfRule type="expression" dxfId="1657" priority="2179">
      <formula>IF(AND($B256="",$C256="",LEN($A256)&lt;=2),TRUE,FALSE)</formula>
    </cfRule>
    <cfRule type="expression" dxfId="1656" priority="2180">
      <formula>IF(AND($B256="",$C256=""),TRUE,FALSE)</formula>
    </cfRule>
  </conditionalFormatting>
  <conditionalFormatting sqref="E256">
    <cfRule type="expression" dxfId="1655" priority="2177">
      <formula>IF(AND($B256="",$C256="",LEN($A256)&lt;=2),TRUE,FALSE)</formula>
    </cfRule>
    <cfRule type="expression" dxfId="1654" priority="2178">
      <formula>IF(AND($B256="",$C256=""),TRUE,FALSE)</formula>
    </cfRule>
  </conditionalFormatting>
  <conditionalFormatting sqref="B257:C257 H257:I257">
    <cfRule type="expression" dxfId="1653" priority="2173">
      <formula>IF(AND($B257="",$C257="",LEN($A257)&lt;=2),TRUE,FALSE)</formula>
    </cfRule>
    <cfRule type="expression" dxfId="1652" priority="2174">
      <formula>IF(AND($B257="",$C257=""),TRUE,FALSE)</formula>
    </cfRule>
  </conditionalFormatting>
  <conditionalFormatting sqref="C257">
    <cfRule type="expression" dxfId="1651" priority="2175">
      <formula>IF((COUNTIF(#REF!,#REF!))&gt;1,TRUE,FALSE)</formula>
    </cfRule>
  </conditionalFormatting>
  <conditionalFormatting sqref="F257">
    <cfRule type="expression" dxfId="1650" priority="2171">
      <formula>IF(AND($B257="",$C257="",LEN($A257)&lt;=2),TRUE,FALSE)</formula>
    </cfRule>
    <cfRule type="expression" dxfId="1649" priority="2172">
      <formula>IF(AND($B257="",$C257=""),TRUE,FALSE)</formula>
    </cfRule>
  </conditionalFormatting>
  <conditionalFormatting sqref="A257:A259 A261">
    <cfRule type="expression" dxfId="1648" priority="2169">
      <formula>IF(AND($B257="",$C257="",LEN($A257)&lt;=2),TRUE,FALSE)</formula>
    </cfRule>
    <cfRule type="expression" dxfId="1647" priority="2170">
      <formula>IF(AND($B257="",$C257=""),TRUE,FALSE)</formula>
    </cfRule>
  </conditionalFormatting>
  <conditionalFormatting sqref="D257">
    <cfRule type="expression" dxfId="1646" priority="2167">
      <formula>IF(AND($B257="",$C257="",LEN($A257)&lt;=2),TRUE,FALSE)</formula>
    </cfRule>
    <cfRule type="expression" dxfId="1645" priority="2168">
      <formula>IF(AND($B257="",$C257=""),TRUE,FALSE)</formula>
    </cfRule>
  </conditionalFormatting>
  <conditionalFormatting sqref="D257">
    <cfRule type="expression" dxfId="1644" priority="2165">
      <formula>IF(AND($B257="",$C257="",LEN($A257)&lt;=2),TRUE,FALSE)</formula>
    </cfRule>
    <cfRule type="expression" dxfId="1643" priority="2166">
      <formula>IF(AND($B257="",$C257=""),TRUE,FALSE)</formula>
    </cfRule>
  </conditionalFormatting>
  <conditionalFormatting sqref="G257">
    <cfRule type="expression" dxfId="1642" priority="2163">
      <formula>IF(AND($B257="",$C257="",LEN($A257)&lt;=2),TRUE,FALSE)</formula>
    </cfRule>
    <cfRule type="expression" dxfId="1641" priority="2164">
      <formula>IF(AND($B257="",$C257=""),TRUE,FALSE)</formula>
    </cfRule>
  </conditionalFormatting>
  <conditionalFormatting sqref="E257">
    <cfRule type="expression" dxfId="1640" priority="2161">
      <formula>IF(AND($B257="",$C257="",LEN($A257)&lt;=2),TRUE,FALSE)</formula>
    </cfRule>
    <cfRule type="expression" dxfId="1639" priority="2162">
      <formula>IF(AND($B257="",$C257=""),TRUE,FALSE)</formula>
    </cfRule>
  </conditionalFormatting>
  <conditionalFormatting sqref="B259:C259 H259:I259">
    <cfRule type="expression" dxfId="1638" priority="2157">
      <formula>IF(AND($B259="",$C259="",LEN($A259)&lt;=2),TRUE,FALSE)</formula>
    </cfRule>
    <cfRule type="expression" dxfId="1637" priority="2158">
      <formula>IF(AND($B259="",$C259=""),TRUE,FALSE)</formula>
    </cfRule>
  </conditionalFormatting>
  <conditionalFormatting sqref="C259">
    <cfRule type="expression" dxfId="1636" priority="2159">
      <formula>IF((COUNTIF(#REF!,#REF!))&gt;1,TRUE,FALSE)</formula>
    </cfRule>
  </conditionalFormatting>
  <conditionalFormatting sqref="F259">
    <cfRule type="expression" dxfId="1635" priority="2155">
      <formula>IF(AND($B259="",$C259="",LEN($A259)&lt;=2),TRUE,FALSE)</formula>
    </cfRule>
    <cfRule type="expression" dxfId="1634" priority="2156">
      <formula>IF(AND($B259="",$C259=""),TRUE,FALSE)</formula>
    </cfRule>
  </conditionalFormatting>
  <conditionalFormatting sqref="D259">
    <cfRule type="expression" dxfId="1633" priority="2151">
      <formula>IF(AND($B259="",$C259="",LEN($A259)&lt;=2),TRUE,FALSE)</formula>
    </cfRule>
    <cfRule type="expression" dxfId="1632" priority="2152">
      <formula>IF(AND($B259="",$C259=""),TRUE,FALSE)</formula>
    </cfRule>
  </conditionalFormatting>
  <conditionalFormatting sqref="D259">
    <cfRule type="expression" dxfId="1631" priority="2149">
      <formula>IF(AND($B259="",$C259="",LEN($A259)&lt;=2),TRUE,FALSE)</formula>
    </cfRule>
    <cfRule type="expression" dxfId="1630" priority="2150">
      <formula>IF(AND($B259="",$C259=""),TRUE,FALSE)</formula>
    </cfRule>
  </conditionalFormatting>
  <conditionalFormatting sqref="G259">
    <cfRule type="expression" dxfId="1629" priority="2147">
      <formula>IF(AND($B259="",$C259="",LEN($A259)&lt;=2),TRUE,FALSE)</formula>
    </cfRule>
    <cfRule type="expression" dxfId="1628" priority="2148">
      <formula>IF(AND($B259="",$C259=""),TRUE,FALSE)</formula>
    </cfRule>
  </conditionalFormatting>
  <conditionalFormatting sqref="E259">
    <cfRule type="expression" dxfId="1627" priority="2145">
      <formula>IF(AND($B259="",$C259="",LEN($A259)&lt;=2),TRUE,FALSE)</formula>
    </cfRule>
    <cfRule type="expression" dxfId="1626" priority="2146">
      <formula>IF(AND($B259="",$C259=""),TRUE,FALSE)</formula>
    </cfRule>
  </conditionalFormatting>
  <conditionalFormatting sqref="B258:C258 H258:I258">
    <cfRule type="expression" dxfId="1625" priority="2141">
      <formula>IF(AND($B258="",$C258="",LEN($A258)&lt;=2),TRUE,FALSE)</formula>
    </cfRule>
    <cfRule type="expression" dxfId="1624" priority="2142">
      <formula>IF(AND($B258="",$C258=""),TRUE,FALSE)</formula>
    </cfRule>
  </conditionalFormatting>
  <conditionalFormatting sqref="C258">
    <cfRule type="expression" dxfId="1623" priority="2143">
      <formula>IF((COUNTIF(#REF!,#REF!))&gt;1,TRUE,FALSE)</formula>
    </cfRule>
  </conditionalFormatting>
  <conditionalFormatting sqref="F258">
    <cfRule type="expression" dxfId="1622" priority="2139">
      <formula>IF(AND($B258="",$C258="",LEN($A258)&lt;=2),TRUE,FALSE)</formula>
    </cfRule>
    <cfRule type="expression" dxfId="1621" priority="2140">
      <formula>IF(AND($B258="",$C258=""),TRUE,FALSE)</formula>
    </cfRule>
  </conditionalFormatting>
  <conditionalFormatting sqref="D258">
    <cfRule type="expression" dxfId="1620" priority="2135">
      <formula>IF(AND($B258="",$C258="",LEN($A258)&lt;=2),TRUE,FALSE)</formula>
    </cfRule>
    <cfRule type="expression" dxfId="1619" priority="2136">
      <formula>IF(AND($B258="",$C258=""),TRUE,FALSE)</formula>
    </cfRule>
  </conditionalFormatting>
  <conditionalFormatting sqref="D258">
    <cfRule type="expression" dxfId="1618" priority="2133">
      <formula>IF(AND($B258="",$C258="",LEN($A258)&lt;=2),TRUE,FALSE)</formula>
    </cfRule>
    <cfRule type="expression" dxfId="1617" priority="2134">
      <formula>IF(AND($B258="",$C258=""),TRUE,FALSE)</formula>
    </cfRule>
  </conditionalFormatting>
  <conditionalFormatting sqref="G258">
    <cfRule type="expression" dxfId="1616" priority="2131">
      <formula>IF(AND($B258="",$C258="",LEN($A258)&lt;=2),TRUE,FALSE)</formula>
    </cfRule>
    <cfRule type="expression" dxfId="1615" priority="2132">
      <formula>IF(AND($B258="",$C258=""),TRUE,FALSE)</formula>
    </cfRule>
  </conditionalFormatting>
  <conditionalFormatting sqref="E258">
    <cfRule type="expression" dxfId="1614" priority="2129">
      <formula>IF(AND($B258="",$C258="",LEN($A258)&lt;=2),TRUE,FALSE)</formula>
    </cfRule>
    <cfRule type="expression" dxfId="1613" priority="2130">
      <formula>IF(AND($B258="",$C258=""),TRUE,FALSE)</formula>
    </cfRule>
  </conditionalFormatting>
  <conditionalFormatting sqref="A236">
    <cfRule type="expression" dxfId="1612" priority="2127">
      <formula>IF(AND($B236="",$C236="",LEN($A236)&lt;=2),TRUE,FALSE)</formula>
    </cfRule>
    <cfRule type="expression" dxfId="1611" priority="2128">
      <formula>IF(AND($B236="",$C236=""),TRUE,FALSE)</formula>
    </cfRule>
  </conditionalFormatting>
  <conditionalFormatting sqref="D236">
    <cfRule type="expression" dxfId="1610" priority="2124">
      <formula>IF(AND($B236="",$C236="",LEN($A236)&lt;=2),TRUE,FALSE)</formula>
    </cfRule>
    <cfRule type="expression" dxfId="1609" priority="2125">
      <formula>IF(AND($B236="",$C236=""),TRUE,FALSE)</formula>
    </cfRule>
  </conditionalFormatting>
  <conditionalFormatting sqref="B236">
    <cfRule type="expression" dxfId="1608" priority="2122">
      <formula>IF(AND($B236="",$C236="",LEN($A236)&lt;=2),TRUE,FALSE)</formula>
    </cfRule>
    <cfRule type="expression" dxfId="1607" priority="2123">
      <formula>IF(AND($B236="",$C236=""),TRUE,FALSE)</formula>
    </cfRule>
  </conditionalFormatting>
  <conditionalFormatting sqref="H236:I236">
    <cfRule type="expression" dxfId="1606" priority="2120">
      <formula>IF(AND($B236="",$C236="",LEN($A236)&lt;=2),TRUE,FALSE)</formula>
    </cfRule>
    <cfRule type="expression" dxfId="1605" priority="2121">
      <formula>IF(AND($B236="",$C236=""),TRUE,FALSE)</formula>
    </cfRule>
  </conditionalFormatting>
  <conditionalFormatting sqref="F236">
    <cfRule type="expression" dxfId="1604" priority="2118">
      <formula>IF(AND($B236="",$C236="",LEN($A236)&lt;=2),TRUE,FALSE)</formula>
    </cfRule>
    <cfRule type="expression" dxfId="1603" priority="2119">
      <formula>IF(AND($B236="",$C236=""),TRUE,FALSE)</formula>
    </cfRule>
  </conditionalFormatting>
  <conditionalFormatting sqref="E236">
    <cfRule type="expression" dxfId="1602" priority="2116">
      <formula>IF(AND($B236="",$C236="",LEN($A236)&lt;=2),TRUE,FALSE)</formula>
    </cfRule>
    <cfRule type="expression" dxfId="1601" priority="2117">
      <formula>IF(AND($B236="",$C236=""),TRUE,FALSE)</formula>
    </cfRule>
  </conditionalFormatting>
  <conditionalFormatting sqref="G236">
    <cfRule type="expression" dxfId="1600" priority="2114">
      <formula>IF(AND($B236="",$C236="",LEN($A236)&lt;=2),TRUE,FALSE)</formula>
    </cfRule>
    <cfRule type="expression" dxfId="1599" priority="2115">
      <formula>IF(AND($B236="",$C236=""),TRUE,FALSE)</formula>
    </cfRule>
  </conditionalFormatting>
  <conditionalFormatting sqref="C236">
    <cfRule type="expression" dxfId="1598" priority="2111">
      <formula>IF(AND($B236="",$C236="",LEN($A236)&lt;=2),TRUE,FALSE)</formula>
    </cfRule>
    <cfRule type="expression" dxfId="1597" priority="2112">
      <formula>IF(AND($B236="",$C236=""),TRUE,FALSE)</formula>
    </cfRule>
  </conditionalFormatting>
  <conditionalFormatting sqref="C236">
    <cfRule type="expression" dxfId="1596" priority="2113">
      <formula>IF((COUNTIF(#REF!,#REF!))&gt;1,TRUE,FALSE)</formula>
    </cfRule>
  </conditionalFormatting>
  <conditionalFormatting sqref="C182 H182:I182">
    <cfRule type="expression" dxfId="1595" priority="2087">
      <formula>IF(AND($B182="",$C182="",LEN($A182)&lt;=2),TRUE,FALSE)</formula>
    </cfRule>
    <cfRule type="expression" dxfId="1594" priority="2088">
      <formula>IF(AND($B182="",$C182=""),TRUE,FALSE)</formula>
    </cfRule>
  </conditionalFormatting>
  <conditionalFormatting sqref="C182">
    <cfRule type="expression" dxfId="1593" priority="2089">
      <formula>IF((COUNTIF(#REF!,#REF!))&gt;1,TRUE,FALSE)</formula>
    </cfRule>
  </conditionalFormatting>
  <conditionalFormatting sqref="F182">
    <cfRule type="expression" dxfId="1592" priority="2085">
      <formula>IF(AND($B182="",$C182="",LEN($A182)&lt;=2),TRUE,FALSE)</formula>
    </cfRule>
    <cfRule type="expression" dxfId="1591" priority="2086">
      <formula>IF(AND($B182="",$C182=""),TRUE,FALSE)</formula>
    </cfRule>
  </conditionalFormatting>
  <conditionalFormatting sqref="D182">
    <cfRule type="expression" dxfId="1590" priority="2083">
      <formula>IF(AND($B182="",$C182="",LEN($A182)&lt;=2),TRUE,FALSE)</formula>
    </cfRule>
    <cfRule type="expression" dxfId="1589" priority="2084">
      <formula>IF(AND($B182="",$C182=""),TRUE,FALSE)</formula>
    </cfRule>
  </conditionalFormatting>
  <conditionalFormatting sqref="D182">
    <cfRule type="expression" dxfId="1588" priority="2081">
      <formula>IF(AND($B182="",$C182="",LEN($A182)&lt;=2),TRUE,FALSE)</formula>
    </cfRule>
    <cfRule type="expression" dxfId="1587" priority="2082">
      <formula>IF(AND($B182="",$C182=""),TRUE,FALSE)</formula>
    </cfRule>
  </conditionalFormatting>
  <conditionalFormatting sqref="G182">
    <cfRule type="expression" dxfId="1586" priority="2079">
      <formula>IF(AND($B182="",$C182="",LEN($A182)&lt;=2),TRUE,FALSE)</formula>
    </cfRule>
    <cfRule type="expression" dxfId="1585" priority="2080">
      <formula>IF(AND($B182="",$C182=""),TRUE,FALSE)</formula>
    </cfRule>
  </conditionalFormatting>
  <conditionalFormatting sqref="E182">
    <cfRule type="expression" dxfId="1584" priority="2077">
      <formula>IF(AND($B182="",$C182="",LEN($A182)&lt;=2),TRUE,FALSE)</formula>
    </cfRule>
    <cfRule type="expression" dxfId="1583" priority="2078">
      <formula>IF(AND($B182="",$C182=""),TRUE,FALSE)</formula>
    </cfRule>
  </conditionalFormatting>
  <conditionalFormatting sqref="B182">
    <cfRule type="expression" dxfId="1582" priority="2075">
      <formula>IF(AND($B182="",$C182="",LEN($A182)&lt;=2),TRUE,FALSE)</formula>
    </cfRule>
    <cfRule type="expression" dxfId="1581" priority="2076">
      <formula>IF(AND($B182="",$C182=""),TRUE,FALSE)</formula>
    </cfRule>
  </conditionalFormatting>
  <conditionalFormatting sqref="C181 H181:I181">
    <cfRule type="expression" dxfId="1580" priority="2068">
      <formula>IF(AND($B181="",$C181="",LEN($A181)&lt;=2),TRUE,FALSE)</formula>
    </cfRule>
    <cfRule type="expression" dxfId="1579" priority="2069">
      <formula>IF(AND($B181="",$C181=""),TRUE,FALSE)</formula>
    </cfRule>
  </conditionalFormatting>
  <conditionalFormatting sqref="C181">
    <cfRule type="expression" dxfId="1578" priority="2070">
      <formula>IF((COUNTIF(#REF!,#REF!))&gt;1,TRUE,FALSE)</formula>
    </cfRule>
  </conditionalFormatting>
  <conditionalFormatting sqref="F181">
    <cfRule type="expression" dxfId="1577" priority="2066">
      <formula>IF(AND($B181="",$C181="",LEN($A181)&lt;=2),TRUE,FALSE)</formula>
    </cfRule>
    <cfRule type="expression" dxfId="1576" priority="2067">
      <formula>IF(AND($B181="",$C181=""),TRUE,FALSE)</formula>
    </cfRule>
  </conditionalFormatting>
  <conditionalFormatting sqref="D181">
    <cfRule type="expression" dxfId="1575" priority="2064">
      <formula>IF(AND($B181="",$C181="",LEN($A181)&lt;=2),TRUE,FALSE)</formula>
    </cfRule>
    <cfRule type="expression" dxfId="1574" priority="2065">
      <formula>IF(AND($B181="",$C181=""),TRUE,FALSE)</formula>
    </cfRule>
  </conditionalFormatting>
  <conditionalFormatting sqref="D181">
    <cfRule type="expression" dxfId="1573" priority="2062">
      <formula>IF(AND($B181="",$C181="",LEN($A181)&lt;=2),TRUE,FALSE)</formula>
    </cfRule>
    <cfRule type="expression" dxfId="1572" priority="2063">
      <formula>IF(AND($B181="",$C181=""),TRUE,FALSE)</formula>
    </cfRule>
  </conditionalFormatting>
  <conditionalFormatting sqref="G181">
    <cfRule type="expression" dxfId="1571" priority="2060">
      <formula>IF(AND($B181="",$C181="",LEN($A181)&lt;=2),TRUE,FALSE)</formula>
    </cfRule>
    <cfRule type="expression" dxfId="1570" priority="2061">
      <formula>IF(AND($B181="",$C181=""),TRUE,FALSE)</formula>
    </cfRule>
  </conditionalFormatting>
  <conditionalFormatting sqref="E181">
    <cfRule type="expression" dxfId="1569" priority="2058">
      <formula>IF(AND($B181="",$C181="",LEN($A181)&lt;=2),TRUE,FALSE)</formula>
    </cfRule>
    <cfRule type="expression" dxfId="1568" priority="2059">
      <formula>IF(AND($B181="",$C181=""),TRUE,FALSE)</formula>
    </cfRule>
  </conditionalFormatting>
  <conditionalFormatting sqref="C183 H183:I183">
    <cfRule type="expression" dxfId="1567" priority="2053">
      <formula>IF(AND($B183="",$C183="",LEN($A183)&lt;=2),TRUE,FALSE)</formula>
    </cfRule>
    <cfRule type="expression" dxfId="1566" priority="2054">
      <formula>IF(AND($B183="",$C183=""),TRUE,FALSE)</formula>
    </cfRule>
  </conditionalFormatting>
  <conditionalFormatting sqref="C183">
    <cfRule type="expression" dxfId="1565" priority="2055">
      <formula>IF((COUNTIF(#REF!,#REF!))&gt;1,TRUE,FALSE)</formula>
    </cfRule>
  </conditionalFormatting>
  <conditionalFormatting sqref="F183">
    <cfRule type="expression" dxfId="1564" priority="2051">
      <formula>IF(AND($B183="",$C183="",LEN($A183)&lt;=2),TRUE,FALSE)</formula>
    </cfRule>
    <cfRule type="expression" dxfId="1563" priority="2052">
      <formula>IF(AND($B183="",$C183=""),TRUE,FALSE)</formula>
    </cfRule>
  </conditionalFormatting>
  <conditionalFormatting sqref="D183">
    <cfRule type="expression" dxfId="1562" priority="2049">
      <formula>IF(AND($B183="",$C183="",LEN($A183)&lt;=2),TRUE,FALSE)</formula>
    </cfRule>
    <cfRule type="expression" dxfId="1561" priority="2050">
      <formula>IF(AND($B183="",$C183=""),TRUE,FALSE)</formula>
    </cfRule>
  </conditionalFormatting>
  <conditionalFormatting sqref="D183">
    <cfRule type="expression" dxfId="1560" priority="2047">
      <formula>IF(AND($B183="",$C183="",LEN($A183)&lt;=2),TRUE,FALSE)</formula>
    </cfRule>
    <cfRule type="expression" dxfId="1559" priority="2048">
      <formula>IF(AND($B183="",$C183=""),TRUE,FALSE)</formula>
    </cfRule>
  </conditionalFormatting>
  <conditionalFormatting sqref="G183">
    <cfRule type="expression" dxfId="1558" priority="2045">
      <formula>IF(AND($B183="",$C183="",LEN($A183)&lt;=2),TRUE,FALSE)</formula>
    </cfRule>
    <cfRule type="expression" dxfId="1557" priority="2046">
      <formula>IF(AND($B183="",$C183=""),TRUE,FALSE)</formula>
    </cfRule>
  </conditionalFormatting>
  <conditionalFormatting sqref="E183">
    <cfRule type="expression" dxfId="1556" priority="2043">
      <formula>IF(AND($B183="",$C183="",LEN($A183)&lt;=2),TRUE,FALSE)</formula>
    </cfRule>
    <cfRule type="expression" dxfId="1555" priority="2044">
      <formula>IF(AND($B183="",$C183=""),TRUE,FALSE)</formula>
    </cfRule>
  </conditionalFormatting>
  <conditionalFormatting sqref="B183">
    <cfRule type="expression" dxfId="1554" priority="2041">
      <formula>IF(AND($B183="",$C183="",LEN($A183)&lt;=2),TRUE,FALSE)</formula>
    </cfRule>
    <cfRule type="expression" dxfId="1553" priority="2042">
      <formula>IF(AND($B183="",$C183=""),TRUE,FALSE)</formula>
    </cfRule>
  </conditionalFormatting>
  <conditionalFormatting sqref="C184 H184:I184">
    <cfRule type="expression" dxfId="1552" priority="2038">
      <formula>IF(AND($B184="",$C184="",LEN($A184)&lt;=2),TRUE,FALSE)</formula>
    </cfRule>
    <cfRule type="expression" dxfId="1551" priority="2039">
      <formula>IF(AND($B184="",$C184=""),TRUE,FALSE)</formula>
    </cfRule>
  </conditionalFormatting>
  <conditionalFormatting sqref="C184">
    <cfRule type="expression" dxfId="1550" priority="2040">
      <formula>IF((COUNTIF(#REF!,#REF!))&gt;1,TRUE,FALSE)</formula>
    </cfRule>
  </conditionalFormatting>
  <conditionalFormatting sqref="F184">
    <cfRule type="expression" dxfId="1549" priority="2036">
      <formula>IF(AND($B184="",$C184="",LEN($A184)&lt;=2),TRUE,FALSE)</formula>
    </cfRule>
    <cfRule type="expression" dxfId="1548" priority="2037">
      <formula>IF(AND($B184="",$C184=""),TRUE,FALSE)</formula>
    </cfRule>
  </conditionalFormatting>
  <conditionalFormatting sqref="D184">
    <cfRule type="expression" dxfId="1547" priority="2034">
      <formula>IF(AND($B184="",$C184="",LEN($A184)&lt;=2),TRUE,FALSE)</formula>
    </cfRule>
    <cfRule type="expression" dxfId="1546" priority="2035">
      <formula>IF(AND($B184="",$C184=""),TRUE,FALSE)</formula>
    </cfRule>
  </conditionalFormatting>
  <conditionalFormatting sqref="D184">
    <cfRule type="expression" dxfId="1545" priority="2032">
      <formula>IF(AND($B184="",$C184="",LEN($A184)&lt;=2),TRUE,FALSE)</formula>
    </cfRule>
    <cfRule type="expression" dxfId="1544" priority="2033">
      <formula>IF(AND($B184="",$C184=""),TRUE,FALSE)</formula>
    </cfRule>
  </conditionalFormatting>
  <conditionalFormatting sqref="G184">
    <cfRule type="expression" dxfId="1543" priority="2030">
      <formula>IF(AND($B184="",$C184="",LEN($A184)&lt;=2),TRUE,FALSE)</formula>
    </cfRule>
    <cfRule type="expression" dxfId="1542" priority="2031">
      <formula>IF(AND($B184="",$C184=""),TRUE,FALSE)</formula>
    </cfRule>
  </conditionalFormatting>
  <conditionalFormatting sqref="E184">
    <cfRule type="expression" dxfId="1541" priority="2028">
      <formula>IF(AND($B184="",$C184="",LEN($A184)&lt;=2),TRUE,FALSE)</formula>
    </cfRule>
    <cfRule type="expression" dxfId="1540" priority="2029">
      <formula>IF(AND($B184="",$C184=""),TRUE,FALSE)</formula>
    </cfRule>
  </conditionalFormatting>
  <conditionalFormatting sqref="B184">
    <cfRule type="expression" dxfId="1539" priority="2026">
      <formula>IF(AND($B184="",$C184="",LEN($A184)&lt;=2),TRUE,FALSE)</formula>
    </cfRule>
    <cfRule type="expression" dxfId="1538" priority="2027">
      <formula>IF(AND($B184="",$C184=""),TRUE,FALSE)</formula>
    </cfRule>
  </conditionalFormatting>
  <conditionalFormatting sqref="H189:I189">
    <cfRule type="expression" dxfId="1537" priority="2018">
      <formula>IF(AND($B189="",$C189="",LEN($A189)&lt;=2),TRUE,FALSE)</formula>
    </cfRule>
    <cfRule type="expression" dxfId="1536" priority="2019">
      <formula>IF(AND($B189="",$C189=""),TRUE,FALSE)</formula>
    </cfRule>
  </conditionalFormatting>
  <conditionalFormatting sqref="F189">
    <cfRule type="expression" dxfId="1535" priority="2016">
      <formula>IF(AND($B189="",$C189="",LEN($A189)&lt;=2),TRUE,FALSE)</formula>
    </cfRule>
    <cfRule type="expression" dxfId="1534" priority="2017">
      <formula>IF(AND($B189="",$C189=""),TRUE,FALSE)</formula>
    </cfRule>
  </conditionalFormatting>
  <conditionalFormatting sqref="D189">
    <cfRule type="expression" dxfId="1533" priority="2014">
      <formula>IF(AND($B189="",$C189="",LEN($A189)&lt;=2),TRUE,FALSE)</formula>
    </cfRule>
    <cfRule type="expression" dxfId="1532" priority="2015">
      <formula>IF(AND($B189="",$C189=""),TRUE,FALSE)</formula>
    </cfRule>
  </conditionalFormatting>
  <conditionalFormatting sqref="D189">
    <cfRule type="expression" dxfId="1531" priority="2012">
      <formula>IF(AND($B189="",$C189="",LEN($A189)&lt;=2),TRUE,FALSE)</formula>
    </cfRule>
    <cfRule type="expression" dxfId="1530" priority="2013">
      <formula>IF(AND($B189="",$C189=""),TRUE,FALSE)</formula>
    </cfRule>
  </conditionalFormatting>
  <conditionalFormatting sqref="G189">
    <cfRule type="expression" dxfId="1529" priority="2010">
      <formula>IF(AND($B189="",$C189="",LEN($A189)&lt;=2),TRUE,FALSE)</formula>
    </cfRule>
    <cfRule type="expression" dxfId="1528" priority="2011">
      <formula>IF(AND($B189="",$C189=""),TRUE,FALSE)</formula>
    </cfRule>
  </conditionalFormatting>
  <conditionalFormatting sqref="E189">
    <cfRule type="expression" dxfId="1527" priority="2008">
      <formula>IF(AND($B189="",$C189="",LEN($A189)&lt;=2),TRUE,FALSE)</formula>
    </cfRule>
    <cfRule type="expression" dxfId="1526" priority="2009">
      <formula>IF(AND($B189="",$C189=""),TRUE,FALSE)</formula>
    </cfRule>
  </conditionalFormatting>
  <conditionalFormatting sqref="B189">
    <cfRule type="expression" dxfId="1525" priority="2006">
      <formula>IF(AND($B189="",$C189="",LEN($A189)&lt;=2),TRUE,FALSE)</formula>
    </cfRule>
    <cfRule type="expression" dxfId="1524" priority="2007">
      <formula>IF(AND($B189="",$C189=""),TRUE,FALSE)</formula>
    </cfRule>
  </conditionalFormatting>
  <conditionalFormatting sqref="H192:I192">
    <cfRule type="expression" dxfId="1523" priority="1998">
      <formula>IF(AND($B192="",$C192="",LEN($A192)&lt;=2),TRUE,FALSE)</formula>
    </cfRule>
    <cfRule type="expression" dxfId="1522" priority="1999">
      <formula>IF(AND($B192="",$C192=""),TRUE,FALSE)</formula>
    </cfRule>
  </conditionalFormatting>
  <conditionalFormatting sqref="F192">
    <cfRule type="expression" dxfId="1521" priority="1996">
      <formula>IF(AND($B192="",$C192="",LEN($A192)&lt;=2),TRUE,FALSE)</formula>
    </cfRule>
    <cfRule type="expression" dxfId="1520" priority="1997">
      <formula>IF(AND($B192="",$C192=""),TRUE,FALSE)</formula>
    </cfRule>
  </conditionalFormatting>
  <conditionalFormatting sqref="D192">
    <cfRule type="expression" dxfId="1519" priority="1994">
      <formula>IF(AND($B192="",$C192="",LEN($A192)&lt;=2),TRUE,FALSE)</formula>
    </cfRule>
    <cfRule type="expression" dxfId="1518" priority="1995">
      <formula>IF(AND($B192="",$C192=""),TRUE,FALSE)</formula>
    </cfRule>
  </conditionalFormatting>
  <conditionalFormatting sqref="D192">
    <cfRule type="expression" dxfId="1517" priority="1992">
      <formula>IF(AND($B192="",$C192="",LEN($A192)&lt;=2),TRUE,FALSE)</formula>
    </cfRule>
    <cfRule type="expression" dxfId="1516" priority="1993">
      <formula>IF(AND($B192="",$C192=""),TRUE,FALSE)</formula>
    </cfRule>
  </conditionalFormatting>
  <conditionalFormatting sqref="G192">
    <cfRule type="expression" dxfId="1515" priority="1990">
      <formula>IF(AND($B192="",$C192="",LEN($A192)&lt;=2),TRUE,FALSE)</formula>
    </cfRule>
    <cfRule type="expression" dxfId="1514" priority="1991">
      <formula>IF(AND($B192="",$C192=""),TRUE,FALSE)</formula>
    </cfRule>
  </conditionalFormatting>
  <conditionalFormatting sqref="E192">
    <cfRule type="expression" dxfId="1513" priority="1988">
      <formula>IF(AND($B192="",$C192="",LEN($A192)&lt;=2),TRUE,FALSE)</formula>
    </cfRule>
    <cfRule type="expression" dxfId="1512" priority="1989">
      <formula>IF(AND($B192="",$C192=""),TRUE,FALSE)</formula>
    </cfRule>
  </conditionalFormatting>
  <conditionalFormatting sqref="B192">
    <cfRule type="expression" dxfId="1511" priority="1986">
      <formula>IF(AND($B192="",$C192="",LEN($A192)&lt;=2),TRUE,FALSE)</formula>
    </cfRule>
    <cfRule type="expression" dxfId="1510" priority="1987">
      <formula>IF(AND($B192="",$C192=""),TRUE,FALSE)</formula>
    </cfRule>
  </conditionalFormatting>
  <conditionalFormatting sqref="B162:C162 H162:I162">
    <cfRule type="expression" dxfId="1509" priority="1958">
      <formula>IF(AND($B162="",$C162="",LEN($A162)&lt;=2),TRUE,FALSE)</formula>
    </cfRule>
    <cfRule type="expression" dxfId="1508" priority="1959">
      <formula>IF(AND($B162="",$C162=""),TRUE,FALSE)</formula>
    </cfRule>
  </conditionalFormatting>
  <conditionalFormatting sqref="C162">
    <cfRule type="expression" dxfId="1507" priority="1960">
      <formula>IF((COUNTIF(#REF!,#REF!))&gt;1,TRUE,FALSE)</formula>
    </cfRule>
  </conditionalFormatting>
  <conditionalFormatting sqref="F162">
    <cfRule type="expression" dxfId="1506" priority="1956">
      <formula>IF(AND($B162="",$C162="",LEN($A162)&lt;=2),TRUE,FALSE)</formula>
    </cfRule>
    <cfRule type="expression" dxfId="1505" priority="1957">
      <formula>IF(AND($B162="",$C162=""),TRUE,FALSE)</formula>
    </cfRule>
  </conditionalFormatting>
  <conditionalFormatting sqref="D162">
    <cfRule type="expression" dxfId="1504" priority="1952">
      <formula>IF(AND($B162="",$C162="",LEN($A162)&lt;=2),TRUE,FALSE)</formula>
    </cfRule>
    <cfRule type="expression" dxfId="1503" priority="1953">
      <formula>IF(AND($B162="",$C162=""),TRUE,FALSE)</formula>
    </cfRule>
  </conditionalFormatting>
  <conditionalFormatting sqref="D162">
    <cfRule type="expression" dxfId="1502" priority="1950">
      <formula>IF(AND($B162="",$C162="",LEN($A162)&lt;=2),TRUE,FALSE)</formula>
    </cfRule>
    <cfRule type="expression" dxfId="1501" priority="1951">
      <formula>IF(AND($B162="",$C162=""),TRUE,FALSE)</formula>
    </cfRule>
  </conditionalFormatting>
  <conditionalFormatting sqref="G162">
    <cfRule type="expression" dxfId="1500" priority="1948">
      <formula>IF(AND($B162="",$C162="",LEN($A162)&lt;=2),TRUE,FALSE)</formula>
    </cfRule>
    <cfRule type="expression" dxfId="1499" priority="1949">
      <formula>IF(AND($B162="",$C162=""),TRUE,FALSE)</formula>
    </cfRule>
  </conditionalFormatting>
  <conditionalFormatting sqref="E162">
    <cfRule type="expression" dxfId="1498" priority="1946">
      <formula>IF(AND($B162="",$C162="",LEN($A162)&lt;=2),TRUE,FALSE)</formula>
    </cfRule>
    <cfRule type="expression" dxfId="1497" priority="1947">
      <formula>IF(AND($B162="",$C162=""),TRUE,FALSE)</formula>
    </cfRule>
  </conditionalFormatting>
  <conditionalFormatting sqref="H160:I160">
    <cfRule type="expression" dxfId="1496" priority="1942">
      <formula>IF(AND($B160="",$C160="",LEN($A160)&lt;=2),TRUE,FALSE)</formula>
    </cfRule>
    <cfRule type="expression" dxfId="1495" priority="1943">
      <formula>IF(AND($B160="",$C160=""),TRUE,FALSE)</formula>
    </cfRule>
  </conditionalFormatting>
  <conditionalFormatting sqref="F160">
    <cfRule type="expression" dxfId="1494" priority="1940">
      <formula>IF(AND($B160="",$C160="",LEN($A160)&lt;=2),TRUE,FALSE)</formula>
    </cfRule>
    <cfRule type="expression" dxfId="1493" priority="1941">
      <formula>IF(AND($B160="",$C160=""),TRUE,FALSE)</formula>
    </cfRule>
  </conditionalFormatting>
  <conditionalFormatting sqref="D160">
    <cfRule type="expression" dxfId="1492" priority="1936">
      <formula>IF(AND($B160="",$C160="",LEN($A160)&lt;=2),TRUE,FALSE)</formula>
    </cfRule>
    <cfRule type="expression" dxfId="1491" priority="1937">
      <formula>IF(AND($B160="",$C160=""),TRUE,FALSE)</formula>
    </cfRule>
  </conditionalFormatting>
  <conditionalFormatting sqref="D160">
    <cfRule type="expression" dxfId="1490" priority="1934">
      <formula>IF(AND($B160="",$C160="",LEN($A160)&lt;=2),TRUE,FALSE)</formula>
    </cfRule>
    <cfRule type="expression" dxfId="1489" priority="1935">
      <formula>IF(AND($B160="",$C160=""),TRUE,FALSE)</formula>
    </cfRule>
  </conditionalFormatting>
  <conditionalFormatting sqref="G160">
    <cfRule type="expression" dxfId="1488" priority="1932">
      <formula>IF(AND($B160="",$C160="",LEN($A160)&lt;=2),TRUE,FALSE)</formula>
    </cfRule>
    <cfRule type="expression" dxfId="1487" priority="1933">
      <formula>IF(AND($B160="",$C160=""),TRUE,FALSE)</formula>
    </cfRule>
  </conditionalFormatting>
  <conditionalFormatting sqref="E160">
    <cfRule type="expression" dxfId="1486" priority="1930">
      <formula>IF(AND($B160="",$C160="",LEN($A160)&lt;=2),TRUE,FALSE)</formula>
    </cfRule>
    <cfRule type="expression" dxfId="1485" priority="1931">
      <formula>IF(AND($B160="",$C160=""),TRUE,FALSE)</formula>
    </cfRule>
  </conditionalFormatting>
  <conditionalFormatting sqref="C160">
    <cfRule type="expression" dxfId="1484" priority="1927">
      <formula>IF(AND($B160="",$C160="",LEN($A160)&lt;=2),TRUE,FALSE)</formula>
    </cfRule>
    <cfRule type="expression" dxfId="1483" priority="1928">
      <formula>IF(AND($B160="",$C160=""),TRUE,FALSE)</formula>
    </cfRule>
  </conditionalFormatting>
  <conditionalFormatting sqref="C160">
    <cfRule type="expression" dxfId="1482" priority="1929">
      <formula>IF((COUNTIF(#REF!,#REF!))&gt;1,TRUE,FALSE)</formula>
    </cfRule>
  </conditionalFormatting>
  <conditionalFormatting sqref="B160">
    <cfRule type="expression" dxfId="1481" priority="1925">
      <formula>IF(AND($B160="",$C160="",LEN($A160)&lt;=2),TRUE,FALSE)</formula>
    </cfRule>
    <cfRule type="expression" dxfId="1480" priority="1926">
      <formula>IF(AND($B160="",$C160=""),TRUE,FALSE)</formula>
    </cfRule>
  </conditionalFormatting>
  <conditionalFormatting sqref="B161:C161 H161:I161">
    <cfRule type="expression" dxfId="1479" priority="1883">
      <formula>IF(AND($B161="",$C161="",LEN($A161)&lt;=2),TRUE,FALSE)</formula>
    </cfRule>
    <cfRule type="expression" dxfId="1478" priority="1884">
      <formula>IF(AND($B161="",$C161=""),TRUE,FALSE)</formula>
    </cfRule>
  </conditionalFormatting>
  <conditionalFormatting sqref="C161">
    <cfRule type="expression" dxfId="1477" priority="1885">
      <formula>IF((COUNTIF(#REF!,#REF!))&gt;1,TRUE,FALSE)</formula>
    </cfRule>
  </conditionalFormatting>
  <conditionalFormatting sqref="F161">
    <cfRule type="expression" dxfId="1476" priority="1881">
      <formula>IF(AND($B161="",$C161="",LEN($A161)&lt;=2),TRUE,FALSE)</formula>
    </cfRule>
    <cfRule type="expression" dxfId="1475" priority="1882">
      <formula>IF(AND($B161="",$C161=""),TRUE,FALSE)</formula>
    </cfRule>
  </conditionalFormatting>
  <conditionalFormatting sqref="D161">
    <cfRule type="expression" dxfId="1474" priority="1879">
      <formula>IF(AND($B161="",$C161="",LEN($A161)&lt;=2),TRUE,FALSE)</formula>
    </cfRule>
    <cfRule type="expression" dxfId="1473" priority="1880">
      <formula>IF(AND($B161="",$C161=""),TRUE,FALSE)</formula>
    </cfRule>
  </conditionalFormatting>
  <conditionalFormatting sqref="D161">
    <cfRule type="expression" dxfId="1472" priority="1877">
      <formula>IF(AND($B161="",$C161="",LEN($A161)&lt;=2),TRUE,FALSE)</formula>
    </cfRule>
    <cfRule type="expression" dxfId="1471" priority="1878">
      <formula>IF(AND($B161="",$C161=""),TRUE,FALSE)</formula>
    </cfRule>
  </conditionalFormatting>
  <conditionalFormatting sqref="G161">
    <cfRule type="expression" dxfId="1470" priority="1875">
      <formula>IF(AND($B161="",$C161="",LEN($A161)&lt;=2),TRUE,FALSE)</formula>
    </cfRule>
    <cfRule type="expression" dxfId="1469" priority="1876">
      <formula>IF(AND($B161="",$C161=""),TRUE,FALSE)</formula>
    </cfRule>
  </conditionalFormatting>
  <conditionalFormatting sqref="E161">
    <cfRule type="expression" dxfId="1468" priority="1873">
      <formula>IF(AND($B161="",$C161="",LEN($A161)&lt;=2),TRUE,FALSE)</formula>
    </cfRule>
    <cfRule type="expression" dxfId="1467" priority="1874">
      <formula>IF(AND($B161="",$C161=""),TRUE,FALSE)</formula>
    </cfRule>
  </conditionalFormatting>
  <conditionalFormatting sqref="H191:I191">
    <cfRule type="expression" dxfId="1466" priority="1869">
      <formula>IF(AND($B191="",$C191="",LEN($A191)&lt;=2),TRUE,FALSE)</formula>
    </cfRule>
    <cfRule type="expression" dxfId="1465" priority="1870">
      <formula>IF(AND($B191="",$C191=""),TRUE,FALSE)</formula>
    </cfRule>
  </conditionalFormatting>
  <conditionalFormatting sqref="F191">
    <cfRule type="expression" dxfId="1464" priority="1867">
      <formula>IF(AND($B191="",$C191="",LEN($A191)&lt;=2),TRUE,FALSE)</formula>
    </cfRule>
    <cfRule type="expression" dxfId="1463" priority="1868">
      <formula>IF(AND($B191="",$C191=""),TRUE,FALSE)</formula>
    </cfRule>
  </conditionalFormatting>
  <conditionalFormatting sqref="D191">
    <cfRule type="expression" dxfId="1462" priority="1865">
      <formula>IF(AND($B191="",$C191="",LEN($A191)&lt;=2),TRUE,FALSE)</formula>
    </cfRule>
    <cfRule type="expression" dxfId="1461" priority="1866">
      <formula>IF(AND($B191="",$C191=""),TRUE,FALSE)</formula>
    </cfRule>
  </conditionalFormatting>
  <conditionalFormatting sqref="D191">
    <cfRule type="expression" dxfId="1460" priority="1863">
      <formula>IF(AND($B191="",$C191="",LEN($A191)&lt;=2),TRUE,FALSE)</formula>
    </cfRule>
    <cfRule type="expression" dxfId="1459" priority="1864">
      <formula>IF(AND($B191="",$C191=""),TRUE,FALSE)</formula>
    </cfRule>
  </conditionalFormatting>
  <conditionalFormatting sqref="G191">
    <cfRule type="expression" dxfId="1458" priority="1861">
      <formula>IF(AND($B191="",$C191="",LEN($A191)&lt;=2),TRUE,FALSE)</formula>
    </cfRule>
    <cfRule type="expression" dxfId="1457" priority="1862">
      <formula>IF(AND($B191="",$C191=""),TRUE,FALSE)</formula>
    </cfRule>
  </conditionalFormatting>
  <conditionalFormatting sqref="E191">
    <cfRule type="expression" dxfId="1456" priority="1859">
      <formula>IF(AND($B191="",$C191="",LEN($A191)&lt;=2),TRUE,FALSE)</formula>
    </cfRule>
    <cfRule type="expression" dxfId="1455" priority="1860">
      <formula>IF(AND($B191="",$C191=""),TRUE,FALSE)</formula>
    </cfRule>
  </conditionalFormatting>
  <conditionalFormatting sqref="B191">
    <cfRule type="expression" dxfId="1454" priority="1857">
      <formula>IF(AND($B191="",$C191="",LEN($A191)&lt;=2),TRUE,FALSE)</formula>
    </cfRule>
    <cfRule type="expression" dxfId="1453" priority="1858">
      <formula>IF(AND($B191="",$C191=""),TRUE,FALSE)</formula>
    </cfRule>
  </conditionalFormatting>
  <conditionalFormatting sqref="A209">
    <cfRule type="expression" dxfId="1452" priority="1852">
      <formula>IF(AND($B209="",$C209="",LEN($A209)&lt;=2),TRUE,FALSE)</formula>
    </cfRule>
    <cfRule type="expression" dxfId="1451" priority="1853">
      <formula>IF(AND($B209="",$C209=""),TRUE,FALSE)</formula>
    </cfRule>
  </conditionalFormatting>
  <conditionalFormatting sqref="A209">
    <cfRule type="expression" dxfId="1450" priority="1850">
      <formula>IF(AND($B209="",$C209="",LEN($A209)&lt;=2),TRUE,FALSE)</formula>
    </cfRule>
    <cfRule type="expression" dxfId="1449" priority="1851">
      <formula>IF(AND($B209="",$C209=""),TRUE,FALSE)</formula>
    </cfRule>
  </conditionalFormatting>
  <conditionalFormatting sqref="C209 H209:I209">
    <cfRule type="expression" dxfId="1448" priority="1847">
      <formula>IF(AND($B209="",$C209="",LEN($A209)&lt;=2),TRUE,FALSE)</formula>
    </cfRule>
    <cfRule type="expression" dxfId="1447" priority="1848">
      <formula>IF(AND($B209="",$C209=""),TRUE,FALSE)</formula>
    </cfRule>
  </conditionalFormatting>
  <conditionalFormatting sqref="C209">
    <cfRule type="expression" dxfId="1446" priority="1849">
      <formula>IF((COUNTIF(#REF!,#REF!))&gt;1,TRUE,FALSE)</formula>
    </cfRule>
  </conditionalFormatting>
  <conditionalFormatting sqref="F209">
    <cfRule type="expression" dxfId="1445" priority="1845">
      <formula>IF(AND($B209="",$C209="",LEN($A209)&lt;=2),TRUE,FALSE)</formula>
    </cfRule>
    <cfRule type="expression" dxfId="1444" priority="1846">
      <formula>IF(AND($B209="",$C209=""),TRUE,FALSE)</formula>
    </cfRule>
  </conditionalFormatting>
  <conditionalFormatting sqref="D209">
    <cfRule type="expression" dxfId="1443" priority="1843">
      <formula>IF(AND($B209="",$C209="",LEN($A209)&lt;=2),TRUE,FALSE)</formula>
    </cfRule>
    <cfRule type="expression" dxfId="1442" priority="1844">
      <formula>IF(AND($B209="",$C209=""),TRUE,FALSE)</formula>
    </cfRule>
  </conditionalFormatting>
  <conditionalFormatting sqref="D209">
    <cfRule type="expression" dxfId="1441" priority="1841">
      <formula>IF(AND($B209="",$C209="",LEN($A209)&lt;=2),TRUE,FALSE)</formula>
    </cfRule>
    <cfRule type="expression" dxfId="1440" priority="1842">
      <formula>IF(AND($B209="",$C209=""),TRUE,FALSE)</formula>
    </cfRule>
  </conditionalFormatting>
  <conditionalFormatting sqref="G209">
    <cfRule type="expression" dxfId="1439" priority="1839">
      <formula>IF(AND($B209="",$C209="",LEN($A209)&lt;=2),TRUE,FALSE)</formula>
    </cfRule>
    <cfRule type="expression" dxfId="1438" priority="1840">
      <formula>IF(AND($B209="",$C209=""),TRUE,FALSE)</formula>
    </cfRule>
  </conditionalFormatting>
  <conditionalFormatting sqref="E209">
    <cfRule type="expression" dxfId="1437" priority="1837">
      <formula>IF(AND($B209="",$C209="",LEN($A209)&lt;=2),TRUE,FALSE)</formula>
    </cfRule>
    <cfRule type="expression" dxfId="1436" priority="1838">
      <formula>IF(AND($B209="",$C209=""),TRUE,FALSE)</formula>
    </cfRule>
  </conditionalFormatting>
  <conditionalFormatting sqref="B209">
    <cfRule type="expression" dxfId="1435" priority="1835">
      <formula>IF(AND($B209="",$C209="",LEN($A209)&lt;=2),TRUE,FALSE)</formula>
    </cfRule>
    <cfRule type="expression" dxfId="1434" priority="1836">
      <formula>IF(AND($B209="",$C209=""),TRUE,FALSE)</formula>
    </cfRule>
  </conditionalFormatting>
  <conditionalFormatting sqref="A210">
    <cfRule type="expression" dxfId="1433" priority="1832">
      <formula>IF(AND($B210="",$C210="",LEN($A210)&lt;=2),TRUE,FALSE)</formula>
    </cfRule>
    <cfRule type="expression" dxfId="1432" priority="1833">
      <formula>IF(AND($B210="",$C210=""),TRUE,FALSE)</formula>
    </cfRule>
  </conditionalFormatting>
  <conditionalFormatting sqref="A210">
    <cfRule type="expression" dxfId="1431" priority="1830">
      <formula>IF(AND($B210="",$C210="",LEN($A210)&lt;=2),TRUE,FALSE)</formula>
    </cfRule>
    <cfRule type="expression" dxfId="1430" priority="1831">
      <formula>IF(AND($B210="",$C210=""),TRUE,FALSE)</formula>
    </cfRule>
  </conditionalFormatting>
  <conditionalFormatting sqref="C210 H210:I210">
    <cfRule type="expression" dxfId="1429" priority="1827">
      <formula>IF(AND($B210="",$C210="",LEN($A210)&lt;=2),TRUE,FALSE)</formula>
    </cfRule>
    <cfRule type="expression" dxfId="1428" priority="1828">
      <formula>IF(AND($B210="",$C210=""),TRUE,FALSE)</formula>
    </cfRule>
  </conditionalFormatting>
  <conditionalFormatting sqref="C210">
    <cfRule type="expression" dxfId="1427" priority="1829">
      <formula>IF((COUNTIF(#REF!,#REF!))&gt;1,TRUE,FALSE)</formula>
    </cfRule>
  </conditionalFormatting>
  <conditionalFormatting sqref="F210">
    <cfRule type="expression" dxfId="1426" priority="1825">
      <formula>IF(AND($B210="",$C210="",LEN($A210)&lt;=2),TRUE,FALSE)</formula>
    </cfRule>
    <cfRule type="expression" dxfId="1425" priority="1826">
      <formula>IF(AND($B210="",$C210=""),TRUE,FALSE)</formula>
    </cfRule>
  </conditionalFormatting>
  <conditionalFormatting sqref="D210">
    <cfRule type="expression" dxfId="1424" priority="1823">
      <formula>IF(AND($B210="",$C210="",LEN($A210)&lt;=2),TRUE,FALSE)</formula>
    </cfRule>
    <cfRule type="expression" dxfId="1423" priority="1824">
      <formula>IF(AND($B210="",$C210=""),TRUE,FALSE)</formula>
    </cfRule>
  </conditionalFormatting>
  <conditionalFormatting sqref="D210">
    <cfRule type="expression" dxfId="1422" priority="1821">
      <formula>IF(AND($B210="",$C210="",LEN($A210)&lt;=2),TRUE,FALSE)</formula>
    </cfRule>
    <cfRule type="expression" dxfId="1421" priority="1822">
      <formula>IF(AND($B210="",$C210=""),TRUE,FALSE)</formula>
    </cfRule>
  </conditionalFormatting>
  <conditionalFormatting sqref="G210">
    <cfRule type="expression" dxfId="1420" priority="1819">
      <formula>IF(AND($B210="",$C210="",LEN($A210)&lt;=2),TRUE,FALSE)</formula>
    </cfRule>
    <cfRule type="expression" dxfId="1419" priority="1820">
      <formula>IF(AND($B210="",$C210=""),TRUE,FALSE)</formula>
    </cfRule>
  </conditionalFormatting>
  <conditionalFormatting sqref="E210">
    <cfRule type="expression" dxfId="1418" priority="1817">
      <formula>IF(AND($B210="",$C210="",LEN($A210)&lt;=2),TRUE,FALSE)</formula>
    </cfRule>
    <cfRule type="expression" dxfId="1417" priority="1818">
      <formula>IF(AND($B210="",$C210=""),TRUE,FALSE)</formula>
    </cfRule>
  </conditionalFormatting>
  <conditionalFormatting sqref="B210">
    <cfRule type="expression" dxfId="1416" priority="1815">
      <formula>IF(AND($B210="",$C210="",LEN($A210)&lt;=2),TRUE,FALSE)</formula>
    </cfRule>
    <cfRule type="expression" dxfId="1415" priority="1816">
      <formula>IF(AND($B210="",$C210=""),TRUE,FALSE)</formula>
    </cfRule>
  </conditionalFormatting>
  <conditionalFormatting sqref="A211 A213 A215:A218">
    <cfRule type="expression" dxfId="1414" priority="1812">
      <formula>IF(AND($B211="",$C211="",LEN($A211)&lt;=2),TRUE,FALSE)</formula>
    </cfRule>
    <cfRule type="expression" dxfId="1413" priority="1813">
      <formula>IF(AND($B211="",$C211=""),TRUE,FALSE)</formula>
    </cfRule>
  </conditionalFormatting>
  <conditionalFormatting sqref="A211 A213 A215:A218">
    <cfRule type="expression" dxfId="1412" priority="1810">
      <formula>IF(AND($B211="",$C211="",LEN($A211)&lt;=2),TRUE,FALSE)</formula>
    </cfRule>
    <cfRule type="expression" dxfId="1411" priority="1811">
      <formula>IF(AND($B211="",$C211=""),TRUE,FALSE)</formula>
    </cfRule>
  </conditionalFormatting>
  <conditionalFormatting sqref="C211 H211:I211">
    <cfRule type="expression" dxfId="1410" priority="1807">
      <formula>IF(AND($B211="",$C211="",LEN($A211)&lt;=2),TRUE,FALSE)</formula>
    </cfRule>
    <cfRule type="expression" dxfId="1409" priority="1808">
      <formula>IF(AND($B211="",$C211=""),TRUE,FALSE)</formula>
    </cfRule>
  </conditionalFormatting>
  <conditionalFormatting sqref="C211">
    <cfRule type="expression" dxfId="1408" priority="1809">
      <formula>IF((COUNTIF(#REF!,#REF!))&gt;1,TRUE,FALSE)</formula>
    </cfRule>
  </conditionalFormatting>
  <conditionalFormatting sqref="F211">
    <cfRule type="expression" dxfId="1407" priority="1805">
      <formula>IF(AND($B211="",$C211="",LEN($A211)&lt;=2),TRUE,FALSE)</formula>
    </cfRule>
    <cfRule type="expression" dxfId="1406" priority="1806">
      <formula>IF(AND($B211="",$C211=""),TRUE,FALSE)</formula>
    </cfRule>
  </conditionalFormatting>
  <conditionalFormatting sqref="D211">
    <cfRule type="expression" dxfId="1405" priority="1803">
      <formula>IF(AND($B211="",$C211="",LEN($A211)&lt;=2),TRUE,FALSE)</formula>
    </cfRule>
    <cfRule type="expression" dxfId="1404" priority="1804">
      <formula>IF(AND($B211="",$C211=""),TRUE,FALSE)</formula>
    </cfRule>
  </conditionalFormatting>
  <conditionalFormatting sqref="D211">
    <cfRule type="expression" dxfId="1403" priority="1801">
      <formula>IF(AND($B211="",$C211="",LEN($A211)&lt;=2),TRUE,FALSE)</formula>
    </cfRule>
    <cfRule type="expression" dxfId="1402" priority="1802">
      <formula>IF(AND($B211="",$C211=""),TRUE,FALSE)</formula>
    </cfRule>
  </conditionalFormatting>
  <conditionalFormatting sqref="G211">
    <cfRule type="expression" dxfId="1401" priority="1799">
      <formula>IF(AND($B211="",$C211="",LEN($A211)&lt;=2),TRUE,FALSE)</formula>
    </cfRule>
    <cfRule type="expression" dxfId="1400" priority="1800">
      <formula>IF(AND($B211="",$C211=""),TRUE,FALSE)</formula>
    </cfRule>
  </conditionalFormatting>
  <conditionalFormatting sqref="E211">
    <cfRule type="expression" dxfId="1399" priority="1797">
      <formula>IF(AND($B211="",$C211="",LEN($A211)&lt;=2),TRUE,FALSE)</formula>
    </cfRule>
    <cfRule type="expression" dxfId="1398" priority="1798">
      <formula>IF(AND($B211="",$C211=""),TRUE,FALSE)</formula>
    </cfRule>
  </conditionalFormatting>
  <conditionalFormatting sqref="B211">
    <cfRule type="expression" dxfId="1397" priority="1795">
      <formula>IF(AND($B211="",$C211="",LEN($A211)&lt;=2),TRUE,FALSE)</formula>
    </cfRule>
    <cfRule type="expression" dxfId="1396" priority="1796">
      <formula>IF(AND($B211="",$C211=""),TRUE,FALSE)</formula>
    </cfRule>
  </conditionalFormatting>
  <conditionalFormatting sqref="G285 D285:E285">
    <cfRule type="expression" dxfId="1395" priority="1792">
      <formula>IF(AND($B285="",$C285="",LEN($A285)&lt;=2),TRUE,FALSE)</formula>
    </cfRule>
    <cfRule type="expression" dxfId="1394" priority="1793">
      <formula>IF(AND($B285="",$C285=""),TRUE,FALSE)</formula>
    </cfRule>
  </conditionalFormatting>
  <conditionalFormatting sqref="B285:C285 H285:I285">
    <cfRule type="expression" dxfId="1393" priority="1789">
      <formula>IF(AND($B285="",$C285="",LEN($A285)&lt;=2),TRUE,FALSE)</formula>
    </cfRule>
    <cfRule type="expression" dxfId="1392" priority="1790">
      <formula>IF(AND($B285="",$C285=""),TRUE,FALSE)</formula>
    </cfRule>
  </conditionalFormatting>
  <conditionalFormatting sqref="C285">
    <cfRule type="expression" dxfId="1391" priority="1791">
      <formula>IF((COUNTIF(#REF!,#REF!))&gt;1,TRUE,FALSE)</formula>
    </cfRule>
  </conditionalFormatting>
  <conditionalFormatting sqref="F285">
    <cfRule type="expression" dxfId="1390" priority="1787">
      <formula>IF(AND($B285="",$C285="",LEN($A285)&lt;=2),TRUE,FALSE)</formula>
    </cfRule>
    <cfRule type="expression" dxfId="1389" priority="1788">
      <formula>IF(AND($B285="",$C285=""),TRUE,FALSE)</formula>
    </cfRule>
  </conditionalFormatting>
  <conditionalFormatting sqref="C121 H121:I121">
    <cfRule type="expression" dxfId="1388" priority="1779">
      <formula>IF(AND($B121="",$C121="",LEN($A121)&lt;=2),TRUE,FALSE)</formula>
    </cfRule>
    <cfRule type="expression" dxfId="1387" priority="1780">
      <formula>IF(AND($B121="",$C121=""),TRUE,FALSE)</formula>
    </cfRule>
  </conditionalFormatting>
  <conditionalFormatting sqref="C121">
    <cfRule type="expression" dxfId="1386" priority="1781">
      <formula>IF((COUNTIF(#REF!,#REF!))&gt;1,TRUE,FALSE)</formula>
    </cfRule>
  </conditionalFormatting>
  <conditionalFormatting sqref="F121">
    <cfRule type="expression" dxfId="1385" priority="1777">
      <formula>IF(AND($B121="",$C121="",LEN($A121)&lt;=2),TRUE,FALSE)</formula>
    </cfRule>
    <cfRule type="expression" dxfId="1384" priority="1778">
      <formula>IF(AND($B121="",$C121=""),TRUE,FALSE)</formula>
    </cfRule>
  </conditionalFormatting>
  <conditionalFormatting sqref="D121">
    <cfRule type="expression" dxfId="1383" priority="1775">
      <formula>IF(AND($B121="",$C121="",LEN($A121)&lt;=2),TRUE,FALSE)</formula>
    </cfRule>
    <cfRule type="expression" dxfId="1382" priority="1776">
      <formula>IF(AND($B121="",$C121=""),TRUE,FALSE)</formula>
    </cfRule>
  </conditionalFormatting>
  <conditionalFormatting sqref="D121">
    <cfRule type="expression" dxfId="1381" priority="1773">
      <formula>IF(AND($B121="",$C121="",LEN($A121)&lt;=2),TRUE,FALSE)</formula>
    </cfRule>
    <cfRule type="expression" dxfId="1380" priority="1774">
      <formula>IF(AND($B121="",$C121=""),TRUE,FALSE)</formula>
    </cfRule>
  </conditionalFormatting>
  <conditionalFormatting sqref="G121">
    <cfRule type="expression" dxfId="1379" priority="1771">
      <formula>IF(AND($B121="",$C121="",LEN($A121)&lt;=2),TRUE,FALSE)</formula>
    </cfRule>
    <cfRule type="expression" dxfId="1378" priority="1772">
      <formula>IF(AND($B121="",$C121=""),TRUE,FALSE)</formula>
    </cfRule>
  </conditionalFormatting>
  <conditionalFormatting sqref="E121">
    <cfRule type="expression" dxfId="1377" priority="1769">
      <formula>IF(AND($B121="",$C121="",LEN($A121)&lt;=2),TRUE,FALSE)</formula>
    </cfRule>
    <cfRule type="expression" dxfId="1376" priority="1770">
      <formula>IF(AND($B121="",$C121=""),TRUE,FALSE)</formula>
    </cfRule>
  </conditionalFormatting>
  <conditionalFormatting sqref="C120 H120:I120">
    <cfRule type="expression" dxfId="1375" priority="1761">
      <formula>IF(AND($B120="",$C120="",LEN($A120)&lt;=2),TRUE,FALSE)</formula>
    </cfRule>
    <cfRule type="expression" dxfId="1374" priority="1762">
      <formula>IF(AND($B120="",$C120=""),TRUE,FALSE)</formula>
    </cfRule>
  </conditionalFormatting>
  <conditionalFormatting sqref="C120">
    <cfRule type="expression" dxfId="1373" priority="1763">
      <formula>IF((COUNTIF(#REF!,#REF!))&gt;1,TRUE,FALSE)</formula>
    </cfRule>
  </conditionalFormatting>
  <conditionalFormatting sqref="F120">
    <cfRule type="expression" dxfId="1372" priority="1759">
      <formula>IF(AND($B120="",$C120="",LEN($A120)&lt;=2),TRUE,FALSE)</formula>
    </cfRule>
    <cfRule type="expression" dxfId="1371" priority="1760">
      <formula>IF(AND($B120="",$C120=""),TRUE,FALSE)</formula>
    </cfRule>
  </conditionalFormatting>
  <conditionalFormatting sqref="D120">
    <cfRule type="expression" dxfId="1370" priority="1757">
      <formula>IF(AND($B120="",$C120="",LEN($A120)&lt;=2),TRUE,FALSE)</formula>
    </cfRule>
    <cfRule type="expression" dxfId="1369" priority="1758">
      <formula>IF(AND($B120="",$C120=""),TRUE,FALSE)</formula>
    </cfRule>
  </conditionalFormatting>
  <conditionalFormatting sqref="D120">
    <cfRule type="expression" dxfId="1368" priority="1755">
      <formula>IF(AND($B120="",$C120="",LEN($A120)&lt;=2),TRUE,FALSE)</formula>
    </cfRule>
    <cfRule type="expression" dxfId="1367" priority="1756">
      <formula>IF(AND($B120="",$C120=""),TRUE,FALSE)</formula>
    </cfRule>
  </conditionalFormatting>
  <conditionalFormatting sqref="G120">
    <cfRule type="expression" dxfId="1366" priority="1753">
      <formula>IF(AND($B120="",$C120="",LEN($A120)&lt;=2),TRUE,FALSE)</formula>
    </cfRule>
    <cfRule type="expression" dxfId="1365" priority="1754">
      <formula>IF(AND($B120="",$C120=""),TRUE,FALSE)</formula>
    </cfRule>
  </conditionalFormatting>
  <conditionalFormatting sqref="E120">
    <cfRule type="expression" dxfId="1364" priority="1751">
      <formula>IF(AND($B120="",$C120="",LEN($A120)&lt;=2),TRUE,FALSE)</formula>
    </cfRule>
    <cfRule type="expression" dxfId="1363" priority="1752">
      <formula>IF(AND($B120="",$C120=""),TRUE,FALSE)</formula>
    </cfRule>
  </conditionalFormatting>
  <conditionalFormatting sqref="C109 H109:I109">
    <cfRule type="expression" dxfId="1362" priority="1743">
      <formula>IF(AND($B109="",$C109="",LEN($A109)&lt;=2),TRUE,FALSE)</formula>
    </cfRule>
    <cfRule type="expression" dxfId="1361" priority="1744">
      <formula>IF(AND($B109="",$C109=""),TRUE,FALSE)</formula>
    </cfRule>
  </conditionalFormatting>
  <conditionalFormatting sqref="C109">
    <cfRule type="expression" dxfId="1360" priority="1745">
      <formula>IF((COUNTIF(#REF!,#REF!))&gt;1,TRUE,FALSE)</formula>
    </cfRule>
  </conditionalFormatting>
  <conditionalFormatting sqref="F109">
    <cfRule type="expression" dxfId="1359" priority="1741">
      <formula>IF(AND($B109="",$C109="",LEN($A109)&lt;=2),TRUE,FALSE)</formula>
    </cfRule>
    <cfRule type="expression" dxfId="1358" priority="1742">
      <formula>IF(AND($B109="",$C109=""),TRUE,FALSE)</formula>
    </cfRule>
  </conditionalFormatting>
  <conditionalFormatting sqref="D109">
    <cfRule type="expression" dxfId="1357" priority="1739">
      <formula>IF(AND($B109="",$C109="",LEN($A109)&lt;=2),TRUE,FALSE)</formula>
    </cfRule>
    <cfRule type="expression" dxfId="1356" priority="1740">
      <formula>IF(AND($B109="",$C109=""),TRUE,FALSE)</formula>
    </cfRule>
  </conditionalFormatting>
  <conditionalFormatting sqref="D109">
    <cfRule type="expression" dxfId="1355" priority="1737">
      <formula>IF(AND($B109="",$C109="",LEN($A109)&lt;=2),TRUE,FALSE)</formula>
    </cfRule>
    <cfRule type="expression" dxfId="1354" priority="1738">
      <formula>IF(AND($B109="",$C109=""),TRUE,FALSE)</formula>
    </cfRule>
  </conditionalFormatting>
  <conditionalFormatting sqref="G109">
    <cfRule type="expression" dxfId="1353" priority="1735">
      <formula>IF(AND($B109="",$C109="",LEN($A109)&lt;=2),TRUE,FALSE)</formula>
    </cfRule>
    <cfRule type="expression" dxfId="1352" priority="1736">
      <formula>IF(AND($B109="",$C109=""),TRUE,FALSE)</formula>
    </cfRule>
  </conditionalFormatting>
  <conditionalFormatting sqref="E109">
    <cfRule type="expression" dxfId="1351" priority="1733">
      <formula>IF(AND($B109="",$C109="",LEN($A109)&lt;=2),TRUE,FALSE)</formula>
    </cfRule>
    <cfRule type="expression" dxfId="1350" priority="1734">
      <formula>IF(AND($B109="",$C109=""),TRUE,FALSE)</formula>
    </cfRule>
  </conditionalFormatting>
  <conditionalFormatting sqref="C108 H108:I108">
    <cfRule type="expression" dxfId="1349" priority="1726">
      <formula>IF(AND($B108="",$C108="",LEN($A108)&lt;=2),TRUE,FALSE)</formula>
    </cfRule>
    <cfRule type="expression" dxfId="1348" priority="1727">
      <formula>IF(AND($B108="",$C108=""),TRUE,FALSE)</formula>
    </cfRule>
  </conditionalFormatting>
  <conditionalFormatting sqref="C108">
    <cfRule type="expression" dxfId="1347" priority="1728">
      <formula>IF((COUNTIF(#REF!,#REF!))&gt;1,TRUE,FALSE)</formula>
    </cfRule>
  </conditionalFormatting>
  <conditionalFormatting sqref="F108">
    <cfRule type="expression" dxfId="1346" priority="1724">
      <formula>IF(AND($B108="",$C108="",LEN($A108)&lt;=2),TRUE,FALSE)</formula>
    </cfRule>
    <cfRule type="expression" dxfId="1345" priority="1725">
      <formula>IF(AND($B108="",$C108=""),TRUE,FALSE)</formula>
    </cfRule>
  </conditionalFormatting>
  <conditionalFormatting sqref="D108">
    <cfRule type="expression" dxfId="1344" priority="1722">
      <formula>IF(AND($B108="",$C108="",LEN($A108)&lt;=2),TRUE,FALSE)</formula>
    </cfRule>
    <cfRule type="expression" dxfId="1343" priority="1723">
      <formula>IF(AND($B108="",$C108=""),TRUE,FALSE)</formula>
    </cfRule>
  </conditionalFormatting>
  <conditionalFormatting sqref="D108">
    <cfRule type="expression" dxfId="1342" priority="1720">
      <formula>IF(AND($B108="",$C108="",LEN($A108)&lt;=2),TRUE,FALSE)</formula>
    </cfRule>
    <cfRule type="expression" dxfId="1341" priority="1721">
      <formula>IF(AND($B108="",$C108=""),TRUE,FALSE)</formula>
    </cfRule>
  </conditionalFormatting>
  <conditionalFormatting sqref="G108">
    <cfRule type="expression" dxfId="1340" priority="1718">
      <formula>IF(AND($B108="",$C108="",LEN($A108)&lt;=2),TRUE,FALSE)</formula>
    </cfRule>
    <cfRule type="expression" dxfId="1339" priority="1719">
      <formula>IF(AND($B108="",$C108=""),TRUE,FALSE)</formula>
    </cfRule>
  </conditionalFormatting>
  <conditionalFormatting sqref="E108">
    <cfRule type="expression" dxfId="1338" priority="1716">
      <formula>IF(AND($B108="",$C108="",LEN($A108)&lt;=2),TRUE,FALSE)</formula>
    </cfRule>
    <cfRule type="expression" dxfId="1337" priority="1717">
      <formula>IF(AND($B108="",$C108=""),TRUE,FALSE)</formula>
    </cfRule>
  </conditionalFormatting>
  <conditionalFormatting sqref="C107 H107:I107">
    <cfRule type="expression" dxfId="1336" priority="1708">
      <formula>IF(AND($B107="",$C107="",LEN($A107)&lt;=2),TRUE,FALSE)</formula>
    </cfRule>
    <cfRule type="expression" dxfId="1335" priority="1709">
      <formula>IF(AND($B107="",$C107=""),TRUE,FALSE)</formula>
    </cfRule>
  </conditionalFormatting>
  <conditionalFormatting sqref="C107">
    <cfRule type="expression" dxfId="1334" priority="1710">
      <formula>IF((COUNTIF(#REF!,#REF!))&gt;1,TRUE,FALSE)</formula>
    </cfRule>
  </conditionalFormatting>
  <conditionalFormatting sqref="F107">
    <cfRule type="expression" dxfId="1333" priority="1706">
      <formula>IF(AND($B107="",$C107="",LEN($A107)&lt;=2),TRUE,FALSE)</formula>
    </cfRule>
    <cfRule type="expression" dxfId="1332" priority="1707">
      <formula>IF(AND($B107="",$C107=""),TRUE,FALSE)</formula>
    </cfRule>
  </conditionalFormatting>
  <conditionalFormatting sqref="D107">
    <cfRule type="expression" dxfId="1331" priority="1704">
      <formula>IF(AND($B107="",$C107="",LEN($A107)&lt;=2),TRUE,FALSE)</formula>
    </cfRule>
    <cfRule type="expression" dxfId="1330" priority="1705">
      <formula>IF(AND($B107="",$C107=""),TRUE,FALSE)</formula>
    </cfRule>
  </conditionalFormatting>
  <conditionalFormatting sqref="D107">
    <cfRule type="expression" dxfId="1329" priority="1702">
      <formula>IF(AND($B107="",$C107="",LEN($A107)&lt;=2),TRUE,FALSE)</formula>
    </cfRule>
    <cfRule type="expression" dxfId="1328" priority="1703">
      <formula>IF(AND($B107="",$C107=""),TRUE,FALSE)</formula>
    </cfRule>
  </conditionalFormatting>
  <conditionalFormatting sqref="G107">
    <cfRule type="expression" dxfId="1327" priority="1700">
      <formula>IF(AND($B107="",$C107="",LEN($A107)&lt;=2),TRUE,FALSE)</formula>
    </cfRule>
    <cfRule type="expression" dxfId="1326" priority="1701">
      <formula>IF(AND($B107="",$C107=""),TRUE,FALSE)</formula>
    </cfRule>
  </conditionalFormatting>
  <conditionalFormatting sqref="E107">
    <cfRule type="expression" dxfId="1325" priority="1698">
      <formula>IF(AND($B107="",$C107="",LEN($A107)&lt;=2),TRUE,FALSE)</formula>
    </cfRule>
    <cfRule type="expression" dxfId="1324" priority="1699">
      <formula>IF(AND($B107="",$C107=""),TRUE,FALSE)</formula>
    </cfRule>
  </conditionalFormatting>
  <conditionalFormatting sqref="C106 H106:I106">
    <cfRule type="expression" dxfId="1323" priority="1691">
      <formula>IF(AND($B106="",$C106="",LEN($A106)&lt;=2),TRUE,FALSE)</formula>
    </cfRule>
    <cfRule type="expression" dxfId="1322" priority="1692">
      <formula>IF(AND($B106="",$C106=""),TRUE,FALSE)</formula>
    </cfRule>
  </conditionalFormatting>
  <conditionalFormatting sqref="C106">
    <cfRule type="expression" dxfId="1321" priority="1693">
      <formula>IF((COUNTIF(#REF!,#REF!))&gt;1,TRUE,FALSE)</formula>
    </cfRule>
  </conditionalFormatting>
  <conditionalFormatting sqref="F106">
    <cfRule type="expression" dxfId="1320" priority="1689">
      <formula>IF(AND($B106="",$C106="",LEN($A106)&lt;=2),TRUE,FALSE)</formula>
    </cfRule>
    <cfRule type="expression" dxfId="1319" priority="1690">
      <formula>IF(AND($B106="",$C106=""),TRUE,FALSE)</formula>
    </cfRule>
  </conditionalFormatting>
  <conditionalFormatting sqref="D106">
    <cfRule type="expression" dxfId="1318" priority="1687">
      <formula>IF(AND($B106="",$C106="",LEN($A106)&lt;=2),TRUE,FALSE)</formula>
    </cfRule>
    <cfRule type="expression" dxfId="1317" priority="1688">
      <formula>IF(AND($B106="",$C106=""),TRUE,FALSE)</formula>
    </cfRule>
  </conditionalFormatting>
  <conditionalFormatting sqref="D106">
    <cfRule type="expression" dxfId="1316" priority="1685">
      <formula>IF(AND($B106="",$C106="",LEN($A106)&lt;=2),TRUE,FALSE)</formula>
    </cfRule>
    <cfRule type="expression" dxfId="1315" priority="1686">
      <formula>IF(AND($B106="",$C106=""),TRUE,FALSE)</formula>
    </cfRule>
  </conditionalFormatting>
  <conditionalFormatting sqref="G106">
    <cfRule type="expression" dxfId="1314" priority="1683">
      <formula>IF(AND($B106="",$C106="",LEN($A106)&lt;=2),TRUE,FALSE)</formula>
    </cfRule>
    <cfRule type="expression" dxfId="1313" priority="1684">
      <formula>IF(AND($B106="",$C106=""),TRUE,FALSE)</formula>
    </cfRule>
  </conditionalFormatting>
  <conditionalFormatting sqref="E106">
    <cfRule type="expression" dxfId="1312" priority="1681">
      <formula>IF(AND($B106="",$C106="",LEN($A106)&lt;=2),TRUE,FALSE)</formula>
    </cfRule>
    <cfRule type="expression" dxfId="1311" priority="1682">
      <formula>IF(AND($B106="",$C106=""),TRUE,FALSE)</formula>
    </cfRule>
  </conditionalFormatting>
  <conditionalFormatting sqref="B105:C105 H105:I105">
    <cfRule type="expression" dxfId="1310" priority="1674">
      <formula>IF(AND($B105="",$C105="",LEN($A105)&lt;=2),TRUE,FALSE)</formula>
    </cfRule>
    <cfRule type="expression" dxfId="1309" priority="1675">
      <formula>IF(AND($B105="",$C105=""),TRUE,FALSE)</formula>
    </cfRule>
  </conditionalFormatting>
  <conditionalFormatting sqref="C105">
    <cfRule type="expression" dxfId="1308" priority="1676">
      <formula>IF((COUNTIF(#REF!,#REF!))&gt;1,TRUE,FALSE)</formula>
    </cfRule>
  </conditionalFormatting>
  <conditionalFormatting sqref="F105">
    <cfRule type="expression" dxfId="1307" priority="1672">
      <formula>IF(AND($B105="",$C105="",LEN($A105)&lt;=2),TRUE,FALSE)</formula>
    </cfRule>
    <cfRule type="expression" dxfId="1306" priority="1673">
      <formula>IF(AND($B105="",$C105=""),TRUE,FALSE)</formula>
    </cfRule>
  </conditionalFormatting>
  <conditionalFormatting sqref="D105">
    <cfRule type="expression" dxfId="1305" priority="1670">
      <formula>IF(AND($B105="",$C105="",LEN($A105)&lt;=2),TRUE,FALSE)</formula>
    </cfRule>
    <cfRule type="expression" dxfId="1304" priority="1671">
      <formula>IF(AND($B105="",$C105=""),TRUE,FALSE)</formula>
    </cfRule>
  </conditionalFormatting>
  <conditionalFormatting sqref="D105">
    <cfRule type="expression" dxfId="1303" priority="1668">
      <formula>IF(AND($B105="",$C105="",LEN($A105)&lt;=2),TRUE,FALSE)</formula>
    </cfRule>
    <cfRule type="expression" dxfId="1302" priority="1669">
      <formula>IF(AND($B105="",$C105=""),TRUE,FALSE)</formula>
    </cfRule>
  </conditionalFormatting>
  <conditionalFormatting sqref="G105">
    <cfRule type="expression" dxfId="1301" priority="1666">
      <formula>IF(AND($B105="",$C105="",LEN($A105)&lt;=2),TRUE,FALSE)</formula>
    </cfRule>
    <cfRule type="expression" dxfId="1300" priority="1667">
      <formula>IF(AND($B105="",$C105=""),TRUE,FALSE)</formula>
    </cfRule>
  </conditionalFormatting>
  <conditionalFormatting sqref="E105">
    <cfRule type="expression" dxfId="1299" priority="1664">
      <formula>IF(AND($B105="",$C105="",LEN($A105)&lt;=2),TRUE,FALSE)</formula>
    </cfRule>
    <cfRule type="expression" dxfId="1298" priority="1665">
      <formula>IF(AND($B105="",$C105=""),TRUE,FALSE)</formula>
    </cfRule>
  </conditionalFormatting>
  <conditionalFormatting sqref="B104:C104 H104:I104">
    <cfRule type="expression" dxfId="1297" priority="1657">
      <formula>IF(AND($B104="",$C104="",LEN($A104)&lt;=2),TRUE,FALSE)</formula>
    </cfRule>
    <cfRule type="expression" dxfId="1296" priority="1658">
      <formula>IF(AND($B104="",$C104=""),TRUE,FALSE)</formula>
    </cfRule>
  </conditionalFormatting>
  <conditionalFormatting sqref="C104">
    <cfRule type="expression" dxfId="1295" priority="1659">
      <formula>IF((COUNTIF(#REF!,#REF!))&gt;1,TRUE,FALSE)</formula>
    </cfRule>
  </conditionalFormatting>
  <conditionalFormatting sqref="F104">
    <cfRule type="expression" dxfId="1294" priority="1655">
      <formula>IF(AND($B104="",$C104="",LEN($A104)&lt;=2),TRUE,FALSE)</formula>
    </cfRule>
    <cfRule type="expression" dxfId="1293" priority="1656">
      <formula>IF(AND($B104="",$C104=""),TRUE,FALSE)</formula>
    </cfRule>
  </conditionalFormatting>
  <conditionalFormatting sqref="D104">
    <cfRule type="expression" dxfId="1292" priority="1653">
      <formula>IF(AND($B104="",$C104="",LEN($A104)&lt;=2),TRUE,FALSE)</formula>
    </cfRule>
    <cfRule type="expression" dxfId="1291" priority="1654">
      <formula>IF(AND($B104="",$C104=""),TRUE,FALSE)</formula>
    </cfRule>
  </conditionalFormatting>
  <conditionalFormatting sqref="D104">
    <cfRule type="expression" dxfId="1290" priority="1651">
      <formula>IF(AND($B104="",$C104="",LEN($A104)&lt;=2),TRUE,FALSE)</formula>
    </cfRule>
    <cfRule type="expression" dxfId="1289" priority="1652">
      <formula>IF(AND($B104="",$C104=""),TRUE,FALSE)</formula>
    </cfRule>
  </conditionalFormatting>
  <conditionalFormatting sqref="G104">
    <cfRule type="expression" dxfId="1288" priority="1649">
      <formula>IF(AND($B104="",$C104="",LEN($A104)&lt;=2),TRUE,FALSE)</formula>
    </cfRule>
    <cfRule type="expression" dxfId="1287" priority="1650">
      <formula>IF(AND($B104="",$C104=""),TRUE,FALSE)</formula>
    </cfRule>
  </conditionalFormatting>
  <conditionalFormatting sqref="E104">
    <cfRule type="expression" dxfId="1286" priority="1647">
      <formula>IF(AND($B104="",$C104="",LEN($A104)&lt;=2),TRUE,FALSE)</formula>
    </cfRule>
    <cfRule type="expression" dxfId="1285" priority="1648">
      <formula>IF(AND($B104="",$C104=""),TRUE,FALSE)</formula>
    </cfRule>
  </conditionalFormatting>
  <conditionalFormatting sqref="B106:B109 B120:B121">
    <cfRule type="expression" dxfId="1284" priority="1645">
      <formula>IF(AND($B106="",$C106="",LEN($A106)&lt;=2),TRUE,FALSE)</formula>
    </cfRule>
    <cfRule type="expression" dxfId="1283" priority="1646">
      <formula>IF(AND($B106="",$C106=""),TRUE,FALSE)</formula>
    </cfRule>
  </conditionalFormatting>
  <conditionalFormatting sqref="C115 H115:I115">
    <cfRule type="expression" dxfId="1282" priority="1637">
      <formula>IF(AND($B115="",$C115="",LEN($A115)&lt;=2),TRUE,FALSE)</formula>
    </cfRule>
    <cfRule type="expression" dxfId="1281" priority="1638">
      <formula>IF(AND($B115="",$C115=""),TRUE,FALSE)</formula>
    </cfRule>
  </conditionalFormatting>
  <conditionalFormatting sqref="C115">
    <cfRule type="expression" dxfId="1280" priority="1639">
      <formula>IF((COUNTIF(#REF!,#REF!))&gt;1,TRUE,FALSE)</formula>
    </cfRule>
  </conditionalFormatting>
  <conditionalFormatting sqref="F115">
    <cfRule type="expression" dxfId="1279" priority="1635">
      <formula>IF(AND($B115="",$C115="",LEN($A115)&lt;=2),TRUE,FALSE)</formula>
    </cfRule>
    <cfRule type="expression" dxfId="1278" priority="1636">
      <formula>IF(AND($B115="",$C115=""),TRUE,FALSE)</formula>
    </cfRule>
  </conditionalFormatting>
  <conditionalFormatting sqref="D115">
    <cfRule type="expression" dxfId="1277" priority="1633">
      <formula>IF(AND($B115="",$C115="",LEN($A115)&lt;=2),TRUE,FALSE)</formula>
    </cfRule>
    <cfRule type="expression" dxfId="1276" priority="1634">
      <formula>IF(AND($B115="",$C115=""),TRUE,FALSE)</formula>
    </cfRule>
  </conditionalFormatting>
  <conditionalFormatting sqref="D115">
    <cfRule type="expression" dxfId="1275" priority="1631">
      <formula>IF(AND($B115="",$C115="",LEN($A115)&lt;=2),TRUE,FALSE)</formula>
    </cfRule>
    <cfRule type="expression" dxfId="1274" priority="1632">
      <formula>IF(AND($B115="",$C115=""),TRUE,FALSE)</formula>
    </cfRule>
  </conditionalFormatting>
  <conditionalFormatting sqref="G115">
    <cfRule type="expression" dxfId="1273" priority="1629">
      <formula>IF(AND($B115="",$C115="",LEN($A115)&lt;=2),TRUE,FALSE)</formula>
    </cfRule>
    <cfRule type="expression" dxfId="1272" priority="1630">
      <formula>IF(AND($B115="",$C115=""),TRUE,FALSE)</formula>
    </cfRule>
  </conditionalFormatting>
  <conditionalFormatting sqref="E115">
    <cfRule type="expression" dxfId="1271" priority="1627">
      <formula>IF(AND($B115="",$C115="",LEN($A115)&lt;=2),TRUE,FALSE)</formula>
    </cfRule>
    <cfRule type="expression" dxfId="1270" priority="1628">
      <formula>IF(AND($B115="",$C115=""),TRUE,FALSE)</formula>
    </cfRule>
  </conditionalFormatting>
  <conditionalFormatting sqref="C114 H114:I114">
    <cfRule type="expression" dxfId="1269" priority="1620">
      <formula>IF(AND($B114="",$C114="",LEN($A114)&lt;=2),TRUE,FALSE)</formula>
    </cfRule>
    <cfRule type="expression" dxfId="1268" priority="1621">
      <formula>IF(AND($B114="",$C114=""),TRUE,FALSE)</formula>
    </cfRule>
  </conditionalFormatting>
  <conditionalFormatting sqref="C114">
    <cfRule type="expression" dxfId="1267" priority="1622">
      <formula>IF((COUNTIF(#REF!,#REF!))&gt;1,TRUE,FALSE)</formula>
    </cfRule>
  </conditionalFormatting>
  <conditionalFormatting sqref="F114">
    <cfRule type="expression" dxfId="1266" priority="1618">
      <formula>IF(AND($B114="",$C114="",LEN($A114)&lt;=2),TRUE,FALSE)</formula>
    </cfRule>
    <cfRule type="expression" dxfId="1265" priority="1619">
      <formula>IF(AND($B114="",$C114=""),TRUE,FALSE)</formula>
    </cfRule>
  </conditionalFormatting>
  <conditionalFormatting sqref="D114">
    <cfRule type="expression" dxfId="1264" priority="1616">
      <formula>IF(AND($B114="",$C114="",LEN($A114)&lt;=2),TRUE,FALSE)</formula>
    </cfRule>
    <cfRule type="expression" dxfId="1263" priority="1617">
      <formula>IF(AND($B114="",$C114=""),TRUE,FALSE)</formula>
    </cfRule>
  </conditionalFormatting>
  <conditionalFormatting sqref="D114">
    <cfRule type="expression" dxfId="1262" priority="1614">
      <formula>IF(AND($B114="",$C114="",LEN($A114)&lt;=2),TRUE,FALSE)</formula>
    </cfRule>
    <cfRule type="expression" dxfId="1261" priority="1615">
      <formula>IF(AND($B114="",$C114=""),TRUE,FALSE)</formula>
    </cfRule>
  </conditionalFormatting>
  <conditionalFormatting sqref="G114">
    <cfRule type="expression" dxfId="1260" priority="1612">
      <formula>IF(AND($B114="",$C114="",LEN($A114)&lt;=2),TRUE,FALSE)</formula>
    </cfRule>
    <cfRule type="expression" dxfId="1259" priority="1613">
      <formula>IF(AND($B114="",$C114=""),TRUE,FALSE)</formula>
    </cfRule>
  </conditionalFormatting>
  <conditionalFormatting sqref="E114">
    <cfRule type="expression" dxfId="1258" priority="1610">
      <formula>IF(AND($B114="",$C114="",LEN($A114)&lt;=2),TRUE,FALSE)</formula>
    </cfRule>
    <cfRule type="expression" dxfId="1257" priority="1611">
      <formula>IF(AND($B114="",$C114=""),TRUE,FALSE)</formula>
    </cfRule>
  </conditionalFormatting>
  <conditionalFormatting sqref="B114:B115">
    <cfRule type="expression" dxfId="1256" priority="1608">
      <formula>IF(AND($B114="",$C114="",LEN($A114)&lt;=2),TRUE,FALSE)</formula>
    </cfRule>
    <cfRule type="expression" dxfId="1255" priority="1609">
      <formula>IF(AND($B114="",$C114=""),TRUE,FALSE)</formula>
    </cfRule>
  </conditionalFormatting>
  <conditionalFormatting sqref="H113:I113">
    <cfRule type="expression" dxfId="1254" priority="1600">
      <formula>IF(AND($B113="",$C113="",LEN($A113)&lt;=2),TRUE,FALSE)</formula>
    </cfRule>
    <cfRule type="expression" dxfId="1253" priority="1601">
      <formula>IF(AND($B113="",$C113=""),TRUE,FALSE)</formula>
    </cfRule>
  </conditionalFormatting>
  <conditionalFormatting sqref="F113">
    <cfRule type="expression" dxfId="1252" priority="1598">
      <formula>IF(AND($B113="",$C113="",LEN($A113)&lt;=2),TRUE,FALSE)</formula>
    </cfRule>
    <cfRule type="expression" dxfId="1251" priority="1599">
      <formula>IF(AND($B113="",$C113=""),TRUE,FALSE)</formula>
    </cfRule>
  </conditionalFormatting>
  <conditionalFormatting sqref="D113">
    <cfRule type="expression" dxfId="1250" priority="1596">
      <formula>IF(AND($B113="",$C113="",LEN($A113)&lt;=2),TRUE,FALSE)</formula>
    </cfRule>
    <cfRule type="expression" dxfId="1249" priority="1597">
      <formula>IF(AND($B113="",$C113=""),TRUE,FALSE)</formula>
    </cfRule>
  </conditionalFormatting>
  <conditionalFormatting sqref="D113">
    <cfRule type="expression" dxfId="1248" priority="1594">
      <formula>IF(AND($B113="",$C113="",LEN($A113)&lt;=2),TRUE,FALSE)</formula>
    </cfRule>
    <cfRule type="expression" dxfId="1247" priority="1595">
      <formula>IF(AND($B113="",$C113=""),TRUE,FALSE)</formula>
    </cfRule>
  </conditionalFormatting>
  <conditionalFormatting sqref="G113">
    <cfRule type="expression" dxfId="1246" priority="1592">
      <formula>IF(AND($B113="",$C113="",LEN($A113)&lt;=2),TRUE,FALSE)</formula>
    </cfRule>
    <cfRule type="expression" dxfId="1245" priority="1593">
      <formula>IF(AND($B113="",$C113=""),TRUE,FALSE)</formula>
    </cfRule>
  </conditionalFormatting>
  <conditionalFormatting sqref="E113">
    <cfRule type="expression" dxfId="1244" priority="1590">
      <formula>IF(AND($B113="",$C113="",LEN($A113)&lt;=2),TRUE,FALSE)</formula>
    </cfRule>
    <cfRule type="expression" dxfId="1243" priority="1591">
      <formula>IF(AND($B113="",$C113=""),TRUE,FALSE)</formula>
    </cfRule>
  </conditionalFormatting>
  <conditionalFormatting sqref="C112 H112:I112">
    <cfRule type="expression" dxfId="1242" priority="1583">
      <formula>IF(AND($B112="",$C112="",LEN($A112)&lt;=2),TRUE,FALSE)</formula>
    </cfRule>
    <cfRule type="expression" dxfId="1241" priority="1584">
      <formula>IF(AND($B112="",$C112=""),TRUE,FALSE)</formula>
    </cfRule>
  </conditionalFormatting>
  <conditionalFormatting sqref="C112">
    <cfRule type="expression" dxfId="1240" priority="1585">
      <formula>IF((COUNTIF(#REF!,#REF!))&gt;1,TRUE,FALSE)</formula>
    </cfRule>
  </conditionalFormatting>
  <conditionalFormatting sqref="F112">
    <cfRule type="expression" dxfId="1239" priority="1581">
      <formula>IF(AND($B112="",$C112="",LEN($A112)&lt;=2),TRUE,FALSE)</formula>
    </cfRule>
    <cfRule type="expression" dxfId="1238" priority="1582">
      <formula>IF(AND($B112="",$C112=""),TRUE,FALSE)</formula>
    </cfRule>
  </conditionalFormatting>
  <conditionalFormatting sqref="D112">
    <cfRule type="expression" dxfId="1237" priority="1579">
      <formula>IF(AND($B112="",$C112="",LEN($A112)&lt;=2),TRUE,FALSE)</formula>
    </cfRule>
    <cfRule type="expression" dxfId="1236" priority="1580">
      <formula>IF(AND($B112="",$C112=""),TRUE,FALSE)</formula>
    </cfRule>
  </conditionalFormatting>
  <conditionalFormatting sqref="D112">
    <cfRule type="expression" dxfId="1235" priority="1577">
      <formula>IF(AND($B112="",$C112="",LEN($A112)&lt;=2),TRUE,FALSE)</formula>
    </cfRule>
    <cfRule type="expression" dxfId="1234" priority="1578">
      <formula>IF(AND($B112="",$C112=""),TRUE,FALSE)</formula>
    </cfRule>
  </conditionalFormatting>
  <conditionalFormatting sqref="G112">
    <cfRule type="expression" dxfId="1233" priority="1575">
      <formula>IF(AND($B112="",$C112="",LEN($A112)&lt;=2),TRUE,FALSE)</formula>
    </cfRule>
    <cfRule type="expression" dxfId="1232" priority="1576">
      <formula>IF(AND($B112="",$C112=""),TRUE,FALSE)</formula>
    </cfRule>
  </conditionalFormatting>
  <conditionalFormatting sqref="E112">
    <cfRule type="expression" dxfId="1231" priority="1573">
      <formula>IF(AND($B112="",$C112="",LEN($A112)&lt;=2),TRUE,FALSE)</formula>
    </cfRule>
    <cfRule type="expression" dxfId="1230" priority="1574">
      <formula>IF(AND($B112="",$C112=""),TRUE,FALSE)</formula>
    </cfRule>
  </conditionalFormatting>
  <conditionalFormatting sqref="B112:B113">
    <cfRule type="expression" dxfId="1229" priority="1571">
      <formula>IF(AND($B112="",$C112="",LEN($A112)&lt;=2),TRUE,FALSE)</formula>
    </cfRule>
    <cfRule type="expression" dxfId="1228" priority="1572">
      <formula>IF(AND($B112="",$C112=""),TRUE,FALSE)</formula>
    </cfRule>
  </conditionalFormatting>
  <conditionalFormatting sqref="C111 H111:I111">
    <cfRule type="expression" dxfId="1227" priority="1564">
      <formula>IF(AND($B111="",$C111="",LEN($A111)&lt;=2),TRUE,FALSE)</formula>
    </cfRule>
    <cfRule type="expression" dxfId="1226" priority="1565">
      <formula>IF(AND($B111="",$C111=""),TRUE,FALSE)</formula>
    </cfRule>
  </conditionalFormatting>
  <conditionalFormatting sqref="C111">
    <cfRule type="expression" dxfId="1225" priority="1566">
      <formula>IF((COUNTIF(#REF!,#REF!))&gt;1,TRUE,FALSE)</formula>
    </cfRule>
  </conditionalFormatting>
  <conditionalFormatting sqref="F111">
    <cfRule type="expression" dxfId="1224" priority="1562">
      <formula>IF(AND($B111="",$C111="",LEN($A111)&lt;=2),TRUE,FALSE)</formula>
    </cfRule>
    <cfRule type="expression" dxfId="1223" priority="1563">
      <formula>IF(AND($B111="",$C111=""),TRUE,FALSE)</formula>
    </cfRule>
  </conditionalFormatting>
  <conditionalFormatting sqref="D111">
    <cfRule type="expression" dxfId="1222" priority="1560">
      <formula>IF(AND($B111="",$C111="",LEN($A111)&lt;=2),TRUE,FALSE)</formula>
    </cfRule>
    <cfRule type="expression" dxfId="1221" priority="1561">
      <formula>IF(AND($B111="",$C111=""),TRUE,FALSE)</formula>
    </cfRule>
  </conditionalFormatting>
  <conditionalFormatting sqref="D111">
    <cfRule type="expression" dxfId="1220" priority="1558">
      <formula>IF(AND($B111="",$C111="",LEN($A111)&lt;=2),TRUE,FALSE)</formula>
    </cfRule>
    <cfRule type="expression" dxfId="1219" priority="1559">
      <formula>IF(AND($B111="",$C111=""),TRUE,FALSE)</formula>
    </cfRule>
  </conditionalFormatting>
  <conditionalFormatting sqref="G111">
    <cfRule type="expression" dxfId="1218" priority="1556">
      <formula>IF(AND($B111="",$C111="",LEN($A111)&lt;=2),TRUE,FALSE)</formula>
    </cfRule>
    <cfRule type="expression" dxfId="1217" priority="1557">
      <formula>IF(AND($B111="",$C111=""),TRUE,FALSE)</formula>
    </cfRule>
  </conditionalFormatting>
  <conditionalFormatting sqref="E111">
    <cfRule type="expression" dxfId="1216" priority="1554">
      <formula>IF(AND($B111="",$C111="",LEN($A111)&lt;=2),TRUE,FALSE)</formula>
    </cfRule>
    <cfRule type="expression" dxfId="1215" priority="1555">
      <formula>IF(AND($B111="",$C111=""),TRUE,FALSE)</formula>
    </cfRule>
  </conditionalFormatting>
  <conditionalFormatting sqref="C110 H110:I110">
    <cfRule type="expression" dxfId="1214" priority="1547">
      <formula>IF(AND($B110="",$C110="",LEN($A110)&lt;=2),TRUE,FALSE)</formula>
    </cfRule>
    <cfRule type="expression" dxfId="1213" priority="1548">
      <formula>IF(AND($B110="",$C110=""),TRUE,FALSE)</formula>
    </cfRule>
  </conditionalFormatting>
  <conditionalFormatting sqref="C110">
    <cfRule type="expression" dxfId="1212" priority="1549">
      <formula>IF((COUNTIF(#REF!,#REF!))&gt;1,TRUE,FALSE)</formula>
    </cfRule>
  </conditionalFormatting>
  <conditionalFormatting sqref="F110">
    <cfRule type="expression" dxfId="1211" priority="1545">
      <formula>IF(AND($B110="",$C110="",LEN($A110)&lt;=2),TRUE,FALSE)</formula>
    </cfRule>
    <cfRule type="expression" dxfId="1210" priority="1546">
      <formula>IF(AND($B110="",$C110=""),TRUE,FALSE)</formula>
    </cfRule>
  </conditionalFormatting>
  <conditionalFormatting sqref="D110">
    <cfRule type="expression" dxfId="1209" priority="1543">
      <formula>IF(AND($B110="",$C110="",LEN($A110)&lt;=2),TRUE,FALSE)</formula>
    </cfRule>
    <cfRule type="expression" dxfId="1208" priority="1544">
      <formula>IF(AND($B110="",$C110=""),TRUE,FALSE)</formula>
    </cfRule>
  </conditionalFormatting>
  <conditionalFormatting sqref="D110">
    <cfRule type="expression" dxfId="1207" priority="1541">
      <formula>IF(AND($B110="",$C110="",LEN($A110)&lt;=2),TRUE,FALSE)</formula>
    </cfRule>
    <cfRule type="expression" dxfId="1206" priority="1542">
      <formula>IF(AND($B110="",$C110=""),TRUE,FALSE)</formula>
    </cfRule>
  </conditionalFormatting>
  <conditionalFormatting sqref="G110">
    <cfRule type="expression" dxfId="1205" priority="1539">
      <formula>IF(AND($B110="",$C110="",LEN($A110)&lt;=2),TRUE,FALSE)</formula>
    </cfRule>
    <cfRule type="expression" dxfId="1204" priority="1540">
      <formula>IF(AND($B110="",$C110=""),TRUE,FALSE)</formula>
    </cfRule>
  </conditionalFormatting>
  <conditionalFormatting sqref="E110">
    <cfRule type="expression" dxfId="1203" priority="1537">
      <formula>IF(AND($B110="",$C110="",LEN($A110)&lt;=2),TRUE,FALSE)</formula>
    </cfRule>
    <cfRule type="expression" dxfId="1202" priority="1538">
      <formula>IF(AND($B110="",$C110=""),TRUE,FALSE)</formula>
    </cfRule>
  </conditionalFormatting>
  <conditionalFormatting sqref="B110:B111">
    <cfRule type="expression" dxfId="1201" priority="1535">
      <formula>IF(AND($B110="",$C110="",LEN($A110)&lt;=2),TRUE,FALSE)</formula>
    </cfRule>
    <cfRule type="expression" dxfId="1200" priority="1536">
      <formula>IF(AND($B110="",$C110=""),TRUE,FALSE)</formula>
    </cfRule>
  </conditionalFormatting>
  <conditionalFormatting sqref="C113">
    <cfRule type="expression" dxfId="1199" priority="1532">
      <formula>IF(AND($B113="",$C113="",LEN($A113)&lt;=2),TRUE,FALSE)</formula>
    </cfRule>
    <cfRule type="expression" dxfId="1198" priority="1533">
      <formula>IF(AND($B113="",$C113=""),TRUE,FALSE)</formula>
    </cfRule>
  </conditionalFormatting>
  <conditionalFormatting sqref="C113">
    <cfRule type="expression" dxfId="1197" priority="1534">
      <formula>IF((COUNTIF(#REF!,#REF!))&gt;1,TRUE,FALSE)</formula>
    </cfRule>
  </conditionalFormatting>
  <conditionalFormatting sqref="C119 H119:I119">
    <cfRule type="expression" dxfId="1196" priority="1524">
      <formula>IF(AND($B119="",$C119="",LEN($A119)&lt;=2),TRUE,FALSE)</formula>
    </cfRule>
    <cfRule type="expression" dxfId="1195" priority="1525">
      <formula>IF(AND($B119="",$C119=""),TRUE,FALSE)</formula>
    </cfRule>
  </conditionalFormatting>
  <conditionalFormatting sqref="C119">
    <cfRule type="expression" dxfId="1194" priority="1526">
      <formula>IF((COUNTIF(#REF!,#REF!))&gt;1,TRUE,FALSE)</formula>
    </cfRule>
  </conditionalFormatting>
  <conditionalFormatting sqref="F119">
    <cfRule type="expression" dxfId="1193" priority="1522">
      <formula>IF(AND($B119="",$C119="",LEN($A119)&lt;=2),TRUE,FALSE)</formula>
    </cfRule>
    <cfRule type="expression" dxfId="1192" priority="1523">
      <formula>IF(AND($B119="",$C119=""),TRUE,FALSE)</formula>
    </cfRule>
  </conditionalFormatting>
  <conditionalFormatting sqref="D119">
    <cfRule type="expression" dxfId="1191" priority="1520">
      <formula>IF(AND($B119="",$C119="",LEN($A119)&lt;=2),TRUE,FALSE)</formula>
    </cfRule>
    <cfRule type="expression" dxfId="1190" priority="1521">
      <formula>IF(AND($B119="",$C119=""),TRUE,FALSE)</formula>
    </cfRule>
  </conditionalFormatting>
  <conditionalFormatting sqref="D119">
    <cfRule type="expression" dxfId="1189" priority="1518">
      <formula>IF(AND($B119="",$C119="",LEN($A119)&lt;=2),TRUE,FALSE)</formula>
    </cfRule>
    <cfRule type="expression" dxfId="1188" priority="1519">
      <formula>IF(AND($B119="",$C119=""),TRUE,FALSE)</formula>
    </cfRule>
  </conditionalFormatting>
  <conditionalFormatting sqref="G119">
    <cfRule type="expression" dxfId="1187" priority="1516">
      <formula>IF(AND($B119="",$C119="",LEN($A119)&lt;=2),TRUE,FALSE)</formula>
    </cfRule>
    <cfRule type="expression" dxfId="1186" priority="1517">
      <formula>IF(AND($B119="",$C119=""),TRUE,FALSE)</formula>
    </cfRule>
  </conditionalFormatting>
  <conditionalFormatting sqref="E119">
    <cfRule type="expression" dxfId="1185" priority="1514">
      <formula>IF(AND($B119="",$C119="",LEN($A119)&lt;=2),TRUE,FALSE)</formula>
    </cfRule>
    <cfRule type="expression" dxfId="1184" priority="1515">
      <formula>IF(AND($B119="",$C119=""),TRUE,FALSE)</formula>
    </cfRule>
  </conditionalFormatting>
  <conditionalFormatting sqref="C118 H118:I118">
    <cfRule type="expression" dxfId="1183" priority="1507">
      <formula>IF(AND($B118="",$C118="",LEN($A118)&lt;=2),TRUE,FALSE)</formula>
    </cfRule>
    <cfRule type="expression" dxfId="1182" priority="1508">
      <formula>IF(AND($B118="",$C118=""),TRUE,FALSE)</formula>
    </cfRule>
  </conditionalFormatting>
  <conditionalFormatting sqref="C118">
    <cfRule type="expression" dxfId="1181" priority="1509">
      <formula>IF((COUNTIF(#REF!,#REF!))&gt;1,TRUE,FALSE)</formula>
    </cfRule>
  </conditionalFormatting>
  <conditionalFormatting sqref="F118">
    <cfRule type="expression" dxfId="1180" priority="1505">
      <formula>IF(AND($B118="",$C118="",LEN($A118)&lt;=2),TRUE,FALSE)</formula>
    </cfRule>
    <cfRule type="expression" dxfId="1179" priority="1506">
      <formula>IF(AND($B118="",$C118=""),TRUE,FALSE)</formula>
    </cfRule>
  </conditionalFormatting>
  <conditionalFormatting sqref="D118">
    <cfRule type="expression" dxfId="1178" priority="1503">
      <formula>IF(AND($B118="",$C118="",LEN($A118)&lt;=2),TRUE,FALSE)</formula>
    </cfRule>
    <cfRule type="expression" dxfId="1177" priority="1504">
      <formula>IF(AND($B118="",$C118=""),TRUE,FALSE)</formula>
    </cfRule>
  </conditionalFormatting>
  <conditionalFormatting sqref="D118">
    <cfRule type="expression" dxfId="1176" priority="1501">
      <formula>IF(AND($B118="",$C118="",LEN($A118)&lt;=2),TRUE,FALSE)</formula>
    </cfRule>
    <cfRule type="expression" dxfId="1175" priority="1502">
      <formula>IF(AND($B118="",$C118=""),TRUE,FALSE)</formula>
    </cfRule>
  </conditionalFormatting>
  <conditionalFormatting sqref="G118">
    <cfRule type="expression" dxfId="1174" priority="1499">
      <formula>IF(AND($B118="",$C118="",LEN($A118)&lt;=2),TRUE,FALSE)</formula>
    </cfRule>
    <cfRule type="expression" dxfId="1173" priority="1500">
      <formula>IF(AND($B118="",$C118=""),TRUE,FALSE)</formula>
    </cfRule>
  </conditionalFormatting>
  <conditionalFormatting sqref="E118">
    <cfRule type="expression" dxfId="1172" priority="1497">
      <formula>IF(AND($B118="",$C118="",LEN($A118)&lt;=2),TRUE,FALSE)</formula>
    </cfRule>
    <cfRule type="expression" dxfId="1171" priority="1498">
      <formula>IF(AND($B118="",$C118=""),TRUE,FALSE)</formula>
    </cfRule>
  </conditionalFormatting>
  <conditionalFormatting sqref="B118:B119">
    <cfRule type="expression" dxfId="1170" priority="1495">
      <formula>IF(AND($B118="",$C118="",LEN($A118)&lt;=2),TRUE,FALSE)</formula>
    </cfRule>
    <cfRule type="expression" dxfId="1169" priority="1496">
      <formula>IF(AND($B118="",$C118=""),TRUE,FALSE)</formula>
    </cfRule>
  </conditionalFormatting>
  <conditionalFormatting sqref="C117 H117:I117">
    <cfRule type="expression" dxfId="1168" priority="1487">
      <formula>IF(AND($B117="",$C117="",LEN($A117)&lt;=2),TRUE,FALSE)</formula>
    </cfRule>
    <cfRule type="expression" dxfId="1167" priority="1488">
      <formula>IF(AND($B117="",$C117=""),TRUE,FALSE)</formula>
    </cfRule>
  </conditionalFormatting>
  <conditionalFormatting sqref="C117">
    <cfRule type="expression" dxfId="1166" priority="1489">
      <formula>IF((COUNTIF(#REF!,#REF!))&gt;1,TRUE,FALSE)</formula>
    </cfRule>
  </conditionalFormatting>
  <conditionalFormatting sqref="F117">
    <cfRule type="expression" dxfId="1165" priority="1485">
      <formula>IF(AND($B117="",$C117="",LEN($A117)&lt;=2),TRUE,FALSE)</formula>
    </cfRule>
    <cfRule type="expression" dxfId="1164" priority="1486">
      <formula>IF(AND($B117="",$C117=""),TRUE,FALSE)</formula>
    </cfRule>
  </conditionalFormatting>
  <conditionalFormatting sqref="D117">
    <cfRule type="expression" dxfId="1163" priority="1483">
      <formula>IF(AND($B117="",$C117="",LEN($A117)&lt;=2),TRUE,FALSE)</formula>
    </cfRule>
    <cfRule type="expression" dxfId="1162" priority="1484">
      <formula>IF(AND($B117="",$C117=""),TRUE,FALSE)</formula>
    </cfRule>
  </conditionalFormatting>
  <conditionalFormatting sqref="D117">
    <cfRule type="expression" dxfId="1161" priority="1481">
      <formula>IF(AND($B117="",$C117="",LEN($A117)&lt;=2),TRUE,FALSE)</formula>
    </cfRule>
    <cfRule type="expression" dxfId="1160" priority="1482">
      <formula>IF(AND($B117="",$C117=""),TRUE,FALSE)</formula>
    </cfRule>
  </conditionalFormatting>
  <conditionalFormatting sqref="G117">
    <cfRule type="expression" dxfId="1159" priority="1479">
      <formula>IF(AND($B117="",$C117="",LEN($A117)&lt;=2),TRUE,FALSE)</formula>
    </cfRule>
    <cfRule type="expression" dxfId="1158" priority="1480">
      <formula>IF(AND($B117="",$C117=""),TRUE,FALSE)</formula>
    </cfRule>
  </conditionalFormatting>
  <conditionalFormatting sqref="E117">
    <cfRule type="expression" dxfId="1157" priority="1477">
      <formula>IF(AND($B117="",$C117="",LEN($A117)&lt;=2),TRUE,FALSE)</formula>
    </cfRule>
    <cfRule type="expression" dxfId="1156" priority="1478">
      <formula>IF(AND($B117="",$C117=""),TRUE,FALSE)</formula>
    </cfRule>
  </conditionalFormatting>
  <conditionalFormatting sqref="C116 H116:I116">
    <cfRule type="expression" dxfId="1155" priority="1470">
      <formula>IF(AND($B116="",$C116="",LEN($A116)&lt;=2),TRUE,FALSE)</formula>
    </cfRule>
    <cfRule type="expression" dxfId="1154" priority="1471">
      <formula>IF(AND($B116="",$C116=""),TRUE,FALSE)</formula>
    </cfRule>
  </conditionalFormatting>
  <conditionalFormatting sqref="C116">
    <cfRule type="expression" dxfId="1153" priority="1472">
      <formula>IF((COUNTIF(#REF!,#REF!))&gt;1,TRUE,FALSE)</formula>
    </cfRule>
  </conditionalFormatting>
  <conditionalFormatting sqref="F116">
    <cfRule type="expression" dxfId="1152" priority="1468">
      <formula>IF(AND($B116="",$C116="",LEN($A116)&lt;=2),TRUE,FALSE)</formula>
    </cfRule>
    <cfRule type="expression" dxfId="1151" priority="1469">
      <formula>IF(AND($B116="",$C116=""),TRUE,FALSE)</formula>
    </cfRule>
  </conditionalFormatting>
  <conditionalFormatting sqref="D116">
    <cfRule type="expression" dxfId="1150" priority="1466">
      <formula>IF(AND($B116="",$C116="",LEN($A116)&lt;=2),TRUE,FALSE)</formula>
    </cfRule>
    <cfRule type="expression" dxfId="1149" priority="1467">
      <formula>IF(AND($B116="",$C116=""),TRUE,FALSE)</formula>
    </cfRule>
  </conditionalFormatting>
  <conditionalFormatting sqref="D116">
    <cfRule type="expression" dxfId="1148" priority="1464">
      <formula>IF(AND($B116="",$C116="",LEN($A116)&lt;=2),TRUE,FALSE)</formula>
    </cfRule>
    <cfRule type="expression" dxfId="1147" priority="1465">
      <formula>IF(AND($B116="",$C116=""),TRUE,FALSE)</formula>
    </cfRule>
  </conditionalFormatting>
  <conditionalFormatting sqref="G116">
    <cfRule type="expression" dxfId="1146" priority="1462">
      <formula>IF(AND($B116="",$C116="",LEN($A116)&lt;=2),TRUE,FALSE)</formula>
    </cfRule>
    <cfRule type="expression" dxfId="1145" priority="1463">
      <formula>IF(AND($B116="",$C116=""),TRUE,FALSE)</formula>
    </cfRule>
  </conditionalFormatting>
  <conditionalFormatting sqref="E116">
    <cfRule type="expression" dxfId="1144" priority="1460">
      <formula>IF(AND($B116="",$C116="",LEN($A116)&lt;=2),TRUE,FALSE)</formula>
    </cfRule>
    <cfRule type="expression" dxfId="1143" priority="1461">
      <formula>IF(AND($B116="",$C116=""),TRUE,FALSE)</formula>
    </cfRule>
  </conditionalFormatting>
  <conditionalFormatting sqref="B116:B117">
    <cfRule type="expression" dxfId="1142" priority="1458">
      <formula>IF(AND($B116="",$C116="",LEN($A116)&lt;=2),TRUE,FALSE)</formula>
    </cfRule>
    <cfRule type="expression" dxfId="1141" priority="1459">
      <formula>IF(AND($B116="",$C116=""),TRUE,FALSE)</formula>
    </cfRule>
  </conditionalFormatting>
  <conditionalFormatting sqref="C149 H149:I149">
    <cfRule type="expression" dxfId="1140" priority="1450">
      <formula>IF(AND($B149="",$C149="",LEN($A149)&lt;=2),TRUE,FALSE)</formula>
    </cfRule>
    <cfRule type="expression" dxfId="1139" priority="1451">
      <formula>IF(AND($B149="",$C149=""),TRUE,FALSE)</formula>
    </cfRule>
  </conditionalFormatting>
  <conditionalFormatting sqref="C149">
    <cfRule type="expression" dxfId="1138" priority="1452">
      <formula>IF((COUNTIF(#REF!,#REF!))&gt;1,TRUE,FALSE)</formula>
    </cfRule>
  </conditionalFormatting>
  <conditionalFormatting sqref="F149">
    <cfRule type="expression" dxfId="1137" priority="1448">
      <formula>IF(AND($B149="",$C149="",LEN($A149)&lt;=2),TRUE,FALSE)</formula>
    </cfRule>
    <cfRule type="expression" dxfId="1136" priority="1449">
      <formula>IF(AND($B149="",$C149=""),TRUE,FALSE)</formula>
    </cfRule>
  </conditionalFormatting>
  <conditionalFormatting sqref="D149">
    <cfRule type="expression" dxfId="1135" priority="1446">
      <formula>IF(AND($B149="",$C149="",LEN($A149)&lt;=2),TRUE,FALSE)</formula>
    </cfRule>
    <cfRule type="expression" dxfId="1134" priority="1447">
      <formula>IF(AND($B149="",$C149=""),TRUE,FALSE)</formula>
    </cfRule>
  </conditionalFormatting>
  <conditionalFormatting sqref="D149">
    <cfRule type="expression" dxfId="1133" priority="1444">
      <formula>IF(AND($B149="",$C149="",LEN($A149)&lt;=2),TRUE,FALSE)</formula>
    </cfRule>
    <cfRule type="expression" dxfId="1132" priority="1445">
      <formula>IF(AND($B149="",$C149=""),TRUE,FALSE)</formula>
    </cfRule>
  </conditionalFormatting>
  <conditionalFormatting sqref="G149">
    <cfRule type="expression" dxfId="1131" priority="1442">
      <formula>IF(AND($B149="",$C149="",LEN($A149)&lt;=2),TRUE,FALSE)</formula>
    </cfRule>
    <cfRule type="expression" dxfId="1130" priority="1443">
      <formula>IF(AND($B149="",$C149=""),TRUE,FALSE)</formula>
    </cfRule>
  </conditionalFormatting>
  <conditionalFormatting sqref="E149">
    <cfRule type="expression" dxfId="1129" priority="1440">
      <formula>IF(AND($B149="",$C149="",LEN($A149)&lt;=2),TRUE,FALSE)</formula>
    </cfRule>
    <cfRule type="expression" dxfId="1128" priority="1441">
      <formula>IF(AND($B149="",$C149=""),TRUE,FALSE)</formula>
    </cfRule>
  </conditionalFormatting>
  <conditionalFormatting sqref="C146 H146:I146">
    <cfRule type="expression" dxfId="1127" priority="1432">
      <formula>IF(AND($B146="",$C146="",LEN($A146)&lt;=2),TRUE,FALSE)</formula>
    </cfRule>
    <cfRule type="expression" dxfId="1126" priority="1433">
      <formula>IF(AND($B146="",$C146=""),TRUE,FALSE)</formula>
    </cfRule>
  </conditionalFormatting>
  <conditionalFormatting sqref="C146">
    <cfRule type="expression" dxfId="1125" priority="1434">
      <formula>IF((COUNTIF(#REF!,#REF!))&gt;1,TRUE,FALSE)</formula>
    </cfRule>
  </conditionalFormatting>
  <conditionalFormatting sqref="F146">
    <cfRule type="expression" dxfId="1124" priority="1430">
      <formula>IF(AND($B146="",$C146="",LEN($A146)&lt;=2),TRUE,FALSE)</formula>
    </cfRule>
    <cfRule type="expression" dxfId="1123" priority="1431">
      <formula>IF(AND($B146="",$C146=""),TRUE,FALSE)</formula>
    </cfRule>
  </conditionalFormatting>
  <conditionalFormatting sqref="D146">
    <cfRule type="expression" dxfId="1122" priority="1428">
      <formula>IF(AND($B146="",$C146="",LEN($A146)&lt;=2),TRUE,FALSE)</formula>
    </cfRule>
    <cfRule type="expression" dxfId="1121" priority="1429">
      <formula>IF(AND($B146="",$C146=""),TRUE,FALSE)</formula>
    </cfRule>
  </conditionalFormatting>
  <conditionalFormatting sqref="D146">
    <cfRule type="expression" dxfId="1120" priority="1426">
      <formula>IF(AND($B146="",$C146="",LEN($A146)&lt;=2),TRUE,FALSE)</formula>
    </cfRule>
    <cfRule type="expression" dxfId="1119" priority="1427">
      <formula>IF(AND($B146="",$C146=""),TRUE,FALSE)</formula>
    </cfRule>
  </conditionalFormatting>
  <conditionalFormatting sqref="G146">
    <cfRule type="expression" dxfId="1118" priority="1424">
      <formula>IF(AND($B146="",$C146="",LEN($A146)&lt;=2),TRUE,FALSE)</formula>
    </cfRule>
    <cfRule type="expression" dxfId="1117" priority="1425">
      <formula>IF(AND($B146="",$C146=""),TRUE,FALSE)</formula>
    </cfRule>
  </conditionalFormatting>
  <conditionalFormatting sqref="E146">
    <cfRule type="expression" dxfId="1116" priority="1422">
      <formula>IF(AND($B146="",$C146="",LEN($A146)&lt;=2),TRUE,FALSE)</formula>
    </cfRule>
    <cfRule type="expression" dxfId="1115" priority="1423">
      <formula>IF(AND($B146="",$C146=""),TRUE,FALSE)</formula>
    </cfRule>
  </conditionalFormatting>
  <conditionalFormatting sqref="C145 H145:I145">
    <cfRule type="expression" dxfId="1114" priority="1414">
      <formula>IF(AND($B145="",$C145="",LEN($A145)&lt;=2),TRUE,FALSE)</formula>
    </cfRule>
    <cfRule type="expression" dxfId="1113" priority="1415">
      <formula>IF(AND($B145="",$C145=""),TRUE,FALSE)</formula>
    </cfRule>
  </conditionalFormatting>
  <conditionalFormatting sqref="C145">
    <cfRule type="expression" dxfId="1112" priority="1416">
      <formula>IF((COUNTIF(#REF!,#REF!))&gt;1,TRUE,FALSE)</formula>
    </cfRule>
  </conditionalFormatting>
  <conditionalFormatting sqref="F145">
    <cfRule type="expression" dxfId="1111" priority="1412">
      <formula>IF(AND($B145="",$C145="",LEN($A145)&lt;=2),TRUE,FALSE)</formula>
    </cfRule>
    <cfRule type="expression" dxfId="1110" priority="1413">
      <formula>IF(AND($B145="",$C145=""),TRUE,FALSE)</formula>
    </cfRule>
  </conditionalFormatting>
  <conditionalFormatting sqref="D145">
    <cfRule type="expression" dxfId="1109" priority="1410">
      <formula>IF(AND($B145="",$C145="",LEN($A145)&lt;=2),TRUE,FALSE)</formula>
    </cfRule>
    <cfRule type="expression" dxfId="1108" priority="1411">
      <formula>IF(AND($B145="",$C145=""),TRUE,FALSE)</formula>
    </cfRule>
  </conditionalFormatting>
  <conditionalFormatting sqref="D145">
    <cfRule type="expression" dxfId="1107" priority="1408">
      <formula>IF(AND($B145="",$C145="",LEN($A145)&lt;=2),TRUE,FALSE)</formula>
    </cfRule>
    <cfRule type="expression" dxfId="1106" priority="1409">
      <formula>IF(AND($B145="",$C145=""),TRUE,FALSE)</formula>
    </cfRule>
  </conditionalFormatting>
  <conditionalFormatting sqref="G145">
    <cfRule type="expression" dxfId="1105" priority="1406">
      <formula>IF(AND($B145="",$C145="",LEN($A145)&lt;=2),TRUE,FALSE)</formula>
    </cfRule>
    <cfRule type="expression" dxfId="1104" priority="1407">
      <formula>IF(AND($B145="",$C145=""),TRUE,FALSE)</formula>
    </cfRule>
  </conditionalFormatting>
  <conditionalFormatting sqref="E145">
    <cfRule type="expression" dxfId="1103" priority="1404">
      <formula>IF(AND($B145="",$C145="",LEN($A145)&lt;=2),TRUE,FALSE)</formula>
    </cfRule>
    <cfRule type="expression" dxfId="1102" priority="1405">
      <formula>IF(AND($B145="",$C145=""),TRUE,FALSE)</formula>
    </cfRule>
  </conditionalFormatting>
  <conditionalFormatting sqref="C141 H141:I141">
    <cfRule type="expression" dxfId="1101" priority="1397">
      <formula>IF(AND($B141="",$C141="",LEN($A141)&lt;=2),TRUE,FALSE)</formula>
    </cfRule>
    <cfRule type="expression" dxfId="1100" priority="1398">
      <formula>IF(AND($B141="",$C141=""),TRUE,FALSE)</formula>
    </cfRule>
  </conditionalFormatting>
  <conditionalFormatting sqref="C141">
    <cfRule type="expression" dxfId="1099" priority="1399">
      <formula>IF((COUNTIF(#REF!,#REF!))&gt;1,TRUE,FALSE)</formula>
    </cfRule>
  </conditionalFormatting>
  <conditionalFormatting sqref="F141">
    <cfRule type="expression" dxfId="1098" priority="1395">
      <formula>IF(AND($B141="",$C141="",LEN($A141)&lt;=2),TRUE,FALSE)</formula>
    </cfRule>
    <cfRule type="expression" dxfId="1097" priority="1396">
      <formula>IF(AND($B141="",$C141=""),TRUE,FALSE)</formula>
    </cfRule>
  </conditionalFormatting>
  <conditionalFormatting sqref="D141">
    <cfRule type="expression" dxfId="1096" priority="1393">
      <formula>IF(AND($B141="",$C141="",LEN($A141)&lt;=2),TRUE,FALSE)</formula>
    </cfRule>
    <cfRule type="expression" dxfId="1095" priority="1394">
      <formula>IF(AND($B141="",$C141=""),TRUE,FALSE)</formula>
    </cfRule>
  </conditionalFormatting>
  <conditionalFormatting sqref="D141">
    <cfRule type="expression" dxfId="1094" priority="1391">
      <formula>IF(AND($B141="",$C141="",LEN($A141)&lt;=2),TRUE,FALSE)</formula>
    </cfRule>
    <cfRule type="expression" dxfId="1093" priority="1392">
      <formula>IF(AND($B141="",$C141=""),TRUE,FALSE)</formula>
    </cfRule>
  </conditionalFormatting>
  <conditionalFormatting sqref="G141">
    <cfRule type="expression" dxfId="1092" priority="1389">
      <formula>IF(AND($B141="",$C141="",LEN($A141)&lt;=2),TRUE,FALSE)</formula>
    </cfRule>
    <cfRule type="expression" dxfId="1091" priority="1390">
      <formula>IF(AND($B141="",$C141=""),TRUE,FALSE)</formula>
    </cfRule>
  </conditionalFormatting>
  <conditionalFormatting sqref="E141">
    <cfRule type="expression" dxfId="1090" priority="1387">
      <formula>IF(AND($B141="",$C141="",LEN($A141)&lt;=2),TRUE,FALSE)</formula>
    </cfRule>
    <cfRule type="expression" dxfId="1089" priority="1388">
      <formula>IF(AND($B141="",$C141=""),TRUE,FALSE)</formula>
    </cfRule>
  </conditionalFormatting>
  <conditionalFormatting sqref="A136:A151">
    <cfRule type="expression" dxfId="1088" priority="1384">
      <formula>IF(AND($B136="",$C136="",LEN($A136)&lt;=2),TRUE,FALSE)</formula>
    </cfRule>
    <cfRule type="expression" dxfId="1087" priority="1385">
      <formula>IF(AND($B136="",$C136=""),TRUE,FALSE)</formula>
    </cfRule>
  </conditionalFormatting>
  <conditionalFormatting sqref="A136:A151">
    <cfRule type="expression" dxfId="1086" priority="1382">
      <formula>IF(AND($B136="",$C136="",LEN($A136)&lt;=2),TRUE,FALSE)</formula>
    </cfRule>
    <cfRule type="expression" dxfId="1085" priority="1383">
      <formula>IF(AND($B136="",$C136=""),TRUE,FALSE)</formula>
    </cfRule>
  </conditionalFormatting>
  <conditionalFormatting sqref="C136 H136:I136">
    <cfRule type="expression" dxfId="1084" priority="1379">
      <formula>IF(AND($B136="",$C136="",LEN($A136)&lt;=2),TRUE,FALSE)</formula>
    </cfRule>
    <cfRule type="expression" dxfId="1083" priority="1380">
      <formula>IF(AND($B136="",$C136=""),TRUE,FALSE)</formula>
    </cfRule>
  </conditionalFormatting>
  <conditionalFormatting sqref="C136">
    <cfRule type="expression" dxfId="1082" priority="1381">
      <formula>IF((COUNTIF(#REF!,#REF!))&gt;1,TRUE,FALSE)</formula>
    </cfRule>
  </conditionalFormatting>
  <conditionalFormatting sqref="F136">
    <cfRule type="expression" dxfId="1081" priority="1377">
      <formula>IF(AND($B136="",$C136="",LEN($A136)&lt;=2),TRUE,FALSE)</formula>
    </cfRule>
    <cfRule type="expression" dxfId="1080" priority="1378">
      <formula>IF(AND($B136="",$C136=""),TRUE,FALSE)</formula>
    </cfRule>
  </conditionalFormatting>
  <conditionalFormatting sqref="D136">
    <cfRule type="expression" dxfId="1079" priority="1375">
      <formula>IF(AND($B136="",$C136="",LEN($A136)&lt;=2),TRUE,FALSE)</formula>
    </cfRule>
    <cfRule type="expression" dxfId="1078" priority="1376">
      <formula>IF(AND($B136="",$C136=""),TRUE,FALSE)</formula>
    </cfRule>
  </conditionalFormatting>
  <conditionalFormatting sqref="D136">
    <cfRule type="expression" dxfId="1077" priority="1373">
      <formula>IF(AND($B136="",$C136="",LEN($A136)&lt;=2),TRUE,FALSE)</formula>
    </cfRule>
    <cfRule type="expression" dxfId="1076" priority="1374">
      <formula>IF(AND($B136="",$C136=""),TRUE,FALSE)</formula>
    </cfRule>
  </conditionalFormatting>
  <conditionalFormatting sqref="G136">
    <cfRule type="expression" dxfId="1075" priority="1371">
      <formula>IF(AND($B136="",$C136="",LEN($A136)&lt;=2),TRUE,FALSE)</formula>
    </cfRule>
    <cfRule type="expression" dxfId="1074" priority="1372">
      <formula>IF(AND($B136="",$C136=""),TRUE,FALSE)</formula>
    </cfRule>
  </conditionalFormatting>
  <conditionalFormatting sqref="E136">
    <cfRule type="expression" dxfId="1073" priority="1369">
      <formula>IF(AND($B136="",$C136="",LEN($A136)&lt;=2),TRUE,FALSE)</formula>
    </cfRule>
    <cfRule type="expression" dxfId="1072" priority="1370">
      <formula>IF(AND($B136="",$C136=""),TRUE,FALSE)</formula>
    </cfRule>
  </conditionalFormatting>
  <conditionalFormatting sqref="C134:C135 H134:I135 J135">
    <cfRule type="expression" dxfId="1071" priority="1362">
      <formula>IF(AND($B134="",$C134="",LEN($A134)&lt;=2),TRUE,FALSE)</formula>
    </cfRule>
    <cfRule type="expression" dxfId="1070" priority="1363">
      <formula>IF(AND($B134="",$C134=""),TRUE,FALSE)</formula>
    </cfRule>
  </conditionalFormatting>
  <conditionalFormatting sqref="C134:C135">
    <cfRule type="expression" dxfId="1069" priority="1364">
      <formula>IF((COUNTIF(#REF!,#REF!))&gt;1,TRUE,FALSE)</formula>
    </cfRule>
  </conditionalFormatting>
  <conditionalFormatting sqref="F134:F135">
    <cfRule type="expression" dxfId="1068" priority="1360">
      <formula>IF(AND($B134="",$C134="",LEN($A134)&lt;=2),TRUE,FALSE)</formula>
    </cfRule>
    <cfRule type="expression" dxfId="1067" priority="1361">
      <formula>IF(AND($B134="",$C134=""),TRUE,FALSE)</formula>
    </cfRule>
  </conditionalFormatting>
  <conditionalFormatting sqref="D134:D135">
    <cfRule type="expression" dxfId="1066" priority="1358">
      <formula>IF(AND($B134="",$C134="",LEN($A134)&lt;=2),TRUE,FALSE)</formula>
    </cfRule>
    <cfRule type="expression" dxfId="1065" priority="1359">
      <formula>IF(AND($B134="",$C134=""),TRUE,FALSE)</formula>
    </cfRule>
  </conditionalFormatting>
  <conditionalFormatting sqref="D134:D135">
    <cfRule type="expression" dxfId="1064" priority="1356">
      <formula>IF(AND($B134="",$C134="",LEN($A134)&lt;=2),TRUE,FALSE)</formula>
    </cfRule>
    <cfRule type="expression" dxfId="1063" priority="1357">
      <formula>IF(AND($B134="",$C134=""),TRUE,FALSE)</formula>
    </cfRule>
  </conditionalFormatting>
  <conditionalFormatting sqref="G134:G135">
    <cfRule type="expression" dxfId="1062" priority="1354">
      <formula>IF(AND($B134="",$C134="",LEN($A134)&lt;=2),TRUE,FALSE)</formula>
    </cfRule>
    <cfRule type="expression" dxfId="1061" priority="1355">
      <formula>IF(AND($B134="",$C134=""),TRUE,FALSE)</formula>
    </cfRule>
  </conditionalFormatting>
  <conditionalFormatting sqref="E134:E135">
    <cfRule type="expression" dxfId="1060" priority="1352">
      <formula>IF(AND($B134="",$C134="",LEN($A134)&lt;=2),TRUE,FALSE)</formula>
    </cfRule>
    <cfRule type="expression" dxfId="1059" priority="1353">
      <formula>IF(AND($B134="",$C134=""),TRUE,FALSE)</formula>
    </cfRule>
  </conditionalFormatting>
  <conditionalFormatting sqref="C132 H132:I132">
    <cfRule type="expression" dxfId="1058" priority="1345">
      <formula>IF(AND($B132="",$C132="",LEN($A132)&lt;=2),TRUE,FALSE)</formula>
    </cfRule>
    <cfRule type="expression" dxfId="1057" priority="1346">
      <formula>IF(AND($B132="",$C132=""),TRUE,FALSE)</formula>
    </cfRule>
  </conditionalFormatting>
  <conditionalFormatting sqref="C132">
    <cfRule type="expression" dxfId="1056" priority="1347">
      <formula>IF((COUNTIF(#REF!,#REF!))&gt;1,TRUE,FALSE)</formula>
    </cfRule>
  </conditionalFormatting>
  <conditionalFormatting sqref="F132">
    <cfRule type="expression" dxfId="1055" priority="1343">
      <formula>IF(AND($B132="",$C132="",LEN($A132)&lt;=2),TRUE,FALSE)</formula>
    </cfRule>
    <cfRule type="expression" dxfId="1054" priority="1344">
      <formula>IF(AND($B132="",$C132=""),TRUE,FALSE)</formula>
    </cfRule>
  </conditionalFormatting>
  <conditionalFormatting sqref="D132">
    <cfRule type="expression" dxfId="1053" priority="1341">
      <formula>IF(AND($B132="",$C132="",LEN($A132)&lt;=2),TRUE,FALSE)</formula>
    </cfRule>
    <cfRule type="expression" dxfId="1052" priority="1342">
      <formula>IF(AND($B132="",$C132=""),TRUE,FALSE)</formula>
    </cfRule>
  </conditionalFormatting>
  <conditionalFormatting sqref="D132">
    <cfRule type="expression" dxfId="1051" priority="1339">
      <formula>IF(AND($B132="",$C132="",LEN($A132)&lt;=2),TRUE,FALSE)</formula>
    </cfRule>
    <cfRule type="expression" dxfId="1050" priority="1340">
      <formula>IF(AND($B132="",$C132=""),TRUE,FALSE)</formula>
    </cfRule>
  </conditionalFormatting>
  <conditionalFormatting sqref="G132">
    <cfRule type="expression" dxfId="1049" priority="1337">
      <formula>IF(AND($B132="",$C132="",LEN($A132)&lt;=2),TRUE,FALSE)</formula>
    </cfRule>
    <cfRule type="expression" dxfId="1048" priority="1338">
      <formula>IF(AND($B132="",$C132=""),TRUE,FALSE)</formula>
    </cfRule>
  </conditionalFormatting>
  <conditionalFormatting sqref="E132">
    <cfRule type="expression" dxfId="1047" priority="1335">
      <formula>IF(AND($B132="",$C132="",LEN($A132)&lt;=2),TRUE,FALSE)</formula>
    </cfRule>
    <cfRule type="expression" dxfId="1046" priority="1336">
      <formula>IF(AND($B132="",$C132=""),TRUE,FALSE)</formula>
    </cfRule>
  </conditionalFormatting>
  <conditionalFormatting sqref="C131 H131:I131">
    <cfRule type="expression" dxfId="1045" priority="1328">
      <formula>IF(AND($B131="",$C131="",LEN($A131)&lt;=2),TRUE,FALSE)</formula>
    </cfRule>
    <cfRule type="expression" dxfId="1044" priority="1329">
      <formula>IF(AND($B131="",$C131=""),TRUE,FALSE)</formula>
    </cfRule>
  </conditionalFormatting>
  <conditionalFormatting sqref="C131">
    <cfRule type="expression" dxfId="1043" priority="1330">
      <formula>IF((COUNTIF(#REF!,#REF!))&gt;1,TRUE,FALSE)</formula>
    </cfRule>
  </conditionalFormatting>
  <conditionalFormatting sqref="F131">
    <cfRule type="expression" dxfId="1042" priority="1326">
      <formula>IF(AND($B131="",$C131="",LEN($A131)&lt;=2),TRUE,FALSE)</formula>
    </cfRule>
    <cfRule type="expression" dxfId="1041" priority="1327">
      <formula>IF(AND($B131="",$C131=""),TRUE,FALSE)</formula>
    </cfRule>
  </conditionalFormatting>
  <conditionalFormatting sqref="D131">
    <cfRule type="expression" dxfId="1040" priority="1324">
      <formula>IF(AND($B131="",$C131="",LEN($A131)&lt;=2),TRUE,FALSE)</formula>
    </cfRule>
    <cfRule type="expression" dxfId="1039" priority="1325">
      <formula>IF(AND($B131="",$C131=""),TRUE,FALSE)</formula>
    </cfRule>
  </conditionalFormatting>
  <conditionalFormatting sqref="D131">
    <cfRule type="expression" dxfId="1038" priority="1322">
      <formula>IF(AND($B131="",$C131="",LEN($A131)&lt;=2),TRUE,FALSE)</formula>
    </cfRule>
    <cfRule type="expression" dxfId="1037" priority="1323">
      <formula>IF(AND($B131="",$C131=""),TRUE,FALSE)</formula>
    </cfRule>
  </conditionalFormatting>
  <conditionalFormatting sqref="G131">
    <cfRule type="expression" dxfId="1036" priority="1320">
      <formula>IF(AND($B131="",$C131="",LEN($A131)&lt;=2),TRUE,FALSE)</formula>
    </cfRule>
    <cfRule type="expression" dxfId="1035" priority="1321">
      <formula>IF(AND($B131="",$C131=""),TRUE,FALSE)</formula>
    </cfRule>
  </conditionalFormatting>
  <conditionalFormatting sqref="E131">
    <cfRule type="expression" dxfId="1034" priority="1318">
      <formula>IF(AND($B131="",$C131="",LEN($A131)&lt;=2),TRUE,FALSE)</formula>
    </cfRule>
    <cfRule type="expression" dxfId="1033" priority="1319">
      <formula>IF(AND($B131="",$C131=""),TRUE,FALSE)</formula>
    </cfRule>
  </conditionalFormatting>
  <conditionalFormatting sqref="C130 H130:I130">
    <cfRule type="expression" dxfId="1032" priority="1310">
      <formula>IF(AND($B130="",$C130="",LEN($A130)&lt;=2),TRUE,FALSE)</formula>
    </cfRule>
    <cfRule type="expression" dxfId="1031" priority="1311">
      <formula>IF(AND($B130="",$C130=""),TRUE,FALSE)</formula>
    </cfRule>
  </conditionalFormatting>
  <conditionalFormatting sqref="C130">
    <cfRule type="expression" dxfId="1030" priority="1312">
      <formula>IF((COUNTIF(#REF!,#REF!))&gt;1,TRUE,FALSE)</formula>
    </cfRule>
  </conditionalFormatting>
  <conditionalFormatting sqref="F130">
    <cfRule type="expression" dxfId="1029" priority="1308">
      <formula>IF(AND($B130="",$C130="",LEN($A130)&lt;=2),TRUE,FALSE)</formula>
    </cfRule>
    <cfRule type="expression" dxfId="1028" priority="1309">
      <formula>IF(AND($B130="",$C130=""),TRUE,FALSE)</formula>
    </cfRule>
  </conditionalFormatting>
  <conditionalFormatting sqref="D130">
    <cfRule type="expression" dxfId="1027" priority="1306">
      <formula>IF(AND($B130="",$C130="",LEN($A130)&lt;=2),TRUE,FALSE)</formula>
    </cfRule>
    <cfRule type="expression" dxfId="1026" priority="1307">
      <formula>IF(AND($B130="",$C130=""),TRUE,FALSE)</formula>
    </cfRule>
  </conditionalFormatting>
  <conditionalFormatting sqref="D130">
    <cfRule type="expression" dxfId="1025" priority="1304">
      <formula>IF(AND($B130="",$C130="",LEN($A130)&lt;=2),TRUE,FALSE)</formula>
    </cfRule>
    <cfRule type="expression" dxfId="1024" priority="1305">
      <formula>IF(AND($B130="",$C130=""),TRUE,FALSE)</formula>
    </cfRule>
  </conditionalFormatting>
  <conditionalFormatting sqref="G130">
    <cfRule type="expression" dxfId="1023" priority="1302">
      <formula>IF(AND($B130="",$C130="",LEN($A130)&lt;=2),TRUE,FALSE)</formula>
    </cfRule>
    <cfRule type="expression" dxfId="1022" priority="1303">
      <formula>IF(AND($B130="",$C130=""),TRUE,FALSE)</formula>
    </cfRule>
  </conditionalFormatting>
  <conditionalFormatting sqref="E130">
    <cfRule type="expression" dxfId="1021" priority="1300">
      <formula>IF(AND($B130="",$C130="",LEN($A130)&lt;=2),TRUE,FALSE)</formula>
    </cfRule>
    <cfRule type="expression" dxfId="1020" priority="1301">
      <formula>IF(AND($B130="",$C130=""),TRUE,FALSE)</formula>
    </cfRule>
  </conditionalFormatting>
  <conditionalFormatting sqref="C129 H129:I129">
    <cfRule type="expression" dxfId="1019" priority="1293">
      <formula>IF(AND($B129="",$C129="",LEN($A129)&lt;=2),TRUE,FALSE)</formula>
    </cfRule>
    <cfRule type="expression" dxfId="1018" priority="1294">
      <formula>IF(AND($B129="",$C129=""),TRUE,FALSE)</formula>
    </cfRule>
  </conditionalFormatting>
  <conditionalFormatting sqref="C129">
    <cfRule type="expression" dxfId="1017" priority="1295">
      <formula>IF((COUNTIF(#REF!,#REF!))&gt;1,TRUE,FALSE)</formula>
    </cfRule>
  </conditionalFormatting>
  <conditionalFormatting sqref="F129">
    <cfRule type="expression" dxfId="1016" priority="1291">
      <formula>IF(AND($B129="",$C129="",LEN($A129)&lt;=2),TRUE,FALSE)</formula>
    </cfRule>
    <cfRule type="expression" dxfId="1015" priority="1292">
      <formula>IF(AND($B129="",$C129=""),TRUE,FALSE)</formula>
    </cfRule>
  </conditionalFormatting>
  <conditionalFormatting sqref="D129">
    <cfRule type="expression" dxfId="1014" priority="1289">
      <formula>IF(AND($B129="",$C129="",LEN($A129)&lt;=2),TRUE,FALSE)</formula>
    </cfRule>
    <cfRule type="expression" dxfId="1013" priority="1290">
      <formula>IF(AND($B129="",$C129=""),TRUE,FALSE)</formula>
    </cfRule>
  </conditionalFormatting>
  <conditionalFormatting sqref="D129">
    <cfRule type="expression" dxfId="1012" priority="1287">
      <formula>IF(AND($B129="",$C129="",LEN($A129)&lt;=2),TRUE,FALSE)</formula>
    </cfRule>
    <cfRule type="expression" dxfId="1011" priority="1288">
      <formula>IF(AND($B129="",$C129=""),TRUE,FALSE)</formula>
    </cfRule>
  </conditionalFormatting>
  <conditionalFormatting sqref="G129">
    <cfRule type="expression" dxfId="1010" priority="1285">
      <formula>IF(AND($B129="",$C129="",LEN($A129)&lt;=2),TRUE,FALSE)</formula>
    </cfRule>
    <cfRule type="expression" dxfId="1009" priority="1286">
      <formula>IF(AND($B129="",$C129=""),TRUE,FALSE)</formula>
    </cfRule>
  </conditionalFormatting>
  <conditionalFormatting sqref="E129">
    <cfRule type="expression" dxfId="1008" priority="1283">
      <formula>IF(AND($B129="",$C129="",LEN($A129)&lt;=2),TRUE,FALSE)</formula>
    </cfRule>
    <cfRule type="expression" dxfId="1007" priority="1284">
      <formula>IF(AND($B129="",$C129=""),TRUE,FALSE)</formula>
    </cfRule>
  </conditionalFormatting>
  <conditionalFormatting sqref="C128 H128:I128">
    <cfRule type="expression" dxfId="1006" priority="1276">
      <formula>IF(AND($B128="",$C128="",LEN($A128)&lt;=2),TRUE,FALSE)</formula>
    </cfRule>
    <cfRule type="expression" dxfId="1005" priority="1277">
      <formula>IF(AND($B128="",$C128=""),TRUE,FALSE)</formula>
    </cfRule>
  </conditionalFormatting>
  <conditionalFormatting sqref="C128">
    <cfRule type="expression" dxfId="1004" priority="1278">
      <formula>IF((COUNTIF(#REF!,#REF!))&gt;1,TRUE,FALSE)</formula>
    </cfRule>
  </conditionalFormatting>
  <conditionalFormatting sqref="F128">
    <cfRule type="expression" dxfId="1003" priority="1274">
      <formula>IF(AND($B128="",$C128="",LEN($A128)&lt;=2),TRUE,FALSE)</formula>
    </cfRule>
    <cfRule type="expression" dxfId="1002" priority="1275">
      <formula>IF(AND($B128="",$C128=""),TRUE,FALSE)</formula>
    </cfRule>
  </conditionalFormatting>
  <conditionalFormatting sqref="D128">
    <cfRule type="expression" dxfId="1001" priority="1272">
      <formula>IF(AND($B128="",$C128="",LEN($A128)&lt;=2),TRUE,FALSE)</formula>
    </cfRule>
    <cfRule type="expression" dxfId="1000" priority="1273">
      <formula>IF(AND($B128="",$C128=""),TRUE,FALSE)</formula>
    </cfRule>
  </conditionalFormatting>
  <conditionalFormatting sqref="D128">
    <cfRule type="expression" dxfId="999" priority="1270">
      <formula>IF(AND($B128="",$C128="",LEN($A128)&lt;=2),TRUE,FALSE)</formula>
    </cfRule>
    <cfRule type="expression" dxfId="998" priority="1271">
      <formula>IF(AND($B128="",$C128=""),TRUE,FALSE)</formula>
    </cfRule>
  </conditionalFormatting>
  <conditionalFormatting sqref="G128">
    <cfRule type="expression" dxfId="997" priority="1268">
      <formula>IF(AND($B128="",$C128="",LEN($A128)&lt;=2),TRUE,FALSE)</formula>
    </cfRule>
    <cfRule type="expression" dxfId="996" priority="1269">
      <formula>IF(AND($B128="",$C128=""),TRUE,FALSE)</formula>
    </cfRule>
  </conditionalFormatting>
  <conditionalFormatting sqref="E128">
    <cfRule type="expression" dxfId="995" priority="1266">
      <formula>IF(AND($B128="",$C128="",LEN($A128)&lt;=2),TRUE,FALSE)</formula>
    </cfRule>
    <cfRule type="expression" dxfId="994" priority="1267">
      <formula>IF(AND($B128="",$C128=""),TRUE,FALSE)</formula>
    </cfRule>
  </conditionalFormatting>
  <conditionalFormatting sqref="C127 H127:I127">
    <cfRule type="expression" dxfId="993" priority="1259">
      <formula>IF(AND($B127="",$C127="",LEN($A127)&lt;=2),TRUE,FALSE)</formula>
    </cfRule>
    <cfRule type="expression" dxfId="992" priority="1260">
      <formula>IF(AND($B127="",$C127=""),TRUE,FALSE)</formula>
    </cfRule>
  </conditionalFormatting>
  <conditionalFormatting sqref="C127">
    <cfRule type="expression" dxfId="991" priority="1261">
      <formula>IF((COUNTIF(#REF!,#REF!))&gt;1,TRUE,FALSE)</formula>
    </cfRule>
  </conditionalFormatting>
  <conditionalFormatting sqref="F127">
    <cfRule type="expression" dxfId="990" priority="1257">
      <formula>IF(AND($B127="",$C127="",LEN($A127)&lt;=2),TRUE,FALSE)</formula>
    </cfRule>
    <cfRule type="expression" dxfId="989" priority="1258">
      <formula>IF(AND($B127="",$C127=""),TRUE,FALSE)</formula>
    </cfRule>
  </conditionalFormatting>
  <conditionalFormatting sqref="D127">
    <cfRule type="expression" dxfId="988" priority="1255">
      <formula>IF(AND($B127="",$C127="",LEN($A127)&lt;=2),TRUE,FALSE)</formula>
    </cfRule>
    <cfRule type="expression" dxfId="987" priority="1256">
      <formula>IF(AND($B127="",$C127=""),TRUE,FALSE)</formula>
    </cfRule>
  </conditionalFormatting>
  <conditionalFormatting sqref="D127">
    <cfRule type="expression" dxfId="986" priority="1253">
      <formula>IF(AND($B127="",$C127="",LEN($A127)&lt;=2),TRUE,FALSE)</formula>
    </cfRule>
    <cfRule type="expression" dxfId="985" priority="1254">
      <formula>IF(AND($B127="",$C127=""),TRUE,FALSE)</formula>
    </cfRule>
  </conditionalFormatting>
  <conditionalFormatting sqref="G127">
    <cfRule type="expression" dxfId="984" priority="1251">
      <formula>IF(AND($B127="",$C127="",LEN($A127)&lt;=2),TRUE,FALSE)</formula>
    </cfRule>
    <cfRule type="expression" dxfId="983" priority="1252">
      <formula>IF(AND($B127="",$C127=""),TRUE,FALSE)</formula>
    </cfRule>
  </conditionalFormatting>
  <conditionalFormatting sqref="E127">
    <cfRule type="expression" dxfId="982" priority="1249">
      <formula>IF(AND($B127="",$C127="",LEN($A127)&lt;=2),TRUE,FALSE)</formula>
    </cfRule>
    <cfRule type="expression" dxfId="981" priority="1250">
      <formula>IF(AND($B127="",$C127=""),TRUE,FALSE)</formula>
    </cfRule>
  </conditionalFormatting>
  <conditionalFormatting sqref="A126:A135">
    <cfRule type="expression" dxfId="980" priority="1247">
      <formula>IF(AND($B126="",$C126="",LEN($A126)&lt;=2),TRUE,FALSE)</formula>
    </cfRule>
    <cfRule type="expression" dxfId="979" priority="1248">
      <formula>IF(AND($B126="",$C126=""),TRUE,FALSE)</formula>
    </cfRule>
  </conditionalFormatting>
  <conditionalFormatting sqref="A126:A135">
    <cfRule type="expression" dxfId="978" priority="1245">
      <formula>IF(AND($B126="",$C126="",LEN($A126)&lt;=2),TRUE,FALSE)</formula>
    </cfRule>
    <cfRule type="expression" dxfId="977" priority="1246">
      <formula>IF(AND($B126="",$C126=""),TRUE,FALSE)</formula>
    </cfRule>
  </conditionalFormatting>
  <conditionalFormatting sqref="C126 H126:I126">
    <cfRule type="expression" dxfId="976" priority="1242">
      <formula>IF(AND($B126="",$C126="",LEN($A126)&lt;=2),TRUE,FALSE)</formula>
    </cfRule>
    <cfRule type="expression" dxfId="975" priority="1243">
      <formula>IF(AND($B126="",$C126=""),TRUE,FALSE)</formula>
    </cfRule>
  </conditionalFormatting>
  <conditionalFormatting sqref="C126">
    <cfRule type="expression" dxfId="974" priority="1244">
      <formula>IF((COUNTIF(#REF!,#REF!))&gt;1,TRUE,FALSE)</formula>
    </cfRule>
  </conditionalFormatting>
  <conditionalFormatting sqref="F126">
    <cfRule type="expression" dxfId="973" priority="1240">
      <formula>IF(AND($B126="",$C126="",LEN($A126)&lt;=2),TRUE,FALSE)</formula>
    </cfRule>
    <cfRule type="expression" dxfId="972" priority="1241">
      <formula>IF(AND($B126="",$C126=""),TRUE,FALSE)</formula>
    </cfRule>
  </conditionalFormatting>
  <conditionalFormatting sqref="D126">
    <cfRule type="expression" dxfId="971" priority="1238">
      <formula>IF(AND($B126="",$C126="",LEN($A126)&lt;=2),TRUE,FALSE)</formula>
    </cfRule>
    <cfRule type="expression" dxfId="970" priority="1239">
      <formula>IF(AND($B126="",$C126=""),TRUE,FALSE)</formula>
    </cfRule>
  </conditionalFormatting>
  <conditionalFormatting sqref="D126">
    <cfRule type="expression" dxfId="969" priority="1236">
      <formula>IF(AND($B126="",$C126="",LEN($A126)&lt;=2),TRUE,FALSE)</formula>
    </cfRule>
    <cfRule type="expression" dxfId="968" priority="1237">
      <formula>IF(AND($B126="",$C126=""),TRUE,FALSE)</formula>
    </cfRule>
  </conditionalFormatting>
  <conditionalFormatting sqref="G126">
    <cfRule type="expression" dxfId="967" priority="1234">
      <formula>IF(AND($B126="",$C126="",LEN($A126)&lt;=2),TRUE,FALSE)</formula>
    </cfRule>
    <cfRule type="expression" dxfId="966" priority="1235">
      <formula>IF(AND($B126="",$C126=""),TRUE,FALSE)</formula>
    </cfRule>
  </conditionalFormatting>
  <conditionalFormatting sqref="E126">
    <cfRule type="expression" dxfId="965" priority="1232">
      <formula>IF(AND($B126="",$C126="",LEN($A126)&lt;=2),TRUE,FALSE)</formula>
    </cfRule>
    <cfRule type="expression" dxfId="964" priority="1233">
      <formula>IF(AND($B126="",$C126=""),TRUE,FALSE)</formula>
    </cfRule>
  </conditionalFormatting>
  <conditionalFormatting sqref="A125">
    <cfRule type="expression" dxfId="963" priority="1230">
      <formula>IF(AND($B125="",$C125="",LEN($A125)&lt;=2),TRUE,FALSE)</formula>
    </cfRule>
    <cfRule type="expression" dxfId="962" priority="1231">
      <formula>IF(AND($B125="",$C125=""),TRUE,FALSE)</formula>
    </cfRule>
  </conditionalFormatting>
  <conditionalFormatting sqref="A125">
    <cfRule type="expression" dxfId="961" priority="1228">
      <formula>IF(AND($B125="",$C125="",LEN($A125)&lt;=2),TRUE,FALSE)</formula>
    </cfRule>
    <cfRule type="expression" dxfId="960" priority="1229">
      <formula>IF(AND($B125="",$C125=""),TRUE,FALSE)</formula>
    </cfRule>
  </conditionalFormatting>
  <conditionalFormatting sqref="H124:I125 J125">
    <cfRule type="expression" dxfId="959" priority="1225">
      <formula>IF(AND($B124="",$C124="",LEN($A124)&lt;=2),TRUE,FALSE)</formula>
    </cfRule>
    <cfRule type="expression" dxfId="958" priority="1226">
      <formula>IF(AND($B124="",$C124=""),TRUE,FALSE)</formula>
    </cfRule>
  </conditionalFormatting>
  <conditionalFormatting sqref="F124:F125">
    <cfRule type="expression" dxfId="957" priority="1223">
      <formula>IF(AND($B124="",$C124="",LEN($A124)&lt;=2),TRUE,FALSE)</formula>
    </cfRule>
    <cfRule type="expression" dxfId="956" priority="1224">
      <formula>IF(AND($B124="",$C124=""),TRUE,FALSE)</formula>
    </cfRule>
  </conditionalFormatting>
  <conditionalFormatting sqref="D124:D125">
    <cfRule type="expression" dxfId="955" priority="1221">
      <formula>IF(AND($B124="",$C124="",LEN($A124)&lt;=2),TRUE,FALSE)</formula>
    </cfRule>
    <cfRule type="expression" dxfId="954" priority="1222">
      <formula>IF(AND($B124="",$C124=""),TRUE,FALSE)</formula>
    </cfRule>
  </conditionalFormatting>
  <conditionalFormatting sqref="D124:D125">
    <cfRule type="expression" dxfId="953" priority="1219">
      <formula>IF(AND($B124="",$C124="",LEN($A124)&lt;=2),TRUE,FALSE)</formula>
    </cfRule>
    <cfRule type="expression" dxfId="952" priority="1220">
      <formula>IF(AND($B124="",$C124=""),TRUE,FALSE)</formula>
    </cfRule>
  </conditionalFormatting>
  <conditionalFormatting sqref="G124:G125">
    <cfRule type="expression" dxfId="951" priority="1217">
      <formula>IF(AND($B124="",$C124="",LEN($A124)&lt;=2),TRUE,FALSE)</formula>
    </cfRule>
    <cfRule type="expression" dxfId="950" priority="1218">
      <formula>IF(AND($B124="",$C124=""),TRUE,FALSE)</formula>
    </cfRule>
  </conditionalFormatting>
  <conditionalFormatting sqref="E124:E125">
    <cfRule type="expression" dxfId="949" priority="1215">
      <formula>IF(AND($B124="",$C124="",LEN($A124)&lt;=2),TRUE,FALSE)</formula>
    </cfRule>
    <cfRule type="expression" dxfId="948" priority="1216">
      <formula>IF(AND($B124="",$C124=""),TRUE,FALSE)</formula>
    </cfRule>
  </conditionalFormatting>
  <conditionalFormatting sqref="B123:C123 H123:I123">
    <cfRule type="expression" dxfId="947" priority="1208">
      <formula>IF(AND($B123="",$C123="",LEN($A123)&lt;=2),TRUE,FALSE)</formula>
    </cfRule>
    <cfRule type="expression" dxfId="946" priority="1209">
      <formula>IF(AND($B123="",$C123=""),TRUE,FALSE)</formula>
    </cfRule>
  </conditionalFormatting>
  <conditionalFormatting sqref="C123">
    <cfRule type="expression" dxfId="945" priority="1210">
      <formula>IF((COUNTIF(#REF!,#REF!))&gt;1,TRUE,FALSE)</formula>
    </cfRule>
  </conditionalFormatting>
  <conditionalFormatting sqref="F123">
    <cfRule type="expression" dxfId="944" priority="1206">
      <formula>IF(AND($B123="",$C123="",LEN($A123)&lt;=2),TRUE,FALSE)</formula>
    </cfRule>
    <cfRule type="expression" dxfId="943" priority="1207">
      <formula>IF(AND($B123="",$C123=""),TRUE,FALSE)</formula>
    </cfRule>
  </conditionalFormatting>
  <conditionalFormatting sqref="D123">
    <cfRule type="expression" dxfId="942" priority="1204">
      <formula>IF(AND($B123="",$C123="",LEN($A123)&lt;=2),TRUE,FALSE)</formula>
    </cfRule>
    <cfRule type="expression" dxfId="941" priority="1205">
      <formula>IF(AND($B123="",$C123=""),TRUE,FALSE)</formula>
    </cfRule>
  </conditionalFormatting>
  <conditionalFormatting sqref="D123">
    <cfRule type="expression" dxfId="940" priority="1202">
      <formula>IF(AND($B123="",$C123="",LEN($A123)&lt;=2),TRUE,FALSE)</formula>
    </cfRule>
    <cfRule type="expression" dxfId="939" priority="1203">
      <formula>IF(AND($B123="",$C123=""),TRUE,FALSE)</formula>
    </cfRule>
  </conditionalFormatting>
  <conditionalFormatting sqref="G123">
    <cfRule type="expression" dxfId="938" priority="1200">
      <formula>IF(AND($B123="",$C123="",LEN($A123)&lt;=2),TRUE,FALSE)</formula>
    </cfRule>
    <cfRule type="expression" dxfId="937" priority="1201">
      <formula>IF(AND($B123="",$C123=""),TRUE,FALSE)</formula>
    </cfRule>
  </conditionalFormatting>
  <conditionalFormatting sqref="E123">
    <cfRule type="expression" dxfId="936" priority="1198">
      <formula>IF(AND($B123="",$C123="",LEN($A123)&lt;=2),TRUE,FALSE)</formula>
    </cfRule>
    <cfRule type="expression" dxfId="935" priority="1199">
      <formula>IF(AND($B123="",$C123=""),TRUE,FALSE)</formula>
    </cfRule>
  </conditionalFormatting>
  <conditionalFormatting sqref="B124:B132 B134:B136 B141 B145:B146 B149">
    <cfRule type="expression" dxfId="934" priority="1196">
      <formula>IF(AND($B124="",$C124="",LEN($A124)&lt;=2),TRUE,FALSE)</formula>
    </cfRule>
    <cfRule type="expression" dxfId="933" priority="1197">
      <formula>IF(AND($B124="",$C124=""),TRUE,FALSE)</formula>
    </cfRule>
  </conditionalFormatting>
  <conditionalFormatting sqref="C124:C125">
    <cfRule type="expression" dxfId="932" priority="1193">
      <formula>IF(AND($B124="",$C124="",LEN($A124)&lt;=2),TRUE,FALSE)</formula>
    </cfRule>
    <cfRule type="expression" dxfId="931" priority="1194">
      <formula>IF(AND($B124="",$C124=""),TRUE,FALSE)</formula>
    </cfRule>
  </conditionalFormatting>
  <conditionalFormatting sqref="C124:C125">
    <cfRule type="expression" dxfId="930" priority="1195">
      <formula>IF((COUNTIF(#REF!,#REF!))&gt;1,TRUE,FALSE)</formula>
    </cfRule>
  </conditionalFormatting>
  <conditionalFormatting sqref="C133 H133:I133">
    <cfRule type="expression" dxfId="929" priority="1185">
      <formula>IF(AND($B133="",$C133="",LEN($A133)&lt;=2),TRUE,FALSE)</formula>
    </cfRule>
    <cfRule type="expression" dxfId="928" priority="1186">
      <formula>IF(AND($B133="",$C133=""),TRUE,FALSE)</formula>
    </cfRule>
  </conditionalFormatting>
  <conditionalFormatting sqref="C133">
    <cfRule type="expression" dxfId="927" priority="1187">
      <formula>IF((COUNTIF(#REF!,#REF!))&gt;1,TRUE,FALSE)</formula>
    </cfRule>
  </conditionalFormatting>
  <conditionalFormatting sqref="F133">
    <cfRule type="expression" dxfId="926" priority="1183">
      <formula>IF(AND($B133="",$C133="",LEN($A133)&lt;=2),TRUE,FALSE)</formula>
    </cfRule>
    <cfRule type="expression" dxfId="925" priority="1184">
      <formula>IF(AND($B133="",$C133=""),TRUE,FALSE)</formula>
    </cfRule>
  </conditionalFormatting>
  <conditionalFormatting sqref="D133">
    <cfRule type="expression" dxfId="924" priority="1181">
      <formula>IF(AND($B133="",$C133="",LEN($A133)&lt;=2),TRUE,FALSE)</formula>
    </cfRule>
    <cfRule type="expression" dxfId="923" priority="1182">
      <formula>IF(AND($B133="",$C133=""),TRUE,FALSE)</formula>
    </cfRule>
  </conditionalFormatting>
  <conditionalFormatting sqref="D133">
    <cfRule type="expression" dxfId="922" priority="1179">
      <formula>IF(AND($B133="",$C133="",LEN($A133)&lt;=2),TRUE,FALSE)</formula>
    </cfRule>
    <cfRule type="expression" dxfId="921" priority="1180">
      <formula>IF(AND($B133="",$C133=""),TRUE,FALSE)</formula>
    </cfRule>
  </conditionalFormatting>
  <conditionalFormatting sqref="G133">
    <cfRule type="expression" dxfId="920" priority="1177">
      <formula>IF(AND($B133="",$C133="",LEN($A133)&lt;=2),TRUE,FALSE)</formula>
    </cfRule>
    <cfRule type="expression" dxfId="919" priority="1178">
      <formula>IF(AND($B133="",$C133=""),TRUE,FALSE)</formula>
    </cfRule>
  </conditionalFormatting>
  <conditionalFormatting sqref="E133">
    <cfRule type="expression" dxfId="918" priority="1175">
      <formula>IF(AND($B133="",$C133="",LEN($A133)&lt;=2),TRUE,FALSE)</formula>
    </cfRule>
    <cfRule type="expression" dxfId="917" priority="1176">
      <formula>IF(AND($B133="",$C133=""),TRUE,FALSE)</formula>
    </cfRule>
  </conditionalFormatting>
  <conditionalFormatting sqref="B133">
    <cfRule type="expression" dxfId="916" priority="1173">
      <formula>IF(AND($B133="",$C133="",LEN($A133)&lt;=2),TRUE,FALSE)</formula>
    </cfRule>
    <cfRule type="expression" dxfId="915" priority="1174">
      <formula>IF(AND($B133="",$C133=""),TRUE,FALSE)</formula>
    </cfRule>
  </conditionalFormatting>
  <conditionalFormatting sqref="C140 H140:I140">
    <cfRule type="expression" dxfId="914" priority="1165">
      <formula>IF(AND($B140="",$C140="",LEN($A140)&lt;=2),TRUE,FALSE)</formula>
    </cfRule>
    <cfRule type="expression" dxfId="913" priority="1166">
      <formula>IF(AND($B140="",$C140=""),TRUE,FALSE)</formula>
    </cfRule>
  </conditionalFormatting>
  <conditionalFormatting sqref="C140">
    <cfRule type="expression" dxfId="912" priority="1167">
      <formula>IF((COUNTIF(#REF!,#REF!))&gt;1,TRUE,FALSE)</formula>
    </cfRule>
  </conditionalFormatting>
  <conditionalFormatting sqref="F140">
    <cfRule type="expression" dxfId="911" priority="1163">
      <formula>IF(AND($B140="",$C140="",LEN($A140)&lt;=2),TRUE,FALSE)</formula>
    </cfRule>
    <cfRule type="expression" dxfId="910" priority="1164">
      <formula>IF(AND($B140="",$C140=""),TRUE,FALSE)</formula>
    </cfRule>
  </conditionalFormatting>
  <conditionalFormatting sqref="D140">
    <cfRule type="expression" dxfId="909" priority="1161">
      <formula>IF(AND($B140="",$C140="",LEN($A140)&lt;=2),TRUE,FALSE)</formula>
    </cfRule>
    <cfRule type="expression" dxfId="908" priority="1162">
      <formula>IF(AND($B140="",$C140=""),TRUE,FALSE)</formula>
    </cfRule>
  </conditionalFormatting>
  <conditionalFormatting sqref="D140">
    <cfRule type="expression" dxfId="907" priority="1159">
      <formula>IF(AND($B140="",$C140="",LEN($A140)&lt;=2),TRUE,FALSE)</formula>
    </cfRule>
    <cfRule type="expression" dxfId="906" priority="1160">
      <formula>IF(AND($B140="",$C140=""),TRUE,FALSE)</formula>
    </cfRule>
  </conditionalFormatting>
  <conditionalFormatting sqref="G140">
    <cfRule type="expression" dxfId="905" priority="1157">
      <formula>IF(AND($B140="",$C140="",LEN($A140)&lt;=2),TRUE,FALSE)</formula>
    </cfRule>
    <cfRule type="expression" dxfId="904" priority="1158">
      <formula>IF(AND($B140="",$C140=""),TRUE,FALSE)</formula>
    </cfRule>
  </conditionalFormatting>
  <conditionalFormatting sqref="E140">
    <cfRule type="expression" dxfId="903" priority="1155">
      <formula>IF(AND($B140="",$C140="",LEN($A140)&lt;=2),TRUE,FALSE)</formula>
    </cfRule>
    <cfRule type="expression" dxfId="902" priority="1156">
      <formula>IF(AND($B140="",$C140=""),TRUE,FALSE)</formula>
    </cfRule>
  </conditionalFormatting>
  <conditionalFormatting sqref="C139 H139:I139">
    <cfRule type="expression" dxfId="901" priority="1148">
      <formula>IF(AND($B139="",$C139="",LEN($A139)&lt;=2),TRUE,FALSE)</formula>
    </cfRule>
    <cfRule type="expression" dxfId="900" priority="1149">
      <formula>IF(AND($B139="",$C139=""),TRUE,FALSE)</formula>
    </cfRule>
  </conditionalFormatting>
  <conditionalFormatting sqref="C139">
    <cfRule type="expression" dxfId="899" priority="1150">
      <formula>IF((COUNTIF(#REF!,#REF!))&gt;1,TRUE,FALSE)</formula>
    </cfRule>
  </conditionalFormatting>
  <conditionalFormatting sqref="F139">
    <cfRule type="expression" dxfId="898" priority="1146">
      <formula>IF(AND($B139="",$C139="",LEN($A139)&lt;=2),TRUE,FALSE)</formula>
    </cfRule>
    <cfRule type="expression" dxfId="897" priority="1147">
      <formula>IF(AND($B139="",$C139=""),TRUE,FALSE)</formula>
    </cfRule>
  </conditionalFormatting>
  <conditionalFormatting sqref="D139">
    <cfRule type="expression" dxfId="896" priority="1144">
      <formula>IF(AND($B139="",$C139="",LEN($A139)&lt;=2),TRUE,FALSE)</formula>
    </cfRule>
    <cfRule type="expression" dxfId="895" priority="1145">
      <formula>IF(AND($B139="",$C139=""),TRUE,FALSE)</formula>
    </cfRule>
  </conditionalFormatting>
  <conditionalFormatting sqref="D139">
    <cfRule type="expression" dxfId="894" priority="1142">
      <formula>IF(AND($B139="",$C139="",LEN($A139)&lt;=2),TRUE,FALSE)</formula>
    </cfRule>
    <cfRule type="expression" dxfId="893" priority="1143">
      <formula>IF(AND($B139="",$C139=""),TRUE,FALSE)</formula>
    </cfRule>
  </conditionalFormatting>
  <conditionalFormatting sqref="G139">
    <cfRule type="expression" dxfId="892" priority="1140">
      <formula>IF(AND($B139="",$C139="",LEN($A139)&lt;=2),TRUE,FALSE)</formula>
    </cfRule>
    <cfRule type="expression" dxfId="891" priority="1141">
      <formula>IF(AND($B139="",$C139=""),TRUE,FALSE)</formula>
    </cfRule>
  </conditionalFormatting>
  <conditionalFormatting sqref="E139">
    <cfRule type="expression" dxfId="890" priority="1138">
      <formula>IF(AND($B139="",$C139="",LEN($A139)&lt;=2),TRUE,FALSE)</formula>
    </cfRule>
    <cfRule type="expression" dxfId="889" priority="1139">
      <formula>IF(AND($B139="",$C139=""),TRUE,FALSE)</formula>
    </cfRule>
  </conditionalFormatting>
  <conditionalFormatting sqref="C138 H138:I138">
    <cfRule type="expression" dxfId="888" priority="1131">
      <formula>IF(AND($B138="",$C138="",LEN($A138)&lt;=2),TRUE,FALSE)</formula>
    </cfRule>
    <cfRule type="expression" dxfId="887" priority="1132">
      <formula>IF(AND($B138="",$C138=""),TRUE,FALSE)</formula>
    </cfRule>
  </conditionalFormatting>
  <conditionalFormatting sqref="C138">
    <cfRule type="expression" dxfId="886" priority="1133">
      <formula>IF((COUNTIF(#REF!,#REF!))&gt;1,TRUE,FALSE)</formula>
    </cfRule>
  </conditionalFormatting>
  <conditionalFormatting sqref="F138">
    <cfRule type="expression" dxfId="885" priority="1129">
      <formula>IF(AND($B138="",$C138="",LEN($A138)&lt;=2),TRUE,FALSE)</formula>
    </cfRule>
    <cfRule type="expression" dxfId="884" priority="1130">
      <formula>IF(AND($B138="",$C138=""),TRUE,FALSE)</formula>
    </cfRule>
  </conditionalFormatting>
  <conditionalFormatting sqref="D138">
    <cfRule type="expression" dxfId="883" priority="1127">
      <formula>IF(AND($B138="",$C138="",LEN($A138)&lt;=2),TRUE,FALSE)</formula>
    </cfRule>
    <cfRule type="expression" dxfId="882" priority="1128">
      <formula>IF(AND($B138="",$C138=""),TRUE,FALSE)</formula>
    </cfRule>
  </conditionalFormatting>
  <conditionalFormatting sqref="D138">
    <cfRule type="expression" dxfId="881" priority="1125">
      <formula>IF(AND($B138="",$C138="",LEN($A138)&lt;=2),TRUE,FALSE)</formula>
    </cfRule>
    <cfRule type="expression" dxfId="880" priority="1126">
      <formula>IF(AND($B138="",$C138=""),TRUE,FALSE)</formula>
    </cfRule>
  </conditionalFormatting>
  <conditionalFormatting sqref="G138">
    <cfRule type="expression" dxfId="879" priority="1123">
      <formula>IF(AND($B138="",$C138="",LEN($A138)&lt;=2),TRUE,FALSE)</formula>
    </cfRule>
    <cfRule type="expression" dxfId="878" priority="1124">
      <formula>IF(AND($B138="",$C138=""),TRUE,FALSE)</formula>
    </cfRule>
  </conditionalFormatting>
  <conditionalFormatting sqref="E138">
    <cfRule type="expression" dxfId="877" priority="1121">
      <formula>IF(AND($B138="",$C138="",LEN($A138)&lt;=2),TRUE,FALSE)</formula>
    </cfRule>
    <cfRule type="expression" dxfId="876" priority="1122">
      <formula>IF(AND($B138="",$C138=""),TRUE,FALSE)</formula>
    </cfRule>
  </conditionalFormatting>
  <conditionalFormatting sqref="C137 H137:I137">
    <cfRule type="expression" dxfId="875" priority="1114">
      <formula>IF(AND($B137="",$C137="",LEN($A137)&lt;=2),TRUE,FALSE)</formula>
    </cfRule>
    <cfRule type="expression" dxfId="874" priority="1115">
      <formula>IF(AND($B137="",$C137=""),TRUE,FALSE)</formula>
    </cfRule>
  </conditionalFormatting>
  <conditionalFormatting sqref="C137">
    <cfRule type="expression" dxfId="873" priority="1116">
      <formula>IF((COUNTIF(#REF!,#REF!))&gt;1,TRUE,FALSE)</formula>
    </cfRule>
  </conditionalFormatting>
  <conditionalFormatting sqref="F137">
    <cfRule type="expression" dxfId="872" priority="1112">
      <formula>IF(AND($B137="",$C137="",LEN($A137)&lt;=2),TRUE,FALSE)</formula>
    </cfRule>
    <cfRule type="expression" dxfId="871" priority="1113">
      <formula>IF(AND($B137="",$C137=""),TRUE,FALSE)</formula>
    </cfRule>
  </conditionalFormatting>
  <conditionalFormatting sqref="D137">
    <cfRule type="expression" dxfId="870" priority="1110">
      <formula>IF(AND($B137="",$C137="",LEN($A137)&lt;=2),TRUE,FALSE)</formula>
    </cfRule>
    <cfRule type="expression" dxfId="869" priority="1111">
      <formula>IF(AND($B137="",$C137=""),TRUE,FALSE)</formula>
    </cfRule>
  </conditionalFormatting>
  <conditionalFormatting sqref="D137">
    <cfRule type="expression" dxfId="868" priority="1108">
      <formula>IF(AND($B137="",$C137="",LEN($A137)&lt;=2),TRUE,FALSE)</formula>
    </cfRule>
    <cfRule type="expression" dxfId="867" priority="1109">
      <formula>IF(AND($B137="",$C137=""),TRUE,FALSE)</formula>
    </cfRule>
  </conditionalFormatting>
  <conditionalFormatting sqref="G137">
    <cfRule type="expression" dxfId="866" priority="1106">
      <formula>IF(AND($B137="",$C137="",LEN($A137)&lt;=2),TRUE,FALSE)</formula>
    </cfRule>
    <cfRule type="expression" dxfId="865" priority="1107">
      <formula>IF(AND($B137="",$C137=""),TRUE,FALSE)</formula>
    </cfRule>
  </conditionalFormatting>
  <conditionalFormatting sqref="E137">
    <cfRule type="expression" dxfId="864" priority="1104">
      <formula>IF(AND($B137="",$C137="",LEN($A137)&lt;=2),TRUE,FALSE)</formula>
    </cfRule>
    <cfRule type="expression" dxfId="863" priority="1105">
      <formula>IF(AND($B137="",$C137=""),TRUE,FALSE)</formula>
    </cfRule>
  </conditionalFormatting>
  <conditionalFormatting sqref="B137:B140">
    <cfRule type="expression" dxfId="862" priority="1102">
      <formula>IF(AND($B137="",$C137="",LEN($A137)&lt;=2),TRUE,FALSE)</formula>
    </cfRule>
    <cfRule type="expression" dxfId="861" priority="1103">
      <formula>IF(AND($B137="",$C137=""),TRUE,FALSE)</formula>
    </cfRule>
  </conditionalFormatting>
  <conditionalFormatting sqref="C144 H144:I144">
    <cfRule type="expression" dxfId="860" priority="1094">
      <formula>IF(AND($B144="",$C144="",LEN($A144)&lt;=2),TRUE,FALSE)</formula>
    </cfRule>
    <cfRule type="expression" dxfId="859" priority="1095">
      <formula>IF(AND($B144="",$C144=""),TRUE,FALSE)</formula>
    </cfRule>
  </conditionalFormatting>
  <conditionalFormatting sqref="C144">
    <cfRule type="expression" dxfId="858" priority="1096">
      <formula>IF((COUNTIF(#REF!,#REF!))&gt;1,TRUE,FALSE)</formula>
    </cfRule>
  </conditionalFormatting>
  <conditionalFormatting sqref="F144">
    <cfRule type="expression" dxfId="857" priority="1092">
      <formula>IF(AND($B144="",$C144="",LEN($A144)&lt;=2),TRUE,FALSE)</formula>
    </cfRule>
    <cfRule type="expression" dxfId="856" priority="1093">
      <formula>IF(AND($B144="",$C144=""),TRUE,FALSE)</formula>
    </cfRule>
  </conditionalFormatting>
  <conditionalFormatting sqref="D144">
    <cfRule type="expression" dxfId="855" priority="1090">
      <formula>IF(AND($B144="",$C144="",LEN($A144)&lt;=2),TRUE,FALSE)</formula>
    </cfRule>
    <cfRule type="expression" dxfId="854" priority="1091">
      <formula>IF(AND($B144="",$C144=""),TRUE,FALSE)</formula>
    </cfRule>
  </conditionalFormatting>
  <conditionalFormatting sqref="D144">
    <cfRule type="expression" dxfId="853" priority="1088">
      <formula>IF(AND($B144="",$C144="",LEN($A144)&lt;=2),TRUE,FALSE)</formula>
    </cfRule>
    <cfRule type="expression" dxfId="852" priority="1089">
      <formula>IF(AND($B144="",$C144=""),TRUE,FALSE)</formula>
    </cfRule>
  </conditionalFormatting>
  <conditionalFormatting sqref="G144">
    <cfRule type="expression" dxfId="851" priority="1086">
      <formula>IF(AND($B144="",$C144="",LEN($A144)&lt;=2),TRUE,FALSE)</formula>
    </cfRule>
    <cfRule type="expression" dxfId="850" priority="1087">
      <formula>IF(AND($B144="",$C144=""),TRUE,FALSE)</formula>
    </cfRule>
  </conditionalFormatting>
  <conditionalFormatting sqref="E144">
    <cfRule type="expression" dxfId="849" priority="1084">
      <formula>IF(AND($B144="",$C144="",LEN($A144)&lt;=2),TRUE,FALSE)</formula>
    </cfRule>
    <cfRule type="expression" dxfId="848" priority="1085">
      <formula>IF(AND($B144="",$C144=""),TRUE,FALSE)</formula>
    </cfRule>
  </conditionalFormatting>
  <conditionalFormatting sqref="C143 H143:I143">
    <cfRule type="expression" dxfId="847" priority="1077">
      <formula>IF(AND($B143="",$C143="",LEN($A143)&lt;=2),TRUE,FALSE)</formula>
    </cfRule>
    <cfRule type="expression" dxfId="846" priority="1078">
      <formula>IF(AND($B143="",$C143=""),TRUE,FALSE)</formula>
    </cfRule>
  </conditionalFormatting>
  <conditionalFormatting sqref="C143">
    <cfRule type="expression" dxfId="845" priority="1079">
      <formula>IF((COUNTIF(#REF!,#REF!))&gt;1,TRUE,FALSE)</formula>
    </cfRule>
  </conditionalFormatting>
  <conditionalFormatting sqref="F143">
    <cfRule type="expression" dxfId="844" priority="1075">
      <formula>IF(AND($B143="",$C143="",LEN($A143)&lt;=2),TRUE,FALSE)</formula>
    </cfRule>
    <cfRule type="expression" dxfId="843" priority="1076">
      <formula>IF(AND($B143="",$C143=""),TRUE,FALSE)</formula>
    </cfRule>
  </conditionalFormatting>
  <conditionalFormatting sqref="D143">
    <cfRule type="expression" dxfId="842" priority="1073">
      <formula>IF(AND($B143="",$C143="",LEN($A143)&lt;=2),TRUE,FALSE)</formula>
    </cfRule>
    <cfRule type="expression" dxfId="841" priority="1074">
      <formula>IF(AND($B143="",$C143=""),TRUE,FALSE)</formula>
    </cfRule>
  </conditionalFormatting>
  <conditionalFormatting sqref="D143">
    <cfRule type="expression" dxfId="840" priority="1071">
      <formula>IF(AND($B143="",$C143="",LEN($A143)&lt;=2),TRUE,FALSE)</formula>
    </cfRule>
    <cfRule type="expression" dxfId="839" priority="1072">
      <formula>IF(AND($B143="",$C143=""),TRUE,FALSE)</formula>
    </cfRule>
  </conditionalFormatting>
  <conditionalFormatting sqref="G143">
    <cfRule type="expression" dxfId="838" priority="1069">
      <formula>IF(AND($B143="",$C143="",LEN($A143)&lt;=2),TRUE,FALSE)</formula>
    </cfRule>
    <cfRule type="expression" dxfId="837" priority="1070">
      <formula>IF(AND($B143="",$C143=""),TRUE,FALSE)</formula>
    </cfRule>
  </conditionalFormatting>
  <conditionalFormatting sqref="E143">
    <cfRule type="expression" dxfId="836" priority="1067">
      <formula>IF(AND($B143="",$C143="",LEN($A143)&lt;=2),TRUE,FALSE)</formula>
    </cfRule>
    <cfRule type="expression" dxfId="835" priority="1068">
      <formula>IF(AND($B143="",$C143=""),TRUE,FALSE)</formula>
    </cfRule>
  </conditionalFormatting>
  <conditionalFormatting sqref="C142 H142:I142">
    <cfRule type="expression" dxfId="834" priority="1060">
      <formula>IF(AND($B142="",$C142="",LEN($A142)&lt;=2),TRUE,FALSE)</formula>
    </cfRule>
    <cfRule type="expression" dxfId="833" priority="1061">
      <formula>IF(AND($B142="",$C142=""),TRUE,FALSE)</formula>
    </cfRule>
  </conditionalFormatting>
  <conditionalFormatting sqref="C142">
    <cfRule type="expression" dxfId="832" priority="1062">
      <formula>IF((COUNTIF(#REF!,#REF!))&gt;1,TRUE,FALSE)</formula>
    </cfRule>
  </conditionalFormatting>
  <conditionalFormatting sqref="F142">
    <cfRule type="expression" dxfId="831" priority="1058">
      <formula>IF(AND($B142="",$C142="",LEN($A142)&lt;=2),TRUE,FALSE)</formula>
    </cfRule>
    <cfRule type="expression" dxfId="830" priority="1059">
      <formula>IF(AND($B142="",$C142=""),TRUE,FALSE)</formula>
    </cfRule>
  </conditionalFormatting>
  <conditionalFormatting sqref="D142">
    <cfRule type="expression" dxfId="829" priority="1056">
      <formula>IF(AND($B142="",$C142="",LEN($A142)&lt;=2),TRUE,FALSE)</formula>
    </cfRule>
    <cfRule type="expression" dxfId="828" priority="1057">
      <formula>IF(AND($B142="",$C142=""),TRUE,FALSE)</formula>
    </cfRule>
  </conditionalFormatting>
  <conditionalFormatting sqref="D142">
    <cfRule type="expression" dxfId="827" priority="1054">
      <formula>IF(AND($B142="",$C142="",LEN($A142)&lt;=2),TRUE,FALSE)</formula>
    </cfRule>
    <cfRule type="expression" dxfId="826" priority="1055">
      <formula>IF(AND($B142="",$C142=""),TRUE,FALSE)</formula>
    </cfRule>
  </conditionalFormatting>
  <conditionalFormatting sqref="G142">
    <cfRule type="expression" dxfId="825" priority="1052">
      <formula>IF(AND($B142="",$C142="",LEN($A142)&lt;=2),TRUE,FALSE)</formula>
    </cfRule>
    <cfRule type="expression" dxfId="824" priority="1053">
      <formula>IF(AND($B142="",$C142=""),TRUE,FALSE)</formula>
    </cfRule>
  </conditionalFormatting>
  <conditionalFormatting sqref="E142">
    <cfRule type="expression" dxfId="823" priority="1050">
      <formula>IF(AND($B142="",$C142="",LEN($A142)&lt;=2),TRUE,FALSE)</formula>
    </cfRule>
    <cfRule type="expression" dxfId="822" priority="1051">
      <formula>IF(AND($B142="",$C142=""),TRUE,FALSE)</formula>
    </cfRule>
  </conditionalFormatting>
  <conditionalFormatting sqref="B142:B144">
    <cfRule type="expression" dxfId="821" priority="1048">
      <formula>IF(AND($B142="",$C142="",LEN($A142)&lt;=2),TRUE,FALSE)</formula>
    </cfRule>
    <cfRule type="expression" dxfId="820" priority="1049">
      <formula>IF(AND($B142="",$C142=""),TRUE,FALSE)</formula>
    </cfRule>
  </conditionalFormatting>
  <conditionalFormatting sqref="C148 H148:I148">
    <cfRule type="expression" dxfId="819" priority="1040">
      <formula>IF(AND($B148="",$C148="",LEN($A148)&lt;=2),TRUE,FALSE)</formula>
    </cfRule>
    <cfRule type="expression" dxfId="818" priority="1041">
      <formula>IF(AND($B148="",$C148=""),TRUE,FALSE)</formula>
    </cfRule>
  </conditionalFormatting>
  <conditionalFormatting sqref="C148">
    <cfRule type="expression" dxfId="817" priority="1042">
      <formula>IF((COUNTIF(#REF!,#REF!))&gt;1,TRUE,FALSE)</formula>
    </cfRule>
  </conditionalFormatting>
  <conditionalFormatting sqref="F148">
    <cfRule type="expression" dxfId="816" priority="1038">
      <formula>IF(AND($B148="",$C148="",LEN($A148)&lt;=2),TRUE,FALSE)</formula>
    </cfRule>
    <cfRule type="expression" dxfId="815" priority="1039">
      <formula>IF(AND($B148="",$C148=""),TRUE,FALSE)</formula>
    </cfRule>
  </conditionalFormatting>
  <conditionalFormatting sqref="D148">
    <cfRule type="expression" dxfId="814" priority="1036">
      <formula>IF(AND($B148="",$C148="",LEN($A148)&lt;=2),TRUE,FALSE)</formula>
    </cfRule>
    <cfRule type="expression" dxfId="813" priority="1037">
      <formula>IF(AND($B148="",$C148=""),TRUE,FALSE)</formula>
    </cfRule>
  </conditionalFormatting>
  <conditionalFormatting sqref="D148">
    <cfRule type="expression" dxfId="812" priority="1034">
      <formula>IF(AND($B148="",$C148="",LEN($A148)&lt;=2),TRUE,FALSE)</formula>
    </cfRule>
    <cfRule type="expression" dxfId="811" priority="1035">
      <formula>IF(AND($B148="",$C148=""),TRUE,FALSE)</formula>
    </cfRule>
  </conditionalFormatting>
  <conditionalFormatting sqref="G148">
    <cfRule type="expression" dxfId="810" priority="1032">
      <formula>IF(AND($B148="",$C148="",LEN($A148)&lt;=2),TRUE,FALSE)</formula>
    </cfRule>
    <cfRule type="expression" dxfId="809" priority="1033">
      <formula>IF(AND($B148="",$C148=""),TRUE,FALSE)</formula>
    </cfRule>
  </conditionalFormatting>
  <conditionalFormatting sqref="E148">
    <cfRule type="expression" dxfId="808" priority="1030">
      <formula>IF(AND($B148="",$C148="",LEN($A148)&lt;=2),TRUE,FALSE)</formula>
    </cfRule>
    <cfRule type="expression" dxfId="807" priority="1031">
      <formula>IF(AND($B148="",$C148=""),TRUE,FALSE)</formula>
    </cfRule>
  </conditionalFormatting>
  <conditionalFormatting sqref="B148">
    <cfRule type="expression" dxfId="806" priority="1028">
      <formula>IF(AND($B148="",$C148="",LEN($A148)&lt;=2),TRUE,FALSE)</formula>
    </cfRule>
    <cfRule type="expression" dxfId="805" priority="1029">
      <formula>IF(AND($B148="",$C148=""),TRUE,FALSE)</formula>
    </cfRule>
  </conditionalFormatting>
  <conditionalFormatting sqref="C147 H147:I147">
    <cfRule type="expression" dxfId="804" priority="1020">
      <formula>IF(AND($B147="",$C147="",LEN($A147)&lt;=2),TRUE,FALSE)</formula>
    </cfRule>
    <cfRule type="expression" dxfId="803" priority="1021">
      <formula>IF(AND($B147="",$C147=""),TRUE,FALSE)</formula>
    </cfRule>
  </conditionalFormatting>
  <conditionalFormatting sqref="C147">
    <cfRule type="expression" dxfId="802" priority="1022">
      <formula>IF((COUNTIF(#REF!,#REF!))&gt;1,TRUE,FALSE)</formula>
    </cfRule>
  </conditionalFormatting>
  <conditionalFormatting sqref="F147">
    <cfRule type="expression" dxfId="801" priority="1018">
      <formula>IF(AND($B147="",$C147="",LEN($A147)&lt;=2),TRUE,FALSE)</formula>
    </cfRule>
    <cfRule type="expression" dxfId="800" priority="1019">
      <formula>IF(AND($B147="",$C147=""),TRUE,FALSE)</formula>
    </cfRule>
  </conditionalFormatting>
  <conditionalFormatting sqref="D147">
    <cfRule type="expression" dxfId="799" priority="1016">
      <formula>IF(AND($B147="",$C147="",LEN($A147)&lt;=2),TRUE,FALSE)</formula>
    </cfRule>
    <cfRule type="expression" dxfId="798" priority="1017">
      <formula>IF(AND($B147="",$C147=""),TRUE,FALSE)</formula>
    </cfRule>
  </conditionalFormatting>
  <conditionalFormatting sqref="D147">
    <cfRule type="expression" dxfId="797" priority="1014">
      <formula>IF(AND($B147="",$C147="",LEN($A147)&lt;=2),TRUE,FALSE)</formula>
    </cfRule>
    <cfRule type="expression" dxfId="796" priority="1015">
      <formula>IF(AND($B147="",$C147=""),TRUE,FALSE)</formula>
    </cfRule>
  </conditionalFormatting>
  <conditionalFormatting sqref="G147">
    <cfRule type="expression" dxfId="795" priority="1012">
      <formula>IF(AND($B147="",$C147="",LEN($A147)&lt;=2),TRUE,FALSE)</formula>
    </cfRule>
    <cfRule type="expression" dxfId="794" priority="1013">
      <formula>IF(AND($B147="",$C147=""),TRUE,FALSE)</formula>
    </cfRule>
  </conditionalFormatting>
  <conditionalFormatting sqref="E147">
    <cfRule type="expression" dxfId="793" priority="1010">
      <formula>IF(AND($B147="",$C147="",LEN($A147)&lt;=2),TRUE,FALSE)</formula>
    </cfRule>
    <cfRule type="expression" dxfId="792" priority="1011">
      <formula>IF(AND($B147="",$C147=""),TRUE,FALSE)</formula>
    </cfRule>
  </conditionalFormatting>
  <conditionalFormatting sqref="B147">
    <cfRule type="expression" dxfId="791" priority="1008">
      <formula>IF(AND($B147="",$C147="",LEN($A147)&lt;=2),TRUE,FALSE)</formula>
    </cfRule>
    <cfRule type="expression" dxfId="790" priority="1009">
      <formula>IF(AND($B147="",$C147=""),TRUE,FALSE)</formula>
    </cfRule>
  </conditionalFormatting>
  <conditionalFormatting sqref="G150">
    <cfRule type="expression" dxfId="789" priority="1007">
      <formula>IF((SUMIF(#REF!,#REF!,G:G)/COUNTIF(#REF!,#REF!))&lt;&gt;G150,TRUE,FALSE)</formula>
    </cfRule>
  </conditionalFormatting>
  <conditionalFormatting sqref="C150 H150:I150">
    <cfRule type="expression" dxfId="788" priority="1000">
      <formula>IF(AND($B150="",$C150="",LEN($A150)&lt;=2),TRUE,FALSE)</formula>
    </cfRule>
    <cfRule type="expression" dxfId="787" priority="1001">
      <formula>IF(AND($B150="",$C150=""),TRUE,FALSE)</formula>
    </cfRule>
  </conditionalFormatting>
  <conditionalFormatting sqref="C150">
    <cfRule type="expression" dxfId="786" priority="1002">
      <formula>IF((COUNTIF(#REF!,#REF!))&gt;1,TRUE,FALSE)</formula>
    </cfRule>
  </conditionalFormatting>
  <conditionalFormatting sqref="F150">
    <cfRule type="expression" dxfId="785" priority="998">
      <formula>IF(AND($B150="",$C150="",LEN($A150)&lt;=2),TRUE,FALSE)</formula>
    </cfRule>
    <cfRule type="expression" dxfId="784" priority="999">
      <formula>IF(AND($B150="",$C150=""),TRUE,FALSE)</formula>
    </cfRule>
  </conditionalFormatting>
  <conditionalFormatting sqref="D150">
    <cfRule type="expression" dxfId="783" priority="996">
      <formula>IF(AND($B150="",$C150="",LEN($A150)&lt;=2),TRUE,FALSE)</formula>
    </cfRule>
    <cfRule type="expression" dxfId="782" priority="997">
      <formula>IF(AND($B150="",$C150=""),TRUE,FALSE)</formula>
    </cfRule>
  </conditionalFormatting>
  <conditionalFormatting sqref="D150">
    <cfRule type="expression" dxfId="781" priority="994">
      <formula>IF(AND($B150="",$C150="",LEN($A150)&lt;=2),TRUE,FALSE)</formula>
    </cfRule>
    <cfRule type="expression" dxfId="780" priority="995">
      <formula>IF(AND($B150="",$C150=""),TRUE,FALSE)</formula>
    </cfRule>
  </conditionalFormatting>
  <conditionalFormatting sqref="G150">
    <cfRule type="expression" dxfId="779" priority="992">
      <formula>IF(AND($B150="",$C150="",LEN($A150)&lt;=2),TRUE,FALSE)</formula>
    </cfRule>
    <cfRule type="expression" dxfId="778" priority="993">
      <formula>IF(AND($B150="",$C150=""),TRUE,FALSE)</formula>
    </cfRule>
  </conditionalFormatting>
  <conditionalFormatting sqref="E150">
    <cfRule type="expression" dxfId="777" priority="990">
      <formula>IF(AND($B150="",$C150="",LEN($A150)&lt;=2),TRUE,FALSE)</formula>
    </cfRule>
    <cfRule type="expression" dxfId="776" priority="991">
      <formula>IF(AND($B150="",$C150=""),TRUE,FALSE)</formula>
    </cfRule>
  </conditionalFormatting>
  <conditionalFormatting sqref="B150">
    <cfRule type="expression" dxfId="775" priority="988">
      <formula>IF(AND($B150="",$C150="",LEN($A150)&lt;=2),TRUE,FALSE)</formula>
    </cfRule>
    <cfRule type="expression" dxfId="774" priority="989">
      <formula>IF(AND($B150="",$C150=""),TRUE,FALSE)</formula>
    </cfRule>
  </conditionalFormatting>
  <conditionalFormatting sqref="A212 A214">
    <cfRule type="expression" dxfId="773" priority="977">
      <formula>IF(AND($B212="",$C212="",LEN($A212)&lt;=2),TRUE,FALSE)</formula>
    </cfRule>
    <cfRule type="expression" dxfId="772" priority="978">
      <formula>IF(AND($B212="",$C212=""),TRUE,FALSE)</formula>
    </cfRule>
  </conditionalFormatting>
  <conditionalFormatting sqref="A212 A214">
    <cfRule type="expression" dxfId="771" priority="975">
      <formula>IF(AND($B212="",$C212="",LEN($A212)&lt;=2),TRUE,FALSE)</formula>
    </cfRule>
    <cfRule type="expression" dxfId="770" priority="976">
      <formula>IF(AND($B212="",$C212=""),TRUE,FALSE)</formula>
    </cfRule>
  </conditionalFormatting>
  <conditionalFormatting sqref="C212 H212:I212">
    <cfRule type="expression" dxfId="769" priority="972">
      <formula>IF(AND($B212="",$C212="",LEN($A212)&lt;=2),TRUE,FALSE)</formula>
    </cfRule>
    <cfRule type="expression" dxfId="768" priority="973">
      <formula>IF(AND($B212="",$C212=""),TRUE,FALSE)</formula>
    </cfRule>
  </conditionalFormatting>
  <conditionalFormatting sqref="C212">
    <cfRule type="expression" dxfId="767" priority="974">
      <formula>IF((COUNTIF(#REF!,#REF!))&gt;1,TRUE,FALSE)</formula>
    </cfRule>
  </conditionalFormatting>
  <conditionalFormatting sqref="F212">
    <cfRule type="expression" dxfId="766" priority="970">
      <formula>IF(AND($B212="",$C212="",LEN($A212)&lt;=2),TRUE,FALSE)</formula>
    </cfRule>
    <cfRule type="expression" dxfId="765" priority="971">
      <formula>IF(AND($B212="",$C212=""),TRUE,FALSE)</formula>
    </cfRule>
  </conditionalFormatting>
  <conditionalFormatting sqref="D212">
    <cfRule type="expression" dxfId="764" priority="968">
      <formula>IF(AND($B212="",$C212="",LEN($A212)&lt;=2),TRUE,FALSE)</formula>
    </cfRule>
    <cfRule type="expression" dxfId="763" priority="969">
      <formula>IF(AND($B212="",$C212=""),TRUE,FALSE)</formula>
    </cfRule>
  </conditionalFormatting>
  <conditionalFormatting sqref="D212">
    <cfRule type="expression" dxfId="762" priority="966">
      <formula>IF(AND($B212="",$C212="",LEN($A212)&lt;=2),TRUE,FALSE)</formula>
    </cfRule>
    <cfRule type="expression" dxfId="761" priority="967">
      <formula>IF(AND($B212="",$C212=""),TRUE,FALSE)</formula>
    </cfRule>
  </conditionalFormatting>
  <conditionalFormatting sqref="G212">
    <cfRule type="expression" dxfId="760" priority="964">
      <formula>IF(AND($B212="",$C212="",LEN($A212)&lt;=2),TRUE,FALSE)</formula>
    </cfRule>
    <cfRule type="expression" dxfId="759" priority="965">
      <formula>IF(AND($B212="",$C212=""),TRUE,FALSE)</formula>
    </cfRule>
  </conditionalFormatting>
  <conditionalFormatting sqref="E212">
    <cfRule type="expression" dxfId="758" priority="962">
      <formula>IF(AND($B212="",$C212="",LEN($A212)&lt;=2),TRUE,FALSE)</formula>
    </cfRule>
    <cfRule type="expression" dxfId="757" priority="963">
      <formula>IF(AND($B212="",$C212=""),TRUE,FALSE)</formula>
    </cfRule>
  </conditionalFormatting>
  <conditionalFormatting sqref="B212">
    <cfRule type="expression" dxfId="756" priority="960">
      <formula>IF(AND($B212="",$C212="",LEN($A212)&lt;=2),TRUE,FALSE)</formula>
    </cfRule>
    <cfRule type="expression" dxfId="755" priority="961">
      <formula>IF(AND($B212="",$C212=""),TRUE,FALSE)</formula>
    </cfRule>
  </conditionalFormatting>
  <conditionalFormatting sqref="C152 H152:I152">
    <cfRule type="expression" dxfId="754" priority="956">
      <formula>IF(AND($B152="",$C152="",LEN($A152)&lt;=2),TRUE,FALSE)</formula>
    </cfRule>
    <cfRule type="expression" dxfId="753" priority="957">
      <formula>IF(AND($B152="",$C152=""),TRUE,FALSE)</formula>
    </cfRule>
  </conditionalFormatting>
  <conditionalFormatting sqref="C152">
    <cfRule type="expression" dxfId="752" priority="958">
      <formula>IF((COUNTIF(#REF!,#REF!))&gt;1,TRUE,FALSE)</formula>
    </cfRule>
  </conditionalFormatting>
  <conditionalFormatting sqref="F152">
    <cfRule type="expression" dxfId="751" priority="954">
      <formula>IF(AND($B152="",$C152="",LEN($A152)&lt;=2),TRUE,FALSE)</formula>
    </cfRule>
    <cfRule type="expression" dxfId="750" priority="955">
      <formula>IF(AND($B152="",$C152=""),TRUE,FALSE)</formula>
    </cfRule>
  </conditionalFormatting>
  <conditionalFormatting sqref="D152">
    <cfRule type="expression" dxfId="749" priority="952">
      <formula>IF(AND($B152="",$C152="",LEN($A152)&lt;=2),TRUE,FALSE)</formula>
    </cfRule>
    <cfRule type="expression" dxfId="748" priority="953">
      <formula>IF(AND($B152="",$C152=""),TRUE,FALSE)</formula>
    </cfRule>
  </conditionalFormatting>
  <conditionalFormatting sqref="D152">
    <cfRule type="expression" dxfId="747" priority="950">
      <formula>IF(AND($B152="",$C152="",LEN($A152)&lt;=2),TRUE,FALSE)</formula>
    </cfRule>
    <cfRule type="expression" dxfId="746" priority="951">
      <formula>IF(AND($B152="",$C152=""),TRUE,FALSE)</formula>
    </cfRule>
  </conditionalFormatting>
  <conditionalFormatting sqref="G152">
    <cfRule type="expression" dxfId="745" priority="948">
      <formula>IF(AND($B152="",$C152="",LEN($A152)&lt;=2),TRUE,FALSE)</formula>
    </cfRule>
    <cfRule type="expression" dxfId="744" priority="949">
      <formula>IF(AND($B152="",$C152=""),TRUE,FALSE)</formula>
    </cfRule>
  </conditionalFormatting>
  <conditionalFormatting sqref="E152">
    <cfRule type="expression" dxfId="743" priority="946">
      <formula>IF(AND($B152="",$C152="",LEN($A152)&lt;=2),TRUE,FALSE)</formula>
    </cfRule>
    <cfRule type="expression" dxfId="742" priority="947">
      <formula>IF(AND($B152="",$C152=""),TRUE,FALSE)</formula>
    </cfRule>
  </conditionalFormatting>
  <conditionalFormatting sqref="B152">
    <cfRule type="expression" dxfId="741" priority="944">
      <formula>IF(AND($B152="",$C152="",LEN($A152)&lt;=2),TRUE,FALSE)</formula>
    </cfRule>
    <cfRule type="expression" dxfId="740" priority="945">
      <formula>IF(AND($B152="",$C152=""),TRUE,FALSE)</formula>
    </cfRule>
  </conditionalFormatting>
  <conditionalFormatting sqref="A152">
    <cfRule type="expression" dxfId="739" priority="942">
      <formula>IF(AND($B152="",$C152="",LEN($A152)&lt;=2),TRUE,FALSE)</formula>
    </cfRule>
    <cfRule type="expression" dxfId="738" priority="943">
      <formula>IF(AND($B152="",$C152=""),TRUE,FALSE)</formula>
    </cfRule>
  </conditionalFormatting>
  <conditionalFormatting sqref="A152">
    <cfRule type="expression" dxfId="737" priority="940">
      <formula>IF(AND($B152="",$C152="",LEN($A152)&lt;=2),TRUE,FALSE)</formula>
    </cfRule>
    <cfRule type="expression" dxfId="736" priority="941">
      <formula>IF(AND($B152="",$C152=""),TRUE,FALSE)</formula>
    </cfRule>
  </conditionalFormatting>
  <conditionalFormatting sqref="C153 H153:I153">
    <cfRule type="expression" dxfId="735" priority="936">
      <formula>IF(AND($B153="",$C153="",LEN($A153)&lt;=2),TRUE,FALSE)</formula>
    </cfRule>
    <cfRule type="expression" dxfId="734" priority="937">
      <formula>IF(AND($B153="",$C153=""),TRUE,FALSE)</formula>
    </cfRule>
  </conditionalFormatting>
  <conditionalFormatting sqref="C153">
    <cfRule type="expression" dxfId="733" priority="938">
      <formula>IF((COUNTIF(#REF!,#REF!))&gt;1,TRUE,FALSE)</formula>
    </cfRule>
  </conditionalFormatting>
  <conditionalFormatting sqref="F153">
    <cfRule type="expression" dxfId="732" priority="934">
      <formula>IF(AND($B153="",$C153="",LEN($A153)&lt;=2),TRUE,FALSE)</formula>
    </cfRule>
    <cfRule type="expression" dxfId="731" priority="935">
      <formula>IF(AND($B153="",$C153=""),TRUE,FALSE)</formula>
    </cfRule>
  </conditionalFormatting>
  <conditionalFormatting sqref="D153">
    <cfRule type="expression" dxfId="730" priority="932">
      <formula>IF(AND($B153="",$C153="",LEN($A153)&lt;=2),TRUE,FALSE)</formula>
    </cfRule>
    <cfRule type="expression" dxfId="729" priority="933">
      <formula>IF(AND($B153="",$C153=""),TRUE,FALSE)</formula>
    </cfRule>
  </conditionalFormatting>
  <conditionalFormatting sqref="D153">
    <cfRule type="expression" dxfId="728" priority="930">
      <formula>IF(AND($B153="",$C153="",LEN($A153)&lt;=2),TRUE,FALSE)</formula>
    </cfRule>
    <cfRule type="expression" dxfId="727" priority="931">
      <formula>IF(AND($B153="",$C153=""),TRUE,FALSE)</formula>
    </cfRule>
  </conditionalFormatting>
  <conditionalFormatting sqref="G153">
    <cfRule type="expression" dxfId="726" priority="928">
      <formula>IF(AND($B153="",$C153="",LEN($A153)&lt;=2),TRUE,FALSE)</formula>
    </cfRule>
    <cfRule type="expression" dxfId="725" priority="929">
      <formula>IF(AND($B153="",$C153=""),TRUE,FALSE)</formula>
    </cfRule>
  </conditionalFormatting>
  <conditionalFormatting sqref="E153">
    <cfRule type="expression" dxfId="724" priority="926">
      <formula>IF(AND($B153="",$C153="",LEN($A153)&lt;=2),TRUE,FALSE)</formula>
    </cfRule>
    <cfRule type="expression" dxfId="723" priority="927">
      <formula>IF(AND($B153="",$C153=""),TRUE,FALSE)</formula>
    </cfRule>
  </conditionalFormatting>
  <conditionalFormatting sqref="B153">
    <cfRule type="expression" dxfId="722" priority="924">
      <formula>IF(AND($B153="",$C153="",LEN($A153)&lt;=2),TRUE,FALSE)</formula>
    </cfRule>
    <cfRule type="expression" dxfId="721" priority="925">
      <formula>IF(AND($B153="",$C153=""),TRUE,FALSE)</formula>
    </cfRule>
  </conditionalFormatting>
  <conditionalFormatting sqref="A153:A155">
    <cfRule type="expression" dxfId="720" priority="922">
      <formula>IF(AND($B153="",$C153="",LEN($A153)&lt;=2),TRUE,FALSE)</formula>
    </cfRule>
    <cfRule type="expression" dxfId="719" priority="923">
      <formula>IF(AND($B153="",$C153=""),TRUE,FALSE)</formula>
    </cfRule>
  </conditionalFormatting>
  <conditionalFormatting sqref="A153:A155">
    <cfRule type="expression" dxfId="718" priority="920">
      <formula>IF(AND($B153="",$C153="",LEN($A153)&lt;=2),TRUE,FALSE)</formula>
    </cfRule>
    <cfRule type="expression" dxfId="717" priority="921">
      <formula>IF(AND($B153="",$C153=""),TRUE,FALSE)</formula>
    </cfRule>
  </conditionalFormatting>
  <conditionalFormatting sqref="C154 H154:I154">
    <cfRule type="expression" dxfId="716" priority="916">
      <formula>IF(AND($B154="",$C154="",LEN($A154)&lt;=2),TRUE,FALSE)</formula>
    </cfRule>
    <cfRule type="expression" dxfId="715" priority="917">
      <formula>IF(AND($B154="",$C154=""),TRUE,FALSE)</formula>
    </cfRule>
  </conditionalFormatting>
  <conditionalFormatting sqref="C154">
    <cfRule type="expression" dxfId="714" priority="918">
      <formula>IF((COUNTIF(#REF!,#REF!))&gt;1,TRUE,FALSE)</formula>
    </cfRule>
  </conditionalFormatting>
  <conditionalFormatting sqref="F154">
    <cfRule type="expression" dxfId="713" priority="914">
      <formula>IF(AND($B154="",$C154="",LEN($A154)&lt;=2),TRUE,FALSE)</formula>
    </cfRule>
    <cfRule type="expression" dxfId="712" priority="915">
      <formula>IF(AND($B154="",$C154=""),TRUE,FALSE)</formula>
    </cfRule>
  </conditionalFormatting>
  <conditionalFormatting sqref="D154">
    <cfRule type="expression" dxfId="711" priority="912">
      <formula>IF(AND($B154="",$C154="",LEN($A154)&lt;=2),TRUE,FALSE)</formula>
    </cfRule>
    <cfRule type="expression" dxfId="710" priority="913">
      <formula>IF(AND($B154="",$C154=""),TRUE,FALSE)</formula>
    </cfRule>
  </conditionalFormatting>
  <conditionalFormatting sqref="D154">
    <cfRule type="expression" dxfId="709" priority="910">
      <formula>IF(AND($B154="",$C154="",LEN($A154)&lt;=2),TRUE,FALSE)</formula>
    </cfRule>
    <cfRule type="expression" dxfId="708" priority="911">
      <formula>IF(AND($B154="",$C154=""),TRUE,FALSE)</formula>
    </cfRule>
  </conditionalFormatting>
  <conditionalFormatting sqref="G154">
    <cfRule type="expression" dxfId="707" priority="908">
      <formula>IF(AND($B154="",$C154="",LEN($A154)&lt;=2),TRUE,FALSE)</formula>
    </cfRule>
    <cfRule type="expression" dxfId="706" priority="909">
      <formula>IF(AND($B154="",$C154=""),TRUE,FALSE)</formula>
    </cfRule>
  </conditionalFormatting>
  <conditionalFormatting sqref="E154">
    <cfRule type="expression" dxfId="705" priority="906">
      <formula>IF(AND($B154="",$C154="",LEN($A154)&lt;=2),TRUE,FALSE)</formula>
    </cfRule>
    <cfRule type="expression" dxfId="704" priority="907">
      <formula>IF(AND($B154="",$C154=""),TRUE,FALSE)</formula>
    </cfRule>
  </conditionalFormatting>
  <conditionalFormatting sqref="B154">
    <cfRule type="expression" dxfId="703" priority="904">
      <formula>IF(AND($B154="",$C154="",LEN($A154)&lt;=2),TRUE,FALSE)</formula>
    </cfRule>
    <cfRule type="expression" dxfId="702" priority="905">
      <formula>IF(AND($B154="",$C154=""),TRUE,FALSE)</formula>
    </cfRule>
  </conditionalFormatting>
  <conditionalFormatting sqref="C155 H155:I155">
    <cfRule type="expression" dxfId="701" priority="896">
      <formula>IF(AND($B155="",$C155="",LEN($A155)&lt;=2),TRUE,FALSE)</formula>
    </cfRule>
    <cfRule type="expression" dxfId="700" priority="897">
      <formula>IF(AND($B155="",$C155=""),TRUE,FALSE)</formula>
    </cfRule>
  </conditionalFormatting>
  <conditionalFormatting sqref="C155">
    <cfRule type="expression" dxfId="699" priority="898">
      <formula>IF((COUNTIF(#REF!,#REF!))&gt;1,TRUE,FALSE)</formula>
    </cfRule>
  </conditionalFormatting>
  <conditionalFormatting sqref="F155">
    <cfRule type="expression" dxfId="698" priority="894">
      <formula>IF(AND($B155="",$C155="",LEN($A155)&lt;=2),TRUE,FALSE)</formula>
    </cfRule>
    <cfRule type="expression" dxfId="697" priority="895">
      <formula>IF(AND($B155="",$C155=""),TRUE,FALSE)</formula>
    </cfRule>
  </conditionalFormatting>
  <conditionalFormatting sqref="D155">
    <cfRule type="expression" dxfId="696" priority="892">
      <formula>IF(AND($B155="",$C155="",LEN($A155)&lt;=2),TRUE,FALSE)</formula>
    </cfRule>
    <cfRule type="expression" dxfId="695" priority="893">
      <formula>IF(AND($B155="",$C155=""),TRUE,FALSE)</formula>
    </cfRule>
  </conditionalFormatting>
  <conditionalFormatting sqref="D155">
    <cfRule type="expression" dxfId="694" priority="890">
      <formula>IF(AND($B155="",$C155="",LEN($A155)&lt;=2),TRUE,FALSE)</formula>
    </cfRule>
    <cfRule type="expression" dxfId="693" priority="891">
      <formula>IF(AND($B155="",$C155=""),TRUE,FALSE)</formula>
    </cfRule>
  </conditionalFormatting>
  <conditionalFormatting sqref="G155">
    <cfRule type="expression" dxfId="692" priority="888">
      <formula>IF(AND($B155="",$C155="",LEN($A155)&lt;=2),TRUE,FALSE)</formula>
    </cfRule>
    <cfRule type="expression" dxfId="691" priority="889">
      <formula>IF(AND($B155="",$C155=""),TRUE,FALSE)</formula>
    </cfRule>
  </conditionalFormatting>
  <conditionalFormatting sqref="E155">
    <cfRule type="expression" dxfId="690" priority="886">
      <formula>IF(AND($B155="",$C155="",LEN($A155)&lt;=2),TRUE,FALSE)</formula>
    </cfRule>
    <cfRule type="expression" dxfId="689" priority="887">
      <formula>IF(AND($B155="",$C155=""),TRUE,FALSE)</formula>
    </cfRule>
  </conditionalFormatting>
  <conditionalFormatting sqref="B155">
    <cfRule type="expression" dxfId="688" priority="884">
      <formula>IF(AND($B155="",$C155="",LEN($A155)&lt;=2),TRUE,FALSE)</formula>
    </cfRule>
    <cfRule type="expression" dxfId="687" priority="885">
      <formula>IF(AND($B155="",$C155=""),TRUE,FALSE)</formula>
    </cfRule>
  </conditionalFormatting>
  <conditionalFormatting sqref="H296:I296 C296">
    <cfRule type="expression" dxfId="686" priority="876">
      <formula>IF(AND($B296="",$C296="",LEN($A296)&lt;=2),TRUE,FALSE)</formula>
    </cfRule>
    <cfRule type="expression" dxfId="685" priority="877">
      <formula>IF(AND($B296="",$C296=""),TRUE,FALSE)</formula>
    </cfRule>
  </conditionalFormatting>
  <conditionalFormatting sqref="C296">
    <cfRule type="expression" dxfId="684" priority="878">
      <formula>IF((COUNTIF(#REF!,#REF!))&gt;1,TRUE,FALSE)</formula>
    </cfRule>
  </conditionalFormatting>
  <conditionalFormatting sqref="F296">
    <cfRule type="expression" dxfId="683" priority="874">
      <formula>IF(AND($B296="",$C296="",LEN($A296)&lt;=2),TRUE,FALSE)</formula>
    </cfRule>
    <cfRule type="expression" dxfId="682" priority="875">
      <formula>IF(AND($B296="",$C296=""),TRUE,FALSE)</formula>
    </cfRule>
  </conditionalFormatting>
  <conditionalFormatting sqref="B296">
    <cfRule type="expression" dxfId="681" priority="872">
      <formula>IF(AND($B296="",$C296="",LEN($A296)&lt;=2),TRUE,FALSE)</formula>
    </cfRule>
    <cfRule type="expression" dxfId="680" priority="873">
      <formula>IF(AND($B296="",$C296=""),TRUE,FALSE)</formula>
    </cfRule>
  </conditionalFormatting>
  <conditionalFormatting sqref="B296">
    <cfRule type="expression" dxfId="679" priority="870">
      <formula>IF(AND($B296="",$C296="",LEN($A296)&lt;=2),TRUE,FALSE)</formula>
    </cfRule>
    <cfRule type="expression" dxfId="678" priority="871">
      <formula>IF(AND($B296="",$C296=""),TRUE,FALSE)</formula>
    </cfRule>
  </conditionalFormatting>
  <conditionalFormatting sqref="D296">
    <cfRule type="expression" dxfId="677" priority="868">
      <formula>IF(AND($B296="",$C296="",LEN($A296)&lt;=2),TRUE,FALSE)</formula>
    </cfRule>
    <cfRule type="expression" dxfId="676" priority="869">
      <formula>IF(AND($B296="",$C296=""),TRUE,FALSE)</formula>
    </cfRule>
  </conditionalFormatting>
  <conditionalFormatting sqref="D296">
    <cfRule type="expression" dxfId="675" priority="866">
      <formula>IF(AND($B296="",$C296="",LEN($A296)&lt;=2),TRUE,FALSE)</formula>
    </cfRule>
    <cfRule type="expression" dxfId="674" priority="867">
      <formula>IF(AND($B296="",$C296=""),TRUE,FALSE)</formula>
    </cfRule>
  </conditionalFormatting>
  <conditionalFormatting sqref="G296">
    <cfRule type="expression" dxfId="673" priority="864">
      <formula>IF(AND($B296="",$C296="",LEN($A296)&lt;=2),TRUE,FALSE)</formula>
    </cfRule>
    <cfRule type="expression" dxfId="672" priority="865">
      <formula>IF(AND($B296="",$C296=""),TRUE,FALSE)</formula>
    </cfRule>
  </conditionalFormatting>
  <conditionalFormatting sqref="E296">
    <cfRule type="expression" dxfId="671" priority="862">
      <formula>IF(AND($B296="",$C296="",LEN($A296)&lt;=2),TRUE,FALSE)</formula>
    </cfRule>
    <cfRule type="expression" dxfId="670" priority="863">
      <formula>IF(AND($B296="",$C296=""),TRUE,FALSE)</formula>
    </cfRule>
  </conditionalFormatting>
  <conditionalFormatting sqref="B11 G11 D11:E11">
    <cfRule type="expression" dxfId="669" priority="859">
      <formula>IF(AND($B11="",$C11="",LEN($A11)&lt;=2),TRUE,FALSE)</formula>
    </cfRule>
    <cfRule type="expression" dxfId="668" priority="860">
      <formula>IF(AND($B11="",$C11=""),TRUE,FALSE)</formula>
    </cfRule>
  </conditionalFormatting>
  <conditionalFormatting sqref="D11 F11">
    <cfRule type="expression" dxfId="667" priority="857">
      <formula>IF(AND($B11="",$C11="",LEN($A11)&lt;=2),TRUE,FALSE)</formula>
    </cfRule>
    <cfRule type="expression" dxfId="666" priority="858">
      <formula>IF(AND($B11="",$C11=""),TRUE,FALSE)</formula>
    </cfRule>
  </conditionalFormatting>
  <conditionalFormatting sqref="B11:C11 H11:I11">
    <cfRule type="expression" dxfId="665" priority="855">
      <formula>IF(AND($B11="",$C11="",LEN($A11)&lt;=2),TRUE,FALSE)</formula>
    </cfRule>
    <cfRule type="expression" dxfId="664" priority="856">
      <formula>IF(AND($B11="",$C11=""),TRUE,FALSE)</formula>
    </cfRule>
  </conditionalFormatting>
  <conditionalFormatting sqref="C11">
    <cfRule type="expression" dxfId="663" priority="854">
      <formula>IF((COUNTIF(#REF!,#REF!))&gt;1,TRUE,FALSE)</formula>
    </cfRule>
  </conditionalFormatting>
  <conditionalFormatting sqref="C11">
    <cfRule type="expression" dxfId="662" priority="853">
      <formula>IF((COUNTIF(#REF!,#REF!))&gt;1,TRUE,FALSE)</formula>
    </cfRule>
  </conditionalFormatting>
  <conditionalFormatting sqref="C11">
    <cfRule type="expression" dxfId="661" priority="852">
      <formula>IF((COUNTIF(#REF!,#REF!))&gt;1,TRUE,FALSE)</formula>
    </cfRule>
  </conditionalFormatting>
  <conditionalFormatting sqref="G193:G202">
    <cfRule type="expression" dxfId="660" priority="851">
      <formula>IF((SUMIF(#REF!,#REF!,G:G)/COUNTIF(#REF!,#REF!))&lt;&gt;G193,TRUE,FALSE)</formula>
    </cfRule>
  </conditionalFormatting>
  <conditionalFormatting sqref="B177:C177 H177:I177">
    <cfRule type="expression" dxfId="659" priority="812">
      <formula>IF(AND($B177="",$C177="",LEN($A177)&lt;=2),TRUE,FALSE)</formula>
    </cfRule>
    <cfRule type="expression" dxfId="658" priority="813">
      <formula>IF(AND($B177="",$C177=""),TRUE,FALSE)</formula>
    </cfRule>
  </conditionalFormatting>
  <conditionalFormatting sqref="C177">
    <cfRule type="expression" dxfId="657" priority="814">
      <formula>IF((COUNTIF(#REF!,#REF!))&gt;1,TRUE,FALSE)</formula>
    </cfRule>
  </conditionalFormatting>
  <conditionalFormatting sqref="F177">
    <cfRule type="expression" dxfId="656" priority="810">
      <formula>IF(AND($B177="",$C177="",LEN($A177)&lt;=2),TRUE,FALSE)</formula>
    </cfRule>
    <cfRule type="expression" dxfId="655" priority="811">
      <formula>IF(AND($B177="",$C177=""),TRUE,FALSE)</formula>
    </cfRule>
  </conditionalFormatting>
  <conditionalFormatting sqref="D177">
    <cfRule type="expression" dxfId="654" priority="808">
      <formula>IF(AND($B177="",$C177="",LEN($A177)&lt;=2),TRUE,FALSE)</formula>
    </cfRule>
    <cfRule type="expression" dxfId="653" priority="809">
      <formula>IF(AND($B177="",$C177=""),TRUE,FALSE)</formula>
    </cfRule>
  </conditionalFormatting>
  <conditionalFormatting sqref="D177">
    <cfRule type="expression" dxfId="652" priority="806">
      <formula>IF(AND($B177="",$C177="",LEN($A177)&lt;=2),TRUE,FALSE)</formula>
    </cfRule>
    <cfRule type="expression" dxfId="651" priority="807">
      <formula>IF(AND($B177="",$C177=""),TRUE,FALSE)</formula>
    </cfRule>
  </conditionalFormatting>
  <conditionalFormatting sqref="G177">
    <cfRule type="expression" dxfId="650" priority="804">
      <formula>IF(AND($B177="",$C177="",LEN($A177)&lt;=2),TRUE,FALSE)</formula>
    </cfRule>
    <cfRule type="expression" dxfId="649" priority="805">
      <formula>IF(AND($B177="",$C177=""),TRUE,FALSE)</formula>
    </cfRule>
  </conditionalFormatting>
  <conditionalFormatting sqref="E177">
    <cfRule type="expression" dxfId="648" priority="802">
      <formula>IF(AND($B177="",$C177="",LEN($A177)&lt;=2),TRUE,FALSE)</formula>
    </cfRule>
    <cfRule type="expression" dxfId="647" priority="803">
      <formula>IF(AND($B177="",$C177=""),TRUE,FALSE)</formula>
    </cfRule>
  </conditionalFormatting>
  <conditionalFormatting sqref="B167:C167 H167:I167">
    <cfRule type="expression" dxfId="646" priority="796">
      <formula>IF(AND($B167="",$C167="",LEN($A167)&lt;=2),TRUE,FALSE)</formula>
    </cfRule>
    <cfRule type="expression" dxfId="645" priority="797">
      <formula>IF(AND($B167="",$C167=""),TRUE,FALSE)</formula>
    </cfRule>
  </conditionalFormatting>
  <conditionalFormatting sqref="C167">
    <cfRule type="expression" dxfId="644" priority="798">
      <formula>IF((COUNTIF(#REF!,#REF!))&gt;1,TRUE,FALSE)</formula>
    </cfRule>
  </conditionalFormatting>
  <conditionalFormatting sqref="F167">
    <cfRule type="expression" dxfId="643" priority="794">
      <formula>IF(AND($B167="",$C167="",LEN($A167)&lt;=2),TRUE,FALSE)</formula>
    </cfRule>
    <cfRule type="expression" dxfId="642" priority="795">
      <formula>IF(AND($B167="",$C167=""),TRUE,FALSE)</formula>
    </cfRule>
  </conditionalFormatting>
  <conditionalFormatting sqref="D167">
    <cfRule type="expression" dxfId="641" priority="792">
      <formula>IF(AND($B167="",$C167="",LEN($A167)&lt;=2),TRUE,FALSE)</formula>
    </cfRule>
    <cfRule type="expression" dxfId="640" priority="793">
      <formula>IF(AND($B167="",$C167=""),TRUE,FALSE)</formula>
    </cfRule>
  </conditionalFormatting>
  <conditionalFormatting sqref="D167">
    <cfRule type="expression" dxfId="639" priority="790">
      <formula>IF(AND($B167="",$C167="",LEN($A167)&lt;=2),TRUE,FALSE)</formula>
    </cfRule>
    <cfRule type="expression" dxfId="638" priority="791">
      <formula>IF(AND($B167="",$C167=""),TRUE,FALSE)</formula>
    </cfRule>
  </conditionalFormatting>
  <conditionalFormatting sqref="G167">
    <cfRule type="expression" dxfId="637" priority="788">
      <formula>IF(AND($B167="",$C167="",LEN($A167)&lt;=2),TRUE,FALSE)</formula>
    </cfRule>
    <cfRule type="expression" dxfId="636" priority="789">
      <formula>IF(AND($B167="",$C167=""),TRUE,FALSE)</formula>
    </cfRule>
  </conditionalFormatting>
  <conditionalFormatting sqref="E167">
    <cfRule type="expression" dxfId="635" priority="786">
      <formula>IF(AND($B167="",$C167="",LEN($A167)&lt;=2),TRUE,FALSE)</formula>
    </cfRule>
    <cfRule type="expression" dxfId="634" priority="787">
      <formula>IF(AND($B167="",$C167=""),TRUE,FALSE)</formula>
    </cfRule>
  </conditionalFormatting>
  <conditionalFormatting sqref="H190:I190">
    <cfRule type="expression" dxfId="633" priority="780">
      <formula>IF(AND($B190="",$C190="",LEN($A190)&lt;=2),TRUE,FALSE)</formula>
    </cfRule>
    <cfRule type="expression" dxfId="632" priority="781">
      <formula>IF(AND($B190="",$C190=""),TRUE,FALSE)</formula>
    </cfRule>
  </conditionalFormatting>
  <conditionalFormatting sqref="F190">
    <cfRule type="expression" dxfId="631" priority="778">
      <formula>IF(AND($B190="",$C190="",LEN($A190)&lt;=2),TRUE,FALSE)</formula>
    </cfRule>
    <cfRule type="expression" dxfId="630" priority="779">
      <formula>IF(AND($B190="",$C190=""),TRUE,FALSE)</formula>
    </cfRule>
  </conditionalFormatting>
  <conditionalFormatting sqref="D190">
    <cfRule type="expression" dxfId="629" priority="776">
      <formula>IF(AND($B190="",$C190="",LEN($A190)&lt;=2),TRUE,FALSE)</formula>
    </cfRule>
    <cfRule type="expression" dxfId="628" priority="777">
      <formula>IF(AND($B190="",$C190=""),TRUE,FALSE)</formula>
    </cfRule>
  </conditionalFormatting>
  <conditionalFormatting sqref="D190">
    <cfRule type="expression" dxfId="627" priority="774">
      <formula>IF(AND($B190="",$C190="",LEN($A190)&lt;=2),TRUE,FALSE)</formula>
    </cfRule>
    <cfRule type="expression" dxfId="626" priority="775">
      <formula>IF(AND($B190="",$C190=""),TRUE,FALSE)</formula>
    </cfRule>
  </conditionalFormatting>
  <conditionalFormatting sqref="G190">
    <cfRule type="expression" dxfId="625" priority="772">
      <formula>IF(AND($B190="",$C190="",LEN($A190)&lt;=2),TRUE,FALSE)</formula>
    </cfRule>
    <cfRule type="expression" dxfId="624" priority="773">
      <formula>IF(AND($B190="",$C190=""),TRUE,FALSE)</formula>
    </cfRule>
  </conditionalFormatting>
  <conditionalFormatting sqref="E190">
    <cfRule type="expression" dxfId="623" priority="770">
      <formula>IF(AND($B190="",$C190="",LEN($A190)&lt;=2),TRUE,FALSE)</formula>
    </cfRule>
    <cfRule type="expression" dxfId="622" priority="771">
      <formula>IF(AND($B190="",$C190=""),TRUE,FALSE)</formula>
    </cfRule>
  </conditionalFormatting>
  <conditionalFormatting sqref="B190">
    <cfRule type="expression" dxfId="621" priority="768">
      <formula>IF(AND($B190="",$C190="",LEN($A190)&lt;=2),TRUE,FALSE)</formula>
    </cfRule>
    <cfRule type="expression" dxfId="620" priority="769">
      <formula>IF(AND($B190="",$C190=""),TRUE,FALSE)</formula>
    </cfRule>
  </conditionalFormatting>
  <conditionalFormatting sqref="B168:C168 H168:I168">
    <cfRule type="expression" dxfId="619" priority="762">
      <formula>IF(AND($B168="",$C168="",LEN($A168)&lt;=2),TRUE,FALSE)</formula>
    </cfRule>
    <cfRule type="expression" dxfId="618" priority="763">
      <formula>IF(AND($B168="",$C168=""),TRUE,FALSE)</formula>
    </cfRule>
  </conditionalFormatting>
  <conditionalFormatting sqref="C168">
    <cfRule type="expression" dxfId="617" priority="764">
      <formula>IF((COUNTIF(#REF!,#REF!))&gt;1,TRUE,FALSE)</formula>
    </cfRule>
  </conditionalFormatting>
  <conditionalFormatting sqref="F168">
    <cfRule type="expression" dxfId="616" priority="760">
      <formula>IF(AND($B168="",$C168="",LEN($A168)&lt;=2),TRUE,FALSE)</formula>
    </cfRule>
    <cfRule type="expression" dxfId="615" priority="761">
      <formula>IF(AND($B168="",$C168=""),TRUE,FALSE)</formula>
    </cfRule>
  </conditionalFormatting>
  <conditionalFormatting sqref="D168">
    <cfRule type="expression" dxfId="614" priority="758">
      <formula>IF(AND($B168="",$C168="",LEN($A168)&lt;=2),TRUE,FALSE)</formula>
    </cfRule>
    <cfRule type="expression" dxfId="613" priority="759">
      <formula>IF(AND($B168="",$C168=""),TRUE,FALSE)</formula>
    </cfRule>
  </conditionalFormatting>
  <conditionalFormatting sqref="D168">
    <cfRule type="expression" dxfId="612" priority="756">
      <formula>IF(AND($B168="",$C168="",LEN($A168)&lt;=2),TRUE,FALSE)</formula>
    </cfRule>
    <cfRule type="expression" dxfId="611" priority="757">
      <formula>IF(AND($B168="",$C168=""),TRUE,FALSE)</formula>
    </cfRule>
  </conditionalFormatting>
  <conditionalFormatting sqref="G168">
    <cfRule type="expression" dxfId="610" priority="754">
      <formula>IF(AND($B168="",$C168="",LEN($A168)&lt;=2),TRUE,FALSE)</formula>
    </cfRule>
    <cfRule type="expression" dxfId="609" priority="755">
      <formula>IF(AND($B168="",$C168=""),TRUE,FALSE)</formula>
    </cfRule>
  </conditionalFormatting>
  <conditionalFormatting sqref="E168">
    <cfRule type="expression" dxfId="608" priority="752">
      <formula>IF(AND($B168="",$C168="",LEN($A168)&lt;=2),TRUE,FALSE)</formula>
    </cfRule>
    <cfRule type="expression" dxfId="607" priority="753">
      <formula>IF(AND($B168="",$C168=""),TRUE,FALSE)</formula>
    </cfRule>
  </conditionalFormatting>
  <conditionalFormatting sqref="B165:C165 H165:I165">
    <cfRule type="expression" dxfId="606" priority="746">
      <formula>IF(AND($B165="",$C165="",LEN($A165)&lt;=2),TRUE,FALSE)</formula>
    </cfRule>
    <cfRule type="expression" dxfId="605" priority="747">
      <formula>IF(AND($B165="",$C165=""),TRUE,FALSE)</formula>
    </cfRule>
  </conditionalFormatting>
  <conditionalFormatting sqref="C165">
    <cfRule type="expression" dxfId="604" priority="748">
      <formula>IF((COUNTIF(#REF!,#REF!))&gt;1,TRUE,FALSE)</formula>
    </cfRule>
  </conditionalFormatting>
  <conditionalFormatting sqref="F165">
    <cfRule type="expression" dxfId="603" priority="744">
      <formula>IF(AND($B165="",$C165="",LEN($A165)&lt;=2),TRUE,FALSE)</formula>
    </cfRule>
    <cfRule type="expression" dxfId="602" priority="745">
      <formula>IF(AND($B165="",$C165=""),TRUE,FALSE)</formula>
    </cfRule>
  </conditionalFormatting>
  <conditionalFormatting sqref="D165">
    <cfRule type="expression" dxfId="601" priority="742">
      <formula>IF(AND($B165="",$C165="",LEN($A165)&lt;=2),TRUE,FALSE)</formula>
    </cfRule>
    <cfRule type="expression" dxfId="600" priority="743">
      <formula>IF(AND($B165="",$C165=""),TRUE,FALSE)</formula>
    </cfRule>
  </conditionalFormatting>
  <conditionalFormatting sqref="D165">
    <cfRule type="expression" dxfId="599" priority="740">
      <formula>IF(AND($B165="",$C165="",LEN($A165)&lt;=2),TRUE,FALSE)</formula>
    </cfRule>
    <cfRule type="expression" dxfId="598" priority="741">
      <formula>IF(AND($B165="",$C165=""),TRUE,FALSE)</formula>
    </cfRule>
  </conditionalFormatting>
  <conditionalFormatting sqref="G165">
    <cfRule type="expression" dxfId="597" priority="738">
      <formula>IF(AND($B165="",$C165="",LEN($A165)&lt;=2),TRUE,FALSE)</formula>
    </cfRule>
    <cfRule type="expression" dxfId="596" priority="739">
      <formula>IF(AND($B165="",$C165=""),TRUE,FALSE)</formula>
    </cfRule>
  </conditionalFormatting>
  <conditionalFormatting sqref="E165">
    <cfRule type="expression" dxfId="595" priority="736">
      <formula>IF(AND($B165="",$C165="",LEN($A165)&lt;=2),TRUE,FALSE)</formula>
    </cfRule>
    <cfRule type="expression" dxfId="594" priority="737">
      <formula>IF(AND($B165="",$C165=""),TRUE,FALSE)</formula>
    </cfRule>
  </conditionalFormatting>
  <conditionalFormatting sqref="B166:C166 H166:I166">
    <cfRule type="expression" dxfId="593" priority="731">
      <formula>IF(AND($B166="",$C166="",LEN($A166)&lt;=2),TRUE,FALSE)</formula>
    </cfRule>
    <cfRule type="expression" dxfId="592" priority="732">
      <formula>IF(AND($B166="",$C166=""),TRUE,FALSE)</formula>
    </cfRule>
  </conditionalFormatting>
  <conditionalFormatting sqref="C166">
    <cfRule type="expression" dxfId="591" priority="733">
      <formula>IF((COUNTIF(#REF!,#REF!))&gt;1,TRUE,FALSE)</formula>
    </cfRule>
  </conditionalFormatting>
  <conditionalFormatting sqref="F166">
    <cfRule type="expression" dxfId="590" priority="729">
      <formula>IF(AND($B166="",$C166="",LEN($A166)&lt;=2),TRUE,FALSE)</formula>
    </cfRule>
    <cfRule type="expression" dxfId="589" priority="730">
      <formula>IF(AND($B166="",$C166=""),TRUE,FALSE)</formula>
    </cfRule>
  </conditionalFormatting>
  <conditionalFormatting sqref="D166">
    <cfRule type="expression" dxfId="588" priority="727">
      <formula>IF(AND($B166="",$C166="",LEN($A166)&lt;=2),TRUE,FALSE)</formula>
    </cfRule>
    <cfRule type="expression" dxfId="587" priority="728">
      <formula>IF(AND($B166="",$C166=""),TRUE,FALSE)</formula>
    </cfRule>
  </conditionalFormatting>
  <conditionalFormatting sqref="D166">
    <cfRule type="expression" dxfId="586" priority="725">
      <formula>IF(AND($B166="",$C166="",LEN($A166)&lt;=2),TRUE,FALSE)</formula>
    </cfRule>
    <cfRule type="expression" dxfId="585" priority="726">
      <formula>IF(AND($B166="",$C166=""),TRUE,FALSE)</formula>
    </cfRule>
  </conditionalFormatting>
  <conditionalFormatting sqref="G166">
    <cfRule type="expression" dxfId="584" priority="723">
      <formula>IF(AND($B166="",$C166="",LEN($A166)&lt;=2),TRUE,FALSE)</formula>
    </cfRule>
    <cfRule type="expression" dxfId="583" priority="724">
      <formula>IF(AND($B166="",$C166=""),TRUE,FALSE)</formula>
    </cfRule>
  </conditionalFormatting>
  <conditionalFormatting sqref="E166">
    <cfRule type="expression" dxfId="582" priority="721">
      <formula>IF(AND($B166="",$C166="",LEN($A166)&lt;=2),TRUE,FALSE)</formula>
    </cfRule>
    <cfRule type="expression" dxfId="581" priority="722">
      <formula>IF(AND($B166="",$C166=""),TRUE,FALSE)</formula>
    </cfRule>
  </conditionalFormatting>
  <conditionalFormatting sqref="B171:C171 H171:I171">
    <cfRule type="expression" dxfId="580" priority="715">
      <formula>IF(AND($B171="",$C171="",LEN($A171)&lt;=2),TRUE,FALSE)</formula>
    </cfRule>
    <cfRule type="expression" dxfId="579" priority="716">
      <formula>IF(AND($B171="",$C171=""),TRUE,FALSE)</formula>
    </cfRule>
  </conditionalFormatting>
  <conditionalFormatting sqref="C171">
    <cfRule type="expression" dxfId="578" priority="717">
      <formula>IF((COUNTIF(#REF!,#REF!))&gt;1,TRUE,FALSE)</formula>
    </cfRule>
  </conditionalFormatting>
  <conditionalFormatting sqref="F171">
    <cfRule type="expression" dxfId="577" priority="713">
      <formula>IF(AND($B171="",$C171="",LEN($A171)&lt;=2),TRUE,FALSE)</formula>
    </cfRule>
    <cfRule type="expression" dxfId="576" priority="714">
      <formula>IF(AND($B171="",$C171=""),TRUE,FALSE)</formula>
    </cfRule>
  </conditionalFormatting>
  <conditionalFormatting sqref="D171">
    <cfRule type="expression" dxfId="575" priority="711">
      <formula>IF(AND($B171="",$C171="",LEN($A171)&lt;=2),TRUE,FALSE)</formula>
    </cfRule>
    <cfRule type="expression" dxfId="574" priority="712">
      <formula>IF(AND($B171="",$C171=""),TRUE,FALSE)</formula>
    </cfRule>
  </conditionalFormatting>
  <conditionalFormatting sqref="D171">
    <cfRule type="expression" dxfId="573" priority="709">
      <formula>IF(AND($B171="",$C171="",LEN($A171)&lt;=2),TRUE,FALSE)</formula>
    </cfRule>
    <cfRule type="expression" dxfId="572" priority="710">
      <formula>IF(AND($B171="",$C171=""),TRUE,FALSE)</formula>
    </cfRule>
  </conditionalFormatting>
  <conditionalFormatting sqref="G171">
    <cfRule type="expression" dxfId="571" priority="707">
      <formula>IF(AND($B171="",$C171="",LEN($A171)&lt;=2),TRUE,FALSE)</formula>
    </cfRule>
    <cfRule type="expression" dxfId="570" priority="708">
      <formula>IF(AND($B171="",$C171=""),TRUE,FALSE)</formula>
    </cfRule>
  </conditionalFormatting>
  <conditionalFormatting sqref="E171">
    <cfRule type="expression" dxfId="569" priority="705">
      <formula>IF(AND($B171="",$C171="",LEN($A171)&lt;=2),TRUE,FALSE)</formula>
    </cfRule>
    <cfRule type="expression" dxfId="568" priority="706">
      <formula>IF(AND($B171="",$C171=""),TRUE,FALSE)</formula>
    </cfRule>
  </conditionalFormatting>
  <conditionalFormatting sqref="B172:C172 H172:I172">
    <cfRule type="expression" dxfId="567" priority="700">
      <formula>IF(AND($B172="",$C172="",LEN($A172)&lt;=2),TRUE,FALSE)</formula>
    </cfRule>
    <cfRule type="expression" dxfId="566" priority="701">
      <formula>IF(AND($B172="",$C172=""),TRUE,FALSE)</formula>
    </cfRule>
  </conditionalFormatting>
  <conditionalFormatting sqref="C172">
    <cfRule type="expression" dxfId="565" priority="702">
      <formula>IF((COUNTIF(#REF!,#REF!))&gt;1,TRUE,FALSE)</formula>
    </cfRule>
  </conditionalFormatting>
  <conditionalFormatting sqref="F172">
    <cfRule type="expression" dxfId="564" priority="698">
      <formula>IF(AND($B172="",$C172="",LEN($A172)&lt;=2),TRUE,FALSE)</formula>
    </cfRule>
    <cfRule type="expression" dxfId="563" priority="699">
      <formula>IF(AND($B172="",$C172=""),TRUE,FALSE)</formula>
    </cfRule>
  </conditionalFormatting>
  <conditionalFormatting sqref="D172">
    <cfRule type="expression" dxfId="562" priority="696">
      <formula>IF(AND($B172="",$C172="",LEN($A172)&lt;=2),TRUE,FALSE)</formula>
    </cfRule>
    <cfRule type="expression" dxfId="561" priority="697">
      <formula>IF(AND($B172="",$C172=""),TRUE,FALSE)</formula>
    </cfRule>
  </conditionalFormatting>
  <conditionalFormatting sqref="D172">
    <cfRule type="expression" dxfId="560" priority="694">
      <formula>IF(AND($B172="",$C172="",LEN($A172)&lt;=2),TRUE,FALSE)</formula>
    </cfRule>
    <cfRule type="expression" dxfId="559" priority="695">
      <formula>IF(AND($B172="",$C172=""),TRUE,FALSE)</formula>
    </cfRule>
  </conditionalFormatting>
  <conditionalFormatting sqref="G172">
    <cfRule type="expression" dxfId="558" priority="692">
      <formula>IF(AND($B172="",$C172="",LEN($A172)&lt;=2),TRUE,FALSE)</formula>
    </cfRule>
    <cfRule type="expression" dxfId="557" priority="693">
      <formula>IF(AND($B172="",$C172=""),TRUE,FALSE)</formula>
    </cfRule>
  </conditionalFormatting>
  <conditionalFormatting sqref="E172">
    <cfRule type="expression" dxfId="556" priority="690">
      <formula>IF(AND($B172="",$C172="",LEN($A172)&lt;=2),TRUE,FALSE)</formula>
    </cfRule>
    <cfRule type="expression" dxfId="555" priority="691">
      <formula>IF(AND($B172="",$C172=""),TRUE,FALSE)</formula>
    </cfRule>
  </conditionalFormatting>
  <conditionalFormatting sqref="B169:C169 H169:I169">
    <cfRule type="expression" dxfId="554" priority="685">
      <formula>IF(AND($B169="",$C169="",LEN($A169)&lt;=2),TRUE,FALSE)</formula>
    </cfRule>
    <cfRule type="expression" dxfId="553" priority="686">
      <formula>IF(AND($B169="",$C169=""),TRUE,FALSE)</formula>
    </cfRule>
  </conditionalFormatting>
  <conditionalFormatting sqref="C169">
    <cfRule type="expression" dxfId="552" priority="687">
      <formula>IF((COUNTIF(#REF!,#REF!))&gt;1,TRUE,FALSE)</formula>
    </cfRule>
  </conditionalFormatting>
  <conditionalFormatting sqref="F169">
    <cfRule type="expression" dxfId="551" priority="683">
      <formula>IF(AND($B169="",$C169="",LEN($A169)&lt;=2),TRUE,FALSE)</formula>
    </cfRule>
    <cfRule type="expression" dxfId="550" priority="684">
      <formula>IF(AND($B169="",$C169=""),TRUE,FALSE)</formula>
    </cfRule>
  </conditionalFormatting>
  <conditionalFormatting sqref="D169">
    <cfRule type="expression" dxfId="549" priority="681">
      <formula>IF(AND($B169="",$C169="",LEN($A169)&lt;=2),TRUE,FALSE)</formula>
    </cfRule>
    <cfRule type="expression" dxfId="548" priority="682">
      <formula>IF(AND($B169="",$C169=""),TRUE,FALSE)</formula>
    </cfRule>
  </conditionalFormatting>
  <conditionalFormatting sqref="D169">
    <cfRule type="expression" dxfId="547" priority="679">
      <formula>IF(AND($B169="",$C169="",LEN($A169)&lt;=2),TRUE,FALSE)</formula>
    </cfRule>
    <cfRule type="expression" dxfId="546" priority="680">
      <formula>IF(AND($B169="",$C169=""),TRUE,FALSE)</formula>
    </cfRule>
  </conditionalFormatting>
  <conditionalFormatting sqref="G169">
    <cfRule type="expression" dxfId="545" priority="677">
      <formula>IF(AND($B169="",$C169="",LEN($A169)&lt;=2),TRUE,FALSE)</formula>
    </cfRule>
    <cfRule type="expression" dxfId="544" priority="678">
      <formula>IF(AND($B169="",$C169=""),TRUE,FALSE)</formula>
    </cfRule>
  </conditionalFormatting>
  <conditionalFormatting sqref="E169">
    <cfRule type="expression" dxfId="543" priority="675">
      <formula>IF(AND($B169="",$C169="",LEN($A169)&lt;=2),TRUE,FALSE)</formula>
    </cfRule>
    <cfRule type="expression" dxfId="542" priority="676">
      <formula>IF(AND($B169="",$C169=""),TRUE,FALSE)</formula>
    </cfRule>
  </conditionalFormatting>
  <conditionalFormatting sqref="B170:C170 H170:I170">
    <cfRule type="expression" dxfId="541" priority="670">
      <formula>IF(AND($B170="",$C170="",LEN($A170)&lt;=2),TRUE,FALSE)</formula>
    </cfRule>
    <cfRule type="expression" dxfId="540" priority="671">
      <formula>IF(AND($B170="",$C170=""),TRUE,FALSE)</formula>
    </cfRule>
  </conditionalFormatting>
  <conditionalFormatting sqref="C170">
    <cfRule type="expression" dxfId="539" priority="672">
      <formula>IF((COUNTIF(#REF!,#REF!))&gt;1,TRUE,FALSE)</formula>
    </cfRule>
  </conditionalFormatting>
  <conditionalFormatting sqref="F170">
    <cfRule type="expression" dxfId="538" priority="668">
      <formula>IF(AND($B170="",$C170="",LEN($A170)&lt;=2),TRUE,FALSE)</formula>
    </cfRule>
    <cfRule type="expression" dxfId="537" priority="669">
      <formula>IF(AND($B170="",$C170=""),TRUE,FALSE)</formula>
    </cfRule>
  </conditionalFormatting>
  <conditionalFormatting sqref="D170">
    <cfRule type="expression" dxfId="536" priority="666">
      <formula>IF(AND($B170="",$C170="",LEN($A170)&lt;=2),TRUE,FALSE)</formula>
    </cfRule>
    <cfRule type="expression" dxfId="535" priority="667">
      <formula>IF(AND($B170="",$C170=""),TRUE,FALSE)</formula>
    </cfRule>
  </conditionalFormatting>
  <conditionalFormatting sqref="D170">
    <cfRule type="expression" dxfId="534" priority="664">
      <formula>IF(AND($B170="",$C170="",LEN($A170)&lt;=2),TRUE,FALSE)</formula>
    </cfRule>
    <cfRule type="expression" dxfId="533" priority="665">
      <formula>IF(AND($B170="",$C170=""),TRUE,FALSE)</formula>
    </cfRule>
  </conditionalFormatting>
  <conditionalFormatting sqref="G170">
    <cfRule type="expression" dxfId="532" priority="662">
      <formula>IF(AND($B170="",$C170="",LEN($A170)&lt;=2),TRUE,FALSE)</formula>
    </cfRule>
    <cfRule type="expression" dxfId="531" priority="663">
      <formula>IF(AND($B170="",$C170=""),TRUE,FALSE)</formula>
    </cfRule>
  </conditionalFormatting>
  <conditionalFormatting sqref="E170">
    <cfRule type="expression" dxfId="530" priority="660">
      <formula>IF(AND($B170="",$C170="",LEN($A170)&lt;=2),TRUE,FALSE)</formula>
    </cfRule>
    <cfRule type="expression" dxfId="529" priority="661">
      <formula>IF(AND($B170="",$C170=""),TRUE,FALSE)</formula>
    </cfRule>
  </conditionalFormatting>
  <conditionalFormatting sqref="B173:C173 H173:I173">
    <cfRule type="expression" dxfId="528" priority="654">
      <formula>IF(AND($B173="",$C173="",LEN($A173)&lt;=2),TRUE,FALSE)</formula>
    </cfRule>
    <cfRule type="expression" dxfId="527" priority="655">
      <formula>IF(AND($B173="",$C173=""),TRUE,FALSE)</formula>
    </cfRule>
  </conditionalFormatting>
  <conditionalFormatting sqref="C173">
    <cfRule type="expression" dxfId="526" priority="656">
      <formula>IF((COUNTIF(#REF!,#REF!))&gt;1,TRUE,FALSE)</formula>
    </cfRule>
  </conditionalFormatting>
  <conditionalFormatting sqref="F173">
    <cfRule type="expression" dxfId="525" priority="652">
      <formula>IF(AND($B173="",$C173="",LEN($A173)&lt;=2),TRUE,FALSE)</formula>
    </cfRule>
    <cfRule type="expression" dxfId="524" priority="653">
      <formula>IF(AND($B173="",$C173=""),TRUE,FALSE)</formula>
    </cfRule>
  </conditionalFormatting>
  <conditionalFormatting sqref="D173">
    <cfRule type="expression" dxfId="523" priority="650">
      <formula>IF(AND($B173="",$C173="",LEN($A173)&lt;=2),TRUE,FALSE)</formula>
    </cfRule>
    <cfRule type="expression" dxfId="522" priority="651">
      <formula>IF(AND($B173="",$C173=""),TRUE,FALSE)</formula>
    </cfRule>
  </conditionalFormatting>
  <conditionalFormatting sqref="D173">
    <cfRule type="expression" dxfId="521" priority="648">
      <formula>IF(AND($B173="",$C173="",LEN($A173)&lt;=2),TRUE,FALSE)</formula>
    </cfRule>
    <cfRule type="expression" dxfId="520" priority="649">
      <formula>IF(AND($B173="",$C173=""),TRUE,FALSE)</formula>
    </cfRule>
  </conditionalFormatting>
  <conditionalFormatting sqref="G173">
    <cfRule type="expression" dxfId="519" priority="646">
      <formula>IF(AND($B173="",$C173="",LEN($A173)&lt;=2),TRUE,FALSE)</formula>
    </cfRule>
    <cfRule type="expression" dxfId="518" priority="647">
      <formula>IF(AND($B173="",$C173=""),TRUE,FALSE)</formula>
    </cfRule>
  </conditionalFormatting>
  <conditionalFormatting sqref="E173">
    <cfRule type="expression" dxfId="517" priority="644">
      <formula>IF(AND($B173="",$C173="",LEN($A173)&lt;=2),TRUE,FALSE)</formula>
    </cfRule>
    <cfRule type="expression" dxfId="516" priority="645">
      <formula>IF(AND($B173="",$C173=""),TRUE,FALSE)</formula>
    </cfRule>
  </conditionalFormatting>
  <conditionalFormatting sqref="B174:C174 H174:I174">
    <cfRule type="expression" dxfId="515" priority="638">
      <formula>IF(AND($B174="",$C174="",LEN($A174)&lt;=2),TRUE,FALSE)</formula>
    </cfRule>
    <cfRule type="expression" dxfId="514" priority="639">
      <formula>IF(AND($B174="",$C174=""),TRUE,FALSE)</formula>
    </cfRule>
  </conditionalFormatting>
  <conditionalFormatting sqref="C174">
    <cfRule type="expression" dxfId="513" priority="640">
      <formula>IF((COUNTIF(#REF!,#REF!))&gt;1,TRUE,FALSE)</formula>
    </cfRule>
  </conditionalFormatting>
  <conditionalFormatting sqref="F174">
    <cfRule type="expression" dxfId="512" priority="636">
      <formula>IF(AND($B174="",$C174="",LEN($A174)&lt;=2),TRUE,FALSE)</formula>
    </cfRule>
    <cfRule type="expression" dxfId="511" priority="637">
      <formula>IF(AND($B174="",$C174=""),TRUE,FALSE)</formula>
    </cfRule>
  </conditionalFormatting>
  <conditionalFormatting sqref="D174">
    <cfRule type="expression" dxfId="510" priority="634">
      <formula>IF(AND($B174="",$C174="",LEN($A174)&lt;=2),TRUE,FALSE)</formula>
    </cfRule>
    <cfRule type="expression" dxfId="509" priority="635">
      <formula>IF(AND($B174="",$C174=""),TRUE,FALSE)</formula>
    </cfRule>
  </conditionalFormatting>
  <conditionalFormatting sqref="D174">
    <cfRule type="expression" dxfId="508" priority="632">
      <formula>IF(AND($B174="",$C174="",LEN($A174)&lt;=2),TRUE,FALSE)</formula>
    </cfRule>
    <cfRule type="expression" dxfId="507" priority="633">
      <formula>IF(AND($B174="",$C174=""),TRUE,FALSE)</formula>
    </cfRule>
  </conditionalFormatting>
  <conditionalFormatting sqref="G174">
    <cfRule type="expression" dxfId="506" priority="630">
      <formula>IF(AND($B174="",$C174="",LEN($A174)&lt;=2),TRUE,FALSE)</formula>
    </cfRule>
    <cfRule type="expression" dxfId="505" priority="631">
      <formula>IF(AND($B174="",$C174=""),TRUE,FALSE)</formula>
    </cfRule>
  </conditionalFormatting>
  <conditionalFormatting sqref="E174">
    <cfRule type="expression" dxfId="504" priority="628">
      <formula>IF(AND($B174="",$C174="",LEN($A174)&lt;=2),TRUE,FALSE)</formula>
    </cfRule>
    <cfRule type="expression" dxfId="503" priority="629">
      <formula>IF(AND($B174="",$C174=""),TRUE,FALSE)</formula>
    </cfRule>
  </conditionalFormatting>
  <conditionalFormatting sqref="C175 H175:I175">
    <cfRule type="expression" dxfId="502" priority="620">
      <formula>IF(AND($B175="",$C175="",LEN($A175)&lt;=2),TRUE,FALSE)</formula>
    </cfRule>
    <cfRule type="expression" dxfId="501" priority="621">
      <formula>IF(AND($B175="",$C175=""),TRUE,FALSE)</formula>
    </cfRule>
  </conditionalFormatting>
  <conditionalFormatting sqref="C175">
    <cfRule type="expression" dxfId="500" priority="622">
      <formula>IF((COUNTIF(#REF!,#REF!))&gt;1,TRUE,FALSE)</formula>
    </cfRule>
  </conditionalFormatting>
  <conditionalFormatting sqref="F175">
    <cfRule type="expression" dxfId="499" priority="618">
      <formula>IF(AND($B175="",$C175="",LEN($A175)&lt;=2),TRUE,FALSE)</formula>
    </cfRule>
    <cfRule type="expression" dxfId="498" priority="619">
      <formula>IF(AND($B175="",$C175=""),TRUE,FALSE)</formula>
    </cfRule>
  </conditionalFormatting>
  <conditionalFormatting sqref="D175">
    <cfRule type="expression" dxfId="497" priority="616">
      <formula>IF(AND($B175="",$C175="",LEN($A175)&lt;=2),TRUE,FALSE)</formula>
    </cfRule>
    <cfRule type="expression" dxfId="496" priority="617">
      <formula>IF(AND($B175="",$C175=""),TRUE,FALSE)</formula>
    </cfRule>
  </conditionalFormatting>
  <conditionalFormatting sqref="D175">
    <cfRule type="expression" dxfId="495" priority="614">
      <formula>IF(AND($B175="",$C175="",LEN($A175)&lt;=2),TRUE,FALSE)</formula>
    </cfRule>
    <cfRule type="expression" dxfId="494" priority="615">
      <formula>IF(AND($B175="",$C175=""),TRUE,FALSE)</formula>
    </cfRule>
  </conditionalFormatting>
  <conditionalFormatting sqref="G175">
    <cfRule type="expression" dxfId="493" priority="612">
      <formula>IF(AND($B175="",$C175="",LEN($A175)&lt;=2),TRUE,FALSE)</formula>
    </cfRule>
    <cfRule type="expression" dxfId="492" priority="613">
      <formula>IF(AND($B175="",$C175=""),TRUE,FALSE)</formula>
    </cfRule>
  </conditionalFormatting>
  <conditionalFormatting sqref="E175">
    <cfRule type="expression" dxfId="491" priority="610">
      <formula>IF(AND($B175="",$C175="",LEN($A175)&lt;=2),TRUE,FALSE)</formula>
    </cfRule>
    <cfRule type="expression" dxfId="490" priority="611">
      <formula>IF(AND($B175="",$C175=""),TRUE,FALSE)</formula>
    </cfRule>
  </conditionalFormatting>
  <conditionalFormatting sqref="B176:C176 H176:I176">
    <cfRule type="expression" dxfId="489" priority="607">
      <formula>IF(AND($B176="",$C176="",LEN($A176)&lt;=2),TRUE,FALSE)</formula>
    </cfRule>
    <cfRule type="expression" dxfId="488" priority="608">
      <formula>IF(AND($B176="",$C176=""),TRUE,FALSE)</formula>
    </cfRule>
  </conditionalFormatting>
  <conditionalFormatting sqref="C176">
    <cfRule type="expression" dxfId="487" priority="609">
      <formula>IF((COUNTIF(#REF!,#REF!))&gt;1,TRUE,FALSE)</formula>
    </cfRule>
  </conditionalFormatting>
  <conditionalFormatting sqref="F176">
    <cfRule type="expression" dxfId="486" priority="605">
      <formula>IF(AND($B176="",$C176="",LEN($A176)&lt;=2),TRUE,FALSE)</formula>
    </cfRule>
    <cfRule type="expression" dxfId="485" priority="606">
      <formula>IF(AND($B176="",$C176=""),TRUE,FALSE)</formula>
    </cfRule>
  </conditionalFormatting>
  <conditionalFormatting sqref="D176">
    <cfRule type="expression" dxfId="484" priority="603">
      <formula>IF(AND($B176="",$C176="",LEN($A176)&lt;=2),TRUE,FALSE)</formula>
    </cfRule>
    <cfRule type="expression" dxfId="483" priority="604">
      <formula>IF(AND($B176="",$C176=""),TRUE,FALSE)</formula>
    </cfRule>
  </conditionalFormatting>
  <conditionalFormatting sqref="D176">
    <cfRule type="expression" dxfId="482" priority="601">
      <formula>IF(AND($B176="",$C176="",LEN($A176)&lt;=2),TRUE,FALSE)</formula>
    </cfRule>
    <cfRule type="expression" dxfId="481" priority="602">
      <formula>IF(AND($B176="",$C176=""),TRUE,FALSE)</formula>
    </cfRule>
  </conditionalFormatting>
  <conditionalFormatting sqref="G176">
    <cfRule type="expression" dxfId="480" priority="599">
      <formula>IF(AND($B176="",$C176="",LEN($A176)&lt;=2),TRUE,FALSE)</formula>
    </cfRule>
    <cfRule type="expression" dxfId="479" priority="600">
      <formula>IF(AND($B176="",$C176=""),TRUE,FALSE)</formula>
    </cfRule>
  </conditionalFormatting>
  <conditionalFormatting sqref="E176">
    <cfRule type="expression" dxfId="478" priority="597">
      <formula>IF(AND($B176="",$C176="",LEN($A176)&lt;=2),TRUE,FALSE)</formula>
    </cfRule>
    <cfRule type="expression" dxfId="477" priority="598">
      <formula>IF(AND($B176="",$C176=""),TRUE,FALSE)</formula>
    </cfRule>
  </conditionalFormatting>
  <conditionalFormatting sqref="B175">
    <cfRule type="expression" dxfId="476" priority="595">
      <formula>IF(AND($B175="",$C175="",LEN($A175)&lt;=2),TRUE,FALSE)</formula>
    </cfRule>
    <cfRule type="expression" dxfId="475" priority="596">
      <formula>IF(AND($B175="",$C175=""),TRUE,FALSE)</formula>
    </cfRule>
  </conditionalFormatting>
  <conditionalFormatting sqref="B181">
    <cfRule type="expression" dxfId="474" priority="593">
      <formula>IF(AND($B181="",$C181="",LEN($A181)&lt;=2),TRUE,FALSE)</formula>
    </cfRule>
    <cfRule type="expression" dxfId="473" priority="594">
      <formula>IF(AND($B181="",$C181=""),TRUE,FALSE)</formula>
    </cfRule>
  </conditionalFormatting>
  <conditionalFormatting sqref="C186 H186:I186">
    <cfRule type="expression" dxfId="472" priority="589">
      <formula>IF(AND($B186="",$C186="",LEN($A186)&lt;=2),TRUE,FALSE)</formula>
    </cfRule>
    <cfRule type="expression" dxfId="471" priority="590">
      <formula>IF(AND($B186="",$C186=""),TRUE,FALSE)</formula>
    </cfRule>
  </conditionalFormatting>
  <conditionalFormatting sqref="C186">
    <cfRule type="expression" dxfId="470" priority="591">
      <formula>IF((COUNTIF(#REF!,#REF!))&gt;1,TRUE,FALSE)</formula>
    </cfRule>
  </conditionalFormatting>
  <conditionalFormatting sqref="F186">
    <cfRule type="expression" dxfId="469" priority="587">
      <formula>IF(AND($B186="",$C186="",LEN($A186)&lt;=2),TRUE,FALSE)</formula>
    </cfRule>
    <cfRule type="expression" dxfId="468" priority="588">
      <formula>IF(AND($B186="",$C186=""),TRUE,FALSE)</formula>
    </cfRule>
  </conditionalFormatting>
  <conditionalFormatting sqref="D186">
    <cfRule type="expression" dxfId="467" priority="585">
      <formula>IF(AND($B186="",$C186="",LEN($A186)&lt;=2),TRUE,FALSE)</formula>
    </cfRule>
    <cfRule type="expression" dxfId="466" priority="586">
      <formula>IF(AND($B186="",$C186=""),TRUE,FALSE)</formula>
    </cfRule>
  </conditionalFormatting>
  <conditionalFormatting sqref="D186">
    <cfRule type="expression" dxfId="465" priority="583">
      <formula>IF(AND($B186="",$C186="",LEN($A186)&lt;=2),TRUE,FALSE)</formula>
    </cfRule>
    <cfRule type="expression" dxfId="464" priority="584">
      <formula>IF(AND($B186="",$C186=""),TRUE,FALSE)</formula>
    </cfRule>
  </conditionalFormatting>
  <conditionalFormatting sqref="G186">
    <cfRule type="expression" dxfId="463" priority="581">
      <formula>IF(AND($B186="",$C186="",LEN($A186)&lt;=2),TRUE,FALSE)</formula>
    </cfRule>
    <cfRule type="expression" dxfId="462" priority="582">
      <formula>IF(AND($B186="",$C186=""),TRUE,FALSE)</formula>
    </cfRule>
  </conditionalFormatting>
  <conditionalFormatting sqref="E186">
    <cfRule type="expression" dxfId="461" priority="579">
      <formula>IF(AND($B186="",$C186="",LEN($A186)&lt;=2),TRUE,FALSE)</formula>
    </cfRule>
    <cfRule type="expression" dxfId="460" priority="580">
      <formula>IF(AND($B186="",$C186=""),TRUE,FALSE)</formula>
    </cfRule>
  </conditionalFormatting>
  <conditionalFormatting sqref="B186">
    <cfRule type="expression" dxfId="459" priority="577">
      <formula>IF(AND($B186="",$C186="",LEN($A186)&lt;=2),TRUE,FALSE)</formula>
    </cfRule>
    <cfRule type="expression" dxfId="458" priority="578">
      <formula>IF(AND($B186="",$C186=""),TRUE,FALSE)</formula>
    </cfRule>
  </conditionalFormatting>
  <conditionalFormatting sqref="A186:A192">
    <cfRule type="expression" dxfId="457" priority="575">
      <formula>IF(AND($B186="",$C186="",LEN($A186)&lt;=2),TRUE,FALSE)</formula>
    </cfRule>
    <cfRule type="expression" dxfId="456" priority="576">
      <formula>IF(AND($B186="",$C186=""),TRUE,FALSE)</formula>
    </cfRule>
  </conditionalFormatting>
  <conditionalFormatting sqref="C185 H185:I185">
    <cfRule type="expression" dxfId="455" priority="571">
      <formula>IF(AND($B185="",$C185="",LEN($A185)&lt;=2),TRUE,FALSE)</formula>
    </cfRule>
    <cfRule type="expression" dxfId="454" priority="572">
      <formula>IF(AND($B185="",$C185=""),TRUE,FALSE)</formula>
    </cfRule>
  </conditionalFormatting>
  <conditionalFormatting sqref="C185">
    <cfRule type="expression" dxfId="453" priority="573">
      <formula>IF((COUNTIF(#REF!,#REF!))&gt;1,TRUE,FALSE)</formula>
    </cfRule>
  </conditionalFormatting>
  <conditionalFormatting sqref="F185">
    <cfRule type="expression" dxfId="452" priority="569">
      <formula>IF(AND($B185="",$C185="",LEN($A185)&lt;=2),TRUE,FALSE)</formula>
    </cfRule>
    <cfRule type="expression" dxfId="451" priority="570">
      <formula>IF(AND($B185="",$C185=""),TRUE,FALSE)</formula>
    </cfRule>
  </conditionalFormatting>
  <conditionalFormatting sqref="D185">
    <cfRule type="expression" dxfId="450" priority="567">
      <formula>IF(AND($B185="",$C185="",LEN($A185)&lt;=2),TRUE,FALSE)</formula>
    </cfRule>
    <cfRule type="expression" dxfId="449" priority="568">
      <formula>IF(AND($B185="",$C185=""),TRUE,FALSE)</formula>
    </cfRule>
  </conditionalFormatting>
  <conditionalFormatting sqref="D185">
    <cfRule type="expression" dxfId="448" priority="565">
      <formula>IF(AND($B185="",$C185="",LEN($A185)&lt;=2),TRUE,FALSE)</formula>
    </cfRule>
    <cfRule type="expression" dxfId="447" priority="566">
      <formula>IF(AND($B185="",$C185=""),TRUE,FALSE)</formula>
    </cfRule>
  </conditionalFormatting>
  <conditionalFormatting sqref="G185">
    <cfRule type="expression" dxfId="446" priority="563">
      <formula>IF(AND($B185="",$C185="",LEN($A185)&lt;=2),TRUE,FALSE)</formula>
    </cfRule>
    <cfRule type="expression" dxfId="445" priority="564">
      <formula>IF(AND($B185="",$C185=""),TRUE,FALSE)</formula>
    </cfRule>
  </conditionalFormatting>
  <conditionalFormatting sqref="E185">
    <cfRule type="expression" dxfId="444" priority="561">
      <formula>IF(AND($B185="",$C185="",LEN($A185)&lt;=2),TRUE,FALSE)</formula>
    </cfRule>
    <cfRule type="expression" dxfId="443" priority="562">
      <formula>IF(AND($B185="",$C185=""),TRUE,FALSE)</formula>
    </cfRule>
  </conditionalFormatting>
  <conditionalFormatting sqref="B185">
    <cfRule type="expression" dxfId="442" priority="559">
      <formula>IF(AND($B185="",$C185="",LEN($A185)&lt;=2),TRUE,FALSE)</formula>
    </cfRule>
    <cfRule type="expression" dxfId="441" priority="560">
      <formula>IF(AND($B185="",$C185=""),TRUE,FALSE)</formula>
    </cfRule>
  </conditionalFormatting>
  <conditionalFormatting sqref="A185">
    <cfRule type="expression" dxfId="440" priority="557">
      <formula>IF(AND($B185="",$C185="",LEN($A185)&lt;=2),TRUE,FALSE)</formula>
    </cfRule>
    <cfRule type="expression" dxfId="439" priority="558">
      <formula>IF(AND($B185="",$C185=""),TRUE,FALSE)</formula>
    </cfRule>
  </conditionalFormatting>
  <conditionalFormatting sqref="C193">
    <cfRule type="expression" dxfId="438" priority="551">
      <formula>IF(AND($B193="",$C193="",LEN($A193)&lt;=2),TRUE,FALSE)</formula>
    </cfRule>
    <cfRule type="expression" dxfId="437" priority="552">
      <formula>IF(AND($B193="",$C193=""),TRUE,FALSE)</formula>
    </cfRule>
  </conditionalFormatting>
  <conditionalFormatting sqref="C193">
    <cfRule type="expression" dxfId="436" priority="550">
      <formula>IF((COUNTIF(#REF!,#REF!))&gt;1,TRUE,FALSE)</formula>
    </cfRule>
  </conditionalFormatting>
  <conditionalFormatting sqref="H193:I193">
    <cfRule type="expression" dxfId="435" priority="547">
      <formula>IF(AND($B193="",$C193="",LEN($A193)&lt;=2),TRUE,FALSE)</formula>
    </cfRule>
    <cfRule type="expression" dxfId="434" priority="548">
      <formula>IF(AND($B193="",$C193=""),TRUE,FALSE)</formula>
    </cfRule>
  </conditionalFormatting>
  <conditionalFormatting sqref="F193">
    <cfRule type="expression" dxfId="433" priority="545">
      <formula>IF(AND($B193="",$C193="",LEN($A193)&lt;=2),TRUE,FALSE)</formula>
    </cfRule>
    <cfRule type="expression" dxfId="432" priority="546">
      <formula>IF(AND($B193="",$C193=""),TRUE,FALSE)</formula>
    </cfRule>
  </conditionalFormatting>
  <conditionalFormatting sqref="D193">
    <cfRule type="expression" dxfId="431" priority="543">
      <formula>IF(AND($B193="",$C193="",LEN($A193)&lt;=2),TRUE,FALSE)</formula>
    </cfRule>
    <cfRule type="expression" dxfId="430" priority="544">
      <formula>IF(AND($B193="",$C193=""),TRUE,FALSE)</formula>
    </cfRule>
  </conditionalFormatting>
  <conditionalFormatting sqref="D193">
    <cfRule type="expression" dxfId="429" priority="541">
      <formula>IF(AND($B193="",$C193="",LEN($A193)&lt;=2),TRUE,FALSE)</formula>
    </cfRule>
    <cfRule type="expression" dxfId="428" priority="542">
      <formula>IF(AND($B193="",$C193=""),TRUE,FALSE)</formula>
    </cfRule>
  </conditionalFormatting>
  <conditionalFormatting sqref="G193">
    <cfRule type="expression" dxfId="427" priority="539">
      <formula>IF(AND($B193="",$C193="",LEN($A193)&lt;=2),TRUE,FALSE)</formula>
    </cfRule>
    <cfRule type="expression" dxfId="426" priority="540">
      <formula>IF(AND($B193="",$C193=""),TRUE,FALSE)</formula>
    </cfRule>
  </conditionalFormatting>
  <conditionalFormatting sqref="E193">
    <cfRule type="expression" dxfId="425" priority="537">
      <formula>IF(AND($B193="",$C193="",LEN($A193)&lt;=2),TRUE,FALSE)</formula>
    </cfRule>
    <cfRule type="expression" dxfId="424" priority="538">
      <formula>IF(AND($B193="",$C193=""),TRUE,FALSE)</formula>
    </cfRule>
  </conditionalFormatting>
  <conditionalFormatting sqref="A193">
    <cfRule type="expression" dxfId="423" priority="535">
      <formula>IF(AND($B193="",$C193="",LEN($A193)&lt;=2),TRUE,FALSE)</formula>
    </cfRule>
    <cfRule type="expression" dxfId="422" priority="536">
      <formula>IF(AND($B193="",$C193=""),TRUE,FALSE)</formula>
    </cfRule>
  </conditionalFormatting>
  <conditionalFormatting sqref="B193">
    <cfRule type="expression" dxfId="421" priority="533">
      <formula>IF(AND($B193="",$C193="",LEN($A193)&lt;=2),TRUE,FALSE)</formula>
    </cfRule>
    <cfRule type="expression" dxfId="420" priority="534">
      <formula>IF(AND($B193="",$C193=""),TRUE,FALSE)</formula>
    </cfRule>
  </conditionalFormatting>
  <conditionalFormatting sqref="C194">
    <cfRule type="expression" dxfId="419" priority="531">
      <formula>IF(AND($B194="",$C194="",LEN($A194)&lt;=2),TRUE,FALSE)</formula>
    </cfRule>
    <cfRule type="expression" dxfId="418" priority="532">
      <formula>IF(AND($B194="",$C194=""),TRUE,FALSE)</formula>
    </cfRule>
  </conditionalFormatting>
  <conditionalFormatting sqref="C194">
    <cfRule type="expression" dxfId="417" priority="530">
      <formula>IF((COUNTIF(#REF!,#REF!))&gt;1,TRUE,FALSE)</formula>
    </cfRule>
  </conditionalFormatting>
  <conditionalFormatting sqref="H194:I194">
    <cfRule type="expression" dxfId="416" priority="527">
      <formula>IF(AND($B194="",$C194="",LEN($A194)&lt;=2),TRUE,FALSE)</formula>
    </cfRule>
    <cfRule type="expression" dxfId="415" priority="528">
      <formula>IF(AND($B194="",$C194=""),TRUE,FALSE)</formula>
    </cfRule>
  </conditionalFormatting>
  <conditionalFormatting sqref="F194">
    <cfRule type="expression" dxfId="414" priority="525">
      <formula>IF(AND($B194="",$C194="",LEN($A194)&lt;=2),TRUE,FALSE)</formula>
    </cfRule>
    <cfRule type="expression" dxfId="413" priority="526">
      <formula>IF(AND($B194="",$C194=""),TRUE,FALSE)</formula>
    </cfRule>
  </conditionalFormatting>
  <conditionalFormatting sqref="D194">
    <cfRule type="expression" dxfId="412" priority="523">
      <formula>IF(AND($B194="",$C194="",LEN($A194)&lt;=2),TRUE,FALSE)</formula>
    </cfRule>
    <cfRule type="expression" dxfId="411" priority="524">
      <formula>IF(AND($B194="",$C194=""),TRUE,FALSE)</formula>
    </cfRule>
  </conditionalFormatting>
  <conditionalFormatting sqref="D194">
    <cfRule type="expression" dxfId="410" priority="521">
      <formula>IF(AND($B194="",$C194="",LEN($A194)&lt;=2),TRUE,FALSE)</formula>
    </cfRule>
    <cfRule type="expression" dxfId="409" priority="522">
      <formula>IF(AND($B194="",$C194=""),TRUE,FALSE)</formula>
    </cfRule>
  </conditionalFormatting>
  <conditionalFormatting sqref="G194">
    <cfRule type="expression" dxfId="408" priority="519">
      <formula>IF(AND($B194="",$C194="",LEN($A194)&lt;=2),TRUE,FALSE)</formula>
    </cfRule>
    <cfRule type="expression" dxfId="407" priority="520">
      <formula>IF(AND($B194="",$C194=""),TRUE,FALSE)</formula>
    </cfRule>
  </conditionalFormatting>
  <conditionalFormatting sqref="E194">
    <cfRule type="expression" dxfId="406" priority="517">
      <formula>IF(AND($B194="",$C194="",LEN($A194)&lt;=2),TRUE,FALSE)</formula>
    </cfRule>
    <cfRule type="expression" dxfId="405" priority="518">
      <formula>IF(AND($B194="",$C194=""),TRUE,FALSE)</formula>
    </cfRule>
  </conditionalFormatting>
  <conditionalFormatting sqref="A194">
    <cfRule type="expression" dxfId="404" priority="515">
      <formula>IF(AND($B194="",$C194="",LEN($A194)&lt;=2),TRUE,FALSE)</formula>
    </cfRule>
    <cfRule type="expression" dxfId="403" priority="516">
      <formula>IF(AND($B194="",$C194=""),TRUE,FALSE)</formula>
    </cfRule>
  </conditionalFormatting>
  <conditionalFormatting sqref="B194">
    <cfRule type="expression" dxfId="402" priority="513">
      <formula>IF(AND($B194="",$C194="",LEN($A194)&lt;=2),TRUE,FALSE)</formula>
    </cfRule>
    <cfRule type="expression" dxfId="401" priority="514">
      <formula>IF(AND($B194="",$C194=""),TRUE,FALSE)</formula>
    </cfRule>
  </conditionalFormatting>
  <conditionalFormatting sqref="C202">
    <cfRule type="expression" dxfId="400" priority="511">
      <formula>IF(AND($B202="",$C202="",LEN($A202)&lt;=2),TRUE,FALSE)</formula>
    </cfRule>
    <cfRule type="expression" dxfId="399" priority="512">
      <formula>IF(AND($B202="",$C202=""),TRUE,FALSE)</formula>
    </cfRule>
  </conditionalFormatting>
  <conditionalFormatting sqref="C202">
    <cfRule type="expression" dxfId="398" priority="510">
      <formula>IF((COUNTIF(#REF!,#REF!))&gt;1,TRUE,FALSE)</formula>
    </cfRule>
  </conditionalFormatting>
  <conditionalFormatting sqref="H202:I202">
    <cfRule type="expression" dxfId="397" priority="507">
      <formula>IF(AND($B202="",$C202="",LEN($A202)&lt;=2),TRUE,FALSE)</formula>
    </cfRule>
    <cfRule type="expression" dxfId="396" priority="508">
      <formula>IF(AND($B202="",$C202=""),TRUE,FALSE)</formula>
    </cfRule>
  </conditionalFormatting>
  <conditionalFormatting sqref="F202">
    <cfRule type="expression" dxfId="395" priority="505">
      <formula>IF(AND($B202="",$C202="",LEN($A202)&lt;=2),TRUE,FALSE)</formula>
    </cfRule>
    <cfRule type="expression" dxfId="394" priority="506">
      <formula>IF(AND($B202="",$C202=""),TRUE,FALSE)</formula>
    </cfRule>
  </conditionalFormatting>
  <conditionalFormatting sqref="D202">
    <cfRule type="expression" dxfId="393" priority="503">
      <formula>IF(AND($B202="",$C202="",LEN($A202)&lt;=2),TRUE,FALSE)</formula>
    </cfRule>
    <cfRule type="expression" dxfId="392" priority="504">
      <formula>IF(AND($B202="",$C202=""),TRUE,FALSE)</formula>
    </cfRule>
  </conditionalFormatting>
  <conditionalFormatting sqref="D202">
    <cfRule type="expression" dxfId="391" priority="501">
      <formula>IF(AND($B202="",$C202="",LEN($A202)&lt;=2),TRUE,FALSE)</formula>
    </cfRule>
    <cfRule type="expression" dxfId="390" priority="502">
      <formula>IF(AND($B202="",$C202=""),TRUE,FALSE)</formula>
    </cfRule>
  </conditionalFormatting>
  <conditionalFormatting sqref="G202">
    <cfRule type="expression" dxfId="389" priority="499">
      <formula>IF(AND($B202="",$C202="",LEN($A202)&lt;=2),TRUE,FALSE)</formula>
    </cfRule>
    <cfRule type="expression" dxfId="388" priority="500">
      <formula>IF(AND($B202="",$C202=""),TRUE,FALSE)</formula>
    </cfRule>
  </conditionalFormatting>
  <conditionalFormatting sqref="E202">
    <cfRule type="expression" dxfId="387" priority="497">
      <formula>IF(AND($B202="",$C202="",LEN($A202)&lt;=2),TRUE,FALSE)</formula>
    </cfRule>
    <cfRule type="expression" dxfId="386" priority="498">
      <formula>IF(AND($B202="",$C202=""),TRUE,FALSE)</formula>
    </cfRule>
  </conditionalFormatting>
  <conditionalFormatting sqref="B202">
    <cfRule type="expression" dxfId="385" priority="493">
      <formula>IF(AND($B202="",$C202="",LEN($A202)&lt;=2),TRUE,FALSE)</formula>
    </cfRule>
    <cfRule type="expression" dxfId="384" priority="494">
      <formula>IF(AND($B202="",$C202=""),TRUE,FALSE)</formula>
    </cfRule>
  </conditionalFormatting>
  <conditionalFormatting sqref="C195">
    <cfRule type="expression" dxfId="383" priority="490">
      <formula>IF(AND($B195="",$C195="",LEN($A195)&lt;=2),TRUE,FALSE)</formula>
    </cfRule>
    <cfRule type="expression" dxfId="382" priority="491">
      <formula>IF(AND($B195="",$C195=""),TRUE,FALSE)</formula>
    </cfRule>
  </conditionalFormatting>
  <conditionalFormatting sqref="C195">
    <cfRule type="expression" dxfId="381" priority="489">
      <formula>IF((COUNTIF(#REF!,#REF!))&gt;1,TRUE,FALSE)</formula>
    </cfRule>
  </conditionalFormatting>
  <conditionalFormatting sqref="H195:I195">
    <cfRule type="expression" dxfId="380" priority="487">
      <formula>IF(AND($B195="",$C195="",LEN($A195)&lt;=2),TRUE,FALSE)</formula>
    </cfRule>
    <cfRule type="expression" dxfId="379" priority="488">
      <formula>IF(AND($B195="",$C195=""),TRUE,FALSE)</formula>
    </cfRule>
  </conditionalFormatting>
  <conditionalFormatting sqref="F195">
    <cfRule type="expression" dxfId="378" priority="485">
      <formula>IF(AND($B195="",$C195="",LEN($A195)&lt;=2),TRUE,FALSE)</formula>
    </cfRule>
    <cfRule type="expression" dxfId="377" priority="486">
      <formula>IF(AND($B195="",$C195=""),TRUE,FALSE)</formula>
    </cfRule>
  </conditionalFormatting>
  <conditionalFormatting sqref="D195">
    <cfRule type="expression" dxfId="376" priority="483">
      <formula>IF(AND($B195="",$C195="",LEN($A195)&lt;=2),TRUE,FALSE)</formula>
    </cfRule>
    <cfRule type="expression" dxfId="375" priority="484">
      <formula>IF(AND($B195="",$C195=""),TRUE,FALSE)</formula>
    </cfRule>
  </conditionalFormatting>
  <conditionalFormatting sqref="D195">
    <cfRule type="expression" dxfId="374" priority="481">
      <formula>IF(AND($B195="",$C195="",LEN($A195)&lt;=2),TRUE,FALSE)</formula>
    </cfRule>
    <cfRule type="expression" dxfId="373" priority="482">
      <formula>IF(AND($B195="",$C195=""),TRUE,FALSE)</formula>
    </cfRule>
  </conditionalFormatting>
  <conditionalFormatting sqref="G195">
    <cfRule type="expression" dxfId="372" priority="479">
      <formula>IF(AND($B195="",$C195="",LEN($A195)&lt;=2),TRUE,FALSE)</formula>
    </cfRule>
    <cfRule type="expression" dxfId="371" priority="480">
      <formula>IF(AND($B195="",$C195=""),TRUE,FALSE)</formula>
    </cfRule>
  </conditionalFormatting>
  <conditionalFormatting sqref="E195">
    <cfRule type="expression" dxfId="370" priority="477">
      <formula>IF(AND($B195="",$C195="",LEN($A195)&lt;=2),TRUE,FALSE)</formula>
    </cfRule>
    <cfRule type="expression" dxfId="369" priority="478">
      <formula>IF(AND($B195="",$C195=""),TRUE,FALSE)</formula>
    </cfRule>
  </conditionalFormatting>
  <conditionalFormatting sqref="A195:A200 A202">
    <cfRule type="expression" dxfId="368" priority="475">
      <formula>IF(AND($B195="",$C195="",LEN($A195)&lt;=2),TRUE,FALSE)</formula>
    </cfRule>
    <cfRule type="expression" dxfId="367" priority="476">
      <formula>IF(AND($B195="",$C195=""),TRUE,FALSE)</formula>
    </cfRule>
  </conditionalFormatting>
  <conditionalFormatting sqref="B195">
    <cfRule type="expression" dxfId="366" priority="473">
      <formula>IF(AND($B195="",$C195="",LEN($A195)&lt;=2),TRUE,FALSE)</formula>
    </cfRule>
    <cfRule type="expression" dxfId="365" priority="474">
      <formula>IF(AND($B195="",$C195=""),TRUE,FALSE)</formula>
    </cfRule>
  </conditionalFormatting>
  <conditionalFormatting sqref="C196">
    <cfRule type="expression" dxfId="364" priority="470">
      <formula>IF(AND($B196="",$C196="",LEN($A196)&lt;=2),TRUE,FALSE)</formula>
    </cfRule>
    <cfRule type="expression" dxfId="363" priority="471">
      <formula>IF(AND($B196="",$C196=""),TRUE,FALSE)</formula>
    </cfRule>
  </conditionalFormatting>
  <conditionalFormatting sqref="C196">
    <cfRule type="expression" dxfId="362" priority="469">
      <formula>IF((COUNTIF(#REF!,#REF!))&gt;1,TRUE,FALSE)</formula>
    </cfRule>
  </conditionalFormatting>
  <conditionalFormatting sqref="H196:I196">
    <cfRule type="expression" dxfId="361" priority="467">
      <formula>IF(AND($B196="",$C196="",LEN($A196)&lt;=2),TRUE,FALSE)</formula>
    </cfRule>
    <cfRule type="expression" dxfId="360" priority="468">
      <formula>IF(AND($B196="",$C196=""),TRUE,FALSE)</formula>
    </cfRule>
  </conditionalFormatting>
  <conditionalFormatting sqref="F196">
    <cfRule type="expression" dxfId="359" priority="465">
      <formula>IF(AND($B196="",$C196="",LEN($A196)&lt;=2),TRUE,FALSE)</formula>
    </cfRule>
    <cfRule type="expression" dxfId="358" priority="466">
      <formula>IF(AND($B196="",$C196=""),TRUE,FALSE)</formula>
    </cfRule>
  </conditionalFormatting>
  <conditionalFormatting sqref="D196">
    <cfRule type="expression" dxfId="357" priority="463">
      <formula>IF(AND($B196="",$C196="",LEN($A196)&lt;=2),TRUE,FALSE)</formula>
    </cfRule>
    <cfRule type="expression" dxfId="356" priority="464">
      <formula>IF(AND($B196="",$C196=""),TRUE,FALSE)</formula>
    </cfRule>
  </conditionalFormatting>
  <conditionalFormatting sqref="D196">
    <cfRule type="expression" dxfId="355" priority="461">
      <formula>IF(AND($B196="",$C196="",LEN($A196)&lt;=2),TRUE,FALSE)</formula>
    </cfRule>
    <cfRule type="expression" dxfId="354" priority="462">
      <formula>IF(AND($B196="",$C196=""),TRUE,FALSE)</formula>
    </cfRule>
  </conditionalFormatting>
  <conditionalFormatting sqref="G196">
    <cfRule type="expression" dxfId="353" priority="459">
      <formula>IF(AND($B196="",$C196="",LEN($A196)&lt;=2),TRUE,FALSE)</formula>
    </cfRule>
    <cfRule type="expression" dxfId="352" priority="460">
      <formula>IF(AND($B196="",$C196=""),TRUE,FALSE)</formula>
    </cfRule>
  </conditionalFormatting>
  <conditionalFormatting sqref="E196">
    <cfRule type="expression" dxfId="351" priority="457">
      <formula>IF(AND($B196="",$C196="",LEN($A196)&lt;=2),TRUE,FALSE)</formula>
    </cfRule>
    <cfRule type="expression" dxfId="350" priority="458">
      <formula>IF(AND($B196="",$C196=""),TRUE,FALSE)</formula>
    </cfRule>
  </conditionalFormatting>
  <conditionalFormatting sqref="B196">
    <cfRule type="expression" dxfId="349" priority="453">
      <formula>IF(AND($B196="",$C196="",LEN($A196)&lt;=2),TRUE,FALSE)</formula>
    </cfRule>
    <cfRule type="expression" dxfId="348" priority="454">
      <formula>IF(AND($B196="",$C196=""),TRUE,FALSE)</formula>
    </cfRule>
  </conditionalFormatting>
  <conditionalFormatting sqref="C197:C198">
    <cfRule type="expression" dxfId="347" priority="450">
      <formula>IF(AND($B197="",$C197="",LEN($A197)&lt;=2),TRUE,FALSE)</formula>
    </cfRule>
    <cfRule type="expression" dxfId="346" priority="451">
      <formula>IF(AND($B197="",$C197=""),TRUE,FALSE)</formula>
    </cfRule>
  </conditionalFormatting>
  <conditionalFormatting sqref="C197:C198">
    <cfRule type="expression" dxfId="345" priority="449">
      <formula>IF((COUNTIF(#REF!,#REF!))&gt;1,TRUE,FALSE)</formula>
    </cfRule>
  </conditionalFormatting>
  <conditionalFormatting sqref="H197:I197">
    <cfRule type="expression" dxfId="344" priority="447">
      <formula>IF(AND($B197="",$C197="",LEN($A197)&lt;=2),TRUE,FALSE)</formula>
    </cfRule>
    <cfRule type="expression" dxfId="343" priority="448">
      <formula>IF(AND($B197="",$C197=""),TRUE,FALSE)</formula>
    </cfRule>
  </conditionalFormatting>
  <conditionalFormatting sqref="F197">
    <cfRule type="expression" dxfId="342" priority="445">
      <formula>IF(AND($B197="",$C197="",LEN($A197)&lt;=2),TRUE,FALSE)</formula>
    </cfRule>
    <cfRule type="expression" dxfId="341" priority="446">
      <formula>IF(AND($B197="",$C197=""),TRUE,FALSE)</formula>
    </cfRule>
  </conditionalFormatting>
  <conditionalFormatting sqref="D197">
    <cfRule type="expression" dxfId="340" priority="443">
      <formula>IF(AND($B197="",$C197="",LEN($A197)&lt;=2),TRUE,FALSE)</formula>
    </cfRule>
    <cfRule type="expression" dxfId="339" priority="444">
      <formula>IF(AND($B197="",$C197=""),TRUE,FALSE)</formula>
    </cfRule>
  </conditionalFormatting>
  <conditionalFormatting sqref="D197">
    <cfRule type="expression" dxfId="338" priority="441">
      <formula>IF(AND($B197="",$C197="",LEN($A197)&lt;=2),TRUE,FALSE)</formula>
    </cfRule>
    <cfRule type="expression" dxfId="337" priority="442">
      <formula>IF(AND($B197="",$C197=""),TRUE,FALSE)</formula>
    </cfRule>
  </conditionalFormatting>
  <conditionalFormatting sqref="G197">
    <cfRule type="expression" dxfId="336" priority="439">
      <formula>IF(AND($B197="",$C197="",LEN($A197)&lt;=2),TRUE,FALSE)</formula>
    </cfRule>
    <cfRule type="expression" dxfId="335" priority="440">
      <formula>IF(AND($B197="",$C197=""),TRUE,FALSE)</formula>
    </cfRule>
  </conditionalFormatting>
  <conditionalFormatting sqref="E197">
    <cfRule type="expression" dxfId="334" priority="437">
      <formula>IF(AND($B197="",$C197="",LEN($A197)&lt;=2),TRUE,FALSE)</formula>
    </cfRule>
    <cfRule type="expression" dxfId="333" priority="438">
      <formula>IF(AND($B197="",$C197=""),TRUE,FALSE)</formula>
    </cfRule>
  </conditionalFormatting>
  <conditionalFormatting sqref="B197">
    <cfRule type="expression" dxfId="332" priority="433">
      <formula>IF(AND($B197="",$C197="",LEN($A197)&lt;=2),TRUE,FALSE)</formula>
    </cfRule>
    <cfRule type="expression" dxfId="331" priority="434">
      <formula>IF(AND($B197="",$C197=""),TRUE,FALSE)</formula>
    </cfRule>
  </conditionalFormatting>
  <conditionalFormatting sqref="H198:I198">
    <cfRule type="expression" dxfId="330" priority="427">
      <formula>IF(AND($B198="",$C198="",LEN($A198)&lt;=2),TRUE,FALSE)</formula>
    </cfRule>
    <cfRule type="expression" dxfId="329" priority="428">
      <formula>IF(AND($B198="",$C198=""),TRUE,FALSE)</formula>
    </cfRule>
  </conditionalFormatting>
  <conditionalFormatting sqref="F198">
    <cfRule type="expression" dxfId="328" priority="425">
      <formula>IF(AND($B198="",$C198="",LEN($A198)&lt;=2),TRUE,FALSE)</formula>
    </cfRule>
    <cfRule type="expression" dxfId="327" priority="426">
      <formula>IF(AND($B198="",$C198=""),TRUE,FALSE)</formula>
    </cfRule>
  </conditionalFormatting>
  <conditionalFormatting sqref="D198">
    <cfRule type="expression" dxfId="326" priority="423">
      <formula>IF(AND($B198="",$C198="",LEN($A198)&lt;=2),TRUE,FALSE)</formula>
    </cfRule>
    <cfRule type="expression" dxfId="325" priority="424">
      <formula>IF(AND($B198="",$C198=""),TRUE,FALSE)</formula>
    </cfRule>
  </conditionalFormatting>
  <conditionalFormatting sqref="D198">
    <cfRule type="expression" dxfId="324" priority="421">
      <formula>IF(AND($B198="",$C198="",LEN($A198)&lt;=2),TRUE,FALSE)</formula>
    </cfRule>
    <cfRule type="expression" dxfId="323" priority="422">
      <formula>IF(AND($B198="",$C198=""),TRUE,FALSE)</formula>
    </cfRule>
  </conditionalFormatting>
  <conditionalFormatting sqref="G198">
    <cfRule type="expression" dxfId="322" priority="419">
      <formula>IF(AND($B198="",$C198="",LEN($A198)&lt;=2),TRUE,FALSE)</formula>
    </cfRule>
    <cfRule type="expression" dxfId="321" priority="420">
      <formula>IF(AND($B198="",$C198=""),TRUE,FALSE)</formula>
    </cfRule>
  </conditionalFormatting>
  <conditionalFormatting sqref="E198">
    <cfRule type="expression" dxfId="320" priority="417">
      <formula>IF(AND($B198="",$C198="",LEN($A198)&lt;=2),TRUE,FALSE)</formula>
    </cfRule>
    <cfRule type="expression" dxfId="319" priority="418">
      <formula>IF(AND($B198="",$C198=""),TRUE,FALSE)</formula>
    </cfRule>
  </conditionalFormatting>
  <conditionalFormatting sqref="B198">
    <cfRule type="expression" dxfId="318" priority="413">
      <formula>IF(AND($B198="",$C198="",LEN($A198)&lt;=2),TRUE,FALSE)</formula>
    </cfRule>
    <cfRule type="expression" dxfId="317" priority="414">
      <formula>IF(AND($B198="",$C198=""),TRUE,FALSE)</formula>
    </cfRule>
  </conditionalFormatting>
  <conditionalFormatting sqref="C200">
    <cfRule type="expression" dxfId="316" priority="410">
      <formula>IF(AND($B200="",$C200="",LEN($A200)&lt;=2),TRUE,FALSE)</formula>
    </cfRule>
    <cfRule type="expression" dxfId="315" priority="411">
      <formula>IF(AND($B200="",$C200=""),TRUE,FALSE)</formula>
    </cfRule>
  </conditionalFormatting>
  <conditionalFormatting sqref="C200">
    <cfRule type="expression" dxfId="314" priority="409">
      <formula>IF((COUNTIF(#REF!,#REF!))&gt;1,TRUE,FALSE)</formula>
    </cfRule>
  </conditionalFormatting>
  <conditionalFormatting sqref="H200:I200">
    <cfRule type="expression" dxfId="313" priority="405">
      <formula>IF(AND($B200="",$C200="",LEN($A200)&lt;=2),TRUE,FALSE)</formula>
    </cfRule>
    <cfRule type="expression" dxfId="312" priority="406">
      <formula>IF(AND($B200="",$C200=""),TRUE,FALSE)</formula>
    </cfRule>
  </conditionalFormatting>
  <conditionalFormatting sqref="F200">
    <cfRule type="expression" dxfId="311" priority="403">
      <formula>IF(AND($B200="",$C200="",LEN($A200)&lt;=2),TRUE,FALSE)</formula>
    </cfRule>
    <cfRule type="expression" dxfId="310" priority="404">
      <formula>IF(AND($B200="",$C200=""),TRUE,FALSE)</formula>
    </cfRule>
  </conditionalFormatting>
  <conditionalFormatting sqref="D200">
    <cfRule type="expression" dxfId="309" priority="401">
      <formula>IF(AND($B200="",$C200="",LEN($A200)&lt;=2),TRUE,FALSE)</formula>
    </cfRule>
    <cfRule type="expression" dxfId="308" priority="402">
      <formula>IF(AND($B200="",$C200=""),TRUE,FALSE)</formula>
    </cfRule>
  </conditionalFormatting>
  <conditionalFormatting sqref="D200">
    <cfRule type="expression" dxfId="307" priority="399">
      <formula>IF(AND($B200="",$C200="",LEN($A200)&lt;=2),TRUE,FALSE)</formula>
    </cfRule>
    <cfRule type="expression" dxfId="306" priority="400">
      <formula>IF(AND($B200="",$C200=""),TRUE,FALSE)</formula>
    </cfRule>
  </conditionalFormatting>
  <conditionalFormatting sqref="G200">
    <cfRule type="expression" dxfId="305" priority="397">
      <formula>IF(AND($B200="",$C200="",LEN($A200)&lt;=2),TRUE,FALSE)</formula>
    </cfRule>
    <cfRule type="expression" dxfId="304" priority="398">
      <formula>IF(AND($B200="",$C200=""),TRUE,FALSE)</formula>
    </cfRule>
  </conditionalFormatting>
  <conditionalFormatting sqref="E200">
    <cfRule type="expression" dxfId="303" priority="395">
      <formula>IF(AND($B200="",$C200="",LEN($A200)&lt;=2),TRUE,FALSE)</formula>
    </cfRule>
    <cfRule type="expression" dxfId="302" priority="396">
      <formula>IF(AND($B200="",$C200=""),TRUE,FALSE)</formula>
    </cfRule>
  </conditionalFormatting>
  <conditionalFormatting sqref="B200">
    <cfRule type="expression" dxfId="301" priority="393">
      <formula>IF(AND($B200="",$C200="",LEN($A200)&lt;=2),TRUE,FALSE)</formula>
    </cfRule>
    <cfRule type="expression" dxfId="300" priority="394">
      <formula>IF(AND($B200="",$C200=""),TRUE,FALSE)</formula>
    </cfRule>
  </conditionalFormatting>
  <conditionalFormatting sqref="C199">
    <cfRule type="expression" dxfId="299" priority="388">
      <formula>IF(AND($B199="",$C199="",LEN($A199)&lt;=2),TRUE,FALSE)</formula>
    </cfRule>
    <cfRule type="expression" dxfId="298" priority="389">
      <formula>IF(AND($B199="",$C199=""),TRUE,FALSE)</formula>
    </cfRule>
  </conditionalFormatting>
  <conditionalFormatting sqref="C199">
    <cfRule type="expression" dxfId="297" priority="387">
      <formula>IF((COUNTIF(#REF!,#REF!))&gt;1,TRUE,FALSE)</formula>
    </cfRule>
  </conditionalFormatting>
  <conditionalFormatting sqref="H199:I199">
    <cfRule type="expression" dxfId="296" priority="385">
      <formula>IF(AND($B199="",$C199="",LEN($A199)&lt;=2),TRUE,FALSE)</formula>
    </cfRule>
    <cfRule type="expression" dxfId="295" priority="386">
      <formula>IF(AND($B199="",$C199=""),TRUE,FALSE)</formula>
    </cfRule>
  </conditionalFormatting>
  <conditionalFormatting sqref="F199">
    <cfRule type="expression" dxfId="294" priority="383">
      <formula>IF(AND($B199="",$C199="",LEN($A199)&lt;=2),TRUE,FALSE)</formula>
    </cfRule>
    <cfRule type="expression" dxfId="293" priority="384">
      <formula>IF(AND($B199="",$C199=""),TRUE,FALSE)</formula>
    </cfRule>
  </conditionalFormatting>
  <conditionalFormatting sqref="D199">
    <cfRule type="expression" dxfId="292" priority="381">
      <formula>IF(AND($B199="",$C199="",LEN($A199)&lt;=2),TRUE,FALSE)</formula>
    </cfRule>
    <cfRule type="expression" dxfId="291" priority="382">
      <formula>IF(AND($B199="",$C199=""),TRUE,FALSE)</formula>
    </cfRule>
  </conditionalFormatting>
  <conditionalFormatting sqref="D199">
    <cfRule type="expression" dxfId="290" priority="379">
      <formula>IF(AND($B199="",$C199="",LEN($A199)&lt;=2),TRUE,FALSE)</formula>
    </cfRule>
    <cfRule type="expression" dxfId="289" priority="380">
      <formula>IF(AND($B199="",$C199=""),TRUE,FALSE)</formula>
    </cfRule>
  </conditionalFormatting>
  <conditionalFormatting sqref="G199">
    <cfRule type="expression" dxfId="288" priority="377">
      <formula>IF(AND($B199="",$C199="",LEN($A199)&lt;=2),TRUE,FALSE)</formula>
    </cfRule>
    <cfRule type="expression" dxfId="287" priority="378">
      <formula>IF(AND($B199="",$C199=""),TRUE,FALSE)</formula>
    </cfRule>
  </conditionalFormatting>
  <conditionalFormatting sqref="E199">
    <cfRule type="expression" dxfId="286" priority="375">
      <formula>IF(AND($B199="",$C199="",LEN($A199)&lt;=2),TRUE,FALSE)</formula>
    </cfRule>
    <cfRule type="expression" dxfId="285" priority="376">
      <formula>IF(AND($B199="",$C199=""),TRUE,FALSE)</formula>
    </cfRule>
  </conditionalFormatting>
  <conditionalFormatting sqref="B199">
    <cfRule type="expression" dxfId="284" priority="373">
      <formula>IF(AND($B199="",$C199="",LEN($A199)&lt;=2),TRUE,FALSE)</formula>
    </cfRule>
    <cfRule type="expression" dxfId="283" priority="374">
      <formula>IF(AND($B199="",$C199=""),TRUE,FALSE)</formula>
    </cfRule>
  </conditionalFormatting>
  <conditionalFormatting sqref="B163:C163 H163:I163">
    <cfRule type="expression" dxfId="282" priority="367">
      <formula>IF(AND($B163="",$C163="",LEN($A163)&lt;=2),TRUE,FALSE)</formula>
    </cfRule>
    <cfRule type="expression" dxfId="281" priority="368">
      <formula>IF(AND($B163="",$C163=""),TRUE,FALSE)</formula>
    </cfRule>
  </conditionalFormatting>
  <conditionalFormatting sqref="C163">
    <cfRule type="expression" dxfId="280" priority="369">
      <formula>IF((COUNTIF(#REF!,#REF!))&gt;1,TRUE,FALSE)</formula>
    </cfRule>
  </conditionalFormatting>
  <conditionalFormatting sqref="F163">
    <cfRule type="expression" dxfId="279" priority="365">
      <formula>IF(AND($B163="",$C163="",LEN($A163)&lt;=2),TRUE,FALSE)</formula>
    </cfRule>
    <cfRule type="expression" dxfId="278" priority="366">
      <formula>IF(AND($B163="",$C163=""),TRUE,FALSE)</formula>
    </cfRule>
  </conditionalFormatting>
  <conditionalFormatting sqref="D163">
    <cfRule type="expression" dxfId="277" priority="363">
      <formula>IF(AND($B163="",$C163="",LEN($A163)&lt;=2),TRUE,FALSE)</formula>
    </cfRule>
    <cfRule type="expression" dxfId="276" priority="364">
      <formula>IF(AND($B163="",$C163=""),TRUE,FALSE)</formula>
    </cfRule>
  </conditionalFormatting>
  <conditionalFormatting sqref="D163">
    <cfRule type="expression" dxfId="275" priority="361">
      <formula>IF(AND($B163="",$C163="",LEN($A163)&lt;=2),TRUE,FALSE)</formula>
    </cfRule>
    <cfRule type="expression" dxfId="274" priority="362">
      <formula>IF(AND($B163="",$C163=""),TRUE,FALSE)</formula>
    </cfRule>
  </conditionalFormatting>
  <conditionalFormatting sqref="G163">
    <cfRule type="expression" dxfId="273" priority="359">
      <formula>IF(AND($B163="",$C163="",LEN($A163)&lt;=2),TRUE,FALSE)</formula>
    </cfRule>
    <cfRule type="expression" dxfId="272" priority="360">
      <formula>IF(AND($B163="",$C163=""),TRUE,FALSE)</formula>
    </cfRule>
  </conditionalFormatting>
  <conditionalFormatting sqref="E163">
    <cfRule type="expression" dxfId="271" priority="357">
      <formula>IF(AND($B163="",$C163="",LEN($A163)&lt;=2),TRUE,FALSE)</formula>
    </cfRule>
    <cfRule type="expression" dxfId="270" priority="358">
      <formula>IF(AND($B163="",$C163=""),TRUE,FALSE)</formula>
    </cfRule>
  </conditionalFormatting>
  <conditionalFormatting sqref="C201">
    <cfRule type="expression" dxfId="269" priority="354">
      <formula>IF(AND($B201="",$C201="",LEN($A201)&lt;=2),TRUE,FALSE)</formula>
    </cfRule>
    <cfRule type="expression" dxfId="268" priority="355">
      <formula>IF(AND($B201="",$C201=""),TRUE,FALSE)</formula>
    </cfRule>
  </conditionalFormatting>
  <conditionalFormatting sqref="C201">
    <cfRule type="expression" dxfId="267" priority="353">
      <formula>IF((COUNTIF(#REF!,#REF!))&gt;1,TRUE,FALSE)</formula>
    </cfRule>
  </conditionalFormatting>
  <conditionalFormatting sqref="H201:I201">
    <cfRule type="expression" dxfId="266" priority="351">
      <formula>IF(AND($B201="",$C201="",LEN($A201)&lt;=2),TRUE,FALSE)</formula>
    </cfRule>
    <cfRule type="expression" dxfId="265" priority="352">
      <formula>IF(AND($B201="",$C201=""),TRUE,FALSE)</formula>
    </cfRule>
  </conditionalFormatting>
  <conditionalFormatting sqref="F201">
    <cfRule type="expression" dxfId="264" priority="349">
      <formula>IF(AND($B201="",$C201="",LEN($A201)&lt;=2),TRUE,FALSE)</formula>
    </cfRule>
    <cfRule type="expression" dxfId="263" priority="350">
      <formula>IF(AND($B201="",$C201=""),TRUE,FALSE)</formula>
    </cfRule>
  </conditionalFormatting>
  <conditionalFormatting sqref="D201">
    <cfRule type="expression" dxfId="262" priority="347">
      <formula>IF(AND($B201="",$C201="",LEN($A201)&lt;=2),TRUE,FALSE)</formula>
    </cfRule>
    <cfRule type="expression" dxfId="261" priority="348">
      <formula>IF(AND($B201="",$C201=""),TRUE,FALSE)</formula>
    </cfRule>
  </conditionalFormatting>
  <conditionalFormatting sqref="D201">
    <cfRule type="expression" dxfId="260" priority="345">
      <formula>IF(AND($B201="",$C201="",LEN($A201)&lt;=2),TRUE,FALSE)</formula>
    </cfRule>
    <cfRule type="expression" dxfId="259" priority="346">
      <formula>IF(AND($B201="",$C201=""),TRUE,FALSE)</formula>
    </cfRule>
  </conditionalFormatting>
  <conditionalFormatting sqref="G201">
    <cfRule type="expression" dxfId="258" priority="343">
      <formula>IF(AND($B201="",$C201="",LEN($A201)&lt;=2),TRUE,FALSE)</formula>
    </cfRule>
    <cfRule type="expression" dxfId="257" priority="344">
      <formula>IF(AND($B201="",$C201=""),TRUE,FALSE)</formula>
    </cfRule>
  </conditionalFormatting>
  <conditionalFormatting sqref="E201">
    <cfRule type="expression" dxfId="256" priority="341">
      <formula>IF(AND($B201="",$C201="",LEN($A201)&lt;=2),TRUE,FALSE)</formula>
    </cfRule>
    <cfRule type="expression" dxfId="255" priority="342">
      <formula>IF(AND($B201="",$C201=""),TRUE,FALSE)</formula>
    </cfRule>
  </conditionalFormatting>
  <conditionalFormatting sqref="B201">
    <cfRule type="expression" dxfId="254" priority="339">
      <formula>IF(AND($B201="",$C201="",LEN($A201)&lt;=2),TRUE,FALSE)</formula>
    </cfRule>
    <cfRule type="expression" dxfId="253" priority="340">
      <formula>IF(AND($B201="",$C201=""),TRUE,FALSE)</formula>
    </cfRule>
  </conditionalFormatting>
  <conditionalFormatting sqref="A201">
    <cfRule type="expression" dxfId="252" priority="337">
      <formula>IF(AND($B201="",$C201="",LEN($A201)&lt;=2),TRUE,FALSE)</formula>
    </cfRule>
    <cfRule type="expression" dxfId="251" priority="338">
      <formula>IF(AND($B201="",$C201=""),TRUE,FALSE)</formula>
    </cfRule>
  </conditionalFormatting>
  <conditionalFormatting sqref="D281:E281 G281 A281">
    <cfRule type="expression" dxfId="250" priority="334">
      <formula>IF(AND($B281="",$C281="",LEN($A281)&lt;=2),TRUE,FALSE)</formula>
    </cfRule>
    <cfRule type="expression" dxfId="249" priority="335">
      <formula>IF(AND($B281="",$C281=""),TRUE,FALSE)</formula>
    </cfRule>
  </conditionalFormatting>
  <conditionalFormatting sqref="B281:C281 H281:I281">
    <cfRule type="expression" dxfId="248" priority="331">
      <formula>IF(AND($B281="",$C281="",LEN($A281)&lt;=2),TRUE,FALSE)</formula>
    </cfRule>
    <cfRule type="expression" dxfId="247" priority="332">
      <formula>IF(AND($B281="",$C281=""),TRUE,FALSE)</formula>
    </cfRule>
  </conditionalFormatting>
  <conditionalFormatting sqref="C281">
    <cfRule type="expression" dxfId="246" priority="333">
      <formula>IF((COUNTIF(#REF!,#REF!))&gt;1,TRUE,FALSE)</formula>
    </cfRule>
  </conditionalFormatting>
  <conditionalFormatting sqref="F281">
    <cfRule type="expression" dxfId="245" priority="329">
      <formula>IF(AND($B281="",$C281="",LEN($A281)&lt;=2),TRUE,FALSE)</formula>
    </cfRule>
    <cfRule type="expression" dxfId="244" priority="330">
      <formula>IF(AND($B281="",$C281=""),TRUE,FALSE)</formula>
    </cfRule>
  </conditionalFormatting>
  <conditionalFormatting sqref="G217 G213">
    <cfRule type="expression" dxfId="243" priority="328">
      <formula>IF((SUMIF(#REF!,#REF!,G:G)/COUNTIF(#REF!,#REF!))&lt;&gt;G213,TRUE,FALSE)</formula>
    </cfRule>
  </conditionalFormatting>
  <conditionalFormatting sqref="C217 H217:I217">
    <cfRule type="expression" dxfId="242" priority="321">
      <formula>IF(AND($B217="",$C217="",LEN($A217)&lt;=2),TRUE,FALSE)</formula>
    </cfRule>
    <cfRule type="expression" dxfId="241" priority="322">
      <formula>IF(AND($B217="",$C217=""),TRUE,FALSE)</formula>
    </cfRule>
  </conditionalFormatting>
  <conditionalFormatting sqref="C217">
    <cfRule type="expression" dxfId="240" priority="323">
      <formula>IF((COUNTIF(#REF!,#REF!))&gt;1,TRUE,FALSE)</formula>
    </cfRule>
  </conditionalFormatting>
  <conditionalFormatting sqref="F217">
    <cfRule type="expression" dxfId="239" priority="319">
      <formula>IF(AND($B217="",$C217="",LEN($A217)&lt;=2),TRUE,FALSE)</formula>
    </cfRule>
    <cfRule type="expression" dxfId="238" priority="320">
      <formula>IF(AND($B217="",$C217=""),TRUE,FALSE)</formula>
    </cfRule>
  </conditionalFormatting>
  <conditionalFormatting sqref="D217">
    <cfRule type="expression" dxfId="237" priority="317">
      <formula>IF(AND($B217="",$C217="",LEN($A217)&lt;=2),TRUE,FALSE)</formula>
    </cfRule>
    <cfRule type="expression" dxfId="236" priority="318">
      <formula>IF(AND($B217="",$C217=""),TRUE,FALSE)</formula>
    </cfRule>
  </conditionalFormatting>
  <conditionalFormatting sqref="D217">
    <cfRule type="expression" dxfId="235" priority="315">
      <formula>IF(AND($B217="",$C217="",LEN($A217)&lt;=2),TRUE,FALSE)</formula>
    </cfRule>
    <cfRule type="expression" dxfId="234" priority="316">
      <formula>IF(AND($B217="",$C217=""),TRUE,FALSE)</formula>
    </cfRule>
  </conditionalFormatting>
  <conditionalFormatting sqref="G217">
    <cfRule type="expression" dxfId="233" priority="313">
      <formula>IF(AND($B217="",$C217="",LEN($A217)&lt;=2),TRUE,FALSE)</formula>
    </cfRule>
    <cfRule type="expression" dxfId="232" priority="314">
      <formula>IF(AND($B217="",$C217=""),TRUE,FALSE)</formula>
    </cfRule>
  </conditionalFormatting>
  <conditionalFormatting sqref="E217">
    <cfRule type="expression" dxfId="231" priority="311">
      <formula>IF(AND($B217="",$C217="",LEN($A217)&lt;=2),TRUE,FALSE)</formula>
    </cfRule>
    <cfRule type="expression" dxfId="230" priority="312">
      <formula>IF(AND($B217="",$C217=""),TRUE,FALSE)</formula>
    </cfRule>
  </conditionalFormatting>
  <conditionalFormatting sqref="B217">
    <cfRule type="expression" dxfId="229" priority="309">
      <formula>IF(AND($B217="",$C217="",LEN($A217)&lt;=2),TRUE,FALSE)</formula>
    </cfRule>
    <cfRule type="expression" dxfId="228" priority="310">
      <formula>IF(AND($B217="",$C217=""),TRUE,FALSE)</formula>
    </cfRule>
  </conditionalFormatting>
  <conditionalFormatting sqref="C215 H215:I215">
    <cfRule type="expression" dxfId="227" priority="301">
      <formula>IF(AND($B215="",$C215="",LEN($A215)&lt;=2),TRUE,FALSE)</formula>
    </cfRule>
    <cfRule type="expression" dxfId="226" priority="302">
      <formula>IF(AND($B215="",$C215=""),TRUE,FALSE)</formula>
    </cfRule>
  </conditionalFormatting>
  <conditionalFormatting sqref="C215">
    <cfRule type="expression" dxfId="225" priority="303">
      <formula>IF((COUNTIF(#REF!,#REF!))&gt;1,TRUE,FALSE)</formula>
    </cfRule>
  </conditionalFormatting>
  <conditionalFormatting sqref="F215">
    <cfRule type="expression" dxfId="224" priority="299">
      <formula>IF(AND($B215="",$C215="",LEN($A215)&lt;=2),TRUE,FALSE)</formula>
    </cfRule>
    <cfRule type="expression" dxfId="223" priority="300">
      <formula>IF(AND($B215="",$C215=""),TRUE,FALSE)</formula>
    </cfRule>
  </conditionalFormatting>
  <conditionalFormatting sqref="D215">
    <cfRule type="expression" dxfId="222" priority="297">
      <formula>IF(AND($B215="",$C215="",LEN($A215)&lt;=2),TRUE,FALSE)</formula>
    </cfRule>
    <cfRule type="expression" dxfId="221" priority="298">
      <formula>IF(AND($B215="",$C215=""),TRUE,FALSE)</formula>
    </cfRule>
  </conditionalFormatting>
  <conditionalFormatting sqref="D215">
    <cfRule type="expression" dxfId="220" priority="295">
      <formula>IF(AND($B215="",$C215="",LEN($A215)&lt;=2),TRUE,FALSE)</formula>
    </cfRule>
    <cfRule type="expression" dxfId="219" priority="296">
      <formula>IF(AND($B215="",$C215=""),TRUE,FALSE)</formula>
    </cfRule>
  </conditionalFormatting>
  <conditionalFormatting sqref="G215">
    <cfRule type="expression" dxfId="218" priority="293">
      <formula>IF(AND($B215="",$C215="",LEN($A215)&lt;=2),TRUE,FALSE)</formula>
    </cfRule>
    <cfRule type="expression" dxfId="217" priority="294">
      <formula>IF(AND($B215="",$C215=""),TRUE,FALSE)</formula>
    </cfRule>
  </conditionalFormatting>
  <conditionalFormatting sqref="E215">
    <cfRule type="expression" dxfId="216" priority="291">
      <formula>IF(AND($B215="",$C215="",LEN($A215)&lt;=2),TRUE,FALSE)</formula>
    </cfRule>
    <cfRule type="expression" dxfId="215" priority="292">
      <formula>IF(AND($B215="",$C215=""),TRUE,FALSE)</formula>
    </cfRule>
  </conditionalFormatting>
  <conditionalFormatting sqref="C213 H213:I213">
    <cfRule type="expression" dxfId="214" priority="281">
      <formula>IF(AND($B213="",$C213="",LEN($A213)&lt;=2),TRUE,FALSE)</formula>
    </cfRule>
    <cfRule type="expression" dxfId="213" priority="282">
      <formula>IF(AND($B213="",$C213=""),TRUE,FALSE)</formula>
    </cfRule>
  </conditionalFormatting>
  <conditionalFormatting sqref="F213">
    <cfRule type="expression" dxfId="212" priority="279">
      <formula>IF(AND($B213="",$C213="",LEN($A213)&lt;=2),TRUE,FALSE)</formula>
    </cfRule>
    <cfRule type="expression" dxfId="211" priority="280">
      <formula>IF(AND($B213="",$C213=""),TRUE,FALSE)</formula>
    </cfRule>
  </conditionalFormatting>
  <conditionalFormatting sqref="C213">
    <cfRule type="expression" dxfId="210" priority="283">
      <formula>IF((COUNTIF(#REF!,#REF!))&gt;1,TRUE,FALSE)</formula>
    </cfRule>
  </conditionalFormatting>
  <conditionalFormatting sqref="D213">
    <cfRule type="expression" dxfId="209" priority="277">
      <formula>IF(AND($B213="",$C213="",LEN($A213)&lt;=2),TRUE,FALSE)</formula>
    </cfRule>
    <cfRule type="expression" dxfId="208" priority="278">
      <formula>IF(AND($B213="",$C213=""),TRUE,FALSE)</formula>
    </cfRule>
  </conditionalFormatting>
  <conditionalFormatting sqref="D213">
    <cfRule type="expression" dxfId="207" priority="275">
      <formula>IF(AND($B213="",$C213="",LEN($A213)&lt;=2),TRUE,FALSE)</formula>
    </cfRule>
    <cfRule type="expression" dxfId="206" priority="276">
      <formula>IF(AND($B213="",$C213=""),TRUE,FALSE)</formula>
    </cfRule>
  </conditionalFormatting>
  <conditionalFormatting sqref="G213">
    <cfRule type="expression" dxfId="205" priority="273">
      <formula>IF(AND($B213="",$C213="",LEN($A213)&lt;=2),TRUE,FALSE)</formula>
    </cfRule>
    <cfRule type="expression" dxfId="204" priority="274">
      <formula>IF(AND($B213="",$C213=""),TRUE,FALSE)</formula>
    </cfRule>
  </conditionalFormatting>
  <conditionalFormatting sqref="E213">
    <cfRule type="expression" dxfId="203" priority="271">
      <formula>IF(AND($B213="",$C213="",LEN($A213)&lt;=2),TRUE,FALSE)</formula>
    </cfRule>
    <cfRule type="expression" dxfId="202" priority="272">
      <formula>IF(AND($B213="",$C213=""),TRUE,FALSE)</formula>
    </cfRule>
  </conditionalFormatting>
  <conditionalFormatting sqref="B213">
    <cfRule type="expression" dxfId="201" priority="269">
      <formula>IF(AND($B213="",$C213="",LEN($A213)&lt;=2),TRUE,FALSE)</formula>
    </cfRule>
    <cfRule type="expression" dxfId="200" priority="270">
      <formula>IF(AND($B213="",$C213=""),TRUE,FALSE)</formula>
    </cfRule>
  </conditionalFormatting>
  <conditionalFormatting sqref="H214:I214">
    <cfRule type="expression" dxfId="199" priority="265">
      <formula>IF(AND($B214="",$C214="",LEN($A214)&lt;=2),TRUE,FALSE)</formula>
    </cfRule>
    <cfRule type="expression" dxfId="198" priority="266">
      <formula>IF(AND($B214="",$C214=""),TRUE,FALSE)</formula>
    </cfRule>
  </conditionalFormatting>
  <conditionalFormatting sqref="F214">
    <cfRule type="expression" dxfId="197" priority="263">
      <formula>IF(AND($B214="",$C214="",LEN($A214)&lt;=2),TRUE,FALSE)</formula>
    </cfRule>
    <cfRule type="expression" dxfId="196" priority="264">
      <formula>IF(AND($B214="",$C214=""),TRUE,FALSE)</formula>
    </cfRule>
  </conditionalFormatting>
  <conditionalFormatting sqref="D214">
    <cfRule type="expression" dxfId="195" priority="261">
      <formula>IF(AND($B214="",$C214="",LEN($A214)&lt;=2),TRUE,FALSE)</formula>
    </cfRule>
    <cfRule type="expression" dxfId="194" priority="262">
      <formula>IF(AND($B214="",$C214=""),TRUE,FALSE)</formula>
    </cfRule>
  </conditionalFormatting>
  <conditionalFormatting sqref="D214">
    <cfRule type="expression" dxfId="193" priority="259">
      <formula>IF(AND($B214="",$C214="",LEN($A214)&lt;=2),TRUE,FALSE)</formula>
    </cfRule>
    <cfRule type="expression" dxfId="192" priority="260">
      <formula>IF(AND($B214="",$C214=""),TRUE,FALSE)</formula>
    </cfRule>
  </conditionalFormatting>
  <conditionalFormatting sqref="G214">
    <cfRule type="expression" dxfId="191" priority="257">
      <formula>IF(AND($B214="",$C214="",LEN($A214)&lt;=2),TRUE,FALSE)</formula>
    </cfRule>
    <cfRule type="expression" dxfId="190" priority="258">
      <formula>IF(AND($B214="",$C214=""),TRUE,FALSE)</formula>
    </cfRule>
  </conditionalFormatting>
  <conditionalFormatting sqref="E214">
    <cfRule type="expression" dxfId="189" priority="255">
      <formula>IF(AND($B214="",$C214="",LEN($A214)&lt;=2),TRUE,FALSE)</formula>
    </cfRule>
    <cfRule type="expression" dxfId="188" priority="256">
      <formula>IF(AND($B214="",$C214=""),TRUE,FALSE)</formula>
    </cfRule>
  </conditionalFormatting>
  <conditionalFormatting sqref="C214">
    <cfRule type="expression" dxfId="187" priority="244">
      <formula>IF(AND($B214="",$C214="",LEN($A214)&lt;=2),TRUE,FALSE)</formula>
    </cfRule>
    <cfRule type="expression" dxfId="186" priority="245">
      <formula>IF(AND($B214="",$C214=""),TRUE,FALSE)</formula>
    </cfRule>
  </conditionalFormatting>
  <conditionalFormatting sqref="B214:B215">
    <cfRule type="expression" dxfId="185" priority="247">
      <formula>IF(AND($B214="",$C214="",LEN($A214)&lt;=2),TRUE,FALSE)</formula>
    </cfRule>
    <cfRule type="expression" dxfId="184" priority="248">
      <formula>IF(AND($B214="",$C214=""),TRUE,FALSE)</formula>
    </cfRule>
  </conditionalFormatting>
  <conditionalFormatting sqref="C214">
    <cfRule type="expression" dxfId="183" priority="246">
      <formula>IF((COUNTIF(#REF!,#REF!))&gt;1,TRUE,FALSE)</formula>
    </cfRule>
  </conditionalFormatting>
  <conditionalFormatting sqref="B14:B15 G14:G15 D14:E15">
    <cfRule type="expression" dxfId="182" priority="241">
      <formula>IF(AND($B14="",$C14="",LEN($A14)&lt;=2),TRUE,FALSE)</formula>
    </cfRule>
    <cfRule type="expression" dxfId="181" priority="242">
      <formula>IF(AND($B14="",$C14=""),TRUE,FALSE)</formula>
    </cfRule>
  </conditionalFormatting>
  <conditionalFormatting sqref="D15 F15">
    <cfRule type="expression" dxfId="180" priority="237">
      <formula>IF(AND($B15="",$C15="",LEN($A15)&lt;=2),TRUE,FALSE)</formula>
    </cfRule>
    <cfRule type="expression" dxfId="179" priority="238">
      <formula>IF(AND($B15="",$C15=""),TRUE,FALSE)</formula>
    </cfRule>
  </conditionalFormatting>
  <conditionalFormatting sqref="B15:C15 H15:I15">
    <cfRule type="expression" dxfId="178" priority="235">
      <formula>IF(AND($B15="",$C15="",LEN($A15)&lt;=2),TRUE,FALSE)</formula>
    </cfRule>
    <cfRule type="expression" dxfId="177" priority="236">
      <formula>IF(AND($B15="",$C15=""),TRUE,FALSE)</formula>
    </cfRule>
  </conditionalFormatting>
  <conditionalFormatting sqref="C15">
    <cfRule type="expression" dxfId="176" priority="234">
      <formula>IF((COUNTIF(#REF!,#REF!))&gt;1,TRUE,FALSE)</formula>
    </cfRule>
  </conditionalFormatting>
  <conditionalFormatting sqref="C15">
    <cfRule type="expression" dxfId="175" priority="233">
      <formula>IF((COUNTIF(#REF!,#REF!))&gt;1,TRUE,FALSE)</formula>
    </cfRule>
  </conditionalFormatting>
  <conditionalFormatting sqref="C15">
    <cfRule type="expression" dxfId="174" priority="232">
      <formula>IF((COUNTIF(#REF!,#REF!))&gt;1,TRUE,FALSE)</formula>
    </cfRule>
  </conditionalFormatting>
  <conditionalFormatting sqref="D14 F14">
    <cfRule type="expression" dxfId="173" priority="230">
      <formula>IF(AND($B14="",$C14="",LEN($A14)&lt;=2),TRUE,FALSE)</formula>
    </cfRule>
    <cfRule type="expression" dxfId="172" priority="231">
      <formula>IF(AND($B14="",$C14=""),TRUE,FALSE)</formula>
    </cfRule>
  </conditionalFormatting>
  <conditionalFormatting sqref="B14:C14 H14:I14">
    <cfRule type="expression" dxfId="171" priority="228">
      <formula>IF(AND($B14="",$C14="",LEN($A14)&lt;=2),TRUE,FALSE)</formula>
    </cfRule>
    <cfRule type="expression" dxfId="170" priority="229">
      <formula>IF(AND($B14="",$C14=""),TRUE,FALSE)</formula>
    </cfRule>
  </conditionalFormatting>
  <conditionalFormatting sqref="C14">
    <cfRule type="expression" dxfId="169" priority="227">
      <formula>IF((COUNTIF(#REF!,#REF!))&gt;1,TRUE,FALSE)</formula>
    </cfRule>
  </conditionalFormatting>
  <conditionalFormatting sqref="C14">
    <cfRule type="expression" dxfId="168" priority="226">
      <formula>IF((COUNTIF(#REF!,#REF!))&gt;1,TRUE,FALSE)</formula>
    </cfRule>
  </conditionalFormatting>
  <conditionalFormatting sqref="C14">
    <cfRule type="expression" dxfId="167" priority="225">
      <formula>IF((COUNTIF(#REF!,#REF!))&gt;1,TRUE,FALSE)</formula>
    </cfRule>
  </conditionalFormatting>
  <conditionalFormatting sqref="H85:I85">
    <cfRule type="expression" dxfId="166" priority="222">
      <formula>IF(AND($B85="",$C85="",LEN($A85)&lt;=2),TRUE,FALSE)</formula>
    </cfRule>
    <cfRule type="expression" dxfId="165" priority="223">
      <formula>IF(AND($B85="",$C85=""),TRUE,FALSE)</formula>
    </cfRule>
  </conditionalFormatting>
  <conditionalFormatting sqref="F85">
    <cfRule type="expression" dxfId="164" priority="220">
      <formula>IF(AND($B85="",$C85="",LEN($A85)&lt;=2),TRUE,FALSE)</formula>
    </cfRule>
    <cfRule type="expression" dxfId="163" priority="221">
      <formula>IF(AND($B85="",$C85=""),TRUE,FALSE)</formula>
    </cfRule>
  </conditionalFormatting>
  <conditionalFormatting sqref="D85">
    <cfRule type="expression" dxfId="162" priority="218">
      <formula>IF(AND($B85="",$C85="",LEN($A85)&lt;=2),TRUE,FALSE)</formula>
    </cfRule>
    <cfRule type="expression" dxfId="161" priority="219">
      <formula>IF(AND($B85="",$C85=""),TRUE,FALSE)</formula>
    </cfRule>
  </conditionalFormatting>
  <conditionalFormatting sqref="D85">
    <cfRule type="expression" dxfId="160" priority="216">
      <formula>IF(AND($B85="",$C85="",LEN($A85)&lt;=2),TRUE,FALSE)</formula>
    </cfRule>
    <cfRule type="expression" dxfId="159" priority="217">
      <formula>IF(AND($B85="",$C85=""),TRUE,FALSE)</formula>
    </cfRule>
  </conditionalFormatting>
  <conditionalFormatting sqref="G85">
    <cfRule type="expression" dxfId="158" priority="214">
      <formula>IF(AND($B85="",$C85="",LEN($A85)&lt;=2),TRUE,FALSE)</formula>
    </cfRule>
    <cfRule type="expression" dxfId="157" priority="215">
      <formula>IF(AND($B85="",$C85=""),TRUE,FALSE)</formula>
    </cfRule>
  </conditionalFormatting>
  <conditionalFormatting sqref="E85">
    <cfRule type="expression" dxfId="156" priority="212">
      <formula>IF(AND($B85="",$C85="",LEN($A85)&lt;=2),TRUE,FALSE)</formula>
    </cfRule>
    <cfRule type="expression" dxfId="155" priority="213">
      <formula>IF(AND($B85="",$C85=""),TRUE,FALSE)</formula>
    </cfRule>
  </conditionalFormatting>
  <conditionalFormatting sqref="B85:C85">
    <cfRule type="expression" dxfId="154" priority="209">
      <formula>IF(AND($B85="",$C85="",LEN($A85)&lt;=2),TRUE,FALSE)</formula>
    </cfRule>
    <cfRule type="expression" dxfId="153" priority="210">
      <formula>IF(AND($B85="",$C85=""),TRUE,FALSE)</formula>
    </cfRule>
  </conditionalFormatting>
  <conditionalFormatting sqref="C85">
    <cfRule type="expression" dxfId="152" priority="211">
      <formula>IF((COUNTIF(#REF!,#REF!))&gt;1,TRUE,FALSE)</formula>
    </cfRule>
  </conditionalFormatting>
  <conditionalFormatting sqref="A85">
    <cfRule type="expression" dxfId="151" priority="207">
      <formula>IF(AND($B85="",$C85="",LEN($A85)&lt;=2),TRUE,FALSE)</formula>
    </cfRule>
    <cfRule type="expression" dxfId="150" priority="208">
      <formula>IF(AND($B85="",$C85=""),TRUE,FALSE)</formula>
    </cfRule>
  </conditionalFormatting>
  <conditionalFormatting sqref="A85">
    <cfRule type="expression" dxfId="149" priority="205">
      <formula>IF(AND($B85="",$C85="",LEN($A85)&lt;=2),TRUE,FALSE)</formula>
    </cfRule>
    <cfRule type="expression" dxfId="148" priority="206">
      <formula>IF(AND($B85="",$C85=""),TRUE,FALSE)</formula>
    </cfRule>
  </conditionalFormatting>
  <conditionalFormatting sqref="B80:C80">
    <cfRule type="expression" dxfId="147" priority="202">
      <formula>IF(AND($B80="",$C80="",LEN($A80)&lt;=2),TRUE,FALSE)</formula>
    </cfRule>
    <cfRule type="expression" dxfId="146" priority="203">
      <formula>IF(AND($B80="",$C80=""),TRUE,FALSE)</formula>
    </cfRule>
  </conditionalFormatting>
  <conditionalFormatting sqref="C80">
    <cfRule type="expression" dxfId="145" priority="204">
      <formula>IF((COUNTIF(#REF!,#REF!))&gt;1,TRUE,FALSE)</formula>
    </cfRule>
  </conditionalFormatting>
  <conditionalFormatting sqref="H84:I84">
    <cfRule type="expression" dxfId="144" priority="199">
      <formula>IF(AND($B84="",$C84="",LEN($A84)&lt;=2),TRUE,FALSE)</formula>
    </cfRule>
    <cfRule type="expression" dxfId="143" priority="200">
      <formula>IF(AND($B84="",$C84=""),TRUE,FALSE)</formula>
    </cfRule>
  </conditionalFormatting>
  <conditionalFormatting sqref="F84">
    <cfRule type="expression" dxfId="142" priority="197">
      <formula>IF(AND($B84="",$C84="",LEN($A84)&lt;=2),TRUE,FALSE)</formula>
    </cfRule>
    <cfRule type="expression" dxfId="141" priority="198">
      <formula>IF(AND($B84="",$C84=""),TRUE,FALSE)</formula>
    </cfRule>
  </conditionalFormatting>
  <conditionalFormatting sqref="D84">
    <cfRule type="expression" dxfId="140" priority="195">
      <formula>IF(AND($B84="",$C84="",LEN($A84)&lt;=2),TRUE,FALSE)</formula>
    </cfRule>
    <cfRule type="expression" dxfId="139" priority="196">
      <formula>IF(AND($B84="",$C84=""),TRUE,FALSE)</formula>
    </cfRule>
  </conditionalFormatting>
  <conditionalFormatting sqref="D84">
    <cfRule type="expression" dxfId="138" priority="193">
      <formula>IF(AND($B84="",$C84="",LEN($A84)&lt;=2),TRUE,FALSE)</formula>
    </cfRule>
    <cfRule type="expression" dxfId="137" priority="194">
      <formula>IF(AND($B84="",$C84=""),TRUE,FALSE)</formula>
    </cfRule>
  </conditionalFormatting>
  <conditionalFormatting sqref="G84">
    <cfRule type="expression" dxfId="136" priority="191">
      <formula>IF(AND($B84="",$C84="",LEN($A84)&lt;=2),TRUE,FALSE)</formula>
    </cfRule>
    <cfRule type="expression" dxfId="135" priority="192">
      <formula>IF(AND($B84="",$C84=""),TRUE,FALSE)</formula>
    </cfRule>
  </conditionalFormatting>
  <conditionalFormatting sqref="E84">
    <cfRule type="expression" dxfId="134" priority="189">
      <formula>IF(AND($B84="",$C84="",LEN($A84)&lt;=2),TRUE,FALSE)</formula>
    </cfRule>
    <cfRule type="expression" dxfId="133" priority="190">
      <formula>IF(AND($B84="",$C84=""),TRUE,FALSE)</formula>
    </cfRule>
  </conditionalFormatting>
  <conditionalFormatting sqref="B84:C84">
    <cfRule type="expression" dxfId="132" priority="186">
      <formula>IF(AND($B84="",$C84="",LEN($A84)&lt;=2),TRUE,FALSE)</formula>
    </cfRule>
    <cfRule type="expression" dxfId="131" priority="187">
      <formula>IF(AND($B84="",$C84=""),TRUE,FALSE)</formula>
    </cfRule>
  </conditionalFormatting>
  <conditionalFormatting sqref="C84">
    <cfRule type="expression" dxfId="130" priority="188">
      <formula>IF((COUNTIF(#REF!,#REF!))&gt;1,TRUE,FALSE)</formula>
    </cfRule>
  </conditionalFormatting>
  <conditionalFormatting sqref="A84">
    <cfRule type="expression" dxfId="129" priority="184">
      <formula>IF(AND($B84="",$C84="",LEN($A84)&lt;=2),TRUE,FALSE)</formula>
    </cfRule>
    <cfRule type="expression" dxfId="128" priority="185">
      <formula>IF(AND($B84="",$C84=""),TRUE,FALSE)</formula>
    </cfRule>
  </conditionalFormatting>
  <conditionalFormatting sqref="A84">
    <cfRule type="expression" dxfId="127" priority="182">
      <formula>IF(AND($B84="",$C84="",LEN($A84)&lt;=2),TRUE,FALSE)</formula>
    </cfRule>
    <cfRule type="expression" dxfId="126" priority="183">
      <formula>IF(AND($B84="",$C84=""),TRUE,FALSE)</formula>
    </cfRule>
  </conditionalFormatting>
  <conditionalFormatting sqref="B287:C287">
    <cfRule type="expression" dxfId="125" priority="179">
      <formula>IF(AND($B287="",$C287="",LEN($A287)&lt;=2),TRUE,FALSE)</formula>
    </cfRule>
    <cfRule type="expression" dxfId="124" priority="180">
      <formula>IF(AND($B287="",$C287=""),TRUE,FALSE)</formula>
    </cfRule>
  </conditionalFormatting>
  <conditionalFormatting sqref="C287">
    <cfRule type="expression" dxfId="123" priority="181">
      <formula>IF((COUNTIF(#REF!,#REF!))&gt;1,TRUE,FALSE)</formula>
    </cfRule>
  </conditionalFormatting>
  <conditionalFormatting sqref="B289:C289">
    <cfRule type="expression" dxfId="122" priority="176">
      <formula>IF(AND($B289="",$C289="",LEN($A289)&lt;=2),TRUE,FALSE)</formula>
    </cfRule>
    <cfRule type="expression" dxfId="121" priority="177">
      <formula>IF(AND($B289="",$C289=""),TRUE,FALSE)</formula>
    </cfRule>
  </conditionalFormatting>
  <conditionalFormatting sqref="C289">
    <cfRule type="expression" dxfId="120" priority="178">
      <formula>IF((COUNTIF(#REF!,#REF!))&gt;1,TRUE,FALSE)</formula>
    </cfRule>
  </conditionalFormatting>
  <conditionalFormatting sqref="C216 H216:I216">
    <cfRule type="expression" dxfId="119" priority="128">
      <formula>IF(AND($B216="",$C216="",LEN($A216)&lt;=2),TRUE,FALSE)</formula>
    </cfRule>
    <cfRule type="expression" dxfId="118" priority="129">
      <formula>IF(AND($B216="",$C216=""),TRUE,FALSE)</formula>
    </cfRule>
  </conditionalFormatting>
  <conditionalFormatting sqref="C216">
    <cfRule type="expression" dxfId="117" priority="130">
      <formula>IF((COUNTIF(#REF!,#REF!))&gt;1,TRUE,FALSE)</formula>
    </cfRule>
  </conditionalFormatting>
  <conditionalFormatting sqref="F216">
    <cfRule type="expression" dxfId="116" priority="126">
      <formula>IF(AND($B216="",$C216="",LEN($A216)&lt;=2),TRUE,FALSE)</formula>
    </cfRule>
    <cfRule type="expression" dxfId="115" priority="127">
      <formula>IF(AND($B216="",$C216=""),TRUE,FALSE)</formula>
    </cfRule>
  </conditionalFormatting>
  <conditionalFormatting sqref="D216">
    <cfRule type="expression" dxfId="114" priority="124">
      <formula>IF(AND($B216="",$C216="",LEN($A216)&lt;=2),TRUE,FALSE)</formula>
    </cfRule>
    <cfRule type="expression" dxfId="113" priority="125">
      <formula>IF(AND($B216="",$C216=""),TRUE,FALSE)</formula>
    </cfRule>
  </conditionalFormatting>
  <conditionalFormatting sqref="D216">
    <cfRule type="expression" dxfId="112" priority="122">
      <formula>IF(AND($B216="",$C216="",LEN($A216)&lt;=2),TRUE,FALSE)</formula>
    </cfRule>
    <cfRule type="expression" dxfId="111" priority="123">
      <formula>IF(AND($B216="",$C216=""),TRUE,FALSE)</formula>
    </cfRule>
  </conditionalFormatting>
  <conditionalFormatting sqref="G216">
    <cfRule type="expression" dxfId="110" priority="120">
      <formula>IF(AND($B216="",$C216="",LEN($A216)&lt;=2),TRUE,FALSE)</formula>
    </cfRule>
    <cfRule type="expression" dxfId="109" priority="121">
      <formula>IF(AND($B216="",$C216=""),TRUE,FALSE)</formula>
    </cfRule>
  </conditionalFormatting>
  <conditionalFormatting sqref="E216">
    <cfRule type="expression" dxfId="108" priority="118">
      <formula>IF(AND($B216="",$C216="",LEN($A216)&lt;=2),TRUE,FALSE)</formula>
    </cfRule>
    <cfRule type="expression" dxfId="107" priority="119">
      <formula>IF(AND($B216="",$C216=""),TRUE,FALSE)</formula>
    </cfRule>
  </conditionalFormatting>
  <conditionalFormatting sqref="B216">
    <cfRule type="expression" dxfId="106" priority="116">
      <formula>IF(AND($B216="",$C216="",LEN($A216)&lt;=2),TRUE,FALSE)</formula>
    </cfRule>
    <cfRule type="expression" dxfId="105" priority="117">
      <formula>IF(AND($B216="",$C216=""),TRUE,FALSE)</formula>
    </cfRule>
  </conditionalFormatting>
  <conditionalFormatting sqref="B260:C260 H260:I260">
    <cfRule type="expression" dxfId="104" priority="112">
      <formula>IF(AND($B260="",$C260="",LEN($A260)&lt;=2),TRUE,FALSE)</formula>
    </cfRule>
    <cfRule type="expression" dxfId="103" priority="113">
      <formula>IF(AND($B260="",$C260=""),TRUE,FALSE)</formula>
    </cfRule>
  </conditionalFormatting>
  <conditionalFormatting sqref="C260">
    <cfRule type="expression" dxfId="102" priority="114">
      <formula>IF((COUNTIF(#REF!,#REF!))&gt;1,TRUE,FALSE)</formula>
    </cfRule>
  </conditionalFormatting>
  <conditionalFormatting sqref="F260">
    <cfRule type="expression" dxfId="101" priority="110">
      <formula>IF(AND($B260="",$C260="",LEN($A260)&lt;=2),TRUE,FALSE)</formula>
    </cfRule>
    <cfRule type="expression" dxfId="100" priority="111">
      <formula>IF(AND($B260="",$C260=""),TRUE,FALSE)</formula>
    </cfRule>
  </conditionalFormatting>
  <conditionalFormatting sqref="D260">
    <cfRule type="expression" dxfId="99" priority="108">
      <formula>IF(AND($B260="",$C260="",LEN($A260)&lt;=2),TRUE,FALSE)</formula>
    </cfRule>
    <cfRule type="expression" dxfId="98" priority="109">
      <formula>IF(AND($B260="",$C260=""),TRUE,FALSE)</formula>
    </cfRule>
  </conditionalFormatting>
  <conditionalFormatting sqref="D260">
    <cfRule type="expression" dxfId="97" priority="106">
      <formula>IF(AND($B260="",$C260="",LEN($A260)&lt;=2),TRUE,FALSE)</formula>
    </cfRule>
    <cfRule type="expression" dxfId="96" priority="107">
      <formula>IF(AND($B260="",$C260=""),TRUE,FALSE)</formula>
    </cfRule>
  </conditionalFormatting>
  <conditionalFormatting sqref="G260">
    <cfRule type="expression" dxfId="95" priority="104">
      <formula>IF(AND($B260="",$C260="",LEN($A260)&lt;=2),TRUE,FALSE)</formula>
    </cfRule>
    <cfRule type="expression" dxfId="94" priority="105">
      <formula>IF(AND($B260="",$C260=""),TRUE,FALSE)</formula>
    </cfRule>
  </conditionalFormatting>
  <conditionalFormatting sqref="E260">
    <cfRule type="expression" dxfId="93" priority="102">
      <formula>IF(AND($B260="",$C260="",LEN($A260)&lt;=2),TRUE,FALSE)</formula>
    </cfRule>
    <cfRule type="expression" dxfId="92" priority="103">
      <formula>IF(AND($B260="",$C260=""),TRUE,FALSE)</formula>
    </cfRule>
  </conditionalFormatting>
  <conditionalFormatting sqref="A260">
    <cfRule type="expression" dxfId="91" priority="100">
      <formula>IF(AND($B260="",$C260="",LEN($A260)&lt;=2),TRUE,FALSE)</formula>
    </cfRule>
    <cfRule type="expression" dxfId="90" priority="101">
      <formula>IF(AND($B260="",$C260=""),TRUE,FALSE)</formula>
    </cfRule>
  </conditionalFormatting>
  <conditionalFormatting sqref="C157 H157:I157">
    <cfRule type="expression" dxfId="89" priority="96">
      <formula>IF(AND($B157="",$C157="",LEN($A157)&lt;=2),TRUE,FALSE)</formula>
    </cfRule>
    <cfRule type="expression" dxfId="88" priority="97">
      <formula>IF(AND($B157="",$C157=""),TRUE,FALSE)</formula>
    </cfRule>
  </conditionalFormatting>
  <conditionalFormatting sqref="C157">
    <cfRule type="expression" dxfId="87" priority="98">
      <formula>IF((COUNTIF(#REF!,#REF!))&gt;1,TRUE,FALSE)</formula>
    </cfRule>
  </conditionalFormatting>
  <conditionalFormatting sqref="F157">
    <cfRule type="expression" dxfId="86" priority="94">
      <formula>IF(AND($B157="",$C157="",LEN($A157)&lt;=2),TRUE,FALSE)</formula>
    </cfRule>
    <cfRule type="expression" dxfId="85" priority="95">
      <formula>IF(AND($B157="",$C157=""),TRUE,FALSE)</formula>
    </cfRule>
  </conditionalFormatting>
  <conditionalFormatting sqref="D157">
    <cfRule type="expression" dxfId="84" priority="92">
      <formula>IF(AND($B157="",$C157="",LEN($A157)&lt;=2),TRUE,FALSE)</formula>
    </cfRule>
    <cfRule type="expression" dxfId="83" priority="93">
      <formula>IF(AND($B157="",$C157=""),TRUE,FALSE)</formula>
    </cfRule>
  </conditionalFormatting>
  <conditionalFormatting sqref="D157">
    <cfRule type="expression" dxfId="82" priority="90">
      <formula>IF(AND($B157="",$C157="",LEN($A157)&lt;=2),TRUE,FALSE)</formula>
    </cfRule>
    <cfRule type="expression" dxfId="81" priority="91">
      <formula>IF(AND($B157="",$C157=""),TRUE,FALSE)</formula>
    </cfRule>
  </conditionalFormatting>
  <conditionalFormatting sqref="G157">
    <cfRule type="expression" dxfId="80" priority="88">
      <formula>IF(AND($B157="",$C157="",LEN($A157)&lt;=2),TRUE,FALSE)</formula>
    </cfRule>
    <cfRule type="expression" dxfId="79" priority="89">
      <formula>IF(AND($B157="",$C157=""),TRUE,FALSE)</formula>
    </cfRule>
  </conditionalFormatting>
  <conditionalFormatting sqref="E157">
    <cfRule type="expression" dxfId="78" priority="86">
      <formula>IF(AND($B157="",$C157="",LEN($A157)&lt;=2),TRUE,FALSE)</formula>
    </cfRule>
    <cfRule type="expression" dxfId="77" priority="87">
      <formula>IF(AND($B157="",$C157=""),TRUE,FALSE)</formula>
    </cfRule>
  </conditionalFormatting>
  <conditionalFormatting sqref="B157">
    <cfRule type="expression" dxfId="76" priority="84">
      <formula>IF(AND($B157="",$C157="",LEN($A157)&lt;=2),TRUE,FALSE)</formula>
    </cfRule>
    <cfRule type="expression" dxfId="75" priority="85">
      <formula>IF(AND($B157="",$C157=""),TRUE,FALSE)</formula>
    </cfRule>
  </conditionalFormatting>
  <conditionalFormatting sqref="A157">
    <cfRule type="expression" dxfId="74" priority="82">
      <formula>IF(AND($B157="",$C157="",LEN($A157)&lt;=2),TRUE,FALSE)</formula>
    </cfRule>
    <cfRule type="expression" dxfId="73" priority="83">
      <formula>IF(AND($B157="",$C157=""),TRUE,FALSE)</formula>
    </cfRule>
  </conditionalFormatting>
  <conditionalFormatting sqref="A157">
    <cfRule type="expression" dxfId="72" priority="80">
      <formula>IF(AND($B157="",$C157="",LEN($A157)&lt;=2),TRUE,FALSE)</formula>
    </cfRule>
    <cfRule type="expression" dxfId="71" priority="81">
      <formula>IF(AND($B157="",$C157=""),TRUE,FALSE)</formula>
    </cfRule>
  </conditionalFormatting>
  <conditionalFormatting sqref="H95:I95">
    <cfRule type="expression" dxfId="70" priority="75">
      <formula>IF(AND($B95="",$C95="",LEN($A95)&lt;=2),TRUE,FALSE)</formula>
    </cfRule>
    <cfRule type="expression" dxfId="69" priority="76">
      <formula>IF(AND($B95="",$C95=""),TRUE,FALSE)</formula>
    </cfRule>
  </conditionalFormatting>
  <conditionalFormatting sqref="F95">
    <cfRule type="expression" dxfId="68" priority="73">
      <formula>IF(AND($B95="",$C95="",LEN($A95)&lt;=2),TRUE,FALSE)</formula>
    </cfRule>
    <cfRule type="expression" dxfId="67" priority="74">
      <formula>IF(AND($B95="",$C95=""),TRUE,FALSE)</formula>
    </cfRule>
  </conditionalFormatting>
  <conditionalFormatting sqref="D95">
    <cfRule type="expression" dxfId="66" priority="69">
      <formula>IF(AND($B95="",$C95="",LEN($A95)&lt;=2),TRUE,FALSE)</formula>
    </cfRule>
    <cfRule type="expression" dxfId="65" priority="70">
      <formula>IF(AND($B95="",$C95=""),TRUE,FALSE)</formula>
    </cfRule>
  </conditionalFormatting>
  <conditionalFormatting sqref="D95">
    <cfRule type="expression" dxfId="64" priority="67">
      <formula>IF(AND($B95="",$C95="",LEN($A95)&lt;=2),TRUE,FALSE)</formula>
    </cfRule>
    <cfRule type="expression" dxfId="63" priority="68">
      <formula>IF(AND($B95="",$C95=""),TRUE,FALSE)</formula>
    </cfRule>
  </conditionalFormatting>
  <conditionalFormatting sqref="G95">
    <cfRule type="expression" dxfId="62" priority="65">
      <formula>IF(AND($B95="",$C95="",LEN($A95)&lt;=2),TRUE,FALSE)</formula>
    </cfRule>
    <cfRule type="expression" dxfId="61" priority="66">
      <formula>IF(AND($B95="",$C95=""),TRUE,FALSE)</formula>
    </cfRule>
  </conditionalFormatting>
  <conditionalFormatting sqref="E95">
    <cfRule type="expression" dxfId="60" priority="63">
      <formula>IF(AND($B95="",$C95="",LEN($A95)&lt;=2),TRUE,FALSE)</formula>
    </cfRule>
    <cfRule type="expression" dxfId="59" priority="64">
      <formula>IF(AND($B95="",$C95=""),TRUE,FALSE)</formula>
    </cfRule>
  </conditionalFormatting>
  <conditionalFormatting sqref="B95:C95">
    <cfRule type="expression" dxfId="58" priority="60">
      <formula>IF(AND($B95="",$C95="",LEN($A95)&lt;=2),TRUE,FALSE)</formula>
    </cfRule>
    <cfRule type="expression" dxfId="57" priority="61">
      <formula>IF(AND($B95="",$C95=""),TRUE,FALSE)</formula>
    </cfRule>
  </conditionalFormatting>
  <conditionalFormatting sqref="C95">
    <cfRule type="expression" dxfId="56" priority="62">
      <formula>IF((COUNTIF(#REF!,#REF!))&gt;1,TRUE,FALSE)</formula>
    </cfRule>
  </conditionalFormatting>
  <conditionalFormatting sqref="C156 H156:I156">
    <cfRule type="expression" dxfId="55" priority="56">
      <formula>IF(AND($B156="",$C156="",LEN($A156)&lt;=2),TRUE,FALSE)</formula>
    </cfRule>
    <cfRule type="expression" dxfId="54" priority="57">
      <formula>IF(AND($B156="",$C156=""),TRUE,FALSE)</formula>
    </cfRule>
  </conditionalFormatting>
  <conditionalFormatting sqref="C156">
    <cfRule type="expression" dxfId="53" priority="58">
      <formula>IF((COUNTIF(#REF!,#REF!))&gt;1,TRUE,FALSE)</formula>
    </cfRule>
  </conditionalFormatting>
  <conditionalFormatting sqref="F156">
    <cfRule type="expression" dxfId="52" priority="54">
      <formula>IF(AND($B156="",$C156="",LEN($A156)&lt;=2),TRUE,FALSE)</formula>
    </cfRule>
    <cfRule type="expression" dxfId="51" priority="55">
      <formula>IF(AND($B156="",$C156=""),TRUE,FALSE)</formula>
    </cfRule>
  </conditionalFormatting>
  <conditionalFormatting sqref="D156">
    <cfRule type="expression" dxfId="50" priority="52">
      <formula>IF(AND($B156="",$C156="",LEN($A156)&lt;=2),TRUE,FALSE)</formula>
    </cfRule>
    <cfRule type="expression" dxfId="49" priority="53">
      <formula>IF(AND($B156="",$C156=""),TRUE,FALSE)</formula>
    </cfRule>
  </conditionalFormatting>
  <conditionalFormatting sqref="D156">
    <cfRule type="expression" dxfId="48" priority="50">
      <formula>IF(AND($B156="",$C156="",LEN($A156)&lt;=2),TRUE,FALSE)</formula>
    </cfRule>
    <cfRule type="expression" dxfId="47" priority="51">
      <formula>IF(AND($B156="",$C156=""),TRUE,FALSE)</formula>
    </cfRule>
  </conditionalFormatting>
  <conditionalFormatting sqref="G156">
    <cfRule type="expression" dxfId="46" priority="48">
      <formula>IF(AND($B156="",$C156="",LEN($A156)&lt;=2),TRUE,FALSE)</formula>
    </cfRule>
    <cfRule type="expression" dxfId="45" priority="49">
      <formula>IF(AND($B156="",$C156=""),TRUE,FALSE)</formula>
    </cfRule>
  </conditionalFormatting>
  <conditionalFormatting sqref="E156">
    <cfRule type="expression" dxfId="44" priority="46">
      <formula>IF(AND($B156="",$C156="",LEN($A156)&lt;=2),TRUE,FALSE)</formula>
    </cfRule>
    <cfRule type="expression" dxfId="43" priority="47">
      <formula>IF(AND($B156="",$C156=""),TRUE,FALSE)</formula>
    </cfRule>
  </conditionalFormatting>
  <conditionalFormatting sqref="B156">
    <cfRule type="expression" dxfId="42" priority="44">
      <formula>IF(AND($B156="",$C156="",LEN($A156)&lt;=2),TRUE,FALSE)</formula>
    </cfRule>
    <cfRule type="expression" dxfId="41" priority="45">
      <formula>IF(AND($B156="",$C156=""),TRUE,FALSE)</formula>
    </cfRule>
  </conditionalFormatting>
  <conditionalFormatting sqref="A156">
    <cfRule type="expression" dxfId="40" priority="42">
      <formula>IF(AND($B156="",$C156="",LEN($A156)&lt;=2),TRUE,FALSE)</formula>
    </cfRule>
    <cfRule type="expression" dxfId="39" priority="43">
      <formula>IF(AND($B156="",$C156=""),TRUE,FALSE)</formula>
    </cfRule>
  </conditionalFormatting>
  <conditionalFormatting sqref="A156">
    <cfRule type="expression" dxfId="38" priority="40">
      <formula>IF(AND($B156="",$C156="",LEN($A156)&lt;=2),TRUE,FALSE)</formula>
    </cfRule>
    <cfRule type="expression" dxfId="37" priority="41">
      <formula>IF(AND($B156="",$C156=""),TRUE,FALSE)</formula>
    </cfRule>
  </conditionalFormatting>
  <conditionalFormatting sqref="B36:I36">
    <cfRule type="expression" dxfId="36" priority="37">
      <formula>IF(AND($B36="",$C36="",LEN($A36)&lt;=2),TRUE,FALSE)</formula>
    </cfRule>
    <cfRule type="expression" dxfId="35" priority="38">
      <formula>IF(AND($B36="",$C36=""),TRUE,FALSE)</formula>
    </cfRule>
  </conditionalFormatting>
  <conditionalFormatting sqref="A36">
    <cfRule type="expression" dxfId="34" priority="35">
      <formula>IF(AND($B36="",$C36="",LEN($A36)&lt;=2),TRUE,FALSE)</formula>
    </cfRule>
    <cfRule type="expression" dxfId="33" priority="36">
      <formula>IF(AND($B36="",$C36=""),TRUE,FALSE)</formula>
    </cfRule>
  </conditionalFormatting>
  <conditionalFormatting sqref="C36">
    <cfRule type="expression" dxfId="32" priority="34">
      <formula>IF((COUNTIF(#REF!,#REF!))&gt;1,TRUE,FALSE)</formula>
    </cfRule>
  </conditionalFormatting>
  <conditionalFormatting sqref="B38:I38">
    <cfRule type="expression" dxfId="31" priority="31">
      <formula>IF(AND($B38="",$C38="",LEN($A38)&lt;=2),TRUE,FALSE)</formula>
    </cfRule>
    <cfRule type="expression" dxfId="30" priority="32">
      <formula>IF(AND($B38="",$C38=""),TRUE,FALSE)</formula>
    </cfRule>
  </conditionalFormatting>
  <conditionalFormatting sqref="G38">
    <cfRule type="expression" dxfId="29" priority="33">
      <formula>IF((SUMIF(#REF!,#REF!,G:G)/COUNTIF(#REF!,#REF!))&lt;&gt;G38,TRUE,FALSE)</formula>
    </cfRule>
  </conditionalFormatting>
  <conditionalFormatting sqref="C38">
    <cfRule type="expression" dxfId="28" priority="28">
      <formula>IF((COUNTIF(#REF!,#REF!))&gt;1,TRUE,FALSE)</formula>
    </cfRule>
  </conditionalFormatting>
  <conditionalFormatting sqref="G65 D65:E65">
    <cfRule type="expression" dxfId="27" priority="25">
      <formula>IF(AND($B65="",$C65="",LEN($A65)&lt;=2),TRUE,FALSE)</formula>
    </cfRule>
    <cfRule type="expression" dxfId="26" priority="26">
      <formula>IF(AND($B65="",$C65=""),TRUE,FALSE)</formula>
    </cfRule>
  </conditionalFormatting>
  <conditionalFormatting sqref="A65 A67 A69 A71 A73 A75">
    <cfRule type="expression" dxfId="25" priority="23">
      <formula>IF(AND($B65="",$C65="",LEN($A65)&lt;=2),TRUE,FALSE)</formula>
    </cfRule>
    <cfRule type="expression" dxfId="24" priority="24">
      <formula>IF(AND($B65="",$C65=""),TRUE,FALSE)</formula>
    </cfRule>
  </conditionalFormatting>
  <conditionalFormatting sqref="B65:C65 H65:I65">
    <cfRule type="expression" dxfId="23" priority="21">
      <formula>IF(AND($B65="",$C65="",LEN($A65)&lt;=2),TRUE,FALSE)</formula>
    </cfRule>
    <cfRule type="expression" dxfId="22" priority="22">
      <formula>IF(AND($B65="",$C65=""),TRUE,FALSE)</formula>
    </cfRule>
  </conditionalFormatting>
  <conditionalFormatting sqref="C65">
    <cfRule type="expression" dxfId="21" priority="20">
      <formula>IF((COUNTIF(#REF!,#REF!))&gt;1,TRUE,FALSE)</formula>
    </cfRule>
  </conditionalFormatting>
  <conditionalFormatting sqref="F65:G65">
    <cfRule type="expression" dxfId="20" priority="18">
      <formula>IF(AND($B65="",$C65="",LEN($A65)&lt;=2),TRUE,FALSE)</formula>
    </cfRule>
    <cfRule type="expression" dxfId="19" priority="19">
      <formula>IF(AND($B65="",$C65=""),TRUE,FALSE)</formula>
    </cfRule>
  </conditionalFormatting>
  <conditionalFormatting sqref="C65">
    <cfRule type="expression" dxfId="18" priority="17">
      <formula>IF((COUNTIF(#REF!,#REF!))&gt;1,TRUE,FALSE)</formula>
    </cfRule>
  </conditionalFormatting>
  <conditionalFormatting sqref="G266">
    <cfRule type="expression" dxfId="17" priority="16">
      <formula>IF((SUMIF(#REF!,#REF!,G:G)/COUNTIF(#REF!,#REF!))&lt;&gt;G266,TRUE,FALSE)</formula>
    </cfRule>
  </conditionalFormatting>
  <conditionalFormatting sqref="A266">
    <cfRule type="expression" dxfId="16" priority="14">
      <formula>IF(AND($B266="",$C266="",LEN($A266)&lt;=2),TRUE,FALSE)</formula>
    </cfRule>
    <cfRule type="expression" dxfId="15" priority="15">
      <formula>IF(AND($B266="",$C266=""),TRUE,FALSE)</formula>
    </cfRule>
  </conditionalFormatting>
  <conditionalFormatting sqref="D266">
    <cfRule type="expression" dxfId="14" priority="12">
      <formula>IF(AND($B266="",$C266="",LEN($A266)&lt;=2),TRUE,FALSE)</formula>
    </cfRule>
    <cfRule type="expression" dxfId="13" priority="13">
      <formula>IF(AND($B266="",$C266=""),TRUE,FALSE)</formula>
    </cfRule>
  </conditionalFormatting>
  <conditionalFormatting sqref="B266:C266">
    <cfRule type="expression" dxfId="12" priority="9">
      <formula>IF(AND($B266="",$C266="",LEN($A266)&lt;=2),TRUE,FALSE)</formula>
    </cfRule>
    <cfRule type="expression" dxfId="11" priority="10">
      <formula>IF(AND($B266="",$C266=""),TRUE,FALSE)</formula>
    </cfRule>
  </conditionalFormatting>
  <conditionalFormatting sqref="C266">
    <cfRule type="expression" dxfId="10" priority="11">
      <formula>IF((COUNTIF(#REF!,#REF!))&gt;1,TRUE,FALSE)</formula>
    </cfRule>
  </conditionalFormatting>
  <conditionalFormatting sqref="H266:I266">
    <cfRule type="expression" dxfId="9" priority="7">
      <formula>IF(AND($B266="",$C266="",LEN($A266)&lt;=2),TRUE,FALSE)</formula>
    </cfRule>
    <cfRule type="expression" dxfId="8" priority="8">
      <formula>IF(AND($B266="",$C266=""),TRUE,FALSE)</formula>
    </cfRule>
  </conditionalFormatting>
  <conditionalFormatting sqref="F266">
    <cfRule type="expression" dxfId="7" priority="5">
      <formula>IF(AND($B266="",$C266="",LEN($A266)&lt;=2),TRUE,FALSE)</formula>
    </cfRule>
    <cfRule type="expression" dxfId="6" priority="6">
      <formula>IF(AND($B266="",$C266=""),TRUE,FALSE)</formula>
    </cfRule>
  </conditionalFormatting>
  <conditionalFormatting sqref="E266">
    <cfRule type="expression" dxfId="5" priority="3">
      <formula>IF(AND($B266="",$C266="",LEN($A266)&lt;=2),TRUE,FALSE)</formula>
    </cfRule>
    <cfRule type="expression" dxfId="4" priority="4">
      <formula>IF(AND($B266="",$C266=""),TRUE,FALSE)</formula>
    </cfRule>
  </conditionalFormatting>
  <conditionalFormatting sqref="G266">
    <cfRule type="expression" dxfId="3" priority="1">
      <formula>IF(AND($B266="",$C266="",LEN($A266)&lt;=2),TRUE,FALSE)</formula>
    </cfRule>
    <cfRule type="expression" dxfId="2" priority="2">
      <formula>IF(AND($B266="",$C266=""),TRUE,FALSE)</formula>
    </cfRule>
  </conditionalFormatting>
  <dataValidations disablePrompts="1" count="2">
    <dataValidation type="list" errorStyle="warning" allowBlank="1" showInputMessage="1" showErrorMessage="1" error="Selecionar Referencial compatível" sqref="M4 K1:XFD3">
      <formula1>DADOS</formula1>
    </dataValidation>
    <dataValidation type="list" allowBlank="1" showInputMessage="1" showErrorMessage="1" error="Selecionar Referencial compatível" sqref="B289:B293 B284:B287 B270:B276 B45:B55 B295:B297 B159:B202 B93:B96 B41:B43 B239:B240 B57:B62 B7:B15 B78:B85 B278:B282 B204:B218 B64:B76 B87:B91 B98:B100 B242:B261 B103:B157 B220:B237 B17:B39 B263:B268">
      <formula1>DADOS</formula1>
    </dataValidation>
  </dataValidations>
  <printOptions horizontalCentered="1"/>
  <pageMargins left="0.78740157480314965" right="0.39370078740157483" top="1.5748031496062993" bottom="0.98425196850393704" header="0" footer="0"/>
  <pageSetup paperSize="9" scale="81" fitToHeight="0" pageOrder="overThenDown" orientation="portrait" useFirstPageNumber="1" r:id="rId1"/>
  <headerFooter scaleWithDoc="0" alignWithMargins="0">
    <oddHeader>&amp;C&amp;G</oddHeader>
    <oddFooter>&amp;C&amp;"Arial,Normal"&amp;10__________________________
Fabrício Benício de Brito
Engenheiro Civil - CREA ES-014512/D
&amp;R&amp;"Arial,Normal"&amp;10Página &amp;P de &amp;N</oddFooter>
  </headerFooter>
  <colBreaks count="1" manualBreakCount="1">
    <brk id="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ER1139"/>
  <sheetViews>
    <sheetView view="pageBreakPreview" topLeftCell="A1115" zoomScaleNormal="100" zoomScaleSheetLayoutView="100" workbookViewId="0">
      <selection activeCell="E1133" sqref="E1133"/>
    </sheetView>
  </sheetViews>
  <sheetFormatPr defaultColWidth="9" defaultRowHeight="20.100000000000001" customHeight="1"/>
  <cols>
    <col min="1" max="1" width="17.125" style="123" customWidth="1"/>
    <col min="2" max="2" width="10.625" style="124" customWidth="1"/>
    <col min="3" max="3" width="10.625" style="125" customWidth="1"/>
    <col min="4" max="4" width="10.625" style="123" customWidth="1"/>
    <col min="5" max="5" width="10.625" style="125" customWidth="1"/>
    <col min="6" max="7" width="10.625" style="123" customWidth="1"/>
    <col min="8" max="8" width="10.625" style="126" customWidth="1"/>
    <col min="9" max="16384" width="9" style="114"/>
  </cols>
  <sheetData>
    <row r="1" spans="1:991 16372:16372" s="111" customFormat="1" ht="39.950000000000003" customHeight="1">
      <c r="A1" s="379" t="s">
        <v>19671</v>
      </c>
      <c r="B1" s="379"/>
      <c r="C1" s="379"/>
      <c r="D1" s="379"/>
      <c r="E1" s="379"/>
      <c r="F1" s="379"/>
      <c r="G1" s="379"/>
      <c r="H1" s="379"/>
      <c r="I1" s="107"/>
      <c r="J1" s="107"/>
      <c r="K1" s="107"/>
      <c r="L1" s="108"/>
      <c r="M1" s="109"/>
      <c r="N1" s="110"/>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c r="ABQ1" s="107"/>
      <c r="ABR1" s="107"/>
      <c r="ABS1" s="107"/>
      <c r="ABT1" s="107"/>
      <c r="ABU1" s="107"/>
      <c r="ABV1" s="107"/>
      <c r="ABW1" s="107"/>
      <c r="ABX1" s="107"/>
      <c r="ABY1" s="107"/>
      <c r="ABZ1" s="107"/>
      <c r="ACA1" s="107"/>
      <c r="ACB1" s="107"/>
      <c r="ACC1" s="107"/>
      <c r="ACD1" s="107"/>
      <c r="ACE1" s="107"/>
      <c r="ACF1" s="107"/>
      <c r="ACG1" s="107"/>
      <c r="ACH1" s="107"/>
      <c r="ACI1" s="107"/>
      <c r="ACJ1" s="107"/>
      <c r="ACK1" s="107"/>
      <c r="ACL1" s="107"/>
      <c r="ACM1" s="107"/>
      <c r="ACN1" s="107"/>
      <c r="ACO1" s="107"/>
      <c r="ACP1" s="107"/>
      <c r="ACQ1" s="107"/>
      <c r="ACR1" s="107"/>
      <c r="ACS1" s="107"/>
      <c r="ACT1" s="107"/>
      <c r="ACU1" s="107"/>
      <c r="ACV1" s="107"/>
      <c r="ACW1" s="107"/>
      <c r="ACX1" s="107"/>
      <c r="ACY1" s="107"/>
      <c r="ACZ1" s="107"/>
      <c r="ADA1" s="107"/>
      <c r="ADB1" s="107"/>
      <c r="ADC1" s="107"/>
      <c r="ADD1" s="107"/>
      <c r="ADE1" s="107"/>
      <c r="ADF1" s="107"/>
      <c r="ADG1" s="107"/>
      <c r="ADH1" s="107"/>
      <c r="ADI1" s="107"/>
      <c r="ADJ1" s="107"/>
      <c r="ADK1" s="107"/>
      <c r="ADL1" s="107"/>
      <c r="ADM1" s="107"/>
      <c r="ADN1" s="107"/>
      <c r="ADO1" s="107"/>
      <c r="ADP1" s="107"/>
      <c r="ADQ1" s="107"/>
      <c r="ADR1" s="107"/>
      <c r="ADS1" s="107"/>
      <c r="ADT1" s="107"/>
      <c r="ADU1" s="107"/>
      <c r="ADV1" s="107"/>
      <c r="ADW1" s="107"/>
      <c r="ADX1" s="107"/>
      <c r="ADY1" s="107"/>
      <c r="ADZ1" s="107"/>
      <c r="AEA1" s="107"/>
      <c r="AEB1" s="107"/>
      <c r="AEC1" s="107"/>
      <c r="AED1" s="107"/>
      <c r="AEE1" s="107"/>
      <c r="AEF1" s="107"/>
      <c r="AEG1" s="107"/>
      <c r="AEH1" s="107"/>
      <c r="AEI1" s="107"/>
      <c r="AEJ1" s="107"/>
      <c r="AEK1" s="107"/>
      <c r="AEL1" s="107"/>
      <c r="AEM1" s="107"/>
      <c r="AEN1" s="107"/>
      <c r="AEO1" s="107"/>
      <c r="AEP1" s="107"/>
      <c r="AEQ1" s="107"/>
      <c r="AER1" s="107"/>
      <c r="AES1" s="107"/>
      <c r="AET1" s="107"/>
      <c r="AEU1" s="107"/>
      <c r="AEV1" s="107"/>
      <c r="AEW1" s="107"/>
      <c r="AEX1" s="107"/>
      <c r="AEY1" s="107"/>
      <c r="AEZ1" s="107"/>
      <c r="AFA1" s="107"/>
      <c r="AFB1" s="107"/>
      <c r="AFC1" s="107"/>
      <c r="AFD1" s="107"/>
      <c r="AFE1" s="107"/>
      <c r="AFF1" s="107"/>
      <c r="AFG1" s="107"/>
      <c r="AFH1" s="107"/>
      <c r="AFI1" s="107"/>
      <c r="AFJ1" s="107"/>
      <c r="AFK1" s="107"/>
      <c r="AFL1" s="107"/>
      <c r="AFM1" s="107"/>
      <c r="AFN1" s="107"/>
      <c r="AFO1" s="107"/>
      <c r="AFP1" s="107"/>
      <c r="AFQ1" s="107"/>
      <c r="AFR1" s="107"/>
      <c r="AFS1" s="107"/>
      <c r="AFT1" s="107"/>
      <c r="AFU1" s="107"/>
      <c r="AFV1" s="107"/>
      <c r="AFW1" s="107"/>
      <c r="AFX1" s="107"/>
      <c r="AFY1" s="107"/>
      <c r="AFZ1" s="107"/>
      <c r="AGA1" s="107"/>
      <c r="AGB1" s="107"/>
      <c r="AGC1" s="107"/>
      <c r="AGD1" s="107"/>
      <c r="AGE1" s="107"/>
      <c r="AGF1" s="107"/>
      <c r="AGG1" s="107"/>
      <c r="AGH1" s="107"/>
      <c r="AGI1" s="107"/>
      <c r="AGJ1" s="107"/>
      <c r="AGK1" s="107"/>
      <c r="AGL1" s="107"/>
      <c r="AGM1" s="107"/>
      <c r="AGN1" s="107"/>
      <c r="AGO1" s="107"/>
      <c r="AGP1" s="107"/>
      <c r="AGQ1" s="107"/>
      <c r="AGR1" s="107"/>
      <c r="AGS1" s="107"/>
      <c r="AGT1" s="107"/>
      <c r="AGU1" s="107"/>
      <c r="AGV1" s="107"/>
      <c r="AGW1" s="107"/>
      <c r="AGX1" s="107"/>
      <c r="AGY1" s="107"/>
      <c r="AGZ1" s="107"/>
      <c r="AHA1" s="107"/>
      <c r="AHB1" s="107"/>
      <c r="AHC1" s="107"/>
      <c r="AHD1" s="107"/>
      <c r="AHE1" s="107"/>
      <c r="AHF1" s="107"/>
      <c r="AHG1" s="107"/>
      <c r="AHH1" s="107"/>
      <c r="AHI1" s="107"/>
      <c r="AHJ1" s="107"/>
      <c r="AHK1" s="107"/>
      <c r="AHL1" s="107"/>
      <c r="AHM1" s="107"/>
      <c r="AHN1" s="107"/>
      <c r="AHO1" s="107"/>
      <c r="AHP1" s="107"/>
      <c r="AHQ1" s="107"/>
      <c r="AHR1" s="107"/>
      <c r="AHS1" s="107"/>
      <c r="AHT1" s="107"/>
      <c r="AHU1" s="107"/>
      <c r="AHV1" s="107"/>
      <c r="AHW1" s="107"/>
      <c r="AHX1" s="107"/>
      <c r="AHY1" s="107"/>
      <c r="AHZ1" s="107"/>
      <c r="AIA1" s="107"/>
      <c r="AIB1" s="107"/>
      <c r="AIC1" s="107"/>
      <c r="AID1" s="107"/>
      <c r="AIE1" s="107"/>
      <c r="AIF1" s="107"/>
      <c r="AIG1" s="107"/>
      <c r="AIH1" s="107"/>
      <c r="AII1" s="107"/>
      <c r="AIJ1" s="107"/>
      <c r="AIK1" s="107"/>
      <c r="AIL1" s="107"/>
      <c r="AIM1" s="107"/>
      <c r="AIN1" s="107"/>
      <c r="AIO1" s="107"/>
      <c r="AIP1" s="107"/>
      <c r="AIQ1" s="107"/>
      <c r="AIR1" s="107"/>
      <c r="AIS1" s="107"/>
      <c r="AIT1" s="107"/>
      <c r="AIU1" s="107"/>
      <c r="AIV1" s="107"/>
      <c r="AIW1" s="107"/>
      <c r="AIX1" s="107"/>
      <c r="AIY1" s="107"/>
      <c r="AIZ1" s="107"/>
      <c r="AJA1" s="107"/>
      <c r="AJB1" s="107"/>
      <c r="AJC1" s="107"/>
      <c r="AJD1" s="107"/>
      <c r="AJE1" s="107"/>
      <c r="AJF1" s="107"/>
      <c r="AJG1" s="107"/>
      <c r="AJH1" s="107"/>
      <c r="AJI1" s="107"/>
      <c r="AJJ1" s="107"/>
      <c r="AJK1" s="107"/>
      <c r="AJL1" s="107"/>
      <c r="AJM1" s="107"/>
      <c r="AJN1" s="107"/>
      <c r="AJO1" s="107"/>
      <c r="AJP1" s="107"/>
      <c r="AJQ1" s="107"/>
      <c r="AJR1" s="107"/>
      <c r="AJS1" s="107"/>
      <c r="AJT1" s="107"/>
      <c r="AJU1" s="107"/>
      <c r="AJV1" s="107"/>
      <c r="AJW1" s="107"/>
      <c r="AJX1" s="107"/>
      <c r="AJY1" s="107"/>
      <c r="AJZ1" s="107"/>
      <c r="AKA1" s="107"/>
      <c r="AKB1" s="107"/>
      <c r="AKC1" s="107"/>
      <c r="AKD1" s="107"/>
      <c r="AKE1" s="107"/>
      <c r="AKF1" s="107"/>
      <c r="AKG1" s="107"/>
      <c r="AKH1" s="107"/>
      <c r="AKI1" s="107"/>
      <c r="AKJ1" s="107"/>
      <c r="AKK1" s="107"/>
      <c r="AKL1" s="107"/>
      <c r="AKM1" s="107"/>
      <c r="AKN1" s="107"/>
      <c r="AKO1" s="107"/>
      <c r="AKP1" s="107"/>
      <c r="AKQ1" s="107"/>
      <c r="AKR1" s="107"/>
      <c r="AKS1" s="107"/>
      <c r="AKT1" s="107"/>
      <c r="AKU1" s="107"/>
      <c r="AKV1" s="107"/>
      <c r="AKW1" s="107"/>
      <c r="AKX1" s="107"/>
      <c r="AKY1" s="107"/>
      <c r="AKZ1" s="107"/>
      <c r="ALA1" s="107"/>
      <c r="ALB1" s="107"/>
      <c r="ALC1" s="107"/>
      <c r="XER1" s="111" t="s">
        <v>1019</v>
      </c>
    </row>
    <row r="2" spans="1:991 16372:16372" s="111" customFormat="1" ht="20.100000000000001" customHeight="1">
      <c r="A2" s="112" t="s">
        <v>982</v>
      </c>
      <c r="B2" s="380" t="str">
        <f>OBRA</f>
        <v>RESTAURAÇÃO CASARÃO MADAME ALBERTINA HOLZ</v>
      </c>
      <c r="C2" s="380"/>
      <c r="D2" s="380"/>
      <c r="E2" s="380"/>
      <c r="F2" s="380"/>
      <c r="G2" s="380"/>
      <c r="H2" s="380"/>
      <c r="I2" s="107"/>
      <c r="J2" s="107"/>
      <c r="K2" s="107"/>
      <c r="L2" s="108"/>
      <c r="M2" s="109"/>
      <c r="N2" s="110"/>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c r="ABQ2" s="107"/>
      <c r="ABR2" s="107"/>
      <c r="ABS2" s="107"/>
      <c r="ABT2" s="107"/>
      <c r="ABU2" s="107"/>
      <c r="ABV2" s="107"/>
      <c r="ABW2" s="107"/>
      <c r="ABX2" s="107"/>
      <c r="ABY2" s="107"/>
      <c r="ABZ2" s="107"/>
      <c r="ACA2" s="107"/>
      <c r="ACB2" s="107"/>
      <c r="ACC2" s="107"/>
      <c r="ACD2" s="107"/>
      <c r="ACE2" s="107"/>
      <c r="ACF2" s="107"/>
      <c r="ACG2" s="107"/>
      <c r="ACH2" s="107"/>
      <c r="ACI2" s="107"/>
      <c r="ACJ2" s="107"/>
      <c r="ACK2" s="107"/>
      <c r="ACL2" s="107"/>
      <c r="ACM2" s="107"/>
      <c r="ACN2" s="107"/>
      <c r="ACO2" s="107"/>
      <c r="ACP2" s="107"/>
      <c r="ACQ2" s="107"/>
      <c r="ACR2" s="107"/>
      <c r="ACS2" s="107"/>
      <c r="ACT2" s="107"/>
      <c r="ACU2" s="107"/>
      <c r="ACV2" s="107"/>
      <c r="ACW2" s="107"/>
      <c r="ACX2" s="107"/>
      <c r="ACY2" s="107"/>
      <c r="ACZ2" s="107"/>
      <c r="ADA2" s="107"/>
      <c r="ADB2" s="107"/>
      <c r="ADC2" s="107"/>
      <c r="ADD2" s="107"/>
      <c r="ADE2" s="107"/>
      <c r="ADF2" s="107"/>
      <c r="ADG2" s="107"/>
      <c r="ADH2" s="107"/>
      <c r="ADI2" s="107"/>
      <c r="ADJ2" s="107"/>
      <c r="ADK2" s="107"/>
      <c r="ADL2" s="107"/>
      <c r="ADM2" s="107"/>
      <c r="ADN2" s="107"/>
      <c r="ADO2" s="107"/>
      <c r="ADP2" s="107"/>
      <c r="ADQ2" s="107"/>
      <c r="ADR2" s="107"/>
      <c r="ADS2" s="107"/>
      <c r="ADT2" s="107"/>
      <c r="ADU2" s="107"/>
      <c r="ADV2" s="107"/>
      <c r="ADW2" s="107"/>
      <c r="ADX2" s="107"/>
      <c r="ADY2" s="107"/>
      <c r="ADZ2" s="107"/>
      <c r="AEA2" s="107"/>
      <c r="AEB2" s="107"/>
      <c r="AEC2" s="107"/>
      <c r="AED2" s="107"/>
      <c r="AEE2" s="107"/>
      <c r="AEF2" s="107"/>
      <c r="AEG2" s="107"/>
      <c r="AEH2" s="107"/>
      <c r="AEI2" s="107"/>
      <c r="AEJ2" s="107"/>
      <c r="AEK2" s="107"/>
      <c r="AEL2" s="107"/>
      <c r="AEM2" s="107"/>
      <c r="AEN2" s="107"/>
      <c r="AEO2" s="107"/>
      <c r="AEP2" s="107"/>
      <c r="AEQ2" s="107"/>
      <c r="AER2" s="107"/>
      <c r="AES2" s="107"/>
      <c r="AET2" s="107"/>
      <c r="AEU2" s="107"/>
      <c r="AEV2" s="107"/>
      <c r="AEW2" s="107"/>
      <c r="AEX2" s="107"/>
      <c r="AEY2" s="107"/>
      <c r="AEZ2" s="107"/>
      <c r="AFA2" s="107"/>
      <c r="AFB2" s="107"/>
      <c r="AFC2" s="107"/>
      <c r="AFD2" s="107"/>
      <c r="AFE2" s="107"/>
      <c r="AFF2" s="107"/>
      <c r="AFG2" s="107"/>
      <c r="AFH2" s="107"/>
      <c r="AFI2" s="107"/>
      <c r="AFJ2" s="107"/>
      <c r="AFK2" s="107"/>
      <c r="AFL2" s="107"/>
      <c r="AFM2" s="107"/>
      <c r="AFN2" s="107"/>
      <c r="AFO2" s="107"/>
      <c r="AFP2" s="107"/>
      <c r="AFQ2" s="107"/>
      <c r="AFR2" s="107"/>
      <c r="AFS2" s="107"/>
      <c r="AFT2" s="107"/>
      <c r="AFU2" s="107"/>
      <c r="AFV2" s="107"/>
      <c r="AFW2" s="107"/>
      <c r="AFX2" s="107"/>
      <c r="AFY2" s="107"/>
      <c r="AFZ2" s="107"/>
      <c r="AGA2" s="107"/>
      <c r="AGB2" s="107"/>
      <c r="AGC2" s="107"/>
      <c r="AGD2" s="107"/>
      <c r="AGE2" s="107"/>
      <c r="AGF2" s="107"/>
      <c r="AGG2" s="107"/>
      <c r="AGH2" s="107"/>
      <c r="AGI2" s="107"/>
      <c r="AGJ2" s="107"/>
      <c r="AGK2" s="107"/>
      <c r="AGL2" s="107"/>
      <c r="AGM2" s="107"/>
      <c r="AGN2" s="107"/>
      <c r="AGO2" s="107"/>
      <c r="AGP2" s="107"/>
      <c r="AGQ2" s="107"/>
      <c r="AGR2" s="107"/>
      <c r="AGS2" s="107"/>
      <c r="AGT2" s="107"/>
      <c r="AGU2" s="107"/>
      <c r="AGV2" s="107"/>
      <c r="AGW2" s="107"/>
      <c r="AGX2" s="107"/>
      <c r="AGY2" s="107"/>
      <c r="AGZ2" s="107"/>
      <c r="AHA2" s="107"/>
      <c r="AHB2" s="107"/>
      <c r="AHC2" s="107"/>
      <c r="AHD2" s="107"/>
      <c r="AHE2" s="107"/>
      <c r="AHF2" s="107"/>
      <c r="AHG2" s="107"/>
      <c r="AHH2" s="107"/>
      <c r="AHI2" s="107"/>
      <c r="AHJ2" s="107"/>
      <c r="AHK2" s="107"/>
      <c r="AHL2" s="107"/>
      <c r="AHM2" s="107"/>
      <c r="AHN2" s="107"/>
      <c r="AHO2" s="107"/>
      <c r="AHP2" s="107"/>
      <c r="AHQ2" s="107"/>
      <c r="AHR2" s="107"/>
      <c r="AHS2" s="107"/>
      <c r="AHT2" s="107"/>
      <c r="AHU2" s="107"/>
      <c r="AHV2" s="107"/>
      <c r="AHW2" s="107"/>
      <c r="AHX2" s="107"/>
      <c r="AHY2" s="107"/>
      <c r="AHZ2" s="107"/>
      <c r="AIA2" s="107"/>
      <c r="AIB2" s="107"/>
      <c r="AIC2" s="107"/>
      <c r="AID2" s="107"/>
      <c r="AIE2" s="107"/>
      <c r="AIF2" s="107"/>
      <c r="AIG2" s="107"/>
      <c r="AIH2" s="107"/>
      <c r="AII2" s="107"/>
      <c r="AIJ2" s="107"/>
      <c r="AIK2" s="107"/>
      <c r="AIL2" s="107"/>
      <c r="AIM2" s="107"/>
      <c r="AIN2" s="107"/>
      <c r="AIO2" s="107"/>
      <c r="AIP2" s="107"/>
      <c r="AIQ2" s="107"/>
      <c r="AIR2" s="107"/>
      <c r="AIS2" s="107"/>
      <c r="AIT2" s="107"/>
      <c r="AIU2" s="107"/>
      <c r="AIV2" s="107"/>
      <c r="AIW2" s="107"/>
      <c r="AIX2" s="107"/>
      <c r="AIY2" s="107"/>
      <c r="AIZ2" s="107"/>
      <c r="AJA2" s="107"/>
      <c r="AJB2" s="107"/>
      <c r="AJC2" s="107"/>
      <c r="AJD2" s="107"/>
      <c r="AJE2" s="107"/>
      <c r="AJF2" s="107"/>
      <c r="AJG2" s="107"/>
      <c r="AJH2" s="107"/>
      <c r="AJI2" s="107"/>
      <c r="AJJ2" s="107"/>
      <c r="AJK2" s="107"/>
      <c r="AJL2" s="107"/>
      <c r="AJM2" s="107"/>
      <c r="AJN2" s="107"/>
      <c r="AJO2" s="107"/>
      <c r="AJP2" s="107"/>
      <c r="AJQ2" s="107"/>
      <c r="AJR2" s="107"/>
      <c r="AJS2" s="107"/>
      <c r="AJT2" s="107"/>
      <c r="AJU2" s="107"/>
      <c r="AJV2" s="107"/>
      <c r="AJW2" s="107"/>
      <c r="AJX2" s="107"/>
      <c r="AJY2" s="107"/>
      <c r="AJZ2" s="107"/>
      <c r="AKA2" s="107"/>
      <c r="AKB2" s="107"/>
      <c r="AKC2" s="107"/>
      <c r="AKD2" s="107"/>
      <c r="AKE2" s="107"/>
      <c r="AKF2" s="107"/>
      <c r="AKG2" s="107"/>
      <c r="AKH2" s="107"/>
      <c r="AKI2" s="107"/>
      <c r="AKJ2" s="107"/>
      <c r="AKK2" s="107"/>
      <c r="AKL2" s="107"/>
      <c r="AKM2" s="107"/>
      <c r="AKN2" s="107"/>
      <c r="AKO2" s="107"/>
      <c r="AKP2" s="107"/>
      <c r="AKQ2" s="107"/>
      <c r="AKR2" s="107"/>
      <c r="AKS2" s="107"/>
      <c r="AKT2" s="107"/>
      <c r="AKU2" s="107"/>
      <c r="AKV2" s="107"/>
      <c r="AKW2" s="107"/>
      <c r="AKX2" s="107"/>
      <c r="AKY2" s="107"/>
      <c r="AKZ2" s="107"/>
      <c r="ALA2" s="107"/>
      <c r="ALB2" s="107"/>
      <c r="ALC2" s="107"/>
      <c r="XER2" s="111" t="s">
        <v>35</v>
      </c>
    </row>
    <row r="3" spans="1:991 16372:16372" s="111" customFormat="1" ht="20.100000000000001" customHeight="1">
      <c r="A3" s="112" t="s">
        <v>19670</v>
      </c>
      <c r="B3" s="381" t="str">
        <f>CONTRATO</f>
        <v>Avenida Rio Doce, quadra 20E, lote 1, Centro - Baixo Guandu/ ES</v>
      </c>
      <c r="C3" s="381"/>
      <c r="D3" s="381"/>
      <c r="E3" s="381"/>
      <c r="F3" s="381"/>
      <c r="G3" s="381"/>
      <c r="H3" s="381"/>
      <c r="I3" s="107"/>
      <c r="J3" s="107"/>
      <c r="K3" s="107"/>
      <c r="L3" s="108"/>
      <c r="M3" s="109"/>
      <c r="N3" s="110"/>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c r="AAJ3" s="107"/>
      <c r="AAK3" s="107"/>
      <c r="AAL3" s="107"/>
      <c r="AAM3" s="107"/>
      <c r="AAN3" s="107"/>
      <c r="AAO3" s="107"/>
      <c r="AAP3" s="107"/>
      <c r="AAQ3" s="107"/>
      <c r="AAR3" s="107"/>
      <c r="AAS3" s="107"/>
      <c r="AAT3" s="107"/>
      <c r="AAU3" s="107"/>
      <c r="AAV3" s="107"/>
      <c r="AAW3" s="107"/>
      <c r="AAX3" s="107"/>
      <c r="AAY3" s="107"/>
      <c r="AAZ3" s="107"/>
      <c r="ABA3" s="107"/>
      <c r="ABB3" s="107"/>
      <c r="ABC3" s="107"/>
      <c r="ABD3" s="107"/>
      <c r="ABE3" s="107"/>
      <c r="ABF3" s="107"/>
      <c r="ABG3" s="107"/>
      <c r="ABH3" s="107"/>
      <c r="ABI3" s="107"/>
      <c r="ABJ3" s="107"/>
      <c r="ABK3" s="107"/>
      <c r="ABL3" s="107"/>
      <c r="ABM3" s="107"/>
      <c r="ABN3" s="107"/>
      <c r="ABO3" s="107"/>
      <c r="ABP3" s="107"/>
      <c r="ABQ3" s="107"/>
      <c r="ABR3" s="107"/>
      <c r="ABS3" s="107"/>
      <c r="ABT3" s="107"/>
      <c r="ABU3" s="107"/>
      <c r="ABV3" s="107"/>
      <c r="ABW3" s="107"/>
      <c r="ABX3" s="107"/>
      <c r="ABY3" s="107"/>
      <c r="ABZ3" s="107"/>
      <c r="ACA3" s="107"/>
      <c r="ACB3" s="107"/>
      <c r="ACC3" s="107"/>
      <c r="ACD3" s="107"/>
      <c r="ACE3" s="107"/>
      <c r="ACF3" s="107"/>
      <c r="ACG3" s="107"/>
      <c r="ACH3" s="107"/>
      <c r="ACI3" s="107"/>
      <c r="ACJ3" s="107"/>
      <c r="ACK3" s="107"/>
      <c r="ACL3" s="107"/>
      <c r="ACM3" s="107"/>
      <c r="ACN3" s="107"/>
      <c r="ACO3" s="107"/>
      <c r="ACP3" s="107"/>
      <c r="ACQ3" s="107"/>
      <c r="ACR3" s="107"/>
      <c r="ACS3" s="107"/>
      <c r="ACT3" s="107"/>
      <c r="ACU3" s="107"/>
      <c r="ACV3" s="107"/>
      <c r="ACW3" s="107"/>
      <c r="ACX3" s="107"/>
      <c r="ACY3" s="107"/>
      <c r="ACZ3" s="107"/>
      <c r="ADA3" s="107"/>
      <c r="ADB3" s="107"/>
      <c r="ADC3" s="107"/>
      <c r="ADD3" s="107"/>
      <c r="ADE3" s="107"/>
      <c r="ADF3" s="107"/>
      <c r="ADG3" s="107"/>
      <c r="ADH3" s="107"/>
      <c r="ADI3" s="107"/>
      <c r="ADJ3" s="107"/>
      <c r="ADK3" s="107"/>
      <c r="ADL3" s="107"/>
      <c r="ADM3" s="107"/>
      <c r="ADN3" s="107"/>
      <c r="ADO3" s="107"/>
      <c r="ADP3" s="107"/>
      <c r="ADQ3" s="107"/>
      <c r="ADR3" s="107"/>
      <c r="ADS3" s="107"/>
      <c r="ADT3" s="107"/>
      <c r="ADU3" s="107"/>
      <c r="ADV3" s="107"/>
      <c r="ADW3" s="107"/>
      <c r="ADX3" s="107"/>
      <c r="ADY3" s="107"/>
      <c r="ADZ3" s="107"/>
      <c r="AEA3" s="107"/>
      <c r="AEB3" s="107"/>
      <c r="AEC3" s="107"/>
      <c r="AED3" s="107"/>
      <c r="AEE3" s="107"/>
      <c r="AEF3" s="107"/>
      <c r="AEG3" s="107"/>
      <c r="AEH3" s="107"/>
      <c r="AEI3" s="107"/>
      <c r="AEJ3" s="107"/>
      <c r="AEK3" s="107"/>
      <c r="AEL3" s="107"/>
      <c r="AEM3" s="107"/>
      <c r="AEN3" s="107"/>
      <c r="AEO3" s="107"/>
      <c r="AEP3" s="107"/>
      <c r="AEQ3" s="107"/>
      <c r="AER3" s="107"/>
      <c r="AES3" s="107"/>
      <c r="AET3" s="107"/>
      <c r="AEU3" s="107"/>
      <c r="AEV3" s="107"/>
      <c r="AEW3" s="107"/>
      <c r="AEX3" s="107"/>
      <c r="AEY3" s="107"/>
      <c r="AEZ3" s="107"/>
      <c r="AFA3" s="107"/>
      <c r="AFB3" s="107"/>
      <c r="AFC3" s="107"/>
      <c r="AFD3" s="107"/>
      <c r="AFE3" s="107"/>
      <c r="AFF3" s="107"/>
      <c r="AFG3" s="107"/>
      <c r="AFH3" s="107"/>
      <c r="AFI3" s="107"/>
      <c r="AFJ3" s="107"/>
      <c r="AFK3" s="107"/>
      <c r="AFL3" s="107"/>
      <c r="AFM3" s="107"/>
      <c r="AFN3" s="107"/>
      <c r="AFO3" s="107"/>
      <c r="AFP3" s="107"/>
      <c r="AFQ3" s="107"/>
      <c r="AFR3" s="107"/>
      <c r="AFS3" s="107"/>
      <c r="AFT3" s="107"/>
      <c r="AFU3" s="107"/>
      <c r="AFV3" s="107"/>
      <c r="AFW3" s="107"/>
      <c r="AFX3" s="107"/>
      <c r="AFY3" s="107"/>
      <c r="AFZ3" s="107"/>
      <c r="AGA3" s="107"/>
      <c r="AGB3" s="107"/>
      <c r="AGC3" s="107"/>
      <c r="AGD3" s="107"/>
      <c r="AGE3" s="107"/>
      <c r="AGF3" s="107"/>
      <c r="AGG3" s="107"/>
      <c r="AGH3" s="107"/>
      <c r="AGI3" s="107"/>
      <c r="AGJ3" s="107"/>
      <c r="AGK3" s="107"/>
      <c r="AGL3" s="107"/>
      <c r="AGM3" s="107"/>
      <c r="AGN3" s="107"/>
      <c r="AGO3" s="107"/>
      <c r="AGP3" s="107"/>
      <c r="AGQ3" s="107"/>
      <c r="AGR3" s="107"/>
      <c r="AGS3" s="107"/>
      <c r="AGT3" s="107"/>
      <c r="AGU3" s="107"/>
      <c r="AGV3" s="107"/>
      <c r="AGW3" s="107"/>
      <c r="AGX3" s="107"/>
      <c r="AGY3" s="107"/>
      <c r="AGZ3" s="107"/>
      <c r="AHA3" s="107"/>
      <c r="AHB3" s="107"/>
      <c r="AHC3" s="107"/>
      <c r="AHD3" s="107"/>
      <c r="AHE3" s="107"/>
      <c r="AHF3" s="107"/>
      <c r="AHG3" s="107"/>
      <c r="AHH3" s="107"/>
      <c r="AHI3" s="107"/>
      <c r="AHJ3" s="107"/>
      <c r="AHK3" s="107"/>
      <c r="AHL3" s="107"/>
      <c r="AHM3" s="107"/>
      <c r="AHN3" s="107"/>
      <c r="AHO3" s="107"/>
      <c r="AHP3" s="107"/>
      <c r="AHQ3" s="107"/>
      <c r="AHR3" s="107"/>
      <c r="AHS3" s="107"/>
      <c r="AHT3" s="107"/>
      <c r="AHU3" s="107"/>
      <c r="AHV3" s="107"/>
      <c r="AHW3" s="107"/>
      <c r="AHX3" s="107"/>
      <c r="AHY3" s="107"/>
      <c r="AHZ3" s="107"/>
      <c r="AIA3" s="107"/>
      <c r="AIB3" s="107"/>
      <c r="AIC3" s="107"/>
      <c r="AID3" s="107"/>
      <c r="AIE3" s="107"/>
      <c r="AIF3" s="107"/>
      <c r="AIG3" s="107"/>
      <c r="AIH3" s="107"/>
      <c r="AII3" s="107"/>
      <c r="AIJ3" s="107"/>
      <c r="AIK3" s="107"/>
      <c r="AIL3" s="107"/>
      <c r="AIM3" s="107"/>
      <c r="AIN3" s="107"/>
      <c r="AIO3" s="107"/>
      <c r="AIP3" s="107"/>
      <c r="AIQ3" s="107"/>
      <c r="AIR3" s="107"/>
      <c r="AIS3" s="107"/>
      <c r="AIT3" s="107"/>
      <c r="AIU3" s="107"/>
      <c r="AIV3" s="107"/>
      <c r="AIW3" s="107"/>
      <c r="AIX3" s="107"/>
      <c r="AIY3" s="107"/>
      <c r="AIZ3" s="107"/>
      <c r="AJA3" s="107"/>
      <c r="AJB3" s="107"/>
      <c r="AJC3" s="107"/>
      <c r="AJD3" s="107"/>
      <c r="AJE3" s="107"/>
      <c r="AJF3" s="107"/>
      <c r="AJG3" s="107"/>
      <c r="AJH3" s="107"/>
      <c r="AJI3" s="107"/>
      <c r="AJJ3" s="107"/>
      <c r="AJK3" s="107"/>
      <c r="AJL3" s="107"/>
      <c r="AJM3" s="107"/>
      <c r="AJN3" s="107"/>
      <c r="AJO3" s="107"/>
      <c r="AJP3" s="107"/>
      <c r="AJQ3" s="107"/>
      <c r="AJR3" s="107"/>
      <c r="AJS3" s="107"/>
      <c r="AJT3" s="107"/>
      <c r="AJU3" s="107"/>
      <c r="AJV3" s="107"/>
      <c r="AJW3" s="107"/>
      <c r="AJX3" s="107"/>
      <c r="AJY3" s="107"/>
      <c r="AJZ3" s="107"/>
      <c r="AKA3" s="107"/>
      <c r="AKB3" s="107"/>
      <c r="AKC3" s="107"/>
      <c r="AKD3" s="107"/>
      <c r="AKE3" s="107"/>
      <c r="AKF3" s="107"/>
      <c r="AKG3" s="107"/>
      <c r="AKH3" s="107"/>
      <c r="AKI3" s="107"/>
      <c r="AKJ3" s="107"/>
      <c r="AKK3" s="107"/>
      <c r="AKL3" s="107"/>
      <c r="AKM3" s="107"/>
      <c r="AKN3" s="107"/>
      <c r="AKO3" s="107"/>
      <c r="AKP3" s="107"/>
      <c r="AKQ3" s="107"/>
      <c r="AKR3" s="107"/>
      <c r="AKS3" s="107"/>
      <c r="AKT3" s="107"/>
      <c r="AKU3" s="107"/>
      <c r="AKV3" s="107"/>
      <c r="AKW3" s="107"/>
      <c r="AKX3" s="107"/>
      <c r="AKY3" s="107"/>
      <c r="AKZ3" s="107"/>
      <c r="ALA3" s="107"/>
      <c r="ALB3" s="107"/>
      <c r="ALC3" s="107"/>
      <c r="XER3" s="111" t="s">
        <v>2174</v>
      </c>
    </row>
    <row r="4" spans="1:991 16372:16372" ht="15" customHeight="1">
      <c r="A4" s="113" t="s">
        <v>19657</v>
      </c>
      <c r="B4" s="378" t="str">
        <f>VLOOKUP($A4,SERVICOS,4,FALSE)</f>
        <v>SERVIÇOS PRELIMINARES</v>
      </c>
      <c r="C4" s="378"/>
      <c r="D4" s="378"/>
      <c r="E4" s="378"/>
      <c r="F4" s="378"/>
      <c r="G4" s="378">
        <f>VLOOKUP($A4,SERVICOS,5,FALSE)</f>
        <v>0</v>
      </c>
      <c r="H4" s="378" t="e">
        <f>ROUND(SUM(#REF!),2)</f>
        <v>#REF!</v>
      </c>
    </row>
    <row r="5" spans="1:991 16372:16372" s="117" customFormat="1" ht="15" customHeight="1">
      <c r="A5" s="115" t="str">
        <f>ORCAMENTO!A7</f>
        <v>1.1</v>
      </c>
      <c r="B5" s="375" t="str">
        <f>VLOOKUP($A5,SERVICOS,4,FALSE)</f>
        <v>Placa De Obra Nas Dimensões De 2.0 X 4.0 M, Padrão Der</v>
      </c>
      <c r="C5" s="376"/>
      <c r="D5" s="376"/>
      <c r="E5" s="376"/>
      <c r="F5" s="377"/>
      <c r="G5" s="115" t="str">
        <f>VLOOKUP($A5,SERVICOS,5,FALSE)</f>
        <v>m²</v>
      </c>
      <c r="H5" s="116">
        <f>ROUND(SUM(H7:H7),2)</f>
        <v>8</v>
      </c>
    </row>
    <row r="6" spans="1:991 16372:16372" ht="15" customHeight="1">
      <c r="A6" s="118" t="s">
        <v>1029</v>
      </c>
      <c r="B6" s="118" t="s">
        <v>19767</v>
      </c>
      <c r="C6" s="119" t="s">
        <v>19768</v>
      </c>
      <c r="D6" s="119" t="s">
        <v>19769</v>
      </c>
      <c r="E6" s="118"/>
      <c r="F6" s="118"/>
      <c r="G6" s="118"/>
      <c r="H6" s="120"/>
    </row>
    <row r="7" spans="1:991 16372:16372" ht="15" customHeight="1">
      <c r="A7" s="121" t="s">
        <v>19766</v>
      </c>
      <c r="B7" s="122">
        <v>1</v>
      </c>
      <c r="C7" s="122">
        <v>2</v>
      </c>
      <c r="D7" s="122">
        <v>4</v>
      </c>
      <c r="E7" s="241"/>
      <c r="F7" s="122"/>
      <c r="G7" s="122"/>
      <c r="H7" s="122">
        <f>B7*C7*D7</f>
        <v>8</v>
      </c>
    </row>
    <row r="8" spans="1:991 16372:16372" s="117" customFormat="1" ht="15" customHeight="1">
      <c r="A8" s="115" t="s">
        <v>19659</v>
      </c>
      <c r="B8" s="375" t="str">
        <f>VLOOKUP($A8,SERVICOS,4,FALSE)</f>
        <v>Tapume Com Telha Metálica. Af_05/2018</v>
      </c>
      <c r="C8" s="376"/>
      <c r="D8" s="376"/>
      <c r="E8" s="376"/>
      <c r="F8" s="377"/>
      <c r="G8" s="115" t="str">
        <f>VLOOKUP($A8,SERVICOS,5,FALSE)</f>
        <v>m²</v>
      </c>
      <c r="H8" s="116">
        <f>ROUND(SUM(H10:H14),2)</f>
        <v>158</v>
      </c>
    </row>
    <row r="9" spans="1:991 16372:16372" ht="15" customHeight="1">
      <c r="A9" s="118" t="s">
        <v>1029</v>
      </c>
      <c r="B9" s="118" t="s">
        <v>19767</v>
      </c>
      <c r="C9" s="119" t="s">
        <v>19769</v>
      </c>
      <c r="D9" s="119" t="s">
        <v>26634</v>
      </c>
      <c r="E9" s="119" t="s">
        <v>26650</v>
      </c>
      <c r="F9" s="118"/>
      <c r="G9" s="118"/>
      <c r="H9" s="120"/>
    </row>
    <row r="10" spans="1:991 16372:16372" ht="15" customHeight="1">
      <c r="A10" s="240" t="s">
        <v>26654</v>
      </c>
      <c r="B10" s="122">
        <v>1</v>
      </c>
      <c r="C10" s="122">
        <v>1.6</v>
      </c>
      <c r="D10" s="122">
        <v>2</v>
      </c>
      <c r="E10" s="242" t="s">
        <v>26655</v>
      </c>
      <c r="F10" s="122"/>
      <c r="G10" s="122"/>
      <c r="H10" s="122">
        <f>B10*C10*D10</f>
        <v>3.2</v>
      </c>
    </row>
    <row r="11" spans="1:991 16372:16372" ht="15" customHeight="1">
      <c r="A11" s="240" t="s">
        <v>26656</v>
      </c>
      <c r="B11" s="122">
        <v>1</v>
      </c>
      <c r="C11" s="122">
        <v>38.9</v>
      </c>
      <c r="D11" s="122">
        <v>2</v>
      </c>
      <c r="E11" s="242" t="s">
        <v>26651</v>
      </c>
      <c r="F11" s="122"/>
      <c r="G11" s="122"/>
      <c r="H11" s="122">
        <f t="shared" ref="H11:H14" si="0">B11*C11*D11</f>
        <v>77.8</v>
      </c>
    </row>
    <row r="12" spans="1:991 16372:16372" ht="15" customHeight="1">
      <c r="A12" s="240" t="s">
        <v>26657</v>
      </c>
      <c r="B12" s="122">
        <v>1</v>
      </c>
      <c r="C12" s="122">
        <v>3.5</v>
      </c>
      <c r="D12" s="122">
        <v>2</v>
      </c>
      <c r="E12" s="242" t="s">
        <v>26652</v>
      </c>
      <c r="F12" s="122"/>
      <c r="G12" s="122"/>
      <c r="H12" s="122">
        <f t="shared" si="0"/>
        <v>7</v>
      </c>
    </row>
    <row r="13" spans="1:991 16372:16372" ht="15" customHeight="1">
      <c r="A13" s="240" t="s">
        <v>26658</v>
      </c>
      <c r="B13" s="122">
        <v>1</v>
      </c>
      <c r="C13" s="122">
        <v>32</v>
      </c>
      <c r="D13" s="122">
        <v>2</v>
      </c>
      <c r="E13" s="242" t="s">
        <v>26622</v>
      </c>
      <c r="F13" s="122"/>
      <c r="G13" s="122"/>
      <c r="H13" s="122">
        <f t="shared" si="0"/>
        <v>64</v>
      </c>
    </row>
    <row r="14" spans="1:991 16372:16372" ht="15" customHeight="1">
      <c r="A14" s="240" t="s">
        <v>26659</v>
      </c>
      <c r="B14" s="122">
        <v>1</v>
      </c>
      <c r="C14" s="122">
        <v>3</v>
      </c>
      <c r="D14" s="122">
        <v>2</v>
      </c>
      <c r="E14" s="241" t="s">
        <v>26653</v>
      </c>
      <c r="F14" s="122"/>
      <c r="G14" s="122"/>
      <c r="H14" s="122">
        <f t="shared" si="0"/>
        <v>6</v>
      </c>
    </row>
    <row r="15" spans="1:991 16372:16372" s="117" customFormat="1" ht="75" customHeight="1">
      <c r="A15" s="115" t="s">
        <v>19760</v>
      </c>
      <c r="B15" s="375" t="str">
        <f>VLOOKUP($A15,SERVICOS,4,FALSE)</f>
        <v>Aluguel Mensal Container Para Escritório, Dim. 6.00X2.40M, C/ Banheiro (Vaso+Lavat+Chuveiro E Básc), Incl. Porta, 2 Janelas, Abert P/ Ar Cond., 2 Pt Iluminação, 2 Tom. Elét. E 1 Tom.Telef. Isolam.Térmico(Teto E Paredes), Piso Em Comp. Naval, Cert. Nr18, Incl. Laudo Descontaminação.</v>
      </c>
      <c r="C15" s="376"/>
      <c r="D15" s="376"/>
      <c r="E15" s="376"/>
      <c r="F15" s="377"/>
      <c r="G15" s="115" t="str">
        <f>VLOOKUP($A15,SERVICOS,5,FALSE)</f>
        <v>ms</v>
      </c>
      <c r="H15" s="116">
        <f>ROUND(SUM(H17:H17),2)</f>
        <v>6</v>
      </c>
    </row>
    <row r="16" spans="1:991 16372:16372" ht="15" customHeight="1">
      <c r="A16" s="118" t="s">
        <v>1029</v>
      </c>
      <c r="B16" s="118" t="s">
        <v>19767</v>
      </c>
      <c r="C16" s="119" t="s">
        <v>26568</v>
      </c>
      <c r="D16" s="119"/>
      <c r="E16" s="118"/>
      <c r="F16" s="118"/>
      <c r="G16" s="118"/>
      <c r="H16" s="120"/>
    </row>
    <row r="17" spans="1:8" ht="15" customHeight="1">
      <c r="A17" s="121" t="s">
        <v>26569</v>
      </c>
      <c r="B17" s="122">
        <v>1</v>
      </c>
      <c r="C17" s="122">
        <v>6</v>
      </c>
      <c r="D17" s="122"/>
      <c r="E17" s="122"/>
      <c r="F17" s="122"/>
      <c r="G17" s="122"/>
      <c r="H17" s="122">
        <f>B17*C17</f>
        <v>6</v>
      </c>
    </row>
    <row r="18" spans="1:8" s="117" customFormat="1" ht="45" customHeight="1">
      <c r="A18" s="115" t="s">
        <v>25846</v>
      </c>
      <c r="B18" s="375" t="str">
        <f>VLOOKUP($A18,SERVICOS,4,FALSE)</f>
        <v>Aluguel Mensal Container Para Almoxarifado, Incl. Porta, 2 Janelas, 1 Pt Iluminação, Isolamento Térmico (Teto), Piso Em Comp. Naval Pintado, Cert. Nr18, Incl. Laudo Descontaminação.</v>
      </c>
      <c r="C18" s="376"/>
      <c r="D18" s="376"/>
      <c r="E18" s="376"/>
      <c r="F18" s="377"/>
      <c r="G18" s="115" t="str">
        <f>VLOOKUP($A18,SERVICOS,5,FALSE)</f>
        <v>ms</v>
      </c>
      <c r="H18" s="116">
        <f>ROUND(SUM(H20:H20),2)</f>
        <v>6</v>
      </c>
    </row>
    <row r="19" spans="1:8" ht="15" customHeight="1">
      <c r="A19" s="118" t="s">
        <v>1029</v>
      </c>
      <c r="B19" s="118" t="s">
        <v>19767</v>
      </c>
      <c r="C19" s="119" t="s">
        <v>26568</v>
      </c>
      <c r="D19" s="119"/>
      <c r="E19" s="118"/>
      <c r="F19" s="118"/>
      <c r="G19" s="118"/>
      <c r="H19" s="120"/>
    </row>
    <row r="20" spans="1:8" ht="15" customHeight="1">
      <c r="A20" s="121" t="s">
        <v>26570</v>
      </c>
      <c r="B20" s="122">
        <v>1</v>
      </c>
      <c r="C20" s="122">
        <v>6</v>
      </c>
      <c r="D20" s="122"/>
      <c r="E20" s="122"/>
      <c r="F20" s="122"/>
      <c r="G20" s="122"/>
      <c r="H20" s="122">
        <f>B20*C20</f>
        <v>6</v>
      </c>
    </row>
    <row r="21" spans="1:8" s="117" customFormat="1" ht="60" customHeight="1">
      <c r="A21" s="115" t="s">
        <v>25847</v>
      </c>
      <c r="B21" s="375" t="str">
        <f>VLOOKUP($A21,SERVICOS,4,FALSE)</f>
        <v>Aluguel Mensal Container Sanitário, Incl Porta, Básc, 2 Ptos Luz, 1 Pto Aterram., 3Vasos, 3Lavatórios, Calha Mictório, 6 Chuveiros (1 Eletrico), Torn.,Registros, Piso Comp. Naval Pintado, Cert Nr18 E Laudo Descontaminação</v>
      </c>
      <c r="C21" s="376"/>
      <c r="D21" s="376"/>
      <c r="E21" s="376"/>
      <c r="F21" s="377"/>
      <c r="G21" s="115" t="str">
        <f>VLOOKUP($A21,SERVICOS,5,FALSE)</f>
        <v>ms</v>
      </c>
      <c r="H21" s="116">
        <f>ROUND(SUM(H23:H23),2)</f>
        <v>6</v>
      </c>
    </row>
    <row r="22" spans="1:8" ht="15" customHeight="1">
      <c r="A22" s="118" t="s">
        <v>1029</v>
      </c>
      <c r="B22" s="118" t="s">
        <v>19767</v>
      </c>
      <c r="C22" s="119" t="s">
        <v>26568</v>
      </c>
      <c r="D22" s="119"/>
      <c r="E22" s="118"/>
      <c r="F22" s="118"/>
      <c r="G22" s="118"/>
      <c r="H22" s="120"/>
    </row>
    <row r="23" spans="1:8" ht="15" customHeight="1">
      <c r="A23" s="121" t="s">
        <v>29008</v>
      </c>
      <c r="B23" s="122">
        <v>1</v>
      </c>
      <c r="C23" s="122">
        <v>6</v>
      </c>
      <c r="D23" s="122"/>
      <c r="E23" s="122"/>
      <c r="F23" s="122"/>
      <c r="G23" s="122"/>
      <c r="H23" s="122">
        <f>B23*C23</f>
        <v>6</v>
      </c>
    </row>
    <row r="24" spans="1:8" s="117" customFormat="1" ht="30" customHeight="1">
      <c r="A24" s="115" t="s">
        <v>25849</v>
      </c>
      <c r="B24" s="375" t="str">
        <f>VLOOKUP($A24,SERVICOS,4,FALSE)</f>
        <v>Mobilização E Desmobilização De Conteiner Locado Para Barracão De Obra</v>
      </c>
      <c r="C24" s="376"/>
      <c r="D24" s="376"/>
      <c r="E24" s="376"/>
      <c r="F24" s="377"/>
      <c r="G24" s="115" t="str">
        <f>VLOOKUP($A24,SERVICOS,5,FALSE)</f>
        <v>und</v>
      </c>
      <c r="H24" s="116">
        <f>ROUND(SUM(H26:H28),2)</f>
        <v>3</v>
      </c>
    </row>
    <row r="25" spans="1:8" ht="15" customHeight="1">
      <c r="A25" s="118" t="s">
        <v>1029</v>
      </c>
      <c r="B25" s="118" t="s">
        <v>19767</v>
      </c>
      <c r="C25" s="119"/>
      <c r="D25" s="119"/>
      <c r="E25" s="118"/>
      <c r="F25" s="118"/>
      <c r="G25" s="118"/>
      <c r="H25" s="120"/>
    </row>
    <row r="26" spans="1:8" ht="15" customHeight="1">
      <c r="A26" s="121" t="s">
        <v>26569</v>
      </c>
      <c r="B26" s="122">
        <v>1</v>
      </c>
      <c r="C26" s="122"/>
      <c r="D26" s="122"/>
      <c r="E26" s="122"/>
      <c r="F26" s="122"/>
      <c r="G26" s="122"/>
      <c r="H26" s="122">
        <f>B26</f>
        <v>1</v>
      </c>
    </row>
    <row r="27" spans="1:8" ht="15" customHeight="1">
      <c r="A27" s="121" t="s">
        <v>26570</v>
      </c>
      <c r="B27" s="122">
        <v>1</v>
      </c>
      <c r="C27" s="122"/>
      <c r="D27" s="122"/>
      <c r="E27" s="122"/>
      <c r="F27" s="122"/>
      <c r="G27" s="122"/>
      <c r="H27" s="122">
        <f>B27</f>
        <v>1</v>
      </c>
    </row>
    <row r="28" spans="1:8" ht="15" customHeight="1">
      <c r="A28" s="121" t="s">
        <v>29008</v>
      </c>
      <c r="B28" s="122">
        <v>1</v>
      </c>
      <c r="C28" s="122"/>
      <c r="D28" s="122"/>
      <c r="E28" s="122"/>
      <c r="F28" s="122"/>
      <c r="G28" s="122"/>
      <c r="H28" s="122">
        <f>B28</f>
        <v>1</v>
      </c>
    </row>
    <row r="29" spans="1:8" s="117" customFormat="1" ht="30" customHeight="1">
      <c r="A29" s="115" t="s">
        <v>26529</v>
      </c>
      <c r="B29" s="375" t="str">
        <f>VLOOKUP($A29,SERVICOS,4,FALSE)</f>
        <v>Reservatório De Poliestileno De 500L, Incl. Suporte Em Madeira De 7X12Cm E 5X7Cm, Elevado De 4M, Conf. Projeto (1 Utilização)</v>
      </c>
      <c r="C29" s="376"/>
      <c r="D29" s="376"/>
      <c r="E29" s="376"/>
      <c r="F29" s="377"/>
      <c r="G29" s="115" t="str">
        <f>VLOOKUP($A29,SERVICOS,5,FALSE)</f>
        <v>und</v>
      </c>
      <c r="H29" s="116">
        <f>ROUND(SUM(H31),2)</f>
        <v>1</v>
      </c>
    </row>
    <row r="30" spans="1:8" ht="15" customHeight="1">
      <c r="A30" s="118" t="s">
        <v>1029</v>
      </c>
      <c r="B30" s="118" t="s">
        <v>19767</v>
      </c>
      <c r="C30" s="119"/>
      <c r="D30" s="119"/>
      <c r="E30" s="118"/>
      <c r="F30" s="118"/>
      <c r="G30" s="118"/>
      <c r="H30" s="120"/>
    </row>
    <row r="31" spans="1:8" ht="15" customHeight="1">
      <c r="A31" s="121" t="s">
        <v>26571</v>
      </c>
      <c r="B31" s="122">
        <v>1</v>
      </c>
      <c r="C31" s="122"/>
      <c r="D31" s="122"/>
      <c r="E31" s="122"/>
      <c r="F31" s="122"/>
      <c r="G31" s="122"/>
      <c r="H31" s="122">
        <f>B31</f>
        <v>1</v>
      </c>
    </row>
    <row r="32" spans="1:8" s="117" customFormat="1" ht="15" customHeight="1">
      <c r="A32" s="115" t="s">
        <v>26530</v>
      </c>
      <c r="B32" s="375" t="str">
        <f>VLOOKUP($A32,SERVICOS,4,FALSE)</f>
        <v>Raspagem E Limpeza Do Terreno (Manual)</v>
      </c>
      <c r="C32" s="376"/>
      <c r="D32" s="376"/>
      <c r="E32" s="376"/>
      <c r="F32" s="377"/>
      <c r="G32" s="115" t="str">
        <f>VLOOKUP($A32,SERVICOS,5,FALSE)</f>
        <v>m²</v>
      </c>
      <c r="H32" s="116">
        <f>ROUND(SUM(H34),2)</f>
        <v>793.33</v>
      </c>
    </row>
    <row r="33" spans="1:8" ht="15" customHeight="1">
      <c r="A33" s="118" t="s">
        <v>1029</v>
      </c>
      <c r="B33" s="118" t="s">
        <v>19767</v>
      </c>
      <c r="C33" s="118" t="s">
        <v>26630</v>
      </c>
      <c r="D33" s="119"/>
      <c r="E33" s="118"/>
      <c r="F33" s="118"/>
      <c r="G33" s="118"/>
      <c r="H33" s="120"/>
    </row>
    <row r="34" spans="1:8" ht="15" customHeight="1">
      <c r="A34" s="121" t="s">
        <v>26660</v>
      </c>
      <c r="B34" s="122">
        <v>1</v>
      </c>
      <c r="C34" s="122">
        <v>793.33</v>
      </c>
      <c r="D34" s="241" t="s">
        <v>26770</v>
      </c>
      <c r="E34" s="122"/>
      <c r="F34" s="122"/>
      <c r="G34" s="122"/>
      <c r="H34" s="122">
        <f>B34*C34</f>
        <v>793.33</v>
      </c>
    </row>
    <row r="35" spans="1:8" s="117" customFormat="1" ht="15" customHeight="1">
      <c r="A35" s="115" t="s">
        <v>29007</v>
      </c>
      <c r="B35" s="375" t="str">
        <f>VLOOKUP($A35,SERVICOS,4,FALSE)</f>
        <v>Locação De Obra Com Gabarito De Madeira</v>
      </c>
      <c r="C35" s="376"/>
      <c r="D35" s="376"/>
      <c r="E35" s="376"/>
      <c r="F35" s="377"/>
      <c r="G35" s="115" t="str">
        <f>VLOOKUP($A35,SERVICOS,5,FALSE)</f>
        <v>m²</v>
      </c>
      <c r="H35" s="116">
        <f>ROUND(SUM(H37),2)</f>
        <v>49.43</v>
      </c>
    </row>
    <row r="36" spans="1:8" ht="15" customHeight="1">
      <c r="A36" s="118" t="s">
        <v>1029</v>
      </c>
      <c r="B36" s="118" t="s">
        <v>19767</v>
      </c>
      <c r="C36" s="118" t="s">
        <v>26630</v>
      </c>
      <c r="D36" s="119"/>
      <c r="E36" s="118"/>
      <c r="F36" s="118"/>
      <c r="G36" s="118"/>
      <c r="H36" s="120"/>
    </row>
    <row r="37" spans="1:8" ht="25.5">
      <c r="A37" s="240" t="s">
        <v>26661</v>
      </c>
      <c r="B37" s="122">
        <v>1</v>
      </c>
      <c r="C37" s="122">
        <v>49.43</v>
      </c>
      <c r="D37" s="122"/>
      <c r="E37" s="122"/>
      <c r="F37" s="122"/>
      <c r="G37" s="122"/>
      <c r="H37" s="122">
        <f>B37*C37</f>
        <v>49.43</v>
      </c>
    </row>
    <row r="38" spans="1:8" ht="15" customHeight="1">
      <c r="A38" s="113" t="s">
        <v>19660</v>
      </c>
      <c r="B38" s="378" t="str">
        <f>VLOOKUP($A38,SERVICOS,4,FALSE)</f>
        <v>DEMOLIÇÕES E RETIRADAS</v>
      </c>
      <c r="C38" s="378"/>
      <c r="D38" s="378"/>
      <c r="E38" s="378"/>
      <c r="F38" s="378"/>
      <c r="G38" s="378">
        <f>VLOOKUP($A38,SERVICOS,5,FALSE)</f>
        <v>0</v>
      </c>
      <c r="H38" s="378" t="e">
        <f>ROUND(SUM(#REF!),2)</f>
        <v>#REF!</v>
      </c>
    </row>
    <row r="39" spans="1:8" s="117" customFormat="1" ht="15" customHeight="1">
      <c r="A39" s="115" t="s">
        <v>21959</v>
      </c>
      <c r="B39" s="375" t="str">
        <f>VLOOKUP($A39,SERVICOS,4,FALSE)</f>
        <v>Demolição De Piso Cimentado Inclusive Lastro De Concreto</v>
      </c>
      <c r="C39" s="376"/>
      <c r="D39" s="376"/>
      <c r="E39" s="376"/>
      <c r="F39" s="377"/>
      <c r="G39" s="115" t="str">
        <f>VLOOKUP($A39,SERVICOS,5,FALSE)</f>
        <v>m²</v>
      </c>
      <c r="H39" s="116">
        <f>ROUND(SUM(H41:H43),2)</f>
        <v>73.22</v>
      </c>
    </row>
    <row r="40" spans="1:8" ht="15" customHeight="1">
      <c r="A40" s="118" t="s">
        <v>1029</v>
      </c>
      <c r="B40" s="118" t="s">
        <v>19767</v>
      </c>
      <c r="C40" s="119" t="s">
        <v>26630</v>
      </c>
      <c r="D40" s="118"/>
      <c r="E40" s="119" t="s">
        <v>26643</v>
      </c>
      <c r="F40" s="119" t="s">
        <v>26743</v>
      </c>
      <c r="G40" s="118"/>
      <c r="H40" s="120"/>
    </row>
    <row r="41" spans="1:8" ht="15" customHeight="1">
      <c r="A41" s="121" t="s">
        <v>26631</v>
      </c>
      <c r="B41" s="122">
        <v>1</v>
      </c>
      <c r="C41" s="122">
        <v>24.9</v>
      </c>
      <c r="D41" s="401" t="s">
        <v>26648</v>
      </c>
      <c r="E41" s="122">
        <v>0.03</v>
      </c>
      <c r="F41" s="122">
        <f>C41*E41</f>
        <v>0.74699999999999989</v>
      </c>
      <c r="G41" s="122"/>
      <c r="H41" s="122">
        <f>B41*C41</f>
        <v>24.9</v>
      </c>
    </row>
    <row r="42" spans="1:8" ht="25.5">
      <c r="A42" s="240" t="s">
        <v>26782</v>
      </c>
      <c r="B42" s="122">
        <v>1</v>
      </c>
      <c r="C42" s="122">
        <v>27.3</v>
      </c>
      <c r="D42" s="402"/>
      <c r="E42" s="122">
        <v>0.15</v>
      </c>
      <c r="F42" s="122">
        <f>C42*E42</f>
        <v>4.0949999999999998</v>
      </c>
      <c r="G42" s="122"/>
      <c r="H42" s="122">
        <f>B42*C42</f>
        <v>27.3</v>
      </c>
    </row>
    <row r="43" spans="1:8" ht="25.5">
      <c r="A43" s="240" t="s">
        <v>26771</v>
      </c>
      <c r="B43" s="122">
        <v>1</v>
      </c>
      <c r="C43" s="122">
        <v>21.02</v>
      </c>
      <c r="D43" s="403"/>
      <c r="E43" s="122">
        <v>0.1</v>
      </c>
      <c r="F43" s="122">
        <f>C43*E43</f>
        <v>2.1019999999999999</v>
      </c>
      <c r="G43" s="122"/>
      <c r="H43" s="122">
        <f>B43*C43</f>
        <v>21.02</v>
      </c>
    </row>
    <row r="44" spans="1:8" s="117" customFormat="1" ht="15" customHeight="1">
      <c r="A44" s="115" t="s">
        <v>25843</v>
      </c>
      <c r="B44" s="375" t="str">
        <f>VLOOKUP($A44,SERVICOS,4,FALSE)</f>
        <v>Demolição De Piso Revestido Com Cerâmica</v>
      </c>
      <c r="C44" s="376"/>
      <c r="D44" s="376"/>
      <c r="E44" s="376"/>
      <c r="F44" s="377"/>
      <c r="G44" s="115" t="str">
        <f>VLOOKUP($A44,SERVICOS,5,FALSE)</f>
        <v>m²</v>
      </c>
      <c r="H44" s="116">
        <f>ROUND(SUM(H46:H46),2)</f>
        <v>5.41</v>
      </c>
    </row>
    <row r="45" spans="1:8" ht="15" customHeight="1">
      <c r="A45" s="118" t="s">
        <v>1029</v>
      </c>
      <c r="B45" s="118" t="s">
        <v>19767</v>
      </c>
      <c r="C45" s="119" t="s">
        <v>19768</v>
      </c>
      <c r="D45" s="119" t="s">
        <v>19769</v>
      </c>
      <c r="E45" s="119"/>
      <c r="F45" s="119" t="s">
        <v>26643</v>
      </c>
      <c r="G45" s="119" t="s">
        <v>26743</v>
      </c>
      <c r="H45" s="120"/>
    </row>
    <row r="46" spans="1:8" ht="15" customHeight="1">
      <c r="A46" s="121" t="s">
        <v>28711</v>
      </c>
      <c r="B46" s="122">
        <v>1</v>
      </c>
      <c r="C46" s="122">
        <v>2.2999999999999998</v>
      </c>
      <c r="D46" s="122">
        <v>2.35</v>
      </c>
      <c r="E46" s="122"/>
      <c r="F46" s="285">
        <v>0.03</v>
      </c>
      <c r="G46" s="122">
        <f>H46*F46</f>
        <v>0.16214999999999999</v>
      </c>
      <c r="H46" s="122">
        <f>B46*C46*D46</f>
        <v>5.4049999999999994</v>
      </c>
    </row>
    <row r="47" spans="1:8" ht="15" customHeight="1">
      <c r="A47" s="272" t="s">
        <v>28712</v>
      </c>
      <c r="B47" s="273"/>
      <c r="C47" s="273"/>
      <c r="D47" s="273"/>
      <c r="E47" s="273"/>
      <c r="F47" s="273"/>
      <c r="G47" s="273"/>
      <c r="H47" s="274"/>
    </row>
    <row r="48" spans="1:8" s="117" customFormat="1" ht="15" customHeight="1">
      <c r="A48" s="115" t="s">
        <v>25844</v>
      </c>
      <c r="B48" s="375" t="str">
        <f>VLOOKUP($A48,SERVICOS,4,FALSE)</f>
        <v>Demolição De Revestimento Com Azulejos</v>
      </c>
      <c r="C48" s="376"/>
      <c r="D48" s="376"/>
      <c r="E48" s="376"/>
      <c r="F48" s="377"/>
      <c r="G48" s="115" t="str">
        <f>VLOOKUP($A48,SERVICOS,5,FALSE)</f>
        <v>m²</v>
      </c>
      <c r="H48" s="116">
        <f>ROUND(SUM(H50:H50),2)</f>
        <v>3.53</v>
      </c>
    </row>
    <row r="49" spans="1:8" ht="15" customHeight="1">
      <c r="A49" s="118" t="s">
        <v>1029</v>
      </c>
      <c r="B49" s="118" t="s">
        <v>19767</v>
      </c>
      <c r="C49" s="119" t="s">
        <v>26720</v>
      </c>
      <c r="D49" s="119" t="s">
        <v>26634</v>
      </c>
      <c r="E49" s="119"/>
      <c r="F49" s="119" t="s">
        <v>26643</v>
      </c>
      <c r="G49" s="119" t="s">
        <v>26743</v>
      </c>
      <c r="H49" s="120"/>
    </row>
    <row r="50" spans="1:8" ht="15" customHeight="1">
      <c r="A50" s="121" t="s">
        <v>28711</v>
      </c>
      <c r="B50" s="122">
        <v>1</v>
      </c>
      <c r="C50" s="122">
        <v>2.35</v>
      </c>
      <c r="D50" s="122">
        <v>1.5</v>
      </c>
      <c r="E50" s="122"/>
      <c r="F50" s="285">
        <v>0.03</v>
      </c>
      <c r="G50" s="122">
        <f>H50*F50</f>
        <v>0.10575000000000001</v>
      </c>
      <c r="H50" s="122">
        <f>B50*C50*D50</f>
        <v>3.5250000000000004</v>
      </c>
    </row>
    <row r="51" spans="1:8" ht="15" customHeight="1">
      <c r="A51" s="272" t="s">
        <v>28713</v>
      </c>
      <c r="B51" s="273"/>
      <c r="C51" s="273"/>
      <c r="D51" s="273"/>
      <c r="E51" s="273"/>
      <c r="F51" s="273"/>
      <c r="G51" s="273"/>
      <c r="H51" s="274"/>
    </row>
    <row r="52" spans="1:8" s="117" customFormat="1" ht="15" customHeight="1">
      <c r="A52" s="115" t="s">
        <v>25845</v>
      </c>
      <c r="B52" s="375" t="str">
        <f>VLOOKUP($A52,SERVICOS,4,FALSE)</f>
        <v>Retirada De Revestimento Antigo Em Reboco</v>
      </c>
      <c r="C52" s="376"/>
      <c r="D52" s="376"/>
      <c r="E52" s="376"/>
      <c r="F52" s="377"/>
      <c r="G52" s="115" t="str">
        <f>VLOOKUP($A52,SERVICOS,5,FALSE)</f>
        <v>m²</v>
      </c>
      <c r="H52" s="116">
        <f>ROUND(SUM(H55:H60),2)</f>
        <v>1039.98</v>
      </c>
    </row>
    <row r="53" spans="1:8" ht="15" customHeight="1">
      <c r="A53" s="118" t="s">
        <v>1029</v>
      </c>
      <c r="B53" s="118" t="s">
        <v>19767</v>
      </c>
      <c r="C53" s="119" t="s">
        <v>26720</v>
      </c>
      <c r="D53" s="119" t="s">
        <v>26634</v>
      </c>
      <c r="E53" s="119"/>
      <c r="F53" s="118"/>
      <c r="G53" s="118"/>
      <c r="H53" s="120"/>
    </row>
    <row r="54" spans="1:8" ht="15" customHeight="1">
      <c r="A54" s="260" t="s">
        <v>26788</v>
      </c>
      <c r="B54" s="257"/>
      <c r="C54" s="258"/>
      <c r="D54" s="258"/>
      <c r="E54" s="257"/>
      <c r="F54" s="257"/>
      <c r="G54" s="257"/>
      <c r="H54" s="259"/>
    </row>
    <row r="55" spans="1:8" ht="15" customHeight="1">
      <c r="A55" s="240" t="s">
        <v>26663</v>
      </c>
      <c r="B55" s="122">
        <v>1</v>
      </c>
      <c r="C55" s="122">
        <v>50.9</v>
      </c>
      <c r="D55" s="122">
        <v>3.9</v>
      </c>
      <c r="E55" s="122"/>
      <c r="F55" s="122"/>
      <c r="G55" s="241"/>
      <c r="H55" s="122">
        <f>B55*C55*D55</f>
        <v>198.51</v>
      </c>
    </row>
    <row r="56" spans="1:8" ht="15" customHeight="1">
      <c r="A56" s="121" t="s">
        <v>26664</v>
      </c>
      <c r="B56" s="122">
        <v>1</v>
      </c>
      <c r="C56" s="122">
        <v>14.6</v>
      </c>
      <c r="D56" s="122">
        <v>3.9</v>
      </c>
      <c r="E56" s="122"/>
      <c r="F56" s="122"/>
      <c r="G56" s="122"/>
      <c r="H56" s="122">
        <f t="shared" ref="H56:H60" si="1">B56*C56*D56</f>
        <v>56.94</v>
      </c>
    </row>
    <row r="57" spans="1:8" ht="15" customHeight="1">
      <c r="A57" s="251" t="s">
        <v>26789</v>
      </c>
      <c r="B57" s="122"/>
      <c r="C57" s="122"/>
      <c r="D57" s="122"/>
      <c r="E57" s="122"/>
      <c r="F57" s="122"/>
      <c r="G57" s="122"/>
      <c r="H57" s="122"/>
    </row>
    <row r="58" spans="1:8" ht="15" customHeight="1">
      <c r="A58" s="121" t="s">
        <v>26783</v>
      </c>
      <c r="B58" s="122">
        <v>1</v>
      </c>
      <c r="C58" s="122">
        <v>52.1</v>
      </c>
      <c r="D58" s="122">
        <v>4.55</v>
      </c>
      <c r="E58" s="122"/>
      <c r="F58" s="122"/>
      <c r="G58" s="122"/>
      <c r="H58" s="122">
        <f t="shared" si="1"/>
        <v>237.05500000000001</v>
      </c>
    </row>
    <row r="59" spans="1:8" ht="15" customHeight="1">
      <c r="A59" s="251" t="s">
        <v>26787</v>
      </c>
      <c r="B59" s="122"/>
      <c r="C59" s="122"/>
      <c r="D59" s="122"/>
      <c r="E59" s="122"/>
      <c r="F59" s="122"/>
      <c r="G59" s="122"/>
      <c r="H59" s="122"/>
    </row>
    <row r="60" spans="1:8" ht="15" customHeight="1">
      <c r="A60" s="240" t="s">
        <v>26752</v>
      </c>
      <c r="B60" s="122">
        <v>1</v>
      </c>
      <c r="C60" s="122">
        <v>55.3</v>
      </c>
      <c r="D60" s="122">
        <v>9.9</v>
      </c>
      <c r="E60" s="122"/>
      <c r="F60" s="122"/>
      <c r="G60" s="241"/>
      <c r="H60" s="122">
        <f t="shared" si="1"/>
        <v>547.47</v>
      </c>
    </row>
    <row r="61" spans="1:8" ht="15" customHeight="1">
      <c r="A61" s="272" t="s">
        <v>26822</v>
      </c>
      <c r="B61" s="273"/>
      <c r="C61" s="273"/>
      <c r="D61" s="273"/>
      <c r="E61" s="273"/>
      <c r="F61" s="273"/>
      <c r="G61" s="273"/>
      <c r="H61" s="274"/>
    </row>
    <row r="62" spans="1:8" s="117" customFormat="1" ht="15" customHeight="1">
      <c r="A62" s="115" t="s">
        <v>25848</v>
      </c>
      <c r="B62" s="375" t="str">
        <f>VLOOKUP($A62,SERVICOS,4,FALSE)</f>
        <v>Demolição De Alvenaria</v>
      </c>
      <c r="C62" s="376"/>
      <c r="D62" s="376"/>
      <c r="E62" s="376"/>
      <c r="F62" s="377"/>
      <c r="G62" s="115" t="str">
        <f>VLOOKUP($A62,SERVICOS,5,FALSE)</f>
        <v>m³</v>
      </c>
      <c r="H62" s="116">
        <f>ROUND(SUM(H65:H79),2)</f>
        <v>69.290000000000006</v>
      </c>
    </row>
    <row r="63" spans="1:8" ht="15" customHeight="1">
      <c r="A63" s="118" t="s">
        <v>1029</v>
      </c>
      <c r="B63" s="118" t="s">
        <v>19767</v>
      </c>
      <c r="C63" s="119" t="s">
        <v>19769</v>
      </c>
      <c r="D63" s="119" t="s">
        <v>26634</v>
      </c>
      <c r="E63" s="118" t="s">
        <v>26643</v>
      </c>
      <c r="F63" s="118"/>
      <c r="G63" s="118"/>
      <c r="H63" s="120"/>
    </row>
    <row r="64" spans="1:8" ht="15" customHeight="1">
      <c r="A64" s="260" t="s">
        <v>26785</v>
      </c>
      <c r="B64" s="257"/>
      <c r="C64" s="258"/>
      <c r="D64" s="258"/>
      <c r="E64" s="257"/>
      <c r="F64" s="257"/>
      <c r="G64" s="257"/>
      <c r="H64" s="259"/>
    </row>
    <row r="65" spans="1:8" ht="15" customHeight="1">
      <c r="A65" s="240" t="s">
        <v>28570</v>
      </c>
      <c r="B65" s="122">
        <v>1</v>
      </c>
      <c r="C65" s="122">
        <f>4*2+1.2+1.05</f>
        <v>10.25</v>
      </c>
      <c r="D65" s="122">
        <v>3.9</v>
      </c>
      <c r="E65" s="122">
        <v>0.3</v>
      </c>
      <c r="F65" s="241" t="s">
        <v>28568</v>
      </c>
      <c r="G65" s="122"/>
      <c r="H65" s="122">
        <f t="shared" ref="H65:H72" si="2">B65*C65*D65*E65</f>
        <v>11.9925</v>
      </c>
    </row>
    <row r="66" spans="1:8" ht="15" customHeight="1">
      <c r="A66" s="240" t="s">
        <v>28570</v>
      </c>
      <c r="B66" s="122">
        <v>1</v>
      </c>
      <c r="C66" s="122">
        <f>0.9+1.05*2+1.4</f>
        <v>4.4000000000000004</v>
      </c>
      <c r="D66" s="122">
        <v>2.2999999999999998</v>
      </c>
      <c r="E66" s="122">
        <v>0.15</v>
      </c>
      <c r="F66" s="241" t="s">
        <v>28569</v>
      </c>
      <c r="G66" s="122"/>
      <c r="H66" s="122">
        <f t="shared" si="2"/>
        <v>1.5179999999999998</v>
      </c>
    </row>
    <row r="67" spans="1:8" ht="15" customHeight="1">
      <c r="A67" s="240" t="s">
        <v>26817</v>
      </c>
      <c r="B67" s="122">
        <v>1</v>
      </c>
      <c r="C67" s="122">
        <f>3.69+2.71</f>
        <v>6.4</v>
      </c>
      <c r="D67" s="122">
        <v>1.9</v>
      </c>
      <c r="E67" s="122">
        <v>0.15</v>
      </c>
      <c r="F67" s="122"/>
      <c r="G67" s="122"/>
      <c r="H67" s="122">
        <f t="shared" si="2"/>
        <v>1.8239999999999998</v>
      </c>
    </row>
    <row r="68" spans="1:8" ht="15" customHeight="1">
      <c r="A68" s="240" t="s">
        <v>26817</v>
      </c>
      <c r="B68" s="122">
        <v>1</v>
      </c>
      <c r="C68" s="122">
        <f>3.41*2+4.45+0.79</f>
        <v>12.059999999999999</v>
      </c>
      <c r="D68" s="122">
        <v>2.4</v>
      </c>
      <c r="E68" s="122">
        <v>0.15</v>
      </c>
      <c r="F68" s="122"/>
      <c r="G68" s="122"/>
      <c r="H68" s="122">
        <f t="shared" si="2"/>
        <v>4.3415999999999988</v>
      </c>
    </row>
    <row r="69" spans="1:8" ht="15" customHeight="1">
      <c r="A69" s="240" t="s">
        <v>26815</v>
      </c>
      <c r="B69" s="122">
        <v>1</v>
      </c>
      <c r="C69" s="122">
        <v>2</v>
      </c>
      <c r="D69" s="122">
        <v>3</v>
      </c>
      <c r="E69" s="122">
        <v>0.15</v>
      </c>
      <c r="F69" s="122"/>
      <c r="G69" s="122"/>
      <c r="H69" s="122">
        <f t="shared" si="2"/>
        <v>0.89999999999999991</v>
      </c>
    </row>
    <row r="70" spans="1:8" ht="15" customHeight="1">
      <c r="A70" s="240" t="s">
        <v>26816</v>
      </c>
      <c r="B70" s="122">
        <v>1</v>
      </c>
      <c r="C70" s="122">
        <v>1.4</v>
      </c>
      <c r="D70" s="122">
        <v>3</v>
      </c>
      <c r="E70" s="122">
        <v>0.15</v>
      </c>
      <c r="F70" s="122" t="s">
        <v>28571</v>
      </c>
      <c r="G70" s="122"/>
      <c r="H70" s="122">
        <f t="shared" ref="H70:H71" si="3">B70*C70*D70*E70</f>
        <v>0.62999999999999989</v>
      </c>
    </row>
    <row r="71" spans="1:8" ht="25.5">
      <c r="A71" s="240" t="s">
        <v>28572</v>
      </c>
      <c r="B71" s="122">
        <v>1</v>
      </c>
      <c r="C71" s="122">
        <v>1.7</v>
      </c>
      <c r="D71" s="122">
        <v>3</v>
      </c>
      <c r="E71" s="122">
        <v>0.15</v>
      </c>
      <c r="F71" s="122"/>
      <c r="G71" s="122"/>
      <c r="H71" s="122">
        <f t="shared" si="3"/>
        <v>0.7649999999999999</v>
      </c>
    </row>
    <row r="72" spans="1:8" ht="15" customHeight="1">
      <c r="A72" s="240" t="s">
        <v>28573</v>
      </c>
      <c r="B72" s="122">
        <v>1</v>
      </c>
      <c r="C72" s="122">
        <v>1.1499999999999999</v>
      </c>
      <c r="D72" s="122">
        <v>2.0499999999999998</v>
      </c>
      <c r="E72" s="122">
        <v>0.15</v>
      </c>
      <c r="F72" s="122"/>
      <c r="G72" s="122"/>
      <c r="H72" s="122">
        <f t="shared" si="2"/>
        <v>0.35362499999999991</v>
      </c>
    </row>
    <row r="73" spans="1:8" ht="15" customHeight="1">
      <c r="A73" s="256" t="s">
        <v>26786</v>
      </c>
      <c r="B73" s="122"/>
      <c r="C73" s="122"/>
      <c r="D73" s="122"/>
      <c r="E73" s="122"/>
      <c r="F73" s="122"/>
      <c r="G73" s="122"/>
      <c r="H73" s="122"/>
    </row>
    <row r="74" spans="1:8" ht="25.5">
      <c r="A74" s="240" t="s">
        <v>26818</v>
      </c>
      <c r="B74" s="122">
        <v>1</v>
      </c>
      <c r="C74" s="122">
        <f>4*2+5.68</f>
        <v>13.68</v>
      </c>
      <c r="D74" s="122">
        <v>3.9</v>
      </c>
      <c r="E74" s="122">
        <v>0.15</v>
      </c>
      <c r="F74" s="122"/>
      <c r="G74" s="122"/>
      <c r="H74" s="122">
        <f>B74*C74*D74*E74</f>
        <v>8.0027999999999988</v>
      </c>
    </row>
    <row r="75" spans="1:8" ht="25.5">
      <c r="A75" s="240" t="s">
        <v>26819</v>
      </c>
      <c r="B75" s="122">
        <v>1</v>
      </c>
      <c r="C75" s="122">
        <f>3.56+0.8</f>
        <v>4.3600000000000003</v>
      </c>
      <c r="D75" s="122">
        <v>3.9</v>
      </c>
      <c r="E75" s="122">
        <v>0.3</v>
      </c>
      <c r="F75" s="122"/>
      <c r="G75" s="122"/>
      <c r="H75" s="122">
        <f>B75*C75*D75*E75</f>
        <v>5.1012000000000004</v>
      </c>
    </row>
    <row r="76" spans="1:8" ht="15" customHeight="1">
      <c r="A76" s="240" t="s">
        <v>26820</v>
      </c>
      <c r="B76" s="122">
        <v>1</v>
      </c>
      <c r="C76" s="122">
        <f>1.05+0.55</f>
        <v>1.6</v>
      </c>
      <c r="D76" s="122">
        <v>1.75</v>
      </c>
      <c r="E76" s="122">
        <v>0.15</v>
      </c>
      <c r="F76" s="122"/>
      <c r="G76" s="122"/>
      <c r="H76" s="122">
        <f>B76*C76*D76*E76</f>
        <v>0.42000000000000004</v>
      </c>
    </row>
    <row r="77" spans="1:8" ht="15" customHeight="1">
      <c r="A77" s="240" t="s">
        <v>26784</v>
      </c>
      <c r="B77" s="122">
        <v>1</v>
      </c>
      <c r="C77" s="122">
        <f>2.35+5.6*2+4.05*2+1.5</f>
        <v>23.15</v>
      </c>
      <c r="D77" s="122">
        <v>3.9</v>
      </c>
      <c r="E77" s="122">
        <v>0.15</v>
      </c>
      <c r="F77" s="122"/>
      <c r="G77" s="122"/>
      <c r="H77" s="122">
        <f t="shared" ref="H77:H79" si="4">B77*C77*D77*E77</f>
        <v>13.54275</v>
      </c>
    </row>
    <row r="78" spans="1:8" ht="15" customHeight="1">
      <c r="A78" s="269" t="s">
        <v>26821</v>
      </c>
      <c r="B78" s="286">
        <v>1</v>
      </c>
      <c r="C78" s="286">
        <f>4.75*2+5.85+4.7+3.6+4.85*2</f>
        <v>33.35</v>
      </c>
      <c r="D78" s="286">
        <v>3.9</v>
      </c>
      <c r="E78" s="286">
        <v>0.15</v>
      </c>
      <c r="F78" s="286"/>
      <c r="G78" s="286"/>
      <c r="H78" s="286">
        <f t="shared" ref="H78" si="5">B78*C78*D78*E78</f>
        <v>19.50975</v>
      </c>
    </row>
    <row r="79" spans="1:8" ht="15" customHeight="1">
      <c r="A79" s="269" t="s">
        <v>28738</v>
      </c>
      <c r="B79" s="262">
        <v>1</v>
      </c>
      <c r="C79" s="262">
        <v>1.25</v>
      </c>
      <c r="D79" s="262">
        <v>2.0499999999999998</v>
      </c>
      <c r="E79" s="262">
        <v>0.15</v>
      </c>
      <c r="F79" s="262"/>
      <c r="G79" s="262"/>
      <c r="H79" s="262">
        <f t="shared" si="4"/>
        <v>0.38437499999999997</v>
      </c>
    </row>
    <row r="80" spans="1:8" ht="15" customHeight="1">
      <c r="A80" s="272" t="s">
        <v>26822</v>
      </c>
      <c r="B80" s="273"/>
      <c r="C80" s="273"/>
      <c r="D80" s="273"/>
      <c r="E80" s="273"/>
      <c r="F80" s="273"/>
      <c r="G80" s="273"/>
      <c r="H80" s="274"/>
    </row>
    <row r="81" spans="1:8" s="117" customFormat="1" ht="15" customHeight="1">
      <c r="A81" s="270" t="s">
        <v>25850</v>
      </c>
      <c r="B81" s="382" t="str">
        <f>VLOOKUP($A81,SERVICOS,4,FALSE)</f>
        <v>Retirada De Portas E Janelas De Madeira, Inclusive Batentes</v>
      </c>
      <c r="C81" s="383"/>
      <c r="D81" s="383"/>
      <c r="E81" s="383"/>
      <c r="F81" s="384"/>
      <c r="G81" s="270" t="str">
        <f>VLOOKUP($A81,SERVICOS,5,FALSE)</f>
        <v>m²</v>
      </c>
      <c r="H81" s="271">
        <f>ROUND(SUM(H83:H87),2)</f>
        <v>43.54</v>
      </c>
    </row>
    <row r="82" spans="1:8" ht="15" customHeight="1">
      <c r="A82" s="118" t="s">
        <v>1029</v>
      </c>
      <c r="B82" s="118" t="s">
        <v>19767</v>
      </c>
      <c r="C82" s="119" t="s">
        <v>19769</v>
      </c>
      <c r="D82" s="119" t="s">
        <v>26634</v>
      </c>
      <c r="E82" s="118"/>
      <c r="F82" s="118"/>
      <c r="G82" s="118"/>
      <c r="H82" s="120"/>
    </row>
    <row r="83" spans="1:8" ht="15" customHeight="1">
      <c r="A83" s="255" t="s">
        <v>26777</v>
      </c>
      <c r="B83" s="252"/>
      <c r="C83" s="253"/>
      <c r="D83" s="253"/>
      <c r="E83" s="252"/>
      <c r="F83" s="252"/>
      <c r="G83" s="252"/>
      <c r="H83" s="254"/>
    </row>
    <row r="84" spans="1:8" ht="15" customHeight="1">
      <c r="A84" s="121" t="s">
        <v>26776</v>
      </c>
      <c r="B84" s="122">
        <v>1</v>
      </c>
      <c r="C84" s="122">
        <v>1.7</v>
      </c>
      <c r="D84" s="122">
        <v>3</v>
      </c>
      <c r="E84" s="241" t="s">
        <v>28498</v>
      </c>
      <c r="F84" s="122"/>
      <c r="G84" s="122"/>
      <c r="H84" s="122">
        <f>B84*C84*D84</f>
        <v>5.0999999999999996</v>
      </c>
    </row>
    <row r="85" spans="1:8" ht="15" customHeight="1">
      <c r="A85" s="121" t="s">
        <v>26776</v>
      </c>
      <c r="B85" s="122">
        <v>3</v>
      </c>
      <c r="C85" s="122">
        <v>1.4</v>
      </c>
      <c r="D85" s="122">
        <v>3.05</v>
      </c>
      <c r="E85" s="241" t="s">
        <v>26779</v>
      </c>
      <c r="F85" s="122"/>
      <c r="G85" s="122"/>
      <c r="H85" s="122">
        <f>B85*C85*D85</f>
        <v>12.809999999999997</v>
      </c>
    </row>
    <row r="86" spans="1:8" ht="15" customHeight="1">
      <c r="A86" s="256" t="s">
        <v>26778</v>
      </c>
      <c r="B86" s="122"/>
      <c r="C86" s="122"/>
      <c r="D86" s="122"/>
      <c r="E86" s="122"/>
      <c r="F86" s="122"/>
      <c r="G86" s="122"/>
      <c r="H86" s="122"/>
    </row>
    <row r="87" spans="1:8" ht="15" customHeight="1">
      <c r="A87" s="240" t="s">
        <v>28558</v>
      </c>
      <c r="B87" s="122">
        <v>10</v>
      </c>
      <c r="C87" s="122">
        <v>1.25</v>
      </c>
      <c r="D87" s="122">
        <v>2.0499999999999998</v>
      </c>
      <c r="E87" s="241" t="s">
        <v>26783</v>
      </c>
      <c r="F87" s="122"/>
      <c r="G87" s="122"/>
      <c r="H87" s="122">
        <f>B87*C87*D87</f>
        <v>25.624999999999996</v>
      </c>
    </row>
    <row r="88" spans="1:8" ht="15" customHeight="1">
      <c r="A88" s="272" t="s">
        <v>26780</v>
      </c>
      <c r="B88" s="273"/>
      <c r="C88" s="273"/>
      <c r="D88" s="273"/>
      <c r="E88" s="273"/>
      <c r="F88" s="273"/>
      <c r="G88" s="273"/>
      <c r="H88" s="274"/>
    </row>
    <row r="89" spans="1:8" s="117" customFormat="1" ht="15" customHeight="1">
      <c r="A89" s="115" t="s">
        <v>26008</v>
      </c>
      <c r="B89" s="375" t="str">
        <f>VLOOKUP($A89,SERVICOS,4,FALSE)</f>
        <v>Retirada De Esquadrias Metálicas</v>
      </c>
      <c r="C89" s="376"/>
      <c r="D89" s="376"/>
      <c r="E89" s="376"/>
      <c r="F89" s="377"/>
      <c r="G89" s="115" t="str">
        <f>VLOOKUP($A89,SERVICOS,5,FALSE)</f>
        <v>m²</v>
      </c>
      <c r="H89" s="116">
        <f>ROUND(SUM(H91:H97),2)</f>
        <v>17.760000000000002</v>
      </c>
    </row>
    <row r="90" spans="1:8" ht="15" customHeight="1">
      <c r="A90" s="118" t="s">
        <v>1029</v>
      </c>
      <c r="B90" s="118" t="s">
        <v>19767</v>
      </c>
      <c r="C90" s="119" t="s">
        <v>19768</v>
      </c>
      <c r="D90" s="119" t="s">
        <v>26634</v>
      </c>
      <c r="E90" s="118"/>
      <c r="F90" s="118"/>
      <c r="G90" s="118"/>
      <c r="H90" s="120"/>
    </row>
    <row r="91" spans="1:8" ht="15" customHeight="1">
      <c r="A91" s="255" t="s">
        <v>26777</v>
      </c>
      <c r="B91" s="252"/>
      <c r="C91" s="253"/>
      <c r="D91" s="253"/>
      <c r="E91" s="252"/>
      <c r="F91" s="252"/>
      <c r="G91" s="252"/>
      <c r="H91" s="254"/>
    </row>
    <row r="92" spans="1:8" ht="15" customHeight="1">
      <c r="A92" s="240" t="s">
        <v>28550</v>
      </c>
      <c r="B92" s="122">
        <v>2</v>
      </c>
      <c r="C92" s="122">
        <v>1.7</v>
      </c>
      <c r="D92" s="122">
        <v>3</v>
      </c>
      <c r="E92" s="241" t="s">
        <v>28551</v>
      </c>
      <c r="F92" s="122"/>
      <c r="G92" s="122"/>
      <c r="H92" s="122">
        <f>B92*C92*D92</f>
        <v>10.199999999999999</v>
      </c>
    </row>
    <row r="93" spans="1:8" ht="15" customHeight="1">
      <c r="A93" s="256" t="s">
        <v>26778</v>
      </c>
      <c r="B93" s="122"/>
      <c r="C93" s="122"/>
      <c r="D93" s="122"/>
      <c r="E93" s="122"/>
      <c r="F93" s="122"/>
      <c r="G93" s="122"/>
      <c r="H93" s="122"/>
    </row>
    <row r="94" spans="1:8" ht="15" customHeight="1">
      <c r="A94" s="240" t="s">
        <v>28552</v>
      </c>
      <c r="B94" s="122">
        <v>2</v>
      </c>
      <c r="C94" s="122">
        <v>1.1499999999999999</v>
      </c>
      <c r="D94" s="122">
        <v>2.0499999999999998</v>
      </c>
      <c r="E94" s="241" t="s">
        <v>28736</v>
      </c>
      <c r="F94" s="122"/>
      <c r="G94" s="122"/>
      <c r="H94" s="122">
        <f>B94*C94*D94</f>
        <v>4.714999999999999</v>
      </c>
    </row>
    <row r="95" spans="1:8" ht="15" customHeight="1">
      <c r="A95" s="240" t="s">
        <v>28554</v>
      </c>
      <c r="B95" s="122">
        <v>1</v>
      </c>
      <c r="C95" s="122">
        <v>1.2</v>
      </c>
      <c r="D95" s="122">
        <v>1</v>
      </c>
      <c r="E95" s="241" t="s">
        <v>28553</v>
      </c>
      <c r="F95" s="122"/>
      <c r="G95" s="122"/>
      <c r="H95" s="122">
        <f>B95*C95*D95</f>
        <v>1.2</v>
      </c>
    </row>
    <row r="96" spans="1:8" ht="15" customHeight="1">
      <c r="A96" s="240" t="s">
        <v>28552</v>
      </c>
      <c r="B96" s="122">
        <v>1</v>
      </c>
      <c r="C96" s="122">
        <v>0.8</v>
      </c>
      <c r="D96" s="122">
        <v>0.8</v>
      </c>
      <c r="E96" s="241" t="s">
        <v>28553</v>
      </c>
      <c r="F96" s="122"/>
      <c r="G96" s="122"/>
      <c r="H96" s="122">
        <f>B96*C96*D96</f>
        <v>0.64000000000000012</v>
      </c>
    </row>
    <row r="97" spans="1:8" ht="15" customHeight="1">
      <c r="A97" s="240" t="s">
        <v>28552</v>
      </c>
      <c r="B97" s="122">
        <v>1</v>
      </c>
      <c r="C97" s="122">
        <v>1</v>
      </c>
      <c r="D97" s="122">
        <v>1</v>
      </c>
      <c r="E97" s="241" t="s">
        <v>28553</v>
      </c>
      <c r="F97" s="122"/>
      <c r="G97" s="122"/>
      <c r="H97" s="122">
        <f>B97*C97*D97</f>
        <v>1</v>
      </c>
    </row>
    <row r="98" spans="1:8" ht="15" customHeight="1">
      <c r="A98" s="272" t="s">
        <v>26781</v>
      </c>
      <c r="B98" s="273"/>
      <c r="C98" s="273"/>
      <c r="D98" s="273"/>
      <c r="E98" s="273"/>
      <c r="F98" s="273"/>
      <c r="G98" s="273"/>
      <c r="H98" s="274"/>
    </row>
    <row r="99" spans="1:8" s="117" customFormat="1" ht="15" customHeight="1">
      <c r="A99" s="115" t="s">
        <v>26531</v>
      </c>
      <c r="B99" s="375" t="str">
        <f>VLOOKUP($A99,SERVICOS,4,FALSE)</f>
        <v>Retirada De Meio-Fio De Concreto</v>
      </c>
      <c r="C99" s="376"/>
      <c r="D99" s="376"/>
      <c r="E99" s="376"/>
      <c r="F99" s="377"/>
      <c r="G99" s="115" t="str">
        <f>VLOOKUP($A99,SERVICOS,5,FALSE)</f>
        <v>m</v>
      </c>
      <c r="H99" s="116">
        <f>ROUND(SUM(H101:H103),2)</f>
        <v>91.72</v>
      </c>
    </row>
    <row r="100" spans="1:8" ht="15" customHeight="1">
      <c r="A100" s="118" t="s">
        <v>1029</v>
      </c>
      <c r="B100" s="118" t="s">
        <v>19767</v>
      </c>
      <c r="C100" s="119" t="s">
        <v>19769</v>
      </c>
      <c r="D100" s="119"/>
      <c r="E100" s="118"/>
      <c r="F100" s="118"/>
      <c r="G100" s="118"/>
      <c r="H100" s="120"/>
    </row>
    <row r="101" spans="1:8" ht="15" customHeight="1">
      <c r="A101" s="121" t="s">
        <v>26662</v>
      </c>
      <c r="B101" s="122">
        <v>2</v>
      </c>
      <c r="C101" s="122">
        <v>2.11</v>
      </c>
      <c r="D101" s="122"/>
      <c r="E101" s="122"/>
      <c r="F101" s="122"/>
      <c r="G101" s="122"/>
      <c r="H101" s="122">
        <f>B101*C101</f>
        <v>4.22</v>
      </c>
    </row>
    <row r="102" spans="1:8" ht="15" customHeight="1">
      <c r="A102" s="121" t="s">
        <v>26662</v>
      </c>
      <c r="B102" s="122">
        <v>1</v>
      </c>
      <c r="C102" s="122">
        <v>13.86</v>
      </c>
      <c r="D102" s="122"/>
      <c r="E102" s="122"/>
      <c r="F102" s="122"/>
      <c r="G102" s="122"/>
      <c r="H102" s="122">
        <f>B102*C102</f>
        <v>13.86</v>
      </c>
    </row>
    <row r="103" spans="1:8" ht="15" customHeight="1">
      <c r="A103" s="121" t="s">
        <v>28697</v>
      </c>
      <c r="B103" s="122">
        <v>1</v>
      </c>
      <c r="C103" s="122">
        <f>37+6.5+30.14</f>
        <v>73.64</v>
      </c>
      <c r="D103" s="122"/>
      <c r="E103" s="122"/>
      <c r="F103" s="122"/>
      <c r="G103" s="122"/>
      <c r="H103" s="122">
        <f>B103*C103</f>
        <v>73.64</v>
      </c>
    </row>
    <row r="104" spans="1:8" s="117" customFormat="1" ht="15" customHeight="1">
      <c r="A104" s="115" t="s">
        <v>26589</v>
      </c>
      <c r="B104" s="375" t="str">
        <f>VLOOKUP($A104,SERVICOS,4,FALSE)</f>
        <v>Retirada De Aparelhos Sanitários</v>
      </c>
      <c r="C104" s="376"/>
      <c r="D104" s="376"/>
      <c r="E104" s="376"/>
      <c r="F104" s="377"/>
      <c r="G104" s="115" t="str">
        <f>VLOOKUP($A104,SERVICOS,5,FALSE)</f>
        <v>und</v>
      </c>
      <c r="H104" s="116">
        <f>ROUND(SUM(H106:H106),2)</f>
        <v>1</v>
      </c>
    </row>
    <row r="105" spans="1:8" ht="15" customHeight="1">
      <c r="A105" s="118" t="s">
        <v>1029</v>
      </c>
      <c r="B105" s="118" t="s">
        <v>19767</v>
      </c>
      <c r="C105" s="119"/>
      <c r="D105" s="119"/>
      <c r="E105" s="118"/>
      <c r="F105" s="118"/>
      <c r="G105" s="118"/>
      <c r="H105" s="120"/>
    </row>
    <row r="106" spans="1:8" ht="15" customHeight="1">
      <c r="A106" s="121" t="s">
        <v>26632</v>
      </c>
      <c r="B106" s="122">
        <v>1</v>
      </c>
      <c r="C106" s="241" t="s">
        <v>26633</v>
      </c>
      <c r="D106" s="122"/>
      <c r="E106" s="122"/>
      <c r="F106" s="122"/>
      <c r="G106" s="122"/>
      <c r="H106" s="122">
        <f>B106</f>
        <v>1</v>
      </c>
    </row>
    <row r="107" spans="1:8" s="117" customFormat="1" ht="30" customHeight="1">
      <c r="A107" s="115" t="s">
        <v>26590</v>
      </c>
      <c r="B107" s="375" t="str">
        <f>VLOOKUP($A107,SERVICOS,4,FALSE)</f>
        <v>Remoção De Trama Metálica Ou De Madeira Para Forro, De Forma Manual, Sem Reaproveitamento. Af_12/2017</v>
      </c>
      <c r="C107" s="376"/>
      <c r="D107" s="376"/>
      <c r="E107" s="376"/>
      <c r="F107" s="377"/>
      <c r="G107" s="115" t="str">
        <f>VLOOKUP($A107,SERVICOS,5,FALSE)</f>
        <v>m²</v>
      </c>
      <c r="H107" s="116">
        <f>ROUND(SUM(H109:H110),2)</f>
        <v>189.04</v>
      </c>
    </row>
    <row r="108" spans="1:8" ht="15" customHeight="1">
      <c r="A108" s="118" t="s">
        <v>1029</v>
      </c>
      <c r="B108" s="118" t="s">
        <v>19767</v>
      </c>
      <c r="C108" s="119" t="s">
        <v>26630</v>
      </c>
      <c r="D108" s="119"/>
      <c r="E108" s="118"/>
      <c r="F108" s="118"/>
      <c r="G108" s="118"/>
      <c r="H108" s="120"/>
    </row>
    <row r="109" spans="1:8" ht="15" customHeight="1">
      <c r="A109" s="121" t="s">
        <v>26716</v>
      </c>
      <c r="B109" s="122">
        <v>1</v>
      </c>
      <c r="C109" s="122">
        <v>167.17</v>
      </c>
      <c r="D109" s="122"/>
      <c r="E109" s="122"/>
      <c r="F109" s="122"/>
      <c r="G109" s="122"/>
      <c r="H109" s="122">
        <f>B109*C109</f>
        <v>167.17</v>
      </c>
    </row>
    <row r="110" spans="1:8" ht="15" customHeight="1">
      <c r="A110" s="121" t="s">
        <v>28575</v>
      </c>
      <c r="B110" s="122">
        <v>1</v>
      </c>
      <c r="C110" s="122">
        <v>21.87</v>
      </c>
      <c r="D110" s="122"/>
      <c r="E110" s="122"/>
      <c r="F110" s="122"/>
      <c r="G110" s="122"/>
      <c r="H110" s="122">
        <f>B110*C110</f>
        <v>21.87</v>
      </c>
    </row>
    <row r="111" spans="1:8" s="117" customFormat="1" ht="15" customHeight="1">
      <c r="A111" s="115" t="s">
        <v>26591</v>
      </c>
      <c r="B111" s="375" t="str">
        <f>VLOOKUP($A111,SERVICOS,4,FALSE)</f>
        <v>Demolição De Forro De Madeira, Sem Reaproveitamento</v>
      </c>
      <c r="C111" s="376"/>
      <c r="D111" s="376"/>
      <c r="E111" s="376"/>
      <c r="F111" s="377"/>
      <c r="G111" s="115" t="str">
        <f>VLOOKUP($A111,SERVICOS,5,FALSE)</f>
        <v>m²</v>
      </c>
      <c r="H111" s="116">
        <f>ROUND(SUM(H113:H114),2)</f>
        <v>189.04</v>
      </c>
    </row>
    <row r="112" spans="1:8" ht="15" customHeight="1">
      <c r="A112" s="118" t="s">
        <v>1029</v>
      </c>
      <c r="B112" s="118" t="s">
        <v>19767</v>
      </c>
      <c r="C112" s="119" t="s">
        <v>26630</v>
      </c>
      <c r="D112" s="119"/>
      <c r="E112" s="118"/>
      <c r="F112" s="118"/>
      <c r="G112" s="118"/>
      <c r="H112" s="120"/>
    </row>
    <row r="113" spans="1:8" ht="15" customHeight="1">
      <c r="A113" s="121" t="s">
        <v>26716</v>
      </c>
      <c r="B113" s="122">
        <v>1</v>
      </c>
      <c r="C113" s="122">
        <v>167.17</v>
      </c>
      <c r="D113" s="122"/>
      <c r="E113" s="122"/>
      <c r="F113" s="122"/>
      <c r="G113" s="122"/>
      <c r="H113" s="122">
        <f>B113*C113</f>
        <v>167.17</v>
      </c>
    </row>
    <row r="114" spans="1:8" ht="15" customHeight="1">
      <c r="A114" s="121" t="s">
        <v>28575</v>
      </c>
      <c r="B114" s="122">
        <v>1</v>
      </c>
      <c r="C114" s="122">
        <v>21.87</v>
      </c>
      <c r="D114" s="122"/>
      <c r="E114" s="122"/>
      <c r="F114" s="122"/>
      <c r="G114" s="122"/>
      <c r="H114" s="122">
        <f>B114*C114</f>
        <v>21.87</v>
      </c>
    </row>
    <row r="115" spans="1:8" s="117" customFormat="1" ht="30" customHeight="1">
      <c r="A115" s="115" t="s">
        <v>26592</v>
      </c>
      <c r="B115" s="375" t="str">
        <f>VLOOKUP($A115,SERVICOS,4,FALSE)</f>
        <v>Remoção De Trama De Madeira Para Cobertura, De Forma Manual, Sem Reaproveitamento. Af_12/2017</v>
      </c>
      <c r="C115" s="376"/>
      <c r="D115" s="376"/>
      <c r="E115" s="376"/>
      <c r="F115" s="377"/>
      <c r="G115" s="115" t="str">
        <f>VLOOKUP($A115,SERVICOS,5,FALSE)</f>
        <v>m²</v>
      </c>
      <c r="H115" s="116">
        <f>ROUND(SUM(H117:H118),2)</f>
        <v>185.92</v>
      </c>
    </row>
    <row r="116" spans="1:8" ht="15" customHeight="1">
      <c r="A116" s="118" t="s">
        <v>1029</v>
      </c>
      <c r="B116" s="118" t="s">
        <v>19767</v>
      </c>
      <c r="C116" s="119" t="s">
        <v>19768</v>
      </c>
      <c r="D116" s="119" t="s">
        <v>19769</v>
      </c>
      <c r="E116" s="118"/>
      <c r="F116" s="118"/>
      <c r="G116" s="118"/>
      <c r="H116" s="120"/>
    </row>
    <row r="117" spans="1:8" ht="15" customHeight="1">
      <c r="A117" s="121" t="s">
        <v>26688</v>
      </c>
      <c r="B117" s="122">
        <v>1</v>
      </c>
      <c r="C117" s="122">
        <v>11.25</v>
      </c>
      <c r="D117" s="122">
        <v>14.4</v>
      </c>
      <c r="E117" s="122"/>
      <c r="F117" s="122"/>
      <c r="G117" s="122"/>
      <c r="H117" s="122">
        <f>B117*C117*D117</f>
        <v>162</v>
      </c>
    </row>
    <row r="118" spans="1:8" ht="15" customHeight="1">
      <c r="A118" s="121" t="s">
        <v>28575</v>
      </c>
      <c r="B118" s="122">
        <v>1</v>
      </c>
      <c r="C118" s="122">
        <v>4</v>
      </c>
      <c r="D118" s="122">
        <v>5.98</v>
      </c>
      <c r="E118" s="122"/>
      <c r="F118" s="122"/>
      <c r="G118" s="122"/>
      <c r="H118" s="122">
        <f>B118*C118*D118</f>
        <v>23.92</v>
      </c>
    </row>
    <row r="119" spans="1:8" s="117" customFormat="1" ht="15" customHeight="1">
      <c r="A119" s="115" t="s">
        <v>28508</v>
      </c>
      <c r="B119" s="375" t="str">
        <f>VLOOKUP($A119,SERVICOS,4,FALSE)</f>
        <v>Remoção De Telhas Cerâmica, Tipo Francesa, Inclusive Cumeeira</v>
      </c>
      <c r="C119" s="376"/>
      <c r="D119" s="376"/>
      <c r="E119" s="376"/>
      <c r="F119" s="377"/>
      <c r="G119" s="115" t="str">
        <f>VLOOKUP($A119,SERVICOS,5,FALSE)</f>
        <v>m²</v>
      </c>
      <c r="H119" s="116">
        <f>ROUND(SUM(H121:H122),2)</f>
        <v>185.92</v>
      </c>
    </row>
    <row r="120" spans="1:8" ht="15" customHeight="1">
      <c r="A120" s="118" t="s">
        <v>1029</v>
      </c>
      <c r="B120" s="118" t="s">
        <v>19767</v>
      </c>
      <c r="C120" s="119" t="s">
        <v>19768</v>
      </c>
      <c r="D120" s="119" t="s">
        <v>19769</v>
      </c>
      <c r="E120" s="118"/>
      <c r="F120" s="118"/>
      <c r="G120" s="118"/>
      <c r="H120" s="120"/>
    </row>
    <row r="121" spans="1:8" ht="15" customHeight="1">
      <c r="A121" s="121" t="s">
        <v>26688</v>
      </c>
      <c r="B121" s="122">
        <v>1</v>
      </c>
      <c r="C121" s="122">
        <v>11.25</v>
      </c>
      <c r="D121" s="122">
        <v>14.4</v>
      </c>
      <c r="E121" s="122"/>
      <c r="F121" s="122"/>
      <c r="G121" s="122"/>
      <c r="H121" s="122">
        <f>B121*C121*D121</f>
        <v>162</v>
      </c>
    </row>
    <row r="122" spans="1:8" ht="15" customHeight="1">
      <c r="A122" s="121" t="s">
        <v>28575</v>
      </c>
      <c r="B122" s="122">
        <v>1</v>
      </c>
      <c r="C122" s="122">
        <v>4</v>
      </c>
      <c r="D122" s="122">
        <v>5.98</v>
      </c>
      <c r="E122" s="122"/>
      <c r="F122" s="122"/>
      <c r="G122" s="122"/>
      <c r="H122" s="122">
        <f>B122*C122*D122</f>
        <v>23.92</v>
      </c>
    </row>
    <row r="123" spans="1:8" s="117" customFormat="1" ht="15" customHeight="1">
      <c r="A123" s="115" t="s">
        <v>28525</v>
      </c>
      <c r="B123" s="375" t="str">
        <f>VLOOKUP($A123,SERVICOS,4,FALSE)</f>
        <v>Demolição De Laje Pré-Moldada De Concreto</v>
      </c>
      <c r="C123" s="376"/>
      <c r="D123" s="376"/>
      <c r="E123" s="376"/>
      <c r="F123" s="377"/>
      <c r="G123" s="115" t="str">
        <f>VLOOKUP($A123,SERVICOS,5,FALSE)</f>
        <v>m²</v>
      </c>
      <c r="H123" s="116">
        <f>ROUND(SUM(H125:H125),2)</f>
        <v>17.96</v>
      </c>
    </row>
    <row r="124" spans="1:8" ht="15" customHeight="1">
      <c r="A124" s="118" t="s">
        <v>1029</v>
      </c>
      <c r="B124" s="118" t="s">
        <v>19767</v>
      </c>
      <c r="C124" s="119" t="s">
        <v>26630</v>
      </c>
      <c r="D124" s="119"/>
      <c r="E124" s="118"/>
      <c r="F124" s="118"/>
      <c r="G124" s="118"/>
      <c r="H124" s="120"/>
    </row>
    <row r="125" spans="1:8" ht="15" customHeight="1">
      <c r="A125" s="240" t="s">
        <v>28575</v>
      </c>
      <c r="B125" s="122">
        <v>1</v>
      </c>
      <c r="C125" s="122">
        <v>17.96</v>
      </c>
      <c r="D125" s="241" t="s">
        <v>28574</v>
      </c>
      <c r="E125" s="122"/>
      <c r="F125" s="122"/>
      <c r="G125" s="122"/>
      <c r="H125" s="122">
        <f>B125*C125</f>
        <v>17.96</v>
      </c>
    </row>
    <row r="126" spans="1:8" s="117" customFormat="1" ht="15" customHeight="1">
      <c r="A126" s="115" t="s">
        <v>28538</v>
      </c>
      <c r="B126" s="375" t="str">
        <f>VLOOKUP($A126,SERVICOS,4,FALSE)</f>
        <v>Retirada De Rodapé De Madeira Ou Cerâmica</v>
      </c>
      <c r="C126" s="376"/>
      <c r="D126" s="376"/>
      <c r="E126" s="376"/>
      <c r="F126" s="377"/>
      <c r="G126" s="115" t="str">
        <f>VLOOKUP($A126,SERVICOS,5,FALSE)</f>
        <v>m</v>
      </c>
      <c r="H126" s="116">
        <f>ROUND(SUM(H128:H136),2)</f>
        <v>110.7</v>
      </c>
    </row>
    <row r="127" spans="1:8" ht="15" customHeight="1">
      <c r="A127" s="118" t="s">
        <v>1029</v>
      </c>
      <c r="B127" s="118" t="s">
        <v>19767</v>
      </c>
      <c r="C127" s="119" t="s">
        <v>26720</v>
      </c>
      <c r="D127" s="119"/>
      <c r="E127" s="118"/>
      <c r="F127" s="118"/>
      <c r="G127" s="118"/>
      <c r="H127" s="120"/>
    </row>
    <row r="128" spans="1:8" ht="15" customHeight="1">
      <c r="A128" s="121" t="s">
        <v>26665</v>
      </c>
      <c r="B128" s="122">
        <v>1</v>
      </c>
      <c r="C128" s="122">
        <f>15.7-(4.75+3.1+2.2+0.8*2)</f>
        <v>4.0499999999999989</v>
      </c>
      <c r="D128" s="241" t="s">
        <v>28506</v>
      </c>
      <c r="E128" s="122"/>
      <c r="F128" s="122"/>
      <c r="G128" s="122"/>
      <c r="H128" s="122">
        <f t="shared" ref="H128:H136" si="6">B128*C128</f>
        <v>4.0499999999999989</v>
      </c>
    </row>
    <row r="129" spans="1:10" ht="15" customHeight="1">
      <c r="A129" s="121" t="s">
        <v>26666</v>
      </c>
      <c r="B129" s="122">
        <v>1</v>
      </c>
      <c r="C129" s="122">
        <f>9.3-(2.35+0.8*2)</f>
        <v>5.3500000000000005</v>
      </c>
      <c r="D129" s="241" t="s">
        <v>28507</v>
      </c>
      <c r="E129" s="122"/>
      <c r="F129" s="122"/>
      <c r="G129" s="122"/>
      <c r="H129" s="122">
        <f t="shared" si="6"/>
        <v>5.3500000000000005</v>
      </c>
    </row>
    <row r="130" spans="1:10" ht="15" customHeight="1">
      <c r="A130" s="121" t="s">
        <v>26667</v>
      </c>
      <c r="B130" s="122">
        <v>1</v>
      </c>
      <c r="C130" s="122">
        <f>19.8-(2+0.8)</f>
        <v>17</v>
      </c>
      <c r="D130" s="122"/>
      <c r="E130" s="122"/>
      <c r="F130" s="122"/>
      <c r="G130" s="122"/>
      <c r="H130" s="122">
        <f t="shared" si="6"/>
        <v>17</v>
      </c>
    </row>
    <row r="131" spans="1:10" ht="15" customHeight="1">
      <c r="A131" s="121" t="s">
        <v>26668</v>
      </c>
      <c r="B131" s="122">
        <v>1</v>
      </c>
      <c r="C131" s="122">
        <f>20.6-(0.8*3)</f>
        <v>18.200000000000003</v>
      </c>
      <c r="D131" s="122"/>
      <c r="E131" s="122"/>
      <c r="F131" s="122"/>
      <c r="G131" s="122"/>
      <c r="H131" s="122">
        <f t="shared" si="6"/>
        <v>18.200000000000003</v>
      </c>
    </row>
    <row r="132" spans="1:10" ht="15" customHeight="1">
      <c r="A132" s="121" t="s">
        <v>26669</v>
      </c>
      <c r="B132" s="122">
        <v>1</v>
      </c>
      <c r="C132" s="122">
        <f>15.3-0.8</f>
        <v>14.5</v>
      </c>
      <c r="D132" s="122"/>
      <c r="E132" s="122"/>
      <c r="F132" s="122"/>
      <c r="G132" s="122"/>
      <c r="H132" s="122">
        <f t="shared" si="6"/>
        <v>14.5</v>
      </c>
    </row>
    <row r="133" spans="1:10" ht="15" customHeight="1">
      <c r="A133" s="121" t="s">
        <v>26670</v>
      </c>
      <c r="B133" s="122">
        <v>1</v>
      </c>
      <c r="C133" s="122">
        <f>18.1-(2.5+0.8*3+1.4)</f>
        <v>11.8</v>
      </c>
      <c r="D133" s="122"/>
      <c r="E133" s="122"/>
      <c r="F133" s="122"/>
      <c r="G133" s="122"/>
      <c r="H133" s="122">
        <f t="shared" si="6"/>
        <v>11.8</v>
      </c>
    </row>
    <row r="134" spans="1:10" ht="15" customHeight="1">
      <c r="A134" s="121" t="s">
        <v>26671</v>
      </c>
      <c r="B134" s="122">
        <v>1</v>
      </c>
      <c r="C134" s="122">
        <f>17.8-(2.5+0.8+1.4)</f>
        <v>13.100000000000001</v>
      </c>
      <c r="D134" s="122"/>
      <c r="E134" s="122"/>
      <c r="F134" s="122"/>
      <c r="G134" s="122"/>
      <c r="H134" s="122">
        <f t="shared" si="6"/>
        <v>13.100000000000001</v>
      </c>
    </row>
    <row r="135" spans="1:10" ht="15" customHeight="1">
      <c r="A135" s="121" t="s">
        <v>26647</v>
      </c>
      <c r="B135" s="122">
        <v>1</v>
      </c>
      <c r="C135" s="122">
        <f>22.2-(1.4+0.8*5)</f>
        <v>16.799999999999997</v>
      </c>
      <c r="D135" s="122"/>
      <c r="E135" s="122"/>
      <c r="F135" s="122"/>
      <c r="G135" s="122"/>
      <c r="H135" s="122">
        <f t="shared" si="6"/>
        <v>16.799999999999997</v>
      </c>
    </row>
    <row r="136" spans="1:10" ht="15" customHeight="1">
      <c r="A136" s="121" t="s">
        <v>26664</v>
      </c>
      <c r="B136" s="122">
        <v>1</v>
      </c>
      <c r="C136" s="122">
        <f>15.5-(2.6+0.8*2+1.4)</f>
        <v>9.9</v>
      </c>
      <c r="D136" s="122"/>
      <c r="E136" s="122"/>
      <c r="F136" s="122"/>
      <c r="G136" s="122"/>
      <c r="H136" s="122">
        <f t="shared" si="6"/>
        <v>9.9</v>
      </c>
    </row>
    <row r="137" spans="1:10" ht="15" customHeight="1">
      <c r="A137" s="272" t="s">
        <v>28499</v>
      </c>
      <c r="B137" s="273"/>
      <c r="C137" s="273"/>
      <c r="D137" s="273"/>
      <c r="E137" s="273"/>
      <c r="F137" s="273"/>
      <c r="G137" s="273"/>
      <c r="H137" s="274"/>
    </row>
    <row r="138" spans="1:10" s="117" customFormat="1" ht="15" customHeight="1">
      <c r="A138" s="115" t="s">
        <v>28579</v>
      </c>
      <c r="B138" s="375" t="str">
        <f>VLOOKUP($A138,SERVICOS,4,FALSE)</f>
        <v>Retirada De Caixas/Quadros Elétricos</v>
      </c>
      <c r="C138" s="376"/>
      <c r="D138" s="376"/>
      <c r="E138" s="376"/>
      <c r="F138" s="377"/>
      <c r="G138" s="115" t="str">
        <f>VLOOKUP($A138,SERVICOS,5,FALSE)</f>
        <v>und</v>
      </c>
      <c r="H138" s="116">
        <f>ROUND(SUM(H140:H141),2)</f>
        <v>2</v>
      </c>
    </row>
    <row r="139" spans="1:10" ht="15" customHeight="1">
      <c r="A139" s="118" t="s">
        <v>1029</v>
      </c>
      <c r="B139" s="118" t="s">
        <v>19767</v>
      </c>
      <c r="C139" s="119"/>
      <c r="D139" s="119"/>
      <c r="E139" s="118"/>
      <c r="F139" s="118"/>
      <c r="G139" s="118"/>
      <c r="H139" s="120"/>
    </row>
    <row r="140" spans="1:10" ht="15" customHeight="1">
      <c r="A140" s="121" t="s">
        <v>26635</v>
      </c>
      <c r="B140" s="122">
        <v>1</v>
      </c>
      <c r="C140" s="122"/>
      <c r="D140" s="122"/>
      <c r="E140" s="122"/>
      <c r="F140" s="122"/>
      <c r="G140" s="122"/>
      <c r="H140" s="122">
        <f>B140</f>
        <v>1</v>
      </c>
    </row>
    <row r="141" spans="1:10" ht="15" customHeight="1">
      <c r="A141" s="121" t="s">
        <v>26664</v>
      </c>
      <c r="B141" s="122">
        <v>1</v>
      </c>
      <c r="C141" s="122"/>
      <c r="D141" s="122"/>
      <c r="E141" s="122"/>
      <c r="F141" s="122"/>
      <c r="G141" s="122"/>
      <c r="H141" s="122">
        <f>B141</f>
        <v>1</v>
      </c>
    </row>
    <row r="142" spans="1:10" s="117" customFormat="1" ht="30" customHeight="1">
      <c r="A142" s="115" t="s">
        <v>28580</v>
      </c>
      <c r="B142" s="375" t="str">
        <f>VLOOKUP($A142,SERVICOS,4,FALSE)</f>
        <v>Remoção De Piso De Madeira (Assoalho E Barrote), De Forma Manual, Sem Reaproveitamento. Af_12/2017</v>
      </c>
      <c r="C142" s="376"/>
      <c r="D142" s="376"/>
      <c r="E142" s="376"/>
      <c r="F142" s="377"/>
      <c r="G142" s="115" t="str">
        <f>VLOOKUP($A142,SERVICOS,5,FALSE)</f>
        <v>m²</v>
      </c>
      <c r="H142" s="116">
        <f>ROUND(SUM(H144:H145),2)</f>
        <v>173.15</v>
      </c>
      <c r="J142" s="281"/>
    </row>
    <row r="143" spans="1:10" ht="15" customHeight="1">
      <c r="A143" s="118" t="s">
        <v>1029</v>
      </c>
      <c r="B143" s="118" t="s">
        <v>26630</v>
      </c>
      <c r="C143" s="119"/>
      <c r="D143" s="119"/>
      <c r="E143" s="118"/>
      <c r="F143" s="118"/>
      <c r="G143" s="118"/>
      <c r="H143" s="120"/>
    </row>
    <row r="144" spans="1:10" ht="25.5">
      <c r="A144" s="276" t="s">
        <v>28516</v>
      </c>
      <c r="B144" s="122">
        <v>163.4</v>
      </c>
      <c r="C144" s="241" t="s">
        <v>28509</v>
      </c>
      <c r="D144" s="122"/>
      <c r="E144" s="122"/>
      <c r="F144" s="122"/>
      <c r="G144" s="122"/>
      <c r="H144" s="122">
        <f>B144</f>
        <v>163.4</v>
      </c>
    </row>
    <row r="145" spans="1:8" ht="25.5">
      <c r="A145" s="276" t="s">
        <v>28567</v>
      </c>
      <c r="B145" s="122">
        <v>9.75</v>
      </c>
      <c r="C145" s="241"/>
      <c r="D145" s="122"/>
      <c r="E145" s="122"/>
      <c r="F145" s="122"/>
      <c r="G145" s="122"/>
      <c r="H145" s="122">
        <f>B145</f>
        <v>9.75</v>
      </c>
    </row>
    <row r="146" spans="1:8" s="117" customFormat="1" ht="30" customHeight="1">
      <c r="A146" s="115" t="s">
        <v>28581</v>
      </c>
      <c r="B146" s="375" t="str">
        <f>VLOOKUP($A146,SERVICOS,4,FALSE)</f>
        <v>Remoção De Placas E Pilaretes De Concreto, De Forma Manual, Sem Reaproveitamento. Af_12/2017</v>
      </c>
      <c r="C146" s="376"/>
      <c r="D146" s="376"/>
      <c r="E146" s="376"/>
      <c r="F146" s="377"/>
      <c r="G146" s="115" t="str">
        <f>VLOOKUP($A146,SERVICOS,5,FALSE)</f>
        <v>m²</v>
      </c>
      <c r="H146" s="116">
        <f>ROUND(SUM(H148:H148),2)</f>
        <v>31.5</v>
      </c>
    </row>
    <row r="147" spans="1:8" ht="15" customHeight="1">
      <c r="A147" s="118" t="s">
        <v>1029</v>
      </c>
      <c r="B147" s="118" t="s">
        <v>19767</v>
      </c>
      <c r="C147" s="119" t="s">
        <v>19768</v>
      </c>
      <c r="D147" s="119" t="s">
        <v>26634</v>
      </c>
      <c r="E147" s="118"/>
      <c r="F147" s="118"/>
      <c r="G147" s="118"/>
      <c r="H147" s="120"/>
    </row>
    <row r="148" spans="1:8" ht="15" customHeight="1">
      <c r="A148" s="276" t="s">
        <v>28566</v>
      </c>
      <c r="B148" s="122">
        <v>1</v>
      </c>
      <c r="C148" s="122">
        <v>15.75</v>
      </c>
      <c r="D148" s="122">
        <v>2</v>
      </c>
      <c r="E148" s="122"/>
      <c r="F148" s="122"/>
      <c r="G148" s="122"/>
      <c r="H148" s="122">
        <f>B148*C148*D148</f>
        <v>31.5</v>
      </c>
    </row>
    <row r="149" spans="1:8" s="117" customFormat="1" ht="15" customHeight="1">
      <c r="A149" s="115" t="s">
        <v>28582</v>
      </c>
      <c r="B149" s="375" t="str">
        <f>VLOOKUP($A149,SERVICOS,4,FALSE)</f>
        <v>Corte E Destocamento De Árvores Com Diâmetro De Até 15 Cm</v>
      </c>
      <c r="C149" s="376"/>
      <c r="D149" s="376"/>
      <c r="E149" s="376"/>
      <c r="F149" s="377"/>
      <c r="G149" s="115" t="str">
        <f>VLOOKUP($A149,SERVICOS,5,FALSE)</f>
        <v>und</v>
      </c>
      <c r="H149" s="116">
        <f>ROUND(SUM(H151:H151),2)</f>
        <v>1</v>
      </c>
    </row>
    <row r="150" spans="1:8" ht="15" customHeight="1">
      <c r="A150" s="118" t="s">
        <v>1029</v>
      </c>
      <c r="B150" s="118" t="s">
        <v>19767</v>
      </c>
      <c r="C150" s="119"/>
      <c r="D150" s="119"/>
      <c r="E150" s="118"/>
      <c r="F150" s="118"/>
      <c r="G150" s="118"/>
      <c r="H150" s="120"/>
    </row>
    <row r="151" spans="1:8" ht="15" customHeight="1">
      <c r="A151" s="121" t="s">
        <v>26622</v>
      </c>
      <c r="B151" s="122">
        <v>1</v>
      </c>
      <c r="C151" s="241" t="s">
        <v>28557</v>
      </c>
      <c r="D151" s="122"/>
      <c r="E151" s="122"/>
      <c r="F151" s="122"/>
      <c r="G151" s="122"/>
      <c r="H151" s="122">
        <f>B151</f>
        <v>1</v>
      </c>
    </row>
    <row r="152" spans="1:8" s="117" customFormat="1" ht="15" customHeight="1">
      <c r="A152" s="115" t="s">
        <v>28709</v>
      </c>
      <c r="B152" s="375" t="str">
        <f>VLOOKUP($A152,SERVICOS,4,FALSE)</f>
        <v>Corte E Destocamento De Árvores Com Diâmetro Superior A 30 Cm</v>
      </c>
      <c r="C152" s="376"/>
      <c r="D152" s="376"/>
      <c r="E152" s="376"/>
      <c r="F152" s="377"/>
      <c r="G152" s="115" t="str">
        <f>VLOOKUP($A152,SERVICOS,5,FALSE)</f>
        <v>und</v>
      </c>
      <c r="H152" s="116">
        <f>ROUND(SUM(H154:H156),2)</f>
        <v>3</v>
      </c>
    </row>
    <row r="153" spans="1:8" ht="15" customHeight="1">
      <c r="A153" s="118" t="s">
        <v>1029</v>
      </c>
      <c r="B153" s="118" t="s">
        <v>19767</v>
      </c>
      <c r="C153" s="119"/>
      <c r="D153" s="119"/>
      <c r="E153" s="118"/>
      <c r="F153" s="118"/>
      <c r="G153" s="118"/>
      <c r="H153" s="120"/>
    </row>
    <row r="154" spans="1:8" ht="15" customHeight="1">
      <c r="A154" s="121" t="s">
        <v>26622</v>
      </c>
      <c r="B154" s="122">
        <v>1</v>
      </c>
      <c r="C154" s="241" t="s">
        <v>28583</v>
      </c>
      <c r="D154" s="122"/>
      <c r="E154" s="122"/>
      <c r="F154" s="122"/>
      <c r="G154" s="122"/>
      <c r="H154" s="122">
        <f>B154</f>
        <v>1</v>
      </c>
    </row>
    <row r="155" spans="1:8" ht="15" customHeight="1">
      <c r="A155" s="121" t="s">
        <v>28584</v>
      </c>
      <c r="B155" s="122">
        <v>1</v>
      </c>
      <c r="C155" s="241" t="s">
        <v>26623</v>
      </c>
      <c r="D155" s="122"/>
      <c r="E155" s="122"/>
      <c r="F155" s="122"/>
      <c r="G155" s="122"/>
      <c r="H155" s="122">
        <f>B155</f>
        <v>1</v>
      </c>
    </row>
    <row r="156" spans="1:8" ht="15" customHeight="1">
      <c r="A156" s="121" t="s">
        <v>28556</v>
      </c>
      <c r="B156" s="122">
        <v>1</v>
      </c>
      <c r="C156" s="241" t="s">
        <v>26623</v>
      </c>
      <c r="D156" s="122"/>
      <c r="E156" s="122"/>
      <c r="F156" s="122"/>
      <c r="G156" s="122"/>
      <c r="H156" s="122">
        <f>B156</f>
        <v>1</v>
      </c>
    </row>
    <row r="157" spans="1:8" s="117" customFormat="1" ht="30" customHeight="1">
      <c r="A157" s="115" t="s">
        <v>28710</v>
      </c>
      <c r="B157" s="375" t="str">
        <f>VLOOKUP($A157,SERVICOS,4,FALSE)</f>
        <v>Retirada De Caixa Dágua De Fibrocimento, Inclusive Tubulação De Ligação</v>
      </c>
      <c r="C157" s="376"/>
      <c r="D157" s="376"/>
      <c r="E157" s="376"/>
      <c r="F157" s="377"/>
      <c r="G157" s="115" t="str">
        <f>VLOOKUP($A157,SERVICOS,5,FALSE)</f>
        <v>und</v>
      </c>
      <c r="H157" s="116">
        <f>ROUND(SUM(H159:H159),2)</f>
        <v>1</v>
      </c>
    </row>
    <row r="158" spans="1:8" ht="15" customHeight="1">
      <c r="A158" s="118" t="s">
        <v>1029</v>
      </c>
      <c r="B158" s="118" t="s">
        <v>19767</v>
      </c>
      <c r="C158" s="119"/>
      <c r="D158" s="119"/>
      <c r="E158" s="118"/>
      <c r="F158" s="118"/>
      <c r="G158" s="118"/>
      <c r="H158" s="120"/>
    </row>
    <row r="159" spans="1:8" ht="15" customHeight="1">
      <c r="A159" s="121" t="s">
        <v>29117</v>
      </c>
      <c r="B159" s="122">
        <v>1</v>
      </c>
      <c r="C159" s="241" t="s">
        <v>28507</v>
      </c>
      <c r="D159" s="122"/>
      <c r="E159" s="122"/>
      <c r="F159" s="122"/>
      <c r="G159" s="122"/>
      <c r="H159" s="122">
        <f>B159</f>
        <v>1</v>
      </c>
    </row>
    <row r="160" spans="1:8" s="117" customFormat="1" ht="30" customHeight="1">
      <c r="A160" s="115" t="s">
        <v>29116</v>
      </c>
      <c r="B160" s="375" t="str">
        <f>VLOOKUP($A160,SERVICOS,4,FALSE)</f>
        <v>Remoção De Tubulações (Tubos E Conexões) De Água Fria Ou Esgoto, De Forma Manual, Sem Reaproveitamento</v>
      </c>
      <c r="C160" s="376"/>
      <c r="D160" s="376"/>
      <c r="E160" s="376"/>
      <c r="F160" s="377"/>
      <c r="G160" s="115" t="str">
        <f>VLOOKUP($A160,SERVICOS,5,FALSE)</f>
        <v>m</v>
      </c>
      <c r="H160" s="116">
        <f>ROUND(SUM(H162:H163),2)</f>
        <v>5</v>
      </c>
    </row>
    <row r="161" spans="1:8" ht="15" customHeight="1">
      <c r="A161" s="118" t="s">
        <v>1029</v>
      </c>
      <c r="B161" s="118" t="s">
        <v>19767</v>
      </c>
      <c r="C161" s="119" t="s">
        <v>19769</v>
      </c>
      <c r="D161" s="119"/>
      <c r="E161" s="118"/>
      <c r="F161" s="118"/>
      <c r="G161" s="118"/>
      <c r="H161" s="120"/>
    </row>
    <row r="162" spans="1:8" ht="15" customHeight="1">
      <c r="A162" s="121" t="s">
        <v>29120</v>
      </c>
      <c r="B162" s="122">
        <v>1</v>
      </c>
      <c r="C162" s="122">
        <v>4</v>
      </c>
      <c r="D162" s="122"/>
      <c r="E162" s="122"/>
      <c r="F162" s="122"/>
      <c r="G162" s="122"/>
      <c r="H162" s="122">
        <f>B162*C162</f>
        <v>4</v>
      </c>
    </row>
    <row r="163" spans="1:8" ht="15" customHeight="1">
      <c r="A163" s="121" t="s">
        <v>29121</v>
      </c>
      <c r="B163" s="122">
        <v>1</v>
      </c>
      <c r="C163" s="122">
        <v>1</v>
      </c>
      <c r="D163" s="122"/>
      <c r="E163" s="122"/>
      <c r="F163" s="122"/>
      <c r="G163" s="122"/>
      <c r="H163" s="122">
        <f>B163*C163</f>
        <v>1</v>
      </c>
    </row>
    <row r="164" spans="1:8" s="117" customFormat="1" ht="45" customHeight="1">
      <c r="A164" s="115" t="s">
        <v>29119</v>
      </c>
      <c r="B164" s="375" t="str">
        <f>VLOOKUP($A164,SERVICOS,4,FALSE)</f>
        <v>Índice De Preço Para Remoção De Entulho Decorrente Da Execução De Obras (Classe A Conama - Nbr 10.004 - Classe Ii-B), Incluindo Aluguel Da Caçamba, Carga, Transporte E Descarga Em Área Licenciada</v>
      </c>
      <c r="C164" s="376"/>
      <c r="D164" s="376"/>
      <c r="E164" s="376"/>
      <c r="F164" s="377"/>
      <c r="G164" s="115" t="str">
        <f>VLOOKUP($A164,SERVICOS,5,FALSE)</f>
        <v>m³</v>
      </c>
      <c r="H164" s="116">
        <f>ROUND(SUM(H166:H172),2)</f>
        <v>170.71</v>
      </c>
    </row>
    <row r="165" spans="1:8" ht="15" customHeight="1">
      <c r="A165" s="118" t="s">
        <v>1029</v>
      </c>
      <c r="B165" s="118" t="s">
        <v>26747</v>
      </c>
      <c r="C165" s="118" t="s">
        <v>26630</v>
      </c>
      <c r="D165" s="118" t="s">
        <v>26643</v>
      </c>
      <c r="E165" s="119" t="s">
        <v>26743</v>
      </c>
      <c r="F165" s="119" t="s">
        <v>26736</v>
      </c>
      <c r="G165" s="118"/>
      <c r="H165" s="120"/>
    </row>
    <row r="166" spans="1:8" ht="15" customHeight="1">
      <c r="A166" s="121" t="s">
        <v>26742</v>
      </c>
      <c r="B166" s="122"/>
      <c r="C166" s="122"/>
      <c r="D166" s="122"/>
      <c r="E166" s="122">
        <f>SUM(F41:F43)</f>
        <v>6.9439999999999991</v>
      </c>
      <c r="F166" s="122">
        <v>1.5</v>
      </c>
      <c r="G166" s="122"/>
      <c r="H166" s="122">
        <f>E166*F166</f>
        <v>10.415999999999999</v>
      </c>
    </row>
    <row r="167" spans="1:8" ht="38.25">
      <c r="A167" s="240" t="s">
        <v>26744</v>
      </c>
      <c r="B167" s="122"/>
      <c r="C167" s="122">
        <f>H52</f>
        <v>1039.98</v>
      </c>
      <c r="D167" s="268">
        <v>2.5000000000000001E-2</v>
      </c>
      <c r="E167" s="122"/>
      <c r="F167" s="122">
        <v>1.5</v>
      </c>
      <c r="G167" s="122"/>
      <c r="H167" s="122">
        <f>C167*D167*F167</f>
        <v>38.999250000000004</v>
      </c>
    </row>
    <row r="168" spans="1:8" ht="15" customHeight="1">
      <c r="A168" s="240" t="s">
        <v>26746</v>
      </c>
      <c r="B168" s="122"/>
      <c r="C168" s="122"/>
      <c r="D168" s="122"/>
      <c r="E168" s="122">
        <f>H62</f>
        <v>69.290000000000006</v>
      </c>
      <c r="F168" s="122">
        <v>1.5</v>
      </c>
      <c r="G168" s="122"/>
      <c r="H168" s="122">
        <f>E168*F168</f>
        <v>103.935</v>
      </c>
    </row>
    <row r="169" spans="1:8" ht="15" customHeight="1">
      <c r="A169" s="240" t="s">
        <v>26745</v>
      </c>
      <c r="B169" s="122">
        <f>H99</f>
        <v>91.72</v>
      </c>
      <c r="C169" s="122">
        <f>0.1*0.3</f>
        <v>0.03</v>
      </c>
      <c r="D169" s="122"/>
      <c r="E169" s="122"/>
      <c r="F169" s="122">
        <v>1.5</v>
      </c>
      <c r="G169" s="122"/>
      <c r="H169" s="122">
        <f>B169*C169*F169</f>
        <v>4.1273999999999997</v>
      </c>
    </row>
    <row r="170" spans="1:8" ht="15" customHeight="1">
      <c r="A170" s="240" t="s">
        <v>28576</v>
      </c>
      <c r="B170" s="122"/>
      <c r="C170" s="122">
        <f>H111</f>
        <v>189.04</v>
      </c>
      <c r="D170" s="122">
        <v>0.02</v>
      </c>
      <c r="E170" s="122"/>
      <c r="F170" s="122">
        <v>1.5</v>
      </c>
      <c r="G170" s="122"/>
      <c r="H170" s="122">
        <f>C170*D170*F170</f>
        <v>5.6711999999999998</v>
      </c>
    </row>
    <row r="171" spans="1:8" ht="15" customHeight="1">
      <c r="A171" s="240" t="s">
        <v>28577</v>
      </c>
      <c r="B171" s="122"/>
      <c r="C171" s="122">
        <f>H142</f>
        <v>173.15</v>
      </c>
      <c r="D171" s="122">
        <v>0.02</v>
      </c>
      <c r="E171" s="122"/>
      <c r="F171" s="122">
        <v>1.5</v>
      </c>
      <c r="G171" s="122"/>
      <c r="H171" s="122">
        <f>C171*D171*F171</f>
        <v>5.1944999999999997</v>
      </c>
    </row>
    <row r="172" spans="1:8" ht="25.5">
      <c r="A172" s="240" t="s">
        <v>28578</v>
      </c>
      <c r="B172" s="122"/>
      <c r="C172" s="122">
        <f>H146</f>
        <v>31.5</v>
      </c>
      <c r="D172" s="122">
        <v>0.05</v>
      </c>
      <c r="E172" s="122"/>
      <c r="F172" s="122">
        <v>1.5</v>
      </c>
      <c r="G172" s="122"/>
      <c r="H172" s="122">
        <f>C172*D172*F172</f>
        <v>2.3625000000000003</v>
      </c>
    </row>
    <row r="173" spans="1:8" ht="15" customHeight="1">
      <c r="A173" s="113" t="s">
        <v>19661</v>
      </c>
      <c r="B173" s="378" t="str">
        <f>VLOOKUP($A173,SERVICOS,4,FALSE)</f>
        <v>MOVIMENTAÇÃO DE TERRA</v>
      </c>
      <c r="C173" s="378"/>
      <c r="D173" s="378"/>
      <c r="E173" s="378"/>
      <c r="F173" s="378"/>
      <c r="G173" s="378">
        <f>VLOOKUP($A173,SERVICOS,5,FALSE)</f>
        <v>0</v>
      </c>
      <c r="H173" s="378" t="e">
        <f>ROUND(SUM(#REF!),2)</f>
        <v>#REF!</v>
      </c>
    </row>
    <row r="174" spans="1:8" s="117" customFormat="1" ht="30" customHeight="1">
      <c r="A174" s="115" t="s">
        <v>25839</v>
      </c>
      <c r="B174" s="375" t="str">
        <f>VLOOKUP($A174,SERVICOS,4,FALSE)</f>
        <v>Escavação Manual Em Material De 1A. Categoria, Até 1.50 M De Profundidade</v>
      </c>
      <c r="C174" s="376"/>
      <c r="D174" s="376"/>
      <c r="E174" s="376"/>
      <c r="F174" s="377"/>
      <c r="G174" s="115" t="str">
        <f>VLOOKUP($A174,SERVICOS,5,FALSE)</f>
        <v>m³</v>
      </c>
      <c r="H174" s="116">
        <f>ROUND(SUM(H176:H179),2)</f>
        <v>88.73</v>
      </c>
    </row>
    <row r="175" spans="1:8" ht="15" customHeight="1">
      <c r="A175" s="118" t="s">
        <v>1029</v>
      </c>
      <c r="B175" s="118" t="s">
        <v>19767</v>
      </c>
      <c r="C175" s="119" t="s">
        <v>19768</v>
      </c>
      <c r="D175" s="119" t="s">
        <v>19769</v>
      </c>
      <c r="E175" s="118" t="s">
        <v>26634</v>
      </c>
      <c r="F175" s="118" t="s">
        <v>26709</v>
      </c>
      <c r="G175" s="118" t="s">
        <v>26711</v>
      </c>
      <c r="H175" s="120"/>
    </row>
    <row r="176" spans="1:8" ht="15" customHeight="1">
      <c r="A176" s="121" t="s">
        <v>26706</v>
      </c>
      <c r="B176" s="122">
        <v>1</v>
      </c>
      <c r="C176" s="122">
        <f>0.6+1.2</f>
        <v>1.7999999999999998</v>
      </c>
      <c r="D176" s="122">
        <f>0.6+1.2</f>
        <v>1.7999999999999998</v>
      </c>
      <c r="E176" s="122">
        <v>1.5</v>
      </c>
      <c r="F176" s="122" t="s">
        <v>28500</v>
      </c>
      <c r="G176" s="248" t="s">
        <v>28503</v>
      </c>
      <c r="H176" s="122">
        <f>B176*C176*D176*E176</f>
        <v>4.8599999999999994</v>
      </c>
    </row>
    <row r="177" spans="1:8" ht="38.25">
      <c r="A177" s="121" t="s">
        <v>26707</v>
      </c>
      <c r="B177" s="122">
        <v>8</v>
      </c>
      <c r="C177" s="122">
        <f>1+1.2</f>
        <v>2.2000000000000002</v>
      </c>
      <c r="D177" s="122">
        <f>1+1.2</f>
        <v>2.2000000000000002</v>
      </c>
      <c r="E177" s="122">
        <v>1.5</v>
      </c>
      <c r="F177" s="122" t="s">
        <v>26710</v>
      </c>
      <c r="G177" s="248" t="s">
        <v>28504</v>
      </c>
      <c r="H177" s="122">
        <f>B177*C177*D177*E177</f>
        <v>58.080000000000013</v>
      </c>
    </row>
    <row r="178" spans="1:8" ht="15" customHeight="1">
      <c r="A178" s="121" t="s">
        <v>26708</v>
      </c>
      <c r="B178" s="122">
        <v>2</v>
      </c>
      <c r="C178" s="122">
        <f>1.2+1.2</f>
        <v>2.4</v>
      </c>
      <c r="D178" s="122">
        <f>1.2+1.2</f>
        <v>2.4</v>
      </c>
      <c r="E178" s="122">
        <v>1.5</v>
      </c>
      <c r="F178" s="122" t="s">
        <v>28501</v>
      </c>
      <c r="G178" s="122" t="s">
        <v>28502</v>
      </c>
      <c r="H178" s="122">
        <f t="shared" ref="H178" si="7">B178*C178*D178*E178</f>
        <v>17.28</v>
      </c>
    </row>
    <row r="179" spans="1:8" ht="15" customHeight="1">
      <c r="A179" s="121" t="s">
        <v>28539</v>
      </c>
      <c r="B179" s="122">
        <v>1</v>
      </c>
      <c r="C179" s="122">
        <f>0.12+0.6</f>
        <v>0.72</v>
      </c>
      <c r="D179" s="122">
        <f>1.36+3.58+1.92+2.73+1.64+1.92+1.36+2.61+1.4*2+2.63+3.73</f>
        <v>26.28</v>
      </c>
      <c r="E179" s="122">
        <f>0.4+0.05</f>
        <v>0.45</v>
      </c>
      <c r="F179" s="122" t="s">
        <v>28540</v>
      </c>
      <c r="G179" s="122" t="s">
        <v>28541</v>
      </c>
      <c r="H179" s="122">
        <f t="shared" ref="H179" si="8">B179*C179*D179*E179</f>
        <v>8.5147200000000005</v>
      </c>
    </row>
    <row r="180" spans="1:8" ht="15" customHeight="1">
      <c r="A180" s="121" t="s">
        <v>26712</v>
      </c>
      <c r="B180" s="243"/>
      <c r="C180" s="244"/>
      <c r="D180" s="244"/>
      <c r="E180" s="244"/>
      <c r="F180" s="246"/>
      <c r="G180" s="122"/>
      <c r="H180" s="122"/>
    </row>
    <row r="181" spans="1:8" s="117" customFormat="1" ht="15" customHeight="1">
      <c r="A181" s="115" t="s">
        <v>25840</v>
      </c>
      <c r="B181" s="375" t="str">
        <f>VLOOKUP($A181,SERVICOS,4,FALSE)</f>
        <v>Apiloamento Do Fundo De Vala Com Maço De 30 A 60Kg</v>
      </c>
      <c r="C181" s="376"/>
      <c r="D181" s="376"/>
      <c r="E181" s="376"/>
      <c r="F181" s="377"/>
      <c r="G181" s="115" t="str">
        <f>VLOOKUP($A181,SERVICOS,5,FALSE)</f>
        <v>m²</v>
      </c>
      <c r="H181" s="116">
        <f>ROUND(SUM(H183:H186),2)</f>
        <v>72.400000000000006</v>
      </c>
    </row>
    <row r="182" spans="1:8" ht="15" customHeight="1">
      <c r="A182" s="118" t="s">
        <v>1029</v>
      </c>
      <c r="B182" s="118" t="s">
        <v>19767</v>
      </c>
      <c r="C182" s="119" t="s">
        <v>19768</v>
      </c>
      <c r="D182" s="119" t="s">
        <v>19769</v>
      </c>
      <c r="E182" s="118"/>
      <c r="F182" s="118" t="s">
        <v>26709</v>
      </c>
      <c r="G182" s="118" t="s">
        <v>26711</v>
      </c>
      <c r="H182" s="120"/>
    </row>
    <row r="183" spans="1:8" ht="15" customHeight="1">
      <c r="A183" s="121" t="str">
        <f>A176</f>
        <v>Sapatas - tipo I</v>
      </c>
      <c r="B183" s="122">
        <f>B176</f>
        <v>1</v>
      </c>
      <c r="C183" s="122">
        <f t="shared" ref="C183:D183" si="9">C176</f>
        <v>1.7999999999999998</v>
      </c>
      <c r="D183" s="122">
        <f t="shared" si="9"/>
        <v>1.7999999999999998</v>
      </c>
      <c r="E183" s="122"/>
      <c r="F183" s="122" t="str">
        <f>F176</f>
        <v>60x60</v>
      </c>
      <c r="G183" s="122" t="str">
        <f>G176</f>
        <v>S11</v>
      </c>
      <c r="H183" s="122">
        <f>B183*C183*D183</f>
        <v>3.2399999999999993</v>
      </c>
    </row>
    <row r="184" spans="1:8" ht="38.25">
      <c r="A184" s="121" t="str">
        <f t="shared" ref="A184:A186" si="10">A177</f>
        <v>Sapatas - tipo II</v>
      </c>
      <c r="B184" s="122">
        <f t="shared" ref="B184:D184" si="11">B177</f>
        <v>8</v>
      </c>
      <c r="C184" s="122">
        <f t="shared" si="11"/>
        <v>2.2000000000000002</v>
      </c>
      <c r="D184" s="122">
        <f t="shared" si="11"/>
        <v>2.2000000000000002</v>
      </c>
      <c r="E184" s="122"/>
      <c r="F184" s="122" t="str">
        <f t="shared" ref="F184:G184" si="12">F177</f>
        <v>100x100</v>
      </c>
      <c r="G184" s="248" t="str">
        <f t="shared" si="12"/>
        <v>S1=S2=S3=S5=S6=S7=S9=S10</v>
      </c>
      <c r="H184" s="122">
        <f t="shared" ref="H184:H186" si="13">B184*C184*D184</f>
        <v>38.720000000000006</v>
      </c>
    </row>
    <row r="185" spans="1:8" ht="15" customHeight="1">
      <c r="A185" s="121" t="str">
        <f t="shared" si="10"/>
        <v>Sapatas - tipo III</v>
      </c>
      <c r="B185" s="122">
        <f t="shared" ref="B185:D185" si="14">B178</f>
        <v>2</v>
      </c>
      <c r="C185" s="122">
        <f t="shared" si="14"/>
        <v>2.4</v>
      </c>
      <c r="D185" s="122">
        <f t="shared" si="14"/>
        <v>2.4</v>
      </c>
      <c r="E185" s="122"/>
      <c r="F185" s="122" t="str">
        <f t="shared" ref="F185:G185" si="15">F178</f>
        <v>120x120</v>
      </c>
      <c r="G185" s="122" t="str">
        <f t="shared" si="15"/>
        <v>S4=S8</v>
      </c>
      <c r="H185" s="122">
        <f t="shared" ref="H185" si="16">B185*C185*D185</f>
        <v>11.52</v>
      </c>
    </row>
    <row r="186" spans="1:8" ht="15" customHeight="1">
      <c r="A186" s="121" t="str">
        <f t="shared" si="10"/>
        <v>Vigas baldrames</v>
      </c>
      <c r="B186" s="122">
        <f t="shared" ref="B186:D186" si="17">B179</f>
        <v>1</v>
      </c>
      <c r="C186" s="122">
        <f t="shared" si="17"/>
        <v>0.72</v>
      </c>
      <c r="D186" s="122">
        <f t="shared" si="17"/>
        <v>26.28</v>
      </c>
      <c r="E186" s="122"/>
      <c r="F186" s="122" t="str">
        <f t="shared" ref="F186:G186" si="18">F179</f>
        <v>12x40</v>
      </c>
      <c r="G186" s="122" t="str">
        <f t="shared" si="18"/>
        <v>V1 À V12</v>
      </c>
      <c r="H186" s="122">
        <f t="shared" si="13"/>
        <v>18.921600000000002</v>
      </c>
    </row>
    <row r="187" spans="1:8" s="117" customFormat="1" ht="15" customHeight="1">
      <c r="A187" s="115" t="s">
        <v>25841</v>
      </c>
      <c r="B187" s="375" t="str">
        <f>VLOOKUP($A187,SERVICOS,4,FALSE)</f>
        <v>Reaterro Apiloado De Cavas De Fundação, Em Camadas De 20 Cm</v>
      </c>
      <c r="C187" s="376"/>
      <c r="D187" s="376"/>
      <c r="E187" s="376"/>
      <c r="F187" s="377"/>
      <c r="G187" s="115" t="str">
        <f>VLOOKUP($A187,SERVICOS,5,FALSE)</f>
        <v>m³</v>
      </c>
      <c r="H187" s="116">
        <f>ROUND(SUM(H189:H192),2)</f>
        <v>83.38</v>
      </c>
    </row>
    <row r="188" spans="1:8" ht="51">
      <c r="A188" s="118" t="s">
        <v>1029</v>
      </c>
      <c r="B188" s="119" t="s">
        <v>26748</v>
      </c>
      <c r="C188" s="119" t="s">
        <v>26749</v>
      </c>
      <c r="D188" s="119" t="s">
        <v>26750</v>
      </c>
      <c r="E188" s="118"/>
      <c r="F188" s="118"/>
      <c r="G188" s="118"/>
      <c r="H188" s="120"/>
    </row>
    <row r="189" spans="1:8" ht="15" customHeight="1">
      <c r="A189" s="121" t="str">
        <f>A183</f>
        <v>Sapatas - tipo I</v>
      </c>
      <c r="B189" s="122">
        <f>H176</f>
        <v>4.8599999999999994</v>
      </c>
      <c r="C189" s="122">
        <f>H196</f>
        <v>1.7999999999999999E-2</v>
      </c>
      <c r="D189" s="122">
        <f>H231</f>
        <v>0.108</v>
      </c>
      <c r="E189" s="122"/>
      <c r="F189" s="122"/>
      <c r="G189" s="122"/>
      <c r="H189" s="122">
        <f>B189-C189-D189</f>
        <v>4.734</v>
      </c>
    </row>
    <row r="190" spans="1:8" ht="15" customHeight="1">
      <c r="A190" s="121" t="str">
        <f t="shared" ref="A190:A192" si="19">A184</f>
        <v>Sapatas - tipo II</v>
      </c>
      <c r="B190" s="122">
        <f t="shared" ref="B190:B192" si="20">H177</f>
        <v>58.080000000000013</v>
      </c>
      <c r="C190" s="122">
        <f t="shared" ref="C190:C192" si="21">H197</f>
        <v>0.4</v>
      </c>
      <c r="D190" s="122">
        <f t="shared" ref="D190:D192" si="22">H232</f>
        <v>2.4</v>
      </c>
      <c r="E190" s="122"/>
      <c r="F190" s="122"/>
      <c r="G190" s="122"/>
      <c r="H190" s="122">
        <f t="shared" ref="H190:H192" si="23">B190-C190-D190</f>
        <v>55.280000000000015</v>
      </c>
    </row>
    <row r="191" spans="1:8" ht="15" customHeight="1">
      <c r="A191" s="121" t="str">
        <f t="shared" si="19"/>
        <v>Sapatas - tipo III</v>
      </c>
      <c r="B191" s="122">
        <f t="shared" si="20"/>
        <v>17.28</v>
      </c>
      <c r="C191" s="122">
        <f t="shared" si="21"/>
        <v>0.14399999999999999</v>
      </c>
      <c r="D191" s="122">
        <f t="shared" si="22"/>
        <v>0.86399999999999999</v>
      </c>
      <c r="E191" s="122"/>
      <c r="F191" s="122"/>
      <c r="G191" s="122"/>
      <c r="H191" s="122">
        <f t="shared" ref="H191" si="24">B191-C191-D191</f>
        <v>16.272000000000002</v>
      </c>
    </row>
    <row r="192" spans="1:8" ht="15" customHeight="1">
      <c r="A192" s="121" t="str">
        <f t="shared" si="19"/>
        <v>Vigas baldrames</v>
      </c>
      <c r="B192" s="122">
        <f t="shared" si="20"/>
        <v>8.5147200000000005</v>
      </c>
      <c r="C192" s="122">
        <f t="shared" si="21"/>
        <v>0.15768000000000001</v>
      </c>
      <c r="D192" s="122">
        <f t="shared" si="22"/>
        <v>1.2614400000000001</v>
      </c>
      <c r="E192" s="122"/>
      <c r="F192" s="122"/>
      <c r="G192" s="122"/>
      <c r="H192" s="122">
        <f t="shared" si="23"/>
        <v>7.095600000000001</v>
      </c>
    </row>
    <row r="193" spans="1:8" ht="15" customHeight="1">
      <c r="A193" s="113" t="s">
        <v>19662</v>
      </c>
      <c r="B193" s="378" t="str">
        <f>VLOOKUP($A193,SERVICOS,4,FALSE)</f>
        <v>ESTRUTURA DE CONCRETO</v>
      </c>
      <c r="C193" s="378"/>
      <c r="D193" s="378"/>
      <c r="E193" s="378"/>
      <c r="F193" s="378"/>
      <c r="G193" s="378">
        <f>VLOOKUP($A193,SERVICOS,5,FALSE)</f>
        <v>0</v>
      </c>
      <c r="H193" s="378" t="e">
        <f>ROUND(SUM(#REF!),2)</f>
        <v>#REF!</v>
      </c>
    </row>
    <row r="194" spans="1:8" s="117" customFormat="1" ht="45" customHeight="1">
      <c r="A194" s="115" t="s">
        <v>25835</v>
      </c>
      <c r="B194" s="375" t="str">
        <f>VLOOKUP($A194,SERVICOS,4,FALSE)</f>
        <v>Fornecimento, Preparo E Aplicação De Concreto Magro Com Consumo Mínimo De Cimento De 250 Kg/M3 (Brita 1 E 2) - (5% De Perdas Já Incluído No Custo)</v>
      </c>
      <c r="C194" s="376"/>
      <c r="D194" s="376"/>
      <c r="E194" s="376"/>
      <c r="F194" s="377"/>
      <c r="G194" s="115" t="str">
        <f>VLOOKUP($A194,SERVICOS,5,FALSE)</f>
        <v>m³</v>
      </c>
      <c r="H194" s="116">
        <f>ROUND(SUM(H196:H199),2)</f>
        <v>0.72</v>
      </c>
    </row>
    <row r="195" spans="1:8" ht="15" customHeight="1">
      <c r="A195" s="118" t="s">
        <v>1029</v>
      </c>
      <c r="B195" s="118" t="s">
        <v>19767</v>
      </c>
      <c r="C195" s="119" t="s">
        <v>19768</v>
      </c>
      <c r="D195" s="119" t="s">
        <v>19769</v>
      </c>
      <c r="E195" s="118" t="s">
        <v>26643</v>
      </c>
      <c r="F195" s="118" t="s">
        <v>26709</v>
      </c>
      <c r="G195" s="118" t="s">
        <v>26711</v>
      </c>
      <c r="H195" s="120"/>
    </row>
    <row r="196" spans="1:8" ht="12.75">
      <c r="A196" s="121" t="str">
        <f>A189</f>
        <v>Sapatas - tipo I</v>
      </c>
      <c r="B196" s="122">
        <f>B183</f>
        <v>1</v>
      </c>
      <c r="C196" s="122">
        <v>0.6</v>
      </c>
      <c r="D196" s="122">
        <v>0.6</v>
      </c>
      <c r="E196" s="122">
        <v>0.05</v>
      </c>
      <c r="F196" s="122" t="str">
        <f>F183</f>
        <v>60x60</v>
      </c>
      <c r="G196" s="122" t="str">
        <f>G183</f>
        <v>S11</v>
      </c>
      <c r="H196" s="122">
        <f t="shared" ref="H196:H199" si="25">B196*C196*D196*E196</f>
        <v>1.7999999999999999E-2</v>
      </c>
    </row>
    <row r="197" spans="1:8" ht="38.25">
      <c r="A197" s="121" t="str">
        <f t="shared" ref="A197:A199" si="26">A190</f>
        <v>Sapatas - tipo II</v>
      </c>
      <c r="B197" s="122">
        <f t="shared" ref="B197:B199" si="27">B184</f>
        <v>8</v>
      </c>
      <c r="C197" s="122">
        <v>1</v>
      </c>
      <c r="D197" s="122">
        <v>1</v>
      </c>
      <c r="E197" s="122">
        <v>0.05</v>
      </c>
      <c r="F197" s="122" t="str">
        <f t="shared" ref="F197:G197" si="28">F184</f>
        <v>100x100</v>
      </c>
      <c r="G197" s="248" t="str">
        <f t="shared" si="28"/>
        <v>S1=S2=S3=S5=S6=S7=S9=S10</v>
      </c>
      <c r="H197" s="122">
        <f t="shared" si="25"/>
        <v>0.4</v>
      </c>
    </row>
    <row r="198" spans="1:8" ht="15" customHeight="1">
      <c r="A198" s="121" t="str">
        <f t="shared" si="26"/>
        <v>Sapatas - tipo III</v>
      </c>
      <c r="B198" s="122">
        <f t="shared" si="27"/>
        <v>2</v>
      </c>
      <c r="C198" s="122">
        <v>1.2</v>
      </c>
      <c r="D198" s="122">
        <v>1.2</v>
      </c>
      <c r="E198" s="122">
        <v>0.05</v>
      </c>
      <c r="F198" s="122" t="str">
        <f t="shared" ref="F198:G198" si="29">F185</f>
        <v>120x120</v>
      </c>
      <c r="G198" s="122" t="str">
        <f t="shared" si="29"/>
        <v>S4=S8</v>
      </c>
      <c r="H198" s="122">
        <f t="shared" ref="H198" si="30">B198*C198*D198*E198</f>
        <v>0.14399999999999999</v>
      </c>
    </row>
    <row r="199" spans="1:8" ht="15" customHeight="1">
      <c r="A199" s="121" t="str">
        <f t="shared" si="26"/>
        <v>Vigas baldrames</v>
      </c>
      <c r="B199" s="122">
        <f t="shared" si="27"/>
        <v>1</v>
      </c>
      <c r="C199" s="122">
        <v>0.12</v>
      </c>
      <c r="D199" s="122">
        <f>D186</f>
        <v>26.28</v>
      </c>
      <c r="E199" s="122">
        <v>0.05</v>
      </c>
      <c r="F199" s="122" t="str">
        <f t="shared" ref="F199:G199" si="31">F186</f>
        <v>12x40</v>
      </c>
      <c r="G199" s="122" t="str">
        <f t="shared" si="31"/>
        <v>V1 À V12</v>
      </c>
      <c r="H199" s="122">
        <f t="shared" si="25"/>
        <v>0.15768000000000001</v>
      </c>
    </row>
    <row r="200" spans="1:8" s="117" customFormat="1" ht="45" customHeight="1">
      <c r="A200" s="115" t="s">
        <v>25836</v>
      </c>
      <c r="B200" s="375" t="str">
        <f>VLOOKUP($A200,SERVICOS,4,FALSE)</f>
        <v>Fôrma De Tábua De Madeira De 2.5 X 30.0 Cm Para Fundações, Levando-Se Em Conta A Utilização 5 Vezes (Incluido O Material, Corte, Montagem, Escoramento E Desforma)</v>
      </c>
      <c r="C200" s="376"/>
      <c r="D200" s="376"/>
      <c r="E200" s="376"/>
      <c r="F200" s="377"/>
      <c r="G200" s="115" t="str">
        <f>VLOOKUP($A200,SERVICOS,5,FALSE)</f>
        <v>m²</v>
      </c>
      <c r="H200" s="116">
        <f>ROUND(SUM(H202:H209),2)</f>
        <v>259.51</v>
      </c>
    </row>
    <row r="201" spans="1:8" ht="15" customHeight="1">
      <c r="A201" s="118" t="s">
        <v>1029</v>
      </c>
      <c r="B201" s="118" t="s">
        <v>19767</v>
      </c>
      <c r="C201" s="119" t="s">
        <v>19768</v>
      </c>
      <c r="D201" s="119" t="s">
        <v>19769</v>
      </c>
      <c r="E201" s="118" t="s">
        <v>26634</v>
      </c>
      <c r="F201" s="118"/>
      <c r="G201" s="118"/>
      <c r="H201" s="120"/>
    </row>
    <row r="202" spans="1:8" ht="15" customHeight="1">
      <c r="A202" s="121" t="str">
        <f>A196</f>
        <v>Sapatas - tipo I</v>
      </c>
      <c r="B202" s="122">
        <f>B196</f>
        <v>1</v>
      </c>
      <c r="C202" s="122">
        <f>C196</f>
        <v>0.6</v>
      </c>
      <c r="D202" s="122">
        <f>D196</f>
        <v>0.6</v>
      </c>
      <c r="E202" s="122">
        <v>0.35</v>
      </c>
      <c r="F202" s="122"/>
      <c r="G202" s="122"/>
      <c r="H202" s="122">
        <f>B202*((C202+D202)*2)*E202</f>
        <v>0.84</v>
      </c>
    </row>
    <row r="203" spans="1:8" ht="15" customHeight="1">
      <c r="A203" s="121" t="str">
        <f t="shared" ref="A203:A205" si="32">A197</f>
        <v>Sapatas - tipo II</v>
      </c>
      <c r="B203" s="122">
        <f t="shared" ref="B203:D203" si="33">B197</f>
        <v>8</v>
      </c>
      <c r="C203" s="122">
        <f t="shared" si="33"/>
        <v>1</v>
      </c>
      <c r="D203" s="122">
        <f t="shared" si="33"/>
        <v>1</v>
      </c>
      <c r="E203" s="122">
        <v>0.35</v>
      </c>
      <c r="F203" s="122"/>
      <c r="G203" s="122"/>
      <c r="H203" s="122">
        <f t="shared" ref="H203:H209" si="34">B203*((C203+D203)*2)*E203</f>
        <v>11.2</v>
      </c>
    </row>
    <row r="204" spans="1:8" ht="15" customHeight="1">
      <c r="A204" s="121" t="str">
        <f t="shared" si="32"/>
        <v>Sapatas - tipo III</v>
      </c>
      <c r="B204" s="122">
        <f t="shared" ref="B204:D204" si="35">B198</f>
        <v>2</v>
      </c>
      <c r="C204" s="122">
        <f t="shared" si="35"/>
        <v>1.2</v>
      </c>
      <c r="D204" s="122">
        <f t="shared" si="35"/>
        <v>1.2</v>
      </c>
      <c r="E204" s="122">
        <v>0.35</v>
      </c>
      <c r="F204" s="122"/>
      <c r="G204" s="122"/>
      <c r="H204" s="122">
        <f t="shared" si="34"/>
        <v>3.36</v>
      </c>
    </row>
    <row r="205" spans="1:8" ht="15" customHeight="1">
      <c r="A205" s="121" t="str">
        <f t="shared" si="32"/>
        <v>Vigas baldrames</v>
      </c>
      <c r="B205" s="122">
        <f t="shared" ref="B205:D205" si="36">B199</f>
        <v>1</v>
      </c>
      <c r="C205" s="122">
        <f t="shared" si="36"/>
        <v>0.12</v>
      </c>
      <c r="D205" s="122">
        <f t="shared" si="36"/>
        <v>26.28</v>
      </c>
      <c r="E205" s="122">
        <v>0.45</v>
      </c>
      <c r="F205" s="122"/>
      <c r="G205" s="122"/>
      <c r="H205" s="122">
        <f t="shared" si="34"/>
        <v>23.76</v>
      </c>
    </row>
    <row r="206" spans="1:8" ht="15" customHeight="1">
      <c r="A206" s="121" t="s">
        <v>28542</v>
      </c>
      <c r="B206" s="122">
        <v>1</v>
      </c>
      <c r="C206" s="122">
        <v>0.2</v>
      </c>
      <c r="D206" s="122">
        <v>0.2</v>
      </c>
      <c r="E206" s="122">
        <v>2.9</v>
      </c>
      <c r="F206" s="122"/>
      <c r="G206" s="122"/>
      <c r="H206" s="122">
        <f t="shared" si="34"/>
        <v>2.3199999999999998</v>
      </c>
    </row>
    <row r="207" spans="1:8" ht="15" customHeight="1">
      <c r="A207" s="121" t="s">
        <v>28741</v>
      </c>
      <c r="B207" s="122">
        <v>8</v>
      </c>
      <c r="C207" s="122">
        <v>0.15</v>
      </c>
      <c r="D207" s="122">
        <v>0.4</v>
      </c>
      <c r="E207" s="122">
        <v>10.7</v>
      </c>
      <c r="F207" s="122"/>
      <c r="G207" s="122"/>
      <c r="H207" s="122">
        <f t="shared" ref="H207:H208" si="37">B207*((C207+D207)*2)*E207</f>
        <v>94.16</v>
      </c>
    </row>
    <row r="208" spans="1:8" ht="15" customHeight="1">
      <c r="A208" s="121" t="s">
        <v>28742</v>
      </c>
      <c r="B208" s="122">
        <v>4</v>
      </c>
      <c r="C208" s="122">
        <v>0.15</v>
      </c>
      <c r="D208" s="122">
        <v>0.55000000000000004</v>
      </c>
      <c r="E208" s="122">
        <v>10.7</v>
      </c>
      <c r="F208" s="122"/>
      <c r="G208" s="122"/>
      <c r="H208" s="122">
        <f t="shared" si="37"/>
        <v>59.92</v>
      </c>
    </row>
    <row r="209" spans="1:8" ht="15" customHeight="1">
      <c r="A209" s="121" t="s">
        <v>28543</v>
      </c>
      <c r="B209" s="122">
        <v>2</v>
      </c>
      <c r="C209" s="122">
        <v>0.12</v>
      </c>
      <c r="D209" s="122">
        <f>1.73+1.36+1.92+2.73+1.64+3.58+1.92+1.36+2.29+2.61+1.6+0.25+3.98+1.73+1.4*2+2.63+3.73+1.99</f>
        <v>39.85</v>
      </c>
      <c r="E209" s="122">
        <v>0.4</v>
      </c>
      <c r="F209" s="122"/>
      <c r="G209" s="122"/>
      <c r="H209" s="122">
        <f t="shared" si="34"/>
        <v>63.951999999999998</v>
      </c>
    </row>
    <row r="210" spans="1:8" ht="15" customHeight="1">
      <c r="A210" s="121" t="s">
        <v>26713</v>
      </c>
      <c r="B210" s="243"/>
      <c r="C210" s="244"/>
      <c r="D210" s="244"/>
      <c r="E210" s="244"/>
      <c r="F210" s="246"/>
      <c r="G210" s="122"/>
      <c r="H210" s="122"/>
    </row>
    <row r="211" spans="1:8" ht="15" customHeight="1">
      <c r="A211" s="121" t="s">
        <v>26714</v>
      </c>
      <c r="B211" s="243"/>
      <c r="C211" s="244"/>
      <c r="D211" s="244"/>
      <c r="E211" s="244"/>
      <c r="F211" s="246"/>
      <c r="G211" s="122"/>
      <c r="H211" s="122"/>
    </row>
    <row r="212" spans="1:8" s="117" customFormat="1" ht="30" customHeight="1">
      <c r="A212" s="115" t="s">
        <v>25829</v>
      </c>
      <c r="B212" s="375" t="str">
        <f>VLOOKUP($A212,SERVICOS,4,FALSE)</f>
        <v>Fornecimento, Dobragem E Colocação Em Fôrma, De Armadura Ca-50 A Média, Diâmetro De 6.3 A 10.0 Mm</v>
      </c>
      <c r="C212" s="376"/>
      <c r="D212" s="376"/>
      <c r="E212" s="376"/>
      <c r="F212" s="377"/>
      <c r="G212" s="115" t="str">
        <f>VLOOKUP($A212,SERVICOS,5,FALSE)</f>
        <v>kg</v>
      </c>
      <c r="H212" s="116">
        <f>ROUND(SUM(H214:H221),2)</f>
        <v>1083.83</v>
      </c>
    </row>
    <row r="213" spans="1:8" ht="15" customHeight="1">
      <c r="A213" s="118" t="s">
        <v>1029</v>
      </c>
      <c r="B213" s="118" t="s">
        <v>19767</v>
      </c>
      <c r="C213" s="304" t="s">
        <v>28739</v>
      </c>
      <c r="D213" s="119" t="s">
        <v>19769</v>
      </c>
      <c r="E213" s="118" t="s">
        <v>28740</v>
      </c>
      <c r="F213" s="118" t="s">
        <v>26709</v>
      </c>
      <c r="G213" s="118"/>
      <c r="H213" s="120"/>
    </row>
    <row r="214" spans="1:8" ht="15" customHeight="1">
      <c r="A214" s="121" t="str">
        <f>A202</f>
        <v>Sapatas - tipo I</v>
      </c>
      <c r="B214" s="122">
        <f>B202*12</f>
        <v>12</v>
      </c>
      <c r="C214" s="122" t="s">
        <v>26556</v>
      </c>
      <c r="D214" s="122">
        <v>0.94</v>
      </c>
      <c r="E214" s="122">
        <v>0.61699999999999999</v>
      </c>
      <c r="F214" s="122" t="str">
        <f>F196</f>
        <v>60x60</v>
      </c>
      <c r="G214" s="122"/>
      <c r="H214" s="122">
        <f>B214*D214*E214*1.1</f>
        <v>7.6557360000000001</v>
      </c>
    </row>
    <row r="215" spans="1:8" ht="15" customHeight="1">
      <c r="A215" s="121" t="str">
        <f t="shared" ref="A215:A221" si="38">A203</f>
        <v>Sapatas - tipo II</v>
      </c>
      <c r="B215" s="122">
        <f>B203*20</f>
        <v>160</v>
      </c>
      <c r="C215" s="122" t="s">
        <v>26556</v>
      </c>
      <c r="D215" s="122">
        <v>1.34</v>
      </c>
      <c r="E215" s="122">
        <v>0.61699999999999999</v>
      </c>
      <c r="F215" s="122" t="str">
        <f t="shared" ref="F215:F217" si="39">F197</f>
        <v>100x100</v>
      </c>
      <c r="G215" s="122"/>
      <c r="H215" s="122">
        <f t="shared" ref="H215:H221" si="40">B215*D215*E215*1.1</f>
        <v>145.51328000000001</v>
      </c>
    </row>
    <row r="216" spans="1:8" ht="15" customHeight="1">
      <c r="A216" s="121" t="str">
        <f t="shared" si="38"/>
        <v>Sapatas - tipo III</v>
      </c>
      <c r="B216" s="122">
        <f>B204*24</f>
        <v>48</v>
      </c>
      <c r="C216" s="122" t="s">
        <v>26556</v>
      </c>
      <c r="D216" s="122">
        <v>1.54</v>
      </c>
      <c r="E216" s="122">
        <v>0.61699999999999999</v>
      </c>
      <c r="F216" s="122" t="str">
        <f t="shared" si="39"/>
        <v>120x120</v>
      </c>
      <c r="G216" s="122"/>
      <c r="H216" s="122">
        <f t="shared" si="40"/>
        <v>50.169504000000003</v>
      </c>
    </row>
    <row r="217" spans="1:8" ht="15" customHeight="1">
      <c r="A217" s="121" t="str">
        <f t="shared" si="38"/>
        <v>Vigas baldrames</v>
      </c>
      <c r="B217" s="122">
        <f>B205*4</f>
        <v>4</v>
      </c>
      <c r="C217" s="122" t="s">
        <v>26556</v>
      </c>
      <c r="D217" s="122">
        <f>D205</f>
        <v>26.28</v>
      </c>
      <c r="E217" s="122">
        <v>0.61699999999999999</v>
      </c>
      <c r="F217" s="122" t="str">
        <f t="shared" si="39"/>
        <v>12x40</v>
      </c>
      <c r="G217" s="122"/>
      <c r="H217" s="122">
        <f t="shared" si="40"/>
        <v>71.344944000000012</v>
      </c>
    </row>
    <row r="218" spans="1:8" ht="15" customHeight="1">
      <c r="A218" s="121" t="str">
        <f t="shared" si="38"/>
        <v>Pilares - tipo I</v>
      </c>
      <c r="B218" s="122">
        <f>B206*6</f>
        <v>6</v>
      </c>
      <c r="C218" s="122" t="s">
        <v>26556</v>
      </c>
      <c r="D218" s="122">
        <f>E206</f>
        <v>2.9</v>
      </c>
      <c r="E218" s="122">
        <v>0.61699999999999999</v>
      </c>
      <c r="F218" s="122" t="s">
        <v>28743</v>
      </c>
      <c r="G218" s="122"/>
      <c r="H218" s="122">
        <f t="shared" si="40"/>
        <v>11.809380000000001</v>
      </c>
    </row>
    <row r="219" spans="1:8" ht="15" customHeight="1">
      <c r="A219" s="121" t="str">
        <f t="shared" si="38"/>
        <v>Pilares - tipo II</v>
      </c>
      <c r="B219" s="122">
        <f>B207*6</f>
        <v>48</v>
      </c>
      <c r="C219" s="122" t="s">
        <v>26556</v>
      </c>
      <c r="D219" s="122">
        <f t="shared" ref="D219:D220" si="41">E207</f>
        <v>10.7</v>
      </c>
      <c r="E219" s="122">
        <v>0.61699999999999999</v>
      </c>
      <c r="F219" s="122" t="s">
        <v>28743</v>
      </c>
      <c r="G219" s="122"/>
      <c r="H219" s="122">
        <f t="shared" si="40"/>
        <v>348.58031999999992</v>
      </c>
    </row>
    <row r="220" spans="1:8" ht="15" customHeight="1">
      <c r="A220" s="121" t="str">
        <f t="shared" si="38"/>
        <v>Pilares - tipo IIII</v>
      </c>
      <c r="B220" s="122">
        <f>B208*8</f>
        <v>32</v>
      </c>
      <c r="C220" s="122" t="s">
        <v>26556</v>
      </c>
      <c r="D220" s="122">
        <f t="shared" si="41"/>
        <v>10.7</v>
      </c>
      <c r="E220" s="122">
        <v>0.61699999999999999</v>
      </c>
      <c r="F220" s="122" t="s">
        <v>28744</v>
      </c>
      <c r="G220" s="122"/>
      <c r="H220" s="122">
        <f t="shared" si="40"/>
        <v>232.38688000000002</v>
      </c>
    </row>
    <row r="221" spans="1:8" ht="15" customHeight="1">
      <c r="A221" s="121" t="str">
        <f t="shared" si="38"/>
        <v>Vigas - 1° e 2° laje</v>
      </c>
      <c r="B221" s="122">
        <f>B209*4</f>
        <v>8</v>
      </c>
      <c r="C221" s="122" t="s">
        <v>26556</v>
      </c>
      <c r="D221" s="122">
        <f>D209</f>
        <v>39.85</v>
      </c>
      <c r="E221" s="122">
        <v>0.61699999999999999</v>
      </c>
      <c r="F221" s="122" t="s">
        <v>28540</v>
      </c>
      <c r="G221" s="122"/>
      <c r="H221" s="122">
        <f t="shared" si="40"/>
        <v>216.36956000000004</v>
      </c>
    </row>
    <row r="222" spans="1:8" s="117" customFormat="1" ht="30" customHeight="1">
      <c r="A222" s="115" t="s">
        <v>25837</v>
      </c>
      <c r="B222" s="375" t="str">
        <f>VLOOKUP($A222,SERVICOS,4,FALSE)</f>
        <v>Fornecimento, Dobragem E Colocação Em Fôrma, De Armadura Ca-60 B Fina, Diâmetro De 4.0 A 7.0Mm</v>
      </c>
      <c r="C222" s="376"/>
      <c r="D222" s="376"/>
      <c r="E222" s="376"/>
      <c r="F222" s="377"/>
      <c r="G222" s="115" t="str">
        <f>VLOOKUP($A222,SERVICOS,5,FALSE)</f>
        <v>kg</v>
      </c>
      <c r="H222" s="116">
        <f>ROUND(SUM(H224:H228),2)</f>
        <v>346.07</v>
      </c>
    </row>
    <row r="223" spans="1:8" ht="15" customHeight="1">
      <c r="A223" s="118" t="s">
        <v>1029</v>
      </c>
      <c r="B223" s="118" t="s">
        <v>19767</v>
      </c>
      <c r="C223" s="304" t="s">
        <v>28739</v>
      </c>
      <c r="D223" s="119" t="s">
        <v>19769</v>
      </c>
      <c r="E223" s="118" t="s">
        <v>28740</v>
      </c>
      <c r="F223" s="118"/>
      <c r="G223" s="118"/>
      <c r="H223" s="120"/>
    </row>
    <row r="224" spans="1:8" ht="15" customHeight="1">
      <c r="A224" s="121" t="str">
        <f>A217</f>
        <v>Vigas baldrames</v>
      </c>
      <c r="B224" s="122">
        <v>220</v>
      </c>
      <c r="C224" s="122" t="s">
        <v>19663</v>
      </c>
      <c r="D224" s="122">
        <v>1</v>
      </c>
      <c r="E224" s="122">
        <v>0.15</v>
      </c>
      <c r="F224" s="122"/>
      <c r="G224" s="122"/>
      <c r="H224" s="122">
        <f>B224*D224*E224*1.1</f>
        <v>36.300000000000004</v>
      </c>
    </row>
    <row r="225" spans="1:8" ht="15" customHeight="1">
      <c r="A225" s="121" t="str">
        <f t="shared" ref="A225:A228" si="42">A218</f>
        <v>Pilares - tipo I</v>
      </c>
      <c r="B225" s="122">
        <v>25</v>
      </c>
      <c r="C225" s="122" t="s">
        <v>19663</v>
      </c>
      <c r="D225" s="122">
        <v>1</v>
      </c>
      <c r="E225" s="122">
        <v>0.15</v>
      </c>
      <c r="F225" s="122"/>
      <c r="G225" s="122"/>
      <c r="H225" s="122">
        <f t="shared" ref="H225:H228" si="43">B225*D225*E225*1.1</f>
        <v>4.125</v>
      </c>
    </row>
    <row r="226" spans="1:8" ht="15" customHeight="1">
      <c r="A226" s="121" t="str">
        <f t="shared" si="42"/>
        <v>Pilares - tipo II</v>
      </c>
      <c r="B226" s="122">
        <f>8*107</f>
        <v>856</v>
      </c>
      <c r="C226" s="122" t="s">
        <v>19663</v>
      </c>
      <c r="D226" s="122">
        <v>1</v>
      </c>
      <c r="E226" s="122">
        <v>0.15</v>
      </c>
      <c r="F226" s="122"/>
      <c r="G226" s="122"/>
      <c r="H226" s="122">
        <f t="shared" si="43"/>
        <v>141.24</v>
      </c>
    </row>
    <row r="227" spans="1:8" ht="15" customHeight="1">
      <c r="A227" s="121" t="str">
        <f t="shared" si="42"/>
        <v>Pilares - tipo IIII</v>
      </c>
      <c r="B227" s="122">
        <f>B208*107</f>
        <v>428</v>
      </c>
      <c r="C227" s="122" t="s">
        <v>19663</v>
      </c>
      <c r="D227" s="122">
        <v>1.3</v>
      </c>
      <c r="E227" s="122">
        <v>0.15</v>
      </c>
      <c r="F227" s="122"/>
      <c r="G227" s="122"/>
      <c r="H227" s="122">
        <f t="shared" si="43"/>
        <v>91.805999999999997</v>
      </c>
    </row>
    <row r="228" spans="1:8" ht="15" customHeight="1">
      <c r="A228" s="121" t="str">
        <f t="shared" si="42"/>
        <v>Vigas - 1° e 2° laje</v>
      </c>
      <c r="B228" s="122">
        <v>440</v>
      </c>
      <c r="C228" s="122" t="s">
        <v>19663</v>
      </c>
      <c r="D228" s="122">
        <v>1</v>
      </c>
      <c r="E228" s="122">
        <v>0.15</v>
      </c>
      <c r="F228" s="122"/>
      <c r="G228" s="122"/>
      <c r="H228" s="122">
        <f t="shared" si="43"/>
        <v>72.600000000000009</v>
      </c>
    </row>
    <row r="229" spans="1:8" s="117" customFormat="1" ht="30" customHeight="1">
      <c r="A229" s="115" t="s">
        <v>25842</v>
      </c>
      <c r="B229" s="375" t="str">
        <f>VLOOKUP($A229,SERVICOS,4,FALSE)</f>
        <v>Fornecimento, Preparo E Aplicação De Concreto Fck=25 Mpa (Brita 1 E 2) - (5% De Perdas Já Incluído No Custo)</v>
      </c>
      <c r="C229" s="376"/>
      <c r="D229" s="376"/>
      <c r="E229" s="376"/>
      <c r="F229" s="377"/>
      <c r="G229" s="115" t="str">
        <f>VLOOKUP($A229,SERVICOS,5,FALSE)</f>
        <v>m³</v>
      </c>
      <c r="H229" s="116">
        <f>ROUND(SUM(H231:H239),2)</f>
        <v>18.940000000000001</v>
      </c>
    </row>
    <row r="230" spans="1:8" ht="15" customHeight="1">
      <c r="A230" s="118" t="s">
        <v>1029</v>
      </c>
      <c r="B230" s="118" t="s">
        <v>19767</v>
      </c>
      <c r="C230" s="119" t="s">
        <v>19768</v>
      </c>
      <c r="D230" s="119" t="s">
        <v>19769</v>
      </c>
      <c r="E230" s="118" t="s">
        <v>26634</v>
      </c>
      <c r="F230" s="118"/>
      <c r="G230" s="118"/>
      <c r="H230" s="120"/>
    </row>
    <row r="231" spans="1:8" ht="15" customHeight="1">
      <c r="A231" s="121" t="str">
        <f t="shared" ref="A231:D238" si="44">A202</f>
        <v>Sapatas - tipo I</v>
      </c>
      <c r="B231" s="122">
        <f t="shared" si="44"/>
        <v>1</v>
      </c>
      <c r="C231" s="122">
        <f t="shared" si="44"/>
        <v>0.6</v>
      </c>
      <c r="D231" s="122">
        <f t="shared" si="44"/>
        <v>0.6</v>
      </c>
      <c r="E231" s="122">
        <v>0.3</v>
      </c>
      <c r="F231" s="122"/>
      <c r="G231" s="122"/>
      <c r="H231" s="122">
        <f t="shared" ref="H231:H237" si="45">B231*C231*D231*E231</f>
        <v>0.108</v>
      </c>
    </row>
    <row r="232" spans="1:8" ht="15" customHeight="1">
      <c r="A232" s="121" t="str">
        <f t="shared" si="44"/>
        <v>Sapatas - tipo II</v>
      </c>
      <c r="B232" s="122">
        <f t="shared" si="44"/>
        <v>8</v>
      </c>
      <c r="C232" s="122">
        <f t="shared" si="44"/>
        <v>1</v>
      </c>
      <c r="D232" s="122">
        <f t="shared" si="44"/>
        <v>1</v>
      </c>
      <c r="E232" s="122">
        <v>0.3</v>
      </c>
      <c r="F232" s="122"/>
      <c r="G232" s="122"/>
      <c r="H232" s="122">
        <f t="shared" si="45"/>
        <v>2.4</v>
      </c>
    </row>
    <row r="233" spans="1:8" ht="15" customHeight="1">
      <c r="A233" s="121" t="str">
        <f t="shared" si="44"/>
        <v>Sapatas - tipo III</v>
      </c>
      <c r="B233" s="122">
        <f t="shared" si="44"/>
        <v>2</v>
      </c>
      <c r="C233" s="122">
        <f t="shared" si="44"/>
        <v>1.2</v>
      </c>
      <c r="D233" s="122">
        <f t="shared" si="44"/>
        <v>1.2</v>
      </c>
      <c r="E233" s="122">
        <v>0.3</v>
      </c>
      <c r="F233" s="122"/>
      <c r="G233" s="122"/>
      <c r="H233" s="122">
        <f t="shared" si="45"/>
        <v>0.86399999999999999</v>
      </c>
    </row>
    <row r="234" spans="1:8" ht="15" customHeight="1">
      <c r="A234" s="121" t="str">
        <f t="shared" si="44"/>
        <v>Vigas baldrames</v>
      </c>
      <c r="B234" s="122">
        <f t="shared" si="44"/>
        <v>1</v>
      </c>
      <c r="C234" s="122">
        <f t="shared" si="44"/>
        <v>0.12</v>
      </c>
      <c r="D234" s="122">
        <f t="shared" si="44"/>
        <v>26.28</v>
      </c>
      <c r="E234" s="122">
        <v>0.4</v>
      </c>
      <c r="F234" s="122"/>
      <c r="G234" s="122"/>
      <c r="H234" s="122">
        <f t="shared" si="45"/>
        <v>1.2614400000000001</v>
      </c>
    </row>
    <row r="235" spans="1:8" ht="15" customHeight="1">
      <c r="A235" s="121" t="str">
        <f t="shared" si="44"/>
        <v>Pilares - tipo I</v>
      </c>
      <c r="B235" s="122">
        <f t="shared" si="44"/>
        <v>1</v>
      </c>
      <c r="C235" s="122">
        <f t="shared" si="44"/>
        <v>0.2</v>
      </c>
      <c r="D235" s="122">
        <f t="shared" si="44"/>
        <v>0.2</v>
      </c>
      <c r="E235" s="122">
        <f>E206</f>
        <v>2.9</v>
      </c>
      <c r="F235" s="122"/>
      <c r="G235" s="122"/>
      <c r="H235" s="122">
        <f t="shared" si="45"/>
        <v>0.11600000000000002</v>
      </c>
    </row>
    <row r="236" spans="1:8" ht="15" customHeight="1">
      <c r="A236" s="121" t="str">
        <f t="shared" si="44"/>
        <v>Pilares - tipo II</v>
      </c>
      <c r="B236" s="122">
        <f t="shared" si="44"/>
        <v>8</v>
      </c>
      <c r="C236" s="122">
        <f t="shared" si="44"/>
        <v>0.15</v>
      </c>
      <c r="D236" s="122">
        <f t="shared" si="44"/>
        <v>0.4</v>
      </c>
      <c r="E236" s="122">
        <f>E207</f>
        <v>10.7</v>
      </c>
      <c r="F236" s="122"/>
      <c r="G236" s="122"/>
      <c r="H236" s="122">
        <f t="shared" si="45"/>
        <v>5.1359999999999992</v>
      </c>
    </row>
    <row r="237" spans="1:8" ht="15" customHeight="1">
      <c r="A237" s="121" t="str">
        <f t="shared" si="44"/>
        <v>Pilares - tipo IIII</v>
      </c>
      <c r="B237" s="122">
        <f t="shared" si="44"/>
        <v>4</v>
      </c>
      <c r="C237" s="122">
        <f t="shared" si="44"/>
        <v>0.15</v>
      </c>
      <c r="D237" s="122">
        <f t="shared" si="44"/>
        <v>0.55000000000000004</v>
      </c>
      <c r="E237" s="122">
        <f>E208</f>
        <v>10.7</v>
      </c>
      <c r="F237" s="122"/>
      <c r="G237" s="122"/>
      <c r="H237" s="122">
        <f t="shared" si="45"/>
        <v>3.5310000000000001</v>
      </c>
    </row>
    <row r="238" spans="1:8" ht="15" customHeight="1">
      <c r="A238" s="121" t="str">
        <f t="shared" si="44"/>
        <v>Vigas - 1° e 2° laje</v>
      </c>
      <c r="B238" s="122">
        <f t="shared" si="44"/>
        <v>2</v>
      </c>
      <c r="C238" s="122">
        <f t="shared" si="44"/>
        <v>0.12</v>
      </c>
      <c r="D238" s="122">
        <f t="shared" si="44"/>
        <v>39.85</v>
      </c>
      <c r="E238" s="122">
        <f>E209</f>
        <v>0.4</v>
      </c>
      <c r="F238" s="122"/>
      <c r="G238" s="122"/>
      <c r="H238" s="122">
        <f t="shared" ref="H238" si="46">B238*C238*D238*E238</f>
        <v>3.8256000000000001</v>
      </c>
    </row>
    <row r="239" spans="1:8" ht="15" customHeight="1">
      <c r="A239" s="121" t="s">
        <v>26763</v>
      </c>
      <c r="B239" s="122">
        <v>1.7</v>
      </c>
      <c r="C239" s="122"/>
      <c r="D239" s="122"/>
      <c r="E239" s="122"/>
      <c r="F239" s="122"/>
      <c r="G239" s="122"/>
      <c r="H239" s="122">
        <f>B239</f>
        <v>1.7</v>
      </c>
    </row>
    <row r="240" spans="1:8" s="117" customFormat="1" ht="45" customHeight="1">
      <c r="A240" s="115" t="s">
        <v>26584</v>
      </c>
      <c r="B240" s="375" t="str">
        <f>VLOOKUP($A240,SERVICOS,4,FALSE)</f>
        <v>Laje Pré-Moldada Unidirecional, Biapoiada, Para Piso, Enchimento Em Cerâmica, Vigota Convencional, Altura Total Da Laje (Enchimento+Capa) = (8+4). Af_11/2020</v>
      </c>
      <c r="C240" s="376"/>
      <c r="D240" s="376"/>
      <c r="E240" s="376"/>
      <c r="F240" s="377"/>
      <c r="G240" s="115" t="str">
        <f>VLOOKUP($A240,SERVICOS,5,FALSE)</f>
        <v>m²</v>
      </c>
      <c r="H240" s="116">
        <f>ROUND(SUM(H242:H243),2)</f>
        <v>89.33</v>
      </c>
    </row>
    <row r="241" spans="1:8" ht="15" customHeight="1">
      <c r="A241" s="118" t="s">
        <v>1029</v>
      </c>
      <c r="B241" s="118" t="s">
        <v>19767</v>
      </c>
      <c r="C241" s="119" t="s">
        <v>26630</v>
      </c>
      <c r="D241" s="119"/>
      <c r="E241" s="118"/>
      <c r="F241" s="118"/>
      <c r="G241" s="118"/>
      <c r="H241" s="120"/>
    </row>
    <row r="242" spans="1:8" ht="15" customHeight="1">
      <c r="A242" s="121" t="s">
        <v>26715</v>
      </c>
      <c r="B242" s="122">
        <v>1</v>
      </c>
      <c r="C242" s="122">
        <v>39.9</v>
      </c>
      <c r="D242" s="122"/>
      <c r="E242" s="122"/>
      <c r="F242" s="122"/>
      <c r="G242" s="122"/>
      <c r="H242" s="122">
        <f>B242*C242</f>
        <v>39.9</v>
      </c>
    </row>
    <row r="243" spans="1:8" ht="15" customHeight="1">
      <c r="A243" s="121" t="s">
        <v>26716</v>
      </c>
      <c r="B243" s="122">
        <v>1</v>
      </c>
      <c r="C243" s="122">
        <v>49.43</v>
      </c>
      <c r="D243" s="122"/>
      <c r="E243" s="122"/>
      <c r="F243" s="122"/>
      <c r="G243" s="122"/>
      <c r="H243" s="122">
        <f>B243*C243</f>
        <v>49.43</v>
      </c>
    </row>
    <row r="244" spans="1:8" s="117" customFormat="1" ht="45" customHeight="1">
      <c r="A244" s="115" t="s">
        <v>26585</v>
      </c>
      <c r="B244" s="375" t="str">
        <f>VLOOKUP($A244,SERVICOS,4,FALSE)</f>
        <v>Execução De Junta De Dilatação 2 X 2 Cm Considerando 1Cm De Aplicação De Isopor E 1Cm De Aplicação De Mastique Elástico Do Tipo Sikaflex 1A Ou Equivalente</v>
      </c>
      <c r="C244" s="376"/>
      <c r="D244" s="376"/>
      <c r="E244" s="376"/>
      <c r="F244" s="377"/>
      <c r="G244" s="115" t="str">
        <f>VLOOKUP($A244,SERVICOS,5,FALSE)</f>
        <v>m</v>
      </c>
      <c r="H244" s="116">
        <f>ROUND(SUM(H246:H247),2)</f>
        <v>9.07</v>
      </c>
    </row>
    <row r="245" spans="1:8" ht="15" customHeight="1">
      <c r="A245" s="118" t="s">
        <v>1029</v>
      </c>
      <c r="B245" s="118" t="s">
        <v>19767</v>
      </c>
      <c r="C245" s="119" t="s">
        <v>19769</v>
      </c>
      <c r="D245" s="119"/>
      <c r="E245" s="118"/>
      <c r="F245" s="118"/>
      <c r="G245" s="118"/>
      <c r="H245" s="120"/>
    </row>
    <row r="246" spans="1:8" ht="25.5">
      <c r="A246" s="240" t="s">
        <v>28519</v>
      </c>
      <c r="B246" s="122">
        <v>1</v>
      </c>
      <c r="C246" s="122">
        <v>2.82</v>
      </c>
      <c r="D246" s="395" t="s">
        <v>28521</v>
      </c>
      <c r="E246" s="396"/>
      <c r="F246" s="396"/>
      <c r="G246" s="397"/>
      <c r="H246" s="122">
        <f>B246*C246</f>
        <v>2.82</v>
      </c>
    </row>
    <row r="247" spans="1:8" ht="15" customHeight="1">
      <c r="A247" s="240" t="s">
        <v>28520</v>
      </c>
      <c r="B247" s="122">
        <v>1</v>
      </c>
      <c r="C247" s="122">
        <v>6.25</v>
      </c>
      <c r="D247" s="398"/>
      <c r="E247" s="399"/>
      <c r="F247" s="399"/>
      <c r="G247" s="400"/>
      <c r="H247" s="122">
        <f>B247*C247</f>
        <v>6.25</v>
      </c>
    </row>
    <row r="248" spans="1:8" s="117" customFormat="1" ht="30" customHeight="1">
      <c r="A248" s="115" t="s">
        <v>26586</v>
      </c>
      <c r="B248" s="375" t="str">
        <f>VLOOKUP($A248,SERVICOS,4,FALSE)</f>
        <v>Cantoneira De Apoio Laje Pré-Moldada, Dim.: 4" X 1/4" (101,60 X 6,35 Mm) Fixado Com Barra De Ancoragem Em Estrutura Existente</v>
      </c>
      <c r="C248" s="376"/>
      <c r="D248" s="376"/>
      <c r="E248" s="376"/>
      <c r="F248" s="377"/>
      <c r="G248" s="115" t="str">
        <f>VLOOKUP($A248,SERVICOS,5,FALSE)</f>
        <v>m</v>
      </c>
      <c r="H248" s="116">
        <f>ROUND(SUM(H250:H251),2)</f>
        <v>9.07</v>
      </c>
    </row>
    <row r="249" spans="1:8" ht="15" customHeight="1">
      <c r="A249" s="118" t="s">
        <v>1029</v>
      </c>
      <c r="B249" s="118" t="s">
        <v>19767</v>
      </c>
      <c r="C249" s="119" t="s">
        <v>19769</v>
      </c>
      <c r="D249" s="119"/>
      <c r="E249" s="118"/>
      <c r="F249" s="118"/>
      <c r="G249" s="118"/>
      <c r="H249" s="120"/>
    </row>
    <row r="250" spans="1:8" ht="25.5">
      <c r="A250" s="240" t="s">
        <v>28519</v>
      </c>
      <c r="B250" s="122">
        <v>1</v>
      </c>
      <c r="C250" s="122">
        <v>2.82</v>
      </c>
      <c r="D250" s="395" t="s">
        <v>28521</v>
      </c>
      <c r="E250" s="396"/>
      <c r="F250" s="396"/>
      <c r="G250" s="397"/>
      <c r="H250" s="122">
        <f>B250*C250</f>
        <v>2.82</v>
      </c>
    </row>
    <row r="251" spans="1:8" ht="15" customHeight="1">
      <c r="A251" s="240" t="s">
        <v>28520</v>
      </c>
      <c r="B251" s="122">
        <v>1</v>
      </c>
      <c r="C251" s="122">
        <v>6.25</v>
      </c>
      <c r="D251" s="398"/>
      <c r="E251" s="399"/>
      <c r="F251" s="399"/>
      <c r="G251" s="400"/>
      <c r="H251" s="122">
        <f>B251*C251</f>
        <v>6.25</v>
      </c>
    </row>
    <row r="252" spans="1:8" s="117" customFormat="1" ht="30" customHeight="1">
      <c r="A252" s="115" t="s">
        <v>26587</v>
      </c>
      <c r="B252" s="375" t="str">
        <f>VLOOKUP($A252,SERVICOS,4,FALSE)</f>
        <v>Montagem E Desmontagem De Fôrma Para Escadas, Com 2 Lances Em "U" E Laje Plana, Em Madeira Serrada, 1 Utilização. Af_11/2020</v>
      </c>
      <c r="C252" s="376"/>
      <c r="D252" s="376"/>
      <c r="E252" s="376"/>
      <c r="F252" s="377"/>
      <c r="G252" s="115" t="str">
        <f>VLOOKUP($A252,SERVICOS,5,FALSE)</f>
        <v>m²</v>
      </c>
      <c r="H252" s="116">
        <f>ROUND(SUM(H254:H254),2)</f>
        <v>7.13</v>
      </c>
    </row>
    <row r="253" spans="1:8" ht="15" customHeight="1">
      <c r="A253" s="118" t="s">
        <v>1029</v>
      </c>
      <c r="B253" s="118" t="s">
        <v>19767</v>
      </c>
      <c r="C253" s="119" t="s">
        <v>26630</v>
      </c>
      <c r="D253" s="119"/>
      <c r="E253" s="118"/>
      <c r="F253" s="118"/>
      <c r="G253" s="118"/>
      <c r="H253" s="120"/>
    </row>
    <row r="254" spans="1:8" ht="15" customHeight="1">
      <c r="A254" s="240" t="s">
        <v>28586</v>
      </c>
      <c r="B254" s="122">
        <v>1</v>
      </c>
      <c r="C254" s="122">
        <v>7.13</v>
      </c>
      <c r="D254" s="122"/>
      <c r="E254" s="122"/>
      <c r="F254" s="122"/>
      <c r="G254" s="122"/>
      <c r="H254" s="122">
        <f>B254*C254</f>
        <v>7.13</v>
      </c>
    </row>
    <row r="255" spans="1:8" s="117" customFormat="1" ht="30" customHeight="1">
      <c r="A255" s="115" t="s">
        <v>28517</v>
      </c>
      <c r="B255" s="375" t="str">
        <f>VLOOKUP($A255,SERVICOS,4,FALSE)</f>
        <v>Armação De Escada, De Uma Estrutura Convencional De Concreto Armado Utilizando Aço Ca-60 De 5,0 Mm - Montagem. Af_11/2020</v>
      </c>
      <c r="C255" s="376"/>
      <c r="D255" s="376"/>
      <c r="E255" s="376"/>
      <c r="F255" s="377"/>
      <c r="G255" s="115" t="str">
        <f>VLOOKUP($A255,SERVICOS,5,FALSE)</f>
        <v>kg</v>
      </c>
      <c r="H255" s="116">
        <f>ROUND(SUM(H257:H257),2)</f>
        <v>13.33</v>
      </c>
    </row>
    <row r="256" spans="1:8" ht="15" customHeight="1">
      <c r="A256" s="118" t="s">
        <v>1029</v>
      </c>
      <c r="B256" s="118" t="s">
        <v>19767</v>
      </c>
      <c r="C256" s="119" t="s">
        <v>28587</v>
      </c>
      <c r="D256" s="119" t="s">
        <v>26743</v>
      </c>
      <c r="E256" s="118"/>
      <c r="F256" s="118"/>
      <c r="G256" s="118"/>
      <c r="H256" s="120"/>
    </row>
    <row r="257" spans="1:8" ht="15" customHeight="1">
      <c r="A257" s="240" t="s">
        <v>28586</v>
      </c>
      <c r="B257" s="122">
        <v>1</v>
      </c>
      <c r="C257" s="122">
        <v>7.84</v>
      </c>
      <c r="D257" s="122">
        <f>H239</f>
        <v>1.7</v>
      </c>
      <c r="E257" s="122"/>
      <c r="F257" s="122"/>
      <c r="G257" s="122"/>
      <c r="H257" s="122">
        <f>B257*C257*D257</f>
        <v>13.327999999999999</v>
      </c>
    </row>
    <row r="258" spans="1:8" s="117" customFormat="1" ht="30" customHeight="1">
      <c r="A258" s="115" t="s">
        <v>28585</v>
      </c>
      <c r="B258" s="375" t="str">
        <f>VLOOKUP($A258,SERVICOS,4,FALSE)</f>
        <v>Armação De Escada, De Uma Estrutura Convencional De Concreto Armado Utilizando Aço Ca-50 De 10,0 Mm - Montagem. Af_11/2020</v>
      </c>
      <c r="C258" s="376"/>
      <c r="D258" s="376"/>
      <c r="E258" s="376"/>
      <c r="F258" s="377"/>
      <c r="G258" s="115" t="str">
        <f>VLOOKUP($A258,SERVICOS,5,FALSE)</f>
        <v>kg</v>
      </c>
      <c r="H258" s="116">
        <f>ROUND(SUM(H260:H260),2)</f>
        <v>177.07</v>
      </c>
    </row>
    <row r="259" spans="1:8" ht="15" customHeight="1">
      <c r="A259" s="118" t="s">
        <v>1029</v>
      </c>
      <c r="B259" s="118" t="s">
        <v>19767</v>
      </c>
      <c r="C259" s="119" t="s">
        <v>28587</v>
      </c>
      <c r="D259" s="119" t="s">
        <v>26743</v>
      </c>
      <c r="E259" s="118"/>
      <c r="F259" s="118"/>
      <c r="G259" s="118"/>
      <c r="H259" s="120"/>
    </row>
    <row r="260" spans="1:8" ht="15" customHeight="1">
      <c r="A260" s="240" t="s">
        <v>28586</v>
      </c>
      <c r="B260" s="122">
        <v>1</v>
      </c>
      <c r="C260" s="122">
        <v>104.16</v>
      </c>
      <c r="D260" s="122">
        <f>D257</f>
        <v>1.7</v>
      </c>
      <c r="E260" s="122"/>
      <c r="F260" s="122"/>
      <c r="G260" s="122"/>
      <c r="H260" s="122">
        <f>B260*C260*D260</f>
        <v>177.072</v>
      </c>
    </row>
    <row r="261" spans="1:8" ht="15" customHeight="1">
      <c r="A261" s="113" t="s">
        <v>19663</v>
      </c>
      <c r="B261" s="282" t="str">
        <f>VLOOKUP($A261,SERVICOS,4,FALSE)</f>
        <v>ESTRUTURA DE MADEIRA E PISO</v>
      </c>
      <c r="C261" s="282"/>
      <c r="D261" s="282"/>
      <c r="E261" s="282"/>
      <c r="F261" s="282"/>
      <c r="G261" s="282"/>
      <c r="H261" s="282"/>
    </row>
    <row r="262" spans="1:8" s="117" customFormat="1" ht="60" customHeight="1">
      <c r="A262" s="115" t="s">
        <v>25838</v>
      </c>
      <c r="B262" s="375" t="str">
        <f>VLOOKUP($A262,SERVICOS,4,FALSE)</f>
        <v>Viga Em Madeira Maciça Aparelhada, Dimensão 8 X 30 Cm, Em Macaranduba, Angelim Ou Equivalente Da Região, Incluso Içamento E Instalação - Conforme Projeto. Lixamento De Madeira E Aplicação De Verniz À Duas Demãos</v>
      </c>
      <c r="C262" s="376"/>
      <c r="D262" s="376"/>
      <c r="E262" s="376"/>
      <c r="F262" s="377"/>
      <c r="G262" s="115" t="str">
        <f>VLOOKUP($A262,SERVICOS,5,FALSE)</f>
        <v>m</v>
      </c>
      <c r="H262" s="116">
        <f>ROUND(SUM(H264:H268),2)</f>
        <v>224.83</v>
      </c>
    </row>
    <row r="263" spans="1:8" ht="15" customHeight="1">
      <c r="A263" s="118" t="s">
        <v>1029</v>
      </c>
      <c r="B263" s="118" t="s">
        <v>19767</v>
      </c>
      <c r="C263" s="119" t="s">
        <v>19769</v>
      </c>
      <c r="D263" s="119"/>
      <c r="E263" s="119"/>
      <c r="F263" s="118"/>
      <c r="G263" s="118"/>
      <c r="H263" s="120"/>
    </row>
    <row r="264" spans="1:8" ht="15" customHeight="1">
      <c r="A264" s="121" t="s">
        <v>26812</v>
      </c>
      <c r="B264" s="122">
        <v>12</v>
      </c>
      <c r="C264" s="122">
        <v>11.45</v>
      </c>
      <c r="D264" s="241" t="s">
        <v>28526</v>
      </c>
      <c r="E264" s="241"/>
      <c r="F264" s="122"/>
      <c r="G264" s="122"/>
      <c r="H264" s="122">
        <f>B264*C264</f>
        <v>137.39999999999998</v>
      </c>
    </row>
    <row r="265" spans="1:8" ht="15" customHeight="1">
      <c r="A265" s="121" t="s">
        <v>26813</v>
      </c>
      <c r="B265" s="122">
        <v>7</v>
      </c>
      <c r="C265" s="122">
        <v>8.5500000000000007</v>
      </c>
      <c r="D265" s="241" t="s">
        <v>28526</v>
      </c>
      <c r="E265" s="241"/>
      <c r="F265" s="122"/>
      <c r="G265" s="122"/>
      <c r="H265" s="122">
        <f>B265*C265</f>
        <v>59.850000000000009</v>
      </c>
    </row>
    <row r="266" spans="1:8" ht="15" customHeight="1">
      <c r="A266" s="121" t="s">
        <v>28510</v>
      </c>
      <c r="B266" s="122">
        <v>6</v>
      </c>
      <c r="C266" s="122">
        <v>3.05</v>
      </c>
      <c r="D266" s="241" t="s">
        <v>28527</v>
      </c>
      <c r="E266" s="241"/>
      <c r="F266" s="122"/>
      <c r="G266" s="122"/>
      <c r="H266" s="122">
        <f>B266*C266</f>
        <v>18.299999999999997</v>
      </c>
    </row>
    <row r="267" spans="1:8" ht="15" customHeight="1">
      <c r="A267" s="121" t="s">
        <v>28511</v>
      </c>
      <c r="B267" s="122">
        <v>4</v>
      </c>
      <c r="C267" s="122">
        <v>1.62</v>
      </c>
      <c r="D267" s="241" t="s">
        <v>28527</v>
      </c>
      <c r="E267" s="241"/>
      <c r="F267" s="122"/>
      <c r="G267" s="122"/>
      <c r="H267" s="122">
        <f>B267*C267</f>
        <v>6.48</v>
      </c>
    </row>
    <row r="268" spans="1:8" ht="15" customHeight="1">
      <c r="A268" s="121" t="s">
        <v>28512</v>
      </c>
      <c r="B268" s="122">
        <v>1</v>
      </c>
      <c r="C268" s="122">
        <v>2.8</v>
      </c>
      <c r="D268" s="241" t="s">
        <v>28527</v>
      </c>
      <c r="E268" s="241"/>
      <c r="F268" s="122"/>
      <c r="G268" s="122"/>
      <c r="H268" s="122">
        <f>B268*C268</f>
        <v>2.8</v>
      </c>
    </row>
    <row r="269" spans="1:8" s="117" customFormat="1" ht="15" customHeight="1">
      <c r="A269" s="115" t="s">
        <v>26528</v>
      </c>
      <c r="B269" s="375" t="str">
        <f>VLOOKUP($A269,SERVICOS,4,FALSE)</f>
        <v>Assoalho De Madeira. Af_09/2020</v>
      </c>
      <c r="C269" s="376"/>
      <c r="D269" s="376"/>
      <c r="E269" s="376"/>
      <c r="F269" s="377"/>
      <c r="G269" s="115" t="str">
        <f>VLOOKUP($A269,SERVICOS,5,FALSE)</f>
        <v>m²</v>
      </c>
      <c r="H269" s="116">
        <f>ROUND(SUM(H271:H271),2)</f>
        <v>163.4</v>
      </c>
    </row>
    <row r="270" spans="1:8" ht="15" customHeight="1">
      <c r="A270" s="118" t="s">
        <v>1029</v>
      </c>
      <c r="B270" s="118" t="s">
        <v>19767</v>
      </c>
      <c r="C270" s="119" t="s">
        <v>26630</v>
      </c>
      <c r="D270" s="119"/>
      <c r="E270" s="119"/>
      <c r="F270" s="118"/>
      <c r="G270" s="118"/>
      <c r="H270" s="120"/>
    </row>
    <row r="271" spans="1:8" ht="25.5">
      <c r="A271" s="240" t="s">
        <v>26814</v>
      </c>
      <c r="B271" s="122">
        <v>1</v>
      </c>
      <c r="C271" s="122">
        <v>163.4</v>
      </c>
      <c r="D271" s="241" t="s">
        <v>28509</v>
      </c>
      <c r="E271" s="122"/>
      <c r="F271" s="122"/>
      <c r="G271" s="122"/>
      <c r="H271" s="122">
        <f>B271*C271</f>
        <v>163.4</v>
      </c>
    </row>
    <row r="272" spans="1:8" s="117" customFormat="1" ht="75" customHeight="1">
      <c r="A272" s="115" t="s">
        <v>28505</v>
      </c>
      <c r="B272" s="375" t="str">
        <f>VLOOKUP($A272,SERVICOS,4,FALSE)</f>
        <v>Escada Em Madeira Maciça Aparelhada, Formato Tipo "U" Com 02 Lances, Com Estrutura De Sustentação Peça 6 X 25 Cm E Degraus (Piso + Espelho) Em Tábua 2,5 Cm, Em Macaranduba, Angelim Ou Equivalente Da Região - Largura 1,10 M  E Pé Direito 4,20 M - Conforme Projeto. Lixamento De Madeira E Aplicação De Verniz À Duas Demãos</v>
      </c>
      <c r="C272" s="376"/>
      <c r="D272" s="376"/>
      <c r="E272" s="376"/>
      <c r="F272" s="377"/>
      <c r="G272" s="115" t="str">
        <f>VLOOKUP($A272,SERVICOS,5,FALSE)</f>
        <v>pç</v>
      </c>
      <c r="H272" s="116">
        <f>ROUND(SUM(H274:H274),2)</f>
        <v>1</v>
      </c>
    </row>
    <row r="273" spans="1:8" ht="15" customHeight="1">
      <c r="A273" s="118" t="s">
        <v>1029</v>
      </c>
      <c r="B273" s="118" t="s">
        <v>19767</v>
      </c>
      <c r="C273" s="119"/>
      <c r="D273" s="119"/>
      <c r="E273" s="119"/>
      <c r="F273" s="118"/>
      <c r="G273" s="118"/>
      <c r="H273" s="120"/>
    </row>
    <row r="274" spans="1:8" ht="25.5">
      <c r="A274" s="240" t="s">
        <v>28513</v>
      </c>
      <c r="B274" s="122">
        <v>1</v>
      </c>
      <c r="C274" s="122"/>
      <c r="D274" s="122"/>
      <c r="E274" s="122"/>
      <c r="F274" s="122"/>
      <c r="G274" s="122"/>
      <c r="H274" s="122">
        <f>B274</f>
        <v>1</v>
      </c>
    </row>
    <row r="275" spans="1:8" s="117" customFormat="1" ht="75" customHeight="1">
      <c r="A275" s="115" t="s">
        <v>28514</v>
      </c>
      <c r="B275" s="375" t="str">
        <f>VLOOKUP($A275,SERVICOS,4,FALSE)</f>
        <v>Guarda-Corpo Em Madeira Maciça Instalada Sobre Vigas De Madeira, 1,10 M De Altura, Montantes Em Ripas De Madeira 1,5 X 5 Cm E Travessa Superior Em Peça De Madeira 5 X 6 Cm, Em Macaranduba, Angelim Ou Equivalente Da Região. Lixamento De Madeira E Aplicação De Verniz À Duas Demãos</v>
      </c>
      <c r="C275" s="376"/>
      <c r="D275" s="376"/>
      <c r="E275" s="376"/>
      <c r="F275" s="377"/>
      <c r="G275" s="115" t="str">
        <f>VLOOKUP($A275,SERVICOS,5,FALSE)</f>
        <v>m</v>
      </c>
      <c r="H275" s="116">
        <f>ROUND(SUM(H277:H278),2)</f>
        <v>11.32</v>
      </c>
    </row>
    <row r="276" spans="1:8" ht="15" customHeight="1">
      <c r="A276" s="118" t="s">
        <v>1029</v>
      </c>
      <c r="B276" s="118" t="s">
        <v>19767</v>
      </c>
      <c r="C276" s="119" t="s">
        <v>19769</v>
      </c>
      <c r="D276" s="119"/>
      <c r="E276" s="119"/>
      <c r="F276" s="118"/>
      <c r="G276" s="118"/>
      <c r="H276" s="120"/>
    </row>
    <row r="277" spans="1:8" ht="15" customHeight="1">
      <c r="A277" s="240" t="s">
        <v>28515</v>
      </c>
      <c r="B277" s="122">
        <v>2</v>
      </c>
      <c r="C277" s="122">
        <v>3.5</v>
      </c>
      <c r="D277" s="122"/>
      <c r="E277" s="122"/>
      <c r="F277" s="122"/>
      <c r="G277" s="122"/>
      <c r="H277" s="122">
        <f>B277*C277</f>
        <v>7</v>
      </c>
    </row>
    <row r="278" spans="1:8" ht="25.5">
      <c r="A278" s="240" t="s">
        <v>28529</v>
      </c>
      <c r="B278" s="122">
        <v>1</v>
      </c>
      <c r="C278" s="122">
        <f>2.9+1.42</f>
        <v>4.32</v>
      </c>
      <c r="D278" s="122"/>
      <c r="E278" s="122"/>
      <c r="F278" s="122"/>
      <c r="G278" s="122"/>
      <c r="H278" s="122">
        <f>B278*C278</f>
        <v>4.32</v>
      </c>
    </row>
    <row r="279" spans="1:8" s="117" customFormat="1" ht="45" customHeight="1">
      <c r="A279" s="115" t="s">
        <v>28544</v>
      </c>
      <c r="B279" s="375" t="str">
        <f>VLOOKUP($A279,SERVICOS,4,FALSE)</f>
        <v>Corrimão De Madeira, Dimensão 5 X 6 Cm, Em Macaranduba, Angelim Ou Equivalente, Suporte Metálico. Inclui Lixamento De Madeira Para Aplicação De Verniz</v>
      </c>
      <c r="C279" s="376"/>
      <c r="D279" s="376"/>
      <c r="E279" s="376"/>
      <c r="F279" s="377"/>
      <c r="G279" s="115" t="str">
        <f>VLOOKUP($A279,SERVICOS,5,FALSE)</f>
        <v>m</v>
      </c>
      <c r="H279" s="116">
        <f>ROUND(SUM(H281:H281),2)</f>
        <v>18.600000000000001</v>
      </c>
    </row>
    <row r="280" spans="1:8" ht="15" customHeight="1">
      <c r="A280" s="118" t="s">
        <v>1029</v>
      </c>
      <c r="B280" s="118" t="s">
        <v>19767</v>
      </c>
      <c r="C280" s="119" t="s">
        <v>19769</v>
      </c>
      <c r="D280" s="119"/>
      <c r="E280" s="119"/>
      <c r="F280" s="118"/>
      <c r="G280" s="118"/>
      <c r="H280" s="120"/>
    </row>
    <row r="281" spans="1:8" ht="25.5">
      <c r="A281" s="240" t="s">
        <v>28546</v>
      </c>
      <c r="B281" s="122">
        <v>1</v>
      </c>
      <c r="C281" s="122">
        <f>3.5*4+2+2.6</f>
        <v>18.600000000000001</v>
      </c>
      <c r="D281" s="122"/>
      <c r="E281" s="122"/>
      <c r="F281" s="122"/>
      <c r="G281" s="122"/>
      <c r="H281" s="122">
        <f>B281*C281</f>
        <v>18.600000000000001</v>
      </c>
    </row>
    <row r="282" spans="1:8" s="117" customFormat="1" ht="60" customHeight="1">
      <c r="A282" s="115" t="s">
        <v>28564</v>
      </c>
      <c r="B282" s="375" t="str">
        <f>VLOOKUP($A282,SERVICOS,4,FALSE)</f>
        <v>Envelopamento De Pilares De Concreto Armado Com Tábua De Madeira, Dimensão 30 X 2,5 Cm, Em Macaranduba, Angelim Ou Equivalente Da Região. Fixação Com Parafuso E Bucha. Lixamento De Madeira E Aplicação De Verniz À Duas Demãos</v>
      </c>
      <c r="C282" s="376"/>
      <c r="D282" s="376"/>
      <c r="E282" s="376"/>
      <c r="F282" s="377"/>
      <c r="G282" s="115" t="str">
        <f>VLOOKUP($A282,SERVICOS,5,FALSE)</f>
        <v>m²</v>
      </c>
      <c r="H282" s="116">
        <f>ROUND(SUM(H284:H284),2)</f>
        <v>24.5</v>
      </c>
    </row>
    <row r="283" spans="1:8" ht="15" customHeight="1">
      <c r="A283" s="118" t="s">
        <v>1029</v>
      </c>
      <c r="B283" s="118" t="s">
        <v>19767</v>
      </c>
      <c r="C283" s="119" t="s">
        <v>26720</v>
      </c>
      <c r="D283" s="119" t="s">
        <v>26634</v>
      </c>
      <c r="E283" s="119"/>
      <c r="F283" s="118"/>
      <c r="G283" s="118"/>
      <c r="H283" s="120"/>
    </row>
    <row r="284" spans="1:8" ht="25.5">
      <c r="A284" s="240" t="s">
        <v>28565</v>
      </c>
      <c r="B284" s="122">
        <v>5</v>
      </c>
      <c r="C284" s="122">
        <f>0.35*4</f>
        <v>1.4</v>
      </c>
      <c r="D284" s="122">
        <v>3.5</v>
      </c>
      <c r="E284" s="122"/>
      <c r="F284" s="122"/>
      <c r="G284" s="122"/>
      <c r="H284" s="122">
        <f>B284*C284*D284</f>
        <v>24.5</v>
      </c>
    </row>
    <row r="285" spans="1:8" ht="15" customHeight="1">
      <c r="A285" s="113" t="s">
        <v>26538</v>
      </c>
      <c r="B285" s="378" t="str">
        <f>VLOOKUP($A285,SERVICOS,4,FALSE)</f>
        <v xml:space="preserve">PAREDES </v>
      </c>
      <c r="C285" s="378"/>
      <c r="D285" s="378"/>
      <c r="E285" s="378"/>
      <c r="F285" s="378"/>
      <c r="G285" s="378">
        <f>VLOOKUP($A285,SERVICOS,5,FALSE)</f>
        <v>0</v>
      </c>
      <c r="H285" s="378" t="e">
        <f>ROUND(SUM(#REF!),2)</f>
        <v>#REF!</v>
      </c>
    </row>
    <row r="286" spans="1:8" s="117" customFormat="1" ht="45" customHeight="1">
      <c r="A286" s="115" t="s">
        <v>26539</v>
      </c>
      <c r="B286" s="375" t="str">
        <f>VLOOKUP($A286,SERVICOS,4,FALSE)</f>
        <v>Alvenaria De Vedação De Blocos Cerâmicos Furados Na Vertical De 9X19X39 Cm (Espessura 9 Cm) E Argamassa De Assentamento Com Preparo Manual. Af_12/2021</v>
      </c>
      <c r="C286" s="376"/>
      <c r="D286" s="376"/>
      <c r="E286" s="376"/>
      <c r="F286" s="377"/>
      <c r="G286" s="115" t="str">
        <f>VLOOKUP($A286,SERVICOS,5,FALSE)</f>
        <v>m²</v>
      </c>
      <c r="H286" s="116">
        <f>ROUND(SUM(H288:H290),2)</f>
        <v>176.68</v>
      </c>
    </row>
    <row r="287" spans="1:8" ht="25.5">
      <c r="A287" s="118" t="s">
        <v>1029</v>
      </c>
      <c r="B287" s="118" t="s">
        <v>19767</v>
      </c>
      <c r="C287" s="119" t="s">
        <v>19769</v>
      </c>
      <c r="D287" s="119" t="s">
        <v>26634</v>
      </c>
      <c r="E287" s="119" t="s">
        <v>26721</v>
      </c>
      <c r="F287" s="118"/>
      <c r="G287" s="118"/>
      <c r="H287" s="120"/>
    </row>
    <row r="288" spans="1:8" ht="15" customHeight="1">
      <c r="A288" s="121" t="s">
        <v>26648</v>
      </c>
      <c r="B288" s="122">
        <v>1</v>
      </c>
      <c r="C288" s="122">
        <f>1.9*4+4.16+3.74+3.03+4.17+1.3</f>
        <v>24.000000000000004</v>
      </c>
      <c r="D288" s="122">
        <f>4.2-0.5</f>
        <v>3.7</v>
      </c>
      <c r="E288" s="122">
        <f>0.7*2.1*3+0.9*2.1*2+0.8*0.4*3+1.2*0.4</f>
        <v>9.6300000000000026</v>
      </c>
      <c r="F288" s="385" t="s">
        <v>26772</v>
      </c>
      <c r="G288" s="386"/>
      <c r="H288" s="122">
        <f>B288*C288*D288-E288</f>
        <v>79.170000000000016</v>
      </c>
    </row>
    <row r="289" spans="1:8" ht="15" customHeight="1">
      <c r="A289" s="121" t="s">
        <v>26649</v>
      </c>
      <c r="B289" s="122">
        <v>1</v>
      </c>
      <c r="C289" s="122">
        <f>1.9*4+4.16+3.74+3.03+4.17+1.3</f>
        <v>24.000000000000004</v>
      </c>
      <c r="D289" s="122">
        <f>3.35-0.5</f>
        <v>2.85</v>
      </c>
      <c r="E289" s="122">
        <f>0.7*2.1*3+0.9*2.1*2+0.8*0.4*3+1.2*0.4</f>
        <v>9.6300000000000026</v>
      </c>
      <c r="F289" s="387"/>
      <c r="G289" s="388"/>
      <c r="H289" s="122">
        <f t="shared" ref="H289:H290" si="47">B289*C289*D289-E289</f>
        <v>58.77</v>
      </c>
    </row>
    <row r="290" spans="1:8" ht="15" customHeight="1">
      <c r="A290" s="121" t="s">
        <v>26636</v>
      </c>
      <c r="B290" s="122">
        <v>1</v>
      </c>
      <c r="C290" s="122">
        <f>0.2+3.89+4.16+4.24+5.1+3.93</f>
        <v>21.52</v>
      </c>
      <c r="D290" s="122">
        <v>1.8</v>
      </c>
      <c r="E290" s="122"/>
      <c r="F290" s="387"/>
      <c r="G290" s="388"/>
      <c r="H290" s="122">
        <f t="shared" si="47"/>
        <v>38.735999999999997</v>
      </c>
    </row>
    <row r="291" spans="1:8" s="117" customFormat="1" ht="45" customHeight="1">
      <c r="A291" s="115" t="s">
        <v>26540</v>
      </c>
      <c r="B291" s="375" t="str">
        <f>VLOOKUP($A291,SERVICOS,4,FALSE)</f>
        <v>Alvenaria De Vedação De Blocos Vazados De Concreto De 14X19X39 Cm (Espessura 14 Cm) E Argamassa De Assentamento Com Preparo Manual. Af_12/2021</v>
      </c>
      <c r="C291" s="376"/>
      <c r="D291" s="376"/>
      <c r="E291" s="376"/>
      <c r="F291" s="377"/>
      <c r="G291" s="115" t="str">
        <f>VLOOKUP($A291,SERVICOS,5,FALSE)</f>
        <v>m²</v>
      </c>
      <c r="H291" s="116">
        <f>ROUND(SUM(H293:H294),2)</f>
        <v>22.99</v>
      </c>
    </row>
    <row r="292" spans="1:8" ht="25.5">
      <c r="A292" s="118" t="s">
        <v>1029</v>
      </c>
      <c r="B292" s="118" t="s">
        <v>19767</v>
      </c>
      <c r="C292" s="119" t="s">
        <v>19769</v>
      </c>
      <c r="D292" s="119" t="s">
        <v>26634</v>
      </c>
      <c r="E292" s="119" t="s">
        <v>26721</v>
      </c>
      <c r="F292" s="118"/>
      <c r="G292" s="118"/>
      <c r="H292" s="120"/>
    </row>
    <row r="293" spans="1:8" ht="15" customHeight="1">
      <c r="A293" s="121" t="s">
        <v>26737</v>
      </c>
      <c r="B293" s="122">
        <v>1</v>
      </c>
      <c r="C293" s="122">
        <f>1.9+2.85+1.7</f>
        <v>6.45</v>
      </c>
      <c r="D293" s="122">
        <f>4.2-0.5</f>
        <v>3.7</v>
      </c>
      <c r="E293" s="122">
        <f>0.7*2.1*3+0.9*2.1*2+0.8*0.4*3+1.2*0.4</f>
        <v>9.6300000000000026</v>
      </c>
      <c r="F293" s="385" t="s">
        <v>26772</v>
      </c>
      <c r="G293" s="386"/>
      <c r="H293" s="122">
        <f>B293*C293*D293-E293</f>
        <v>14.234999999999999</v>
      </c>
    </row>
    <row r="294" spans="1:8" ht="15" customHeight="1">
      <c r="A294" s="121" t="s">
        <v>26649</v>
      </c>
      <c r="B294" s="122">
        <v>1</v>
      </c>
      <c r="C294" s="122">
        <f>C293</f>
        <v>6.45</v>
      </c>
      <c r="D294" s="122">
        <f>3.35-0.5</f>
        <v>2.85</v>
      </c>
      <c r="E294" s="122">
        <f>0.7*2.1*3+0.9*2.1*2+0.8*0.4*3+1.2*0.4</f>
        <v>9.6300000000000026</v>
      </c>
      <c r="F294" s="387"/>
      <c r="G294" s="388"/>
      <c r="H294" s="122">
        <f t="shared" ref="H294" si="48">B294*C294*D294-E294</f>
        <v>8.7524999999999977</v>
      </c>
    </row>
    <row r="295" spans="1:8" s="117" customFormat="1" ht="30" customHeight="1">
      <c r="A295" s="115" t="s">
        <v>26541</v>
      </c>
      <c r="B295" s="375" t="str">
        <f>VLOOKUP($A295,SERVICOS,4,FALSE)</f>
        <v>Cinta De Amarração De Alvenaria Moldada In Loco Com Utilização De Blocos Canaleta. Af_03/2016</v>
      </c>
      <c r="C295" s="376"/>
      <c r="D295" s="376"/>
      <c r="E295" s="376"/>
      <c r="F295" s="377"/>
      <c r="G295" s="115" t="str">
        <f>VLOOKUP($A295,SERVICOS,5,FALSE)</f>
        <v>m</v>
      </c>
      <c r="H295" s="116">
        <f>ROUND(SUM(H297:H299),2)</f>
        <v>57.82</v>
      </c>
    </row>
    <row r="296" spans="1:8" ht="15" customHeight="1">
      <c r="A296" s="118" t="s">
        <v>1029</v>
      </c>
      <c r="B296" s="118" t="s">
        <v>19767</v>
      </c>
      <c r="C296" s="119" t="s">
        <v>19769</v>
      </c>
      <c r="D296" s="119"/>
      <c r="E296" s="119"/>
      <c r="F296" s="118"/>
      <c r="G296" s="118"/>
      <c r="H296" s="120"/>
    </row>
    <row r="297" spans="1:8" ht="15" customHeight="1">
      <c r="A297" s="240" t="s">
        <v>26737</v>
      </c>
      <c r="B297" s="122">
        <v>5</v>
      </c>
      <c r="C297" s="122">
        <f>2.05+1.4+2.85</f>
        <v>6.3</v>
      </c>
      <c r="D297" s="241" t="s">
        <v>29125</v>
      </c>
      <c r="E297" s="122"/>
      <c r="F297" s="122"/>
      <c r="G297" s="122"/>
      <c r="H297" s="122">
        <f>B297*C297</f>
        <v>31.5</v>
      </c>
    </row>
    <row r="298" spans="1:8" ht="15" customHeight="1">
      <c r="A298" s="240" t="s">
        <v>26636</v>
      </c>
      <c r="B298" s="122">
        <v>1</v>
      </c>
      <c r="C298" s="122">
        <f>0.2+3.89+4.16+4.24+5.1+3.93</f>
        <v>21.52</v>
      </c>
      <c r="D298" s="241" t="s">
        <v>29124</v>
      </c>
      <c r="E298" s="122"/>
      <c r="F298" s="122"/>
      <c r="G298" s="122"/>
      <c r="H298" s="122">
        <f>B298*C298</f>
        <v>21.52</v>
      </c>
    </row>
    <row r="299" spans="1:8" ht="15" customHeight="1">
      <c r="A299" s="240" t="s">
        <v>26636</v>
      </c>
      <c r="B299" s="122">
        <v>1</v>
      </c>
      <c r="C299" s="122">
        <f>2+1.8+1</f>
        <v>4.8</v>
      </c>
      <c r="D299" s="122" t="s">
        <v>29123</v>
      </c>
      <c r="E299" s="122"/>
      <c r="F299" s="122"/>
      <c r="G299" s="122"/>
      <c r="H299" s="122">
        <f>B299*C299</f>
        <v>4.8</v>
      </c>
    </row>
    <row r="300" spans="1:8" s="117" customFormat="1" ht="45" customHeight="1">
      <c r="A300" s="115" t="s">
        <v>26593</v>
      </c>
      <c r="B300" s="375" t="str">
        <f>VLOOKUP($A300,SERVICOS,4,FALSE)</f>
        <v>Parede Com Placas De Gesso Acartonado (Drywall), Para Uso Interno, Com Duas Faces Simples E Estrutura Metálica Com Guias Simples, Com Vãos Af_06/2017_P</v>
      </c>
      <c r="C300" s="376"/>
      <c r="D300" s="376"/>
      <c r="E300" s="376"/>
      <c r="F300" s="377"/>
      <c r="G300" s="115" t="str">
        <f>VLOOKUP($A300,SERVICOS,5,FALSE)</f>
        <v>m²</v>
      </c>
      <c r="H300" s="116">
        <f>ROUND(SUM(H302:H303),2)</f>
        <v>201.87</v>
      </c>
    </row>
    <row r="301" spans="1:8" ht="25.5">
      <c r="A301" s="118" t="s">
        <v>1029</v>
      </c>
      <c r="B301" s="118" t="s">
        <v>19767</v>
      </c>
      <c r="C301" s="119" t="s">
        <v>19769</v>
      </c>
      <c r="D301" s="119" t="s">
        <v>26634</v>
      </c>
      <c r="E301" s="119" t="s">
        <v>26721</v>
      </c>
      <c r="F301" s="118"/>
      <c r="G301" s="118"/>
      <c r="H301" s="120"/>
    </row>
    <row r="302" spans="1:8" ht="15" customHeight="1">
      <c r="A302" s="240" t="s">
        <v>26784</v>
      </c>
      <c r="B302" s="122">
        <v>1</v>
      </c>
      <c r="C302" s="122">
        <f>2.35+5.6*2+4.05*2+1.5</f>
        <v>23.15</v>
      </c>
      <c r="D302" s="122">
        <v>3.9</v>
      </c>
      <c r="E302" s="122">
        <f>0.8*2.1*3</f>
        <v>5.0400000000000009</v>
      </c>
      <c r="F302" s="122"/>
      <c r="G302" s="122"/>
      <c r="H302" s="122">
        <f>B302*C302*D302-E302</f>
        <v>85.24499999999999</v>
      </c>
    </row>
    <row r="303" spans="1:8" ht="15" customHeight="1">
      <c r="A303" s="269" t="s">
        <v>26821</v>
      </c>
      <c r="B303" s="275">
        <v>1</v>
      </c>
      <c r="C303" s="275">
        <f>4.75*2+5.85+4.7+3.6+4.85*2</f>
        <v>33.35</v>
      </c>
      <c r="D303" s="275">
        <v>3.9</v>
      </c>
      <c r="E303" s="122">
        <f>0.8*2.1*8</f>
        <v>13.440000000000001</v>
      </c>
      <c r="F303" s="122"/>
      <c r="G303" s="122"/>
      <c r="H303" s="122">
        <f>B303*C303*D303-E303</f>
        <v>116.625</v>
      </c>
    </row>
    <row r="304" spans="1:8" ht="15" customHeight="1">
      <c r="A304" s="251" t="s">
        <v>28531</v>
      </c>
      <c r="B304" s="243"/>
      <c r="C304" s="244"/>
      <c r="D304" s="250"/>
      <c r="E304" s="245"/>
      <c r="F304" s="246"/>
      <c r="G304" s="122"/>
      <c r="H304" s="122"/>
    </row>
    <row r="305" spans="1:8" s="117" customFormat="1" ht="30" customHeight="1">
      <c r="A305" s="115" t="s">
        <v>26594</v>
      </c>
      <c r="B305" s="375" t="str">
        <f>VLOOKUP($A305,SERVICOS,4,FALSE)</f>
        <v>Verga/Contraverga Reta De Concreto Armado 10 X 5 Cm, Fck = 15 Mpa, Inclusive Forma, Armação E Desforma</v>
      </c>
      <c r="C305" s="376"/>
      <c r="D305" s="376"/>
      <c r="E305" s="376"/>
      <c r="F305" s="377"/>
      <c r="G305" s="115" t="str">
        <f>VLOOKUP($A305,SERVICOS,5,FALSE)</f>
        <v>m</v>
      </c>
      <c r="H305" s="116">
        <f>ROUND(SUM(H307:H312),2)</f>
        <v>32.799999999999997</v>
      </c>
    </row>
    <row r="306" spans="1:8" ht="15" customHeight="1">
      <c r="A306" s="118" t="s">
        <v>1029</v>
      </c>
      <c r="B306" s="118" t="s">
        <v>19767</v>
      </c>
      <c r="C306" s="119" t="s">
        <v>19769</v>
      </c>
      <c r="D306" s="119" t="s">
        <v>26727</v>
      </c>
      <c r="E306" s="119" t="s">
        <v>26650</v>
      </c>
      <c r="F306" s="118"/>
      <c r="G306" s="118"/>
      <c r="H306" s="120"/>
    </row>
    <row r="307" spans="1:8" ht="15" customHeight="1">
      <c r="A307" s="121" t="s">
        <v>26723</v>
      </c>
      <c r="B307" s="122">
        <v>4</v>
      </c>
      <c r="C307" s="122">
        <f>0.7+0.4</f>
        <v>1.1000000000000001</v>
      </c>
      <c r="D307" s="241" t="s">
        <v>26728</v>
      </c>
      <c r="E307" s="241" t="s">
        <v>28590</v>
      </c>
      <c r="F307" s="122"/>
      <c r="G307" s="122"/>
      <c r="H307" s="122">
        <f>B307*C307</f>
        <v>4.4000000000000004</v>
      </c>
    </row>
    <row r="308" spans="1:8" ht="15" customHeight="1">
      <c r="A308" s="121" t="s">
        <v>28588</v>
      </c>
      <c r="B308" s="122">
        <v>2</v>
      </c>
      <c r="C308" s="122">
        <f>0.8+0.4</f>
        <v>1.2000000000000002</v>
      </c>
      <c r="D308" s="241" t="s">
        <v>26728</v>
      </c>
      <c r="E308" s="241" t="s">
        <v>28589</v>
      </c>
      <c r="F308" s="122"/>
      <c r="G308" s="122"/>
      <c r="H308" s="122">
        <f t="shared" ref="H308" si="49">B308*C308</f>
        <v>2.4000000000000004</v>
      </c>
    </row>
    <row r="309" spans="1:8" ht="15" customHeight="1">
      <c r="A309" s="121" t="s">
        <v>26724</v>
      </c>
      <c r="B309" s="122">
        <v>2</v>
      </c>
      <c r="C309" s="122">
        <f>0.9+0.4</f>
        <v>1.3</v>
      </c>
      <c r="D309" s="241" t="s">
        <v>26728</v>
      </c>
      <c r="E309" s="241" t="s">
        <v>26693</v>
      </c>
      <c r="F309" s="122"/>
      <c r="G309" s="122"/>
      <c r="H309" s="122">
        <f t="shared" ref="H309:H312" si="50">B309*C309</f>
        <v>2.6</v>
      </c>
    </row>
    <row r="310" spans="1:8" ht="15" customHeight="1">
      <c r="A310" s="121" t="s">
        <v>28591</v>
      </c>
      <c r="B310" s="122">
        <v>2</v>
      </c>
      <c r="C310" s="122">
        <f>0.9+0.4</f>
        <v>1.3</v>
      </c>
      <c r="D310" s="241" t="s">
        <v>26728</v>
      </c>
      <c r="E310" s="241" t="s">
        <v>26737</v>
      </c>
      <c r="F310" s="122"/>
      <c r="G310" s="122"/>
      <c r="H310" s="122">
        <f t="shared" ref="H310" si="51">B310*C310</f>
        <v>2.6</v>
      </c>
    </row>
    <row r="311" spans="1:8" ht="25.5">
      <c r="A311" s="121" t="s">
        <v>26725</v>
      </c>
      <c r="B311" s="122">
        <f>3*2*2</f>
        <v>12</v>
      </c>
      <c r="C311" s="122">
        <f>0.8+0.4</f>
        <v>1.2000000000000002</v>
      </c>
      <c r="D311" s="249" t="s">
        <v>26729</v>
      </c>
      <c r="E311" s="241" t="s">
        <v>26726</v>
      </c>
      <c r="F311" s="122"/>
      <c r="G311" s="122"/>
      <c r="H311" s="122">
        <f t="shared" si="50"/>
        <v>14.400000000000002</v>
      </c>
    </row>
    <row r="312" spans="1:8" ht="25.5">
      <c r="A312" s="121" t="s">
        <v>26762</v>
      </c>
      <c r="B312" s="122">
        <f>2*2</f>
        <v>4</v>
      </c>
      <c r="C312" s="122">
        <f>1.2+0.4</f>
        <v>1.6</v>
      </c>
      <c r="D312" s="249" t="s">
        <v>26729</v>
      </c>
      <c r="E312" s="241" t="s">
        <v>28592</v>
      </c>
      <c r="F312" s="122"/>
      <c r="G312" s="122"/>
      <c r="H312" s="122">
        <f t="shared" si="50"/>
        <v>6.4</v>
      </c>
    </row>
    <row r="313" spans="1:8" ht="15" customHeight="1">
      <c r="A313" s="251" t="s">
        <v>28528</v>
      </c>
      <c r="B313" s="243"/>
      <c r="C313" s="244"/>
      <c r="D313" s="250"/>
      <c r="E313" s="245"/>
      <c r="F313" s="246"/>
      <c r="G313" s="122"/>
      <c r="H313" s="122"/>
    </row>
    <row r="314" spans="1:8" s="117" customFormat="1" ht="45" customHeight="1">
      <c r="A314" s="115" t="s">
        <v>26793</v>
      </c>
      <c r="B314" s="375" t="str">
        <f>VLOOKUP($A314,SERVICOS,4,FALSE)</f>
        <v>Chapisco Aplicado Em Alvenarias E Estruturas De Concreto Internas, Com Colher De Pedreiro.  Argamassa Traço 1:3 Com Preparo Em Betoneira 400L. Af_06/2014</v>
      </c>
      <c r="C314" s="376"/>
      <c r="D314" s="376"/>
      <c r="E314" s="376"/>
      <c r="F314" s="377"/>
      <c r="G314" s="115" t="str">
        <f>VLOOKUP($A314,SERVICOS,5,FALSE)</f>
        <v>m²</v>
      </c>
      <c r="H314" s="116">
        <f>ROUND(SUM(H316:H327),2)</f>
        <v>869.14</v>
      </c>
    </row>
    <row r="315" spans="1:8" ht="12.75">
      <c r="A315" s="118" t="s">
        <v>1029</v>
      </c>
      <c r="B315" s="118" t="s">
        <v>19767</v>
      </c>
      <c r="C315" s="119" t="s">
        <v>26720</v>
      </c>
      <c r="D315" s="119" t="s">
        <v>26634</v>
      </c>
      <c r="E315" s="119"/>
      <c r="F315" s="118"/>
      <c r="G315" s="118"/>
      <c r="H315" s="120"/>
    </row>
    <row r="316" spans="1:8" ht="15" customHeight="1">
      <c r="A316" s="251" t="s">
        <v>26755</v>
      </c>
      <c r="B316" s="122"/>
      <c r="C316" s="122"/>
      <c r="D316" s="122"/>
      <c r="E316" s="122"/>
      <c r="F316" s="122"/>
      <c r="G316" s="122"/>
      <c r="H316" s="122"/>
    </row>
    <row r="317" spans="1:8" ht="15" customHeight="1">
      <c r="A317" s="240" t="str">
        <f t="shared" ref="A317:D318" si="52">A55</f>
        <v xml:space="preserve">Galeria de artes </v>
      </c>
      <c r="B317" s="283">
        <f t="shared" si="52"/>
        <v>1</v>
      </c>
      <c r="C317" s="283">
        <f t="shared" si="52"/>
        <v>50.9</v>
      </c>
      <c r="D317" s="283">
        <f t="shared" si="52"/>
        <v>3.9</v>
      </c>
      <c r="E317" s="122"/>
      <c r="F317" s="122"/>
      <c r="G317" s="122"/>
      <c r="H317" s="122">
        <f>B317*C317*D317-E317</f>
        <v>198.51</v>
      </c>
    </row>
    <row r="318" spans="1:8" ht="15" customHeight="1">
      <c r="A318" s="240" t="str">
        <f t="shared" si="52"/>
        <v xml:space="preserve">Hall escada </v>
      </c>
      <c r="B318" s="283">
        <f t="shared" si="52"/>
        <v>1</v>
      </c>
      <c r="C318" s="283">
        <f t="shared" si="52"/>
        <v>14.6</v>
      </c>
      <c r="D318" s="283">
        <f t="shared" si="52"/>
        <v>3.9</v>
      </c>
      <c r="E318" s="122"/>
      <c r="F318" s="122"/>
      <c r="G318" s="122"/>
      <c r="H318" s="122">
        <f t="shared" ref="H318:H327" si="53">B318*C318*D318-E318</f>
        <v>56.94</v>
      </c>
    </row>
    <row r="319" spans="1:8" ht="15" customHeight="1">
      <c r="A319" s="240" t="str">
        <f>A58</f>
        <v>Pav. Superior</v>
      </c>
      <c r="B319" s="283">
        <f>B58</f>
        <v>1</v>
      </c>
      <c r="C319" s="283">
        <f>C58</f>
        <v>52.1</v>
      </c>
      <c r="D319" s="283">
        <f>D58</f>
        <v>4.55</v>
      </c>
      <c r="E319" s="122"/>
      <c r="F319" s="122"/>
      <c r="G319" s="122"/>
      <c r="H319" s="122">
        <f t="shared" si="53"/>
        <v>237.05500000000001</v>
      </c>
    </row>
    <row r="320" spans="1:8" ht="15" customHeight="1">
      <c r="A320" s="251" t="s">
        <v>26756</v>
      </c>
      <c r="B320" s="122"/>
      <c r="C320" s="122"/>
      <c r="D320" s="122"/>
      <c r="E320" s="122"/>
      <c r="F320" s="122"/>
      <c r="G320" s="122"/>
      <c r="H320" s="122"/>
    </row>
    <row r="321" spans="1:8" ht="15" customHeight="1">
      <c r="A321" s="121" t="s">
        <v>26718</v>
      </c>
      <c r="B321" s="122">
        <v>1</v>
      </c>
      <c r="C321" s="122">
        <v>6.4</v>
      </c>
      <c r="D321" s="122">
        <f>4.05+3.2</f>
        <v>7.25</v>
      </c>
      <c r="E321" s="122"/>
      <c r="F321" s="122"/>
      <c r="G321" s="122"/>
      <c r="H321" s="122">
        <f>B321*C321*D321-E321</f>
        <v>46.400000000000006</v>
      </c>
    </row>
    <row r="322" spans="1:8" ht="15" customHeight="1">
      <c r="A322" s="121" t="s">
        <v>26719</v>
      </c>
      <c r="B322" s="122">
        <v>1</v>
      </c>
      <c r="C322" s="122">
        <v>6.4</v>
      </c>
      <c r="D322" s="122">
        <f t="shared" ref="D322:D325" si="54">4.05+3.2</f>
        <v>7.25</v>
      </c>
      <c r="E322" s="122"/>
      <c r="F322" s="122"/>
      <c r="G322" s="122"/>
      <c r="H322" s="122">
        <f t="shared" ref="H322:H324" si="55">B322*C322*D322-E322</f>
        <v>46.400000000000006</v>
      </c>
    </row>
    <row r="323" spans="1:8" ht="15" customHeight="1">
      <c r="A323" s="121" t="s">
        <v>28530</v>
      </c>
      <c r="B323" s="122">
        <v>1</v>
      </c>
      <c r="C323" s="122">
        <v>7.91</v>
      </c>
      <c r="D323" s="122">
        <f t="shared" si="54"/>
        <v>7.25</v>
      </c>
      <c r="E323" s="122"/>
      <c r="F323" s="122"/>
      <c r="G323" s="122"/>
      <c r="H323" s="122">
        <f t="shared" si="55"/>
        <v>57.347500000000004</v>
      </c>
    </row>
    <row r="324" spans="1:8" ht="15" customHeight="1">
      <c r="A324" s="121" t="s">
        <v>26693</v>
      </c>
      <c r="B324" s="122">
        <v>1</v>
      </c>
      <c r="C324" s="122">
        <v>6.8</v>
      </c>
      <c r="D324" s="122">
        <f t="shared" si="54"/>
        <v>7.25</v>
      </c>
      <c r="E324" s="122"/>
      <c r="F324" s="122"/>
      <c r="G324" s="122"/>
      <c r="H324" s="122">
        <f t="shared" si="55"/>
        <v>49.3</v>
      </c>
    </row>
    <row r="325" spans="1:8" ht="15" customHeight="1">
      <c r="A325" s="121" t="s">
        <v>26647</v>
      </c>
      <c r="B325" s="122">
        <v>1</v>
      </c>
      <c r="C325" s="122">
        <v>11.95</v>
      </c>
      <c r="D325" s="122">
        <f t="shared" si="54"/>
        <v>7.25</v>
      </c>
      <c r="E325" s="122"/>
      <c r="F325" s="122"/>
      <c r="G325" s="122"/>
      <c r="H325" s="122">
        <f t="shared" ref="H325" si="56">B325*C325*D325-E325</f>
        <v>86.637499999999989</v>
      </c>
    </row>
    <row r="326" spans="1:8" ht="15" customHeight="1">
      <c r="A326" s="121" t="s">
        <v>26751</v>
      </c>
      <c r="B326" s="122">
        <v>1</v>
      </c>
      <c r="C326" s="122">
        <v>5.8</v>
      </c>
      <c r="D326" s="122">
        <v>7.45</v>
      </c>
      <c r="E326" s="122"/>
      <c r="F326" s="122"/>
      <c r="G326" s="122"/>
      <c r="H326" s="122">
        <f t="shared" si="53"/>
        <v>43.21</v>
      </c>
    </row>
    <row r="327" spans="1:8" ht="15" customHeight="1">
      <c r="A327" s="121" t="s">
        <v>26636</v>
      </c>
      <c r="B327" s="122">
        <v>1</v>
      </c>
      <c r="C327" s="122">
        <v>23.67</v>
      </c>
      <c r="D327" s="122">
        <v>2</v>
      </c>
      <c r="E327" s="122"/>
      <c r="F327" s="122"/>
      <c r="G327" s="122"/>
      <c r="H327" s="122">
        <f t="shared" si="53"/>
        <v>47.34</v>
      </c>
    </row>
    <row r="328" spans="1:8" s="117" customFormat="1" ht="45" customHeight="1">
      <c r="A328" s="115" t="s">
        <v>26794</v>
      </c>
      <c r="B328" s="375" t="str">
        <f>VLOOKUP($A328,SERVICOS,4,FALSE)</f>
        <v>Chapisco Aplicado Em Alvenaria (Com Presença De Vãos) E Estruturas De Concreto De Fachada, Com Colher De Pedreiro.  Argamassa Traço 1:3 Com Preparo Manual. Af_06/2014</v>
      </c>
      <c r="C328" s="376"/>
      <c r="D328" s="376"/>
      <c r="E328" s="376"/>
      <c r="F328" s="377"/>
      <c r="G328" s="115" t="str">
        <f>VLOOKUP($A328,SERVICOS,5,FALSE)</f>
        <v>m²</v>
      </c>
      <c r="H328" s="116">
        <f>ROUND(SUM(H330:H336),2)</f>
        <v>775.52</v>
      </c>
    </row>
    <row r="329" spans="1:8" ht="15" customHeight="1">
      <c r="A329" s="118" t="s">
        <v>1029</v>
      </c>
      <c r="B329" s="118" t="s">
        <v>19767</v>
      </c>
      <c r="C329" s="119" t="s">
        <v>26720</v>
      </c>
      <c r="D329" s="119" t="s">
        <v>26634</v>
      </c>
      <c r="E329" s="119"/>
      <c r="F329" s="118"/>
      <c r="G329" s="118"/>
      <c r="H329" s="120"/>
    </row>
    <row r="330" spans="1:8" ht="15" customHeight="1">
      <c r="A330" s="121" t="str">
        <f>A60</f>
        <v>Edificação existente</v>
      </c>
      <c r="B330" s="280">
        <f>B60</f>
        <v>1</v>
      </c>
      <c r="C330" s="280">
        <f>C60</f>
        <v>55.3</v>
      </c>
      <c r="D330" s="280">
        <f>D60</f>
        <v>9.9</v>
      </c>
      <c r="E330" s="122"/>
      <c r="F330" s="122"/>
      <c r="G330" s="122"/>
      <c r="H330" s="122">
        <f t="shared" ref="H330:H336" si="57">B330*C330*D330</f>
        <v>547.47</v>
      </c>
    </row>
    <row r="331" spans="1:8" ht="15" customHeight="1">
      <c r="A331" s="121" t="s">
        <v>26753</v>
      </c>
      <c r="B331" s="122">
        <v>1</v>
      </c>
      <c r="C331" s="122">
        <v>13</v>
      </c>
      <c r="D331" s="122">
        <v>7.7</v>
      </c>
      <c r="E331" s="122"/>
      <c r="F331" s="122"/>
      <c r="G331" s="122"/>
      <c r="H331" s="122">
        <f t="shared" ref="H331:H335" si="58">B331*C331*D331</f>
        <v>100.10000000000001</v>
      </c>
    </row>
    <row r="332" spans="1:8" ht="15" customHeight="1">
      <c r="A332" s="240" t="s">
        <v>26636</v>
      </c>
      <c r="B332" s="122">
        <v>1</v>
      </c>
      <c r="C332" s="122">
        <f>3.93+0.2+3.89+4.16+4.24+5.25</f>
        <v>21.67</v>
      </c>
      <c r="D332" s="122">
        <v>2</v>
      </c>
      <c r="E332" s="122"/>
      <c r="F332" s="122"/>
      <c r="G332" s="122"/>
      <c r="H332" s="122">
        <f t="shared" ref="H332:H333" si="59">B332*C332*D332</f>
        <v>43.34</v>
      </c>
    </row>
    <row r="333" spans="1:8" ht="25.5">
      <c r="A333" s="240" t="s">
        <v>26759</v>
      </c>
      <c r="B333" s="122">
        <v>2</v>
      </c>
      <c r="C333" s="122">
        <f>1.69+0.2+3.93+0.2+1.6</f>
        <v>7.620000000000001</v>
      </c>
      <c r="D333" s="122">
        <f>0.15+0.4</f>
        <v>0.55000000000000004</v>
      </c>
      <c r="E333" s="122"/>
      <c r="F333" s="122"/>
      <c r="G333" s="122"/>
      <c r="H333" s="122">
        <f t="shared" si="59"/>
        <v>8.3820000000000014</v>
      </c>
    </row>
    <row r="334" spans="1:8" ht="25.5">
      <c r="A334" s="240" t="s">
        <v>26754</v>
      </c>
      <c r="B334" s="122">
        <v>1</v>
      </c>
      <c r="C334" s="122">
        <f>1.8+2</f>
        <v>3.8</v>
      </c>
      <c r="D334" s="122">
        <v>0.2</v>
      </c>
      <c r="E334" s="122"/>
      <c r="F334" s="122"/>
      <c r="G334" s="122"/>
      <c r="H334" s="122">
        <f t="shared" si="58"/>
        <v>0.76</v>
      </c>
    </row>
    <row r="335" spans="1:8" ht="15" customHeight="1">
      <c r="A335" s="121" t="s">
        <v>26711</v>
      </c>
      <c r="B335" s="122">
        <v>4</v>
      </c>
      <c r="C335" s="122">
        <v>1.6</v>
      </c>
      <c r="D335" s="122">
        <v>10.1</v>
      </c>
      <c r="E335" s="122"/>
      <c r="F335" s="122"/>
      <c r="G335" s="122"/>
      <c r="H335" s="122">
        <f t="shared" si="58"/>
        <v>64.64</v>
      </c>
    </row>
    <row r="336" spans="1:8" ht="15" customHeight="1">
      <c r="A336" s="121" t="s">
        <v>28700</v>
      </c>
      <c r="B336" s="122">
        <v>1</v>
      </c>
      <c r="C336" s="122">
        <v>18.05</v>
      </c>
      <c r="D336" s="122">
        <v>0.6</v>
      </c>
      <c r="E336" s="122"/>
      <c r="F336" s="122"/>
      <c r="G336" s="122"/>
      <c r="H336" s="122">
        <f t="shared" si="57"/>
        <v>10.83</v>
      </c>
    </row>
    <row r="337" spans="1:8" s="117" customFormat="1" ht="60" customHeight="1">
      <c r="A337" s="115" t="s">
        <v>26795</v>
      </c>
      <c r="B337" s="375" t="str">
        <f>VLOOKUP($A337,SERVICOS,4,FALSE)</f>
        <v>Emboço, Para Recebimento De Cerâmica, Em Argamassa Traço 1:2:8, Preparo Mecânico Com Betoneira 400L, Aplicado Manualmente Em Faces Internas De Paredes, Para Ambiente Com Área Menor Que 5M2, Espessura De 20Mm, Com Execução De Taliscas. Af_06/2014</v>
      </c>
      <c r="C337" s="376"/>
      <c r="D337" s="376"/>
      <c r="E337" s="376"/>
      <c r="F337" s="377"/>
      <c r="G337" s="115" t="str">
        <f>VLOOKUP($A337,SERVICOS,5,FALSE)</f>
        <v>m²</v>
      </c>
      <c r="H337" s="116">
        <f>ROUND(SUM(H339:H342),2)</f>
        <v>199.45</v>
      </c>
    </row>
    <row r="338" spans="1:8" ht="15" customHeight="1">
      <c r="A338" s="118" t="s">
        <v>1029</v>
      </c>
      <c r="B338" s="118" t="s">
        <v>19767</v>
      </c>
      <c r="C338" s="119" t="s">
        <v>26720</v>
      </c>
      <c r="D338" s="119" t="s">
        <v>26634</v>
      </c>
      <c r="E338" s="119"/>
      <c r="F338" s="118"/>
      <c r="G338" s="118"/>
      <c r="H338" s="120"/>
    </row>
    <row r="339" spans="1:8" ht="15" customHeight="1">
      <c r="A339" s="121" t="s">
        <v>26718</v>
      </c>
      <c r="B339" s="122">
        <f>B321</f>
        <v>1</v>
      </c>
      <c r="C339" s="122">
        <f t="shared" ref="C339:D339" si="60">C321</f>
        <v>6.4</v>
      </c>
      <c r="D339" s="122">
        <f t="shared" si="60"/>
        <v>7.25</v>
      </c>
      <c r="E339" s="122"/>
      <c r="F339" s="122"/>
      <c r="G339" s="122"/>
      <c r="H339" s="122">
        <f t="shared" ref="H339:H342" si="61">B339*C339*D339-E339</f>
        <v>46.400000000000006</v>
      </c>
    </row>
    <row r="340" spans="1:8" ht="15" customHeight="1">
      <c r="A340" s="121" t="s">
        <v>26719</v>
      </c>
      <c r="B340" s="122">
        <f t="shared" ref="B340:D340" si="62">B322</f>
        <v>1</v>
      </c>
      <c r="C340" s="122">
        <f t="shared" si="62"/>
        <v>6.4</v>
      </c>
      <c r="D340" s="122">
        <f t="shared" si="62"/>
        <v>7.25</v>
      </c>
      <c r="E340" s="122"/>
      <c r="F340" s="122"/>
      <c r="G340" s="122"/>
      <c r="H340" s="122">
        <f t="shared" si="61"/>
        <v>46.400000000000006</v>
      </c>
    </row>
    <row r="341" spans="1:8" ht="15" customHeight="1">
      <c r="A341" s="121" t="s">
        <v>28530</v>
      </c>
      <c r="B341" s="122">
        <f t="shared" ref="B341:D341" si="63">B323</f>
        <v>1</v>
      </c>
      <c r="C341" s="122">
        <f t="shared" si="63"/>
        <v>7.91</v>
      </c>
      <c r="D341" s="122">
        <f t="shared" si="63"/>
        <v>7.25</v>
      </c>
      <c r="E341" s="122"/>
      <c r="F341" s="122"/>
      <c r="G341" s="122"/>
      <c r="H341" s="122">
        <f t="shared" si="61"/>
        <v>57.347500000000004</v>
      </c>
    </row>
    <row r="342" spans="1:8" ht="15" customHeight="1">
      <c r="A342" s="121" t="s">
        <v>26693</v>
      </c>
      <c r="B342" s="122">
        <f t="shared" ref="B342:D342" si="64">B324</f>
        <v>1</v>
      </c>
      <c r="C342" s="122">
        <f t="shared" si="64"/>
        <v>6.8</v>
      </c>
      <c r="D342" s="122">
        <f t="shared" si="64"/>
        <v>7.25</v>
      </c>
      <c r="E342" s="122"/>
      <c r="F342" s="122"/>
      <c r="G342" s="122"/>
      <c r="H342" s="122">
        <f t="shared" si="61"/>
        <v>49.3</v>
      </c>
    </row>
    <row r="343" spans="1:8" s="117" customFormat="1" ht="45" customHeight="1">
      <c r="A343" s="115" t="s">
        <v>26796</v>
      </c>
      <c r="B343" s="375" t="str">
        <f>VLOOKUP($A343,SERVICOS,4,FALSE)</f>
        <v>Massa Única, Para Recebimento De Pintura, Em Argamassa Traço 1:2:8, Preparo Manual, Aplicada Manualmente Em Faces Internas De Paredes, Espessura De 20Mm, Com Execução De Taliscas. Af_06/2014</v>
      </c>
      <c r="C343" s="376"/>
      <c r="D343" s="376"/>
      <c r="E343" s="376"/>
      <c r="F343" s="377"/>
      <c r="G343" s="115" t="str">
        <f>VLOOKUP($A343,SERVICOS,5,FALSE)</f>
        <v>m²</v>
      </c>
      <c r="H343" s="116">
        <f>ROUND(SUM(H345:H345),2)</f>
        <v>669.69</v>
      </c>
    </row>
    <row r="344" spans="1:8" ht="25.5">
      <c r="A344" s="118" t="s">
        <v>1029</v>
      </c>
      <c r="B344" s="119" t="s">
        <v>26757</v>
      </c>
      <c r="C344" s="119" t="s">
        <v>26758</v>
      </c>
      <c r="D344" s="119"/>
      <c r="E344" s="118"/>
      <c r="F344" s="118"/>
      <c r="G344" s="118"/>
      <c r="H344" s="120"/>
    </row>
    <row r="345" spans="1:8" ht="15" customHeight="1">
      <c r="A345" s="121" t="s">
        <v>26741</v>
      </c>
      <c r="B345" s="122">
        <f>H314</f>
        <v>869.14</v>
      </c>
      <c r="C345" s="122">
        <f>H337</f>
        <v>199.45</v>
      </c>
      <c r="D345" s="122"/>
      <c r="E345" s="122"/>
      <c r="F345" s="122"/>
      <c r="G345" s="122"/>
      <c r="H345" s="122">
        <f>B345-C345</f>
        <v>669.69</v>
      </c>
    </row>
    <row r="346" spans="1:8" s="117" customFormat="1" ht="45" customHeight="1">
      <c r="A346" s="115" t="s">
        <v>28518</v>
      </c>
      <c r="B346" s="375" t="str">
        <f>VLOOKUP($A346,SERVICOS,4,FALSE)</f>
        <v>Revestimento Cerâmico Para Paredes Internas Com Placas Tipo Esmaltada Extra De Dimensões 25X35 Cm Aplicadas Em Ambientes De Área Menor Que 5 M² Na Altura Inteira Das Paredes. Af_06/2014</v>
      </c>
      <c r="C346" s="376"/>
      <c r="D346" s="376"/>
      <c r="E346" s="376"/>
      <c r="F346" s="377"/>
      <c r="G346" s="115" t="str">
        <f>VLOOKUP($A346,SERVICOS,5,FALSE)</f>
        <v>m²</v>
      </c>
      <c r="H346" s="116">
        <f>ROUND(SUM(H348:H351),2)</f>
        <v>140.81</v>
      </c>
    </row>
    <row r="347" spans="1:8" ht="25.5">
      <c r="A347" s="118" t="s">
        <v>1029</v>
      </c>
      <c r="B347" s="118" t="s">
        <v>19767</v>
      </c>
      <c r="C347" s="119" t="s">
        <v>26720</v>
      </c>
      <c r="D347" s="119" t="s">
        <v>26634</v>
      </c>
      <c r="E347" s="119" t="s">
        <v>26721</v>
      </c>
      <c r="F347" s="118"/>
      <c r="G347" s="118"/>
      <c r="H347" s="120"/>
    </row>
    <row r="348" spans="1:8" ht="15" customHeight="1">
      <c r="A348" s="121" t="s">
        <v>26718</v>
      </c>
      <c r="B348" s="122">
        <v>2</v>
      </c>
      <c r="C348" s="122">
        <f>C339</f>
        <v>6.4</v>
      </c>
      <c r="D348" s="122">
        <v>2.7</v>
      </c>
      <c r="E348" s="122">
        <f>0.7*2.1+0.8*0.4</f>
        <v>1.79</v>
      </c>
      <c r="F348" s="122"/>
      <c r="G348" s="122"/>
      <c r="H348" s="122">
        <f>B348*C348*D348-E348</f>
        <v>32.770000000000003</v>
      </c>
    </row>
    <row r="349" spans="1:8" ht="15" customHeight="1">
      <c r="A349" s="121" t="s">
        <v>26719</v>
      </c>
      <c r="B349" s="122">
        <v>2</v>
      </c>
      <c r="C349" s="122">
        <f>C340</f>
        <v>6.4</v>
      </c>
      <c r="D349" s="122">
        <v>2.7</v>
      </c>
      <c r="E349" s="122">
        <f>0.7*2.1+0.8*0.4</f>
        <v>1.79</v>
      </c>
      <c r="F349" s="122"/>
      <c r="G349" s="122"/>
      <c r="H349" s="122">
        <f t="shared" ref="H349:H351" si="65">B349*C349*D349-E349</f>
        <v>32.770000000000003</v>
      </c>
    </row>
    <row r="350" spans="1:8" ht="15" customHeight="1">
      <c r="A350" s="121" t="s">
        <v>28593</v>
      </c>
      <c r="B350" s="122">
        <v>2</v>
      </c>
      <c r="C350" s="122">
        <f>C341</f>
        <v>7.91</v>
      </c>
      <c r="D350" s="122">
        <v>2.7</v>
      </c>
      <c r="E350" s="122">
        <f>0.7*2.1+1.2*0.4</f>
        <v>1.95</v>
      </c>
      <c r="F350" s="122"/>
      <c r="G350" s="122"/>
      <c r="H350" s="122">
        <f t="shared" si="65"/>
        <v>40.764000000000003</v>
      </c>
    </row>
    <row r="351" spans="1:8" ht="15" customHeight="1">
      <c r="A351" s="121" t="s">
        <v>26693</v>
      </c>
      <c r="B351" s="122">
        <v>2</v>
      </c>
      <c r="C351" s="122">
        <f>C342</f>
        <v>6.8</v>
      </c>
      <c r="D351" s="122">
        <v>2.7</v>
      </c>
      <c r="E351" s="122">
        <f>0.9*2.1+0.8*0.4</f>
        <v>2.21</v>
      </c>
      <c r="F351" s="122"/>
      <c r="G351" s="122"/>
      <c r="H351" s="122">
        <f t="shared" si="65"/>
        <v>34.51</v>
      </c>
    </row>
    <row r="352" spans="1:8" ht="15" customHeight="1">
      <c r="A352" s="251" t="s">
        <v>26722</v>
      </c>
      <c r="B352" s="243"/>
      <c r="C352" s="244"/>
      <c r="D352" s="244"/>
      <c r="E352" s="244"/>
      <c r="F352" s="246"/>
      <c r="G352" s="122"/>
      <c r="H352" s="122"/>
    </row>
    <row r="353" spans="1:8" s="117" customFormat="1" ht="30" customHeight="1">
      <c r="A353" s="115" t="s">
        <v>28701</v>
      </c>
      <c r="B353" s="375" t="str">
        <f>VLOOKUP($A353,SERVICOS,4,FALSE)</f>
        <v>Impermeabilização De Paredes Com Argamassa De Cimento E Areia, Com Aditivo Impermeabilizante, E = 2Cm. Af_06/2018</v>
      </c>
      <c r="C353" s="376"/>
      <c r="D353" s="376"/>
      <c r="E353" s="376"/>
      <c r="F353" s="377"/>
      <c r="G353" s="115" t="str">
        <f>VLOOKUP($A353,SERVICOS,5,FALSE)</f>
        <v>m²</v>
      </c>
      <c r="H353" s="116">
        <f>ROUND(SUM(H356:H359),2)</f>
        <v>85.53</v>
      </c>
    </row>
    <row r="354" spans="1:8" ht="15" customHeight="1">
      <c r="A354" s="118" t="s">
        <v>1029</v>
      </c>
      <c r="B354" s="118" t="s">
        <v>19767</v>
      </c>
      <c r="C354" s="119" t="s">
        <v>26720</v>
      </c>
      <c r="D354" s="119" t="s">
        <v>26634</v>
      </c>
      <c r="E354" s="119"/>
      <c r="F354" s="118"/>
      <c r="G354" s="118"/>
      <c r="H354" s="120"/>
    </row>
    <row r="355" spans="1:8" ht="15" customHeight="1">
      <c r="A355" s="255" t="s">
        <v>28703</v>
      </c>
      <c r="B355" s="252"/>
      <c r="C355" s="253"/>
      <c r="D355" s="253"/>
      <c r="E355" s="253"/>
      <c r="F355" s="252"/>
      <c r="G355" s="252"/>
      <c r="H355" s="254"/>
    </row>
    <row r="356" spans="1:8" ht="15" customHeight="1">
      <c r="A356" s="121" t="str">
        <f>A330</f>
        <v>Edificação existente</v>
      </c>
      <c r="B356" s="280">
        <f>B330</f>
        <v>1</v>
      </c>
      <c r="C356" s="280">
        <f t="shared" ref="C356" si="66">C330</f>
        <v>55.3</v>
      </c>
      <c r="D356" s="280">
        <v>1</v>
      </c>
      <c r="E356" s="122"/>
      <c r="F356" s="122"/>
      <c r="G356" s="122"/>
      <c r="H356" s="122">
        <f t="shared" ref="H356:H359" si="67">B356*C356*D356</f>
        <v>55.3</v>
      </c>
    </row>
    <row r="357" spans="1:8" ht="15" customHeight="1">
      <c r="A357" s="121" t="s">
        <v>26753</v>
      </c>
      <c r="B357" s="280">
        <f t="shared" ref="B357:C357" si="68">B331</f>
        <v>1</v>
      </c>
      <c r="C357" s="280">
        <f t="shared" si="68"/>
        <v>13</v>
      </c>
      <c r="D357" s="280">
        <v>1</v>
      </c>
      <c r="E357" s="122"/>
      <c r="F357" s="122"/>
      <c r="G357" s="122"/>
      <c r="H357" s="122">
        <f t="shared" si="67"/>
        <v>13</v>
      </c>
    </row>
    <row r="358" spans="1:8" ht="15" customHeight="1">
      <c r="A358" s="121" t="s">
        <v>26711</v>
      </c>
      <c r="B358" s="280">
        <f>B335</f>
        <v>4</v>
      </c>
      <c r="C358" s="280">
        <f>C335</f>
        <v>1.6</v>
      </c>
      <c r="D358" s="280">
        <v>1</v>
      </c>
      <c r="E358" s="122"/>
      <c r="F358" s="122"/>
      <c r="G358" s="122"/>
      <c r="H358" s="122">
        <f t="shared" si="67"/>
        <v>6.4</v>
      </c>
    </row>
    <row r="359" spans="1:8" ht="15" customHeight="1">
      <c r="A359" s="121" t="s">
        <v>28700</v>
      </c>
      <c r="B359" s="280">
        <f>B336</f>
        <v>1</v>
      </c>
      <c r="C359" s="280">
        <f>C336</f>
        <v>18.05</v>
      </c>
      <c r="D359" s="280">
        <f>D336</f>
        <v>0.6</v>
      </c>
      <c r="E359" s="122"/>
      <c r="F359" s="122"/>
      <c r="G359" s="122"/>
      <c r="H359" s="122">
        <f t="shared" si="67"/>
        <v>10.83</v>
      </c>
    </row>
    <row r="360" spans="1:8" s="117" customFormat="1" ht="45" customHeight="1">
      <c r="A360" s="115" t="s">
        <v>28702</v>
      </c>
      <c r="B360" s="375" t="str">
        <f>VLOOKUP($A360,SERVICOS,4,FALSE)</f>
        <v>Emboço Ou Massa Única Em Argamassa Traço 1:2:8, Preparo Mecânico Com Betoneira 400 L, Aplicada Manualmente Em Panos De Fachada Com Presença De Vãos, Espessura De 25 Mm. Af_06/2014</v>
      </c>
      <c r="C360" s="376"/>
      <c r="D360" s="376"/>
      <c r="E360" s="376"/>
      <c r="F360" s="377"/>
      <c r="G360" s="115" t="str">
        <f>VLOOKUP($A360,SERVICOS,5,FALSE)</f>
        <v>m²</v>
      </c>
      <c r="H360" s="116">
        <f>ROUND(SUM(H363:H368),2)</f>
        <v>689.99</v>
      </c>
    </row>
    <row r="361" spans="1:8" ht="15" customHeight="1">
      <c r="A361" s="118" t="s">
        <v>1029</v>
      </c>
      <c r="B361" s="118" t="s">
        <v>19767</v>
      </c>
      <c r="C361" s="119" t="s">
        <v>26720</v>
      </c>
      <c r="D361" s="119" t="s">
        <v>26634</v>
      </c>
      <c r="E361" s="119"/>
      <c r="F361" s="118"/>
      <c r="G361" s="118"/>
      <c r="H361" s="120"/>
    </row>
    <row r="362" spans="1:8" ht="15" customHeight="1">
      <c r="A362" s="255" t="s">
        <v>28703</v>
      </c>
      <c r="B362" s="252"/>
      <c r="C362" s="253"/>
      <c r="D362" s="253"/>
      <c r="E362" s="253"/>
      <c r="F362" s="252"/>
      <c r="G362" s="252"/>
      <c r="H362" s="254"/>
    </row>
    <row r="363" spans="1:8" ht="15" customHeight="1">
      <c r="A363" s="121" t="str">
        <f>A330</f>
        <v>Edificação existente</v>
      </c>
      <c r="B363" s="280">
        <f>B330</f>
        <v>1</v>
      </c>
      <c r="C363" s="280">
        <f t="shared" ref="C363" si="69">C330</f>
        <v>55.3</v>
      </c>
      <c r="D363" s="280">
        <f>D330-D356</f>
        <v>8.9</v>
      </c>
      <c r="E363" s="122"/>
      <c r="F363" s="122"/>
      <c r="G363" s="122"/>
      <c r="H363" s="122">
        <f t="shared" ref="H363:H368" si="70">B363*C363*D363</f>
        <v>492.17</v>
      </c>
    </row>
    <row r="364" spans="1:8" ht="15" customHeight="1">
      <c r="A364" s="121" t="str">
        <f t="shared" ref="A364:C364" si="71">A331</f>
        <v>Edificação nova</v>
      </c>
      <c r="B364" s="280">
        <f t="shared" si="71"/>
        <v>1</v>
      </c>
      <c r="C364" s="280">
        <f t="shared" si="71"/>
        <v>13</v>
      </c>
      <c r="D364" s="280">
        <f>D331-D357</f>
        <v>6.7</v>
      </c>
      <c r="E364" s="122"/>
      <c r="F364" s="122"/>
      <c r="G364" s="122"/>
      <c r="H364" s="122">
        <f t="shared" si="70"/>
        <v>87.100000000000009</v>
      </c>
    </row>
    <row r="365" spans="1:8" ht="15" customHeight="1">
      <c r="A365" s="121" t="str">
        <f t="shared" ref="A365:D365" si="72">A332</f>
        <v>Platibanda</v>
      </c>
      <c r="B365" s="280">
        <f t="shared" si="72"/>
        <v>1</v>
      </c>
      <c r="C365" s="280">
        <f t="shared" si="72"/>
        <v>21.67</v>
      </c>
      <c r="D365" s="280">
        <f t="shared" si="72"/>
        <v>2</v>
      </c>
      <c r="E365" s="122"/>
      <c r="F365" s="122"/>
      <c r="G365" s="122"/>
      <c r="H365" s="122">
        <f t="shared" si="70"/>
        <v>43.34</v>
      </c>
    </row>
    <row r="366" spans="1:8" ht="25.5">
      <c r="A366" s="240" t="str">
        <f t="shared" ref="A366:D366" si="73">A333</f>
        <v>Face viga+laje circulação</v>
      </c>
      <c r="B366" s="280">
        <f t="shared" si="73"/>
        <v>2</v>
      </c>
      <c r="C366" s="280">
        <f t="shared" si="73"/>
        <v>7.620000000000001</v>
      </c>
      <c r="D366" s="280">
        <f t="shared" si="73"/>
        <v>0.55000000000000004</v>
      </c>
      <c r="E366" s="122"/>
      <c r="F366" s="122"/>
      <c r="G366" s="122"/>
      <c r="H366" s="122">
        <f t="shared" si="70"/>
        <v>8.3820000000000014</v>
      </c>
    </row>
    <row r="367" spans="1:8" ht="25.5">
      <c r="A367" s="240" t="str">
        <f t="shared" ref="A367:D367" si="74">A334</f>
        <v>Viga Laje impermeabilizada</v>
      </c>
      <c r="B367" s="280">
        <f t="shared" si="74"/>
        <v>1</v>
      </c>
      <c r="C367" s="280">
        <f t="shared" si="74"/>
        <v>3.8</v>
      </c>
      <c r="D367" s="280">
        <f t="shared" si="74"/>
        <v>0.2</v>
      </c>
      <c r="E367" s="122"/>
      <c r="F367" s="122"/>
      <c r="G367" s="122"/>
      <c r="H367" s="122">
        <f t="shared" si="70"/>
        <v>0.76</v>
      </c>
    </row>
    <row r="368" spans="1:8" ht="15" customHeight="1">
      <c r="A368" s="121" t="str">
        <f t="shared" ref="A368:C368" si="75">A335</f>
        <v>Pilares</v>
      </c>
      <c r="B368" s="280">
        <f t="shared" si="75"/>
        <v>4</v>
      </c>
      <c r="C368" s="280">
        <f t="shared" si="75"/>
        <v>1.6</v>
      </c>
      <c r="D368" s="280">
        <f>D335-D358</f>
        <v>9.1</v>
      </c>
      <c r="E368" s="122"/>
      <c r="F368" s="122"/>
      <c r="G368" s="122"/>
      <c r="H368" s="122">
        <f t="shared" si="70"/>
        <v>58.24</v>
      </c>
    </row>
    <row r="369" spans="1:8" s="117" customFormat="1" ht="15" customHeight="1">
      <c r="A369" s="115" t="s">
        <v>29122</v>
      </c>
      <c r="B369" s="375" t="str">
        <f>VLOOKUP($A369,SERVICOS,4,FALSE)</f>
        <v>Peitoril De Granito Cinza Polido, 15 Cm, Esp. 3Cm</v>
      </c>
      <c r="C369" s="376"/>
      <c r="D369" s="376"/>
      <c r="E369" s="376"/>
      <c r="F369" s="377"/>
      <c r="G369" s="115" t="str">
        <f>VLOOKUP($A369,SERVICOS,5,FALSE)</f>
        <v>m</v>
      </c>
      <c r="H369" s="116">
        <f>ROUND(SUM(H371:H372),2)</f>
        <v>7.2</v>
      </c>
    </row>
    <row r="370" spans="1:8" ht="15" customHeight="1">
      <c r="A370" s="118" t="s">
        <v>1029</v>
      </c>
      <c r="B370" s="118" t="s">
        <v>19767</v>
      </c>
      <c r="C370" s="119" t="s">
        <v>19769</v>
      </c>
      <c r="D370" s="119" t="s">
        <v>26650</v>
      </c>
      <c r="E370" s="118"/>
      <c r="F370" s="118"/>
      <c r="G370" s="118"/>
      <c r="H370" s="120"/>
    </row>
    <row r="371" spans="1:8" ht="15" customHeight="1">
      <c r="A371" s="121" t="s">
        <v>26725</v>
      </c>
      <c r="B371" s="122">
        <f>2*3</f>
        <v>6</v>
      </c>
      <c r="C371" s="122">
        <v>0.8</v>
      </c>
      <c r="D371" s="241" t="s">
        <v>26726</v>
      </c>
      <c r="E371" s="122"/>
      <c r="F371" s="122"/>
      <c r="G371" s="122"/>
      <c r="H371" s="122">
        <f>B371*C371</f>
        <v>4.8000000000000007</v>
      </c>
    </row>
    <row r="372" spans="1:8" ht="15" customHeight="1">
      <c r="A372" s="121" t="s">
        <v>26762</v>
      </c>
      <c r="B372" s="122">
        <f>2</f>
        <v>2</v>
      </c>
      <c r="C372" s="122">
        <v>1.2</v>
      </c>
      <c r="D372" s="241" t="s">
        <v>28592</v>
      </c>
      <c r="E372" s="122"/>
      <c r="F372" s="122"/>
      <c r="G372" s="122"/>
      <c r="H372" s="122">
        <f t="shared" ref="H372" si="76">B372*C372</f>
        <v>2.4</v>
      </c>
    </row>
    <row r="373" spans="1:8" ht="15" customHeight="1">
      <c r="A373" s="113" t="s">
        <v>26545</v>
      </c>
      <c r="B373" s="378" t="str">
        <f>VLOOKUP($A373,SERVICOS,4,FALSE)</f>
        <v>PISO</v>
      </c>
      <c r="C373" s="378"/>
      <c r="D373" s="378"/>
      <c r="E373" s="378"/>
      <c r="F373" s="378"/>
      <c r="G373" s="378">
        <f>VLOOKUP($A373,SERVICOS,5,FALSE)</f>
        <v>0</v>
      </c>
      <c r="H373" s="378" t="e">
        <f>ROUND(SUM(#REF!),2)</f>
        <v>#REF!</v>
      </c>
    </row>
    <row r="374" spans="1:8" s="117" customFormat="1" ht="45" customHeight="1">
      <c r="A374" s="115" t="s">
        <v>26546</v>
      </c>
      <c r="B374" s="375" t="str">
        <f>VLOOKUP($A374,SERVICOS,4,FALSE)</f>
        <v>Execução De Passeio (Calçada) Ou Piso De Concreto Com Concreto Moldado In Loco, Feito Em Obra, Acabamento Convencional, Espessura 8 Cm, Armado. Af_07/2016</v>
      </c>
      <c r="C374" s="376"/>
      <c r="D374" s="376"/>
      <c r="E374" s="376"/>
      <c r="F374" s="377"/>
      <c r="G374" s="115" t="str">
        <f>VLOOKUP($A374,SERVICOS,5,FALSE)</f>
        <v>m²</v>
      </c>
      <c r="H374" s="116">
        <f>ROUND(SUM(H376:H381),2)</f>
        <v>44.62</v>
      </c>
    </row>
    <row r="375" spans="1:8" ht="15" customHeight="1">
      <c r="A375" s="118" t="s">
        <v>1029</v>
      </c>
      <c r="B375" s="118" t="s">
        <v>19767</v>
      </c>
      <c r="C375" s="119" t="s">
        <v>26630</v>
      </c>
      <c r="D375" s="119"/>
      <c r="E375" s="118"/>
      <c r="F375" s="118"/>
      <c r="G375" s="118"/>
      <c r="H375" s="120"/>
    </row>
    <row r="376" spans="1:8" ht="15" customHeight="1">
      <c r="A376" s="121" t="s">
        <v>26647</v>
      </c>
      <c r="B376" s="122">
        <v>1</v>
      </c>
      <c r="C376" s="122">
        <v>30.79</v>
      </c>
      <c r="D376" s="122" t="s">
        <v>26699</v>
      </c>
      <c r="E376" s="122"/>
      <c r="F376" s="122"/>
      <c r="G376" s="122"/>
      <c r="H376" s="122">
        <f>B376*C376</f>
        <v>30.79</v>
      </c>
    </row>
    <row r="377" spans="1:8" ht="15" customHeight="1">
      <c r="A377" s="121" t="s">
        <v>26691</v>
      </c>
      <c r="B377" s="122">
        <v>1</v>
      </c>
      <c r="C377" s="122">
        <v>2.4700000000000002</v>
      </c>
      <c r="D377" s="122"/>
      <c r="E377" s="122"/>
      <c r="F377" s="122"/>
      <c r="G377" s="122"/>
      <c r="H377" s="122">
        <f t="shared" ref="H377:H381" si="77">B377*C377</f>
        <v>2.4700000000000002</v>
      </c>
    </row>
    <row r="378" spans="1:8" ht="15" customHeight="1">
      <c r="A378" s="121" t="s">
        <v>26692</v>
      </c>
      <c r="B378" s="122">
        <v>1</v>
      </c>
      <c r="C378" s="122">
        <v>2.4700000000000002</v>
      </c>
      <c r="D378" s="122"/>
      <c r="E378" s="122"/>
      <c r="F378" s="122"/>
      <c r="G378" s="122"/>
      <c r="H378" s="122">
        <f t="shared" si="77"/>
        <v>2.4700000000000002</v>
      </c>
    </row>
    <row r="379" spans="1:8" ht="15" customHeight="1">
      <c r="A379" s="121" t="s">
        <v>26644</v>
      </c>
      <c r="B379" s="122">
        <v>1</v>
      </c>
      <c r="C379" s="122">
        <v>3.94</v>
      </c>
      <c r="D379" s="122"/>
      <c r="E379" s="122"/>
      <c r="F379" s="122"/>
      <c r="G379" s="122"/>
      <c r="H379" s="122">
        <f t="shared" si="77"/>
        <v>3.94</v>
      </c>
    </row>
    <row r="380" spans="1:8" ht="15" customHeight="1">
      <c r="A380" s="121" t="s">
        <v>26693</v>
      </c>
      <c r="B380" s="122">
        <v>1</v>
      </c>
      <c r="C380" s="122">
        <v>2.85</v>
      </c>
      <c r="D380" s="122"/>
      <c r="E380" s="122"/>
      <c r="F380" s="122"/>
      <c r="G380" s="122"/>
      <c r="H380" s="122">
        <f t="shared" ref="H380" si="78">B380*C380</f>
        <v>2.85</v>
      </c>
    </row>
    <row r="381" spans="1:8" ht="15" customHeight="1">
      <c r="A381" s="121" t="s">
        <v>26737</v>
      </c>
      <c r="B381" s="122">
        <v>1</v>
      </c>
      <c r="C381" s="122">
        <v>2.1</v>
      </c>
      <c r="D381" s="122"/>
      <c r="E381" s="122"/>
      <c r="F381" s="122"/>
      <c r="G381" s="122"/>
      <c r="H381" s="122">
        <f t="shared" si="77"/>
        <v>2.1</v>
      </c>
    </row>
    <row r="382" spans="1:8" s="117" customFormat="1" ht="30" customHeight="1">
      <c r="A382" s="115" t="s">
        <v>26547</v>
      </c>
      <c r="B382" s="375" t="str">
        <f>VLOOKUP($A382,SERVICOS,4,FALSE)</f>
        <v>Regularização De Base P/ Revestimento Cerâmico, Com Argamassa De Cimento E Areia No Traço 1:5, Espessura 3Cm</v>
      </c>
      <c r="C382" s="376"/>
      <c r="D382" s="376"/>
      <c r="E382" s="376"/>
      <c r="F382" s="377"/>
      <c r="G382" s="115" t="str">
        <f>VLOOKUP($A382,SERVICOS,5,FALSE)</f>
        <v>m²</v>
      </c>
      <c r="H382" s="116">
        <f>ROUND(SUM(H384:H385),2)</f>
        <v>153.28</v>
      </c>
    </row>
    <row r="383" spans="1:8" ht="15" customHeight="1">
      <c r="A383" s="118" t="s">
        <v>1029</v>
      </c>
      <c r="B383" s="118" t="s">
        <v>19767</v>
      </c>
      <c r="C383" s="119" t="s">
        <v>26630</v>
      </c>
      <c r="D383" s="119"/>
      <c r="E383" s="118"/>
      <c r="F383" s="118"/>
      <c r="G383" s="118"/>
      <c r="H383" s="120"/>
    </row>
    <row r="384" spans="1:8" ht="15" customHeight="1">
      <c r="A384" s="121" t="s">
        <v>26663</v>
      </c>
      <c r="B384" s="122">
        <v>1</v>
      </c>
      <c r="C384" s="122">
        <v>141.06</v>
      </c>
      <c r="D384" s="122" t="s">
        <v>26699</v>
      </c>
      <c r="E384" s="122"/>
      <c r="F384" s="122"/>
      <c r="G384" s="122"/>
      <c r="H384" s="122">
        <f t="shared" ref="H384:H385" si="79">B384*C384</f>
        <v>141.06</v>
      </c>
    </row>
    <row r="385" spans="1:8" ht="15" customHeight="1">
      <c r="A385" s="121" t="s">
        <v>26664</v>
      </c>
      <c r="B385" s="122">
        <v>1</v>
      </c>
      <c r="C385" s="122">
        <v>12.22</v>
      </c>
      <c r="D385" s="122" t="s">
        <v>26699</v>
      </c>
      <c r="E385" s="122"/>
      <c r="F385" s="122"/>
      <c r="G385" s="122"/>
      <c r="H385" s="122">
        <f t="shared" si="79"/>
        <v>12.22</v>
      </c>
    </row>
    <row r="386" spans="1:8" s="117" customFormat="1" ht="15" customHeight="1">
      <c r="A386" s="115" t="s">
        <v>26595</v>
      </c>
      <c r="B386" s="375" t="str">
        <f>VLOOKUP($A386,SERVICOS,4,FALSE)</f>
        <v>Piso Em Granito Aplicado Em Calçadas Ou Pisos Externos. Af_05/2020</v>
      </c>
      <c r="C386" s="376"/>
      <c r="D386" s="376"/>
      <c r="E386" s="376"/>
      <c r="F386" s="377"/>
      <c r="G386" s="115" t="str">
        <f>VLOOKUP($A386,SERVICOS,5,FALSE)</f>
        <v>m²</v>
      </c>
      <c r="H386" s="116">
        <f>ROUND(SUM(H388:H398),2)</f>
        <v>247.93</v>
      </c>
    </row>
    <row r="387" spans="1:8" ht="15" customHeight="1">
      <c r="A387" s="118" t="s">
        <v>1029</v>
      </c>
      <c r="B387" s="118" t="s">
        <v>19767</v>
      </c>
      <c r="C387" s="119" t="s">
        <v>26630</v>
      </c>
      <c r="D387" s="119"/>
      <c r="E387" s="118"/>
      <c r="F387" s="118"/>
      <c r="G387" s="118"/>
      <c r="H387" s="120"/>
    </row>
    <row r="388" spans="1:8" ht="15" customHeight="1">
      <c r="A388" s="121" t="str">
        <f>A384</f>
        <v xml:space="preserve">Galeria de artes </v>
      </c>
      <c r="B388" s="122">
        <f>B384</f>
        <v>1</v>
      </c>
      <c r="C388" s="122">
        <f t="shared" ref="C388:D389" si="80">C384</f>
        <v>141.06</v>
      </c>
      <c r="D388" s="122" t="str">
        <f t="shared" si="80"/>
        <v>TÉRREO</v>
      </c>
      <c r="E388" s="122"/>
      <c r="F388" s="122"/>
      <c r="G388" s="122"/>
      <c r="H388" s="122">
        <f t="shared" ref="H388:H389" si="81">B388*C388</f>
        <v>141.06</v>
      </c>
    </row>
    <row r="389" spans="1:8" ht="15" customHeight="1">
      <c r="A389" s="121" t="str">
        <f>A385</f>
        <v xml:space="preserve">Hall escada </v>
      </c>
      <c r="B389" s="122">
        <f>B385</f>
        <v>1</v>
      </c>
      <c r="C389" s="122">
        <f t="shared" si="80"/>
        <v>12.22</v>
      </c>
      <c r="D389" s="122" t="str">
        <f t="shared" si="80"/>
        <v>TÉRREO</v>
      </c>
      <c r="E389" s="122"/>
      <c r="F389" s="122"/>
      <c r="G389" s="122"/>
      <c r="H389" s="122">
        <f t="shared" si="81"/>
        <v>12.22</v>
      </c>
    </row>
    <row r="390" spans="1:8" ht="15" customHeight="1">
      <c r="A390" s="121" t="s">
        <v>26647</v>
      </c>
      <c r="B390" s="122">
        <v>1</v>
      </c>
      <c r="C390" s="122">
        <v>30.79</v>
      </c>
      <c r="D390" s="241" t="s">
        <v>26699</v>
      </c>
      <c r="E390" s="122"/>
      <c r="F390" s="122"/>
      <c r="G390" s="122"/>
      <c r="H390" s="122">
        <f>B390*C390</f>
        <v>30.79</v>
      </c>
    </row>
    <row r="391" spans="1:8" ht="15" customHeight="1">
      <c r="A391" s="121" t="s">
        <v>26647</v>
      </c>
      <c r="B391" s="122">
        <v>1</v>
      </c>
      <c r="C391" s="122">
        <v>23.66</v>
      </c>
      <c r="D391" s="241" t="s">
        <v>26701</v>
      </c>
      <c r="E391" s="122"/>
      <c r="F391" s="122"/>
      <c r="G391" s="122"/>
      <c r="H391" s="122">
        <f>B391*C391</f>
        <v>23.66</v>
      </c>
    </row>
    <row r="392" spans="1:8" ht="15" customHeight="1">
      <c r="A392" s="121" t="s">
        <v>26691</v>
      </c>
      <c r="B392" s="122">
        <v>2</v>
      </c>
      <c r="C392" s="122">
        <v>2.4700000000000002</v>
      </c>
      <c r="D392" s="389" t="s">
        <v>26700</v>
      </c>
      <c r="E392" s="390"/>
      <c r="F392" s="390"/>
      <c r="G392" s="391"/>
      <c r="H392" s="122">
        <f t="shared" ref="H392:H394" si="82">B392*C392</f>
        <v>4.9400000000000004</v>
      </c>
    </row>
    <row r="393" spans="1:8" ht="15" customHeight="1">
      <c r="A393" s="121" t="s">
        <v>26692</v>
      </c>
      <c r="B393" s="122">
        <v>2</v>
      </c>
      <c r="C393" s="122">
        <v>2.4700000000000002</v>
      </c>
      <c r="D393" s="392"/>
      <c r="E393" s="393"/>
      <c r="F393" s="393"/>
      <c r="G393" s="394"/>
      <c r="H393" s="122">
        <f t="shared" si="82"/>
        <v>4.9400000000000004</v>
      </c>
    </row>
    <row r="394" spans="1:8" ht="15" customHeight="1">
      <c r="A394" s="121" t="s">
        <v>26644</v>
      </c>
      <c r="B394" s="122">
        <v>2</v>
      </c>
      <c r="C394" s="122">
        <v>3.94</v>
      </c>
      <c r="D394" s="392"/>
      <c r="E394" s="393"/>
      <c r="F394" s="393"/>
      <c r="G394" s="394"/>
      <c r="H394" s="122">
        <f t="shared" si="82"/>
        <v>7.88</v>
      </c>
    </row>
    <row r="395" spans="1:8" ht="15" customHeight="1">
      <c r="A395" s="121" t="s">
        <v>26693</v>
      </c>
      <c r="B395" s="122">
        <v>2</v>
      </c>
      <c r="C395" s="122">
        <v>2.85</v>
      </c>
      <c r="D395" s="392"/>
      <c r="E395" s="393"/>
      <c r="F395" s="393"/>
      <c r="G395" s="394"/>
      <c r="H395" s="122">
        <f t="shared" ref="H395:H398" si="83">B395*C395</f>
        <v>5.7</v>
      </c>
    </row>
    <row r="396" spans="1:8" ht="15" customHeight="1">
      <c r="A396" s="121" t="s">
        <v>28594</v>
      </c>
      <c r="B396" s="122">
        <v>1</v>
      </c>
      <c r="C396" s="122">
        <v>7.13</v>
      </c>
      <c r="D396" s="241"/>
      <c r="E396" s="122"/>
      <c r="F396" s="122"/>
      <c r="G396" s="122"/>
      <c r="H396" s="122">
        <f t="shared" si="83"/>
        <v>7.13</v>
      </c>
    </row>
    <row r="397" spans="1:8" ht="15" customHeight="1">
      <c r="A397" s="121" t="s">
        <v>28595</v>
      </c>
      <c r="B397" s="122">
        <v>1</v>
      </c>
      <c r="C397" s="122">
        <v>4.2</v>
      </c>
      <c r="D397" s="241"/>
      <c r="E397" s="122"/>
      <c r="F397" s="122"/>
      <c r="G397" s="122"/>
      <c r="H397" s="122">
        <f t="shared" ref="H397" si="84">B397*C397</f>
        <v>4.2</v>
      </c>
    </row>
    <row r="398" spans="1:8" ht="15" customHeight="1">
      <c r="A398" s="121" t="s">
        <v>29098</v>
      </c>
      <c r="B398" s="122">
        <v>1</v>
      </c>
      <c r="C398" s="122">
        <v>5.41</v>
      </c>
      <c r="D398" s="241"/>
      <c r="E398" s="122"/>
      <c r="F398" s="122"/>
      <c r="G398" s="122"/>
      <c r="H398" s="122">
        <f t="shared" si="83"/>
        <v>5.41</v>
      </c>
    </row>
    <row r="399" spans="1:8" s="117" customFormat="1" ht="15" customHeight="1">
      <c r="A399" s="115" t="s">
        <v>26597</v>
      </c>
      <c r="B399" s="375" t="str">
        <f>VLOOKUP($A399,SERVICOS,4,FALSE)</f>
        <v>Rodapé Em Granito, Altura 10 Cm. Af_09/2020</v>
      </c>
      <c r="C399" s="376"/>
      <c r="D399" s="376"/>
      <c r="E399" s="376"/>
      <c r="F399" s="377"/>
      <c r="G399" s="115" t="str">
        <f>VLOOKUP($A399,SERVICOS,5,FALSE)</f>
        <v>m</v>
      </c>
      <c r="H399" s="116">
        <f>ROUND(SUM(H401:H411),2)</f>
        <v>160.79</v>
      </c>
    </row>
    <row r="400" spans="1:8" ht="25.5">
      <c r="A400" s="118" t="s">
        <v>1029</v>
      </c>
      <c r="B400" s="118" t="s">
        <v>19767</v>
      </c>
      <c r="C400" s="119" t="s">
        <v>19769</v>
      </c>
      <c r="D400" s="119" t="s">
        <v>26702</v>
      </c>
      <c r="E400" s="119" t="s">
        <v>26703</v>
      </c>
      <c r="F400" s="118"/>
      <c r="G400" s="118"/>
      <c r="H400" s="120"/>
    </row>
    <row r="401" spans="1:8" ht="15" customHeight="1">
      <c r="A401" s="121" t="str">
        <f>A388</f>
        <v xml:space="preserve">Galeria de artes </v>
      </c>
      <c r="B401" s="122">
        <f>B396</f>
        <v>1</v>
      </c>
      <c r="C401" s="122">
        <v>50.9</v>
      </c>
      <c r="D401" s="122">
        <f>1.4+1.7*3+2</f>
        <v>8.5</v>
      </c>
      <c r="E401" s="122">
        <f t="shared" ref="E401:E403" si="85">C401-D401</f>
        <v>42.4</v>
      </c>
      <c r="F401" s="122"/>
      <c r="G401" s="122"/>
      <c r="H401" s="122">
        <f t="shared" ref="H401:H403" si="86">B401*C401</f>
        <v>50.9</v>
      </c>
    </row>
    <row r="402" spans="1:8" ht="25.5">
      <c r="A402" s="240" t="s">
        <v>28565</v>
      </c>
      <c r="B402" s="122">
        <v>5</v>
      </c>
      <c r="C402" s="122">
        <f>0.3*4</f>
        <v>1.2</v>
      </c>
      <c r="D402" s="122">
        <f>D396</f>
        <v>0</v>
      </c>
      <c r="E402" s="122">
        <f t="shared" si="85"/>
        <v>1.2</v>
      </c>
      <c r="F402" s="122"/>
      <c r="G402" s="122"/>
      <c r="H402" s="122">
        <f t="shared" ref="H402" si="87">B402*C402</f>
        <v>6</v>
      </c>
    </row>
    <row r="403" spans="1:8" ht="15" customHeight="1">
      <c r="A403" s="121" t="str">
        <f>A389</f>
        <v xml:space="preserve">Hall escada </v>
      </c>
      <c r="B403" s="122">
        <f>B398</f>
        <v>1</v>
      </c>
      <c r="C403" s="122">
        <v>14.6</v>
      </c>
      <c r="D403" s="122">
        <f>D398</f>
        <v>0</v>
      </c>
      <c r="E403" s="122">
        <f t="shared" si="85"/>
        <v>14.6</v>
      </c>
      <c r="F403" s="122"/>
      <c r="G403" s="122"/>
      <c r="H403" s="122">
        <f t="shared" si="86"/>
        <v>14.6</v>
      </c>
    </row>
    <row r="404" spans="1:8" ht="15" customHeight="1">
      <c r="A404" s="121" t="s">
        <v>26705</v>
      </c>
      <c r="B404" s="122">
        <v>1</v>
      </c>
      <c r="C404" s="122">
        <f>6.6+6.75+6.25</f>
        <v>19.600000000000001</v>
      </c>
      <c r="D404" s="122">
        <f>0.7*2+0.8+0.9*2+2</f>
        <v>6</v>
      </c>
      <c r="E404" s="122">
        <f>C404-D404</f>
        <v>13.600000000000001</v>
      </c>
      <c r="F404" s="122"/>
      <c r="G404" s="122"/>
      <c r="H404" s="122">
        <f>B404*E404</f>
        <v>13.600000000000001</v>
      </c>
    </row>
    <row r="405" spans="1:8" ht="15" customHeight="1">
      <c r="A405" s="121" t="s">
        <v>26704</v>
      </c>
      <c r="B405" s="122">
        <v>1</v>
      </c>
      <c r="C405" s="122">
        <f>6.6+3.32+2.55</f>
        <v>12.469999999999999</v>
      </c>
      <c r="D405" s="122">
        <f>0.7*2+0.8+0.9*2+1</f>
        <v>5</v>
      </c>
      <c r="E405" s="122">
        <f t="shared" ref="E405:E411" si="88">C405-D405</f>
        <v>7.4699999999999989</v>
      </c>
      <c r="F405" s="122"/>
      <c r="G405" s="122"/>
      <c r="H405" s="122">
        <f t="shared" ref="H405:H411" si="89">B405*E405</f>
        <v>7.4699999999999989</v>
      </c>
    </row>
    <row r="406" spans="1:8" ht="15" customHeight="1">
      <c r="A406" s="121" t="s">
        <v>26691</v>
      </c>
      <c r="B406" s="122">
        <v>2</v>
      </c>
      <c r="C406" s="122">
        <v>6.4</v>
      </c>
      <c r="D406" s="248">
        <v>0.7</v>
      </c>
      <c r="E406" s="122">
        <f t="shared" si="88"/>
        <v>5.7</v>
      </c>
      <c r="F406" s="247"/>
      <c r="G406" s="247"/>
      <c r="H406" s="122">
        <f t="shared" si="89"/>
        <v>11.4</v>
      </c>
    </row>
    <row r="407" spans="1:8" ht="15" customHeight="1">
      <c r="A407" s="121" t="s">
        <v>26692</v>
      </c>
      <c r="B407" s="122">
        <v>2</v>
      </c>
      <c r="C407" s="122">
        <v>6.4</v>
      </c>
      <c r="D407" s="248">
        <v>0.7</v>
      </c>
      <c r="E407" s="122">
        <f t="shared" si="88"/>
        <v>5.7</v>
      </c>
      <c r="F407" s="247"/>
      <c r="G407" s="247"/>
      <c r="H407" s="122">
        <f t="shared" si="89"/>
        <v>11.4</v>
      </c>
    </row>
    <row r="408" spans="1:8" ht="15" customHeight="1">
      <c r="A408" s="121" t="s">
        <v>28593</v>
      </c>
      <c r="B408" s="122">
        <v>2</v>
      </c>
      <c r="C408" s="122">
        <v>7.91</v>
      </c>
      <c r="D408" s="248">
        <v>0.8</v>
      </c>
      <c r="E408" s="122">
        <f t="shared" si="88"/>
        <v>7.11</v>
      </c>
      <c r="F408" s="247"/>
      <c r="G408" s="247"/>
      <c r="H408" s="122">
        <f t="shared" si="89"/>
        <v>14.22</v>
      </c>
    </row>
    <row r="409" spans="1:8" ht="15" customHeight="1">
      <c r="A409" s="121" t="s">
        <v>26693</v>
      </c>
      <c r="B409" s="122">
        <v>2</v>
      </c>
      <c r="C409" s="122">
        <v>6.8</v>
      </c>
      <c r="D409" s="248">
        <v>0.9</v>
      </c>
      <c r="E409" s="122">
        <f t="shared" ref="E409:E410" si="90">C409-D409</f>
        <v>5.8999999999999995</v>
      </c>
      <c r="F409" s="247"/>
      <c r="G409" s="247"/>
      <c r="H409" s="122">
        <f t="shared" ref="H409:H410" si="91">B409*E409</f>
        <v>11.799999999999999</v>
      </c>
    </row>
    <row r="410" spans="1:8" ht="15" customHeight="1">
      <c r="A410" s="121" t="s">
        <v>28596</v>
      </c>
      <c r="B410" s="122">
        <v>8</v>
      </c>
      <c r="C410" s="122">
        <v>1</v>
      </c>
      <c r="D410" s="248"/>
      <c r="E410" s="122">
        <f t="shared" si="90"/>
        <v>1</v>
      </c>
      <c r="F410" s="247"/>
      <c r="G410" s="247"/>
      <c r="H410" s="122">
        <f t="shared" si="91"/>
        <v>8</v>
      </c>
    </row>
    <row r="411" spans="1:8" ht="15" customHeight="1">
      <c r="A411" s="121" t="s">
        <v>26763</v>
      </c>
      <c r="B411" s="122">
        <v>1</v>
      </c>
      <c r="C411" s="122">
        <f>3.5+3.7+4.2</f>
        <v>11.4</v>
      </c>
      <c r="D411" s="248"/>
      <c r="E411" s="122">
        <f t="shared" si="88"/>
        <v>11.4</v>
      </c>
      <c r="F411" s="247"/>
      <c r="G411" s="247"/>
      <c r="H411" s="122">
        <f t="shared" si="89"/>
        <v>11.4</v>
      </c>
    </row>
    <row r="412" spans="1:8" s="117" customFormat="1" ht="30" customHeight="1">
      <c r="A412" s="115" t="s">
        <v>28523</v>
      </c>
      <c r="B412" s="375" t="str">
        <f>VLOOKUP($A412,SERVICOS,4,FALSE)</f>
        <v>Reinstalação De Rodapé De Madeira, Altura 14 Cm, Fixado Com Cola E Parafusos</v>
      </c>
      <c r="C412" s="376"/>
      <c r="D412" s="376"/>
      <c r="E412" s="376"/>
      <c r="F412" s="377"/>
      <c r="G412" s="115" t="str">
        <f>VLOOKUP($A412,SERVICOS,5,FALSE)</f>
        <v>m</v>
      </c>
      <c r="H412" s="116">
        <f>ROUND(SUM(H414:H414),2)</f>
        <v>99.63</v>
      </c>
    </row>
    <row r="413" spans="1:8" ht="15" customHeight="1">
      <c r="A413" s="118" t="s">
        <v>1029</v>
      </c>
      <c r="B413" s="118" t="s">
        <v>19767</v>
      </c>
      <c r="C413" s="119" t="s">
        <v>19769</v>
      </c>
      <c r="D413" s="119"/>
      <c r="E413" s="118"/>
      <c r="F413" s="118"/>
      <c r="G413" s="118"/>
      <c r="H413" s="120"/>
    </row>
    <row r="414" spans="1:8" ht="15" customHeight="1">
      <c r="A414" s="121" t="s">
        <v>28598</v>
      </c>
      <c r="B414" s="122">
        <v>1</v>
      </c>
      <c r="C414" s="122">
        <f>H126-H126*0.1</f>
        <v>99.63</v>
      </c>
      <c r="D414" s="122"/>
      <c r="E414" s="122"/>
      <c r="F414" s="122"/>
      <c r="G414" s="122"/>
      <c r="H414" s="122">
        <f>B414*C414</f>
        <v>99.63</v>
      </c>
    </row>
    <row r="415" spans="1:8" ht="15" customHeight="1">
      <c r="A415" s="251" t="s">
        <v>28599</v>
      </c>
      <c r="B415" s="243"/>
      <c r="C415" s="244"/>
      <c r="D415" s="250"/>
      <c r="E415" s="245"/>
      <c r="F415" s="246"/>
      <c r="G415" s="122"/>
      <c r="H415" s="122"/>
    </row>
    <row r="416" spans="1:8" s="117" customFormat="1" ht="30" customHeight="1">
      <c r="A416" s="115" t="s">
        <v>28548</v>
      </c>
      <c r="B416" s="375" t="str">
        <f>VLOOKUP($A416,SERVICOS,4,FALSE)</f>
        <v>Rodapé Em Madeira, Altura 7Cm, Fixado Com Cola E Parafusos. Af_09/2020</v>
      </c>
      <c r="C416" s="376"/>
      <c r="D416" s="376"/>
      <c r="E416" s="376"/>
      <c r="F416" s="377"/>
      <c r="G416" s="115" t="str">
        <f>VLOOKUP($A416,SERVICOS,5,FALSE)</f>
        <v>m</v>
      </c>
      <c r="H416" s="116">
        <f>ROUND(SUM(H418:H423),2)</f>
        <v>60.94</v>
      </c>
    </row>
    <row r="417" spans="1:8" ht="15" customHeight="1">
      <c r="A417" s="118" t="s">
        <v>1029</v>
      </c>
      <c r="B417" s="118" t="s">
        <v>19767</v>
      </c>
      <c r="C417" s="119" t="s">
        <v>19769</v>
      </c>
      <c r="D417" s="119"/>
      <c r="E417" s="118"/>
      <c r="F417" s="118"/>
      <c r="G417" s="118"/>
      <c r="H417" s="120"/>
    </row>
    <row r="418" spans="1:8" ht="15" customHeight="1">
      <c r="A418" s="121" t="s">
        <v>26665</v>
      </c>
      <c r="B418" s="122">
        <v>2</v>
      </c>
      <c r="C418" s="122">
        <f>4.75+3.1+2.2</f>
        <v>10.050000000000001</v>
      </c>
      <c r="D418" s="241" t="s">
        <v>28524</v>
      </c>
      <c r="E418" s="122"/>
      <c r="F418" s="122"/>
      <c r="G418" s="122"/>
      <c r="H418" s="122">
        <f t="shared" ref="H418:H423" si="92">B418*C418</f>
        <v>20.100000000000001</v>
      </c>
    </row>
    <row r="419" spans="1:8" ht="15" customHeight="1">
      <c r="A419" s="121" t="s">
        <v>26666</v>
      </c>
      <c r="B419" s="122">
        <v>2</v>
      </c>
      <c r="C419" s="122">
        <v>2.35</v>
      </c>
      <c r="D419" s="241" t="s">
        <v>29096</v>
      </c>
      <c r="E419" s="122"/>
      <c r="F419" s="122"/>
      <c r="G419" s="122"/>
      <c r="H419" s="122">
        <f t="shared" si="92"/>
        <v>4.7</v>
      </c>
    </row>
    <row r="420" spans="1:8" ht="15" customHeight="1">
      <c r="A420" s="121" t="s">
        <v>26667</v>
      </c>
      <c r="B420" s="122">
        <v>2</v>
      </c>
      <c r="C420" s="122">
        <v>2</v>
      </c>
      <c r="D420" s="122"/>
      <c r="E420" s="122"/>
      <c r="F420" s="122"/>
      <c r="G420" s="122"/>
      <c r="H420" s="122">
        <f t="shared" si="92"/>
        <v>4</v>
      </c>
    </row>
    <row r="421" spans="1:8" ht="15" customHeight="1">
      <c r="A421" s="121" t="s">
        <v>26670</v>
      </c>
      <c r="B421" s="122">
        <v>2</v>
      </c>
      <c r="C421" s="122">
        <v>2.5</v>
      </c>
      <c r="D421" s="122"/>
      <c r="E421" s="122"/>
      <c r="F421" s="122"/>
      <c r="G421" s="122"/>
      <c r="H421" s="122">
        <f t="shared" si="92"/>
        <v>5</v>
      </c>
    </row>
    <row r="422" spans="1:8" ht="15" customHeight="1">
      <c r="A422" s="121" t="s">
        <v>26671</v>
      </c>
      <c r="B422" s="122">
        <v>2</v>
      </c>
      <c r="C422" s="122">
        <v>2.5</v>
      </c>
      <c r="D422" s="122"/>
      <c r="E422" s="122"/>
      <c r="F422" s="122"/>
      <c r="G422" s="122"/>
      <c r="H422" s="122">
        <f t="shared" si="92"/>
        <v>5</v>
      </c>
    </row>
    <row r="423" spans="1:8" ht="15" customHeight="1">
      <c r="A423" s="121" t="s">
        <v>28597</v>
      </c>
      <c r="B423" s="122">
        <v>2</v>
      </c>
      <c r="C423" s="122">
        <f>H126-C414</f>
        <v>11.070000000000007</v>
      </c>
      <c r="D423" s="241" t="s">
        <v>28600</v>
      </c>
      <c r="E423" s="122"/>
      <c r="F423" s="122"/>
      <c r="G423" s="122"/>
      <c r="H423" s="122">
        <f t="shared" si="92"/>
        <v>22.140000000000015</v>
      </c>
    </row>
    <row r="424" spans="1:8" s="117" customFormat="1" ht="15" customHeight="1">
      <c r="A424" s="115" t="s">
        <v>28601</v>
      </c>
      <c r="B424" s="375" t="str">
        <f>VLOOKUP($A424,SERVICOS,4,FALSE)</f>
        <v>Soleira Em Granito, Largura 15 Cm, Espessura 2,0 Cm. Af_09/2020</v>
      </c>
      <c r="C424" s="376"/>
      <c r="D424" s="376"/>
      <c r="E424" s="376"/>
      <c r="F424" s="377"/>
      <c r="G424" s="115" t="str">
        <f>VLOOKUP($A424,SERVICOS,5,FALSE)</f>
        <v>m</v>
      </c>
      <c r="H424" s="116">
        <f>ROUND(SUM(H426:H433),2)</f>
        <v>26.24</v>
      </c>
    </row>
    <row r="425" spans="1:8" ht="15" customHeight="1">
      <c r="A425" s="118" t="s">
        <v>1029</v>
      </c>
      <c r="B425" s="118" t="s">
        <v>19767</v>
      </c>
      <c r="C425" s="119" t="s">
        <v>19769</v>
      </c>
      <c r="D425" s="119"/>
      <c r="E425" s="118"/>
      <c r="F425" s="118"/>
      <c r="G425" s="118"/>
      <c r="H425" s="120"/>
    </row>
    <row r="426" spans="1:8" ht="15" customHeight="1">
      <c r="A426" s="121" t="str">
        <f>A406</f>
        <v>Wc Fem.</v>
      </c>
      <c r="B426" s="122">
        <v>2</v>
      </c>
      <c r="C426" s="122">
        <v>0.7</v>
      </c>
      <c r="D426" s="241"/>
      <c r="E426" s="122"/>
      <c r="F426" s="122"/>
      <c r="G426" s="122"/>
      <c r="H426" s="122">
        <f t="shared" ref="H426:H433" si="93">B426*C426</f>
        <v>1.4</v>
      </c>
    </row>
    <row r="427" spans="1:8" ht="15" customHeight="1">
      <c r="A427" s="121" t="str">
        <f>A407</f>
        <v>Wc Masc.</v>
      </c>
      <c r="B427" s="122">
        <v>2</v>
      </c>
      <c r="C427" s="122">
        <v>0.7</v>
      </c>
      <c r="D427" s="122"/>
      <c r="E427" s="122"/>
      <c r="F427" s="122"/>
      <c r="G427" s="122"/>
      <c r="H427" s="122">
        <f t="shared" si="93"/>
        <v>1.4</v>
      </c>
    </row>
    <row r="428" spans="1:8" ht="15" customHeight="1">
      <c r="A428" s="121" t="str">
        <f>A408</f>
        <v>Copa/ almoxarifado</v>
      </c>
      <c r="B428" s="122">
        <v>2</v>
      </c>
      <c r="C428" s="122">
        <v>0.8</v>
      </c>
      <c r="D428" s="122"/>
      <c r="E428" s="122"/>
      <c r="F428" s="122"/>
      <c r="G428" s="122"/>
      <c r="H428" s="122">
        <f t="shared" si="93"/>
        <v>1.6</v>
      </c>
    </row>
    <row r="429" spans="1:8" ht="15" customHeight="1">
      <c r="A429" s="121" t="str">
        <f>A409</f>
        <v>Wc PNE</v>
      </c>
      <c r="B429" s="122">
        <v>2</v>
      </c>
      <c r="C429" s="122">
        <v>0.9</v>
      </c>
      <c r="D429" s="122"/>
      <c r="E429" s="122"/>
      <c r="F429" s="122"/>
      <c r="G429" s="122"/>
      <c r="H429" s="122">
        <f t="shared" si="93"/>
        <v>1.8</v>
      </c>
    </row>
    <row r="430" spans="1:8" ht="15" customHeight="1">
      <c r="A430" s="121" t="s">
        <v>26737</v>
      </c>
      <c r="B430" s="122">
        <v>2</v>
      </c>
      <c r="C430" s="122">
        <v>0.9</v>
      </c>
      <c r="D430" s="122"/>
      <c r="E430" s="122"/>
      <c r="F430" s="122"/>
      <c r="G430" s="122"/>
      <c r="H430" s="122">
        <f t="shared" si="93"/>
        <v>1.8</v>
      </c>
    </row>
    <row r="431" spans="1:8" ht="15" customHeight="1">
      <c r="A431" s="121" t="s">
        <v>29097</v>
      </c>
      <c r="B431" s="122">
        <v>2</v>
      </c>
      <c r="C431" s="122">
        <v>0.5</v>
      </c>
      <c r="D431" s="122"/>
      <c r="E431" s="122"/>
      <c r="F431" s="122"/>
      <c r="G431" s="122"/>
      <c r="H431" s="122">
        <f t="shared" si="93"/>
        <v>1</v>
      </c>
    </row>
    <row r="432" spans="1:8" ht="38.25">
      <c r="A432" s="240" t="s">
        <v>29099</v>
      </c>
      <c r="B432" s="122">
        <v>1</v>
      </c>
      <c r="C432" s="122">
        <f>1.69+0.2+3.93+0.2+1.6+2</f>
        <v>9.620000000000001</v>
      </c>
      <c r="D432" s="122"/>
      <c r="E432" s="122"/>
      <c r="F432" s="122"/>
      <c r="G432" s="122"/>
      <c r="H432" s="122">
        <f t="shared" si="93"/>
        <v>9.620000000000001</v>
      </c>
    </row>
    <row r="433" spans="1:8" ht="38.25">
      <c r="A433" s="240" t="s">
        <v>29100</v>
      </c>
      <c r="B433" s="122">
        <v>1</v>
      </c>
      <c r="C433" s="122">
        <f>1.69+0.2+3.93+0.2+1.6</f>
        <v>7.620000000000001</v>
      </c>
      <c r="D433" s="122"/>
      <c r="E433" s="122"/>
      <c r="F433" s="122"/>
      <c r="G433" s="122"/>
      <c r="H433" s="122">
        <f t="shared" si="93"/>
        <v>7.620000000000001</v>
      </c>
    </row>
    <row r="434" spans="1:8" s="117" customFormat="1" ht="30" customHeight="1">
      <c r="A434" s="115" t="s">
        <v>29094</v>
      </c>
      <c r="B434" s="375" t="str">
        <f>VLOOKUP($A434,SERVICOS,4,FALSE)</f>
        <v>Chapim Sobre Muros Lineares, Em Granito Ou Mármore, L = 25 Cm, Assentado Com Argamassa 1:6 Com Aditivo. Af_11/2020</v>
      </c>
      <c r="C434" s="376"/>
      <c r="D434" s="376"/>
      <c r="E434" s="376"/>
      <c r="F434" s="377"/>
      <c r="G434" s="115" t="str">
        <f>VLOOKUP($A434,SERVICOS,5,FALSE)</f>
        <v>m</v>
      </c>
      <c r="H434" s="116">
        <f>ROUND(SUM(H436:H442),2)</f>
        <v>14.5</v>
      </c>
    </row>
    <row r="435" spans="1:8" ht="15" customHeight="1">
      <c r="A435" s="118" t="s">
        <v>1029</v>
      </c>
      <c r="B435" s="118" t="s">
        <v>19767</v>
      </c>
      <c r="C435" s="119" t="s">
        <v>19769</v>
      </c>
      <c r="D435" s="119"/>
      <c r="E435" s="118"/>
      <c r="F435" s="118"/>
      <c r="G435" s="118"/>
      <c r="H435" s="120"/>
    </row>
    <row r="436" spans="1:8" ht="15" customHeight="1">
      <c r="A436" s="121" t="s">
        <v>26664</v>
      </c>
      <c r="B436" s="122">
        <v>1</v>
      </c>
      <c r="C436" s="122">
        <v>0.8</v>
      </c>
      <c r="D436" s="241"/>
      <c r="E436" s="122"/>
      <c r="F436" s="122"/>
      <c r="G436" s="122"/>
      <c r="H436" s="122">
        <f t="shared" ref="H436:H442" si="94">B436*C436</f>
        <v>0.8</v>
      </c>
    </row>
    <row r="437" spans="1:8" ht="15" customHeight="1">
      <c r="A437" s="121" t="s">
        <v>28821</v>
      </c>
      <c r="B437" s="122">
        <v>1</v>
      </c>
      <c r="C437" s="122">
        <v>1</v>
      </c>
      <c r="D437" s="241"/>
      <c r="E437" s="122"/>
      <c r="F437" s="122"/>
      <c r="G437" s="122"/>
      <c r="H437" s="122">
        <f t="shared" si="94"/>
        <v>1</v>
      </c>
    </row>
    <row r="438" spans="1:8" ht="15" customHeight="1">
      <c r="A438" s="121" t="s">
        <v>28824</v>
      </c>
      <c r="B438" s="122">
        <v>3</v>
      </c>
      <c r="C438" s="122">
        <v>1.4</v>
      </c>
      <c r="D438" s="122"/>
      <c r="E438" s="122"/>
      <c r="F438" s="122"/>
      <c r="G438" s="122"/>
      <c r="H438" s="122">
        <f t="shared" si="94"/>
        <v>4.1999999999999993</v>
      </c>
    </row>
    <row r="439" spans="1:8" ht="15" customHeight="1">
      <c r="A439" s="121" t="s">
        <v>28827</v>
      </c>
      <c r="B439" s="122">
        <v>1</v>
      </c>
      <c r="C439" s="122">
        <v>1.7</v>
      </c>
      <c r="D439" s="122"/>
      <c r="E439" s="122"/>
      <c r="F439" s="122"/>
      <c r="G439" s="122"/>
      <c r="H439" s="122">
        <f t="shared" si="94"/>
        <v>1.7</v>
      </c>
    </row>
    <row r="440" spans="1:8" ht="15" customHeight="1">
      <c r="A440" s="121" t="s">
        <v>28609</v>
      </c>
      <c r="B440" s="122">
        <v>1</v>
      </c>
      <c r="C440" s="122">
        <v>1.4</v>
      </c>
      <c r="D440" s="122"/>
      <c r="E440" s="122"/>
      <c r="F440" s="122"/>
      <c r="G440" s="122"/>
      <c r="H440" s="122">
        <f t="shared" si="94"/>
        <v>1.4</v>
      </c>
    </row>
    <row r="441" spans="1:8" ht="15" customHeight="1">
      <c r="A441" s="121" t="s">
        <v>28612</v>
      </c>
      <c r="B441" s="122">
        <v>2</v>
      </c>
      <c r="C441" s="122">
        <v>1.7</v>
      </c>
      <c r="D441" s="122"/>
      <c r="E441" s="122"/>
      <c r="F441" s="122"/>
      <c r="G441" s="122"/>
      <c r="H441" s="122">
        <f t="shared" si="94"/>
        <v>3.4</v>
      </c>
    </row>
    <row r="442" spans="1:8" ht="15" customHeight="1">
      <c r="A442" s="121" t="s">
        <v>28613</v>
      </c>
      <c r="B442" s="122">
        <v>1</v>
      </c>
      <c r="C442" s="122">
        <v>2</v>
      </c>
      <c r="D442" s="122"/>
      <c r="E442" s="122"/>
      <c r="F442" s="122"/>
      <c r="G442" s="122"/>
      <c r="H442" s="122">
        <f t="shared" si="94"/>
        <v>2</v>
      </c>
    </row>
    <row r="443" spans="1:8" ht="15" customHeight="1">
      <c r="A443" s="113" t="s">
        <v>26549</v>
      </c>
      <c r="B443" s="378" t="str">
        <f>VLOOKUP($A443,SERVICOS,4,FALSE)</f>
        <v>COBERTURA</v>
      </c>
      <c r="C443" s="378"/>
      <c r="D443" s="378"/>
      <c r="E443" s="378"/>
      <c r="F443" s="378"/>
      <c r="G443" s="378">
        <f>VLOOKUP($A443,SERVICOS,5,FALSE)</f>
        <v>0</v>
      </c>
      <c r="H443" s="378" t="e">
        <f>ROUND(SUM(#REF!),2)</f>
        <v>#REF!</v>
      </c>
    </row>
    <row r="444" spans="1:8" s="117" customFormat="1" ht="45" customHeight="1">
      <c r="A444" s="115" t="s">
        <v>26550</v>
      </c>
      <c r="B444" s="375" t="str">
        <f>VLOOKUP($A444,SERVICOS,4,FALSE)</f>
        <v>Trama De Madeira Composta Por Ripas, Caibros E Terças Para Telhados De Mais Que 2 Águas Para Telha De Encaixe De Cerâmica Ou De Concreto, Incluso Transporte Vertical. Af_07/2019</v>
      </c>
      <c r="C444" s="376"/>
      <c r="D444" s="376"/>
      <c r="E444" s="376"/>
      <c r="F444" s="377"/>
      <c r="G444" s="115" t="str">
        <f>VLOOKUP($A444,SERVICOS,5,FALSE)</f>
        <v>m²</v>
      </c>
      <c r="H444" s="116">
        <f>ROUND(SUM(H446:H446),2)</f>
        <v>162</v>
      </c>
    </row>
    <row r="445" spans="1:8" ht="15" customHeight="1">
      <c r="A445" s="118" t="s">
        <v>1029</v>
      </c>
      <c r="B445" s="118" t="s">
        <v>19767</v>
      </c>
      <c r="C445" s="119" t="s">
        <v>19768</v>
      </c>
      <c r="D445" s="119" t="s">
        <v>19769</v>
      </c>
      <c r="E445" s="118"/>
      <c r="F445" s="118"/>
      <c r="G445" s="118"/>
      <c r="H445" s="120"/>
    </row>
    <row r="446" spans="1:8" ht="15" customHeight="1">
      <c r="A446" s="121" t="s">
        <v>26688</v>
      </c>
      <c r="B446" s="122">
        <v>1</v>
      </c>
      <c r="C446" s="122">
        <v>11.25</v>
      </c>
      <c r="D446" s="122">
        <v>14.4</v>
      </c>
      <c r="E446" s="122"/>
      <c r="F446" s="122"/>
      <c r="G446" s="122"/>
      <c r="H446" s="122">
        <f>B446*C446*D446</f>
        <v>162</v>
      </c>
    </row>
    <row r="447" spans="1:8" s="117" customFormat="1" ht="30" customHeight="1">
      <c r="A447" s="115" t="s">
        <v>26551</v>
      </c>
      <c r="B447" s="375" t="str">
        <f>VLOOKUP($A447,SERVICOS,4,FALSE)</f>
        <v>Telhamento Com Telha Cerâmica De Encaixe, Tipo Francesa, Com Mais De 2 Águas, Incluso Transporte Vertical. Af_07/2019</v>
      </c>
      <c r="C447" s="376"/>
      <c r="D447" s="376"/>
      <c r="E447" s="376"/>
      <c r="F447" s="377"/>
      <c r="G447" s="115" t="str">
        <f>VLOOKUP($A447,SERVICOS,5,FALSE)</f>
        <v>m²</v>
      </c>
      <c r="H447" s="116">
        <f>ROUND(SUM(H449:H449),2)</f>
        <v>162</v>
      </c>
    </row>
    <row r="448" spans="1:8" ht="15" customHeight="1">
      <c r="A448" s="118" t="s">
        <v>1029</v>
      </c>
      <c r="B448" s="118" t="s">
        <v>19767</v>
      </c>
      <c r="C448" s="119" t="s">
        <v>19768</v>
      </c>
      <c r="D448" s="119" t="s">
        <v>19769</v>
      </c>
      <c r="E448" s="118"/>
      <c r="F448" s="118"/>
      <c r="G448" s="118"/>
      <c r="H448" s="120"/>
    </row>
    <row r="449" spans="1:8" ht="15" customHeight="1">
      <c r="A449" s="121" t="str">
        <f>A446</f>
        <v>Cobertura existente</v>
      </c>
      <c r="B449" s="122">
        <f>B446</f>
        <v>1</v>
      </c>
      <c r="C449" s="122">
        <f t="shared" ref="C449:D449" si="95">C446</f>
        <v>11.25</v>
      </c>
      <c r="D449" s="122">
        <f t="shared" si="95"/>
        <v>14.4</v>
      </c>
      <c r="E449" s="122"/>
      <c r="F449" s="122"/>
      <c r="G449" s="122"/>
      <c r="H449" s="122">
        <f>B449*C449*D449</f>
        <v>162</v>
      </c>
    </row>
    <row r="450" spans="1:8" s="117" customFormat="1" ht="15" customHeight="1">
      <c r="A450" s="115" t="s">
        <v>26552</v>
      </c>
      <c r="B450" s="375" t="str">
        <f>VLOOKUP($A450,SERVICOS,4,FALSE)</f>
        <v>Tratamento Em Estrutura De Madeira Com Cupinicida</v>
      </c>
      <c r="C450" s="376"/>
      <c r="D450" s="376"/>
      <c r="E450" s="376"/>
      <c r="F450" s="377"/>
      <c r="G450" s="115" t="str">
        <f>VLOOKUP($A450,SERVICOS,5,FALSE)</f>
        <v>m²</v>
      </c>
      <c r="H450" s="116">
        <f>ROUND(SUM(H452:H452),2)</f>
        <v>162</v>
      </c>
    </row>
    <row r="451" spans="1:8" ht="15" customHeight="1">
      <c r="A451" s="118" t="s">
        <v>1029</v>
      </c>
      <c r="B451" s="118" t="s">
        <v>19767</v>
      </c>
      <c r="C451" s="119" t="s">
        <v>19768</v>
      </c>
      <c r="D451" s="119" t="s">
        <v>19769</v>
      </c>
      <c r="E451" s="118"/>
      <c r="F451" s="118"/>
      <c r="G451" s="118"/>
      <c r="H451" s="120"/>
    </row>
    <row r="452" spans="1:8" ht="15" customHeight="1">
      <c r="A452" s="121" t="str">
        <f>A449</f>
        <v>Cobertura existente</v>
      </c>
      <c r="B452" s="122">
        <f>B449</f>
        <v>1</v>
      </c>
      <c r="C452" s="122">
        <f t="shared" ref="C452:D452" si="96">C449</f>
        <v>11.25</v>
      </c>
      <c r="D452" s="122">
        <f t="shared" si="96"/>
        <v>14.4</v>
      </c>
      <c r="E452" s="122"/>
      <c r="F452" s="122"/>
      <c r="G452" s="122"/>
      <c r="H452" s="122">
        <f>B452*C452*D452</f>
        <v>162</v>
      </c>
    </row>
    <row r="453" spans="1:8" s="117" customFormat="1" ht="30" customHeight="1">
      <c r="A453" s="115" t="s">
        <v>26797</v>
      </c>
      <c r="B453" s="375" t="str">
        <f>VLOOKUP($A453,SERVICOS,4,FALSE)</f>
        <v>Calha De Concreto Armado Fck=15 Mpa Em "U" Nas Dimensões De 38 X 56 Cm Conforme Detalhes Em Projeto</v>
      </c>
      <c r="C453" s="376"/>
      <c r="D453" s="376"/>
      <c r="E453" s="376"/>
      <c r="F453" s="377"/>
      <c r="G453" s="115" t="str">
        <f>VLOOKUP($A453,SERVICOS,5,FALSE)</f>
        <v>m</v>
      </c>
      <c r="H453" s="116">
        <f>ROUND(SUM(H455:H455),2)</f>
        <v>52.1</v>
      </c>
    </row>
    <row r="454" spans="1:8" ht="15" customHeight="1">
      <c r="A454" s="118" t="s">
        <v>1029</v>
      </c>
      <c r="B454" s="118" t="s">
        <v>19767</v>
      </c>
      <c r="C454" s="119" t="s">
        <v>19769</v>
      </c>
      <c r="D454" s="119"/>
      <c r="E454" s="118"/>
      <c r="F454" s="118"/>
      <c r="G454" s="118"/>
      <c r="H454" s="120"/>
    </row>
    <row r="455" spans="1:8" ht="15" customHeight="1">
      <c r="A455" s="121" t="s">
        <v>26689</v>
      </c>
      <c r="B455" s="122">
        <v>1</v>
      </c>
      <c r="C455" s="122">
        <f>(11.65+14.4)*2</f>
        <v>52.1</v>
      </c>
      <c r="D455" s="122"/>
      <c r="E455" s="241"/>
      <c r="F455" s="122"/>
      <c r="G455" s="122"/>
      <c r="H455" s="122">
        <f>B455*C455</f>
        <v>52.1</v>
      </c>
    </row>
    <row r="456" spans="1:8" s="117" customFormat="1" ht="30" customHeight="1">
      <c r="A456" s="115" t="s">
        <v>26798</v>
      </c>
      <c r="B456" s="375" t="str">
        <f>VLOOKUP($A456,SERVICOS,4,FALSE)</f>
        <v>Chapim Sobre Muros Lineares, Em Granito Ou Mármore, L = 25 Cm, Assentado Com Argamassa 1:6 Com Aditivo. Af_11/2020</v>
      </c>
      <c r="C456" s="376"/>
      <c r="D456" s="376"/>
      <c r="E456" s="376"/>
      <c r="F456" s="377"/>
      <c r="G456" s="115" t="str">
        <f>VLOOKUP($A456,SERVICOS,5,FALSE)</f>
        <v>m</v>
      </c>
      <c r="H456" s="116">
        <f>ROUND(SUM(H458:H460),2)</f>
        <v>29.32</v>
      </c>
    </row>
    <row r="457" spans="1:8" ht="15" customHeight="1">
      <c r="A457" s="118" t="s">
        <v>1029</v>
      </c>
      <c r="B457" s="118" t="s">
        <v>19767</v>
      </c>
      <c r="C457" s="119" t="s">
        <v>19769</v>
      </c>
      <c r="D457" s="119"/>
      <c r="E457" s="118"/>
      <c r="F457" s="118"/>
      <c r="G457" s="118"/>
      <c r="H457" s="120"/>
    </row>
    <row r="458" spans="1:8" ht="15" customHeight="1">
      <c r="A458" s="121" t="s">
        <v>26636</v>
      </c>
      <c r="B458" s="122">
        <v>2</v>
      </c>
      <c r="C458" s="122">
        <v>2</v>
      </c>
      <c r="D458" s="241" t="s">
        <v>26717</v>
      </c>
      <c r="E458" s="122"/>
      <c r="F458" s="122"/>
      <c r="G458" s="122"/>
      <c r="H458" s="122">
        <f>B458*C458</f>
        <v>4</v>
      </c>
    </row>
    <row r="459" spans="1:8" ht="15" customHeight="1">
      <c r="A459" s="121" t="s">
        <v>26636</v>
      </c>
      <c r="B459" s="122">
        <v>1</v>
      </c>
      <c r="C459" s="122">
        <f>C290+1</f>
        <v>22.52</v>
      </c>
      <c r="D459" s="241" t="s">
        <v>28602</v>
      </c>
      <c r="E459" s="122"/>
      <c r="F459" s="122"/>
      <c r="G459" s="122"/>
      <c r="H459" s="122">
        <f t="shared" ref="H459:H460" si="97">B459*C459</f>
        <v>22.52</v>
      </c>
    </row>
    <row r="460" spans="1:8" ht="15" customHeight="1">
      <c r="A460" s="121" t="s">
        <v>28603</v>
      </c>
      <c r="B460" s="122">
        <v>4</v>
      </c>
      <c r="C460" s="122">
        <v>0.7</v>
      </c>
      <c r="D460" s="122"/>
      <c r="E460" s="122"/>
      <c r="F460" s="122"/>
      <c r="G460" s="122"/>
      <c r="H460" s="122">
        <f t="shared" si="97"/>
        <v>2.8</v>
      </c>
    </row>
    <row r="461" spans="1:8" ht="15" customHeight="1">
      <c r="A461" s="113" t="s">
        <v>26553</v>
      </c>
      <c r="B461" s="378" t="str">
        <f>VLOOKUP($A461,SERVICOS,4,FALSE)</f>
        <v>FORRO</v>
      </c>
      <c r="C461" s="378"/>
      <c r="D461" s="378"/>
      <c r="E461" s="378"/>
      <c r="F461" s="378"/>
      <c r="G461" s="378">
        <f>VLOOKUP($A461,SERVICOS,5,FALSE)</f>
        <v>0</v>
      </c>
      <c r="H461" s="378" t="e">
        <f>ROUND(SUM(#REF!),2)</f>
        <v>#REF!</v>
      </c>
    </row>
    <row r="462" spans="1:8" s="117" customFormat="1" ht="15" customHeight="1">
      <c r="A462" s="115" t="s">
        <v>26554</v>
      </c>
      <c r="B462" s="375" t="str">
        <f>VLOOKUP($A462,SERVICOS,4,FALSE)</f>
        <v>Forro De Gesso Acabamento Tipo Liso</v>
      </c>
      <c r="C462" s="376"/>
      <c r="D462" s="376"/>
      <c r="E462" s="376"/>
      <c r="F462" s="377"/>
      <c r="G462" s="115" t="str">
        <f>VLOOKUP($A462,SERVICOS,5,FALSE)</f>
        <v>m²</v>
      </c>
      <c r="H462" s="116">
        <f>ROUND(SUM(H464:H469),2)</f>
        <v>77.91</v>
      </c>
    </row>
    <row r="463" spans="1:8" ht="15" customHeight="1">
      <c r="A463" s="118" t="s">
        <v>1029</v>
      </c>
      <c r="B463" s="118" t="s">
        <v>19767</v>
      </c>
      <c r="C463" s="119" t="s">
        <v>26630</v>
      </c>
      <c r="D463" s="119"/>
      <c r="E463" s="118"/>
      <c r="F463" s="118"/>
      <c r="G463" s="118"/>
      <c r="H463" s="120"/>
    </row>
    <row r="464" spans="1:8" ht="15" customHeight="1">
      <c r="A464" s="121" t="s">
        <v>26718</v>
      </c>
      <c r="B464" s="122">
        <v>2</v>
      </c>
      <c r="C464" s="122">
        <v>2.4700000000000002</v>
      </c>
      <c r="D464" s="241" t="s">
        <v>26730</v>
      </c>
      <c r="E464" s="122"/>
      <c r="F464" s="122"/>
      <c r="G464" s="122"/>
      <c r="H464" s="122">
        <f t="shared" ref="H464:H469" si="98">B464*C464</f>
        <v>4.9400000000000004</v>
      </c>
    </row>
    <row r="465" spans="1:8" ht="15" customHeight="1">
      <c r="A465" s="121" t="s">
        <v>26692</v>
      </c>
      <c r="B465" s="122">
        <v>2</v>
      </c>
      <c r="C465" s="122">
        <v>2.4700000000000002</v>
      </c>
      <c r="D465" s="241" t="s">
        <v>28604</v>
      </c>
      <c r="E465" s="122"/>
      <c r="F465" s="122"/>
      <c r="G465" s="122"/>
      <c r="H465" s="122">
        <f t="shared" si="98"/>
        <v>4.9400000000000004</v>
      </c>
    </row>
    <row r="466" spans="1:8" ht="15" customHeight="1">
      <c r="A466" s="121" t="s">
        <v>28593</v>
      </c>
      <c r="B466" s="122">
        <v>2</v>
      </c>
      <c r="C466" s="122">
        <v>3.94</v>
      </c>
      <c r="D466" s="122"/>
      <c r="E466" s="122"/>
      <c r="F466" s="122"/>
      <c r="G466" s="122"/>
      <c r="H466" s="122">
        <f t="shared" si="98"/>
        <v>7.88</v>
      </c>
    </row>
    <row r="467" spans="1:8" ht="15" customHeight="1">
      <c r="A467" s="121" t="s">
        <v>26693</v>
      </c>
      <c r="B467" s="122">
        <v>2</v>
      </c>
      <c r="C467" s="122">
        <v>2.85</v>
      </c>
      <c r="D467" s="122"/>
      <c r="E467" s="122"/>
      <c r="F467" s="122"/>
      <c r="G467" s="122"/>
      <c r="H467" s="122">
        <f t="shared" ref="H467:H468" si="99">B467*C467</f>
        <v>5.7</v>
      </c>
    </row>
    <row r="468" spans="1:8" ht="15" customHeight="1">
      <c r="A468" s="121" t="s">
        <v>28789</v>
      </c>
      <c r="B468" s="122">
        <v>1</v>
      </c>
      <c r="C468" s="122">
        <v>23.66</v>
      </c>
      <c r="D468" s="122"/>
      <c r="E468" s="122"/>
      <c r="F468" s="122"/>
      <c r="G468" s="122"/>
      <c r="H468" s="122">
        <f t="shared" si="99"/>
        <v>23.66</v>
      </c>
    </row>
    <row r="469" spans="1:8" ht="15" customHeight="1">
      <c r="A469" s="121" t="s">
        <v>28790</v>
      </c>
      <c r="B469" s="122">
        <v>1</v>
      </c>
      <c r="C469" s="122">
        <v>30.79</v>
      </c>
      <c r="D469" s="122"/>
      <c r="E469" s="122"/>
      <c r="F469" s="122"/>
      <c r="G469" s="122"/>
      <c r="H469" s="122">
        <f t="shared" si="98"/>
        <v>30.79</v>
      </c>
    </row>
    <row r="470" spans="1:8" s="117" customFormat="1" ht="45" customHeight="1">
      <c r="A470" s="115" t="s">
        <v>26555</v>
      </c>
      <c r="B470" s="375" t="str">
        <f>VLOOKUP($A470,SERVICOS,4,FALSE)</f>
        <v>Forro Em Madeira Em Cedrinho Ou Equivalente, Para Ambientes Residenciais, Inclusive Estrutura De Fixação, Lixamento E Pintura Com Verniz (Incolor) Poliuretânico A Duas Demãos</v>
      </c>
      <c r="C470" s="376"/>
      <c r="D470" s="376"/>
      <c r="E470" s="376"/>
      <c r="F470" s="377"/>
      <c r="G470" s="115" t="str">
        <f>VLOOKUP($A470,SERVICOS,5,FALSE)</f>
        <v>m²</v>
      </c>
      <c r="H470" s="116">
        <f>ROUND(SUM(H472:H473),2)</f>
        <v>312.12</v>
      </c>
    </row>
    <row r="471" spans="1:8" ht="15" customHeight="1">
      <c r="A471" s="118" t="s">
        <v>1029</v>
      </c>
      <c r="B471" s="118" t="s">
        <v>19767</v>
      </c>
      <c r="C471" s="119" t="s">
        <v>26630</v>
      </c>
      <c r="D471" s="119"/>
      <c r="E471" s="118"/>
      <c r="F471" s="118"/>
      <c r="G471" s="118"/>
      <c r="H471" s="120"/>
    </row>
    <row r="472" spans="1:8" ht="15" customHeight="1">
      <c r="A472" s="121" t="s">
        <v>26663</v>
      </c>
      <c r="B472" s="122">
        <v>1</v>
      </c>
      <c r="C472" s="122">
        <v>144.94999999999999</v>
      </c>
      <c r="D472" s="241" t="s">
        <v>28606</v>
      </c>
      <c r="E472" s="122"/>
      <c r="F472" s="122"/>
      <c r="G472" s="122"/>
      <c r="H472" s="122">
        <f t="shared" ref="H472:H473" si="100">B472*C472</f>
        <v>144.94999999999999</v>
      </c>
    </row>
    <row r="473" spans="1:8" ht="15" customHeight="1">
      <c r="A473" s="121" t="s">
        <v>28507</v>
      </c>
      <c r="B473" s="122">
        <v>1</v>
      </c>
      <c r="C473" s="122">
        <v>167.17</v>
      </c>
      <c r="D473" s="241" t="s">
        <v>28605</v>
      </c>
      <c r="E473" s="122"/>
      <c r="F473" s="122"/>
      <c r="G473" s="122"/>
      <c r="H473" s="122">
        <f t="shared" si="100"/>
        <v>167.17</v>
      </c>
    </row>
    <row r="474" spans="1:8" s="117" customFormat="1" ht="45" customHeight="1">
      <c r="A474" s="115" t="s">
        <v>26799</v>
      </c>
      <c r="B474" s="375" t="str">
        <f>VLOOKUP($A474,SERVICOS,4,FALSE)</f>
        <v>Acabamento Para Forro (Roda-Forro) De Pilar Em Madeira Macaranduba, Angelim Ou Equivalente Da Região, Fixação Com Parafuso E Bucha - Conforme Projeto</v>
      </c>
      <c r="C474" s="376"/>
      <c r="D474" s="376"/>
      <c r="E474" s="376"/>
      <c r="F474" s="377"/>
      <c r="G474" s="115" t="str">
        <f>VLOOKUP($A474,SERVICOS,5,FALSE)</f>
        <v>und.</v>
      </c>
      <c r="H474" s="116">
        <f>ROUND(SUM(H476:H476),2)</f>
        <v>8</v>
      </c>
    </row>
    <row r="475" spans="1:8" ht="15" customHeight="1">
      <c r="A475" s="118" t="s">
        <v>1029</v>
      </c>
      <c r="B475" s="118" t="s">
        <v>19767</v>
      </c>
      <c r="C475" s="119" t="s">
        <v>19769</v>
      </c>
      <c r="D475" s="119"/>
      <c r="E475" s="118"/>
      <c r="F475" s="118"/>
      <c r="G475" s="118"/>
      <c r="H475" s="120"/>
    </row>
    <row r="476" spans="1:8" ht="25.5">
      <c r="A476" s="240" t="s">
        <v>28549</v>
      </c>
      <c r="B476" s="122">
        <v>5</v>
      </c>
      <c r="C476" s="122">
        <f>0.4*4</f>
        <v>1.6</v>
      </c>
      <c r="D476" s="122"/>
      <c r="E476" s="122"/>
      <c r="F476" s="122"/>
      <c r="G476" s="122"/>
      <c r="H476" s="122">
        <f>B476*C476</f>
        <v>8</v>
      </c>
    </row>
    <row r="477" spans="1:8" s="117" customFormat="1" ht="30" customHeight="1">
      <c r="A477" s="115" t="s">
        <v>29108</v>
      </c>
      <c r="B477" s="375" t="str">
        <f>VLOOKUP($A477,SERVICOS,4,FALSE)</f>
        <v>Acabamento Para Forro (Roda-Forro Em Madeira Cedrinho Ou Equivalente)</v>
      </c>
      <c r="C477" s="376"/>
      <c r="D477" s="376"/>
      <c r="E477" s="376"/>
      <c r="F477" s="377"/>
      <c r="G477" s="115" t="str">
        <f>VLOOKUP($A477,SERVICOS,5,FALSE)</f>
        <v>m</v>
      </c>
      <c r="H477" s="116">
        <f>ROUND(SUM(H479:H490),2)</f>
        <v>229.1</v>
      </c>
    </row>
    <row r="478" spans="1:8" ht="15" customHeight="1">
      <c r="A478" s="118" t="s">
        <v>1029</v>
      </c>
      <c r="B478" s="118" t="s">
        <v>19767</v>
      </c>
      <c r="C478" s="119" t="s">
        <v>19769</v>
      </c>
      <c r="D478" s="119"/>
      <c r="E478" s="118"/>
      <c r="F478" s="118"/>
      <c r="G478" s="118"/>
      <c r="H478" s="120"/>
    </row>
    <row r="479" spans="1:8" ht="15" customHeight="1">
      <c r="A479" s="240" t="s">
        <v>26663</v>
      </c>
      <c r="B479" s="122">
        <v>1</v>
      </c>
      <c r="C479" s="122">
        <v>50.9</v>
      </c>
      <c r="D479" s="122"/>
      <c r="E479" s="122"/>
      <c r="F479" s="122"/>
      <c r="G479" s="122"/>
      <c r="H479" s="122">
        <f t="shared" ref="H479:H490" si="101">B479*C479</f>
        <v>50.9</v>
      </c>
    </row>
    <row r="480" spans="1:8" ht="15" customHeight="1">
      <c r="A480" s="240" t="s">
        <v>29110</v>
      </c>
      <c r="B480" s="122">
        <v>1</v>
      </c>
      <c r="C480" s="122">
        <v>14.6</v>
      </c>
      <c r="D480" s="122"/>
      <c r="E480" s="122"/>
      <c r="F480" s="122"/>
      <c r="G480" s="122"/>
      <c r="H480" s="122">
        <f t="shared" si="101"/>
        <v>14.6</v>
      </c>
    </row>
    <row r="481" spans="1:8" ht="15" customHeight="1">
      <c r="A481" s="240" t="s">
        <v>26665</v>
      </c>
      <c r="B481" s="122">
        <v>1</v>
      </c>
      <c r="C481" s="122">
        <v>15.7</v>
      </c>
      <c r="D481" s="122"/>
      <c r="E481" s="122"/>
      <c r="F481" s="122"/>
      <c r="G481" s="122"/>
      <c r="H481" s="122">
        <f t="shared" si="101"/>
        <v>15.7</v>
      </c>
    </row>
    <row r="482" spans="1:8" ht="15" customHeight="1">
      <c r="A482" s="240" t="s">
        <v>29111</v>
      </c>
      <c r="B482" s="122">
        <v>1</v>
      </c>
      <c r="C482" s="122">
        <v>9.3000000000000007</v>
      </c>
      <c r="D482" s="122"/>
      <c r="E482" s="122"/>
      <c r="F482" s="122"/>
      <c r="G482" s="122"/>
      <c r="H482" s="122">
        <f t="shared" si="101"/>
        <v>9.3000000000000007</v>
      </c>
    </row>
    <row r="483" spans="1:8" ht="15" customHeight="1">
      <c r="A483" s="240" t="s">
        <v>26666</v>
      </c>
      <c r="B483" s="122">
        <v>1</v>
      </c>
      <c r="C483" s="122">
        <v>9.3000000000000007</v>
      </c>
      <c r="D483" s="122"/>
      <c r="E483" s="122"/>
      <c r="F483" s="122"/>
      <c r="G483" s="122"/>
      <c r="H483" s="122">
        <f t="shared" si="101"/>
        <v>9.3000000000000007</v>
      </c>
    </row>
    <row r="484" spans="1:8" ht="15" customHeight="1">
      <c r="A484" s="240" t="s">
        <v>26667</v>
      </c>
      <c r="B484" s="122">
        <v>1</v>
      </c>
      <c r="C484" s="122">
        <v>19.8</v>
      </c>
      <c r="D484" s="122"/>
      <c r="E484" s="122"/>
      <c r="F484" s="122"/>
      <c r="G484" s="122"/>
      <c r="H484" s="122">
        <f t="shared" si="101"/>
        <v>19.8</v>
      </c>
    </row>
    <row r="485" spans="1:8" ht="15" customHeight="1">
      <c r="A485" s="240" t="s">
        <v>26668</v>
      </c>
      <c r="B485" s="122">
        <v>1</v>
      </c>
      <c r="C485" s="122">
        <v>20.6</v>
      </c>
      <c r="D485" s="122"/>
      <c r="E485" s="122"/>
      <c r="F485" s="122"/>
      <c r="G485" s="122"/>
      <c r="H485" s="122">
        <f t="shared" si="101"/>
        <v>20.6</v>
      </c>
    </row>
    <row r="486" spans="1:8" ht="15" customHeight="1">
      <c r="A486" s="240" t="s">
        <v>26669</v>
      </c>
      <c r="B486" s="122">
        <v>1</v>
      </c>
      <c r="C486" s="122">
        <v>15.3</v>
      </c>
      <c r="D486" s="122"/>
      <c r="E486" s="122"/>
      <c r="F486" s="122"/>
      <c r="G486" s="122"/>
      <c r="H486" s="122">
        <f t="shared" si="101"/>
        <v>15.3</v>
      </c>
    </row>
    <row r="487" spans="1:8" ht="15" customHeight="1">
      <c r="A487" s="240" t="s">
        <v>26670</v>
      </c>
      <c r="B487" s="122">
        <v>1</v>
      </c>
      <c r="C487" s="122">
        <v>18.100000000000001</v>
      </c>
      <c r="D487" s="122"/>
      <c r="E487" s="122"/>
      <c r="F487" s="122"/>
      <c r="G487" s="122"/>
      <c r="H487" s="122">
        <f t="shared" si="101"/>
        <v>18.100000000000001</v>
      </c>
    </row>
    <row r="488" spans="1:8" ht="15" customHeight="1">
      <c r="A488" s="240" t="s">
        <v>26671</v>
      </c>
      <c r="B488" s="122">
        <v>1</v>
      </c>
      <c r="C488" s="122">
        <v>17.8</v>
      </c>
      <c r="D488" s="122"/>
      <c r="E488" s="122"/>
      <c r="F488" s="122"/>
      <c r="G488" s="122"/>
      <c r="H488" s="122">
        <f t="shared" si="101"/>
        <v>17.8</v>
      </c>
    </row>
    <row r="489" spans="1:8" ht="15" customHeight="1">
      <c r="A489" s="240" t="s">
        <v>26647</v>
      </c>
      <c r="B489" s="122">
        <v>1</v>
      </c>
      <c r="C489" s="122">
        <v>22.2</v>
      </c>
      <c r="D489" s="122"/>
      <c r="E489" s="122"/>
      <c r="F489" s="122"/>
      <c r="G489" s="122"/>
      <c r="H489" s="122">
        <f t="shared" si="101"/>
        <v>22.2</v>
      </c>
    </row>
    <row r="490" spans="1:8" ht="15" customHeight="1">
      <c r="A490" s="240" t="s">
        <v>29112</v>
      </c>
      <c r="B490" s="122">
        <v>1</v>
      </c>
      <c r="C490" s="122">
        <v>15.5</v>
      </c>
      <c r="D490" s="122"/>
      <c r="E490" s="122"/>
      <c r="F490" s="122"/>
      <c r="G490" s="122"/>
      <c r="H490" s="122">
        <f t="shared" si="101"/>
        <v>15.5</v>
      </c>
    </row>
    <row r="491" spans="1:8" ht="15" customHeight="1">
      <c r="A491" s="113" t="s">
        <v>26556</v>
      </c>
      <c r="B491" s="378" t="str">
        <f>VLOOKUP($A491,SERVICOS,4,FALSE)</f>
        <v>IMPERMEABILIZAÇÕES</v>
      </c>
      <c r="C491" s="378"/>
      <c r="D491" s="378"/>
      <c r="E491" s="378"/>
      <c r="F491" s="378"/>
      <c r="G491" s="378">
        <f>VLOOKUP($A491,SERVICOS,5,FALSE)</f>
        <v>0</v>
      </c>
      <c r="H491" s="378" t="e">
        <f>ROUND(SUM(#REF!),2)</f>
        <v>#REF!</v>
      </c>
    </row>
    <row r="492" spans="1:8" s="117" customFormat="1" ht="30" customHeight="1">
      <c r="A492" s="115" t="s">
        <v>26557</v>
      </c>
      <c r="B492" s="375" t="str">
        <f>VLOOKUP($A492,SERVICOS,4,FALSE)</f>
        <v>Impermeabilização De Superfície Com Argamassa Polimérica / Membrana Acrílica, 3 Demãos. Af_06/2018</v>
      </c>
      <c r="C492" s="376"/>
      <c r="D492" s="376"/>
      <c r="E492" s="376"/>
      <c r="F492" s="377"/>
      <c r="G492" s="115" t="str">
        <f>VLOOKUP($A492,SERVICOS,5,FALSE)</f>
        <v>m²</v>
      </c>
      <c r="H492" s="116">
        <f>ROUND(SUM(H494:H497),2)</f>
        <v>47.84</v>
      </c>
    </row>
    <row r="493" spans="1:8" ht="15" customHeight="1">
      <c r="A493" s="118" t="s">
        <v>1029</v>
      </c>
      <c r="B493" s="118" t="s">
        <v>19767</v>
      </c>
      <c r="C493" s="119" t="s">
        <v>26630</v>
      </c>
      <c r="D493" s="119"/>
      <c r="E493" s="118"/>
      <c r="F493" s="118"/>
      <c r="G493" s="118"/>
      <c r="H493" s="120"/>
    </row>
    <row r="494" spans="1:8" ht="15" customHeight="1">
      <c r="A494" s="121" t="s">
        <v>26718</v>
      </c>
      <c r="B494" s="122">
        <v>2</v>
      </c>
      <c r="C494" s="122">
        <f>2.47+(6.4-0.7)*0.5</f>
        <v>5.32</v>
      </c>
      <c r="D494" s="241" t="s">
        <v>26733</v>
      </c>
      <c r="E494" s="122"/>
      <c r="F494" s="122"/>
      <c r="G494" s="122"/>
      <c r="H494" s="122">
        <f>B494*C494</f>
        <v>10.64</v>
      </c>
    </row>
    <row r="495" spans="1:8" ht="15" customHeight="1">
      <c r="A495" s="121" t="s">
        <v>26692</v>
      </c>
      <c r="B495" s="122">
        <v>2</v>
      </c>
      <c r="C495" s="122">
        <f>2.47+(6.4-0.7)*0.5</f>
        <v>5.32</v>
      </c>
      <c r="D495" s="122"/>
      <c r="E495" s="122"/>
      <c r="F495" s="122"/>
      <c r="G495" s="122"/>
      <c r="H495" s="122">
        <f t="shared" ref="H495:H497" si="102">B495*C495</f>
        <v>10.64</v>
      </c>
    </row>
    <row r="496" spans="1:8" ht="15" customHeight="1">
      <c r="A496" s="121" t="s">
        <v>28593</v>
      </c>
      <c r="B496" s="122">
        <v>2</v>
      </c>
      <c r="C496" s="122">
        <f>3.89+(7.88-0.7)*0.5</f>
        <v>7.48</v>
      </c>
      <c r="D496" s="122"/>
      <c r="E496" s="122"/>
      <c r="F496" s="122"/>
      <c r="G496" s="122"/>
      <c r="H496" s="122">
        <f t="shared" si="102"/>
        <v>14.96</v>
      </c>
    </row>
    <row r="497" spans="1:8" ht="15" customHeight="1">
      <c r="A497" s="121" t="s">
        <v>26693</v>
      </c>
      <c r="B497" s="122">
        <v>2</v>
      </c>
      <c r="C497" s="122">
        <f>2.85+(6.8-0.9)*0.5</f>
        <v>5.8</v>
      </c>
      <c r="D497" s="122"/>
      <c r="E497" s="122"/>
      <c r="F497" s="122"/>
      <c r="G497" s="122"/>
      <c r="H497" s="122">
        <f t="shared" si="102"/>
        <v>11.6</v>
      </c>
    </row>
    <row r="498" spans="1:8" s="117" customFormat="1" ht="60" customHeight="1">
      <c r="A498" s="115" t="s">
        <v>26558</v>
      </c>
      <c r="B498" s="375" t="str">
        <f>VLOOKUP($A498,SERVICOS,4,FALSE)</f>
        <v>Índice De Imperm.C/ Manta Asfáltica Atendendo Nbr 9952, Asfalto Polimerizado Esp.3Mm, Reforç.C/ Filme Int. Polietileno, Regul. Base C/ Arg.1:4 Esp.Mín.15Mm, Proteção Mec. Arg.1:4 Esp.20Mm E Juntas Dilat.</v>
      </c>
      <c r="C498" s="376"/>
      <c r="D498" s="376"/>
      <c r="E498" s="376"/>
      <c r="F498" s="377"/>
      <c r="G498" s="115" t="str">
        <f>VLOOKUP($A498,SERVICOS,5,FALSE)</f>
        <v>m²</v>
      </c>
      <c r="H498" s="116">
        <f>ROUND(SUM(H500:H501),2)</f>
        <v>53.07</v>
      </c>
    </row>
    <row r="499" spans="1:8" ht="15" customHeight="1">
      <c r="A499" s="118" t="s">
        <v>1029</v>
      </c>
      <c r="B499" s="118" t="s">
        <v>19767</v>
      </c>
      <c r="C499" s="119" t="s">
        <v>26630</v>
      </c>
      <c r="D499" s="119"/>
      <c r="E499" s="118"/>
      <c r="F499" s="118"/>
      <c r="G499" s="118"/>
      <c r="H499" s="120"/>
    </row>
    <row r="500" spans="1:8" ht="15" customHeight="1">
      <c r="A500" s="121" t="s">
        <v>26636</v>
      </c>
      <c r="B500" s="122">
        <v>1</v>
      </c>
      <c r="C500" s="122">
        <f>33.21+23.67*0.2</f>
        <v>37.944000000000003</v>
      </c>
      <c r="D500" s="241" t="s">
        <v>26731</v>
      </c>
      <c r="E500" s="122"/>
      <c r="F500" s="122"/>
      <c r="G500" s="122"/>
      <c r="H500" s="122">
        <f>B500*C500</f>
        <v>37.944000000000003</v>
      </c>
    </row>
    <row r="501" spans="1:8" ht="15" customHeight="1">
      <c r="A501" s="121" t="s">
        <v>26636</v>
      </c>
      <c r="B501" s="122">
        <v>1</v>
      </c>
      <c r="C501" s="122">
        <f>11.85+16.4*0.2</f>
        <v>15.129999999999999</v>
      </c>
      <c r="D501" s="122"/>
      <c r="E501" s="122"/>
      <c r="F501" s="122"/>
      <c r="G501" s="122"/>
      <c r="H501" s="122">
        <f>B501*C501</f>
        <v>15.129999999999999</v>
      </c>
    </row>
    <row r="502" spans="1:8" s="117" customFormat="1" ht="30" customHeight="1">
      <c r="A502" s="115" t="s">
        <v>28708</v>
      </c>
      <c r="B502" s="375" t="str">
        <f>VLOOKUP($A502,SERVICOS,4,FALSE)</f>
        <v>Impermeabilização De Floreira Ou Viga Baldrame Com Argamassa De Cimento E Areia, Com Aditivo Impermeabilizante, E = 2 Cm. Af_06/2018</v>
      </c>
      <c r="C502" s="376"/>
      <c r="D502" s="376"/>
      <c r="E502" s="376"/>
      <c r="F502" s="377"/>
      <c r="G502" s="115" t="str">
        <f>VLOOKUP($A502,SERVICOS,5,FALSE)</f>
        <v>m²</v>
      </c>
      <c r="H502" s="116">
        <f>ROUND(SUM(H504:H504),2)</f>
        <v>52.1</v>
      </c>
    </row>
    <row r="503" spans="1:8" ht="15" customHeight="1">
      <c r="A503" s="118" t="s">
        <v>1029</v>
      </c>
      <c r="B503" s="118" t="s">
        <v>19767</v>
      </c>
      <c r="C503" s="119" t="s">
        <v>26720</v>
      </c>
      <c r="D503" s="119" t="s">
        <v>19769</v>
      </c>
      <c r="E503" s="118"/>
      <c r="F503" s="118"/>
      <c r="G503" s="118"/>
      <c r="H503" s="120"/>
    </row>
    <row r="504" spans="1:8" ht="15" customHeight="1">
      <c r="A504" s="121" t="s">
        <v>26689</v>
      </c>
      <c r="B504" s="122">
        <v>1</v>
      </c>
      <c r="C504" s="122">
        <v>1</v>
      </c>
      <c r="D504" s="122">
        <f>C455</f>
        <v>52.1</v>
      </c>
      <c r="E504" s="122"/>
      <c r="F504" s="122"/>
      <c r="G504" s="122"/>
      <c r="H504" s="122">
        <f>B504*C504*D504</f>
        <v>52.1</v>
      </c>
    </row>
    <row r="505" spans="1:8" ht="15" customHeight="1">
      <c r="A505" s="113" t="s">
        <v>26559</v>
      </c>
      <c r="B505" s="378" t="str">
        <f>VLOOKUP($A505,SERVICOS,4,FALSE)</f>
        <v>INSTALAÇÕES HIDROSSANITÁRIAS</v>
      </c>
      <c r="C505" s="378"/>
      <c r="D505" s="378"/>
      <c r="E505" s="378"/>
      <c r="F505" s="378"/>
      <c r="G505" s="378">
        <f>VLOOKUP($A505,SERVICOS,5,FALSE)</f>
        <v>0</v>
      </c>
      <c r="H505" s="378" t="e">
        <f>ROUND(SUM(#REF!),2)</f>
        <v>#REF!</v>
      </c>
    </row>
    <row r="506" spans="1:8" ht="15" customHeight="1">
      <c r="A506" s="113"/>
      <c r="B506" s="339" t="s">
        <v>28967</v>
      </c>
      <c r="C506" s="340"/>
      <c r="D506" s="340"/>
      <c r="E506" s="340"/>
      <c r="F506" s="341"/>
      <c r="G506" s="320"/>
      <c r="H506" s="320"/>
    </row>
    <row r="507" spans="1:8" s="117" customFormat="1" ht="60" customHeight="1">
      <c r="A507" s="115" t="s">
        <v>26560</v>
      </c>
      <c r="B507" s="375" t="str">
        <f>VLOOKUP($A507,SERVICOS,4,FALSE)</f>
        <v>Padrão De Entrada Dágua Com Caixa Termoplástica Para Hidrômetro De 3/4" - Padrão 1B Da Cesan. Instalado Embutido Na Alvenaria. Inclusive Tubulação, Conexões, Registro, Tubo Camisa E Caixa Com Tampa Transparente. Conferir Detalhe.</v>
      </c>
      <c r="C507" s="376"/>
      <c r="D507" s="376"/>
      <c r="E507" s="376"/>
      <c r="F507" s="377"/>
      <c r="G507" s="115" t="str">
        <f>VLOOKUP($A507,SERVICOS,5,FALSE)</f>
        <v>und</v>
      </c>
      <c r="H507" s="116">
        <f>ROUND(SUM(H509:H509),2)</f>
        <v>1</v>
      </c>
    </row>
    <row r="508" spans="1:8" ht="15" customHeight="1">
      <c r="A508" s="118" t="s">
        <v>1029</v>
      </c>
      <c r="B508" s="118" t="s">
        <v>19767</v>
      </c>
      <c r="C508" s="119"/>
      <c r="D508" s="119"/>
      <c r="E508" s="118"/>
      <c r="F508" s="118"/>
      <c r="G508" s="118"/>
      <c r="H508" s="120"/>
    </row>
    <row r="509" spans="1:8" ht="15" customHeight="1">
      <c r="A509" s="121" t="s">
        <v>28642</v>
      </c>
      <c r="B509" s="122">
        <v>1</v>
      </c>
      <c r="C509" s="122"/>
      <c r="D509" s="122"/>
      <c r="E509" s="122"/>
      <c r="F509" s="122"/>
      <c r="G509" s="122"/>
      <c r="H509" s="122">
        <f>B509</f>
        <v>1</v>
      </c>
    </row>
    <row r="510" spans="1:8" s="117" customFormat="1" ht="30" customHeight="1">
      <c r="A510" s="115" t="s">
        <v>26561</v>
      </c>
      <c r="B510" s="375" t="str">
        <f>VLOOKUP($A510,SERVICOS,4,FALSE)</f>
        <v>Joelho 45 Graus, Pvc, Soldável, Dn 25Mm, Instalado Em Ramal De Distribuição De Água - Fornecimento E Instalação. Af_12/2014</v>
      </c>
      <c r="C510" s="376"/>
      <c r="D510" s="376"/>
      <c r="E510" s="376"/>
      <c r="F510" s="377"/>
      <c r="G510" s="115" t="str">
        <f>VLOOKUP($A510,SERVICOS,5,FALSE)</f>
        <v>und</v>
      </c>
      <c r="H510" s="116">
        <f>ROUND(SUM(H512:H512),2)</f>
        <v>1</v>
      </c>
    </row>
    <row r="511" spans="1:8" ht="15" customHeight="1">
      <c r="A511" s="118" t="s">
        <v>1029</v>
      </c>
      <c r="B511" s="118" t="s">
        <v>19767</v>
      </c>
      <c r="C511" s="119"/>
      <c r="D511" s="119"/>
      <c r="E511" s="118"/>
      <c r="F511" s="118"/>
      <c r="G511" s="118"/>
      <c r="H511" s="120"/>
    </row>
    <row r="512" spans="1:8" ht="15" customHeight="1">
      <c r="A512" s="121" t="s">
        <v>28996</v>
      </c>
      <c r="B512" s="122">
        <v>1</v>
      </c>
      <c r="C512" s="122"/>
      <c r="D512" s="122"/>
      <c r="E512" s="122"/>
      <c r="F512" s="122"/>
      <c r="G512" s="122"/>
      <c r="H512" s="122">
        <f>B512</f>
        <v>1</v>
      </c>
    </row>
    <row r="513" spans="1:8" s="117" customFormat="1" ht="30" customHeight="1">
      <c r="A513" s="115" t="s">
        <v>26562</v>
      </c>
      <c r="B513" s="375" t="str">
        <f>VLOOKUP($A513,SERVICOS,4,FALSE)</f>
        <v>Joelho 45 Graus, Pvc, Soldável, Dn 50Mm, Instalado Em Prumada De Água - Fornecimento E Instalação. Af_12/2014</v>
      </c>
      <c r="C513" s="376"/>
      <c r="D513" s="376"/>
      <c r="E513" s="376"/>
      <c r="F513" s="377"/>
      <c r="G513" s="115" t="str">
        <f>VLOOKUP($A513,SERVICOS,5,FALSE)</f>
        <v>und</v>
      </c>
      <c r="H513" s="116">
        <f>ROUND(SUM(H515:H515),2)</f>
        <v>2</v>
      </c>
    </row>
    <row r="514" spans="1:8" ht="15" customHeight="1">
      <c r="A514" s="118" t="s">
        <v>1029</v>
      </c>
      <c r="B514" s="118" t="s">
        <v>19767</v>
      </c>
      <c r="C514" s="119"/>
      <c r="D514" s="119"/>
      <c r="E514" s="118"/>
      <c r="F514" s="118"/>
      <c r="G514" s="118"/>
      <c r="H514" s="120"/>
    </row>
    <row r="515" spans="1:8" ht="15" customHeight="1">
      <c r="A515" s="121" t="s">
        <v>28996</v>
      </c>
      <c r="B515" s="122">
        <v>2</v>
      </c>
      <c r="C515" s="122"/>
      <c r="D515" s="122"/>
      <c r="E515" s="122"/>
      <c r="F515" s="122"/>
      <c r="G515" s="122"/>
      <c r="H515" s="122">
        <f>B515</f>
        <v>2</v>
      </c>
    </row>
    <row r="516" spans="1:8" s="117" customFormat="1" ht="30" customHeight="1">
      <c r="A516" s="115" t="s">
        <v>26572</v>
      </c>
      <c r="B516" s="375" t="str">
        <f>VLOOKUP($A516,SERVICOS,4,FALSE)</f>
        <v>Joelho 90 Graus, Pvc, Soldável, Dn 25Mm, Instalado Em Ramal De Distribuição De Água - Fornecimento E Instalação. Af_12/2014</v>
      </c>
      <c r="C516" s="376"/>
      <c r="D516" s="376"/>
      <c r="E516" s="376"/>
      <c r="F516" s="377"/>
      <c r="G516" s="115" t="str">
        <f>VLOOKUP($A516,SERVICOS,5,FALSE)</f>
        <v>und</v>
      </c>
      <c r="H516" s="116">
        <f>ROUND(SUM(H518:H518),2)</f>
        <v>34</v>
      </c>
    </row>
    <row r="517" spans="1:8" ht="15" customHeight="1">
      <c r="A517" s="118" t="s">
        <v>1029</v>
      </c>
      <c r="B517" s="118" t="s">
        <v>19767</v>
      </c>
      <c r="C517" s="119"/>
      <c r="D517" s="119"/>
      <c r="E517" s="118"/>
      <c r="F517" s="118"/>
      <c r="G517" s="118"/>
      <c r="H517" s="120"/>
    </row>
    <row r="518" spans="1:8" ht="15" customHeight="1">
      <c r="A518" s="121" t="s">
        <v>28996</v>
      </c>
      <c r="B518" s="122">
        <v>34</v>
      </c>
      <c r="C518" s="122"/>
      <c r="D518" s="122"/>
      <c r="E518" s="122"/>
      <c r="F518" s="122"/>
      <c r="G518" s="122"/>
      <c r="H518" s="122">
        <f>B518</f>
        <v>34</v>
      </c>
    </row>
    <row r="519" spans="1:8" s="117" customFormat="1" ht="30" customHeight="1">
      <c r="A519" s="115" t="s">
        <v>26573</v>
      </c>
      <c r="B519" s="375" t="str">
        <f>VLOOKUP($A519,SERVICOS,4,FALSE)</f>
        <v>Joelho 90 Graus, Pvc, Soldável, Dn 50Mm, Instalado Em Prumada De Água - Fornecimento E Instalação. Af_12/2014</v>
      </c>
      <c r="C519" s="376"/>
      <c r="D519" s="376"/>
      <c r="E519" s="376"/>
      <c r="F519" s="377"/>
      <c r="G519" s="115" t="str">
        <f>VLOOKUP($A519,SERVICOS,5,FALSE)</f>
        <v>und</v>
      </c>
      <c r="H519" s="116">
        <f>ROUND(SUM(H521:H521),2)</f>
        <v>15</v>
      </c>
    </row>
    <row r="520" spans="1:8" ht="15" customHeight="1">
      <c r="A520" s="118" t="s">
        <v>1029</v>
      </c>
      <c r="B520" s="118" t="s">
        <v>19767</v>
      </c>
      <c r="C520" s="119"/>
      <c r="D520" s="119"/>
      <c r="E520" s="118"/>
      <c r="F520" s="118"/>
      <c r="G520" s="118"/>
      <c r="H520" s="120"/>
    </row>
    <row r="521" spans="1:8" ht="15" customHeight="1">
      <c r="A521" s="121" t="s">
        <v>28996</v>
      </c>
      <c r="B521" s="122">
        <v>15</v>
      </c>
      <c r="C521" s="122"/>
      <c r="D521" s="122"/>
      <c r="E521" s="122"/>
      <c r="F521" s="122"/>
      <c r="G521" s="122"/>
      <c r="H521" s="122">
        <f>B521</f>
        <v>15</v>
      </c>
    </row>
    <row r="522" spans="1:8" s="117" customFormat="1" ht="45" customHeight="1">
      <c r="A522" s="115" t="s">
        <v>26800</v>
      </c>
      <c r="B522" s="375" t="str">
        <f>VLOOKUP($A522,SERVICOS,4,FALSE)</f>
        <v>Joelho 90 Graus Com Bucha De Latão, Pvc, Soldável, Dn 25Mm, X 3/4 Instalado Em Ramal Ou Sub-Ramal De Água - Fornecimento E Instalação. Af_12/2014</v>
      </c>
      <c r="C522" s="376"/>
      <c r="D522" s="376"/>
      <c r="E522" s="376"/>
      <c r="F522" s="377"/>
      <c r="G522" s="115" t="str">
        <f>VLOOKUP($A522,SERVICOS,5,FALSE)</f>
        <v>und</v>
      </c>
      <c r="H522" s="116">
        <f>ROUND(SUM(H524:H524),2)</f>
        <v>18</v>
      </c>
    </row>
    <row r="523" spans="1:8" ht="15" customHeight="1">
      <c r="A523" s="118" t="s">
        <v>1029</v>
      </c>
      <c r="B523" s="118" t="s">
        <v>19767</v>
      </c>
      <c r="C523" s="119"/>
      <c r="D523" s="119"/>
      <c r="E523" s="118"/>
      <c r="F523" s="118"/>
      <c r="G523" s="118"/>
      <c r="H523" s="120"/>
    </row>
    <row r="524" spans="1:8" ht="15" customHeight="1">
      <c r="A524" s="121" t="s">
        <v>28996</v>
      </c>
      <c r="B524" s="122">
        <v>18</v>
      </c>
      <c r="C524" s="122"/>
      <c r="D524" s="122"/>
      <c r="E524" s="122"/>
      <c r="F524" s="122"/>
      <c r="G524" s="122"/>
      <c r="H524" s="122">
        <f>B524</f>
        <v>18</v>
      </c>
    </row>
    <row r="525" spans="1:8" s="117" customFormat="1" ht="30" customHeight="1">
      <c r="A525" s="115" t="s">
        <v>26801</v>
      </c>
      <c r="B525" s="375" t="str">
        <f>VLOOKUP($A525,SERVICOS,4,FALSE)</f>
        <v>Luva De Redução, Pvc, Soldável, Dn 50Mm X 25Mm, Instalado Em Prumada De Água   Fornecimento E Instalação. Af_12/2014</v>
      </c>
      <c r="C525" s="376"/>
      <c r="D525" s="376"/>
      <c r="E525" s="376"/>
      <c r="F525" s="377"/>
      <c r="G525" s="115" t="str">
        <f>VLOOKUP($A525,SERVICOS,5,FALSE)</f>
        <v>und</v>
      </c>
      <c r="H525" s="116">
        <f>ROUND(SUM(H527:H527),2)</f>
        <v>15</v>
      </c>
    </row>
    <row r="526" spans="1:8" ht="15" customHeight="1">
      <c r="A526" s="118" t="s">
        <v>1029</v>
      </c>
      <c r="B526" s="118" t="s">
        <v>19767</v>
      </c>
      <c r="C526" s="119"/>
      <c r="D526" s="119"/>
      <c r="E526" s="118"/>
      <c r="F526" s="118"/>
      <c r="G526" s="118"/>
      <c r="H526" s="120"/>
    </row>
    <row r="527" spans="1:8" ht="15" customHeight="1">
      <c r="A527" s="121" t="s">
        <v>28996</v>
      </c>
      <c r="B527" s="122">
        <v>15</v>
      </c>
      <c r="C527" s="122"/>
      <c r="D527" s="122"/>
      <c r="E527" s="122"/>
      <c r="F527" s="122"/>
      <c r="G527" s="122"/>
      <c r="H527" s="122">
        <f>B527</f>
        <v>15</v>
      </c>
    </row>
    <row r="528" spans="1:8" s="117" customFormat="1" ht="30" customHeight="1">
      <c r="A528" s="115" t="s">
        <v>26802</v>
      </c>
      <c r="B528" s="375" t="str">
        <f>VLOOKUP($A528,SERVICOS,4,FALSE)</f>
        <v>Te, Pvc, Soldável, Dn 25Mm, Instalado Em Ramal De Distribuição De Água - Fornecimento E Instalação. Af_12/2014</v>
      </c>
      <c r="C528" s="376"/>
      <c r="D528" s="376"/>
      <c r="E528" s="376"/>
      <c r="F528" s="377"/>
      <c r="G528" s="115" t="str">
        <f>VLOOKUP($A528,SERVICOS,5,FALSE)</f>
        <v>und</v>
      </c>
      <c r="H528" s="116">
        <f>ROUND(SUM(H530:H530),2)</f>
        <v>4</v>
      </c>
    </row>
    <row r="529" spans="1:8" ht="15" customHeight="1">
      <c r="A529" s="118" t="s">
        <v>1029</v>
      </c>
      <c r="B529" s="118" t="s">
        <v>19767</v>
      </c>
      <c r="C529" s="119"/>
      <c r="D529" s="119"/>
      <c r="E529" s="118"/>
      <c r="F529" s="118"/>
      <c r="G529" s="118"/>
      <c r="H529" s="120"/>
    </row>
    <row r="530" spans="1:8" ht="15" customHeight="1">
      <c r="A530" s="121" t="s">
        <v>28996</v>
      </c>
      <c r="B530" s="122">
        <v>4</v>
      </c>
      <c r="C530" s="122"/>
      <c r="D530" s="122"/>
      <c r="E530" s="122"/>
      <c r="F530" s="122"/>
      <c r="G530" s="122"/>
      <c r="H530" s="122">
        <f>B530</f>
        <v>4</v>
      </c>
    </row>
    <row r="531" spans="1:8" s="117" customFormat="1" ht="30" customHeight="1">
      <c r="A531" s="115" t="s">
        <v>26803</v>
      </c>
      <c r="B531" s="375" t="str">
        <f>VLOOKUP($A531,SERVICOS,4,FALSE)</f>
        <v>Te, Pvc, Soldável, Dn 50Mm, Instalado Em Prumada De Água - Fornecimento E Instalação. Af_12/2014</v>
      </c>
      <c r="C531" s="376"/>
      <c r="D531" s="376"/>
      <c r="E531" s="376"/>
      <c r="F531" s="377"/>
      <c r="G531" s="115" t="str">
        <f>VLOOKUP($A531,SERVICOS,5,FALSE)</f>
        <v>und</v>
      </c>
      <c r="H531" s="116">
        <f>ROUND(SUM(H533:H533),2)</f>
        <v>19</v>
      </c>
    </row>
    <row r="532" spans="1:8" ht="15" customHeight="1">
      <c r="A532" s="118" t="s">
        <v>1029</v>
      </c>
      <c r="B532" s="118" t="s">
        <v>19767</v>
      </c>
      <c r="C532" s="119"/>
      <c r="D532" s="119"/>
      <c r="E532" s="118"/>
      <c r="F532" s="118"/>
      <c r="G532" s="118"/>
      <c r="H532" s="120"/>
    </row>
    <row r="533" spans="1:8" ht="15" customHeight="1">
      <c r="A533" s="121" t="s">
        <v>28996</v>
      </c>
      <c r="B533" s="122">
        <v>19</v>
      </c>
      <c r="C533" s="122"/>
      <c r="D533" s="122"/>
      <c r="E533" s="122"/>
      <c r="F533" s="122"/>
      <c r="G533" s="122"/>
      <c r="H533" s="122">
        <f>B533</f>
        <v>19</v>
      </c>
    </row>
    <row r="534" spans="1:8" s="117" customFormat="1" ht="45" customHeight="1">
      <c r="A534" s="115" t="s">
        <v>26804</v>
      </c>
      <c r="B534" s="375" t="str">
        <f>VLOOKUP($A534,SERVICOS,4,FALSE)</f>
        <v>Tê Com Bucha De Latão Na Bolsa Central, Pvc, Soldável, Dn 32Mm X 3/4, Instalado Em Prumada De Água - Fornecimento E Instalação. Af_12/2014</v>
      </c>
      <c r="C534" s="376"/>
      <c r="D534" s="376"/>
      <c r="E534" s="376"/>
      <c r="F534" s="377"/>
      <c r="G534" s="115" t="str">
        <f>VLOOKUP($A534,SERVICOS,5,FALSE)</f>
        <v>und</v>
      </c>
      <c r="H534" s="116">
        <f>ROUND(SUM(H536:H536),2)</f>
        <v>3</v>
      </c>
    </row>
    <row r="535" spans="1:8" ht="15" customHeight="1">
      <c r="A535" s="118" t="s">
        <v>1029</v>
      </c>
      <c r="B535" s="118" t="s">
        <v>19767</v>
      </c>
      <c r="C535" s="119"/>
      <c r="D535" s="119"/>
      <c r="E535" s="118"/>
      <c r="F535" s="118"/>
      <c r="G535" s="118"/>
      <c r="H535" s="120"/>
    </row>
    <row r="536" spans="1:8" ht="15" customHeight="1">
      <c r="A536" s="121" t="s">
        <v>28996</v>
      </c>
      <c r="B536" s="122">
        <v>3</v>
      </c>
      <c r="C536" s="122"/>
      <c r="D536" s="122"/>
      <c r="E536" s="122"/>
      <c r="F536" s="122"/>
      <c r="G536" s="122"/>
      <c r="H536" s="122">
        <f>B536</f>
        <v>3</v>
      </c>
    </row>
    <row r="537" spans="1:8" s="117" customFormat="1" ht="45" customHeight="1">
      <c r="A537" s="115" t="s">
        <v>26805</v>
      </c>
      <c r="B537" s="375" t="str">
        <f>VLOOKUP($A537,SERVICOS,4,FALSE)</f>
        <v>Kit De Registro De Gaveta Bruto De Latão ¾", Inclusive Conexões, Roscável, Instalado Em Ramal De Água Fria - Fornecimento E Instalação. Af_12/2014</v>
      </c>
      <c r="C537" s="376"/>
      <c r="D537" s="376"/>
      <c r="E537" s="376"/>
      <c r="F537" s="377"/>
      <c r="G537" s="115" t="str">
        <f>VLOOKUP($A537,SERVICOS,5,FALSE)</f>
        <v>und</v>
      </c>
      <c r="H537" s="116">
        <f>ROUND(SUM(H539:H539),2)</f>
        <v>4</v>
      </c>
    </row>
    <row r="538" spans="1:8" ht="15" customHeight="1">
      <c r="A538" s="118" t="s">
        <v>1029</v>
      </c>
      <c r="B538" s="118" t="s">
        <v>19767</v>
      </c>
      <c r="C538" s="119"/>
      <c r="D538" s="119"/>
      <c r="E538" s="118"/>
      <c r="F538" s="118"/>
      <c r="G538" s="118"/>
      <c r="H538" s="120"/>
    </row>
    <row r="539" spans="1:8" ht="15" customHeight="1">
      <c r="A539" s="121" t="s">
        <v>28996</v>
      </c>
      <c r="B539" s="122">
        <v>4</v>
      </c>
      <c r="C539" s="122"/>
      <c r="D539" s="122"/>
      <c r="E539" s="122"/>
      <c r="F539" s="122"/>
      <c r="G539" s="122"/>
      <c r="H539" s="122">
        <f>B539</f>
        <v>4</v>
      </c>
    </row>
    <row r="540" spans="1:8" s="117" customFormat="1" ht="30" customHeight="1">
      <c r="A540" s="115" t="s">
        <v>28698</v>
      </c>
      <c r="B540" s="375" t="str">
        <f>VLOOKUP($A540,SERVICOS,4,FALSE)</f>
        <v>Registro De Gaveta Bruto, Latão, Roscável, 1 1/2" - Fornecimento E Instalação. Af_08/2021</v>
      </c>
      <c r="C540" s="376"/>
      <c r="D540" s="376"/>
      <c r="E540" s="376"/>
      <c r="F540" s="377"/>
      <c r="G540" s="115" t="str">
        <f>VLOOKUP($A540,SERVICOS,5,FALSE)</f>
        <v>und</v>
      </c>
      <c r="H540" s="116">
        <f>ROUND(SUM(H542:H542),2)</f>
        <v>6</v>
      </c>
    </row>
    <row r="541" spans="1:8" ht="15" customHeight="1">
      <c r="A541" s="118" t="s">
        <v>1029</v>
      </c>
      <c r="B541" s="118" t="s">
        <v>19767</v>
      </c>
      <c r="C541" s="119"/>
      <c r="D541" s="119"/>
      <c r="E541" s="118"/>
      <c r="F541" s="118"/>
      <c r="G541" s="118"/>
      <c r="H541" s="120"/>
    </row>
    <row r="542" spans="1:8" ht="15" customHeight="1">
      <c r="A542" s="121" t="s">
        <v>28996</v>
      </c>
      <c r="B542" s="122">
        <v>6</v>
      </c>
      <c r="C542" s="122"/>
      <c r="D542" s="122"/>
      <c r="E542" s="122"/>
      <c r="F542" s="122"/>
      <c r="G542" s="122"/>
      <c r="H542" s="122">
        <f>B542</f>
        <v>6</v>
      </c>
    </row>
    <row r="543" spans="1:8" s="117" customFormat="1" ht="45" customHeight="1">
      <c r="A543" s="115" t="s">
        <v>28779</v>
      </c>
      <c r="B543" s="375" t="str">
        <f>VLOOKUP($A543,SERVICOS,4,FALSE)</f>
        <v>Adaptador Curto Com Bolsa E Rosca Para Registro, Pvc, Soldável, Dn 50Mm X 1.1/2, Instalado Em Prumada De Água - Fornecimento E Instalação. Af_12/2014</v>
      </c>
      <c r="C543" s="376"/>
      <c r="D543" s="376"/>
      <c r="E543" s="376"/>
      <c r="F543" s="377"/>
      <c r="G543" s="115" t="str">
        <f>VLOOKUP($A543,SERVICOS,5,FALSE)</f>
        <v>und</v>
      </c>
      <c r="H543" s="116">
        <f>ROUND(SUM(H545:H545),2)</f>
        <v>12</v>
      </c>
    </row>
    <row r="544" spans="1:8" ht="15" customHeight="1">
      <c r="A544" s="118" t="s">
        <v>1029</v>
      </c>
      <c r="B544" s="118" t="s">
        <v>19767</v>
      </c>
      <c r="C544" s="119"/>
      <c r="D544" s="119"/>
      <c r="E544" s="118"/>
      <c r="F544" s="118"/>
      <c r="G544" s="118"/>
      <c r="H544" s="120"/>
    </row>
    <row r="545" spans="1:8" ht="15" customHeight="1">
      <c r="A545" s="121" t="s">
        <v>28996</v>
      </c>
      <c r="B545" s="122">
        <v>12</v>
      </c>
      <c r="C545" s="122"/>
      <c r="D545" s="122"/>
      <c r="E545" s="122"/>
      <c r="F545" s="122"/>
      <c r="G545" s="122"/>
      <c r="H545" s="122">
        <f>B545</f>
        <v>12</v>
      </c>
    </row>
    <row r="546" spans="1:8" s="117" customFormat="1" ht="30" customHeight="1">
      <c r="A546" s="115" t="s">
        <v>28953</v>
      </c>
      <c r="B546" s="375" t="str">
        <f>VLOOKUP($A546,SERVICOS,4,FALSE)</f>
        <v>Válvula De Descarga Metálica, Base 1 1/2", Acabamento Metalico Cromado - Fornecimento E Instalação. Af_08/2021</v>
      </c>
      <c r="C546" s="376"/>
      <c r="D546" s="376"/>
      <c r="E546" s="376"/>
      <c r="F546" s="377"/>
      <c r="G546" s="115" t="str">
        <f>VLOOKUP($A546,SERVICOS,5,FALSE)</f>
        <v>und</v>
      </c>
      <c r="H546" s="116">
        <f>ROUND(SUM(H548:H548),2)</f>
        <v>6</v>
      </c>
    </row>
    <row r="547" spans="1:8" ht="15" customHeight="1">
      <c r="A547" s="118" t="s">
        <v>1029</v>
      </c>
      <c r="B547" s="118" t="s">
        <v>19767</v>
      </c>
      <c r="C547" s="119"/>
      <c r="D547" s="119"/>
      <c r="E547" s="118"/>
      <c r="F547" s="118"/>
      <c r="G547" s="118"/>
      <c r="H547" s="120"/>
    </row>
    <row r="548" spans="1:8" ht="15" customHeight="1">
      <c r="A548" s="121" t="s">
        <v>28996</v>
      </c>
      <c r="B548" s="122">
        <v>6</v>
      </c>
      <c r="C548" s="122"/>
      <c r="D548" s="122"/>
      <c r="E548" s="122"/>
      <c r="F548" s="122"/>
      <c r="G548" s="122"/>
      <c r="H548" s="122">
        <f>B548</f>
        <v>6</v>
      </c>
    </row>
    <row r="549" spans="1:8" s="117" customFormat="1" ht="30" customHeight="1">
      <c r="A549" s="115" t="s">
        <v>28954</v>
      </c>
      <c r="B549" s="375" t="str">
        <f>VLOOKUP($A549,SERVICOS,4,FALSE)</f>
        <v>Tubo, Pvc, Soldável, Dn 25Mm, Instalado Em Ramal De Distribuição De Água - Fornecimento E Instalação. Af_12/2014</v>
      </c>
      <c r="C549" s="376"/>
      <c r="D549" s="376"/>
      <c r="E549" s="376"/>
      <c r="F549" s="377"/>
      <c r="G549" s="115" t="str">
        <f>VLOOKUP($A549,SERVICOS,5,FALSE)</f>
        <v>m</v>
      </c>
      <c r="H549" s="116">
        <f>ROUND(SUM(H551:H551),2)</f>
        <v>93</v>
      </c>
    </row>
    <row r="550" spans="1:8" ht="15" customHeight="1">
      <c r="A550" s="118" t="s">
        <v>1029</v>
      </c>
      <c r="B550" s="118" t="s">
        <v>19767</v>
      </c>
      <c r="C550" s="119"/>
      <c r="D550" s="119"/>
      <c r="E550" s="118"/>
      <c r="F550" s="118"/>
      <c r="G550" s="118"/>
      <c r="H550" s="120"/>
    </row>
    <row r="551" spans="1:8" ht="15" customHeight="1">
      <c r="A551" s="121" t="s">
        <v>28996</v>
      </c>
      <c r="B551" s="122">
        <v>93</v>
      </c>
      <c r="C551" s="122"/>
      <c r="D551" s="122"/>
      <c r="E551" s="122"/>
      <c r="F551" s="122"/>
      <c r="G551" s="122"/>
      <c r="H551" s="122">
        <f>B551</f>
        <v>93</v>
      </c>
    </row>
    <row r="552" spans="1:8" s="117" customFormat="1" ht="30" customHeight="1">
      <c r="A552" s="115" t="s">
        <v>28955</v>
      </c>
      <c r="B552" s="375" t="str">
        <f>VLOOKUP($A552,SERVICOS,4,FALSE)</f>
        <v>Tubo, Pvc, Soldável, Dn 50Mm, Instalado Em Prumada De Água - Fornecimento E Instalação. Af_12/2014</v>
      </c>
      <c r="C552" s="376"/>
      <c r="D552" s="376"/>
      <c r="E552" s="376"/>
      <c r="F552" s="377"/>
      <c r="G552" s="115" t="str">
        <f>VLOOKUP($A552,SERVICOS,5,FALSE)</f>
        <v>m</v>
      </c>
      <c r="H552" s="116">
        <f>ROUND(SUM(H554:H554),2)</f>
        <v>36</v>
      </c>
    </row>
    <row r="553" spans="1:8" ht="15" customHeight="1">
      <c r="A553" s="118" t="s">
        <v>1029</v>
      </c>
      <c r="B553" s="118" t="s">
        <v>19767</v>
      </c>
      <c r="C553" s="119"/>
      <c r="D553" s="119"/>
      <c r="E553" s="118"/>
      <c r="F553" s="118"/>
      <c r="G553" s="118"/>
      <c r="H553" s="120"/>
    </row>
    <row r="554" spans="1:8" ht="15" customHeight="1">
      <c r="A554" s="121" t="s">
        <v>28996</v>
      </c>
      <c r="B554" s="122">
        <v>36</v>
      </c>
      <c r="C554" s="122"/>
      <c r="D554" s="122"/>
      <c r="E554" s="122"/>
      <c r="F554" s="122"/>
      <c r="G554" s="122"/>
      <c r="H554" s="122">
        <f>B554</f>
        <v>36</v>
      </c>
    </row>
    <row r="555" spans="1:8" s="117" customFormat="1" ht="30" customHeight="1">
      <c r="A555" s="115" t="s">
        <v>28956</v>
      </c>
      <c r="B555" s="375" t="str">
        <f>VLOOKUP($A555,SERVICOS,4,FALSE)</f>
        <v>Registro De Esfera, Pvc, Soldável, Com Volante, Dn  25 Mm - Fornecimento E Instalação. Af_08/2021</v>
      </c>
      <c r="C555" s="376"/>
      <c r="D555" s="376"/>
      <c r="E555" s="376"/>
      <c r="F555" s="377"/>
      <c r="G555" s="115" t="str">
        <f>VLOOKUP($A555,SERVICOS,5,FALSE)</f>
        <v>und</v>
      </c>
      <c r="H555" s="116">
        <f>ROUND(SUM(H557:H557),2)</f>
        <v>2</v>
      </c>
    </row>
    <row r="556" spans="1:8" ht="15" customHeight="1">
      <c r="A556" s="118" t="s">
        <v>1029</v>
      </c>
      <c r="B556" s="118" t="s">
        <v>19767</v>
      </c>
      <c r="C556" s="119"/>
      <c r="D556" s="119"/>
      <c r="E556" s="118"/>
      <c r="F556" s="118"/>
      <c r="G556" s="118"/>
      <c r="H556" s="120"/>
    </row>
    <row r="557" spans="1:8" ht="15" customHeight="1">
      <c r="A557" s="121" t="s">
        <v>28996</v>
      </c>
      <c r="B557" s="122">
        <v>2</v>
      </c>
      <c r="C557" s="122"/>
      <c r="D557" s="122"/>
      <c r="E557" s="122"/>
      <c r="F557" s="122"/>
      <c r="G557" s="122"/>
      <c r="H557" s="122">
        <f>B557</f>
        <v>2</v>
      </c>
    </row>
    <row r="558" spans="1:8" s="117" customFormat="1" ht="30" customHeight="1">
      <c r="A558" s="115" t="s">
        <v>28957</v>
      </c>
      <c r="B558" s="375" t="str">
        <f>VLOOKUP($A558,SERVICOS,4,FALSE)</f>
        <v>Registro De Esfera, Pvc, Soldável, Com Volante, Dn  50 Mm - Fornecimento E Instalação. Af_08/2021</v>
      </c>
      <c r="C558" s="376"/>
      <c r="D558" s="376"/>
      <c r="E558" s="376"/>
      <c r="F558" s="377"/>
      <c r="G558" s="115" t="str">
        <f>VLOOKUP($A558,SERVICOS,5,FALSE)</f>
        <v>und</v>
      </c>
      <c r="H558" s="116">
        <f>ROUND(SUM(H560:H560),2)</f>
        <v>4</v>
      </c>
    </row>
    <row r="559" spans="1:8" ht="15" customHeight="1">
      <c r="A559" s="118" t="s">
        <v>1029</v>
      </c>
      <c r="B559" s="118" t="s">
        <v>19767</v>
      </c>
      <c r="C559" s="119"/>
      <c r="D559" s="119"/>
      <c r="E559" s="118"/>
      <c r="F559" s="118"/>
      <c r="G559" s="118"/>
      <c r="H559" s="120"/>
    </row>
    <row r="560" spans="1:8" ht="15" customHeight="1">
      <c r="A560" s="121" t="s">
        <v>28996</v>
      </c>
      <c r="B560" s="122">
        <v>4</v>
      </c>
      <c r="C560" s="122"/>
      <c r="D560" s="122"/>
      <c r="E560" s="122"/>
      <c r="F560" s="122"/>
      <c r="G560" s="122"/>
      <c r="H560" s="122">
        <f>B560</f>
        <v>4</v>
      </c>
    </row>
    <row r="561" spans="1:8" s="117" customFormat="1" ht="15" customHeight="1">
      <c r="A561" s="115" t="s">
        <v>28958</v>
      </c>
      <c r="B561" s="375" t="str">
        <f>VLOOKUP($A561,SERVICOS,4,FALSE)</f>
        <v>Manopla E Canopla Cromada  Fornecimento E Instalação. Af_01/2020</v>
      </c>
      <c r="C561" s="376"/>
      <c r="D561" s="376"/>
      <c r="E561" s="376"/>
      <c r="F561" s="377"/>
      <c r="G561" s="115" t="str">
        <f>VLOOKUP($A561,SERVICOS,5,FALSE)</f>
        <v>und</v>
      </c>
      <c r="H561" s="116">
        <f>ROUND(SUM(H563:H563),2)</f>
        <v>4</v>
      </c>
    </row>
    <row r="562" spans="1:8" ht="15" customHeight="1">
      <c r="A562" s="118" t="s">
        <v>1029</v>
      </c>
      <c r="B562" s="118" t="s">
        <v>19767</v>
      </c>
      <c r="C562" s="119"/>
      <c r="D562" s="119"/>
      <c r="E562" s="118"/>
      <c r="F562" s="118"/>
      <c r="G562" s="118"/>
      <c r="H562" s="120"/>
    </row>
    <row r="563" spans="1:8" ht="15" customHeight="1">
      <c r="A563" s="121" t="s">
        <v>28996</v>
      </c>
      <c r="B563" s="122">
        <v>4</v>
      </c>
      <c r="C563" s="122"/>
      <c r="D563" s="122"/>
      <c r="E563" s="122"/>
      <c r="F563" s="122"/>
      <c r="G563" s="122"/>
      <c r="H563" s="122">
        <f>B563</f>
        <v>4</v>
      </c>
    </row>
    <row r="564" spans="1:8" s="117" customFormat="1" ht="15" customHeight="1">
      <c r="A564" s="115" t="s">
        <v>28959</v>
      </c>
      <c r="B564" s="375" t="str">
        <f>VLOOKUP($A564,SERVICOS,4,FALSE)</f>
        <v>Tubo Vde Com Joelho 90° (Azul) Para Válvula De Descarga, Dn 38 Mm</v>
      </c>
      <c r="C564" s="376"/>
      <c r="D564" s="376"/>
      <c r="E564" s="376"/>
      <c r="F564" s="377"/>
      <c r="G564" s="115" t="str">
        <f>VLOOKUP($A564,SERVICOS,5,FALSE)</f>
        <v>pç</v>
      </c>
      <c r="H564" s="116">
        <f>ROUND(SUM(H566:H566),2)</f>
        <v>6</v>
      </c>
    </row>
    <row r="565" spans="1:8" ht="15" customHeight="1">
      <c r="A565" s="118" t="s">
        <v>1029</v>
      </c>
      <c r="B565" s="118" t="s">
        <v>19767</v>
      </c>
      <c r="C565" s="119"/>
      <c r="D565" s="119"/>
      <c r="E565" s="118"/>
      <c r="F565" s="118"/>
      <c r="G565" s="118"/>
      <c r="H565" s="120"/>
    </row>
    <row r="566" spans="1:8" ht="15" customHeight="1">
      <c r="A566" s="121" t="s">
        <v>28996</v>
      </c>
      <c r="B566" s="122">
        <v>6</v>
      </c>
      <c r="C566" s="122"/>
      <c r="D566" s="122"/>
      <c r="E566" s="122"/>
      <c r="F566" s="122"/>
      <c r="G566" s="122"/>
      <c r="H566" s="122">
        <f>B566</f>
        <v>6</v>
      </c>
    </row>
    <row r="567" spans="1:8" s="117" customFormat="1" ht="30" customHeight="1">
      <c r="A567" s="115" t="s">
        <v>28960</v>
      </c>
      <c r="B567" s="375" t="str">
        <f>VLOOKUP($A567,SERVICOS,4,FALSE)</f>
        <v>Caixa D´Água Em Polietileno, 1500 Litros - Fornecimento E Instalação. Af_06/2021</v>
      </c>
      <c r="C567" s="376"/>
      <c r="D567" s="376"/>
      <c r="E567" s="376"/>
      <c r="F567" s="377"/>
      <c r="G567" s="115" t="str">
        <f>VLOOKUP($A567,SERVICOS,5,FALSE)</f>
        <v>und</v>
      </c>
      <c r="H567" s="116">
        <f>ROUND(SUM(H569:H569),2)</f>
        <v>2</v>
      </c>
    </row>
    <row r="568" spans="1:8" ht="15" customHeight="1">
      <c r="A568" s="118" t="s">
        <v>1029</v>
      </c>
      <c r="B568" s="118" t="s">
        <v>19767</v>
      </c>
      <c r="C568" s="119"/>
      <c r="D568" s="119"/>
      <c r="E568" s="118"/>
      <c r="F568" s="118"/>
      <c r="G568" s="118"/>
      <c r="H568" s="120"/>
    </row>
    <row r="569" spans="1:8" ht="15" customHeight="1">
      <c r="A569" s="121" t="s">
        <v>28996</v>
      </c>
      <c r="B569" s="122">
        <v>2</v>
      </c>
      <c r="C569" s="122"/>
      <c r="D569" s="122"/>
      <c r="E569" s="122"/>
      <c r="F569" s="122"/>
      <c r="G569" s="122"/>
      <c r="H569" s="122">
        <f>B569</f>
        <v>2</v>
      </c>
    </row>
    <row r="570" spans="1:8" s="117" customFormat="1" ht="30" customHeight="1">
      <c r="A570" s="115" t="s">
        <v>28961</v>
      </c>
      <c r="B570" s="375" t="str">
        <f>VLOOKUP($A570,SERVICOS,4,FALSE)</f>
        <v>Torneira De Boia Para Caixa D'Água, Roscável, 3/4" - Fornecimento E Instalação. Af_08/2021</v>
      </c>
      <c r="C570" s="376"/>
      <c r="D570" s="376"/>
      <c r="E570" s="376"/>
      <c r="F570" s="377"/>
      <c r="G570" s="115" t="str">
        <f>VLOOKUP($A570,SERVICOS,5,FALSE)</f>
        <v>und</v>
      </c>
      <c r="H570" s="116">
        <f>ROUND(SUM(H572:H572),2)</f>
        <v>2</v>
      </c>
    </row>
    <row r="571" spans="1:8" ht="15" customHeight="1">
      <c r="A571" s="118" t="s">
        <v>1029</v>
      </c>
      <c r="B571" s="118" t="s">
        <v>19767</v>
      </c>
      <c r="C571" s="119"/>
      <c r="D571" s="119"/>
      <c r="E571" s="118"/>
      <c r="F571" s="118"/>
      <c r="G571" s="118"/>
      <c r="H571" s="120"/>
    </row>
    <row r="572" spans="1:8" ht="15" customHeight="1">
      <c r="A572" s="121" t="s">
        <v>28996</v>
      </c>
      <c r="B572" s="122">
        <f>B569</f>
        <v>2</v>
      </c>
      <c r="C572" s="122"/>
      <c r="D572" s="122"/>
      <c r="E572" s="122"/>
      <c r="F572" s="122"/>
      <c r="G572" s="122"/>
      <c r="H572" s="122">
        <f>B572</f>
        <v>2</v>
      </c>
    </row>
    <row r="573" spans="1:8" ht="15" customHeight="1">
      <c r="A573" s="113"/>
      <c r="B573" s="339" t="s">
        <v>28968</v>
      </c>
      <c r="C573" s="340"/>
      <c r="D573" s="340"/>
      <c r="E573" s="340"/>
      <c r="F573" s="341"/>
      <c r="G573" s="320"/>
      <c r="H573" s="320"/>
    </row>
    <row r="574" spans="1:8" s="117" customFormat="1" ht="30" customHeight="1">
      <c r="A574" s="115" t="s">
        <v>28962</v>
      </c>
      <c r="B574" s="375" t="str">
        <f>VLOOKUP($A574,SERVICOS,4,FALSE)</f>
        <v>Ralo Seco, Pvc, Dn 100 X 40 Mm, Junta Soldável, Fornecido E Instalado Em Ramal De Descarga Ou Em Ramal De Esgoto Sanitário. Af_12/2014</v>
      </c>
      <c r="C574" s="376"/>
      <c r="D574" s="376"/>
      <c r="E574" s="376"/>
      <c r="F574" s="377"/>
      <c r="G574" s="115" t="str">
        <f>VLOOKUP($A574,SERVICOS,5,FALSE)</f>
        <v>und</v>
      </c>
      <c r="H574" s="116">
        <f>ROUND(SUM(H576:H576),2)</f>
        <v>2</v>
      </c>
    </row>
    <row r="575" spans="1:8" ht="15" customHeight="1">
      <c r="A575" s="118" t="s">
        <v>1029</v>
      </c>
      <c r="B575" s="118" t="s">
        <v>19767</v>
      </c>
      <c r="C575" s="119"/>
      <c r="D575" s="119"/>
      <c r="E575" s="118"/>
      <c r="F575" s="118"/>
      <c r="G575" s="118"/>
      <c r="H575" s="120"/>
    </row>
    <row r="576" spans="1:8" ht="15" customHeight="1">
      <c r="A576" s="121" t="s">
        <v>28997</v>
      </c>
      <c r="B576" s="122">
        <v>2</v>
      </c>
      <c r="C576" s="122"/>
      <c r="D576" s="122"/>
      <c r="E576" s="122"/>
      <c r="F576" s="122"/>
      <c r="G576" s="122"/>
      <c r="H576" s="122">
        <f>B576</f>
        <v>2</v>
      </c>
    </row>
    <row r="577" spans="1:8" s="117" customFormat="1" ht="45" customHeight="1">
      <c r="A577" s="115" t="s">
        <v>28963</v>
      </c>
      <c r="B577" s="375" t="str">
        <f>VLOOKUP($A577,SERVICOS,4,FALSE)</f>
        <v>Joelho 90 Graus, Pvc, Serie Normal, Esgoto Predial, Dn 100 Mm, Junta Elástica, Fornecido E Instalado Em Ramal De Descarga Ou Ramal De Esgoto Sanitário. Af_12/2014</v>
      </c>
      <c r="C577" s="376"/>
      <c r="D577" s="376"/>
      <c r="E577" s="376"/>
      <c r="F577" s="377"/>
      <c r="G577" s="115" t="str">
        <f>VLOOKUP($A577,SERVICOS,5,FALSE)</f>
        <v>und</v>
      </c>
      <c r="H577" s="116">
        <f>ROUND(SUM(H579:H579),2)</f>
        <v>5</v>
      </c>
    </row>
    <row r="578" spans="1:8" ht="15" customHeight="1">
      <c r="A578" s="118" t="s">
        <v>1029</v>
      </c>
      <c r="B578" s="118" t="s">
        <v>19767</v>
      </c>
      <c r="C578" s="119"/>
      <c r="D578" s="119"/>
      <c r="E578" s="118"/>
      <c r="F578" s="118"/>
      <c r="G578" s="118"/>
      <c r="H578" s="120"/>
    </row>
    <row r="579" spans="1:8" ht="15" customHeight="1">
      <c r="A579" s="121" t="s">
        <v>28997</v>
      </c>
      <c r="B579" s="122">
        <v>5</v>
      </c>
      <c r="C579" s="122"/>
      <c r="D579" s="122"/>
      <c r="E579" s="122"/>
      <c r="F579" s="122"/>
      <c r="G579" s="122"/>
      <c r="H579" s="122">
        <f>B579</f>
        <v>5</v>
      </c>
    </row>
    <row r="580" spans="1:8" s="117" customFormat="1" ht="45" customHeight="1">
      <c r="A580" s="115" t="s">
        <v>28964</v>
      </c>
      <c r="B580" s="375" t="str">
        <f>VLOOKUP($A580,SERVICOS,4,FALSE)</f>
        <v>Luva Simples, Pvc, Serie Normal, Esgoto Predial, Dn 100 Mm, Junta Elástica, Fornecido E Instalado Em Ramal De Descarga Ou Ramal De Esgoto Sanitário. Af_12/2014</v>
      </c>
      <c r="C580" s="376"/>
      <c r="D580" s="376"/>
      <c r="E580" s="376"/>
      <c r="F580" s="377"/>
      <c r="G580" s="115" t="str">
        <f>VLOOKUP($A580,SERVICOS,5,FALSE)</f>
        <v>und</v>
      </c>
      <c r="H580" s="116">
        <f>ROUND(SUM(H582:H582),2)</f>
        <v>6</v>
      </c>
    </row>
    <row r="581" spans="1:8" ht="15" customHeight="1">
      <c r="A581" s="118" t="s">
        <v>1029</v>
      </c>
      <c r="B581" s="118" t="s">
        <v>19767</v>
      </c>
      <c r="C581" s="119"/>
      <c r="D581" s="119"/>
      <c r="E581" s="118"/>
      <c r="F581" s="118"/>
      <c r="G581" s="118"/>
      <c r="H581" s="120"/>
    </row>
    <row r="582" spans="1:8" ht="15" customHeight="1">
      <c r="A582" s="121" t="s">
        <v>28997</v>
      </c>
      <c r="B582" s="122">
        <v>6</v>
      </c>
      <c r="C582" s="122"/>
      <c r="D582" s="122"/>
      <c r="E582" s="122"/>
      <c r="F582" s="122"/>
      <c r="G582" s="122"/>
      <c r="H582" s="122">
        <f>B582</f>
        <v>6</v>
      </c>
    </row>
    <row r="583" spans="1:8" s="117" customFormat="1" ht="30" customHeight="1">
      <c r="A583" s="115" t="s">
        <v>28971</v>
      </c>
      <c r="B583" s="375" t="str">
        <f>VLOOKUP($A583,SERVICOS,4,FALSE)</f>
        <v>Tê, Pvc, Série Normal, Esgoto Predial, Dn 100 X 50 Mm, Junta Elástica, Fornecido E Instalado</v>
      </c>
      <c r="C583" s="376"/>
      <c r="D583" s="376"/>
      <c r="E583" s="376"/>
      <c r="F583" s="377"/>
      <c r="G583" s="115" t="str">
        <f>VLOOKUP($A583,SERVICOS,5,FALSE)</f>
        <v>und.</v>
      </c>
      <c r="H583" s="116">
        <f>ROUND(SUM(H585:H585),2)</f>
        <v>2</v>
      </c>
    </row>
    <row r="584" spans="1:8" ht="15" customHeight="1">
      <c r="A584" s="118" t="s">
        <v>1029</v>
      </c>
      <c r="B584" s="118" t="s">
        <v>19767</v>
      </c>
      <c r="C584" s="119"/>
      <c r="D584" s="119"/>
      <c r="E584" s="118"/>
      <c r="F584" s="118"/>
      <c r="G584" s="118"/>
      <c r="H584" s="120"/>
    </row>
    <row r="585" spans="1:8" ht="15" customHeight="1">
      <c r="A585" s="121" t="s">
        <v>28997</v>
      </c>
      <c r="B585" s="122">
        <v>2</v>
      </c>
      <c r="C585" s="122"/>
      <c r="D585" s="122"/>
      <c r="E585" s="122"/>
      <c r="F585" s="122"/>
      <c r="G585" s="122"/>
      <c r="H585" s="122">
        <f>B585</f>
        <v>2</v>
      </c>
    </row>
    <row r="586" spans="1:8" s="117" customFormat="1" ht="45" customHeight="1">
      <c r="A586" s="115" t="s">
        <v>28972</v>
      </c>
      <c r="B586" s="375" t="str">
        <f>VLOOKUP($A586,SERVICOS,4,FALSE)</f>
        <v>Te, Pvc, Serie Normal, Esgoto Predial, Dn 100 X 100 Mm, Junta Elástica, Fornecido E Instalado Em Ramal De Descarga Ou Ramal De Esgoto Sanitário. Af_12/2014</v>
      </c>
      <c r="C586" s="376"/>
      <c r="D586" s="376"/>
      <c r="E586" s="376"/>
      <c r="F586" s="377"/>
      <c r="G586" s="115" t="str">
        <f>VLOOKUP($A586,SERVICOS,5,FALSE)</f>
        <v>und</v>
      </c>
      <c r="H586" s="116">
        <f>ROUND(SUM(H588:H588),2)</f>
        <v>1</v>
      </c>
    </row>
    <row r="587" spans="1:8" ht="15" customHeight="1">
      <c r="A587" s="118" t="s">
        <v>1029</v>
      </c>
      <c r="B587" s="118" t="s">
        <v>19767</v>
      </c>
      <c r="C587" s="119"/>
      <c r="D587" s="119"/>
      <c r="E587" s="118"/>
      <c r="F587" s="118"/>
      <c r="G587" s="118"/>
      <c r="H587" s="120"/>
    </row>
    <row r="588" spans="1:8" ht="15" customHeight="1">
      <c r="A588" s="121" t="s">
        <v>28997</v>
      </c>
      <c r="B588" s="122">
        <v>1</v>
      </c>
      <c r="C588" s="122"/>
      <c r="D588" s="122"/>
      <c r="E588" s="122"/>
      <c r="F588" s="122"/>
      <c r="G588" s="122"/>
      <c r="H588" s="122">
        <f>B588</f>
        <v>1</v>
      </c>
    </row>
    <row r="589" spans="1:8" s="117" customFormat="1" ht="30" customHeight="1">
      <c r="A589" s="115" t="s">
        <v>28973</v>
      </c>
      <c r="B589" s="375" t="str">
        <f>VLOOKUP($A589,SERVICOS,4,FALSE)</f>
        <v>Tubo Pvc, Serie Normal, Esgoto Predial, Dn 50 Mm, Fornecido E Instalado Em Prumada De Esgoto Sanitário Ou Ventilação. Af_12/2014</v>
      </c>
      <c r="C589" s="376"/>
      <c r="D589" s="376"/>
      <c r="E589" s="376"/>
      <c r="F589" s="377"/>
      <c r="G589" s="115" t="str">
        <f>VLOOKUP($A589,SERVICOS,5,FALSE)</f>
        <v>m</v>
      </c>
      <c r="H589" s="116">
        <f>ROUND(SUM(H591:H591),2)</f>
        <v>1</v>
      </c>
    </row>
    <row r="590" spans="1:8" ht="15" customHeight="1">
      <c r="A590" s="118" t="s">
        <v>1029</v>
      </c>
      <c r="B590" s="118" t="s">
        <v>19767</v>
      </c>
      <c r="C590" s="119"/>
      <c r="D590" s="119"/>
      <c r="E590" s="118"/>
      <c r="F590" s="118"/>
      <c r="G590" s="118"/>
      <c r="H590" s="120"/>
    </row>
    <row r="591" spans="1:8" ht="15" customHeight="1">
      <c r="A591" s="121" t="s">
        <v>28997</v>
      </c>
      <c r="B591" s="122">
        <v>1</v>
      </c>
      <c r="C591" s="122"/>
      <c r="D591" s="122"/>
      <c r="E591" s="122"/>
      <c r="F591" s="122"/>
      <c r="G591" s="122"/>
      <c r="H591" s="122">
        <f>B591</f>
        <v>1</v>
      </c>
    </row>
    <row r="592" spans="1:8" s="117" customFormat="1" ht="45" customHeight="1">
      <c r="A592" s="115" t="s">
        <v>28974</v>
      </c>
      <c r="B592" s="375" t="str">
        <f>VLOOKUP($A592,SERVICOS,4,FALSE)</f>
        <v>Tubo Pvc, Serie Normal, Esgoto Predial, Dn 100 Mm, Fornecido E Instalado Em Ramal De Descarga Ou Ramal De Esgoto Sanitário. Af_12/2014</v>
      </c>
      <c r="C592" s="376"/>
      <c r="D592" s="376"/>
      <c r="E592" s="376"/>
      <c r="F592" s="377"/>
      <c r="G592" s="115" t="str">
        <f>VLOOKUP($A592,SERVICOS,5,FALSE)</f>
        <v>m</v>
      </c>
      <c r="H592" s="116">
        <f>ROUND(SUM(H594:H594),2)</f>
        <v>37</v>
      </c>
    </row>
    <row r="593" spans="1:8" ht="15" customHeight="1">
      <c r="A593" s="118" t="s">
        <v>1029</v>
      </c>
      <c r="B593" s="118" t="s">
        <v>19767</v>
      </c>
      <c r="C593" s="119"/>
      <c r="D593" s="119"/>
      <c r="E593" s="118"/>
      <c r="F593" s="118"/>
      <c r="G593" s="118"/>
      <c r="H593" s="120"/>
    </row>
    <row r="594" spans="1:8" ht="15" customHeight="1">
      <c r="A594" s="121" t="s">
        <v>28997</v>
      </c>
      <c r="B594" s="122">
        <v>37</v>
      </c>
      <c r="C594" s="122"/>
      <c r="D594" s="122"/>
      <c r="E594" s="122"/>
      <c r="F594" s="122"/>
      <c r="G594" s="122"/>
      <c r="H594" s="122">
        <f>B594</f>
        <v>37</v>
      </c>
    </row>
    <row r="595" spans="1:8" s="117" customFormat="1" ht="30" customHeight="1">
      <c r="A595" s="115" t="s">
        <v>28975</v>
      </c>
      <c r="B595" s="375" t="str">
        <f>VLOOKUP($A595,SERVICOS,4,FALSE)</f>
        <v>Terminal De Ventilação, Dn 100 Mm, Série Normal, Esgoto Predial, Fornecido E Instalado</v>
      </c>
      <c r="C595" s="376"/>
      <c r="D595" s="376"/>
      <c r="E595" s="376"/>
      <c r="F595" s="377"/>
      <c r="G595" s="115" t="str">
        <f>VLOOKUP($A595,SERVICOS,5,FALSE)</f>
        <v>und.</v>
      </c>
      <c r="H595" s="116">
        <f>ROUND(SUM(H597:H597),2)</f>
        <v>2</v>
      </c>
    </row>
    <row r="596" spans="1:8" ht="15" customHeight="1">
      <c r="A596" s="118" t="s">
        <v>1029</v>
      </c>
      <c r="B596" s="118" t="s">
        <v>19767</v>
      </c>
      <c r="C596" s="119"/>
      <c r="D596" s="119"/>
      <c r="E596" s="118"/>
      <c r="F596" s="118"/>
      <c r="G596" s="118"/>
      <c r="H596" s="120"/>
    </row>
    <row r="597" spans="1:8" ht="15" customHeight="1">
      <c r="A597" s="121" t="s">
        <v>28997</v>
      </c>
      <c r="B597" s="122">
        <v>2</v>
      </c>
      <c r="C597" s="122"/>
      <c r="D597" s="122"/>
      <c r="E597" s="122"/>
      <c r="F597" s="122"/>
      <c r="G597" s="122"/>
      <c r="H597" s="122">
        <f>B597</f>
        <v>2</v>
      </c>
    </row>
    <row r="598" spans="1:8" s="117" customFormat="1" ht="60" customHeight="1">
      <c r="A598" s="115" t="s">
        <v>28976</v>
      </c>
      <c r="B598" s="375" t="str">
        <f>VLOOKUP($A598,SERVICOS,4,FALSE)</f>
        <v>Caixa De Areia De Alvenaria De Blocos De Concreto 9X19X39Cm, Dim. 60X60Cm E Hmáx=1M, C/ Tampa Em Concreto Esp. 5Cm, Lastro Concreto Esp. 10Cm, Revestida Intern. C/ Chapisco E Reboco Impermeabilizante, Incl. Escavação E Reaterro</v>
      </c>
      <c r="C598" s="376"/>
      <c r="D598" s="376"/>
      <c r="E598" s="376"/>
      <c r="F598" s="377"/>
      <c r="G598" s="115" t="str">
        <f>VLOOKUP($A598,SERVICOS,5,FALSE)</f>
        <v>und</v>
      </c>
      <c r="H598" s="116">
        <f>ROUND(SUM(H600:H600),2)</f>
        <v>2</v>
      </c>
    </row>
    <row r="599" spans="1:8" ht="15" customHeight="1">
      <c r="A599" s="118" t="s">
        <v>1029</v>
      </c>
      <c r="B599" s="118" t="s">
        <v>19767</v>
      </c>
      <c r="C599" s="119"/>
      <c r="D599" s="119"/>
      <c r="E599" s="118"/>
      <c r="F599" s="118"/>
      <c r="G599" s="118"/>
      <c r="H599" s="120"/>
    </row>
    <row r="600" spans="1:8" ht="15" customHeight="1">
      <c r="A600" s="121" t="s">
        <v>28997</v>
      </c>
      <c r="B600" s="122">
        <v>2</v>
      </c>
      <c r="C600" s="122"/>
      <c r="D600" s="122"/>
      <c r="E600" s="122"/>
      <c r="F600" s="122"/>
      <c r="G600" s="122"/>
      <c r="H600" s="122">
        <f>B600</f>
        <v>2</v>
      </c>
    </row>
    <row r="601" spans="1:8" ht="15" customHeight="1">
      <c r="A601" s="113"/>
      <c r="B601" s="339" t="s">
        <v>28977</v>
      </c>
      <c r="C601" s="340"/>
      <c r="D601" s="340"/>
      <c r="E601" s="340"/>
      <c r="F601" s="341"/>
      <c r="G601" s="320"/>
      <c r="H601" s="320"/>
    </row>
    <row r="602" spans="1:8" s="117" customFormat="1" ht="45" customHeight="1">
      <c r="A602" s="115" t="s">
        <v>28979</v>
      </c>
      <c r="B602" s="375" t="str">
        <f>VLOOKUP($A602,SERVICOS,4,FALSE)</f>
        <v>Caixa Sifonada, Pvc, Dn 150 X 185 X 75 Mm, Junta Elástica, Fornecida E Instalada Em Ramal De Descarga Ou Em Ramal De Esgoto Sanitário. Af_12/2014</v>
      </c>
      <c r="C602" s="376"/>
      <c r="D602" s="376"/>
      <c r="E602" s="376"/>
      <c r="F602" s="377"/>
      <c r="G602" s="115" t="str">
        <f>VLOOKUP($A602,SERVICOS,5,FALSE)</f>
        <v>und</v>
      </c>
      <c r="H602" s="116">
        <f>ROUND(SUM(H604:H604),2)</f>
        <v>7</v>
      </c>
    </row>
    <row r="603" spans="1:8" ht="15" customHeight="1">
      <c r="A603" s="118" t="s">
        <v>1029</v>
      </c>
      <c r="B603" s="118" t="s">
        <v>19767</v>
      </c>
      <c r="C603" s="119"/>
      <c r="D603" s="119"/>
      <c r="E603" s="118"/>
      <c r="F603" s="118"/>
      <c r="G603" s="118"/>
      <c r="H603" s="120"/>
    </row>
    <row r="604" spans="1:8" ht="15" customHeight="1">
      <c r="A604" s="121" t="s">
        <v>28998</v>
      </c>
      <c r="B604" s="122">
        <v>7</v>
      </c>
      <c r="C604" s="122"/>
      <c r="D604" s="122"/>
      <c r="E604" s="122"/>
      <c r="F604" s="122"/>
      <c r="G604" s="122"/>
      <c r="H604" s="122">
        <f>B604</f>
        <v>7</v>
      </c>
    </row>
    <row r="605" spans="1:8" s="117" customFormat="1" ht="45" customHeight="1">
      <c r="A605" s="115" t="s">
        <v>28980</v>
      </c>
      <c r="B605" s="375" t="str">
        <f>VLOOKUP($A605,SERVICOS,4,FALSE)</f>
        <v>Joelho 45 Graus, Pvc, Serie Normal, Esgoto Predial, Dn 50 Mm, Junta Elástica, Fornecido E Instalado Em Ramal De Descarga Ou Ramal De Esgoto Sanitário. Af_12/2014</v>
      </c>
      <c r="C605" s="376"/>
      <c r="D605" s="376"/>
      <c r="E605" s="376"/>
      <c r="F605" s="377"/>
      <c r="G605" s="115" t="str">
        <f>VLOOKUP($A605,SERVICOS,5,FALSE)</f>
        <v>und</v>
      </c>
      <c r="H605" s="116">
        <f>ROUND(SUM(H607:H607),2)</f>
        <v>14</v>
      </c>
    </row>
    <row r="606" spans="1:8" ht="15" customHeight="1">
      <c r="A606" s="118" t="s">
        <v>1029</v>
      </c>
      <c r="B606" s="118" t="s">
        <v>19767</v>
      </c>
      <c r="C606" s="119"/>
      <c r="D606" s="119"/>
      <c r="E606" s="118"/>
      <c r="F606" s="118"/>
      <c r="G606" s="118"/>
      <c r="H606" s="120"/>
    </row>
    <row r="607" spans="1:8" ht="15" customHeight="1">
      <c r="A607" s="121" t="s">
        <v>28998</v>
      </c>
      <c r="B607" s="122">
        <v>14</v>
      </c>
      <c r="C607" s="122"/>
      <c r="D607" s="122"/>
      <c r="E607" s="122"/>
      <c r="F607" s="122"/>
      <c r="G607" s="122"/>
      <c r="H607" s="122">
        <f>B607</f>
        <v>14</v>
      </c>
    </row>
    <row r="608" spans="1:8" s="117" customFormat="1" ht="45" customHeight="1">
      <c r="A608" s="115" t="s">
        <v>28981</v>
      </c>
      <c r="B608" s="375" t="str">
        <f>VLOOKUP($A608,SERVICOS,4,FALSE)</f>
        <v>Joelho 45 Graus, Pvc, Serie Normal, Esgoto Predial, Dn 100 Mm, Junta Elástica, Fornecido E Instalado Em Ramal De Descarga Ou Ramal De Esgoto Sanitário. Af_12/2014</v>
      </c>
      <c r="C608" s="376"/>
      <c r="D608" s="376"/>
      <c r="E608" s="376"/>
      <c r="F608" s="377"/>
      <c r="G608" s="115" t="str">
        <f>VLOOKUP($A608,SERVICOS,5,FALSE)</f>
        <v>und</v>
      </c>
      <c r="H608" s="116">
        <f>ROUND(SUM(H610:H610),2)</f>
        <v>6</v>
      </c>
    </row>
    <row r="609" spans="1:8" ht="15" customHeight="1">
      <c r="A609" s="118" t="s">
        <v>1029</v>
      </c>
      <c r="B609" s="118" t="s">
        <v>19767</v>
      </c>
      <c r="C609" s="119"/>
      <c r="D609" s="119"/>
      <c r="E609" s="118"/>
      <c r="F609" s="118"/>
      <c r="G609" s="118"/>
      <c r="H609" s="120"/>
    </row>
    <row r="610" spans="1:8" ht="15" customHeight="1">
      <c r="A610" s="121" t="s">
        <v>28998</v>
      </c>
      <c r="B610" s="122">
        <v>6</v>
      </c>
      <c r="C610" s="122"/>
      <c r="D610" s="122"/>
      <c r="E610" s="122"/>
      <c r="F610" s="122"/>
      <c r="G610" s="122"/>
      <c r="H610" s="122">
        <f>B610</f>
        <v>6</v>
      </c>
    </row>
    <row r="611" spans="1:8" s="117" customFormat="1" ht="45" customHeight="1">
      <c r="A611" s="115" t="s">
        <v>28982</v>
      </c>
      <c r="B611" s="375" t="str">
        <f>VLOOKUP($A611,SERVICOS,4,FALSE)</f>
        <v>Joelho 90 Graus, Pvc, Serie Normal, Esgoto Predial, Dn 40 Mm, Junta Soldável, Fornecido E Instalado Em Ramal De Descarga Ou Ramal De Esgoto Sanitário. Af_12/2014</v>
      </c>
      <c r="C611" s="376"/>
      <c r="D611" s="376"/>
      <c r="E611" s="376"/>
      <c r="F611" s="377"/>
      <c r="G611" s="115" t="str">
        <f>VLOOKUP($A611,SERVICOS,5,FALSE)</f>
        <v>und</v>
      </c>
      <c r="H611" s="116">
        <f>ROUND(SUM(H613:H613),2)</f>
        <v>23</v>
      </c>
    </row>
    <row r="612" spans="1:8" ht="15" customHeight="1">
      <c r="A612" s="118" t="s">
        <v>1029</v>
      </c>
      <c r="B612" s="118" t="s">
        <v>19767</v>
      </c>
      <c r="C612" s="119"/>
      <c r="D612" s="119"/>
      <c r="E612" s="118"/>
      <c r="F612" s="118"/>
      <c r="G612" s="118"/>
      <c r="H612" s="120"/>
    </row>
    <row r="613" spans="1:8" ht="15" customHeight="1">
      <c r="A613" s="121" t="s">
        <v>28998</v>
      </c>
      <c r="B613" s="122">
        <v>23</v>
      </c>
      <c r="C613" s="122"/>
      <c r="D613" s="122"/>
      <c r="E613" s="122"/>
      <c r="F613" s="122"/>
      <c r="G613" s="122"/>
      <c r="H613" s="122">
        <f>B613</f>
        <v>23</v>
      </c>
    </row>
    <row r="614" spans="1:8" s="117" customFormat="1" ht="45" customHeight="1">
      <c r="A614" s="115" t="s">
        <v>28983</v>
      </c>
      <c r="B614" s="375" t="str">
        <f>VLOOKUP($A614,SERVICOS,4,FALSE)</f>
        <v>Joelho 90 Graus, Pvc, Serie Normal, Esgoto Predial, Dn 50 Mm, Junta Elástica, Fornecido E Instalado Em Ramal De Descarga Ou Ramal De Esgoto Sanitário. Af_12/2014</v>
      </c>
      <c r="C614" s="376"/>
      <c r="D614" s="376"/>
      <c r="E614" s="376"/>
      <c r="F614" s="377"/>
      <c r="G614" s="115" t="str">
        <f>VLOOKUP($A614,SERVICOS,5,FALSE)</f>
        <v>und</v>
      </c>
      <c r="H614" s="116">
        <f>ROUND(SUM(H616:H616),2)</f>
        <v>14</v>
      </c>
    </row>
    <row r="615" spans="1:8" ht="15" customHeight="1">
      <c r="A615" s="118" t="s">
        <v>1029</v>
      </c>
      <c r="B615" s="118" t="s">
        <v>19767</v>
      </c>
      <c r="C615" s="119"/>
      <c r="D615" s="119"/>
      <c r="E615" s="118"/>
      <c r="F615" s="118"/>
      <c r="G615" s="118"/>
      <c r="H615" s="120"/>
    </row>
    <row r="616" spans="1:8" ht="15" customHeight="1">
      <c r="A616" s="121" t="s">
        <v>28998</v>
      </c>
      <c r="B616" s="122">
        <v>14</v>
      </c>
      <c r="C616" s="122"/>
      <c r="D616" s="122"/>
      <c r="E616" s="122"/>
      <c r="F616" s="122"/>
      <c r="G616" s="122"/>
      <c r="H616" s="122">
        <f>B616</f>
        <v>14</v>
      </c>
    </row>
    <row r="617" spans="1:8" s="117" customFormat="1" ht="45" customHeight="1">
      <c r="A617" s="115" t="s">
        <v>28984</v>
      </c>
      <c r="B617" s="375" t="str">
        <f>VLOOKUP($A617,SERVICOS,4,FALSE)</f>
        <v>Joelho 90 Graus, Pvc, Serie Normal, Esgoto Predial, Dn 100 Mm, Junta Elástica, Fornecido E Instalado Em Ramal De Descarga Ou Ramal De Esgoto Sanitário. Af_12/2014</v>
      </c>
      <c r="C617" s="376"/>
      <c r="D617" s="376"/>
      <c r="E617" s="376"/>
      <c r="F617" s="377"/>
      <c r="G617" s="115" t="str">
        <f>VLOOKUP($A617,SERVICOS,5,FALSE)</f>
        <v>und</v>
      </c>
      <c r="H617" s="116">
        <f>ROUND(SUM(H619:H619),2)</f>
        <v>8</v>
      </c>
    </row>
    <row r="618" spans="1:8" ht="15" customHeight="1">
      <c r="A618" s="118" t="s">
        <v>1029</v>
      </c>
      <c r="B618" s="118" t="s">
        <v>19767</v>
      </c>
      <c r="C618" s="119"/>
      <c r="D618" s="119"/>
      <c r="E618" s="118"/>
      <c r="F618" s="118"/>
      <c r="G618" s="118"/>
      <c r="H618" s="120"/>
    </row>
    <row r="619" spans="1:8" ht="15" customHeight="1">
      <c r="A619" s="121" t="s">
        <v>28998</v>
      </c>
      <c r="B619" s="122">
        <v>8</v>
      </c>
      <c r="C619" s="122"/>
      <c r="D619" s="122"/>
      <c r="E619" s="122"/>
      <c r="F619" s="122"/>
      <c r="G619" s="122"/>
      <c r="H619" s="122">
        <f>B619</f>
        <v>8</v>
      </c>
    </row>
    <row r="620" spans="1:8" s="117" customFormat="1" ht="30" customHeight="1">
      <c r="A620" s="115" t="s">
        <v>28985</v>
      </c>
      <c r="B620" s="375" t="str">
        <f>VLOOKUP($A620,SERVICOS,4,FALSE)</f>
        <v>Junção Simples, Pvc, Série Normal, Dn 100 X 50 Mm, Junta Elástica, Fornecido E Instalado</v>
      </c>
      <c r="C620" s="376"/>
      <c r="D620" s="376"/>
      <c r="E620" s="376"/>
      <c r="F620" s="377"/>
      <c r="G620" s="115" t="str">
        <f>VLOOKUP($A620,SERVICOS,5,FALSE)</f>
        <v>und.</v>
      </c>
      <c r="H620" s="116">
        <f>ROUND(SUM(H622:H622),2)</f>
        <v>9</v>
      </c>
    </row>
    <row r="621" spans="1:8" ht="15" customHeight="1">
      <c r="A621" s="118" t="s">
        <v>1029</v>
      </c>
      <c r="B621" s="118" t="s">
        <v>19767</v>
      </c>
      <c r="C621" s="119"/>
      <c r="D621" s="119"/>
      <c r="E621" s="118"/>
      <c r="F621" s="118"/>
      <c r="G621" s="118"/>
      <c r="H621" s="120"/>
    </row>
    <row r="622" spans="1:8" ht="15" customHeight="1">
      <c r="A622" s="121" t="s">
        <v>28998</v>
      </c>
      <c r="B622" s="122">
        <v>9</v>
      </c>
      <c r="C622" s="122"/>
      <c r="D622" s="122"/>
      <c r="E622" s="122"/>
      <c r="F622" s="122"/>
      <c r="G622" s="122"/>
      <c r="H622" s="122">
        <f>B622</f>
        <v>9</v>
      </c>
    </row>
    <row r="623" spans="1:8" s="117" customFormat="1" ht="45" customHeight="1">
      <c r="A623" s="115" t="s">
        <v>28986</v>
      </c>
      <c r="B623" s="375" t="str">
        <f>VLOOKUP($A623,SERVICOS,4,FALSE)</f>
        <v>Luva Simples, Pvc, Serie Normal, Esgoto Predial, Dn 50 Mm, Junta Elástica, Fornecido E Instalado Em Ramal De Descarga Ou Ramal De Esgoto Sanitário. Af_12/2014</v>
      </c>
      <c r="C623" s="376"/>
      <c r="D623" s="376"/>
      <c r="E623" s="376"/>
      <c r="F623" s="377"/>
      <c r="G623" s="115" t="str">
        <f>VLOOKUP($A623,SERVICOS,5,FALSE)</f>
        <v>und</v>
      </c>
      <c r="H623" s="116">
        <f>ROUND(SUM(H625:H625),2)</f>
        <v>20</v>
      </c>
    </row>
    <row r="624" spans="1:8" ht="15" customHeight="1">
      <c r="A624" s="118" t="s">
        <v>1029</v>
      </c>
      <c r="B624" s="118" t="s">
        <v>19767</v>
      </c>
      <c r="C624" s="119"/>
      <c r="D624" s="119"/>
      <c r="E624" s="118"/>
      <c r="F624" s="118"/>
      <c r="G624" s="118"/>
      <c r="H624" s="120"/>
    </row>
    <row r="625" spans="1:8" ht="15" customHeight="1">
      <c r="A625" s="121" t="s">
        <v>28998</v>
      </c>
      <c r="B625" s="122">
        <v>20</v>
      </c>
      <c r="C625" s="122"/>
      <c r="D625" s="122"/>
      <c r="E625" s="122"/>
      <c r="F625" s="122"/>
      <c r="G625" s="122"/>
      <c r="H625" s="122">
        <f>B625</f>
        <v>20</v>
      </c>
    </row>
    <row r="626" spans="1:8" s="117" customFormat="1" ht="45" customHeight="1">
      <c r="A626" s="115" t="s">
        <v>28987</v>
      </c>
      <c r="B626" s="375" t="str">
        <f>VLOOKUP($A626,SERVICOS,4,FALSE)</f>
        <v>Luva Simples, Pvc, Serie Normal, Esgoto Predial, Dn 100 Mm, Junta Elástica, Fornecido E Instalado Em Ramal De Descarga Ou Ramal De Esgoto Sanitário. Af_12/2014</v>
      </c>
      <c r="C626" s="376"/>
      <c r="D626" s="376"/>
      <c r="E626" s="376"/>
      <c r="F626" s="377"/>
      <c r="G626" s="115" t="str">
        <f>VLOOKUP($A626,SERVICOS,5,FALSE)</f>
        <v>und</v>
      </c>
      <c r="H626" s="116">
        <f>ROUND(SUM(H628:H628),2)</f>
        <v>19</v>
      </c>
    </row>
    <row r="627" spans="1:8" ht="15" customHeight="1">
      <c r="A627" s="118" t="s">
        <v>1029</v>
      </c>
      <c r="B627" s="118" t="s">
        <v>19767</v>
      </c>
      <c r="C627" s="119"/>
      <c r="D627" s="119"/>
      <c r="E627" s="118"/>
      <c r="F627" s="118"/>
      <c r="G627" s="118"/>
      <c r="H627" s="120"/>
    </row>
    <row r="628" spans="1:8" ht="15" customHeight="1">
      <c r="A628" s="121" t="s">
        <v>28998</v>
      </c>
      <c r="B628" s="122">
        <v>19</v>
      </c>
      <c r="C628" s="122"/>
      <c r="D628" s="122"/>
      <c r="E628" s="122"/>
      <c r="F628" s="122"/>
      <c r="G628" s="122"/>
      <c r="H628" s="122">
        <f>B628</f>
        <v>19</v>
      </c>
    </row>
    <row r="629" spans="1:8" s="117" customFormat="1" ht="45" customHeight="1">
      <c r="A629" s="115" t="s">
        <v>28988</v>
      </c>
      <c r="B629" s="375" t="str">
        <f>VLOOKUP($A629,SERVICOS,4,FALSE)</f>
        <v>Te, Pvc, Serie Normal, Esgoto Predial, Dn 50 X 50 Mm, Junta Elástica, Fornecido E Instalado Em Ramal De Descarga Ou Ramal De Esgoto Sanitário. Af_12/2014</v>
      </c>
      <c r="C629" s="376"/>
      <c r="D629" s="376"/>
      <c r="E629" s="376"/>
      <c r="F629" s="377"/>
      <c r="G629" s="115" t="str">
        <f>VLOOKUP($A629,SERVICOS,5,FALSE)</f>
        <v>und</v>
      </c>
      <c r="H629" s="116">
        <f>ROUND(SUM(H631:H631),2)</f>
        <v>10</v>
      </c>
    </row>
    <row r="630" spans="1:8" ht="15" customHeight="1">
      <c r="A630" s="118" t="s">
        <v>1029</v>
      </c>
      <c r="B630" s="118" t="s">
        <v>19767</v>
      </c>
      <c r="C630" s="119"/>
      <c r="D630" s="119"/>
      <c r="E630" s="118"/>
      <c r="F630" s="118"/>
      <c r="G630" s="118"/>
      <c r="H630" s="120"/>
    </row>
    <row r="631" spans="1:8" ht="15" customHeight="1">
      <c r="A631" s="121" t="s">
        <v>28998</v>
      </c>
      <c r="B631" s="122">
        <v>10</v>
      </c>
      <c r="C631" s="122"/>
      <c r="D631" s="122"/>
      <c r="E631" s="122"/>
      <c r="F631" s="122"/>
      <c r="G631" s="122"/>
      <c r="H631" s="122">
        <f>B631</f>
        <v>10</v>
      </c>
    </row>
    <row r="632" spans="1:8" s="117" customFormat="1" ht="45" customHeight="1">
      <c r="A632" s="115" t="s">
        <v>28989</v>
      </c>
      <c r="B632" s="375" t="str">
        <f>VLOOKUP($A632,SERVICOS,4,FALSE)</f>
        <v>Te, Pvc, Serie Normal, Esgoto Predial, Dn 100 X 100 Mm, Junta Elástica, Fornecido E Instalado Em Ramal De Descarga Ou Ramal De Esgoto Sanitário. Af_12/2014</v>
      </c>
      <c r="C632" s="376"/>
      <c r="D632" s="376"/>
      <c r="E632" s="376"/>
      <c r="F632" s="377"/>
      <c r="G632" s="115" t="str">
        <f>VLOOKUP($A632,SERVICOS,5,FALSE)</f>
        <v>und</v>
      </c>
      <c r="H632" s="116">
        <f>ROUND(SUM(H634:H634),2)</f>
        <v>4</v>
      </c>
    </row>
    <row r="633" spans="1:8" ht="15" customHeight="1">
      <c r="A633" s="118" t="s">
        <v>1029</v>
      </c>
      <c r="B633" s="118" t="s">
        <v>19767</v>
      </c>
      <c r="C633" s="119"/>
      <c r="D633" s="119"/>
      <c r="E633" s="118"/>
      <c r="F633" s="118"/>
      <c r="G633" s="118"/>
      <c r="H633" s="120"/>
    </row>
    <row r="634" spans="1:8" ht="15" customHeight="1">
      <c r="A634" s="121" t="s">
        <v>28998</v>
      </c>
      <c r="B634" s="122">
        <v>4</v>
      </c>
      <c r="C634" s="122"/>
      <c r="D634" s="122"/>
      <c r="E634" s="122"/>
      <c r="F634" s="122"/>
      <c r="G634" s="122"/>
      <c r="H634" s="122">
        <f>B634</f>
        <v>4</v>
      </c>
    </row>
    <row r="635" spans="1:8" s="117" customFormat="1" ht="45" customHeight="1">
      <c r="A635" s="115" t="s">
        <v>28990</v>
      </c>
      <c r="B635" s="375" t="str">
        <f>VLOOKUP($A635,SERVICOS,4,FALSE)</f>
        <v>Tubo Pvc, Serie Normal, Esgoto Predial, Dn 40 Mm, Fornecido E Instalado Em Ramal De Descarga Ou Ramal De Esgoto Sanitário. Af_12/2014</v>
      </c>
      <c r="C635" s="376"/>
      <c r="D635" s="376"/>
      <c r="E635" s="376"/>
      <c r="F635" s="377"/>
      <c r="G635" s="115" t="str">
        <f>VLOOKUP($A635,SERVICOS,5,FALSE)</f>
        <v>m</v>
      </c>
      <c r="H635" s="116">
        <f>ROUND(SUM(H637:H637),2)</f>
        <v>10</v>
      </c>
    </row>
    <row r="636" spans="1:8" ht="15" customHeight="1">
      <c r="A636" s="118" t="s">
        <v>1029</v>
      </c>
      <c r="B636" s="118" t="s">
        <v>19767</v>
      </c>
      <c r="C636" s="119"/>
      <c r="D636" s="119"/>
      <c r="E636" s="118"/>
      <c r="F636" s="118"/>
      <c r="G636" s="118"/>
      <c r="H636" s="120"/>
    </row>
    <row r="637" spans="1:8" ht="15" customHeight="1">
      <c r="A637" s="121" t="s">
        <v>28998</v>
      </c>
      <c r="B637" s="122">
        <v>10</v>
      </c>
      <c r="C637" s="122"/>
      <c r="D637" s="122"/>
      <c r="E637" s="122"/>
      <c r="F637" s="122"/>
      <c r="G637" s="122"/>
      <c r="H637" s="122">
        <f>B637</f>
        <v>10</v>
      </c>
    </row>
    <row r="638" spans="1:8" s="117" customFormat="1" ht="45" customHeight="1">
      <c r="A638" s="115" t="s">
        <v>28991</v>
      </c>
      <c r="B638" s="375" t="str">
        <f>VLOOKUP($A638,SERVICOS,4,FALSE)</f>
        <v>Tubo Pvc, Serie Normal, Esgoto Predial, Dn 50 Mm, Fornecido E Instalado Em Ramal De Descarga Ou Ramal De Esgoto Sanitário. Af_12/2014</v>
      </c>
      <c r="C638" s="376"/>
      <c r="D638" s="376"/>
      <c r="E638" s="376"/>
      <c r="F638" s="377"/>
      <c r="G638" s="115" t="str">
        <f>VLOOKUP($A638,SERVICOS,5,FALSE)</f>
        <v>m</v>
      </c>
      <c r="H638" s="116">
        <f>ROUND(SUM(H640:H640),2)</f>
        <v>40</v>
      </c>
    </row>
    <row r="639" spans="1:8" ht="15" customHeight="1">
      <c r="A639" s="118" t="s">
        <v>1029</v>
      </c>
      <c r="B639" s="118" t="s">
        <v>19767</v>
      </c>
      <c r="C639" s="119"/>
      <c r="D639" s="119"/>
      <c r="E639" s="118"/>
      <c r="F639" s="118"/>
      <c r="G639" s="118"/>
      <c r="H639" s="120"/>
    </row>
    <row r="640" spans="1:8" ht="15" customHeight="1">
      <c r="A640" s="121" t="s">
        <v>28998</v>
      </c>
      <c r="B640" s="122">
        <v>40</v>
      </c>
      <c r="C640" s="122"/>
      <c r="D640" s="122"/>
      <c r="E640" s="122"/>
      <c r="F640" s="122"/>
      <c r="G640" s="122"/>
      <c r="H640" s="122">
        <f>B640</f>
        <v>40</v>
      </c>
    </row>
    <row r="641" spans="1:8" s="117" customFormat="1" ht="45" customHeight="1">
      <c r="A641" s="115" t="s">
        <v>28992</v>
      </c>
      <c r="B641" s="375" t="str">
        <f>VLOOKUP($A641,SERVICOS,4,FALSE)</f>
        <v>Tubo Pvc, Serie Normal, Esgoto Predial, Dn 100 Mm, Fornecido E Instalado Em Ramal De Descarga Ou Ramal De Esgoto Sanitário. Af_12/2014</v>
      </c>
      <c r="C641" s="376"/>
      <c r="D641" s="376"/>
      <c r="E641" s="376"/>
      <c r="F641" s="377"/>
      <c r="G641" s="115" t="str">
        <f>VLOOKUP($A641,SERVICOS,5,FALSE)</f>
        <v>m</v>
      </c>
      <c r="H641" s="116">
        <f>ROUND(SUM(H643:H643),2)</f>
        <v>36</v>
      </c>
    </row>
    <row r="642" spans="1:8" ht="15" customHeight="1">
      <c r="A642" s="118" t="s">
        <v>1029</v>
      </c>
      <c r="B642" s="118" t="s">
        <v>19767</v>
      </c>
      <c r="C642" s="119"/>
      <c r="D642" s="119"/>
      <c r="E642" s="118"/>
      <c r="F642" s="118"/>
      <c r="G642" s="118"/>
      <c r="H642" s="120"/>
    </row>
    <row r="643" spans="1:8" ht="15" customHeight="1">
      <c r="A643" s="121" t="s">
        <v>28998</v>
      </c>
      <c r="B643" s="122">
        <v>36</v>
      </c>
      <c r="C643" s="122"/>
      <c r="D643" s="122"/>
      <c r="E643" s="122"/>
      <c r="F643" s="122"/>
      <c r="G643" s="122"/>
      <c r="H643" s="122">
        <f>B643</f>
        <v>36</v>
      </c>
    </row>
    <row r="644" spans="1:8" s="117" customFormat="1" ht="30" customHeight="1">
      <c r="A644" s="115" t="s">
        <v>28993</v>
      </c>
      <c r="B644" s="375" t="str">
        <f>VLOOKUP($A644,SERVICOS,4,FALSE)</f>
        <v>Terminal De Ventilação, Dn 100 Mm, Série Normal, Esgoto Predial, Fornecido E Instalado</v>
      </c>
      <c r="C644" s="376"/>
      <c r="D644" s="376"/>
      <c r="E644" s="376"/>
      <c r="F644" s="377"/>
      <c r="G644" s="115" t="str">
        <f>VLOOKUP($A644,SERVICOS,5,FALSE)</f>
        <v>und.</v>
      </c>
      <c r="H644" s="116">
        <f>ROUND(SUM(H646:H646),2)</f>
        <v>2</v>
      </c>
    </row>
    <row r="645" spans="1:8" ht="15" customHeight="1">
      <c r="A645" s="118" t="s">
        <v>1029</v>
      </c>
      <c r="B645" s="118" t="s">
        <v>19767</v>
      </c>
      <c r="C645" s="119"/>
      <c r="D645" s="119"/>
      <c r="E645" s="118"/>
      <c r="F645" s="118"/>
      <c r="G645" s="118"/>
      <c r="H645" s="120"/>
    </row>
    <row r="646" spans="1:8" ht="15" customHeight="1">
      <c r="A646" s="121" t="s">
        <v>28998</v>
      </c>
      <c r="B646" s="122">
        <v>2</v>
      </c>
      <c r="C646" s="122"/>
      <c r="D646" s="122"/>
      <c r="E646" s="122"/>
      <c r="F646" s="122"/>
      <c r="G646" s="122"/>
      <c r="H646" s="122">
        <f>B646</f>
        <v>2</v>
      </c>
    </row>
    <row r="647" spans="1:8" s="117" customFormat="1" ht="60" customHeight="1">
      <c r="A647" s="115" t="s">
        <v>28994</v>
      </c>
      <c r="B647" s="375" t="str">
        <f>VLOOKUP($A647,SERVICOS,4,FALSE)</f>
        <v>Caixas De Inspeção De Alv. Blocos Concreto 9X19X39Cm, Dim, 60X60Cm E Hmáx = 1M, Com Tampa De Conc. Esp. 5Cm, Lastro De Conc. Esp. 10Cm, Revest Intern. C/ Chapisco E Reboco Impermeabilizado, Incl. Escavação, Reaterro E Enchimento</v>
      </c>
      <c r="C647" s="376"/>
      <c r="D647" s="376"/>
      <c r="E647" s="376"/>
      <c r="F647" s="377"/>
      <c r="G647" s="115" t="str">
        <f>VLOOKUP($A647,SERVICOS,5,FALSE)</f>
        <v>und</v>
      </c>
      <c r="H647" s="116">
        <f>ROUND(SUM(H649:H649),2)</f>
        <v>1</v>
      </c>
    </row>
    <row r="648" spans="1:8" ht="15" customHeight="1">
      <c r="A648" s="118" t="s">
        <v>1029</v>
      </c>
      <c r="B648" s="118" t="s">
        <v>19767</v>
      </c>
      <c r="C648" s="119"/>
      <c r="D648" s="119"/>
      <c r="E648" s="118"/>
      <c r="F648" s="118"/>
      <c r="G648" s="118"/>
      <c r="H648" s="120"/>
    </row>
    <row r="649" spans="1:8" ht="15" customHeight="1">
      <c r="A649" s="121" t="s">
        <v>28998</v>
      </c>
      <c r="B649" s="122">
        <v>1</v>
      </c>
      <c r="C649" s="122"/>
      <c r="D649" s="122"/>
      <c r="E649" s="122"/>
      <c r="F649" s="122"/>
      <c r="G649" s="122"/>
      <c r="H649" s="122">
        <f>B649</f>
        <v>1</v>
      </c>
    </row>
    <row r="650" spans="1:8" s="117" customFormat="1" ht="60" customHeight="1">
      <c r="A650" s="115" t="s">
        <v>28995</v>
      </c>
      <c r="B650" s="375" t="str">
        <f>VLOOKUP($A650,SERVICOS,4,FALSE)</f>
        <v>Caixa De Gordura De Alv. Bloco Concreto 9X19X39Cm, Dim.60X60Cm E Hmáx=1M, Com Tampa Em Concreto Esp.5Cm, Lastro Concreto Esp.10Cm, Revestida Intern. C/ Chapisco E Reboco Impermeab, Escavação, Reaterro E Parede Interna Em Concreto</v>
      </c>
      <c r="C650" s="376"/>
      <c r="D650" s="376"/>
      <c r="E650" s="376"/>
      <c r="F650" s="377"/>
      <c r="G650" s="115" t="str">
        <f>VLOOKUP($A650,SERVICOS,5,FALSE)</f>
        <v>und</v>
      </c>
      <c r="H650" s="116">
        <f>ROUND(SUM(H652:H652),2)</f>
        <v>1</v>
      </c>
    </row>
    <row r="651" spans="1:8" ht="15" customHeight="1">
      <c r="A651" s="118" t="s">
        <v>1029</v>
      </c>
      <c r="B651" s="118" t="s">
        <v>19767</v>
      </c>
      <c r="C651" s="119"/>
      <c r="D651" s="119"/>
      <c r="E651" s="118"/>
      <c r="F651" s="118"/>
      <c r="G651" s="118"/>
      <c r="H651" s="120"/>
    </row>
    <row r="652" spans="1:8" ht="15" customHeight="1">
      <c r="A652" s="121" t="s">
        <v>28998</v>
      </c>
      <c r="B652" s="122">
        <v>1</v>
      </c>
      <c r="C652" s="122"/>
      <c r="D652" s="122"/>
      <c r="E652" s="122"/>
      <c r="F652" s="122"/>
      <c r="G652" s="122"/>
      <c r="H652" s="122">
        <f>B652</f>
        <v>1</v>
      </c>
    </row>
    <row r="653" spans="1:8" s="117" customFormat="1" ht="30" customHeight="1">
      <c r="A653" s="115" t="s">
        <v>28999</v>
      </c>
      <c r="B653" s="375" t="str">
        <f>VLOOKUP($A653,SERVICOS,4,FALSE)</f>
        <v>Rasgo Em Alvenaria Para Ramais/ Distribuição Com Diametros Menores Ou Iguais A 40 Mm. Af_05/2015</v>
      </c>
      <c r="C653" s="376"/>
      <c r="D653" s="376"/>
      <c r="E653" s="376"/>
      <c r="F653" s="377"/>
      <c r="G653" s="115" t="str">
        <f>VLOOKUP($A653,SERVICOS,5,FALSE)</f>
        <v>m</v>
      </c>
      <c r="H653" s="116">
        <f>ROUND(SUM(H655:H656),2)</f>
        <v>56.8</v>
      </c>
    </row>
    <row r="654" spans="1:8" ht="15" customHeight="1">
      <c r="A654" s="118" t="s">
        <v>1029</v>
      </c>
      <c r="B654" s="118" t="s">
        <v>19767</v>
      </c>
      <c r="C654" s="119" t="s">
        <v>19769</v>
      </c>
      <c r="D654" s="119"/>
      <c r="E654" s="118"/>
      <c r="F654" s="118"/>
      <c r="G654" s="118"/>
      <c r="H654" s="120"/>
    </row>
    <row r="655" spans="1:8" ht="15" customHeight="1">
      <c r="A655" s="121" t="s">
        <v>28996</v>
      </c>
      <c r="B655" s="122">
        <v>1</v>
      </c>
      <c r="C655" s="122">
        <f>93-36-3</f>
        <v>54</v>
      </c>
      <c r="D655" s="122"/>
      <c r="E655" s="122"/>
      <c r="F655" s="122"/>
      <c r="G655" s="122"/>
      <c r="H655" s="122">
        <f>B655*C655</f>
        <v>54</v>
      </c>
    </row>
    <row r="656" spans="1:8" ht="15" customHeight="1">
      <c r="A656" s="121" t="s">
        <v>28998</v>
      </c>
      <c r="B656" s="122">
        <v>1</v>
      </c>
      <c r="C656" s="122">
        <f>0.4*7</f>
        <v>2.8000000000000003</v>
      </c>
      <c r="D656" s="241" t="s">
        <v>29103</v>
      </c>
      <c r="E656" s="122"/>
      <c r="F656" s="122"/>
      <c r="G656" s="122"/>
      <c r="H656" s="122">
        <f>B656*C656</f>
        <v>2.8000000000000003</v>
      </c>
    </row>
    <row r="657" spans="1:8" s="117" customFormat="1" ht="30" customHeight="1">
      <c r="A657" s="115" t="s">
        <v>29000</v>
      </c>
      <c r="B657" s="375" t="str">
        <f>VLOOKUP($A657,SERVICOS,4,FALSE)</f>
        <v>Rasgo Em Alvenaria Para Ramais/ Distribuição Com Diâmetros Maiores Que 40 Mm E Menores Ou Iguais A 75 Mm. Af_05/2015</v>
      </c>
      <c r="C657" s="376"/>
      <c r="D657" s="376"/>
      <c r="E657" s="376"/>
      <c r="F657" s="377"/>
      <c r="G657" s="115" t="str">
        <f>VLOOKUP($A657,SERVICOS,5,FALSE)</f>
        <v>m</v>
      </c>
      <c r="H657" s="116">
        <f>ROUND(SUM(H659:H660),2)</f>
        <v>30.4</v>
      </c>
    </row>
    <row r="658" spans="1:8" ht="15" customHeight="1">
      <c r="A658" s="118" t="s">
        <v>1029</v>
      </c>
      <c r="B658" s="118" t="s">
        <v>19767</v>
      </c>
      <c r="C658" s="119" t="s">
        <v>19769</v>
      </c>
      <c r="D658" s="119"/>
      <c r="E658" s="118"/>
      <c r="F658" s="118"/>
      <c r="G658" s="118"/>
      <c r="H658" s="120"/>
    </row>
    <row r="659" spans="1:8" ht="15" customHeight="1">
      <c r="A659" s="121" t="s">
        <v>28996</v>
      </c>
      <c r="B659" s="122">
        <v>1</v>
      </c>
      <c r="C659" s="122">
        <v>29</v>
      </c>
      <c r="D659" s="122"/>
      <c r="E659" s="122"/>
      <c r="F659" s="122"/>
      <c r="G659" s="122"/>
      <c r="H659" s="122">
        <f>B659*C659</f>
        <v>29</v>
      </c>
    </row>
    <row r="660" spans="1:8" ht="15" customHeight="1">
      <c r="A660" s="121" t="s">
        <v>28998</v>
      </c>
      <c r="B660" s="122">
        <v>1</v>
      </c>
      <c r="C660" s="122">
        <f>0.4+0.5*2</f>
        <v>1.4</v>
      </c>
      <c r="D660" s="241" t="s">
        <v>29104</v>
      </c>
      <c r="E660" s="122"/>
      <c r="F660" s="122"/>
      <c r="G660" s="122"/>
      <c r="H660" s="122">
        <f>B660*C660</f>
        <v>1.4</v>
      </c>
    </row>
    <row r="661" spans="1:8" s="117" customFormat="1" ht="30" customHeight="1">
      <c r="A661" s="115" t="s">
        <v>29001</v>
      </c>
      <c r="B661" s="375" t="str">
        <f>VLOOKUP($A661,SERVICOS,4,FALSE)</f>
        <v>Chumbamento Linear Em Alvenaria Para Ramais/Distribuição Com Diâmetros Menores Ou Iguais A 40 Mm. Af_05/2015</v>
      </c>
      <c r="C661" s="376"/>
      <c r="D661" s="376"/>
      <c r="E661" s="376"/>
      <c r="F661" s="377"/>
      <c r="G661" s="115" t="str">
        <f>VLOOKUP($A661,SERVICOS,5,FALSE)</f>
        <v>m</v>
      </c>
      <c r="H661" s="116">
        <f>ROUND(SUM(H663:H664),2)</f>
        <v>56.8</v>
      </c>
    </row>
    <row r="662" spans="1:8" ht="15" customHeight="1">
      <c r="A662" s="118" t="s">
        <v>1029</v>
      </c>
      <c r="B662" s="118" t="s">
        <v>19767</v>
      </c>
      <c r="C662" s="119" t="s">
        <v>19769</v>
      </c>
      <c r="D662" s="119"/>
      <c r="E662" s="118"/>
      <c r="F662" s="118"/>
      <c r="G662" s="118"/>
      <c r="H662" s="120"/>
    </row>
    <row r="663" spans="1:8" ht="15" customHeight="1">
      <c r="A663" s="121" t="str">
        <f t="shared" ref="A663:C664" si="103">A655</f>
        <v>Água fria</v>
      </c>
      <c r="B663" s="122">
        <f t="shared" si="103"/>
        <v>1</v>
      </c>
      <c r="C663" s="122">
        <f t="shared" si="103"/>
        <v>54</v>
      </c>
      <c r="D663" s="122"/>
      <c r="E663" s="122"/>
      <c r="F663" s="122"/>
      <c r="G663" s="122"/>
      <c r="H663" s="122">
        <f>B663*C663</f>
        <v>54</v>
      </c>
    </row>
    <row r="664" spans="1:8" ht="15" customHeight="1">
      <c r="A664" s="121" t="str">
        <f t="shared" si="103"/>
        <v>Esgoto</v>
      </c>
      <c r="B664" s="122">
        <f t="shared" si="103"/>
        <v>1</v>
      </c>
      <c r="C664" s="122">
        <f t="shared" si="103"/>
        <v>2.8000000000000003</v>
      </c>
      <c r="D664" s="122"/>
      <c r="E664" s="122"/>
      <c r="F664" s="122"/>
      <c r="G664" s="122"/>
      <c r="H664" s="122">
        <f>B664*C664</f>
        <v>2.8000000000000003</v>
      </c>
    </row>
    <row r="665" spans="1:8" s="117" customFormat="1" ht="45" customHeight="1">
      <c r="A665" s="115" t="s">
        <v>29002</v>
      </c>
      <c r="B665" s="375" t="str">
        <f>VLOOKUP($A665,SERVICOS,4,FALSE)</f>
        <v>Chumbamento Linear Em Alvenaria Para Ramais/Distribuição Com Diâmetros Maiores Que 40 Mm E Menores Ou Iguais A 75 Mm. Af_05/2015</v>
      </c>
      <c r="C665" s="376"/>
      <c r="D665" s="376"/>
      <c r="E665" s="376"/>
      <c r="F665" s="377"/>
      <c r="G665" s="115" t="str">
        <f>VLOOKUP($A665,SERVICOS,5,FALSE)</f>
        <v>m</v>
      </c>
      <c r="H665" s="116">
        <f>ROUND(SUM(H667:H668),2)</f>
        <v>30.4</v>
      </c>
    </row>
    <row r="666" spans="1:8" ht="15" customHeight="1">
      <c r="A666" s="118" t="s">
        <v>1029</v>
      </c>
      <c r="B666" s="118" t="s">
        <v>19767</v>
      </c>
      <c r="C666" s="119" t="s">
        <v>19769</v>
      </c>
      <c r="D666" s="119"/>
      <c r="E666" s="118"/>
      <c r="F666" s="118"/>
      <c r="G666" s="118"/>
      <c r="H666" s="120"/>
    </row>
    <row r="667" spans="1:8" ht="15" customHeight="1">
      <c r="A667" s="121" t="str">
        <f t="shared" ref="A667:C668" si="104">A659</f>
        <v>Água fria</v>
      </c>
      <c r="B667" s="122">
        <f t="shared" si="104"/>
        <v>1</v>
      </c>
      <c r="C667" s="122">
        <f t="shared" si="104"/>
        <v>29</v>
      </c>
      <c r="D667" s="122"/>
      <c r="E667" s="122"/>
      <c r="F667" s="122"/>
      <c r="G667" s="122"/>
      <c r="H667" s="122">
        <f>B667*C667</f>
        <v>29</v>
      </c>
    </row>
    <row r="668" spans="1:8" ht="15" customHeight="1">
      <c r="A668" s="121" t="str">
        <f t="shared" si="104"/>
        <v>Esgoto</v>
      </c>
      <c r="B668" s="122">
        <f t="shared" si="104"/>
        <v>1</v>
      </c>
      <c r="C668" s="122">
        <f t="shared" si="104"/>
        <v>1.4</v>
      </c>
      <c r="D668" s="122"/>
      <c r="E668" s="122"/>
      <c r="F668" s="122"/>
      <c r="G668" s="122"/>
      <c r="H668" s="122">
        <f>B668*C668</f>
        <v>1.4</v>
      </c>
    </row>
    <row r="669" spans="1:8" s="117" customFormat="1" ht="15" customHeight="1">
      <c r="A669" s="115" t="s">
        <v>29101</v>
      </c>
      <c r="B669" s="375" t="str">
        <f>VLOOKUP($A669,SERVICOS,4,FALSE)</f>
        <v>Suporte Para Elevação De Caixa D'Água Em Madeira Com 6 Apoios</v>
      </c>
      <c r="C669" s="376"/>
      <c r="D669" s="376"/>
      <c r="E669" s="376"/>
      <c r="F669" s="377"/>
      <c r="G669" s="115" t="str">
        <f>VLOOKUP($A669,SERVICOS,5,FALSE)</f>
        <v>und.</v>
      </c>
      <c r="H669" s="116">
        <f>ROUND(SUM(H671:H671),2)</f>
        <v>2</v>
      </c>
    </row>
    <row r="670" spans="1:8" ht="15" customHeight="1">
      <c r="A670" s="118" t="s">
        <v>1029</v>
      </c>
      <c r="B670" s="118" t="s">
        <v>19767</v>
      </c>
      <c r="C670" s="119"/>
      <c r="D670" s="119"/>
      <c r="E670" s="118"/>
      <c r="F670" s="118"/>
      <c r="G670" s="118"/>
      <c r="H670" s="120"/>
    </row>
    <row r="671" spans="1:8" ht="15" customHeight="1">
      <c r="A671" s="121" t="s">
        <v>29114</v>
      </c>
      <c r="B671" s="122">
        <v>2</v>
      </c>
      <c r="C671" s="122"/>
      <c r="D671" s="122"/>
      <c r="E671" s="122"/>
      <c r="F671" s="122"/>
      <c r="G671" s="122"/>
      <c r="H671" s="122">
        <f>B671</f>
        <v>2</v>
      </c>
    </row>
    <row r="672" spans="1:8" ht="15" customHeight="1">
      <c r="A672" s="113" t="s">
        <v>26563</v>
      </c>
      <c r="B672" s="378" t="str">
        <f>VLOOKUP($A672,SERVICOS,4,FALSE)</f>
        <v>INSTALAÇÕES ELÉTRICAS</v>
      </c>
      <c r="C672" s="378"/>
      <c r="D672" s="378"/>
      <c r="E672" s="378"/>
      <c r="F672" s="378"/>
      <c r="G672" s="378">
        <f>VLOOKUP($A672,SERVICOS,5,FALSE)</f>
        <v>0</v>
      </c>
      <c r="H672" s="378" t="e">
        <f>ROUND(SUM(#REF!),2)</f>
        <v>#REF!</v>
      </c>
    </row>
    <row r="673" spans="1:8" s="117" customFormat="1" ht="30" customHeight="1">
      <c r="A673" s="115" t="s">
        <v>26564</v>
      </c>
      <c r="B673" s="375" t="str">
        <f>VLOOKUP($A673,SERVICOS,4,FALSE)</f>
        <v>Descida Poste Iluminação Pública Com Tubo De Aço Galvanizado Dn 1.1/2", Inclusive Acessórios</v>
      </c>
      <c r="C673" s="376"/>
      <c r="D673" s="376"/>
      <c r="E673" s="376"/>
      <c r="F673" s="377"/>
      <c r="G673" s="115" t="str">
        <f>VLOOKUP($A673,SERVICOS,5,FALSE)</f>
        <v>und.</v>
      </c>
      <c r="H673" s="116">
        <f>ROUND(SUM(H675:H675),2)</f>
        <v>1</v>
      </c>
    </row>
    <row r="674" spans="1:8" ht="15" customHeight="1">
      <c r="A674" s="118" t="s">
        <v>1029</v>
      </c>
      <c r="B674" s="118" t="s">
        <v>19767</v>
      </c>
      <c r="C674" s="119"/>
      <c r="D674" s="119"/>
      <c r="E674" s="118"/>
      <c r="F674" s="118"/>
      <c r="G674" s="118"/>
      <c r="H674" s="120"/>
    </row>
    <row r="675" spans="1:8" ht="15" customHeight="1">
      <c r="A675" s="121" t="s">
        <v>28773</v>
      </c>
      <c r="B675" s="122">
        <v>1</v>
      </c>
      <c r="C675" s="122"/>
      <c r="D675" s="122"/>
      <c r="E675" s="122"/>
      <c r="F675" s="122"/>
      <c r="G675" s="122"/>
      <c r="H675" s="122">
        <f>B675</f>
        <v>1</v>
      </c>
    </row>
    <row r="676" spans="1:8" s="117" customFormat="1" ht="45" customHeight="1">
      <c r="A676" s="115" t="s">
        <v>26565</v>
      </c>
      <c r="B676" s="375" t="str">
        <f>VLOOKUP($A676,SERVICOS,4,FALSE)</f>
        <v>Caixa De Passagem De Alvenaria De Blocos De Concreto 9X19X39Cm, Dimensões De 50X50X50Cm, Com Revestimento Interno Em Chapisco E Reboco, Tampa De Concreto Esp.5Cm E Lastro De Brita 5 Cm</v>
      </c>
      <c r="C676" s="376"/>
      <c r="D676" s="376"/>
      <c r="E676" s="376"/>
      <c r="F676" s="377"/>
      <c r="G676" s="115" t="str">
        <f>VLOOKUP($A676,SERVICOS,5,FALSE)</f>
        <v>und</v>
      </c>
      <c r="H676" s="116">
        <f>ROUND(SUM(H678:H678),2)</f>
        <v>12</v>
      </c>
    </row>
    <row r="677" spans="1:8" ht="15" customHeight="1">
      <c r="A677" s="118" t="s">
        <v>1029</v>
      </c>
      <c r="B677" s="118" t="s">
        <v>19767</v>
      </c>
      <c r="C677" s="119"/>
      <c r="D677" s="119"/>
      <c r="E677" s="118"/>
      <c r="F677" s="118"/>
      <c r="G677" s="118"/>
      <c r="H677" s="120"/>
    </row>
    <row r="678" spans="1:8" ht="15" customHeight="1">
      <c r="A678" s="121" t="s">
        <v>29019</v>
      </c>
      <c r="B678" s="122">
        <v>12</v>
      </c>
      <c r="C678" s="122"/>
      <c r="D678" s="122"/>
      <c r="E678" s="122"/>
      <c r="F678" s="122"/>
      <c r="G678" s="122"/>
      <c r="H678" s="122">
        <f>B678</f>
        <v>12</v>
      </c>
    </row>
    <row r="679" spans="1:8" s="117" customFormat="1" ht="45" customHeight="1">
      <c r="A679" s="115" t="s">
        <v>26738</v>
      </c>
      <c r="B679" s="375" t="str">
        <f>VLOOKUP($A679,SERVICOS,4,FALSE)</f>
        <v>Envelopamento De Concreto Simples Com Consumo Mínimo De Cimento De 250Kg/M3, Inclusive Escavação Para Profundidade Mínima Do Eletroduto De 50 Cm, De 25 X 25 Cm, Para 1 Eletroduto</v>
      </c>
      <c r="C679" s="376"/>
      <c r="D679" s="376"/>
      <c r="E679" s="376"/>
      <c r="F679" s="377"/>
      <c r="G679" s="115" t="str">
        <f>VLOOKUP($A679,SERVICOS,5,FALSE)</f>
        <v>m</v>
      </c>
      <c r="H679" s="116">
        <f>ROUND(SUM(H681:H682),2)</f>
        <v>98.9</v>
      </c>
    </row>
    <row r="680" spans="1:8" ht="15" customHeight="1">
      <c r="A680" s="118" t="s">
        <v>1029</v>
      </c>
      <c r="B680" s="118" t="s">
        <v>19767</v>
      </c>
      <c r="C680" s="119" t="s">
        <v>19769</v>
      </c>
      <c r="D680" s="119"/>
      <c r="E680" s="118"/>
      <c r="F680" s="118"/>
      <c r="G680" s="118"/>
      <c r="H680" s="120"/>
    </row>
    <row r="681" spans="1:8" ht="25.5">
      <c r="A681" s="240" t="s">
        <v>28780</v>
      </c>
      <c r="B681" s="122">
        <v>1</v>
      </c>
      <c r="C681" s="122">
        <v>18.899999999999999</v>
      </c>
      <c r="D681" s="122"/>
      <c r="E681" s="122"/>
      <c r="F681" s="122"/>
      <c r="G681" s="122"/>
      <c r="H681" s="122">
        <f>B681*C681</f>
        <v>18.899999999999999</v>
      </c>
    </row>
    <row r="682" spans="1:8" ht="15" customHeight="1">
      <c r="A682" s="240" t="s">
        <v>28644</v>
      </c>
      <c r="B682" s="122">
        <v>1</v>
      </c>
      <c r="C682" s="122">
        <v>80</v>
      </c>
      <c r="D682" s="122"/>
      <c r="E682" s="122"/>
      <c r="F682" s="122"/>
      <c r="G682" s="122"/>
      <c r="H682" s="122">
        <f>B682*C682</f>
        <v>80</v>
      </c>
    </row>
    <row r="683" spans="1:8" s="117" customFormat="1" ht="45" customHeight="1">
      <c r="A683" s="115" t="s">
        <v>26760</v>
      </c>
      <c r="B683" s="375" t="str">
        <f>VLOOKUP($A683,SERVICOS,4,FALSE)</f>
        <v>Padrão De Entrada De Energia Elétrica, Trifásico, Entrada Subterrânea, A 4 Fios, Carga Instalada Em Muro De 57001 Até 75000W - 220/127V, Exclusive Derivação De Ramal De Entrada Subterrânea</v>
      </c>
      <c r="C683" s="376"/>
      <c r="D683" s="376"/>
      <c r="E683" s="376"/>
      <c r="F683" s="377"/>
      <c r="G683" s="115" t="str">
        <f>VLOOKUP($A683,SERVICOS,5,FALSE)</f>
        <v>und</v>
      </c>
      <c r="H683" s="116">
        <f>ROUND(SUM(H685),2)</f>
        <v>1</v>
      </c>
    </row>
    <row r="684" spans="1:8" ht="15" customHeight="1">
      <c r="A684" s="118" t="s">
        <v>1029</v>
      </c>
      <c r="B684" s="118" t="s">
        <v>19767</v>
      </c>
      <c r="C684" s="119"/>
      <c r="D684" s="119"/>
      <c r="E684" s="118"/>
      <c r="F684" s="118"/>
      <c r="G684" s="118"/>
      <c r="H684" s="120"/>
    </row>
    <row r="685" spans="1:8" ht="15" customHeight="1">
      <c r="A685" s="121" t="s">
        <v>28642</v>
      </c>
      <c r="B685" s="122">
        <v>1</v>
      </c>
      <c r="C685" s="122"/>
      <c r="D685" s="122"/>
      <c r="E685" s="122"/>
      <c r="F685" s="122"/>
      <c r="G685" s="122"/>
      <c r="H685" s="122">
        <f>B685</f>
        <v>1</v>
      </c>
    </row>
    <row r="686" spans="1:8" s="117" customFormat="1" ht="45" customHeight="1">
      <c r="A686" s="115" t="s">
        <v>26761</v>
      </c>
      <c r="B686" s="375" t="str">
        <f>VLOOKUP($A686,SERVICOS,4,FALSE)</f>
        <v>Quadro De Distribuição De Energia Em Chapa De Aço Galvanizado, De Embutir, Com Barramento Trifásico, Para 24 Disjuntores Din 100A - Fornecimento E Instalação. Af_10/2020</v>
      </c>
      <c r="C686" s="376"/>
      <c r="D686" s="376"/>
      <c r="E686" s="376"/>
      <c r="F686" s="377"/>
      <c r="G686" s="115" t="str">
        <f>VLOOKUP($A686,SERVICOS,5,FALSE)</f>
        <v>und</v>
      </c>
      <c r="H686" s="116">
        <f>ROUND(SUM(H688),2)</f>
        <v>3</v>
      </c>
    </row>
    <row r="687" spans="1:8" ht="15" customHeight="1">
      <c r="A687" s="118" t="s">
        <v>1029</v>
      </c>
      <c r="B687" s="118" t="s">
        <v>19767</v>
      </c>
      <c r="C687" s="119"/>
      <c r="D687" s="119"/>
      <c r="E687" s="118"/>
      <c r="F687" s="118"/>
      <c r="G687" s="118"/>
      <c r="H687" s="120"/>
    </row>
    <row r="688" spans="1:8" ht="25.5">
      <c r="A688" s="240" t="s">
        <v>28643</v>
      </c>
      <c r="B688" s="122">
        <v>3</v>
      </c>
      <c r="C688" s="122"/>
      <c r="D688" s="122"/>
      <c r="E688" s="122"/>
      <c r="F688" s="122"/>
      <c r="G688" s="122"/>
      <c r="H688" s="122">
        <f>B688</f>
        <v>3</v>
      </c>
    </row>
    <row r="689" spans="1:8" s="117" customFormat="1" ht="45" customHeight="1">
      <c r="A689" s="115" t="s">
        <v>28640</v>
      </c>
      <c r="B689" s="375" t="str">
        <f>VLOOKUP($A689,SERVICOS,4,FALSE)</f>
        <v>Quadro De Distribuição De Energia Em Chapa De Aço Galvanizado, De Embutir, Com Barramento Trifásico, Para 30 Disjuntores Din 150A - Fornecimento E Instalação. Af_10/2020</v>
      </c>
      <c r="C689" s="376"/>
      <c r="D689" s="376"/>
      <c r="E689" s="376"/>
      <c r="F689" s="377"/>
      <c r="G689" s="115" t="str">
        <f>VLOOKUP($A689,SERVICOS,5,FALSE)</f>
        <v>und</v>
      </c>
      <c r="H689" s="116">
        <f>ROUND(SUM(H691),2)</f>
        <v>1</v>
      </c>
    </row>
    <row r="690" spans="1:8" ht="15" customHeight="1">
      <c r="A690" s="118" t="s">
        <v>1029</v>
      </c>
      <c r="B690" s="118" t="s">
        <v>19767</v>
      </c>
      <c r="C690" s="119"/>
      <c r="D690" s="119"/>
      <c r="E690" s="118"/>
      <c r="F690" s="118"/>
      <c r="G690" s="118"/>
      <c r="H690" s="120"/>
    </row>
    <row r="691" spans="1:8" ht="38.25">
      <c r="A691" s="240" t="s">
        <v>29086</v>
      </c>
      <c r="B691" s="122">
        <v>1</v>
      </c>
      <c r="C691" s="122"/>
      <c r="D691" s="122"/>
      <c r="E691" s="122"/>
      <c r="F691" s="122"/>
      <c r="G691" s="122"/>
      <c r="H691" s="122">
        <f>B691</f>
        <v>1</v>
      </c>
    </row>
    <row r="692" spans="1:8" s="117" customFormat="1" ht="30" customHeight="1">
      <c r="A692" s="115" t="s">
        <v>28641</v>
      </c>
      <c r="B692" s="375" t="str">
        <f>VLOOKUP($A692,SERVICOS,4,FALSE)</f>
        <v>Disjuntor Monopolar Tipo Din, Corrente Nominal De 10A - Fornecimento E Instalação. Af_10/2020</v>
      </c>
      <c r="C692" s="376"/>
      <c r="D692" s="376"/>
      <c r="E692" s="376"/>
      <c r="F692" s="377"/>
      <c r="G692" s="115" t="str">
        <f>VLOOKUP($A692,SERVICOS,5,FALSE)</f>
        <v>und</v>
      </c>
      <c r="H692" s="116">
        <f>ROUND(SUM(H694),2)</f>
        <v>7</v>
      </c>
    </row>
    <row r="693" spans="1:8" ht="15" customHeight="1">
      <c r="A693" s="118" t="s">
        <v>1029</v>
      </c>
      <c r="B693" s="118" t="s">
        <v>19767</v>
      </c>
      <c r="C693" s="119"/>
      <c r="D693" s="119"/>
      <c r="E693" s="118"/>
      <c r="F693" s="118"/>
      <c r="G693" s="118"/>
      <c r="H693" s="120"/>
    </row>
    <row r="694" spans="1:8" ht="15" customHeight="1">
      <c r="A694" s="240" t="s">
        <v>29060</v>
      </c>
      <c r="B694" s="122">
        <v>7</v>
      </c>
      <c r="C694" s="122"/>
      <c r="D694" s="122"/>
      <c r="E694" s="122"/>
      <c r="F694" s="122"/>
      <c r="G694" s="122"/>
      <c r="H694" s="122">
        <f>B694</f>
        <v>7</v>
      </c>
    </row>
    <row r="695" spans="1:8" s="117" customFormat="1" ht="30" customHeight="1">
      <c r="A695" s="115" t="s">
        <v>28645</v>
      </c>
      <c r="B695" s="375" t="str">
        <f>VLOOKUP($A695,SERVICOS,4,FALSE)</f>
        <v>Disjuntor Monopolar Tipo Din, Corrente Nominal De 16A - Fornecimento E Instalação. Af_10/2020</v>
      </c>
      <c r="C695" s="376"/>
      <c r="D695" s="376"/>
      <c r="E695" s="376"/>
      <c r="F695" s="377"/>
      <c r="G695" s="115" t="str">
        <f>VLOOKUP($A695,SERVICOS,5,FALSE)</f>
        <v>und</v>
      </c>
      <c r="H695" s="116">
        <f>ROUND(SUM(H697),2)</f>
        <v>3</v>
      </c>
    </row>
    <row r="696" spans="1:8" ht="15" customHeight="1">
      <c r="A696" s="118" t="s">
        <v>1029</v>
      </c>
      <c r="B696" s="118" t="s">
        <v>19767</v>
      </c>
      <c r="C696" s="119"/>
      <c r="D696" s="119"/>
      <c r="E696" s="118"/>
      <c r="F696" s="118"/>
      <c r="G696" s="118"/>
      <c r="H696" s="120"/>
    </row>
    <row r="697" spans="1:8" ht="15" customHeight="1">
      <c r="A697" s="240" t="s">
        <v>29060</v>
      </c>
      <c r="B697" s="122">
        <v>3</v>
      </c>
      <c r="C697" s="122"/>
      <c r="D697" s="122"/>
      <c r="E697" s="122"/>
      <c r="F697" s="122"/>
      <c r="G697" s="122"/>
      <c r="H697" s="122">
        <f>B697</f>
        <v>3</v>
      </c>
    </row>
    <row r="698" spans="1:8" s="117" customFormat="1" ht="30" customHeight="1">
      <c r="A698" s="115" t="s">
        <v>28646</v>
      </c>
      <c r="B698" s="375" t="str">
        <f>VLOOKUP($A698,SERVICOS,4,FALSE)</f>
        <v>Disjuntor Monopolar Tipo Din, Corrente Nominal De 20A - Fornecimento E Instalação. Af_10/2020</v>
      </c>
      <c r="C698" s="376"/>
      <c r="D698" s="376"/>
      <c r="E698" s="376"/>
      <c r="F698" s="377"/>
      <c r="G698" s="115" t="str">
        <f>VLOOKUP($A698,SERVICOS,5,FALSE)</f>
        <v>und</v>
      </c>
      <c r="H698" s="116">
        <f>ROUND(SUM(H700),2)</f>
        <v>2</v>
      </c>
    </row>
    <row r="699" spans="1:8" ht="15" customHeight="1">
      <c r="A699" s="118" t="s">
        <v>1029</v>
      </c>
      <c r="B699" s="118" t="s">
        <v>19767</v>
      </c>
      <c r="C699" s="119"/>
      <c r="D699" s="119"/>
      <c r="E699" s="118"/>
      <c r="F699" s="118"/>
      <c r="G699" s="118"/>
      <c r="H699" s="120"/>
    </row>
    <row r="700" spans="1:8" ht="15" customHeight="1">
      <c r="A700" s="240" t="s">
        <v>29060</v>
      </c>
      <c r="B700" s="122">
        <v>2</v>
      </c>
      <c r="C700" s="122"/>
      <c r="D700" s="122"/>
      <c r="E700" s="122"/>
      <c r="F700" s="122"/>
      <c r="G700" s="122"/>
      <c r="H700" s="122">
        <f>B700</f>
        <v>2</v>
      </c>
    </row>
    <row r="701" spans="1:8" s="117" customFormat="1" ht="30" customHeight="1">
      <c r="A701" s="115" t="s">
        <v>28769</v>
      </c>
      <c r="B701" s="375" t="str">
        <f>VLOOKUP($A701,SERVICOS,4,FALSE)</f>
        <v>Disjuntor Monopolar Tipo Din, Corrente Nominal De 25A - Fornecimento E Instalação. Af_10/2020</v>
      </c>
      <c r="C701" s="376"/>
      <c r="D701" s="376"/>
      <c r="E701" s="376"/>
      <c r="F701" s="377"/>
      <c r="G701" s="115" t="str">
        <f>VLOOKUP($A701,SERVICOS,5,FALSE)</f>
        <v>und</v>
      </c>
      <c r="H701" s="116">
        <f>ROUND(SUM(H703),2)</f>
        <v>1</v>
      </c>
    </row>
    <row r="702" spans="1:8" ht="15" customHeight="1">
      <c r="A702" s="118" t="s">
        <v>1029</v>
      </c>
      <c r="B702" s="118" t="s">
        <v>19767</v>
      </c>
      <c r="C702" s="119"/>
      <c r="D702" s="119"/>
      <c r="E702" s="118"/>
      <c r="F702" s="118"/>
      <c r="G702" s="118"/>
      <c r="H702" s="120"/>
    </row>
    <row r="703" spans="1:8" ht="15" customHeight="1">
      <c r="A703" s="240" t="s">
        <v>29060</v>
      </c>
      <c r="B703" s="122">
        <v>1</v>
      </c>
      <c r="C703" s="122"/>
      <c r="D703" s="122"/>
      <c r="E703" s="122"/>
      <c r="F703" s="122"/>
      <c r="G703" s="122"/>
      <c r="H703" s="122">
        <f>B703</f>
        <v>1</v>
      </c>
    </row>
    <row r="704" spans="1:8" s="117" customFormat="1" ht="30" customHeight="1">
      <c r="A704" s="115" t="s">
        <v>28770</v>
      </c>
      <c r="B704" s="375" t="str">
        <f>VLOOKUP($A704,SERVICOS,4,FALSE)</f>
        <v>Disjuntor Bipolar Tipo Din, Corrente Nominal De 10A - Fornecimento E Instalação. Af_10/2020</v>
      </c>
      <c r="C704" s="376"/>
      <c r="D704" s="376"/>
      <c r="E704" s="376"/>
      <c r="F704" s="377"/>
      <c r="G704" s="115" t="str">
        <f>VLOOKUP($A704,SERVICOS,5,FALSE)</f>
        <v>und</v>
      </c>
      <c r="H704" s="116">
        <f>ROUND(SUM(H706),2)</f>
        <v>3</v>
      </c>
    </row>
    <row r="705" spans="1:8" ht="15" customHeight="1">
      <c r="A705" s="118" t="s">
        <v>1029</v>
      </c>
      <c r="B705" s="118" t="s">
        <v>19767</v>
      </c>
      <c r="C705" s="119"/>
      <c r="D705" s="119"/>
      <c r="E705" s="118"/>
      <c r="F705" s="118"/>
      <c r="G705" s="118"/>
      <c r="H705" s="120"/>
    </row>
    <row r="706" spans="1:8" ht="15" customHeight="1">
      <c r="A706" s="240" t="s">
        <v>29060</v>
      </c>
      <c r="B706" s="122">
        <v>3</v>
      </c>
      <c r="C706" s="122"/>
      <c r="D706" s="122"/>
      <c r="E706" s="122"/>
      <c r="F706" s="122"/>
      <c r="G706" s="122"/>
      <c r="H706" s="122">
        <f>B706</f>
        <v>3</v>
      </c>
    </row>
    <row r="707" spans="1:8" s="117" customFormat="1" ht="30" customHeight="1">
      <c r="A707" s="115" t="s">
        <v>28771</v>
      </c>
      <c r="B707" s="375" t="str">
        <f>VLOOKUP($A707,SERVICOS,4,FALSE)</f>
        <v>Disjuntor Bipolar Tipo Din, Corrente Nominal De 16A - Fornecimento E Instalação. Af_10/2020</v>
      </c>
      <c r="C707" s="376"/>
      <c r="D707" s="376"/>
      <c r="E707" s="376"/>
      <c r="F707" s="377"/>
      <c r="G707" s="115" t="str">
        <f>VLOOKUP($A707,SERVICOS,5,FALSE)</f>
        <v>und</v>
      </c>
      <c r="H707" s="116">
        <f>ROUND(SUM(H709),2)</f>
        <v>2</v>
      </c>
    </row>
    <row r="708" spans="1:8" ht="15" customHeight="1">
      <c r="A708" s="118" t="s">
        <v>1029</v>
      </c>
      <c r="B708" s="118" t="s">
        <v>19767</v>
      </c>
      <c r="C708" s="119"/>
      <c r="D708" s="119"/>
      <c r="E708" s="118"/>
      <c r="F708" s="118"/>
      <c r="G708" s="118"/>
      <c r="H708" s="120"/>
    </row>
    <row r="709" spans="1:8" ht="15" customHeight="1">
      <c r="A709" s="240" t="s">
        <v>29060</v>
      </c>
      <c r="B709" s="122">
        <v>2</v>
      </c>
      <c r="C709" s="122"/>
      <c r="D709" s="122"/>
      <c r="E709" s="122"/>
      <c r="F709" s="122"/>
      <c r="G709" s="122"/>
      <c r="H709" s="122">
        <f>B709</f>
        <v>2</v>
      </c>
    </row>
    <row r="710" spans="1:8" s="117" customFormat="1" ht="30" customHeight="1">
      <c r="A710" s="115" t="s">
        <v>28772</v>
      </c>
      <c r="B710" s="375" t="str">
        <f>VLOOKUP($A710,SERVICOS,4,FALSE)</f>
        <v>Disjuntor Bipolar Tipo Din, Corrente Nominal De 20A - Fornecimento E Instalação. Af_10/2020</v>
      </c>
      <c r="C710" s="376"/>
      <c r="D710" s="376"/>
      <c r="E710" s="376"/>
      <c r="F710" s="377"/>
      <c r="G710" s="115" t="str">
        <f>VLOOKUP($A710,SERVICOS,5,FALSE)</f>
        <v>und</v>
      </c>
      <c r="H710" s="116">
        <f>ROUND(SUM(H712),2)</f>
        <v>3</v>
      </c>
    </row>
    <row r="711" spans="1:8" ht="15" customHeight="1">
      <c r="A711" s="118" t="s">
        <v>1029</v>
      </c>
      <c r="B711" s="118" t="s">
        <v>19767</v>
      </c>
      <c r="C711" s="119"/>
      <c r="D711" s="119"/>
      <c r="E711" s="118"/>
      <c r="F711" s="118"/>
      <c r="G711" s="118"/>
      <c r="H711" s="120"/>
    </row>
    <row r="712" spans="1:8" ht="15" customHeight="1">
      <c r="A712" s="240" t="s">
        <v>29060</v>
      </c>
      <c r="B712" s="122">
        <v>3</v>
      </c>
      <c r="C712" s="122"/>
      <c r="D712" s="122"/>
      <c r="E712" s="122"/>
      <c r="F712" s="122"/>
      <c r="G712" s="122"/>
      <c r="H712" s="122">
        <f>B712</f>
        <v>3</v>
      </c>
    </row>
    <row r="713" spans="1:8" s="117" customFormat="1" ht="30" customHeight="1">
      <c r="A713" s="115" t="s">
        <v>28774</v>
      </c>
      <c r="B713" s="375" t="str">
        <f>VLOOKUP($A713,SERVICOS,4,FALSE)</f>
        <v>Disjuntor Tripolar Tipo Din, Corrente Nominal De 40A - Fornecimento E Instalação. Af_10/2020</v>
      </c>
      <c r="C713" s="376"/>
      <c r="D713" s="376"/>
      <c r="E713" s="376"/>
      <c r="F713" s="377"/>
      <c r="G713" s="115" t="str">
        <f>VLOOKUP($A713,SERVICOS,5,FALSE)</f>
        <v>und</v>
      </c>
      <c r="H713" s="116">
        <f>ROUND(SUM(H715),2)</f>
        <v>1</v>
      </c>
    </row>
    <row r="714" spans="1:8" ht="15" customHeight="1">
      <c r="A714" s="118" t="s">
        <v>1029</v>
      </c>
      <c r="B714" s="118" t="s">
        <v>19767</v>
      </c>
      <c r="C714" s="119"/>
      <c r="D714" s="119"/>
      <c r="E714" s="118"/>
      <c r="F714" s="118"/>
      <c r="G714" s="118"/>
      <c r="H714" s="120"/>
    </row>
    <row r="715" spans="1:8" ht="15" customHeight="1">
      <c r="A715" s="240" t="s">
        <v>29060</v>
      </c>
      <c r="B715" s="122">
        <v>1</v>
      </c>
      <c r="C715" s="122" t="s">
        <v>29063</v>
      </c>
      <c r="D715" s="122"/>
      <c r="E715" s="122"/>
      <c r="F715" s="122"/>
      <c r="G715" s="122"/>
      <c r="H715" s="122">
        <f>B715</f>
        <v>1</v>
      </c>
    </row>
    <row r="716" spans="1:8" s="117" customFormat="1" ht="30" customHeight="1">
      <c r="A716" s="115" t="s">
        <v>28775</v>
      </c>
      <c r="B716" s="375" t="str">
        <f>VLOOKUP($A716,SERVICOS,4,FALSE)</f>
        <v>Disjuntor Tripolar Tipo Din, Corrente Nominal De 50A - Fornecimento E Instalação. Af_10/2020</v>
      </c>
      <c r="C716" s="376"/>
      <c r="D716" s="376"/>
      <c r="E716" s="376"/>
      <c r="F716" s="377"/>
      <c r="G716" s="115" t="str">
        <f>VLOOKUP($A716,SERVICOS,5,FALSE)</f>
        <v>und</v>
      </c>
      <c r="H716" s="116">
        <f>ROUND(SUM(H718),2)</f>
        <v>1</v>
      </c>
    </row>
    <row r="717" spans="1:8" ht="15" customHeight="1">
      <c r="A717" s="118" t="s">
        <v>1029</v>
      </c>
      <c r="B717" s="118" t="s">
        <v>19767</v>
      </c>
      <c r="C717" s="119"/>
      <c r="D717" s="119"/>
      <c r="E717" s="118"/>
      <c r="F717" s="118"/>
      <c r="G717" s="118"/>
      <c r="H717" s="120"/>
    </row>
    <row r="718" spans="1:8" ht="15" customHeight="1">
      <c r="A718" s="240" t="s">
        <v>29060</v>
      </c>
      <c r="B718" s="122">
        <v>1</v>
      </c>
      <c r="C718" s="122" t="s">
        <v>29062</v>
      </c>
      <c r="D718" s="122"/>
      <c r="E718" s="122"/>
      <c r="F718" s="122"/>
      <c r="G718" s="122"/>
      <c r="H718" s="122">
        <f>B718</f>
        <v>1</v>
      </c>
    </row>
    <row r="719" spans="1:8" s="117" customFormat="1" ht="30" customHeight="1">
      <c r="A719" s="115" t="s">
        <v>28776</v>
      </c>
      <c r="B719" s="375" t="str">
        <f>VLOOKUP($A719,SERVICOS,4,FALSE)</f>
        <v>Mini-Disjuntor Tripolar 63 A, Curva C - 5Ka 220/127Vca (Nbr Iec 60947-2), Ref. Siemens, Ge, Schneider Ou Equivalente</v>
      </c>
      <c r="C719" s="376"/>
      <c r="D719" s="376"/>
      <c r="E719" s="376"/>
      <c r="F719" s="377"/>
      <c r="G719" s="115" t="str">
        <f>VLOOKUP($A719,SERVICOS,5,FALSE)</f>
        <v>und</v>
      </c>
      <c r="H719" s="116">
        <f>ROUND(SUM(H721),2)</f>
        <v>3</v>
      </c>
    </row>
    <row r="720" spans="1:8" ht="15" customHeight="1">
      <c r="A720" s="118" t="s">
        <v>1029</v>
      </c>
      <c r="B720" s="118" t="s">
        <v>19767</v>
      </c>
      <c r="C720" s="119"/>
      <c r="D720" s="119"/>
      <c r="E720" s="118"/>
      <c r="F720" s="118"/>
      <c r="G720" s="118"/>
      <c r="H720" s="120"/>
    </row>
    <row r="721" spans="1:8" ht="15" customHeight="1">
      <c r="A721" s="240" t="s">
        <v>29060</v>
      </c>
      <c r="B721" s="122">
        <v>3</v>
      </c>
      <c r="C721" s="241" t="s">
        <v>29064</v>
      </c>
      <c r="D721" s="122"/>
      <c r="E721" s="122"/>
      <c r="F721" s="122"/>
      <c r="G721" s="122"/>
      <c r="H721" s="122">
        <f>B721</f>
        <v>3</v>
      </c>
    </row>
    <row r="722" spans="1:8" s="117" customFormat="1" ht="15" customHeight="1">
      <c r="A722" s="115" t="s">
        <v>28777</v>
      </c>
      <c r="B722" s="375" t="str">
        <f>VLOOKUP($A722,SERVICOS,4,FALSE)</f>
        <v>Disjuntor Dr Bipolar 16A A 25A, Corrente Nominal 30 Ma</v>
      </c>
      <c r="C722" s="376"/>
      <c r="D722" s="376"/>
      <c r="E722" s="376"/>
      <c r="F722" s="377"/>
      <c r="G722" s="115" t="str">
        <f>VLOOKUP($A722,SERVICOS,5,FALSE)</f>
        <v>und</v>
      </c>
      <c r="H722" s="116">
        <f>ROUND(SUM(H724),2)</f>
        <v>2</v>
      </c>
    </row>
    <row r="723" spans="1:8" ht="15" customHeight="1">
      <c r="A723" s="118" t="s">
        <v>1029</v>
      </c>
      <c r="B723" s="118" t="s">
        <v>19767</v>
      </c>
      <c r="C723" s="119"/>
      <c r="D723" s="119"/>
      <c r="E723" s="118"/>
      <c r="F723" s="118"/>
      <c r="G723" s="118"/>
      <c r="H723" s="120"/>
    </row>
    <row r="724" spans="1:8" ht="15" customHeight="1">
      <c r="A724" s="240" t="s">
        <v>29060</v>
      </c>
      <c r="B724" s="122">
        <v>2</v>
      </c>
      <c r="C724" s="241"/>
      <c r="D724" s="122"/>
      <c r="E724" s="122"/>
      <c r="F724" s="122"/>
      <c r="G724" s="122"/>
      <c r="H724" s="122">
        <f>B724</f>
        <v>2</v>
      </c>
    </row>
    <row r="725" spans="1:8" s="117" customFormat="1" ht="30" customHeight="1">
      <c r="A725" s="115" t="s">
        <v>28778</v>
      </c>
      <c r="B725" s="375" t="str">
        <f>VLOOKUP($A725,SERVICOS,4,FALSE)</f>
        <v>Dispositivo De Proteção Contra Surto (Dps) Bipolar, Tensão Nominal Máxima 275Vca, Corente De Surto Máxima 40Ka.</v>
      </c>
      <c r="C725" s="376"/>
      <c r="D725" s="376"/>
      <c r="E725" s="376"/>
      <c r="F725" s="377"/>
      <c r="G725" s="115" t="str">
        <f>VLOOKUP($A725,SERVICOS,5,FALSE)</f>
        <v>und</v>
      </c>
      <c r="H725" s="116">
        <f>ROUND(SUM(H727),2)</f>
        <v>16</v>
      </c>
    </row>
    <row r="726" spans="1:8" ht="15" customHeight="1">
      <c r="A726" s="118" t="s">
        <v>1029</v>
      </c>
      <c r="B726" s="118" t="s">
        <v>19767</v>
      </c>
      <c r="C726" s="119"/>
      <c r="D726" s="119"/>
      <c r="E726" s="118"/>
      <c r="F726" s="118"/>
      <c r="G726" s="118"/>
      <c r="H726" s="120"/>
    </row>
    <row r="727" spans="1:8" ht="15" customHeight="1">
      <c r="A727" s="240" t="s">
        <v>29065</v>
      </c>
      <c r="B727" s="122">
        <f>4*4</f>
        <v>16</v>
      </c>
      <c r="C727" s="241" t="s">
        <v>29066</v>
      </c>
      <c r="D727" s="122"/>
      <c r="E727" s="122"/>
      <c r="F727" s="122"/>
      <c r="G727" s="122"/>
      <c r="H727" s="122">
        <f>B727</f>
        <v>16</v>
      </c>
    </row>
    <row r="728" spans="1:8" s="117" customFormat="1" ht="45" customHeight="1">
      <c r="A728" s="115" t="s">
        <v>28781</v>
      </c>
      <c r="B728" s="375" t="str">
        <f>VLOOKUP($A728,SERVICOS,4,FALSE)</f>
        <v>Eletroduto Rígido Roscável, Pvc, Dn 40 Mm (1 1/4"), Para Circuitos Terminais, Instalado Em Parede - Fornecimento E Instalação. Af_12/2015</v>
      </c>
      <c r="C728" s="376"/>
      <c r="D728" s="376"/>
      <c r="E728" s="376"/>
      <c r="F728" s="377"/>
      <c r="G728" s="115" t="str">
        <f>VLOOKUP($A728,SERVICOS,5,FALSE)</f>
        <v>m</v>
      </c>
      <c r="H728" s="116">
        <f>ROUND(SUM(H730),2)</f>
        <v>8.4</v>
      </c>
    </row>
    <row r="729" spans="1:8" ht="15" customHeight="1">
      <c r="A729" s="118" t="s">
        <v>1029</v>
      </c>
      <c r="B729" s="118" t="s">
        <v>19767</v>
      </c>
      <c r="C729" s="119" t="s">
        <v>19769</v>
      </c>
      <c r="D729" s="119"/>
      <c r="E729" s="118"/>
      <c r="F729" s="118"/>
      <c r="G729" s="118"/>
      <c r="H729" s="120"/>
    </row>
    <row r="730" spans="1:8" ht="25.5">
      <c r="A730" s="240" t="s">
        <v>29061</v>
      </c>
      <c r="B730" s="122">
        <v>2</v>
      </c>
      <c r="C730" s="122">
        <v>4.2</v>
      </c>
      <c r="D730" s="122"/>
      <c r="E730" s="122"/>
      <c r="F730" s="122"/>
      <c r="G730" s="122"/>
      <c r="H730" s="122">
        <f>B730*C730</f>
        <v>8.4</v>
      </c>
    </row>
    <row r="731" spans="1:8" s="117" customFormat="1" ht="30" customHeight="1">
      <c r="A731" s="115" t="s">
        <v>29009</v>
      </c>
      <c r="B731" s="375" t="str">
        <f>VLOOKUP($A731,SERVICOS,4,FALSE)</f>
        <v>Eletroduto Flexível Corrugado, Pvc, Dn 25 Mm (3/4"), Para Circuitos Terminais, Instalado Em Forro - Fornecimento E Instalação. Af_12/2015</v>
      </c>
      <c r="C731" s="376"/>
      <c r="D731" s="376"/>
      <c r="E731" s="376"/>
      <c r="F731" s="377"/>
      <c r="G731" s="115" t="str">
        <f>VLOOKUP($A731,SERVICOS,5,FALSE)</f>
        <v>m</v>
      </c>
      <c r="H731" s="116">
        <f>ROUND(SUM(H733:H733),2)</f>
        <v>208</v>
      </c>
    </row>
    <row r="732" spans="1:8" ht="15" customHeight="1">
      <c r="A732" s="118" t="s">
        <v>1029</v>
      </c>
      <c r="B732" s="118" t="s">
        <v>19767</v>
      </c>
      <c r="C732" s="119" t="s">
        <v>19769</v>
      </c>
      <c r="D732" s="119"/>
      <c r="E732" s="118"/>
      <c r="F732" s="118"/>
      <c r="G732" s="118"/>
      <c r="H732" s="120"/>
    </row>
    <row r="733" spans="1:8" ht="15" customHeight="1">
      <c r="A733" s="121" t="s">
        <v>29070</v>
      </c>
      <c r="B733" s="122">
        <v>1</v>
      </c>
      <c r="C733" s="122">
        <f>208</f>
        <v>208</v>
      </c>
      <c r="D733" s="122"/>
      <c r="E733" s="122"/>
      <c r="F733" s="122"/>
      <c r="G733" s="122"/>
      <c r="H733" s="122">
        <f>B733*C733</f>
        <v>208</v>
      </c>
    </row>
    <row r="734" spans="1:8" s="117" customFormat="1" ht="45" customHeight="1">
      <c r="A734" s="115" t="s">
        <v>29020</v>
      </c>
      <c r="B734" s="375" t="str">
        <f>VLOOKUP($A734,SERVICOS,4,FALSE)</f>
        <v>Eletroduto Flexível Corrugado, Pvc, Dn 25 Mm (3/4"), Para Circuitos Terminais, Instalado Em Parede - Fornecimento E Instalação. Af_12/2015</v>
      </c>
      <c r="C734" s="376"/>
      <c r="D734" s="376"/>
      <c r="E734" s="376"/>
      <c r="F734" s="377"/>
      <c r="G734" s="115" t="str">
        <f>VLOOKUP($A734,SERVICOS,5,FALSE)</f>
        <v>m</v>
      </c>
      <c r="H734" s="116">
        <f>ROUND(SUM(H736:H736),2)</f>
        <v>183</v>
      </c>
    </row>
    <row r="735" spans="1:8" ht="15" customHeight="1">
      <c r="A735" s="118" t="s">
        <v>1029</v>
      </c>
      <c r="B735" s="118" t="s">
        <v>19767</v>
      </c>
      <c r="C735" s="119" t="s">
        <v>19769</v>
      </c>
      <c r="D735" s="119"/>
      <c r="E735" s="118"/>
      <c r="F735" s="118"/>
      <c r="G735" s="118"/>
      <c r="H735" s="120"/>
    </row>
    <row r="736" spans="1:8" ht="15" customHeight="1">
      <c r="A736" s="121" t="s">
        <v>29070</v>
      </c>
      <c r="B736" s="122">
        <v>1</v>
      </c>
      <c r="C736" s="122">
        <f>90+33*2+9*3</f>
        <v>183</v>
      </c>
      <c r="D736" s="122"/>
      <c r="E736" s="122"/>
      <c r="F736" s="122"/>
      <c r="G736" s="122"/>
      <c r="H736" s="122">
        <f t="shared" ref="H736" si="105">B736*C736</f>
        <v>183</v>
      </c>
    </row>
    <row r="737" spans="1:8" s="117" customFormat="1" ht="30" customHeight="1">
      <c r="A737" s="115" t="s">
        <v>29036</v>
      </c>
      <c r="B737" s="375" t="str">
        <f>VLOOKUP($A737,SERVICOS,4,FALSE)</f>
        <v>Eletroduto Pead, Cor Preta, Diam. 1.1/4", Marca Ref. Kanaflex Ou Equivalente</v>
      </c>
      <c r="C737" s="376"/>
      <c r="D737" s="376"/>
      <c r="E737" s="376"/>
      <c r="F737" s="377"/>
      <c r="G737" s="115" t="str">
        <f>VLOOKUP($A737,SERVICOS,5,FALSE)</f>
        <v>m</v>
      </c>
      <c r="H737" s="116">
        <f>ROUND(SUM(H739:H739),2)</f>
        <v>63</v>
      </c>
    </row>
    <row r="738" spans="1:8" ht="15" customHeight="1">
      <c r="A738" s="118" t="s">
        <v>1029</v>
      </c>
      <c r="B738" s="118" t="s">
        <v>19767</v>
      </c>
      <c r="C738" s="119" t="s">
        <v>19769</v>
      </c>
      <c r="D738" s="119"/>
      <c r="E738" s="118"/>
      <c r="F738" s="118"/>
      <c r="G738" s="118"/>
      <c r="H738" s="120"/>
    </row>
    <row r="739" spans="1:8" ht="15" customHeight="1">
      <c r="A739" s="121" t="s">
        <v>29071</v>
      </c>
      <c r="B739" s="122">
        <v>1</v>
      </c>
      <c r="C739" s="122">
        <v>63</v>
      </c>
      <c r="D739" s="122"/>
      <c r="E739" s="122"/>
      <c r="F739" s="122"/>
      <c r="G739" s="122"/>
      <c r="H739" s="122">
        <f t="shared" ref="H739" si="106">B739*C739</f>
        <v>63</v>
      </c>
    </row>
    <row r="740" spans="1:8" s="117" customFormat="1" ht="30" customHeight="1">
      <c r="A740" s="115" t="s">
        <v>29047</v>
      </c>
      <c r="B740" s="375" t="str">
        <f>VLOOKUP($A740,SERVICOS,4,FALSE)</f>
        <v>Eletroduto Pead, Cor Preta, Diam. 2", Marca Ref. Kanaflex Ou Equivalente</v>
      </c>
      <c r="C740" s="376"/>
      <c r="D740" s="376"/>
      <c r="E740" s="376"/>
      <c r="F740" s="377"/>
      <c r="G740" s="115" t="str">
        <f>VLOOKUP($A740,SERVICOS,5,FALSE)</f>
        <v>m</v>
      </c>
      <c r="H740" s="116">
        <f>ROUND(SUM(H742:H742),2)</f>
        <v>136</v>
      </c>
    </row>
    <row r="741" spans="1:8" ht="15" customHeight="1">
      <c r="A741" s="118" t="s">
        <v>1029</v>
      </c>
      <c r="B741" s="118" t="s">
        <v>19767</v>
      </c>
      <c r="C741" s="119" t="s">
        <v>19769</v>
      </c>
      <c r="D741" s="119"/>
      <c r="E741" s="118"/>
      <c r="F741" s="118"/>
      <c r="G741" s="118"/>
      <c r="H741" s="120"/>
    </row>
    <row r="742" spans="1:8" ht="15" customHeight="1">
      <c r="A742" s="121" t="s">
        <v>28788</v>
      </c>
      <c r="B742" s="122">
        <v>1</v>
      </c>
      <c r="C742" s="122">
        <v>136</v>
      </c>
      <c r="D742" s="122"/>
      <c r="E742" s="122"/>
      <c r="F742" s="122"/>
      <c r="G742" s="122"/>
      <c r="H742" s="122">
        <f t="shared" ref="H742" si="107">B742*C742</f>
        <v>136</v>
      </c>
    </row>
    <row r="743" spans="1:8" s="117" customFormat="1" ht="30" customHeight="1">
      <c r="A743" s="115" t="s">
        <v>29048</v>
      </c>
      <c r="B743" s="375" t="str">
        <f>VLOOKUP($A743,SERVICOS,4,FALSE)</f>
        <v>Cabo De Cobre Flexível Isolado, 1,5 Mm², Anti-Chama 0,6/1,0 Kv, Para Circuitos Terminais - Fornecimento E Instalação. Af_12/2015</v>
      </c>
      <c r="C743" s="376"/>
      <c r="D743" s="376"/>
      <c r="E743" s="376"/>
      <c r="F743" s="377"/>
      <c r="G743" s="115" t="str">
        <f>VLOOKUP($A743,SERVICOS,5,FALSE)</f>
        <v>m</v>
      </c>
      <c r="H743" s="116">
        <f>ROUND(SUM(H745:H745),2)</f>
        <v>917.4</v>
      </c>
    </row>
    <row r="744" spans="1:8" ht="15" customHeight="1">
      <c r="A744" s="118" t="s">
        <v>1029</v>
      </c>
      <c r="B744" s="118" t="s">
        <v>19767</v>
      </c>
      <c r="C744" s="119" t="s">
        <v>19769</v>
      </c>
      <c r="D744" s="119"/>
      <c r="E744" s="118"/>
      <c r="F744" s="118"/>
      <c r="G744" s="118"/>
      <c r="H744" s="120"/>
    </row>
    <row r="745" spans="1:8" ht="15" customHeight="1">
      <c r="A745" s="121" t="s">
        <v>29070</v>
      </c>
      <c r="B745" s="122">
        <v>1</v>
      </c>
      <c r="C745" s="122">
        <f>834*1.1</f>
        <v>917.40000000000009</v>
      </c>
      <c r="D745" s="122"/>
      <c r="E745" s="122"/>
      <c r="F745" s="122"/>
      <c r="G745" s="122"/>
      <c r="H745" s="122">
        <f t="shared" ref="H745" si="108">B745*C745</f>
        <v>917.40000000000009</v>
      </c>
    </row>
    <row r="746" spans="1:8" s="117" customFormat="1" ht="30" customHeight="1">
      <c r="A746" s="115" t="s">
        <v>29049</v>
      </c>
      <c r="B746" s="375" t="str">
        <f>VLOOKUP($A746,SERVICOS,4,FALSE)</f>
        <v>Cabo De Cobre Flexível Isolado, 2,5 Mm², Anti-Chama 0,6/1,0 Kv, Para Circuitos Terminais - Fornecimento E Instalação. Af_12/2015</v>
      </c>
      <c r="C746" s="376"/>
      <c r="D746" s="376"/>
      <c r="E746" s="376"/>
      <c r="F746" s="377"/>
      <c r="G746" s="115" t="str">
        <f>VLOOKUP($A746,SERVICOS,5,FALSE)</f>
        <v>m</v>
      </c>
      <c r="H746" s="116">
        <f>ROUND(SUM(H748:H748),2)</f>
        <v>1531.2</v>
      </c>
    </row>
    <row r="747" spans="1:8" ht="15" customHeight="1">
      <c r="A747" s="118" t="s">
        <v>1029</v>
      </c>
      <c r="B747" s="118" t="s">
        <v>19767</v>
      </c>
      <c r="C747" s="119" t="s">
        <v>19769</v>
      </c>
      <c r="D747" s="119"/>
      <c r="E747" s="118"/>
      <c r="F747" s="118"/>
      <c r="G747" s="118"/>
      <c r="H747" s="120"/>
    </row>
    <row r="748" spans="1:8" ht="15" customHeight="1">
      <c r="A748" s="121" t="s">
        <v>29070</v>
      </c>
      <c r="B748" s="122">
        <v>1</v>
      </c>
      <c r="C748" s="122">
        <f>1392*1.1</f>
        <v>1531.2</v>
      </c>
      <c r="D748" s="122"/>
      <c r="E748" s="122"/>
      <c r="F748" s="122"/>
      <c r="G748" s="122"/>
      <c r="H748" s="122">
        <f t="shared" ref="H748" si="109">B748*C748</f>
        <v>1531.2</v>
      </c>
    </row>
    <row r="749" spans="1:8" s="117" customFormat="1" ht="30" customHeight="1">
      <c r="A749" s="115" t="s">
        <v>29050</v>
      </c>
      <c r="B749" s="375" t="str">
        <f>VLOOKUP($A749,SERVICOS,4,FALSE)</f>
        <v>Cabo De Cobre Flexível Isolado, 4 Mm², Anti-Chama 0,6/1,0 Kv, Para Circuitos Terminais - Fornecimento E Instalação. Af_12/2015</v>
      </c>
      <c r="C749" s="376"/>
      <c r="D749" s="376"/>
      <c r="E749" s="376"/>
      <c r="F749" s="377"/>
      <c r="G749" s="115" t="str">
        <f>VLOOKUP($A749,SERVICOS,5,FALSE)</f>
        <v>m</v>
      </c>
      <c r="H749" s="116">
        <f>ROUND(SUM(H751:H751),2)</f>
        <v>303.60000000000002</v>
      </c>
    </row>
    <row r="750" spans="1:8" ht="15" customHeight="1">
      <c r="A750" s="118" t="s">
        <v>1029</v>
      </c>
      <c r="B750" s="118" t="s">
        <v>19767</v>
      </c>
      <c r="C750" s="119" t="s">
        <v>19769</v>
      </c>
      <c r="D750" s="119"/>
      <c r="E750" s="118"/>
      <c r="F750" s="118"/>
      <c r="G750" s="118"/>
      <c r="H750" s="120"/>
    </row>
    <row r="751" spans="1:8" ht="15" customHeight="1">
      <c r="A751" s="121" t="s">
        <v>29070</v>
      </c>
      <c r="B751" s="122">
        <v>1</v>
      </c>
      <c r="C751" s="122">
        <f>276*1.1</f>
        <v>303.60000000000002</v>
      </c>
      <c r="D751" s="122"/>
      <c r="E751" s="122"/>
      <c r="F751" s="122"/>
      <c r="G751" s="122"/>
      <c r="H751" s="122">
        <f t="shared" ref="H751" si="110">B751*C751</f>
        <v>303.60000000000002</v>
      </c>
    </row>
    <row r="752" spans="1:8" s="117" customFormat="1" ht="30" customHeight="1">
      <c r="A752" s="115" t="s">
        <v>29051</v>
      </c>
      <c r="B752" s="375" t="str">
        <f>VLOOKUP($A752,SERVICOS,4,FALSE)</f>
        <v>Cabo De Cobre Flexível Isolado, 16 Mm², Anti-Chama 0,6/1,0 Kv, Para Distribuição - Fornecimento E Instalação. Af_12/2015</v>
      </c>
      <c r="C752" s="376"/>
      <c r="D752" s="376"/>
      <c r="E752" s="376"/>
      <c r="F752" s="377"/>
      <c r="G752" s="115" t="str">
        <f>VLOOKUP($A752,SERVICOS,5,FALSE)</f>
        <v>m</v>
      </c>
      <c r="H752" s="116">
        <f>ROUND(SUM(H754:H754),2)</f>
        <v>164</v>
      </c>
    </row>
    <row r="753" spans="1:8" ht="15" customHeight="1">
      <c r="A753" s="118" t="s">
        <v>1029</v>
      </c>
      <c r="B753" s="118" t="s">
        <v>19767</v>
      </c>
      <c r="C753" s="119" t="s">
        <v>19769</v>
      </c>
      <c r="D753" s="119"/>
      <c r="E753" s="118"/>
      <c r="F753" s="118"/>
      <c r="G753" s="118"/>
      <c r="H753" s="120"/>
    </row>
    <row r="754" spans="1:8" ht="15" customHeight="1">
      <c r="A754" s="121" t="s">
        <v>29070</v>
      </c>
      <c r="B754" s="122">
        <v>1</v>
      </c>
      <c r="C754" s="122">
        <f>41*4</f>
        <v>164</v>
      </c>
      <c r="D754" s="122"/>
      <c r="E754" s="122"/>
      <c r="F754" s="122"/>
      <c r="G754" s="122"/>
      <c r="H754" s="122">
        <f t="shared" ref="H754" si="111">B754*C754</f>
        <v>164</v>
      </c>
    </row>
    <row r="755" spans="1:8" s="117" customFormat="1" ht="15" customHeight="1">
      <c r="A755" s="115" t="s">
        <v>29052</v>
      </c>
      <c r="B755" s="375" t="str">
        <f>VLOOKUP($A755,SERVICOS,4,FALSE)</f>
        <v>Haste De Terra Tipo Copperweld - 5/8" X 2.40M</v>
      </c>
      <c r="C755" s="376"/>
      <c r="D755" s="376"/>
      <c r="E755" s="376"/>
      <c r="F755" s="377"/>
      <c r="G755" s="115" t="str">
        <f>VLOOKUP($A755,SERVICOS,5,FALSE)</f>
        <v>und</v>
      </c>
      <c r="H755" s="116">
        <f>ROUND(SUM(H757:H757),2)</f>
        <v>12</v>
      </c>
    </row>
    <row r="756" spans="1:8" ht="15" customHeight="1">
      <c r="A756" s="118" t="s">
        <v>1029</v>
      </c>
      <c r="B756" s="118" t="s">
        <v>19767</v>
      </c>
      <c r="C756" s="119"/>
      <c r="D756" s="119"/>
      <c r="E756" s="118"/>
      <c r="F756" s="118"/>
      <c r="G756" s="118"/>
      <c r="H756" s="120"/>
    </row>
    <row r="757" spans="1:8" ht="15" customHeight="1">
      <c r="A757" s="121" t="s">
        <v>29070</v>
      </c>
      <c r="B757" s="122">
        <v>12</v>
      </c>
      <c r="C757" s="122"/>
      <c r="D757" s="122"/>
      <c r="E757" s="122"/>
      <c r="F757" s="122"/>
      <c r="G757" s="122"/>
      <c r="H757" s="122">
        <f>B757</f>
        <v>12</v>
      </c>
    </row>
    <row r="758" spans="1:8" s="117" customFormat="1" ht="60" customHeight="1">
      <c r="A758" s="115" t="s">
        <v>29053</v>
      </c>
      <c r="B758" s="375" t="str">
        <f>VLOOKUP($A758,SERVICOS,4,FALSE)</f>
        <v>Poste De Aço Cônico Contínuo Curvo Duplo, Flangeado, H = 9 M, Inclusive Luminárias Led Para Iluminação Pública, De 240 W Até 350 W, Com Involucro Em Alumínio Ou Aço Inox - Fornecimento E Instalação</v>
      </c>
      <c r="C758" s="376"/>
      <c r="D758" s="376"/>
      <c r="E758" s="376"/>
      <c r="F758" s="377"/>
      <c r="G758" s="115" t="str">
        <f>VLOOKUP($A758,SERVICOS,5,FALSE)</f>
        <v>und.</v>
      </c>
      <c r="H758" s="116">
        <f>ROUND(SUM(H760:H760),2)</f>
        <v>2</v>
      </c>
    </row>
    <row r="759" spans="1:8" ht="15" customHeight="1">
      <c r="A759" s="118" t="s">
        <v>1029</v>
      </c>
      <c r="B759" s="118" t="s">
        <v>19767</v>
      </c>
      <c r="C759" s="119"/>
      <c r="D759" s="119"/>
      <c r="E759" s="118"/>
      <c r="F759" s="118"/>
      <c r="G759" s="118"/>
      <c r="H759" s="120"/>
    </row>
    <row r="760" spans="1:8" ht="15" customHeight="1">
      <c r="A760" s="121" t="s">
        <v>28644</v>
      </c>
      <c r="B760" s="122">
        <v>2</v>
      </c>
      <c r="C760" s="122"/>
      <c r="D760" s="122"/>
      <c r="E760" s="122"/>
      <c r="F760" s="122"/>
      <c r="G760" s="122"/>
      <c r="H760" s="122">
        <f>B760</f>
        <v>2</v>
      </c>
    </row>
    <row r="761" spans="1:8" s="117" customFormat="1" ht="45" customHeight="1">
      <c r="A761" s="115" t="s">
        <v>29054</v>
      </c>
      <c r="B761" s="375" t="str">
        <f>VLOOKUP($A761,SERVICOS,4,FALSE)</f>
        <v>Poste De Aço Galvanizado, Tipo Ornamental, Modelo Colonial, Com Dois Braços, 2,25 Metros De Altura, Flangeado, Inclusive Luminária E Lâmpada Led - Conforme Projeto</v>
      </c>
      <c r="C761" s="376"/>
      <c r="D761" s="376"/>
      <c r="E761" s="376"/>
      <c r="F761" s="377"/>
      <c r="G761" s="115" t="str">
        <f>VLOOKUP($A761,SERVICOS,5,FALSE)</f>
        <v>und.</v>
      </c>
      <c r="H761" s="116">
        <f>ROUND(SUM(H763:H763),2)</f>
        <v>2</v>
      </c>
    </row>
    <row r="762" spans="1:8" ht="15" customHeight="1">
      <c r="A762" s="118" t="s">
        <v>1029</v>
      </c>
      <c r="B762" s="118" t="s">
        <v>19767</v>
      </c>
      <c r="C762" s="119"/>
      <c r="D762" s="119"/>
      <c r="E762" s="118"/>
      <c r="F762" s="118"/>
      <c r="G762" s="118"/>
      <c r="H762" s="120"/>
    </row>
    <row r="763" spans="1:8" ht="15" customHeight="1">
      <c r="A763" s="121" t="s">
        <v>28644</v>
      </c>
      <c r="B763" s="122">
        <v>2</v>
      </c>
      <c r="C763" s="122"/>
      <c r="D763" s="122"/>
      <c r="E763" s="122"/>
      <c r="F763" s="122"/>
      <c r="G763" s="122"/>
      <c r="H763" s="122">
        <f>B763</f>
        <v>2</v>
      </c>
    </row>
    <row r="764" spans="1:8" s="117" customFormat="1" ht="15" customHeight="1">
      <c r="A764" s="115" t="s">
        <v>29055</v>
      </c>
      <c r="B764" s="375" t="str">
        <f>VLOOKUP($A764,SERVICOS,4,FALSE)</f>
        <v>Trilho Eletrificado Preto Com 3 Spots Led 10 W Preto Quente</v>
      </c>
      <c r="C764" s="376"/>
      <c r="D764" s="376"/>
      <c r="E764" s="376"/>
      <c r="F764" s="377"/>
      <c r="G764" s="115" t="str">
        <f>VLOOKUP($A764,SERVICOS,5,FALSE)</f>
        <v>m</v>
      </c>
      <c r="H764" s="116">
        <f>ROUND(SUM(H766:H766),2)</f>
        <v>50</v>
      </c>
    </row>
    <row r="765" spans="1:8" ht="15" customHeight="1">
      <c r="A765" s="118" t="s">
        <v>1029</v>
      </c>
      <c r="B765" s="118" t="s">
        <v>19767</v>
      </c>
      <c r="C765" s="119"/>
      <c r="D765" s="119"/>
      <c r="E765" s="118"/>
      <c r="F765" s="118"/>
      <c r="G765" s="118"/>
      <c r="H765" s="120"/>
    </row>
    <row r="766" spans="1:8" ht="15" customHeight="1">
      <c r="A766" s="121" t="s">
        <v>26663</v>
      </c>
      <c r="B766" s="122">
        <v>50</v>
      </c>
      <c r="C766" s="122"/>
      <c r="D766" s="122"/>
      <c r="E766" s="122"/>
      <c r="F766" s="122"/>
      <c r="G766" s="122"/>
      <c r="H766" s="122">
        <f>B766</f>
        <v>50</v>
      </c>
    </row>
    <row r="767" spans="1:8" s="117" customFormat="1" ht="15" customHeight="1">
      <c r="A767" s="115" t="s">
        <v>29056</v>
      </c>
      <c r="B767" s="375" t="str">
        <f>VLOOKUP($A767,SERVICOS,4,FALSE)</f>
        <v>Lustre Pendente De Teto Com 6 Bocais Rústicos</v>
      </c>
      <c r="C767" s="376"/>
      <c r="D767" s="376"/>
      <c r="E767" s="376"/>
      <c r="F767" s="377"/>
      <c r="G767" s="115" t="str">
        <f>VLOOKUP($A767,SERVICOS,5,FALSE)</f>
        <v>und.</v>
      </c>
      <c r="H767" s="116">
        <f>ROUND(SUM(H769:H769),2)</f>
        <v>7</v>
      </c>
    </row>
    <row r="768" spans="1:8" ht="15" customHeight="1">
      <c r="A768" s="118" t="s">
        <v>1029</v>
      </c>
      <c r="B768" s="118" t="s">
        <v>19767</v>
      </c>
      <c r="C768" s="119"/>
      <c r="D768" s="119"/>
      <c r="E768" s="118"/>
      <c r="F768" s="118"/>
      <c r="G768" s="118"/>
      <c r="H768" s="120"/>
    </row>
    <row r="769" spans="1:8" ht="15" customHeight="1">
      <c r="A769" s="121" t="s">
        <v>29069</v>
      </c>
      <c r="B769" s="122">
        <v>7</v>
      </c>
      <c r="C769" s="122"/>
      <c r="D769" s="122"/>
      <c r="E769" s="122"/>
      <c r="F769" s="122"/>
      <c r="G769" s="122"/>
      <c r="H769" s="122">
        <f>B769</f>
        <v>7</v>
      </c>
    </row>
    <row r="770" spans="1:8" s="117" customFormat="1" ht="30" customHeight="1">
      <c r="A770" s="115" t="s">
        <v>29057</v>
      </c>
      <c r="B770" s="375" t="str">
        <f>VLOOKUP($A770,SERVICOS,4,FALSE)</f>
        <v xml:space="preserve">Luminária Pendente, Vintage Colonial, Cor Preto, Incluso 1 Lâmpada Fluorescente </v>
      </c>
      <c r="C770" s="376"/>
      <c r="D770" s="376"/>
      <c r="E770" s="376"/>
      <c r="F770" s="377"/>
      <c r="G770" s="115" t="str">
        <f>VLOOKUP($A770,SERVICOS,5,FALSE)</f>
        <v>und.</v>
      </c>
      <c r="H770" s="116">
        <f>ROUND(SUM(H772:H772),2)</f>
        <v>5</v>
      </c>
    </row>
    <row r="771" spans="1:8" ht="15" customHeight="1">
      <c r="A771" s="118" t="s">
        <v>1029</v>
      </c>
      <c r="B771" s="118" t="s">
        <v>19767</v>
      </c>
      <c r="C771" s="119"/>
      <c r="D771" s="119"/>
      <c r="E771" s="118"/>
      <c r="F771" s="118"/>
      <c r="G771" s="118"/>
      <c r="H771" s="120"/>
    </row>
    <row r="772" spans="1:8" ht="15" customHeight="1">
      <c r="A772" s="121" t="s">
        <v>29069</v>
      </c>
      <c r="B772" s="122">
        <v>5</v>
      </c>
      <c r="C772" s="122"/>
      <c r="D772" s="122"/>
      <c r="E772" s="122"/>
      <c r="F772" s="122"/>
      <c r="G772" s="122"/>
      <c r="H772" s="122">
        <f>B772</f>
        <v>5</v>
      </c>
    </row>
    <row r="773" spans="1:8" s="117" customFormat="1" ht="15" customHeight="1">
      <c r="A773" s="115" t="s">
        <v>29067</v>
      </c>
      <c r="B773" s="375" t="str">
        <f>VLOOKUP($A773,SERVICOS,4,FALSE)</f>
        <v xml:space="preserve">Luminária De Led Sobrepor Quadrado 24 W 6500 K </v>
      </c>
      <c r="C773" s="376"/>
      <c r="D773" s="376"/>
      <c r="E773" s="376"/>
      <c r="F773" s="377"/>
      <c r="G773" s="115" t="str">
        <f>VLOOKUP($A773,SERVICOS,5,FALSE)</f>
        <v>und.</v>
      </c>
      <c r="H773" s="116">
        <f>ROUND(SUM(H775:H781),2)</f>
        <v>26</v>
      </c>
    </row>
    <row r="774" spans="1:8" ht="15" customHeight="1">
      <c r="A774" s="118" t="s">
        <v>1029</v>
      </c>
      <c r="B774" s="118" t="s">
        <v>19767</v>
      </c>
      <c r="C774" s="119"/>
      <c r="D774" s="119"/>
      <c r="E774" s="118"/>
      <c r="F774" s="118"/>
      <c r="G774" s="118"/>
      <c r="H774" s="120"/>
    </row>
    <row r="775" spans="1:8" ht="15" customHeight="1">
      <c r="A775" s="121" t="s">
        <v>26663</v>
      </c>
      <c r="B775" s="122">
        <v>9</v>
      </c>
      <c r="C775" s="122"/>
      <c r="D775" s="122"/>
      <c r="E775" s="122"/>
      <c r="F775" s="122"/>
      <c r="G775" s="122"/>
      <c r="H775" s="122">
        <f t="shared" ref="H775:H781" si="112">B775</f>
        <v>9</v>
      </c>
    </row>
    <row r="776" spans="1:8" ht="15" customHeight="1">
      <c r="A776" s="121" t="s">
        <v>26691</v>
      </c>
      <c r="B776" s="122">
        <v>2</v>
      </c>
      <c r="C776" s="122"/>
      <c r="D776" s="122"/>
      <c r="E776" s="122"/>
      <c r="F776" s="122"/>
      <c r="G776" s="122"/>
      <c r="H776" s="122">
        <f t="shared" si="112"/>
        <v>2</v>
      </c>
    </row>
    <row r="777" spans="1:8" ht="15" customHeight="1">
      <c r="A777" s="121" t="s">
        <v>26692</v>
      </c>
      <c r="B777" s="122">
        <v>2</v>
      </c>
      <c r="C777" s="122"/>
      <c r="D777" s="122"/>
      <c r="E777" s="122"/>
      <c r="F777" s="122"/>
      <c r="G777" s="122"/>
      <c r="H777" s="122">
        <f t="shared" si="112"/>
        <v>2</v>
      </c>
    </row>
    <row r="778" spans="1:8" ht="15" customHeight="1">
      <c r="A778" s="121" t="s">
        <v>26644</v>
      </c>
      <c r="B778" s="122">
        <v>2</v>
      </c>
      <c r="C778" s="122"/>
      <c r="D778" s="122"/>
      <c r="E778" s="122"/>
      <c r="F778" s="122"/>
      <c r="G778" s="122"/>
      <c r="H778" s="122">
        <f t="shared" si="112"/>
        <v>2</v>
      </c>
    </row>
    <row r="779" spans="1:8" ht="15" customHeight="1">
      <c r="A779" s="121" t="s">
        <v>26693</v>
      </c>
      <c r="B779" s="122">
        <v>2</v>
      </c>
      <c r="C779" s="122"/>
      <c r="D779" s="122"/>
      <c r="E779" s="122"/>
      <c r="F779" s="122"/>
      <c r="G779" s="122"/>
      <c r="H779" s="122">
        <f t="shared" si="112"/>
        <v>2</v>
      </c>
    </row>
    <row r="780" spans="1:8" ht="15" customHeight="1">
      <c r="A780" s="121" t="s">
        <v>26647</v>
      </c>
      <c r="B780" s="122">
        <v>8</v>
      </c>
      <c r="C780" s="122"/>
      <c r="D780" s="122"/>
      <c r="E780" s="122"/>
      <c r="F780" s="122"/>
      <c r="G780" s="122"/>
      <c r="H780" s="122">
        <f t="shared" si="112"/>
        <v>8</v>
      </c>
    </row>
    <row r="781" spans="1:8" ht="15" customHeight="1">
      <c r="A781" s="121" t="s">
        <v>26763</v>
      </c>
      <c r="B781" s="122">
        <v>1</v>
      </c>
      <c r="C781" s="122"/>
      <c r="D781" s="122"/>
      <c r="E781" s="122"/>
      <c r="F781" s="122"/>
      <c r="G781" s="122"/>
      <c r="H781" s="122">
        <f t="shared" si="112"/>
        <v>1</v>
      </c>
    </row>
    <row r="782" spans="1:8" s="117" customFormat="1" ht="30" customHeight="1">
      <c r="A782" s="115" t="s">
        <v>29068</v>
      </c>
      <c r="B782" s="375" t="str">
        <f>VLOOKUP($A782,SERVICOS,4,FALSE)</f>
        <v>Luminária De Embutir Piso, Led 30 W, Ip 67, Bivolt, Dn 100 X 150 Mm - Cor Preto</v>
      </c>
      <c r="C782" s="376"/>
      <c r="D782" s="376"/>
      <c r="E782" s="376"/>
      <c r="F782" s="377"/>
      <c r="G782" s="115" t="str">
        <f>VLOOKUP($A782,SERVICOS,5,FALSE)</f>
        <v>und.</v>
      </c>
      <c r="H782" s="116">
        <f>ROUND(SUM(H784:H785),2)</f>
        <v>29</v>
      </c>
    </row>
    <row r="783" spans="1:8" ht="15" customHeight="1">
      <c r="A783" s="118" t="s">
        <v>1029</v>
      </c>
      <c r="B783" s="118" t="s">
        <v>19767</v>
      </c>
      <c r="C783" s="119"/>
      <c r="D783" s="119"/>
      <c r="E783" s="118"/>
      <c r="F783" s="118"/>
      <c r="G783" s="118"/>
      <c r="H783" s="120"/>
    </row>
    <row r="784" spans="1:8" ht="15" customHeight="1">
      <c r="A784" s="121" t="s">
        <v>28788</v>
      </c>
      <c r="B784" s="122">
        <v>23</v>
      </c>
      <c r="C784" s="122"/>
      <c r="D784" s="122"/>
      <c r="E784" s="122"/>
      <c r="F784" s="122"/>
      <c r="G784" s="122"/>
      <c r="H784" s="122">
        <f>B784</f>
        <v>23</v>
      </c>
    </row>
    <row r="785" spans="1:8" ht="25.5">
      <c r="A785" s="240" t="s">
        <v>29072</v>
      </c>
      <c r="B785" s="122">
        <v>6</v>
      </c>
      <c r="C785" s="122"/>
      <c r="D785" s="122"/>
      <c r="E785" s="122"/>
      <c r="F785" s="122"/>
      <c r="G785" s="122"/>
      <c r="H785" s="122">
        <f>B785</f>
        <v>6</v>
      </c>
    </row>
    <row r="786" spans="1:8" s="117" customFormat="1" ht="30" customHeight="1">
      <c r="A786" s="115" t="s">
        <v>29073</v>
      </c>
      <c r="B786" s="375" t="str">
        <f>VLOOKUP($A786,SERVICOS,4,FALSE)</f>
        <v>Luminária Estanque Com Proteção Contra Água, Poeira Ou Impactos - Fornecimento E Instalação. Af_08/2020</v>
      </c>
      <c r="C786" s="376"/>
      <c r="D786" s="376"/>
      <c r="E786" s="376"/>
      <c r="F786" s="377"/>
      <c r="G786" s="115" t="str">
        <f>VLOOKUP($A786,SERVICOS,5,FALSE)</f>
        <v>und</v>
      </c>
      <c r="H786" s="116">
        <f>ROUND(SUM(H788:H788),2)</f>
        <v>14</v>
      </c>
    </row>
    <row r="787" spans="1:8" ht="15" customHeight="1">
      <c r="A787" s="118" t="s">
        <v>1029</v>
      </c>
      <c r="B787" s="118" t="s">
        <v>19767</v>
      </c>
      <c r="C787" s="119"/>
      <c r="D787" s="119"/>
      <c r="E787" s="118"/>
      <c r="F787" s="118"/>
      <c r="G787" s="118"/>
      <c r="H787" s="120"/>
    </row>
    <row r="788" spans="1:8" ht="15" customHeight="1">
      <c r="A788" s="121" t="s">
        <v>28788</v>
      </c>
      <c r="B788" s="122">
        <v>14</v>
      </c>
      <c r="C788" s="122"/>
      <c r="D788" s="122"/>
      <c r="E788" s="122"/>
      <c r="F788" s="122"/>
      <c r="G788" s="122"/>
      <c r="H788" s="122">
        <f>B788</f>
        <v>14</v>
      </c>
    </row>
    <row r="789" spans="1:8" s="117" customFormat="1" ht="30" customHeight="1">
      <c r="A789" s="115" t="s">
        <v>29074</v>
      </c>
      <c r="B789" s="375" t="str">
        <f>VLOOKUP($A789,SERVICOS,4,FALSE)</f>
        <v>Interruptor Simples (1 Módulo), 10A/250V, Incluindo Suporte E Placa - Fornecimento E Instalação. Af_12/2015</v>
      </c>
      <c r="C789" s="376"/>
      <c r="D789" s="376"/>
      <c r="E789" s="376"/>
      <c r="F789" s="377"/>
      <c r="G789" s="115" t="str">
        <f>VLOOKUP($A789,SERVICOS,5,FALSE)</f>
        <v>und</v>
      </c>
      <c r="H789" s="116">
        <f>ROUND(SUM(H791:H791),2)</f>
        <v>20</v>
      </c>
    </row>
    <row r="790" spans="1:8" ht="15" customHeight="1">
      <c r="A790" s="118" t="s">
        <v>1029</v>
      </c>
      <c r="B790" s="118" t="s">
        <v>19767</v>
      </c>
      <c r="C790" s="119"/>
      <c r="D790" s="119"/>
      <c r="E790" s="118"/>
      <c r="F790" s="118"/>
      <c r="G790" s="118"/>
      <c r="H790" s="120"/>
    </row>
    <row r="791" spans="1:8" ht="15" customHeight="1">
      <c r="A791" s="121" t="s">
        <v>29079</v>
      </c>
      <c r="B791" s="122">
        <v>20</v>
      </c>
      <c r="C791" s="122"/>
      <c r="D791" s="122"/>
      <c r="E791" s="122"/>
      <c r="F791" s="122"/>
      <c r="G791" s="122"/>
      <c r="H791" s="122">
        <f>B791</f>
        <v>20</v>
      </c>
    </row>
    <row r="792" spans="1:8" s="117" customFormat="1" ht="30" customHeight="1">
      <c r="A792" s="115" t="s">
        <v>29075</v>
      </c>
      <c r="B792" s="375" t="str">
        <f>VLOOKUP($A792,SERVICOS,4,FALSE)</f>
        <v>Interruptor Paralelo (1 Módulo), 10A/250V, Incluindo Suporte E Placa - Fornecimento E Instalação. Af_12/2015</v>
      </c>
      <c r="C792" s="376"/>
      <c r="D792" s="376"/>
      <c r="E792" s="376"/>
      <c r="F792" s="377"/>
      <c r="G792" s="115" t="str">
        <f>VLOOKUP($A792,SERVICOS,5,FALSE)</f>
        <v>und</v>
      </c>
      <c r="H792" s="116">
        <f>ROUND(SUM(H794:H794),2)</f>
        <v>13</v>
      </c>
    </row>
    <row r="793" spans="1:8" ht="15" customHeight="1">
      <c r="A793" s="118" t="s">
        <v>1029</v>
      </c>
      <c r="B793" s="118" t="s">
        <v>19767</v>
      </c>
      <c r="C793" s="119"/>
      <c r="D793" s="119"/>
      <c r="E793" s="118"/>
      <c r="F793" s="118"/>
      <c r="G793" s="118"/>
      <c r="H793" s="120"/>
    </row>
    <row r="794" spans="1:8" ht="15" customHeight="1">
      <c r="A794" s="121" t="s">
        <v>29080</v>
      </c>
      <c r="B794" s="122">
        <v>13</v>
      </c>
      <c r="C794" s="122"/>
      <c r="D794" s="122"/>
      <c r="E794" s="122"/>
      <c r="F794" s="122"/>
      <c r="G794" s="122"/>
      <c r="H794" s="122">
        <f>B794</f>
        <v>13</v>
      </c>
    </row>
    <row r="795" spans="1:8" s="117" customFormat="1" ht="30" customHeight="1">
      <c r="A795" s="115" t="s">
        <v>29077</v>
      </c>
      <c r="B795" s="375" t="str">
        <f>VLOOKUP($A795,SERVICOS,4,FALSE)</f>
        <v>Tomada Média De Embutir (1 Módulo), 2P+T 10 A, Incluindo Suporte E Placa - Fornecimento E Instalação. Af_12/2015</v>
      </c>
      <c r="C795" s="376"/>
      <c r="D795" s="376"/>
      <c r="E795" s="376"/>
      <c r="F795" s="377"/>
      <c r="G795" s="115" t="str">
        <f>VLOOKUP($A795,SERVICOS,5,FALSE)</f>
        <v>und</v>
      </c>
      <c r="H795" s="116">
        <f>ROUND(SUM(H797:H797),2)</f>
        <v>8</v>
      </c>
    </row>
    <row r="796" spans="1:8" ht="15" customHeight="1">
      <c r="A796" s="118" t="s">
        <v>1029</v>
      </c>
      <c r="B796" s="118" t="s">
        <v>19767</v>
      </c>
      <c r="C796" s="119"/>
      <c r="D796" s="119"/>
      <c r="E796" s="118"/>
      <c r="F796" s="118"/>
      <c r="G796" s="118"/>
      <c r="H796" s="120"/>
    </row>
    <row r="797" spans="1:8" ht="15" customHeight="1">
      <c r="A797" s="121" t="s">
        <v>29083</v>
      </c>
      <c r="B797" s="122">
        <v>8</v>
      </c>
      <c r="C797" s="122"/>
      <c r="D797" s="122"/>
      <c r="E797" s="122"/>
      <c r="F797" s="122"/>
      <c r="G797" s="122"/>
      <c r="H797" s="122">
        <f>B797</f>
        <v>8</v>
      </c>
    </row>
    <row r="798" spans="1:8" s="117" customFormat="1" ht="30" customHeight="1">
      <c r="A798" s="115" t="s">
        <v>29078</v>
      </c>
      <c r="B798" s="375" t="str">
        <f>VLOOKUP($A798,SERVICOS,4,FALSE)</f>
        <v>Tomada Média De Embutir (1 Módulo), 2P+T 20 A, Incluindo Suporte E Placa - Fornecimento E Instalação. Af_12/2015</v>
      </c>
      <c r="C798" s="376"/>
      <c r="D798" s="376"/>
      <c r="E798" s="376"/>
      <c r="F798" s="377"/>
      <c r="G798" s="115" t="str">
        <f>VLOOKUP($A798,SERVICOS,5,FALSE)</f>
        <v>und</v>
      </c>
      <c r="H798" s="116">
        <f>ROUND(SUM(H800:H800),2)</f>
        <v>1</v>
      </c>
    </row>
    <row r="799" spans="1:8" ht="15" customHeight="1">
      <c r="A799" s="118" t="s">
        <v>1029</v>
      </c>
      <c r="B799" s="118" t="s">
        <v>19767</v>
      </c>
      <c r="C799" s="119"/>
      <c r="D799" s="119"/>
      <c r="E799" s="118"/>
      <c r="F799" s="118"/>
      <c r="G799" s="118"/>
      <c r="H799" s="120"/>
    </row>
    <row r="800" spans="1:8" ht="15" customHeight="1">
      <c r="A800" s="121" t="s">
        <v>29083</v>
      </c>
      <c r="B800" s="122">
        <v>1</v>
      </c>
      <c r="C800" s="122"/>
      <c r="D800" s="122"/>
      <c r="E800" s="122"/>
      <c r="F800" s="122"/>
      <c r="G800" s="122"/>
      <c r="H800" s="122">
        <f>B800</f>
        <v>1</v>
      </c>
    </row>
    <row r="801" spans="1:8" s="117" customFormat="1" ht="30" customHeight="1">
      <c r="A801" s="115" t="s">
        <v>29081</v>
      </c>
      <c r="B801" s="375" t="str">
        <f>VLOOKUP($A801,SERVICOS,4,FALSE)</f>
        <v>Tomada Baixa De Embutir (1 Módulo), 2P+T 20 A, Incluindo Suporte E Placa - Fornecimento E Instalação. Af_12/2015</v>
      </c>
      <c r="C801" s="376"/>
      <c r="D801" s="376"/>
      <c r="E801" s="376"/>
      <c r="F801" s="377"/>
      <c r="G801" s="115" t="str">
        <f>VLOOKUP($A801,SERVICOS,5,FALSE)</f>
        <v>und</v>
      </c>
      <c r="H801" s="116">
        <f>ROUND(SUM(H803:H803),2)</f>
        <v>50</v>
      </c>
    </row>
    <row r="802" spans="1:8" ht="15" customHeight="1">
      <c r="A802" s="118" t="s">
        <v>1029</v>
      </c>
      <c r="B802" s="118" t="s">
        <v>19767</v>
      </c>
      <c r="C802" s="119"/>
      <c r="D802" s="119"/>
      <c r="E802" s="118"/>
      <c r="F802" s="118"/>
      <c r="G802" s="118"/>
      <c r="H802" s="120"/>
    </row>
    <row r="803" spans="1:8" ht="15" customHeight="1">
      <c r="A803" s="121" t="s">
        <v>29076</v>
      </c>
      <c r="B803" s="122">
        <v>50</v>
      </c>
      <c r="C803" s="122"/>
      <c r="D803" s="122"/>
      <c r="E803" s="122"/>
      <c r="F803" s="122"/>
      <c r="G803" s="122"/>
      <c r="H803" s="122">
        <f>B803</f>
        <v>50</v>
      </c>
    </row>
    <row r="804" spans="1:8" s="117" customFormat="1" ht="30" customHeight="1">
      <c r="A804" s="115" t="s">
        <v>29082</v>
      </c>
      <c r="B804" s="375" t="str">
        <f>VLOOKUP($A804,SERVICOS,4,FALSE)</f>
        <v>Tomada Baixa De Embutir (1 Módulo), 2P+T 20 A, Incluindo Suporte E Placa - Fornecimento E Instalação. Af_12/2015</v>
      </c>
      <c r="C804" s="376"/>
      <c r="D804" s="376"/>
      <c r="E804" s="376"/>
      <c r="F804" s="377"/>
      <c r="G804" s="115" t="str">
        <f>VLOOKUP($A804,SERVICOS,5,FALSE)</f>
        <v>und</v>
      </c>
      <c r="H804" s="116">
        <f>ROUND(SUM(H806:H806),2)</f>
        <v>8</v>
      </c>
    </row>
    <row r="805" spans="1:8" ht="15" customHeight="1">
      <c r="A805" s="118" t="s">
        <v>1029</v>
      </c>
      <c r="B805" s="118" t="s">
        <v>19767</v>
      </c>
      <c r="C805" s="119"/>
      <c r="D805" s="119"/>
      <c r="E805" s="118"/>
      <c r="F805" s="118"/>
      <c r="G805" s="118"/>
      <c r="H805" s="120"/>
    </row>
    <row r="806" spans="1:8" ht="15" customHeight="1">
      <c r="A806" s="121" t="s">
        <v>29076</v>
      </c>
      <c r="B806" s="122">
        <v>8</v>
      </c>
      <c r="C806" s="122"/>
      <c r="D806" s="122"/>
      <c r="E806" s="122"/>
      <c r="F806" s="122"/>
      <c r="G806" s="122"/>
      <c r="H806" s="122">
        <f>B806</f>
        <v>8</v>
      </c>
    </row>
    <row r="807" spans="1:8" s="117" customFormat="1" ht="30" customHeight="1">
      <c r="A807" s="115" t="s">
        <v>29084</v>
      </c>
      <c r="B807" s="375" t="str">
        <f>VLOOKUP($A807,SERVICOS,4,FALSE)</f>
        <v>Caixa De Passagem 300X300X120Mm, Chapa 18, Com Tampa Parafusada</v>
      </c>
      <c r="C807" s="376"/>
      <c r="D807" s="376"/>
      <c r="E807" s="376"/>
      <c r="F807" s="377"/>
      <c r="G807" s="115" t="str">
        <f>VLOOKUP($A807,SERVICOS,5,FALSE)</f>
        <v>und</v>
      </c>
      <c r="H807" s="116">
        <f>ROUND(SUM(H809:H809),2)</f>
        <v>1</v>
      </c>
    </row>
    <row r="808" spans="1:8" ht="15" customHeight="1">
      <c r="A808" s="118" t="s">
        <v>1029</v>
      </c>
      <c r="B808" s="118" t="s">
        <v>19767</v>
      </c>
      <c r="C808" s="119"/>
      <c r="D808" s="119"/>
      <c r="E808" s="118"/>
      <c r="F808" s="118"/>
      <c r="G808" s="118"/>
      <c r="H808" s="120"/>
    </row>
    <row r="809" spans="1:8" ht="15" customHeight="1">
      <c r="A809" s="121" t="s">
        <v>26663</v>
      </c>
      <c r="B809" s="122">
        <v>1</v>
      </c>
      <c r="C809" s="122"/>
      <c r="D809" s="122"/>
      <c r="E809" s="122"/>
      <c r="F809" s="122"/>
      <c r="G809" s="122"/>
      <c r="H809" s="122">
        <f>B809</f>
        <v>1</v>
      </c>
    </row>
    <row r="810" spans="1:8" s="117" customFormat="1" ht="30" customHeight="1">
      <c r="A810" s="115" t="s">
        <v>29085</v>
      </c>
      <c r="B810" s="375" t="str">
        <f>VLOOKUP($A810,SERVICOS,4,FALSE)</f>
        <v>Ponto Para Iluminação De Emergência Completo, Inclusive Bloco Autônomo De Iluminação 2X9W Com Tomada Universal</v>
      </c>
      <c r="C810" s="376"/>
      <c r="D810" s="376"/>
      <c r="E810" s="376"/>
      <c r="F810" s="377"/>
      <c r="G810" s="115" t="str">
        <f>VLOOKUP($A810,SERVICOS,5,FALSE)</f>
        <v>und</v>
      </c>
      <c r="H810" s="116">
        <f>ROUND(SUM(H812:H812),2)</f>
        <v>21</v>
      </c>
    </row>
    <row r="811" spans="1:8" ht="15" customHeight="1">
      <c r="A811" s="118" t="s">
        <v>1029</v>
      </c>
      <c r="B811" s="118" t="s">
        <v>19767</v>
      </c>
      <c r="C811" s="119"/>
      <c r="D811" s="119"/>
      <c r="E811" s="118"/>
      <c r="F811" s="118"/>
      <c r="G811" s="118"/>
      <c r="H811" s="120"/>
    </row>
    <row r="812" spans="1:8" ht="15" customHeight="1">
      <c r="A812" s="121" t="s">
        <v>29070</v>
      </c>
      <c r="B812" s="122">
        <v>21</v>
      </c>
      <c r="C812" s="122"/>
      <c r="D812" s="122"/>
      <c r="E812" s="122"/>
      <c r="F812" s="122"/>
      <c r="G812" s="122"/>
      <c r="H812" s="122">
        <f>B812</f>
        <v>21</v>
      </c>
    </row>
    <row r="813" spans="1:8" ht="15" customHeight="1">
      <c r="A813" s="113" t="s">
        <v>26598</v>
      </c>
      <c r="B813" s="378" t="str">
        <f>VLOOKUP($A813,SERVICOS,4,FALSE)</f>
        <v>CLIMATIZAÇÃO E CONFORTO AMBIENTAL</v>
      </c>
      <c r="C813" s="378"/>
      <c r="D813" s="378"/>
      <c r="E813" s="378"/>
      <c r="F813" s="378"/>
      <c r="G813" s="378">
        <f>VLOOKUP($A813,SERVICOS,5,FALSE)</f>
        <v>0</v>
      </c>
      <c r="H813" s="378" t="e">
        <f>ROUND(SUM(#REF!),2)</f>
        <v>#REF!</v>
      </c>
    </row>
    <row r="814" spans="1:8" s="117" customFormat="1" ht="15" customHeight="1">
      <c r="A814" s="115" t="s">
        <v>26599</v>
      </c>
      <c r="B814" s="375" t="str">
        <f>VLOOKUP($A814,SERVICOS,4,FALSE)</f>
        <v>Projeto De Climatização E Conforto Ambiental</v>
      </c>
      <c r="C814" s="376"/>
      <c r="D814" s="376"/>
      <c r="E814" s="376"/>
      <c r="F814" s="377"/>
      <c r="G814" s="115" t="str">
        <f>VLOOKUP($A814,SERVICOS,5,FALSE)</f>
        <v>m²</v>
      </c>
      <c r="H814" s="116">
        <f>ROUND(SUM(H816:H817),2)</f>
        <v>312.12</v>
      </c>
    </row>
    <row r="815" spans="1:8" ht="15" customHeight="1">
      <c r="A815" s="118" t="s">
        <v>1029</v>
      </c>
      <c r="B815" s="118" t="s">
        <v>19767</v>
      </c>
      <c r="C815" s="119" t="s">
        <v>26630</v>
      </c>
      <c r="D815" s="119"/>
      <c r="E815" s="118"/>
      <c r="F815" s="118"/>
      <c r="G815" s="118"/>
      <c r="H815" s="120"/>
    </row>
    <row r="816" spans="1:8" ht="15" customHeight="1">
      <c r="A816" s="121" t="s">
        <v>26648</v>
      </c>
      <c r="B816" s="122">
        <v>1</v>
      </c>
      <c r="C816" s="122">
        <f>144.95</f>
        <v>144.94999999999999</v>
      </c>
      <c r="D816" s="122"/>
      <c r="E816" s="241"/>
      <c r="F816" s="122"/>
      <c r="G816" s="122"/>
      <c r="H816" s="122">
        <f>B816*C816</f>
        <v>144.94999999999999</v>
      </c>
    </row>
    <row r="817" spans="1:8" ht="15" customHeight="1">
      <c r="A817" s="121" t="s">
        <v>26649</v>
      </c>
      <c r="B817" s="122">
        <v>1</v>
      </c>
      <c r="C817" s="122">
        <v>167.17</v>
      </c>
      <c r="D817" s="122"/>
      <c r="E817" s="241"/>
      <c r="F817" s="122"/>
      <c r="G817" s="122"/>
      <c r="H817" s="122">
        <f>B817*C817</f>
        <v>167.17</v>
      </c>
    </row>
    <row r="818" spans="1:8" s="117" customFormat="1" ht="30" customHeight="1">
      <c r="A818" s="115" t="s">
        <v>26600</v>
      </c>
      <c r="B818" s="375" t="str">
        <f>VLOOKUP($A818,SERVICOS,4,FALSE)</f>
        <v>Ar Condicionado Split On/Off, Hi-Wall (Parede), 18000 Btus/H, Ciclo Frio - Fornecimento E Instalação. Af_11/2021_P</v>
      </c>
      <c r="C818" s="376"/>
      <c r="D818" s="376"/>
      <c r="E818" s="376"/>
      <c r="F818" s="377"/>
      <c r="G818" s="115" t="str">
        <f>VLOOKUP($A818,SERVICOS,5,FALSE)</f>
        <v>und</v>
      </c>
      <c r="H818" s="116">
        <f>ROUND(SUM(H820:H820),2)</f>
        <v>5</v>
      </c>
    </row>
    <row r="819" spans="1:8" ht="15" customHeight="1">
      <c r="A819" s="118" t="s">
        <v>1029</v>
      </c>
      <c r="B819" s="118" t="s">
        <v>19767</v>
      </c>
      <c r="C819" s="119"/>
      <c r="D819" s="119"/>
      <c r="E819" s="118"/>
      <c r="F819" s="118"/>
      <c r="G819" s="118"/>
      <c r="H819" s="120"/>
    </row>
    <row r="820" spans="1:8" ht="15" customHeight="1">
      <c r="A820" s="121" t="s">
        <v>26649</v>
      </c>
      <c r="B820" s="122">
        <v>5</v>
      </c>
      <c r="C820" s="122"/>
      <c r="D820" s="122"/>
      <c r="E820" s="241"/>
      <c r="F820" s="122"/>
      <c r="G820" s="122"/>
      <c r="H820" s="122">
        <f>B820</f>
        <v>5</v>
      </c>
    </row>
    <row r="821" spans="1:8" s="117" customFormat="1" ht="30" customHeight="1">
      <c r="A821" s="115" t="s">
        <v>26734</v>
      </c>
      <c r="B821" s="375" t="str">
        <f>VLOOKUP($A821,SERVICOS,4,FALSE)</f>
        <v>Ar Condicionado Split On/Off, Hi-Wall (Parede), 24000 Btus/H, Ciclo Frio - Fornecimento E Instalação. Af_11/2021_P</v>
      </c>
      <c r="C821" s="376"/>
      <c r="D821" s="376"/>
      <c r="E821" s="376"/>
      <c r="F821" s="377"/>
      <c r="G821" s="115" t="str">
        <f>VLOOKUP($A821,SERVICOS,5,FALSE)</f>
        <v>und</v>
      </c>
      <c r="H821" s="116">
        <f>ROUND(SUM(H823:H823),2)</f>
        <v>2</v>
      </c>
    </row>
    <row r="822" spans="1:8" ht="15" customHeight="1">
      <c r="A822" s="118" t="s">
        <v>1029</v>
      </c>
      <c r="B822" s="118" t="s">
        <v>19767</v>
      </c>
      <c r="C822" s="119"/>
      <c r="D822" s="119"/>
      <c r="E822" s="118"/>
      <c r="F822" s="118"/>
      <c r="G822" s="118"/>
      <c r="H822" s="120"/>
    </row>
    <row r="823" spans="1:8" ht="15" customHeight="1">
      <c r="A823" s="121" t="s">
        <v>26649</v>
      </c>
      <c r="B823" s="122">
        <v>2</v>
      </c>
      <c r="C823" s="122"/>
      <c r="D823" s="122"/>
      <c r="E823" s="241"/>
      <c r="F823" s="122"/>
      <c r="G823" s="122"/>
      <c r="H823" s="122">
        <f>B823</f>
        <v>2</v>
      </c>
    </row>
    <row r="824" spans="1:8" s="117" customFormat="1" ht="30" customHeight="1">
      <c r="A824" s="115" t="s">
        <v>26735</v>
      </c>
      <c r="B824" s="375" t="str">
        <f>VLOOKUP($A824,SERVICOS,4,FALSE)</f>
        <v>Ar Condicionado Split On/Off, Piso Teto, 48.000 Btu/H, Ciclo Frio - Fornecimento E Instalação. Af_11/2021_P</v>
      </c>
      <c r="C824" s="376"/>
      <c r="D824" s="376"/>
      <c r="E824" s="376"/>
      <c r="F824" s="377"/>
      <c r="G824" s="115" t="str">
        <f>VLOOKUP($A824,SERVICOS,5,FALSE)</f>
        <v>und</v>
      </c>
      <c r="H824" s="116">
        <f>ROUND(SUM(H826:H826),2)</f>
        <v>3</v>
      </c>
    </row>
    <row r="825" spans="1:8" ht="15" customHeight="1">
      <c r="A825" s="118" t="s">
        <v>1029</v>
      </c>
      <c r="B825" s="118" t="s">
        <v>19767</v>
      </c>
      <c r="C825" s="119"/>
      <c r="D825" s="119"/>
      <c r="E825" s="118"/>
      <c r="F825" s="118"/>
      <c r="G825" s="118"/>
      <c r="H825" s="120"/>
    </row>
    <row r="826" spans="1:8" ht="15" customHeight="1">
      <c r="A826" s="121" t="s">
        <v>26648</v>
      </c>
      <c r="B826" s="122">
        <v>3</v>
      </c>
      <c r="C826" s="122"/>
      <c r="D826" s="122"/>
      <c r="E826" s="241"/>
      <c r="F826" s="122"/>
      <c r="G826" s="122"/>
      <c r="H826" s="122">
        <f>B826</f>
        <v>3</v>
      </c>
    </row>
    <row r="827" spans="1:8" s="117" customFormat="1" ht="45" customHeight="1">
      <c r="A827" s="115" t="s">
        <v>26739</v>
      </c>
      <c r="B827" s="375" t="str">
        <f>VLOOKUP($A827,SERVICOS,4,FALSE)</f>
        <v>Tubo Em Cobre Flexível, Dn 5/8", Com Isolamento, Instalado Em Forro, Para Ramal De Alimentação De Ar Condicionado, Incluso Fixador. Af_11/2021</v>
      </c>
      <c r="C827" s="376"/>
      <c r="D827" s="376"/>
      <c r="E827" s="376"/>
      <c r="F827" s="377"/>
      <c r="G827" s="115" t="str">
        <f>VLOOKUP($A827,SERVICOS,5,FALSE)</f>
        <v>m</v>
      </c>
      <c r="H827" s="116">
        <f>ROUND(SUM(H829:H829),2)</f>
        <v>143.5</v>
      </c>
    </row>
    <row r="828" spans="1:8" ht="15" customHeight="1">
      <c r="A828" s="118" t="s">
        <v>1029</v>
      </c>
      <c r="B828" s="118" t="s">
        <v>19767</v>
      </c>
      <c r="C828" s="119" t="s">
        <v>19769</v>
      </c>
      <c r="D828" s="119"/>
      <c r="E828" s="118"/>
      <c r="F828" s="118"/>
      <c r="G828" s="118"/>
      <c r="H828" s="120"/>
    </row>
    <row r="829" spans="1:8" ht="15" customHeight="1">
      <c r="A829" s="121" t="s">
        <v>28680</v>
      </c>
      <c r="B829" s="122">
        <v>1</v>
      </c>
      <c r="C829" s="122">
        <f>123+3*4.5+7</f>
        <v>143.5</v>
      </c>
      <c r="D829" s="122"/>
      <c r="E829" s="241"/>
      <c r="F829" s="122"/>
      <c r="G829" s="122"/>
      <c r="H829" s="122">
        <f>B829*C829</f>
        <v>143.5</v>
      </c>
    </row>
    <row r="830" spans="1:8" s="117" customFormat="1" ht="30" customHeight="1">
      <c r="A830" s="115" t="s">
        <v>28522</v>
      </c>
      <c r="B830" s="375" t="str">
        <f>VLOOKUP($A830,SERVICOS,4,FALSE)</f>
        <v>Tubo, Pvc, Soldável, Dn 25Mm, Instalado Em Dreno De Ar-Condicionado - Fornecimento E Instalação. Af_12/2014</v>
      </c>
      <c r="C830" s="376"/>
      <c r="D830" s="376"/>
      <c r="E830" s="376"/>
      <c r="F830" s="377"/>
      <c r="G830" s="115" t="str">
        <f>VLOOKUP($A830,SERVICOS,5,FALSE)</f>
        <v>m</v>
      </c>
      <c r="H830" s="116">
        <f>ROUND(SUM(H832:H834),2)</f>
        <v>74</v>
      </c>
    </row>
    <row r="831" spans="1:8" ht="15" customHeight="1">
      <c r="A831" s="118" t="s">
        <v>1029</v>
      </c>
      <c r="B831" s="118" t="s">
        <v>19767</v>
      </c>
      <c r="C831" s="119" t="s">
        <v>19769</v>
      </c>
      <c r="D831" s="119"/>
      <c r="E831" s="118"/>
      <c r="F831" s="118"/>
      <c r="G831" s="118"/>
      <c r="H831" s="120"/>
    </row>
    <row r="832" spans="1:8" ht="15" customHeight="1">
      <c r="A832" s="121" t="s">
        <v>28784</v>
      </c>
      <c r="B832" s="122">
        <v>1</v>
      </c>
      <c r="C832" s="122">
        <v>4</v>
      </c>
      <c r="D832" s="122"/>
      <c r="E832" s="241"/>
      <c r="F832" s="122"/>
      <c r="G832" s="122"/>
      <c r="H832" s="122">
        <f>B832*C832</f>
        <v>4</v>
      </c>
    </row>
    <row r="833" spans="1:8" ht="15" customHeight="1">
      <c r="A833" s="121" t="s">
        <v>28785</v>
      </c>
      <c r="B833" s="122">
        <v>1</v>
      </c>
      <c r="C833" s="122">
        <f>25+4.5*7</f>
        <v>56.5</v>
      </c>
      <c r="D833" s="122"/>
      <c r="E833" s="241"/>
      <c r="F833" s="122"/>
      <c r="G833" s="122"/>
      <c r="H833" s="122">
        <f>B833*C833</f>
        <v>56.5</v>
      </c>
    </row>
    <row r="834" spans="1:8" ht="15" customHeight="1">
      <c r="A834" s="121" t="s">
        <v>26648</v>
      </c>
      <c r="B834" s="122">
        <v>3</v>
      </c>
      <c r="C834" s="122">
        <f>3+1.5</f>
        <v>4.5</v>
      </c>
      <c r="D834" s="122"/>
      <c r="E834" s="241"/>
      <c r="F834" s="122"/>
      <c r="G834" s="122"/>
      <c r="H834" s="122">
        <f>B834*C834</f>
        <v>13.5</v>
      </c>
    </row>
    <row r="835" spans="1:8" s="117" customFormat="1" ht="30" customHeight="1">
      <c r="A835" s="115" t="s">
        <v>28782</v>
      </c>
      <c r="B835" s="375" t="str">
        <f>VLOOKUP($A835,SERVICOS,4,FALSE)</f>
        <v>Joelho 90 Graus, Pvc, Soldável, Dn 25Mm, Instalado Em Dreno De Ar-Condicionado - Fornecimento E Instalação. Af_12/2014</v>
      </c>
      <c r="C835" s="376"/>
      <c r="D835" s="376"/>
      <c r="E835" s="376"/>
      <c r="F835" s="377"/>
      <c r="G835" s="115" t="str">
        <f>VLOOKUP($A835,SERVICOS,5,FALSE)</f>
        <v>und</v>
      </c>
      <c r="H835" s="116">
        <f>ROUND(SUM(H837:H838),2)</f>
        <v>28</v>
      </c>
    </row>
    <row r="836" spans="1:8" ht="15" customHeight="1">
      <c r="A836" s="118" t="s">
        <v>1029</v>
      </c>
      <c r="B836" s="118" t="s">
        <v>19767</v>
      </c>
      <c r="C836" s="119"/>
      <c r="D836" s="119"/>
      <c r="E836" s="118"/>
      <c r="F836" s="118"/>
      <c r="G836" s="118"/>
      <c r="H836" s="120"/>
    </row>
    <row r="837" spans="1:8" ht="15" customHeight="1">
      <c r="A837" s="121" t="s">
        <v>26649</v>
      </c>
      <c r="B837" s="122">
        <f>10*2+2</f>
        <v>22</v>
      </c>
      <c r="C837" s="122"/>
      <c r="D837" s="122"/>
      <c r="E837" s="241"/>
      <c r="F837" s="122"/>
      <c r="G837" s="122"/>
      <c r="H837" s="122">
        <f>B837</f>
        <v>22</v>
      </c>
    </row>
    <row r="838" spans="1:8" ht="15" customHeight="1">
      <c r="A838" s="121" t="s">
        <v>26648</v>
      </c>
      <c r="B838" s="122">
        <f>2*3</f>
        <v>6</v>
      </c>
      <c r="C838" s="122"/>
      <c r="D838" s="122"/>
      <c r="E838" s="241"/>
      <c r="F838" s="122"/>
      <c r="G838" s="122"/>
      <c r="H838" s="122">
        <f>B838</f>
        <v>6</v>
      </c>
    </row>
    <row r="839" spans="1:8" s="117" customFormat="1" ht="30" customHeight="1">
      <c r="A839" s="115" t="s">
        <v>28783</v>
      </c>
      <c r="B839" s="375" t="str">
        <f>VLOOKUP($A839,SERVICOS,4,FALSE)</f>
        <v>Te, Pvc, Soldável, Dn 25Mm, Instalado Em Dreno De Ar-Condicionado - Fornecimento E Instalação. Af_12/2014</v>
      </c>
      <c r="C839" s="376"/>
      <c r="D839" s="376"/>
      <c r="E839" s="376"/>
      <c r="F839" s="377"/>
      <c r="G839" s="115" t="str">
        <f>VLOOKUP($A839,SERVICOS,5,FALSE)</f>
        <v>und</v>
      </c>
      <c r="H839" s="116">
        <f>ROUND(SUM(H841:H841),2)</f>
        <v>4</v>
      </c>
    </row>
    <row r="840" spans="1:8" ht="15" customHeight="1">
      <c r="A840" s="118" t="s">
        <v>1029</v>
      </c>
      <c r="B840" s="118" t="s">
        <v>19767</v>
      </c>
      <c r="C840" s="119"/>
      <c r="D840" s="119"/>
      <c r="E840" s="118"/>
      <c r="F840" s="118"/>
      <c r="G840" s="118"/>
      <c r="H840" s="120"/>
    </row>
    <row r="841" spans="1:8" ht="15" customHeight="1">
      <c r="A841" s="121" t="s">
        <v>28680</v>
      </c>
      <c r="B841" s="122">
        <v>4</v>
      </c>
      <c r="C841" s="122"/>
      <c r="D841" s="122"/>
      <c r="E841" s="241"/>
      <c r="F841" s="122"/>
      <c r="G841" s="122"/>
      <c r="H841" s="122">
        <f>B841</f>
        <v>4</v>
      </c>
    </row>
    <row r="842" spans="1:8" s="117" customFormat="1" ht="30" customHeight="1">
      <c r="A842" s="115" t="s">
        <v>28786</v>
      </c>
      <c r="B842" s="375" t="str">
        <f>VLOOKUP($A842,SERVICOS,4,FALSE)</f>
        <v>Rasgo E Chumbamento Em Alvenaria Para Tubos De Split Parede De 9000 A 24000 Btus/H. Af_11/2021</v>
      </c>
      <c r="C842" s="376"/>
      <c r="D842" s="376"/>
      <c r="E842" s="376"/>
      <c r="F842" s="377"/>
      <c r="G842" s="115" t="str">
        <f>VLOOKUP($A842,SERVICOS,5,FALSE)</f>
        <v>und</v>
      </c>
      <c r="H842" s="116">
        <f>ROUND(SUM(H844:H844),2)</f>
        <v>10</v>
      </c>
    </row>
    <row r="843" spans="1:8" ht="15" customHeight="1">
      <c r="A843" s="118" t="s">
        <v>1029</v>
      </c>
      <c r="B843" s="118" t="s">
        <v>19767</v>
      </c>
      <c r="C843" s="119"/>
      <c r="D843" s="119"/>
      <c r="E843" s="118"/>
      <c r="F843" s="118"/>
      <c r="G843" s="118"/>
      <c r="H843" s="120"/>
    </row>
    <row r="844" spans="1:8" ht="15" customHeight="1">
      <c r="A844" s="121" t="s">
        <v>28680</v>
      </c>
      <c r="B844" s="122">
        <v>10</v>
      </c>
      <c r="C844" s="122"/>
      <c r="D844" s="122"/>
      <c r="E844" s="241"/>
      <c r="F844" s="122"/>
      <c r="G844" s="122"/>
      <c r="H844" s="122">
        <f>B844</f>
        <v>10</v>
      </c>
    </row>
    <row r="845" spans="1:8" s="117" customFormat="1" ht="45" customHeight="1">
      <c r="A845" s="115" t="s">
        <v>29089</v>
      </c>
      <c r="B845" s="375" t="str">
        <f>VLOOKUP($A845,SERVICOS,4,FALSE)</f>
        <v>Joelho 90 Graus, Pvc, Serie Normal, Esgoto Predial, Dn 75 Mm, Junta Elástica, Fornecido E Instalado Em Ramal De Descarga Ou Ramal De Esgoto Sanitário. Af_12/2014</v>
      </c>
      <c r="C845" s="376"/>
      <c r="D845" s="376"/>
      <c r="E845" s="376"/>
      <c r="F845" s="377"/>
      <c r="G845" s="115" t="str">
        <f>VLOOKUP($A845,SERVICOS,5,FALSE)</f>
        <v>und</v>
      </c>
      <c r="H845" s="116">
        <f>ROUND(SUM(H847:H847),2)</f>
        <v>20</v>
      </c>
    </row>
    <row r="846" spans="1:8" ht="15" customHeight="1">
      <c r="A846" s="118" t="s">
        <v>1029</v>
      </c>
      <c r="B846" s="118" t="s">
        <v>19767</v>
      </c>
      <c r="C846" s="119"/>
      <c r="D846" s="119"/>
      <c r="E846" s="118"/>
      <c r="F846" s="118"/>
      <c r="G846" s="118"/>
      <c r="H846" s="120"/>
    </row>
    <row r="847" spans="1:8" ht="15" customHeight="1">
      <c r="A847" s="121" t="s">
        <v>28680</v>
      </c>
      <c r="B847" s="122">
        <f>10*2</f>
        <v>20</v>
      </c>
      <c r="C847" s="122"/>
      <c r="D847" s="122"/>
      <c r="E847" s="241"/>
      <c r="F847" s="122"/>
      <c r="G847" s="122"/>
      <c r="H847" s="122">
        <f>B847</f>
        <v>20</v>
      </c>
    </row>
    <row r="848" spans="1:8" s="117" customFormat="1" ht="45" customHeight="1">
      <c r="A848" s="115" t="s">
        <v>29090</v>
      </c>
      <c r="B848" s="375" t="str">
        <f>VLOOKUP($A848,SERVICOS,4,FALSE)</f>
        <v>Joelho 45 Graus, Pvc, Serie Normal, Esgoto Predial, Dn 75 Mm, Junta Elástica, Fornecido E Instalado Em Ramal De Descarga Ou Ramal De Esgoto Sanitário. Af_12/2014</v>
      </c>
      <c r="C848" s="376"/>
      <c r="D848" s="376"/>
      <c r="E848" s="376"/>
      <c r="F848" s="377"/>
      <c r="G848" s="115" t="str">
        <f>VLOOKUP($A848,SERVICOS,5,FALSE)</f>
        <v>und</v>
      </c>
      <c r="H848" s="116">
        <f>ROUND(SUM(H850:H850),2)</f>
        <v>22</v>
      </c>
    </row>
    <row r="849" spans="1:8" ht="15" customHeight="1">
      <c r="A849" s="118" t="s">
        <v>1029</v>
      </c>
      <c r="B849" s="118" t="s">
        <v>19767</v>
      </c>
      <c r="C849" s="119"/>
      <c r="D849" s="119"/>
      <c r="E849" s="118"/>
      <c r="F849" s="118"/>
      <c r="G849" s="118"/>
      <c r="H849" s="120"/>
    </row>
    <row r="850" spans="1:8" ht="15" customHeight="1">
      <c r="A850" s="121" t="s">
        <v>28680</v>
      </c>
      <c r="B850" s="122">
        <f>10+12</f>
        <v>22</v>
      </c>
      <c r="C850" s="122"/>
      <c r="D850" s="122"/>
      <c r="E850" s="241"/>
      <c r="F850" s="122"/>
      <c r="G850" s="122"/>
      <c r="H850" s="122">
        <f>B850</f>
        <v>22</v>
      </c>
    </row>
    <row r="851" spans="1:8" s="117" customFormat="1" ht="45" customHeight="1">
      <c r="A851" s="115" t="s">
        <v>29091</v>
      </c>
      <c r="B851" s="375" t="str">
        <f>VLOOKUP($A851,SERVICOS,4,FALSE)</f>
        <v>Tubo Pvc, Serie Normal, Esgoto Predial, Dn 75 Mm, Fornecido E Instalado Em Ramal De Descarga Ou Ramal De Esgoto Sanitário. Af_12/2014</v>
      </c>
      <c r="C851" s="376"/>
      <c r="D851" s="376"/>
      <c r="E851" s="376"/>
      <c r="F851" s="377"/>
      <c r="G851" s="115" t="str">
        <f>VLOOKUP($A851,SERVICOS,5,FALSE)</f>
        <v>m</v>
      </c>
      <c r="H851" s="116">
        <f>ROUND(SUM(H853:H853),2)</f>
        <v>143.5</v>
      </c>
    </row>
    <row r="852" spans="1:8" ht="15" customHeight="1">
      <c r="A852" s="118" t="s">
        <v>1029</v>
      </c>
      <c r="B852" s="118" t="s">
        <v>19767</v>
      </c>
      <c r="C852" s="119" t="s">
        <v>19769</v>
      </c>
      <c r="D852" s="119"/>
      <c r="E852" s="118"/>
      <c r="F852" s="118"/>
      <c r="G852" s="118"/>
      <c r="H852" s="120"/>
    </row>
    <row r="853" spans="1:8" ht="15" customHeight="1">
      <c r="A853" s="121" t="s">
        <v>28680</v>
      </c>
      <c r="B853" s="122">
        <v>1</v>
      </c>
      <c r="C853" s="122">
        <f>123+3*4.5+7</f>
        <v>143.5</v>
      </c>
      <c r="D853" s="122"/>
      <c r="E853" s="241"/>
      <c r="F853" s="122"/>
      <c r="G853" s="122"/>
      <c r="H853" s="122">
        <f>B853*C853</f>
        <v>143.5</v>
      </c>
    </row>
    <row r="854" spans="1:8" s="117" customFormat="1" ht="45" customHeight="1">
      <c r="A854" s="115" t="s">
        <v>29092</v>
      </c>
      <c r="B854" s="375" t="str">
        <f>VLOOKUP($A854,SERVICOS,4,FALSE)</f>
        <v>Fixação De Tubos Horizontais De Ppr Diâmetros Maiores Que 40 Mm E Menores Ou Iguais A 75 Mm Com Abraçadeira Metálica Flexível 18 Mm, Fixada Diretamente Na Laje. Af_05/2015</v>
      </c>
      <c r="C854" s="376"/>
      <c r="D854" s="376"/>
      <c r="E854" s="376"/>
      <c r="F854" s="377"/>
      <c r="G854" s="115" t="str">
        <f>VLOOKUP($A854,SERVICOS,5,FALSE)</f>
        <v>m</v>
      </c>
      <c r="H854" s="116">
        <f>ROUND(SUM(H856:H856),2)</f>
        <v>123</v>
      </c>
    </row>
    <row r="855" spans="1:8" ht="15" customHeight="1">
      <c r="A855" s="118" t="s">
        <v>1029</v>
      </c>
      <c r="B855" s="118" t="s">
        <v>19767</v>
      </c>
      <c r="C855" s="119" t="s">
        <v>19769</v>
      </c>
      <c r="D855" s="119"/>
      <c r="E855" s="118"/>
      <c r="F855" s="118"/>
      <c r="G855" s="118"/>
      <c r="H855" s="120"/>
    </row>
    <row r="856" spans="1:8" ht="15" customHeight="1">
      <c r="A856" s="121" t="s">
        <v>28680</v>
      </c>
      <c r="B856" s="122">
        <f>B829</f>
        <v>1</v>
      </c>
      <c r="C856" s="122">
        <f>123</f>
        <v>123</v>
      </c>
      <c r="D856" s="122"/>
      <c r="E856" s="241"/>
      <c r="F856" s="122"/>
      <c r="G856" s="122"/>
      <c r="H856" s="122">
        <f>B856*C856</f>
        <v>123</v>
      </c>
    </row>
    <row r="857" spans="1:8" s="117" customFormat="1" ht="45" customHeight="1">
      <c r="A857" s="115" t="s">
        <v>29093</v>
      </c>
      <c r="B857" s="375" t="str">
        <f>VLOOKUP($A857,SERVICOS,4,FALSE)</f>
        <v>Caixa De Passagem De Alvenaria De Blocos De Concreto 9X19X39Cm, Dimensões De 30X30X50Cm, Com Revestimento Interno Em Chapisco E Reboco, Tampa De Concreto Esp.5Cm E Lastro De Brita 5 Cm</v>
      </c>
      <c r="C857" s="376"/>
      <c r="D857" s="376"/>
      <c r="E857" s="376"/>
      <c r="F857" s="377"/>
      <c r="G857" s="115" t="str">
        <f>VLOOKUP($A857,SERVICOS,5,FALSE)</f>
        <v>und</v>
      </c>
      <c r="H857" s="116">
        <f>ROUND(SUM(H859:H859),2)</f>
        <v>3</v>
      </c>
    </row>
    <row r="858" spans="1:8" ht="15" customHeight="1">
      <c r="A858" s="118" t="s">
        <v>1029</v>
      </c>
      <c r="B858" s="118" t="s">
        <v>19767</v>
      </c>
      <c r="C858" s="119"/>
      <c r="D858" s="119"/>
      <c r="E858" s="118"/>
      <c r="F858" s="118"/>
      <c r="G858" s="118"/>
      <c r="H858" s="120"/>
    </row>
    <row r="859" spans="1:8" ht="15" customHeight="1">
      <c r="A859" s="121" t="s">
        <v>26648</v>
      </c>
      <c r="B859" s="122">
        <v>3</v>
      </c>
      <c r="C859" s="122"/>
      <c r="D859" s="122"/>
      <c r="E859" s="241"/>
      <c r="F859" s="122"/>
      <c r="G859" s="122"/>
      <c r="H859" s="122">
        <f>B859</f>
        <v>3</v>
      </c>
    </row>
    <row r="860" spans="1:8" s="117" customFormat="1" ht="45" customHeight="1">
      <c r="A860" s="115" t="s">
        <v>29102</v>
      </c>
      <c r="B860" s="375" t="str">
        <f>VLOOKUP($A860,SERVICOS,4,FALSE)</f>
        <v>Ponto Padrão De Tomada Para Ar Refrigerado - Considerando Eletroduto Pvc Rígido De 3/4" Inclusive Conexões (6.0M), Fio Isolado Pvc De 4.0Mm2 (21.6M) E Caixa Pvc 4X2" (1 Und)</v>
      </c>
      <c r="C860" s="376"/>
      <c r="D860" s="376"/>
      <c r="E860" s="376"/>
      <c r="F860" s="377"/>
      <c r="G860" s="115" t="str">
        <f>VLOOKUP($A860,SERVICOS,5,FALSE)</f>
        <v>und</v>
      </c>
      <c r="H860" s="116">
        <f>ROUND(SUM(H862:H862),2)</f>
        <v>10</v>
      </c>
    </row>
    <row r="861" spans="1:8" ht="15" customHeight="1">
      <c r="A861" s="118" t="s">
        <v>1029</v>
      </c>
      <c r="B861" s="118" t="s">
        <v>19767</v>
      </c>
      <c r="C861" s="119"/>
      <c r="D861" s="119"/>
      <c r="E861" s="118"/>
      <c r="F861" s="118"/>
      <c r="G861" s="118"/>
      <c r="H861" s="120"/>
    </row>
    <row r="862" spans="1:8" ht="15" customHeight="1">
      <c r="A862" s="121" t="s">
        <v>28680</v>
      </c>
      <c r="B862" s="122">
        <v>10</v>
      </c>
      <c r="C862" s="122"/>
      <c r="D862" s="122"/>
      <c r="E862" s="241"/>
      <c r="F862" s="122"/>
      <c r="G862" s="122"/>
      <c r="H862" s="122">
        <f>B862</f>
        <v>10</v>
      </c>
    </row>
    <row r="863" spans="1:8" ht="15" customHeight="1">
      <c r="A863" s="113" t="s">
        <v>26601</v>
      </c>
      <c r="B863" s="378" t="str">
        <f>VLOOKUP($A863,SERVICOS,4,FALSE)</f>
        <v>ESQUADRIAS</v>
      </c>
      <c r="C863" s="378"/>
      <c r="D863" s="378"/>
      <c r="E863" s="378"/>
      <c r="F863" s="378"/>
      <c r="G863" s="378">
        <f>VLOOKUP($A863,SERVICOS,5,FALSE)</f>
        <v>0</v>
      </c>
      <c r="H863" s="378" t="e">
        <f>ROUND(SUM(#REF!),2)</f>
        <v>#REF!</v>
      </c>
    </row>
    <row r="864" spans="1:8" s="117" customFormat="1" ht="30" customHeight="1">
      <c r="A864" s="115" t="s">
        <v>26602</v>
      </c>
      <c r="B864" s="375" t="str">
        <f>VLOOKUP($A864,SERVICOS,4,FALSE)</f>
        <v>Báscula Para Vidro Em Alumínio Anodizado Cor Natural, Linha 25, Completa, Com Tranca, Caixilho, Alizar E Contramarco, Exclusive Vidro</v>
      </c>
      <c r="C864" s="376"/>
      <c r="D864" s="376"/>
      <c r="E864" s="376"/>
      <c r="F864" s="377"/>
      <c r="G864" s="115" t="str">
        <f>VLOOKUP($A864,SERVICOS,5,FALSE)</f>
        <v>m²</v>
      </c>
      <c r="H864" s="116">
        <f>ROUND(SUM(H866:H867),2)</f>
        <v>2.88</v>
      </c>
    </row>
    <row r="865" spans="1:8" ht="15" customHeight="1">
      <c r="A865" s="118" t="s">
        <v>1029</v>
      </c>
      <c r="B865" s="118" t="s">
        <v>19767</v>
      </c>
      <c r="C865" s="119" t="s">
        <v>19768</v>
      </c>
      <c r="D865" s="119" t="s">
        <v>26634</v>
      </c>
      <c r="E865" s="118" t="s">
        <v>26650</v>
      </c>
      <c r="F865" s="118"/>
      <c r="G865" s="118"/>
      <c r="H865" s="120"/>
    </row>
    <row r="866" spans="1:8" ht="15" customHeight="1">
      <c r="A866" s="121" t="s">
        <v>28694</v>
      </c>
      <c r="B866" s="122">
        <v>6</v>
      </c>
      <c r="C866" s="122">
        <v>0.8</v>
      </c>
      <c r="D866" s="122">
        <v>0.4</v>
      </c>
      <c r="E866" s="241" t="s">
        <v>26726</v>
      </c>
      <c r="F866" s="122"/>
      <c r="G866" s="122"/>
      <c r="H866" s="122">
        <f>B866*C866*D866</f>
        <v>1.9200000000000004</v>
      </c>
    </row>
    <row r="867" spans="1:8" ht="15" customHeight="1">
      <c r="A867" s="121" t="s">
        <v>28695</v>
      </c>
      <c r="B867" s="122">
        <v>2</v>
      </c>
      <c r="C867" s="122">
        <v>1.2</v>
      </c>
      <c r="D867" s="122">
        <v>0.4</v>
      </c>
      <c r="E867" s="241" t="s">
        <v>28593</v>
      </c>
      <c r="F867" s="122"/>
      <c r="G867" s="122"/>
      <c r="H867" s="122">
        <f>B867*C867*D867</f>
        <v>0.96</v>
      </c>
    </row>
    <row r="868" spans="1:8" s="117" customFormat="1" ht="30" customHeight="1">
      <c r="A868" s="115" t="s">
        <v>26603</v>
      </c>
      <c r="B868" s="375" t="str">
        <f>VLOOKUP($A868,SERVICOS,4,FALSE)</f>
        <v>Instalação De Vidro Liso Incolor, E = 4 Mm, Em Esquadria De Alumínio Ou Pvc, Fixado Com Baguete. Af_01/2021_P</v>
      </c>
      <c r="C868" s="376"/>
      <c r="D868" s="376"/>
      <c r="E868" s="376"/>
      <c r="F868" s="377"/>
      <c r="G868" s="115" t="str">
        <f>VLOOKUP($A868,SERVICOS,5,FALSE)</f>
        <v>m²</v>
      </c>
      <c r="H868" s="116">
        <f>ROUND(SUM(H870:H871),2)</f>
        <v>2.88</v>
      </c>
    </row>
    <row r="869" spans="1:8" ht="15" customHeight="1">
      <c r="A869" s="118" t="s">
        <v>1029</v>
      </c>
      <c r="B869" s="118" t="s">
        <v>19767</v>
      </c>
      <c r="C869" s="119" t="s">
        <v>19768</v>
      </c>
      <c r="D869" s="119" t="s">
        <v>26634</v>
      </c>
      <c r="E869" s="118" t="s">
        <v>26650</v>
      </c>
      <c r="F869" s="118"/>
      <c r="G869" s="118"/>
      <c r="H869" s="120"/>
    </row>
    <row r="870" spans="1:8" ht="15" customHeight="1">
      <c r="A870" s="121" t="str">
        <f>A866</f>
        <v>B1</v>
      </c>
      <c r="B870" s="122">
        <f>B866</f>
        <v>6</v>
      </c>
      <c r="C870" s="122">
        <f t="shared" ref="C870:E870" si="113">C866</f>
        <v>0.8</v>
      </c>
      <c r="D870" s="122">
        <f t="shared" si="113"/>
        <v>0.4</v>
      </c>
      <c r="E870" s="241" t="str">
        <f t="shared" si="113"/>
        <v>Wc fem. + Wc. Masc. + WC PNE</v>
      </c>
      <c r="F870" s="122"/>
      <c r="G870" s="122"/>
      <c r="H870" s="122">
        <f t="shared" ref="H870:H871" si="114">B870*C870*D870</f>
        <v>1.9200000000000004</v>
      </c>
    </row>
    <row r="871" spans="1:8" ht="15" customHeight="1">
      <c r="A871" s="121" t="str">
        <f>A867</f>
        <v>B2</v>
      </c>
      <c r="B871" s="122">
        <f>B867</f>
        <v>2</v>
      </c>
      <c r="C871" s="122">
        <f>C867</f>
        <v>1.2</v>
      </c>
      <c r="D871" s="122">
        <f>D867</f>
        <v>0.4</v>
      </c>
      <c r="E871" s="241" t="str">
        <f>E867</f>
        <v>Copa/ almoxarifado</v>
      </c>
      <c r="F871" s="122"/>
      <c r="G871" s="122"/>
      <c r="H871" s="122">
        <f t="shared" si="114"/>
        <v>0.96</v>
      </c>
    </row>
    <row r="872" spans="1:8" s="117" customFormat="1" ht="75" customHeight="1">
      <c r="A872" s="115" t="s">
        <v>26627</v>
      </c>
      <c r="B872" s="375" t="str">
        <f>VLOOKUP($A872,SERVICOS,4,FALSE)</f>
        <v>Elemento Decorativo (Gradil) Confeccionado Em Barras De Ferro Chato, Estrutura Principal Em Barra Chata 25,4 Mm X 6,35 Mm E Estrutura Secundária Em Barra Chata 12,7 Mm X 6,35 Mm. Lixamento E Pintura Com Esmalte Sintético E Instalação. Dimensão: 115 X 40 Cm - Conforme Projeto.</v>
      </c>
      <c r="C872" s="376"/>
      <c r="D872" s="376"/>
      <c r="E872" s="376"/>
      <c r="F872" s="377"/>
      <c r="G872" s="115" t="str">
        <f>VLOOKUP($A872,SERVICOS,5,FALSE)</f>
        <v>und.</v>
      </c>
      <c r="H872" s="116">
        <f>ROUND(SUM(H874:H874),2)</f>
        <v>1</v>
      </c>
    </row>
    <row r="873" spans="1:8" ht="15" customHeight="1">
      <c r="A873" s="118" t="s">
        <v>1029</v>
      </c>
      <c r="B873" s="118" t="s">
        <v>19767</v>
      </c>
      <c r="C873" s="119"/>
      <c r="D873" s="119"/>
      <c r="E873" s="118"/>
      <c r="F873" s="118"/>
      <c r="G873" s="118"/>
      <c r="H873" s="120"/>
    </row>
    <row r="874" spans="1:8" ht="15" customHeight="1">
      <c r="A874" s="121" t="s">
        <v>28614</v>
      </c>
      <c r="B874" s="122">
        <v>1</v>
      </c>
      <c r="C874" s="241" t="s">
        <v>28615</v>
      </c>
      <c r="D874" s="122"/>
      <c r="E874" s="122"/>
      <c r="F874" s="122"/>
      <c r="G874" s="122"/>
      <c r="H874" s="122">
        <f>B874</f>
        <v>1</v>
      </c>
    </row>
    <row r="875" spans="1:8" s="117" customFormat="1" ht="45" customHeight="1">
      <c r="A875" s="115" t="s">
        <v>28649</v>
      </c>
      <c r="B875" s="375" t="str">
        <f>VLOOKUP($A875,SERVICOS,4,FALSE)</f>
        <v>Restauração Em Porta De Aço De Enrolar Em Chapa Contínua. Lixamento E Pintura Com Esmalte Sintético A Duas Demãos. Dimensão: 140 X 165 Cm - Conforme Projeto</v>
      </c>
      <c r="C875" s="376"/>
      <c r="D875" s="376"/>
      <c r="E875" s="376"/>
      <c r="F875" s="377"/>
      <c r="G875" s="115" t="str">
        <f>VLOOKUP($A875,SERVICOS,5,FALSE)</f>
        <v>und.</v>
      </c>
      <c r="H875" s="116">
        <f>ROUND(SUM(H877:H877),2)</f>
        <v>4</v>
      </c>
    </row>
    <row r="876" spans="1:8" ht="15" customHeight="1">
      <c r="A876" s="118" t="s">
        <v>1029</v>
      </c>
      <c r="B876" s="118" t="s">
        <v>19767</v>
      </c>
      <c r="C876" s="119"/>
      <c r="D876" s="119"/>
      <c r="E876" s="118"/>
      <c r="F876" s="118"/>
      <c r="G876" s="118"/>
      <c r="H876" s="120"/>
    </row>
    <row r="877" spans="1:8" ht="15" customHeight="1">
      <c r="A877" s="121" t="s">
        <v>28614</v>
      </c>
      <c r="B877" s="122">
        <v>4</v>
      </c>
      <c r="C877" s="241"/>
      <c r="D877" s="122"/>
      <c r="E877" s="122"/>
      <c r="F877" s="122"/>
      <c r="G877" s="122"/>
      <c r="H877" s="122">
        <f>B877</f>
        <v>4</v>
      </c>
    </row>
    <row r="878" spans="1:8" s="117" customFormat="1" ht="45" customHeight="1">
      <c r="A878" s="115" t="s">
        <v>28650</v>
      </c>
      <c r="B878" s="375" t="str">
        <f>VLOOKUP($A878,SERVICOS,4,FALSE)</f>
        <v>Janela De Abrir, Em Vidro Temperado Incolor, E = 10 Mm, Trecho Superior Fixo Encaixado Em Perfil De Alumínio Tipo U, Inclusive Acessórios. Dimensão 140 X 205 Cm - Conforme Projeto</v>
      </c>
      <c r="C878" s="376"/>
      <c r="D878" s="376"/>
      <c r="E878" s="376"/>
      <c r="F878" s="377"/>
      <c r="G878" s="115" t="str">
        <f>VLOOKUP($A878,SERVICOS,5,FALSE)</f>
        <v>und.</v>
      </c>
      <c r="H878" s="116">
        <f>ROUND(SUM(H880:H880),2)</f>
        <v>4</v>
      </c>
    </row>
    <row r="879" spans="1:8" ht="15" customHeight="1">
      <c r="A879" s="118" t="s">
        <v>1029</v>
      </c>
      <c r="B879" s="118" t="s">
        <v>19767</v>
      </c>
      <c r="C879" s="119"/>
      <c r="D879" s="119"/>
      <c r="E879" s="118"/>
      <c r="F879" s="118"/>
      <c r="G879" s="118"/>
      <c r="H879" s="120"/>
    </row>
    <row r="880" spans="1:8" ht="15" customHeight="1">
      <c r="A880" s="121" t="s">
        <v>28614</v>
      </c>
      <c r="B880" s="122">
        <v>4</v>
      </c>
      <c r="C880" s="241"/>
      <c r="D880" s="122"/>
      <c r="E880" s="122"/>
      <c r="F880" s="122"/>
      <c r="G880" s="122"/>
      <c r="H880" s="122">
        <f>B880</f>
        <v>4</v>
      </c>
    </row>
    <row r="881" spans="1:8" s="117" customFormat="1" ht="75" customHeight="1">
      <c r="A881" s="115" t="s">
        <v>28651</v>
      </c>
      <c r="B881" s="375" t="str">
        <f>VLOOKUP($A881,SERVICOS,4,FALSE)</f>
        <v>Janela De Abrir Pantográfica De Madeira, Em Macaraduba, Angelim Ou Equivalente Da Região, 03 Folhas, Tipo Veneziana + Vidro + Veneziana, Com Postigo Em Todas As Folhas, Inclusive Guarnição Com Marco De 7 X 3 Cm. Maxim-Ar Superior Em Madeira Com Vidro Liso Incolor, E = 4 Mm. Lixamento E Pintura Com Esmalte Sintético À Duas Demãos. Dimensões: 125 X 205 Cm - Conforme Projeto</v>
      </c>
      <c r="C881" s="376"/>
      <c r="D881" s="376"/>
      <c r="E881" s="376"/>
      <c r="F881" s="377"/>
      <c r="G881" s="115" t="str">
        <f>VLOOKUP($A881,SERVICOS,5,FALSE)</f>
        <v>und.</v>
      </c>
      <c r="H881" s="116">
        <f>ROUND(SUM(H883:H883),2)</f>
        <v>10</v>
      </c>
    </row>
    <row r="882" spans="1:8" ht="15" customHeight="1">
      <c r="A882" s="118" t="s">
        <v>1029</v>
      </c>
      <c r="B882" s="118" t="s">
        <v>19767</v>
      </c>
      <c r="C882" s="119"/>
      <c r="D882" s="119"/>
      <c r="E882" s="118"/>
      <c r="F882" s="118"/>
      <c r="G882" s="118"/>
      <c r="H882" s="120"/>
    </row>
    <row r="883" spans="1:8" ht="15" customHeight="1">
      <c r="A883" s="121" t="s">
        <v>28558</v>
      </c>
      <c r="B883" s="122">
        <v>10</v>
      </c>
      <c r="C883" s="241" t="s">
        <v>28616</v>
      </c>
      <c r="D883" s="122"/>
      <c r="E883" s="122"/>
      <c r="F883" s="122"/>
      <c r="G883" s="122"/>
      <c r="H883" s="122">
        <f>B883</f>
        <v>10</v>
      </c>
    </row>
    <row r="884" spans="1:8" s="117" customFormat="1" ht="30" customHeight="1">
      <c r="A884" s="115" t="s">
        <v>28652</v>
      </c>
      <c r="B884" s="375" t="str">
        <f>VLOOKUP($A884,SERVICOS,4,FALSE)</f>
        <v>Porta Em Alumínio De Abrir Tipo Veneziana Com Guarnição, Fixação Com Parafusos - Fornecimento E Instalação. Af_12/2019</v>
      </c>
      <c r="C884" s="376"/>
      <c r="D884" s="376"/>
      <c r="E884" s="376"/>
      <c r="F884" s="377"/>
      <c r="G884" s="115" t="str">
        <f>VLOOKUP($A884,SERVICOS,5,FALSE)</f>
        <v>m²</v>
      </c>
      <c r="H884" s="116">
        <f>ROUND(SUM(H886:H889),2)</f>
        <v>14.82</v>
      </c>
    </row>
    <row r="885" spans="1:8" ht="15" customHeight="1">
      <c r="A885" s="118" t="s">
        <v>1029</v>
      </c>
      <c r="B885" s="118" t="s">
        <v>19767</v>
      </c>
      <c r="C885" s="119" t="s">
        <v>19768</v>
      </c>
      <c r="D885" s="119" t="s">
        <v>26634</v>
      </c>
      <c r="E885" s="118" t="s">
        <v>26650</v>
      </c>
      <c r="F885" s="118"/>
      <c r="G885" s="118"/>
      <c r="H885" s="120"/>
    </row>
    <row r="886" spans="1:8" ht="15" customHeight="1">
      <c r="A886" s="121" t="s">
        <v>26723</v>
      </c>
      <c r="B886" s="122">
        <v>4</v>
      </c>
      <c r="C886" s="122">
        <v>0.7</v>
      </c>
      <c r="D886" s="122">
        <v>2.1</v>
      </c>
      <c r="E886" s="241" t="s">
        <v>28590</v>
      </c>
      <c r="F886" s="122"/>
      <c r="G886" s="122"/>
      <c r="H886" s="122">
        <f>B886*C886*D886</f>
        <v>5.88</v>
      </c>
    </row>
    <row r="887" spans="1:8" ht="15" customHeight="1">
      <c r="A887" s="121" t="s">
        <v>28588</v>
      </c>
      <c r="B887" s="122">
        <v>2</v>
      </c>
      <c r="C887" s="122">
        <v>0.8</v>
      </c>
      <c r="D887" s="122">
        <v>2.1</v>
      </c>
      <c r="E887" s="241" t="s">
        <v>28593</v>
      </c>
      <c r="F887" s="122"/>
      <c r="G887" s="122"/>
      <c r="H887" s="122">
        <f>B887*C887*D887</f>
        <v>3.3600000000000003</v>
      </c>
    </row>
    <row r="888" spans="1:8" ht="15" customHeight="1">
      <c r="A888" s="121" t="s">
        <v>26724</v>
      </c>
      <c r="B888" s="122">
        <v>2</v>
      </c>
      <c r="C888" s="122">
        <v>0.9</v>
      </c>
      <c r="D888" s="122">
        <v>2.1</v>
      </c>
      <c r="E888" s="241" t="s">
        <v>26693</v>
      </c>
      <c r="F888" s="122"/>
      <c r="G888" s="122"/>
      <c r="H888" s="122">
        <f>B888*C888*D888</f>
        <v>3.7800000000000002</v>
      </c>
    </row>
    <row r="889" spans="1:8" ht="15" customHeight="1">
      <c r="A889" s="121" t="s">
        <v>29129</v>
      </c>
      <c r="B889" s="122">
        <v>2</v>
      </c>
      <c r="C889" s="122">
        <v>0.5</v>
      </c>
      <c r="D889" s="122">
        <v>1.8</v>
      </c>
      <c r="E889" s="241" t="s">
        <v>29097</v>
      </c>
      <c r="F889" s="122"/>
      <c r="G889" s="122"/>
      <c r="H889" s="122">
        <f>B889*C889*D889</f>
        <v>1.8</v>
      </c>
    </row>
    <row r="890" spans="1:8" s="117" customFormat="1" ht="60" customHeight="1">
      <c r="A890" s="115" t="s">
        <v>28653</v>
      </c>
      <c r="B890" s="375" t="str">
        <f>VLOOKUP($A890,SERVICOS,4,FALSE)</f>
        <v>Porta De Abrir Com Almofadas, 01 Folha, De Madeira Maciça Em Macaranduba, Angelim Ou Equivalente Da Região. Incluso Dobradiças, Marco, Alizar E Fechadura. Lixamento E Pintura Com Esmalte Sintético À Duas Demãos. Dimensão: 80 X 210 Cm - Conforme Projeto</v>
      </c>
      <c r="C890" s="376"/>
      <c r="D890" s="376"/>
      <c r="E890" s="376"/>
      <c r="F890" s="377"/>
      <c r="G890" s="115" t="str">
        <f>VLOOKUP($A890,SERVICOS,5,FALSE)</f>
        <v>und.</v>
      </c>
      <c r="H890" s="116">
        <f>ROUND(SUM(H892:H892),2)</f>
        <v>10</v>
      </c>
    </row>
    <row r="891" spans="1:8" ht="15" customHeight="1">
      <c r="A891" s="118" t="s">
        <v>1029</v>
      </c>
      <c r="B891" s="118" t="s">
        <v>19767</v>
      </c>
      <c r="C891" s="119"/>
      <c r="D891" s="119"/>
      <c r="E891" s="118"/>
      <c r="F891" s="118"/>
      <c r="G891" s="118"/>
      <c r="H891" s="120"/>
    </row>
    <row r="892" spans="1:8" ht="15" customHeight="1">
      <c r="A892" s="121" t="s">
        <v>28610</v>
      </c>
      <c r="B892" s="122">
        <v>10</v>
      </c>
      <c r="C892" s="241" t="s">
        <v>28611</v>
      </c>
      <c r="D892" s="122"/>
      <c r="E892" s="122"/>
      <c r="F892" s="122"/>
      <c r="G892" s="122"/>
      <c r="H892" s="122">
        <f>B892</f>
        <v>10</v>
      </c>
    </row>
    <row r="893" spans="1:8" s="117" customFormat="1" ht="90" customHeight="1">
      <c r="A893" s="115" t="s">
        <v>28654</v>
      </c>
      <c r="B893" s="375" t="str">
        <f>VLOOKUP($A893,SERVICOS,4,FALSE)</f>
        <v>Porta De Abrir Com Almofadas, 02 Folhas, De Madeira Maciça Em Macaranduba, Angelim Ou Equivalente Da Região, Com Almofadas. Maxim-Ar Superior Em Madeira Com Vidro Liso Incolor, E = 4 Mm. Incluso Dobradiças, Marco, Alizar, Fechadura E Ferrolhos. Lixamento E Pintura Com Esmalte Sintético À Duas Demãos. Dimensão: 100 X 305 Cm - Conforme Projeto</v>
      </c>
      <c r="C893" s="376"/>
      <c r="D893" s="376"/>
      <c r="E893" s="376"/>
      <c r="F893" s="377"/>
      <c r="G893" s="115" t="str">
        <f>VLOOKUP($A893,SERVICOS,5,FALSE)</f>
        <v>und.</v>
      </c>
      <c r="H893" s="116">
        <f>ROUND(SUM(H895:H895),2)</f>
        <v>1</v>
      </c>
    </row>
    <row r="894" spans="1:8" ht="15" customHeight="1">
      <c r="A894" s="118" t="s">
        <v>1029</v>
      </c>
      <c r="B894" s="118" t="s">
        <v>19767</v>
      </c>
      <c r="C894" s="119"/>
      <c r="D894" s="119"/>
      <c r="E894" s="118"/>
      <c r="F894" s="118"/>
      <c r="G894" s="118"/>
      <c r="H894" s="120"/>
    </row>
    <row r="895" spans="1:8" ht="15" customHeight="1">
      <c r="A895" s="121" t="s">
        <v>28622</v>
      </c>
      <c r="B895" s="122">
        <v>1</v>
      </c>
      <c r="C895" s="122"/>
      <c r="D895" s="122"/>
      <c r="E895" s="241"/>
      <c r="F895" s="122"/>
      <c r="G895" s="122"/>
      <c r="H895" s="122">
        <f>B895</f>
        <v>1</v>
      </c>
    </row>
    <row r="896" spans="1:8" s="117" customFormat="1" ht="90" customHeight="1">
      <c r="A896" s="115" t="s">
        <v>28655</v>
      </c>
      <c r="B896" s="375" t="str">
        <f>VLOOKUP($A896,SERVICOS,4,FALSE)</f>
        <v>Porta De Abrir Pantográfica, 04 Folhas, De Madeira Maciça Em Macaranduba, Angelim Ou Equivalente Da Região, Tipo Veneziana + Vidro + Almofadas Maciça Na Parte Inferior, Postigo Nos Trechos Com Veneziana E Vidro. Maxim-Ar Superior Em Madeira Com Vidro Liso Incolor, E = 4 Mm. Incluso Dobradiças, Marco, Alizar, Fechadura E Ferrolhos. Lixamento E Pintura Com Esmalte Sintético À Duas Demãos. Dimensão: 140 X 305 Cm - Conforme Projeto</v>
      </c>
      <c r="C896" s="376"/>
      <c r="D896" s="376"/>
      <c r="E896" s="376"/>
      <c r="F896" s="377"/>
      <c r="G896" s="115" t="str">
        <f>VLOOKUP($A896,SERVICOS,5,FALSE)</f>
        <v>und.</v>
      </c>
      <c r="H896" s="116">
        <f>ROUND(SUM(H898:H898),2)</f>
        <v>3</v>
      </c>
    </row>
    <row r="897" spans="1:9" ht="15" customHeight="1">
      <c r="A897" s="118" t="s">
        <v>1029</v>
      </c>
      <c r="B897" s="118" t="s">
        <v>19767</v>
      </c>
      <c r="C897" s="119"/>
      <c r="D897" s="119"/>
      <c r="E897" s="118"/>
      <c r="F897" s="118"/>
      <c r="G897" s="118"/>
      <c r="H897" s="120"/>
    </row>
    <row r="898" spans="1:9" ht="15" customHeight="1">
      <c r="A898" s="121" t="s">
        <v>28624</v>
      </c>
      <c r="B898" s="122">
        <v>3</v>
      </c>
      <c r="C898" s="241" t="s">
        <v>28627</v>
      </c>
      <c r="D898" s="122"/>
      <c r="E898" s="241"/>
      <c r="F898" s="122"/>
      <c r="G898" s="122"/>
      <c r="H898" s="122">
        <f>B898</f>
        <v>3</v>
      </c>
    </row>
    <row r="899" spans="1:9" s="117" customFormat="1" ht="90" customHeight="1">
      <c r="A899" s="115" t="s">
        <v>28656</v>
      </c>
      <c r="B899" s="375" t="str">
        <f>VLOOKUP($A899,SERVICOS,4,FALSE)</f>
        <v>Porta De Abrir Com Almofadas, 02 Folhas, De Madeira Maciça Em Macaranduba, Angelim Ou Equivalente Da Região. Maxim-Ar Superior Em Madeira Com Vidro Liso Incolor, E = 4 Mm. Incluso Dobradiças, Marco, Alizar, Fechadura E Ferrolhos. Lixamento E Pintura Com Esmalte Sintético À Duas Demãos. Dimensão: 170 X 300 Cm - Conforme Projeto</v>
      </c>
      <c r="C899" s="376"/>
      <c r="D899" s="376"/>
      <c r="E899" s="376"/>
      <c r="F899" s="377"/>
      <c r="G899" s="115" t="str">
        <f>VLOOKUP($A899,SERVICOS,5,FALSE)</f>
        <v>und.</v>
      </c>
      <c r="H899" s="116">
        <f>ROUND(SUM(H901:H901),2)</f>
        <v>1</v>
      </c>
    </row>
    <row r="900" spans="1:9" ht="15" customHeight="1">
      <c r="A900" s="118" t="s">
        <v>1029</v>
      </c>
      <c r="B900" s="118" t="s">
        <v>19767</v>
      </c>
      <c r="C900" s="119"/>
      <c r="D900" s="119"/>
      <c r="E900" s="118"/>
      <c r="F900" s="118"/>
      <c r="G900" s="118"/>
      <c r="H900" s="120"/>
    </row>
    <row r="901" spans="1:9" ht="15" customHeight="1">
      <c r="A901" s="121" t="s">
        <v>28625</v>
      </c>
      <c r="B901" s="122">
        <v>1</v>
      </c>
      <c r="C901" s="241" t="s">
        <v>28626</v>
      </c>
      <c r="D901" s="122"/>
      <c r="E901" s="241"/>
      <c r="F901" s="122"/>
      <c r="G901" s="122"/>
      <c r="H901" s="122">
        <f>B901</f>
        <v>1</v>
      </c>
    </row>
    <row r="902" spans="1:9" s="117" customFormat="1" ht="75" customHeight="1">
      <c r="A902" s="115" t="s">
        <v>28657</v>
      </c>
      <c r="B902" s="375" t="str">
        <f>VLOOKUP($A902,SERVICOS,4,FALSE)</f>
        <v>Elemento Decorativo (Gradil) Confeccionado Em Barras De Ferro Chato, Estrutura Principal Em Barra Chata 25,4 Mm X 6,35 Mm E Estrutura Secundária Em Barra Chata 12,7 Mm X 6,35 Mm. Dimensão: 140 X 60 Cm. Inclui Lixamento E Pintura Com Esmalte Sintético E Instalação. Conforme Projeto.</v>
      </c>
      <c r="C902" s="376"/>
      <c r="D902" s="376"/>
      <c r="E902" s="376"/>
      <c r="F902" s="377"/>
      <c r="G902" s="115" t="str">
        <f>VLOOKUP($A902,SERVICOS,5,FALSE)</f>
        <v>und.</v>
      </c>
      <c r="H902" s="116">
        <f>ROUND(SUM(H904:H904),2)</f>
        <v>1</v>
      </c>
    </row>
    <row r="903" spans="1:9" ht="15" customHeight="1">
      <c r="A903" s="118" t="s">
        <v>1029</v>
      </c>
      <c r="B903" s="118" t="s">
        <v>19767</v>
      </c>
      <c r="C903" s="119"/>
      <c r="D903" s="119"/>
      <c r="E903" s="118"/>
      <c r="F903" s="118"/>
      <c r="G903" s="118"/>
      <c r="H903" s="120"/>
    </row>
    <row r="904" spans="1:9" ht="15" customHeight="1">
      <c r="A904" s="121" t="s">
        <v>28609</v>
      </c>
      <c r="B904" s="122">
        <v>1</v>
      </c>
      <c r="C904" s="241" t="s">
        <v>28628</v>
      </c>
      <c r="D904" s="122"/>
      <c r="E904" s="241"/>
      <c r="F904" s="122"/>
      <c r="G904" s="122"/>
      <c r="H904" s="122">
        <f>B904</f>
        <v>1</v>
      </c>
      <c r="I904" s="279"/>
    </row>
    <row r="905" spans="1:9" s="117" customFormat="1" ht="45" customHeight="1">
      <c r="A905" s="115" t="s">
        <v>28658</v>
      </c>
      <c r="B905" s="375" t="str">
        <f>VLOOKUP($A905,SERVICOS,4,FALSE)</f>
        <v>Porta De Enrolar Manual Completa, Articulada Raiada Larga, Em Aco Galvanizado Natural, Chapa Número 24, Inclusive Instalação</v>
      </c>
      <c r="C905" s="376"/>
      <c r="D905" s="376"/>
      <c r="E905" s="376"/>
      <c r="F905" s="377"/>
      <c r="G905" s="115" t="str">
        <f>VLOOKUP($A905,SERVICOS,5,FALSE)</f>
        <v>m²</v>
      </c>
      <c r="H905" s="116">
        <f>ROUND(SUM(H907:H909),2)</f>
        <v>20.399999999999999</v>
      </c>
    </row>
    <row r="906" spans="1:9" ht="15" customHeight="1">
      <c r="A906" s="118" t="s">
        <v>1029</v>
      </c>
      <c r="B906" s="118" t="s">
        <v>19767</v>
      </c>
      <c r="C906" s="119" t="s">
        <v>19768</v>
      </c>
      <c r="D906" s="119" t="s">
        <v>26634</v>
      </c>
      <c r="E906" s="118"/>
      <c r="F906" s="118"/>
      <c r="G906" s="118"/>
      <c r="H906" s="120"/>
    </row>
    <row r="907" spans="1:9" ht="15" customHeight="1">
      <c r="A907" s="121" t="s">
        <v>28609</v>
      </c>
      <c r="B907" s="122">
        <v>1</v>
      </c>
      <c r="C907" s="122">
        <v>1.4</v>
      </c>
      <c r="D907" s="122">
        <v>3</v>
      </c>
      <c r="E907" s="241"/>
      <c r="F907" s="122"/>
      <c r="G907" s="122"/>
      <c r="H907" s="122">
        <f>B907*C907*D907</f>
        <v>4.1999999999999993</v>
      </c>
      <c r="I907" s="279"/>
    </row>
    <row r="908" spans="1:9" ht="15" customHeight="1">
      <c r="A908" s="121" t="s">
        <v>28612</v>
      </c>
      <c r="B908" s="122">
        <v>2</v>
      </c>
      <c r="C908" s="122">
        <v>1.7</v>
      </c>
      <c r="D908" s="122">
        <v>3</v>
      </c>
      <c r="E908" s="241"/>
      <c r="F908" s="122"/>
      <c r="G908" s="122"/>
      <c r="H908" s="122">
        <f>B908*C908*D908</f>
        <v>10.199999999999999</v>
      </c>
      <c r="I908" s="279"/>
    </row>
    <row r="909" spans="1:9" ht="15" customHeight="1">
      <c r="A909" s="121" t="s">
        <v>28613</v>
      </c>
      <c r="B909" s="122">
        <v>1</v>
      </c>
      <c r="C909" s="122">
        <v>2</v>
      </c>
      <c r="D909" s="122">
        <v>3</v>
      </c>
      <c r="E909" s="241"/>
      <c r="F909" s="122"/>
      <c r="G909" s="122"/>
      <c r="H909" s="122">
        <f>B909*C909*D909</f>
        <v>6</v>
      </c>
      <c r="I909" s="279"/>
    </row>
    <row r="910" spans="1:9" s="117" customFormat="1" ht="60" customHeight="1">
      <c r="A910" s="115" t="s">
        <v>28659</v>
      </c>
      <c r="B910" s="375" t="str">
        <f>VLOOKUP($A910,SERVICOS,4,FALSE)</f>
        <v>Porta De Abrir, 02 Folhas, Com Mola Hidráulica, Em Vidro Temperado Incolor, E = 10 Mm, Bandeira Superior Fixa Em Vidro Temperado Encaixado Em Perfil De Alumínio U, Inclusive Acessórios. Dimensão 190 X 300 Cm</v>
      </c>
      <c r="C910" s="376"/>
      <c r="D910" s="376"/>
      <c r="E910" s="376"/>
      <c r="F910" s="377"/>
      <c r="G910" s="115" t="str">
        <f>VLOOKUP($A910,SERVICOS,5,FALSE)</f>
        <v>und.</v>
      </c>
      <c r="H910" s="116">
        <f>ROUND(SUM(H912:H912),2)</f>
        <v>1</v>
      </c>
    </row>
    <row r="911" spans="1:9" ht="15" customHeight="1">
      <c r="A911" s="118" t="s">
        <v>1029</v>
      </c>
      <c r="B911" s="118" t="s">
        <v>19767</v>
      </c>
      <c r="C911" s="119"/>
      <c r="D911" s="119"/>
      <c r="E911" s="118"/>
      <c r="F911" s="118"/>
      <c r="G911" s="118"/>
      <c r="H911" s="120"/>
    </row>
    <row r="912" spans="1:9" ht="15" customHeight="1">
      <c r="A912" s="121" t="s">
        <v>28609</v>
      </c>
      <c r="B912" s="122">
        <v>1</v>
      </c>
      <c r="C912" s="241" t="s">
        <v>28628</v>
      </c>
      <c r="D912" s="122"/>
      <c r="E912" s="241"/>
      <c r="F912" s="122"/>
      <c r="G912" s="122"/>
      <c r="H912" s="122">
        <f>B912</f>
        <v>1</v>
      </c>
      <c r="I912" s="279"/>
    </row>
    <row r="913" spans="1:9" s="117" customFormat="1" ht="60" customHeight="1">
      <c r="A913" s="115" t="s">
        <v>28660</v>
      </c>
      <c r="B913" s="375" t="str">
        <f>VLOOKUP($A913,SERVICOS,4,FALSE)</f>
        <v>Porta De Abrir, 02 Folhas, Com Mola Hidráulica, Em Vidro Temperado Incolor, E = 10 Mm, Bandeira Fixa Superior Em Vidro Temperado Encaixado Em Perfil De Alumínio U, Inclusive Acessórios. Dimensão 220 X 300 Cm</v>
      </c>
      <c r="C913" s="376"/>
      <c r="D913" s="376"/>
      <c r="E913" s="376"/>
      <c r="F913" s="377"/>
      <c r="G913" s="115" t="str">
        <f>VLOOKUP($A913,SERVICOS,5,FALSE)</f>
        <v>und.</v>
      </c>
      <c r="H913" s="116">
        <f>ROUND(SUM(H915:H915),2)</f>
        <v>2</v>
      </c>
    </row>
    <row r="914" spans="1:9" ht="15" customHeight="1">
      <c r="A914" s="118" t="s">
        <v>1029</v>
      </c>
      <c r="B914" s="118" t="s">
        <v>19767</v>
      </c>
      <c r="C914" s="119"/>
      <c r="D914" s="119"/>
      <c r="E914" s="118"/>
      <c r="F914" s="118"/>
      <c r="G914" s="118"/>
      <c r="H914" s="120"/>
    </row>
    <row r="915" spans="1:9" ht="15" customHeight="1">
      <c r="A915" s="121" t="s">
        <v>28612</v>
      </c>
      <c r="B915" s="122">
        <v>2</v>
      </c>
      <c r="C915" s="241" t="s">
        <v>28631</v>
      </c>
      <c r="D915" s="122"/>
      <c r="E915" s="241"/>
      <c r="F915" s="122"/>
      <c r="G915" s="122"/>
      <c r="H915" s="122">
        <f>B915</f>
        <v>2</v>
      </c>
      <c r="I915" s="279"/>
    </row>
    <row r="916" spans="1:9" s="117" customFormat="1" ht="60" customHeight="1">
      <c r="A916" s="115" t="s">
        <v>28661</v>
      </c>
      <c r="B916" s="375" t="str">
        <f>VLOOKUP($A916,SERVICOS,4,FALSE)</f>
        <v>Porta De Abrir, 02 Folhas, Com Mola Hidráulica, Em Vidro Temperado Incolor, E = 10 Mm, Bandeira Fixa Superior Em Vidro Temperado Encaixado Em Perfil De Alumínio U, Inclusive Acessórios. Dimensão 250 X 300 Cm</v>
      </c>
      <c r="C916" s="376"/>
      <c r="D916" s="376"/>
      <c r="E916" s="376"/>
      <c r="F916" s="377"/>
      <c r="G916" s="115" t="str">
        <f>VLOOKUP($A916,SERVICOS,5,FALSE)</f>
        <v>und.</v>
      </c>
      <c r="H916" s="116">
        <f>ROUND(SUM(H918:H918),2)</f>
        <v>1</v>
      </c>
    </row>
    <row r="917" spans="1:9" ht="15" customHeight="1">
      <c r="A917" s="118" t="s">
        <v>1029</v>
      </c>
      <c r="B917" s="118" t="s">
        <v>19767</v>
      </c>
      <c r="C917" s="119"/>
      <c r="D917" s="119"/>
      <c r="E917" s="118"/>
      <c r="F917" s="118"/>
      <c r="G917" s="118"/>
      <c r="H917" s="120"/>
    </row>
    <row r="918" spans="1:9" ht="15" customHeight="1">
      <c r="A918" s="121" t="s">
        <v>28613</v>
      </c>
      <c r="B918" s="122">
        <v>1</v>
      </c>
      <c r="C918" s="241" t="s">
        <v>28632</v>
      </c>
      <c r="D918" s="122"/>
      <c r="E918" s="241"/>
      <c r="F918" s="122"/>
      <c r="G918" s="122"/>
      <c r="H918" s="122">
        <f>B918</f>
        <v>1</v>
      </c>
      <c r="I918" s="279"/>
    </row>
    <row r="919" spans="1:9" s="117" customFormat="1" ht="60" customHeight="1">
      <c r="A919" s="115" t="s">
        <v>28699</v>
      </c>
      <c r="B919" s="375" t="str">
        <f>VLOOKUP($A919,SERVICOS,4,FALSE)</f>
        <v>Guarda-Corpo De Aço Galvanizado De 1,10M De Altura, Montantes Tubulares De 1.1/2 Espaçados De 1,20M, Travessa Superior De 2, Gradil Formado Por Barras Chatas Em Ferro De 32X4,8Mm, Fixado Com Chumbador Mecânico. Af_04/2019_P</v>
      </c>
      <c r="C919" s="376"/>
      <c r="D919" s="376"/>
      <c r="E919" s="376"/>
      <c r="F919" s="377"/>
      <c r="G919" s="115" t="str">
        <f>VLOOKUP($A919,SERVICOS,5,FALSE)</f>
        <v>m</v>
      </c>
      <c r="H919" s="116">
        <f>ROUND(SUM(H921:H922),2)</f>
        <v>17.22</v>
      </c>
    </row>
    <row r="920" spans="1:9" ht="15" customHeight="1">
      <c r="A920" s="118" t="s">
        <v>1029</v>
      </c>
      <c r="B920" s="118" t="s">
        <v>19767</v>
      </c>
      <c r="C920" s="119" t="s">
        <v>19769</v>
      </c>
      <c r="D920" s="119"/>
      <c r="E920" s="118"/>
      <c r="F920" s="118"/>
      <c r="G920" s="118"/>
      <c r="H920" s="120"/>
    </row>
    <row r="921" spans="1:9" ht="15" customHeight="1">
      <c r="A921" s="121" t="s">
        <v>26647</v>
      </c>
      <c r="B921" s="122">
        <v>1</v>
      </c>
      <c r="C921" s="122">
        <f>1.69+0.2+3.93+0.2+1.6</f>
        <v>7.620000000000001</v>
      </c>
      <c r="D921" s="122"/>
      <c r="E921" s="241"/>
      <c r="F921" s="122"/>
      <c r="G921" s="122"/>
      <c r="H921" s="122">
        <f>B921*C921</f>
        <v>7.620000000000001</v>
      </c>
      <c r="I921" s="279"/>
    </row>
    <row r="922" spans="1:9" ht="15" customHeight="1">
      <c r="A922" s="121" t="s">
        <v>26763</v>
      </c>
      <c r="B922" s="122">
        <v>1</v>
      </c>
      <c r="C922" s="122">
        <f>3.1*2+2+1.4</f>
        <v>9.6</v>
      </c>
      <c r="D922" s="122"/>
      <c r="E922" s="241"/>
      <c r="F922" s="122"/>
      <c r="G922" s="122"/>
      <c r="H922" s="122">
        <f>B922*C922</f>
        <v>9.6</v>
      </c>
      <c r="I922" s="279"/>
    </row>
    <row r="923" spans="1:9" s="117" customFormat="1" ht="30" customHeight="1">
      <c r="A923" s="115" t="s">
        <v>28727</v>
      </c>
      <c r="B923" s="375" t="str">
        <f>VLOOKUP($A923,SERVICOS,4,FALSE)</f>
        <v>Corrimão Simples, Diâmetro Externo = 1 1/2", Em Aço Galvanizado. Af_04/2019_P</v>
      </c>
      <c r="C923" s="376"/>
      <c r="D923" s="376"/>
      <c r="E923" s="376"/>
      <c r="F923" s="377"/>
      <c r="G923" s="115" t="str">
        <f>VLOOKUP($A923,SERVICOS,5,FALSE)</f>
        <v>m</v>
      </c>
      <c r="H923" s="116">
        <f>ROUND(SUM(H925:H925),2)</f>
        <v>16.8</v>
      </c>
    </row>
    <row r="924" spans="1:9" ht="15" customHeight="1">
      <c r="A924" s="118" t="s">
        <v>1029</v>
      </c>
      <c r="B924" s="118" t="s">
        <v>19767</v>
      </c>
      <c r="C924" s="119" t="s">
        <v>19769</v>
      </c>
      <c r="D924" s="119"/>
      <c r="E924" s="118"/>
      <c r="F924" s="118"/>
      <c r="G924" s="118"/>
      <c r="H924" s="120"/>
    </row>
    <row r="925" spans="1:9" ht="15" customHeight="1">
      <c r="A925" s="121" t="s">
        <v>26763</v>
      </c>
      <c r="B925" s="122">
        <v>1</v>
      </c>
      <c r="C925" s="122">
        <f>3.2*4+4</f>
        <v>16.8</v>
      </c>
      <c r="D925" s="122"/>
      <c r="E925" s="241"/>
      <c r="F925" s="122"/>
      <c r="G925" s="122"/>
      <c r="H925" s="122">
        <f>B925*C925</f>
        <v>16.8</v>
      </c>
      <c r="I925" s="279"/>
    </row>
    <row r="926" spans="1:9" ht="15" customHeight="1">
      <c r="A926" s="113" t="s">
        <v>26604</v>
      </c>
      <c r="B926" s="378" t="str">
        <f>VLOOKUP($A926,SERVICOS,4,FALSE)</f>
        <v>PINTURA</v>
      </c>
      <c r="C926" s="378"/>
      <c r="D926" s="378"/>
      <c r="E926" s="378"/>
      <c r="F926" s="378"/>
      <c r="G926" s="378">
        <f>VLOOKUP($A926,SERVICOS,5,FALSE)</f>
        <v>0</v>
      </c>
      <c r="H926" s="378" t="e">
        <f>ROUND(SUM(#REF!),2)</f>
        <v>#REF!</v>
      </c>
    </row>
    <row r="927" spans="1:9" s="117" customFormat="1" ht="30" customHeight="1">
      <c r="A927" s="115" t="s">
        <v>26605</v>
      </c>
      <c r="B927" s="375" t="str">
        <f>VLOOKUP($A927,SERVICOS,4,FALSE)</f>
        <v>Aplicação E Lixamento De Massa Látex Em Teto, Uma Demão. Af_06/2014</v>
      </c>
      <c r="C927" s="376"/>
      <c r="D927" s="376"/>
      <c r="E927" s="376"/>
      <c r="F927" s="377"/>
      <c r="G927" s="115" t="str">
        <f>VLOOKUP($A927,SERVICOS,5,FALSE)</f>
        <v>m²</v>
      </c>
      <c r="H927" s="116">
        <f>ROUND(SUM(H929:H933),2)</f>
        <v>77</v>
      </c>
    </row>
    <row r="928" spans="1:9" ht="15" customHeight="1">
      <c r="A928" s="118" t="s">
        <v>1029</v>
      </c>
      <c r="B928" s="118" t="s">
        <v>19767</v>
      </c>
      <c r="C928" s="119" t="s">
        <v>26630</v>
      </c>
      <c r="D928" s="119"/>
      <c r="E928" s="118"/>
      <c r="F928" s="118"/>
      <c r="G928" s="118"/>
      <c r="H928" s="120"/>
    </row>
    <row r="929" spans="1:8" ht="15" customHeight="1">
      <c r="A929" s="121" t="s">
        <v>26647</v>
      </c>
      <c r="B929" s="122">
        <v>2</v>
      </c>
      <c r="C929" s="122">
        <v>26.77</v>
      </c>
      <c r="D929" s="122"/>
      <c r="E929" s="122"/>
      <c r="F929" s="122"/>
      <c r="G929" s="122"/>
      <c r="H929" s="122">
        <f>B929*C929</f>
        <v>53.54</v>
      </c>
    </row>
    <row r="930" spans="1:8" ht="15" customHeight="1">
      <c r="A930" s="121" t="s">
        <v>26691</v>
      </c>
      <c r="B930" s="122">
        <v>2</v>
      </c>
      <c r="C930" s="122">
        <v>2.4700000000000002</v>
      </c>
      <c r="D930" s="122"/>
      <c r="E930" s="122"/>
      <c r="F930" s="122"/>
      <c r="G930" s="122"/>
      <c r="H930" s="122">
        <f t="shared" ref="H930:H933" si="115">B930*C930</f>
        <v>4.9400000000000004</v>
      </c>
    </row>
    <row r="931" spans="1:8" ht="15" customHeight="1">
      <c r="A931" s="121" t="s">
        <v>26692</v>
      </c>
      <c r="B931" s="122">
        <v>2</v>
      </c>
      <c r="C931" s="122">
        <v>2.4700000000000002</v>
      </c>
      <c r="D931" s="122"/>
      <c r="E931" s="122"/>
      <c r="F931" s="122"/>
      <c r="G931" s="122"/>
      <c r="H931" s="122">
        <f t="shared" si="115"/>
        <v>4.9400000000000004</v>
      </c>
    </row>
    <row r="932" spans="1:8" ht="15" customHeight="1">
      <c r="A932" s="121" t="s">
        <v>26644</v>
      </c>
      <c r="B932" s="122">
        <v>2</v>
      </c>
      <c r="C932" s="122">
        <v>3.94</v>
      </c>
      <c r="D932" s="122"/>
      <c r="E932" s="122"/>
      <c r="F932" s="122"/>
      <c r="G932" s="122"/>
      <c r="H932" s="122">
        <f t="shared" si="115"/>
        <v>7.88</v>
      </c>
    </row>
    <row r="933" spans="1:8" ht="15" customHeight="1">
      <c r="A933" s="121" t="s">
        <v>26693</v>
      </c>
      <c r="B933" s="122">
        <v>2</v>
      </c>
      <c r="C933" s="122">
        <v>2.85</v>
      </c>
      <c r="D933" s="122"/>
      <c r="E933" s="122"/>
      <c r="F933" s="122"/>
      <c r="G933" s="122"/>
      <c r="H933" s="122">
        <f t="shared" si="115"/>
        <v>5.7</v>
      </c>
    </row>
    <row r="934" spans="1:8" s="117" customFormat="1" ht="45" customHeight="1">
      <c r="A934" s="115" t="s">
        <v>26606</v>
      </c>
      <c r="B934" s="375" t="str">
        <f>VLOOKUP($A934,SERVICOS,4,FALSE)</f>
        <v>Pintura Com Tinta Acrílica, Marcas De Referência Suvinil, Coral Ou Metalatex, Inclusive Selador Acrílico, Em Paredes E Forros, A Três Demãos</v>
      </c>
      <c r="C934" s="376"/>
      <c r="D934" s="376"/>
      <c r="E934" s="376"/>
      <c r="F934" s="377"/>
      <c r="G934" s="115" t="str">
        <f>VLOOKUP($A934,SERVICOS,5,FALSE)</f>
        <v>m²</v>
      </c>
      <c r="H934" s="116">
        <f>ROUND(SUM(H937:H948),2)</f>
        <v>1622.77</v>
      </c>
    </row>
    <row r="935" spans="1:8" ht="15" customHeight="1">
      <c r="A935" s="118" t="s">
        <v>1029</v>
      </c>
      <c r="B935" s="119" t="s">
        <v>26630</v>
      </c>
      <c r="C935" s="119"/>
      <c r="D935" s="119"/>
      <c r="E935" s="118"/>
      <c r="F935" s="118"/>
      <c r="G935" s="118"/>
      <c r="H935" s="120"/>
    </row>
    <row r="936" spans="1:8" ht="15" customHeight="1">
      <c r="A936" s="251" t="s">
        <v>28714</v>
      </c>
      <c r="B936" s="122"/>
      <c r="C936" s="241"/>
      <c r="D936" s="122"/>
      <c r="E936" s="122"/>
      <c r="F936" s="122"/>
      <c r="G936" s="122"/>
      <c r="H936" s="122"/>
    </row>
    <row r="937" spans="1:8" ht="15" customHeight="1">
      <c r="A937" s="121" t="s">
        <v>28534</v>
      </c>
      <c r="B937" s="122">
        <f>H927</f>
        <v>77</v>
      </c>
      <c r="C937" s="241" t="s">
        <v>28715</v>
      </c>
      <c r="D937" s="122"/>
      <c r="E937" s="122"/>
      <c r="F937" s="122"/>
      <c r="G937" s="122"/>
      <c r="H937" s="122">
        <f t="shared" ref="H937:H938" si="116">B937</f>
        <v>77</v>
      </c>
    </row>
    <row r="938" spans="1:8" ht="15" customHeight="1">
      <c r="A938" s="121" t="s">
        <v>28533</v>
      </c>
      <c r="B938" s="122">
        <f>H343</f>
        <v>669.69</v>
      </c>
      <c r="C938" s="241" t="s">
        <v>28716</v>
      </c>
      <c r="D938" s="122"/>
      <c r="E938" s="122"/>
      <c r="F938" s="122"/>
      <c r="G938" s="122"/>
      <c r="H938" s="122">
        <f t="shared" si="116"/>
        <v>669.69</v>
      </c>
    </row>
    <row r="939" spans="1:8" ht="15" customHeight="1">
      <c r="A939" s="251" t="s">
        <v>28704</v>
      </c>
      <c r="B939" s="122"/>
      <c r="C939" s="241"/>
      <c r="D939" s="122"/>
      <c r="E939" s="122"/>
      <c r="F939" s="122"/>
      <c r="G939" s="122"/>
      <c r="H939" s="122"/>
    </row>
    <row r="940" spans="1:8" ht="15" customHeight="1">
      <c r="A940" s="121" t="str">
        <f t="shared" ref="A940:D945" si="117">A330</f>
        <v>Edificação existente</v>
      </c>
      <c r="B940" s="280">
        <f t="shared" si="117"/>
        <v>1</v>
      </c>
      <c r="C940" s="280">
        <f t="shared" si="117"/>
        <v>55.3</v>
      </c>
      <c r="D940" s="280">
        <f t="shared" si="117"/>
        <v>9.9</v>
      </c>
      <c r="E940" s="122"/>
      <c r="F940" s="122"/>
      <c r="G940" s="122"/>
      <c r="H940" s="122">
        <f t="shared" ref="H940:H946" si="118">B940*C940*D940</f>
        <v>547.47</v>
      </c>
    </row>
    <row r="941" spans="1:8" ht="15" customHeight="1">
      <c r="A941" s="121" t="str">
        <f t="shared" si="117"/>
        <v>Edificação nova</v>
      </c>
      <c r="B941" s="280">
        <f t="shared" si="117"/>
        <v>1</v>
      </c>
      <c r="C941" s="280">
        <f t="shared" si="117"/>
        <v>13</v>
      </c>
      <c r="D941" s="280">
        <f t="shared" si="117"/>
        <v>7.7</v>
      </c>
      <c r="E941" s="122"/>
      <c r="F941" s="122"/>
      <c r="G941" s="122"/>
      <c r="H941" s="122">
        <f t="shared" si="118"/>
        <v>100.10000000000001</v>
      </c>
    </row>
    <row r="942" spans="1:8" ht="15" customHeight="1">
      <c r="A942" s="121" t="str">
        <f t="shared" si="117"/>
        <v>Platibanda</v>
      </c>
      <c r="B942" s="280">
        <f t="shared" si="117"/>
        <v>1</v>
      </c>
      <c r="C942" s="280">
        <f t="shared" si="117"/>
        <v>21.67</v>
      </c>
      <c r="D942" s="280">
        <f t="shared" si="117"/>
        <v>2</v>
      </c>
      <c r="E942" s="122"/>
      <c r="F942" s="122"/>
      <c r="G942" s="122"/>
      <c r="H942" s="122">
        <f t="shared" si="118"/>
        <v>43.34</v>
      </c>
    </row>
    <row r="943" spans="1:8" ht="25.5">
      <c r="A943" s="240" t="str">
        <f t="shared" si="117"/>
        <v>Face viga+laje circulação</v>
      </c>
      <c r="B943" s="280">
        <f t="shared" si="117"/>
        <v>2</v>
      </c>
      <c r="C943" s="280">
        <f t="shared" si="117"/>
        <v>7.620000000000001</v>
      </c>
      <c r="D943" s="280">
        <f t="shared" si="117"/>
        <v>0.55000000000000004</v>
      </c>
      <c r="E943" s="122"/>
      <c r="F943" s="122"/>
      <c r="G943" s="122"/>
      <c r="H943" s="122">
        <f t="shared" si="118"/>
        <v>8.3820000000000014</v>
      </c>
    </row>
    <row r="944" spans="1:8" ht="25.5">
      <c r="A944" s="240" t="str">
        <f t="shared" si="117"/>
        <v>Viga Laje impermeabilizada</v>
      </c>
      <c r="B944" s="280">
        <f t="shared" si="117"/>
        <v>1</v>
      </c>
      <c r="C944" s="280">
        <f t="shared" si="117"/>
        <v>3.8</v>
      </c>
      <c r="D944" s="280">
        <f t="shared" si="117"/>
        <v>0.2</v>
      </c>
      <c r="E944" s="122"/>
      <c r="F944" s="122"/>
      <c r="G944" s="122"/>
      <c r="H944" s="122">
        <f t="shared" si="118"/>
        <v>0.76</v>
      </c>
    </row>
    <row r="945" spans="1:8" ht="15" customHeight="1">
      <c r="A945" s="121" t="str">
        <f t="shared" si="117"/>
        <v>Pilares</v>
      </c>
      <c r="B945" s="280">
        <f t="shared" si="117"/>
        <v>4</v>
      </c>
      <c r="C945" s="280">
        <f t="shared" si="117"/>
        <v>1.6</v>
      </c>
      <c r="D945" s="280">
        <f t="shared" si="117"/>
        <v>10.1</v>
      </c>
      <c r="E945" s="122"/>
      <c r="F945" s="122"/>
      <c r="G945" s="122"/>
      <c r="H945" s="122">
        <f t="shared" si="118"/>
        <v>64.64</v>
      </c>
    </row>
    <row r="946" spans="1:8" ht="15" customHeight="1">
      <c r="A946" s="121" t="s">
        <v>28705</v>
      </c>
      <c r="B946" s="280">
        <f>B336</f>
        <v>1</v>
      </c>
      <c r="C946" s="280">
        <f>C336+4.46+19.16+1.43+1.58</f>
        <v>44.68</v>
      </c>
      <c r="D946" s="280">
        <v>2.2000000000000002</v>
      </c>
      <c r="E946" s="122"/>
      <c r="F946" s="122"/>
      <c r="G946" s="122"/>
      <c r="H946" s="122">
        <f t="shared" si="118"/>
        <v>98.296000000000006</v>
      </c>
    </row>
    <row r="947" spans="1:8" ht="15" customHeight="1">
      <c r="A947" s="240" t="s">
        <v>28535</v>
      </c>
      <c r="B947" s="241" t="s">
        <v>28536</v>
      </c>
      <c r="C947" s="241"/>
      <c r="D947" s="122"/>
      <c r="E947" s="122">
        <f>3.84*2+5*0.2</f>
        <v>8.68</v>
      </c>
      <c r="F947" s="241"/>
      <c r="G947" s="122"/>
      <c r="H947" s="122">
        <f>E947</f>
        <v>8.68</v>
      </c>
    </row>
    <row r="948" spans="1:8" ht="15" customHeight="1">
      <c r="A948" s="240" t="s">
        <v>28535</v>
      </c>
      <c r="B948" s="241" t="s">
        <v>28537</v>
      </c>
      <c r="C948" s="241"/>
      <c r="D948" s="122"/>
      <c r="E948" s="122">
        <f>(0.02*0.8*12*3)+(3.2*0.4*3)</f>
        <v>4.4160000000000004</v>
      </c>
      <c r="F948" s="241"/>
      <c r="G948" s="122"/>
      <c r="H948" s="122">
        <f>E948</f>
        <v>4.4160000000000004</v>
      </c>
    </row>
    <row r="949" spans="1:8" ht="15" customHeight="1">
      <c r="A949" s="113" t="s">
        <v>26607</v>
      </c>
      <c r="B949" s="378" t="str">
        <f>VLOOKUP($A949,SERVICOS,4,FALSE)</f>
        <v>BANCADAS, LOUÇAS, METAIS E EQUIPAMENTOS</v>
      </c>
      <c r="C949" s="378"/>
      <c r="D949" s="378"/>
      <c r="E949" s="378"/>
      <c r="F949" s="378"/>
      <c r="G949" s="378">
        <f>VLOOKUP($A949,SERVICOS,5,FALSE)</f>
        <v>0</v>
      </c>
      <c r="H949" s="378" t="e">
        <f>ROUND(SUM(#REF!),2)</f>
        <v>#REF!</v>
      </c>
    </row>
    <row r="950" spans="1:8" s="117" customFormat="1" ht="45" customHeight="1">
      <c r="A950" s="115" t="s">
        <v>26608</v>
      </c>
      <c r="B950" s="375" t="str">
        <f>VLOOKUP($A950,SERVICOS,4,FALSE)</f>
        <v>Vaso Sanitario Sifonado Convencional Com Louça Branca, Incluso Conjunto De Ligação Para Bacia Sanitária Ajustável - Fornecimento E Instalação. Af_10/2016</v>
      </c>
      <c r="C950" s="376"/>
      <c r="D950" s="376"/>
      <c r="E950" s="376"/>
      <c r="F950" s="377"/>
      <c r="G950" s="115" t="str">
        <f>VLOOKUP($A950,SERVICOS,5,FALSE)</f>
        <v>und</v>
      </c>
      <c r="H950" s="116">
        <f>ROUND(SUM(H952:H952),2)</f>
        <v>4</v>
      </c>
    </row>
    <row r="951" spans="1:8" ht="15" customHeight="1">
      <c r="A951" s="118" t="s">
        <v>1029</v>
      </c>
      <c r="B951" s="118" t="s">
        <v>19767</v>
      </c>
      <c r="C951" s="119"/>
      <c r="D951" s="119"/>
      <c r="E951" s="118"/>
      <c r="F951" s="118"/>
      <c r="G951" s="118"/>
      <c r="H951" s="120"/>
    </row>
    <row r="952" spans="1:8" ht="15" customHeight="1">
      <c r="A952" s="249" t="s">
        <v>28706</v>
      </c>
      <c r="B952" s="122">
        <v>4</v>
      </c>
      <c r="C952" s="241" t="s">
        <v>26637</v>
      </c>
      <c r="D952" s="122"/>
      <c r="E952" s="122"/>
      <c r="F952" s="122"/>
      <c r="G952" s="122"/>
      <c r="H952" s="122">
        <f>B952</f>
        <v>4</v>
      </c>
    </row>
    <row r="953" spans="1:8" s="117" customFormat="1" ht="30" customHeight="1">
      <c r="A953" s="115" t="s">
        <v>28559</v>
      </c>
      <c r="B953" s="375" t="str">
        <f>VLOOKUP($A953,SERVICOS,4,FALSE)</f>
        <v>Vaso Sanitario Sifonado Convencional Para Pcd Sem Furo Frontal Com  Louça Branca Sem Assento -  Fornecimento E Instalação. Af_01/2020</v>
      </c>
      <c r="C953" s="376"/>
      <c r="D953" s="376"/>
      <c r="E953" s="376"/>
      <c r="F953" s="377"/>
      <c r="G953" s="115" t="str">
        <f>VLOOKUP($A953,SERVICOS,5,FALSE)</f>
        <v>und</v>
      </c>
      <c r="H953" s="116">
        <f>ROUND(SUM(H955:H955),2)</f>
        <v>2</v>
      </c>
    </row>
    <row r="954" spans="1:8" ht="15" customHeight="1">
      <c r="A954" s="118" t="s">
        <v>1029</v>
      </c>
      <c r="B954" s="118" t="s">
        <v>19767</v>
      </c>
      <c r="C954" s="119"/>
      <c r="D954" s="119"/>
      <c r="E954" s="118"/>
      <c r="F954" s="118"/>
      <c r="G954" s="118"/>
      <c r="H954" s="120"/>
    </row>
    <row r="955" spans="1:8" ht="15" customHeight="1">
      <c r="A955" s="121" t="s">
        <v>26693</v>
      </c>
      <c r="B955" s="122">
        <v>2</v>
      </c>
      <c r="C955" s="241" t="s">
        <v>26637</v>
      </c>
      <c r="D955" s="122"/>
      <c r="E955" s="122"/>
      <c r="F955" s="122"/>
      <c r="G955" s="122"/>
      <c r="H955" s="122">
        <f>B955</f>
        <v>2</v>
      </c>
    </row>
    <row r="956" spans="1:8" s="117" customFormat="1" ht="30" customHeight="1">
      <c r="A956" s="115" t="s">
        <v>28560</v>
      </c>
      <c r="B956" s="375" t="str">
        <f>VLOOKUP($A956,SERVICOS,4,FALSE)</f>
        <v>Assento Sanitário Convencional - Fornecimento E Instalacao. Af_01/2020</v>
      </c>
      <c r="C956" s="376"/>
      <c r="D956" s="376"/>
      <c r="E956" s="376"/>
      <c r="F956" s="377"/>
      <c r="G956" s="115" t="str">
        <f>VLOOKUP($A956,SERVICOS,5,FALSE)</f>
        <v>und</v>
      </c>
      <c r="H956" s="116">
        <f>ROUND(SUM(H958:H958),2)</f>
        <v>6</v>
      </c>
    </row>
    <row r="957" spans="1:8" ht="15" customHeight="1">
      <c r="A957" s="118" t="s">
        <v>1029</v>
      </c>
      <c r="B957" s="118" t="s">
        <v>19767</v>
      </c>
      <c r="C957" s="119"/>
      <c r="D957" s="119"/>
      <c r="E957" s="118"/>
      <c r="F957" s="118"/>
      <c r="G957" s="118"/>
      <c r="H957" s="120"/>
    </row>
    <row r="958" spans="1:8" ht="25.5">
      <c r="A958" s="249" t="s">
        <v>28707</v>
      </c>
      <c r="B958" s="122">
        <v>6</v>
      </c>
      <c r="C958" s="241" t="s">
        <v>26637</v>
      </c>
      <c r="D958" s="122"/>
      <c r="E958" s="122"/>
      <c r="F958" s="122"/>
      <c r="G958" s="122"/>
      <c r="H958" s="122">
        <f>B958</f>
        <v>6</v>
      </c>
    </row>
    <row r="959" spans="1:8" s="117" customFormat="1" ht="30" customHeight="1">
      <c r="A959" s="115" t="s">
        <v>28561</v>
      </c>
      <c r="B959" s="375" t="str">
        <f>VLOOKUP($A959,SERVICOS,4,FALSE)</f>
        <v>Papeleira De Parede Em Metal Cromado Sem Tampa, Incluso Fixação. Af_01/2020</v>
      </c>
      <c r="C959" s="376"/>
      <c r="D959" s="376"/>
      <c r="E959" s="376"/>
      <c r="F959" s="377"/>
      <c r="G959" s="115" t="str">
        <f>VLOOKUP($A959,SERVICOS,5,FALSE)</f>
        <v>und</v>
      </c>
      <c r="H959" s="116">
        <f>ROUND(SUM(H961:H961),2)</f>
        <v>6</v>
      </c>
    </row>
    <row r="960" spans="1:8" ht="15" customHeight="1">
      <c r="A960" s="118" t="s">
        <v>1029</v>
      </c>
      <c r="B960" s="118" t="s">
        <v>19767</v>
      </c>
      <c r="C960" s="119"/>
      <c r="D960" s="119"/>
      <c r="E960" s="118"/>
      <c r="F960" s="118"/>
      <c r="G960" s="118"/>
      <c r="H960" s="120"/>
    </row>
    <row r="961" spans="1:8" ht="25.5">
      <c r="A961" s="249" t="s">
        <v>28707</v>
      </c>
      <c r="B961" s="122">
        <v>6</v>
      </c>
      <c r="C961" s="241" t="s">
        <v>26637</v>
      </c>
      <c r="D961" s="122"/>
      <c r="E961" s="122"/>
      <c r="F961" s="122"/>
      <c r="G961" s="122"/>
      <c r="H961" s="122">
        <f>B961</f>
        <v>6</v>
      </c>
    </row>
    <row r="962" spans="1:8" s="117" customFormat="1" ht="60" customHeight="1">
      <c r="A962" s="115" t="s">
        <v>28562</v>
      </c>
      <c r="B962" s="375" t="str">
        <f>VLOOKUP($A962,SERVICOS,4,FALSE)</f>
        <v>Lavatório Louça Branca Suspenso, 29,5 X 39Cm Ou Equivalente, Padrão Popular, Incluso Sifão Flexível Em Pvc, Válvula E Engate Flexível 30Cm Em Plástico E Torneira Cromada De Mesa, Padrão Popular - Fornecimento E Instalação. Af_01/2020</v>
      </c>
      <c r="C962" s="376"/>
      <c r="D962" s="376"/>
      <c r="E962" s="376"/>
      <c r="F962" s="377"/>
      <c r="G962" s="115" t="str">
        <f>VLOOKUP($A962,SERVICOS,5,FALSE)</f>
        <v>und</v>
      </c>
      <c r="H962" s="116">
        <f>ROUND(SUM(H964:H964),2)</f>
        <v>6</v>
      </c>
    </row>
    <row r="963" spans="1:8" ht="15" customHeight="1">
      <c r="A963" s="118" t="s">
        <v>1029</v>
      </c>
      <c r="B963" s="118" t="s">
        <v>19767</v>
      </c>
      <c r="C963" s="119"/>
      <c r="D963" s="119"/>
      <c r="E963" s="118"/>
      <c r="F963" s="118"/>
      <c r="G963" s="118"/>
      <c r="H963" s="120"/>
    </row>
    <row r="964" spans="1:8" ht="25.5">
      <c r="A964" s="249" t="s">
        <v>28707</v>
      </c>
      <c r="B964" s="122">
        <v>6</v>
      </c>
      <c r="C964" s="241" t="s">
        <v>26637</v>
      </c>
      <c r="D964" s="122"/>
      <c r="E964" s="122"/>
      <c r="F964" s="122"/>
      <c r="G964" s="122"/>
      <c r="H964" s="122">
        <f>B964</f>
        <v>6</v>
      </c>
    </row>
    <row r="965" spans="1:8" s="117" customFormat="1" ht="45" customHeight="1">
      <c r="A965" s="115" t="s">
        <v>28662</v>
      </c>
      <c r="B965" s="375" t="str">
        <f>VLOOKUP($A965,SERVICOS,4,FALSE)</f>
        <v>Bancada De Granito Cinza Polido, Para Pia De Cozinha, Inclusive Suporte Mão-Francesa Em Cantoneira (Abas Iguais) Em Ferro Galvanizado - Fornecimento E Instalação</v>
      </c>
      <c r="C965" s="376"/>
      <c r="D965" s="376"/>
      <c r="E965" s="376"/>
      <c r="F965" s="377"/>
      <c r="G965" s="115" t="str">
        <f>VLOOKUP($A965,SERVICOS,5,FALSE)</f>
        <v>m²</v>
      </c>
      <c r="H965" s="116">
        <f>ROUND(SUM(H967:H967),2)</f>
        <v>1.2</v>
      </c>
    </row>
    <row r="966" spans="1:8" ht="15" customHeight="1">
      <c r="A966" s="118" t="s">
        <v>1029</v>
      </c>
      <c r="B966" s="118" t="s">
        <v>19767</v>
      </c>
      <c r="C966" s="119" t="s">
        <v>26630</v>
      </c>
      <c r="D966" s="119"/>
      <c r="E966" s="118"/>
      <c r="F966" s="118"/>
      <c r="G966" s="118"/>
      <c r="H966" s="120"/>
    </row>
    <row r="967" spans="1:8" ht="15" customHeight="1">
      <c r="A967" s="121" t="s">
        <v>26644</v>
      </c>
      <c r="B967" s="122">
        <v>1</v>
      </c>
      <c r="C967" s="122">
        <f>2*0.6</f>
        <v>1.2</v>
      </c>
      <c r="D967" s="122"/>
      <c r="E967" s="122"/>
      <c r="F967" s="122"/>
      <c r="G967" s="122"/>
      <c r="H967" s="122">
        <f>B967*C967</f>
        <v>1.2</v>
      </c>
    </row>
    <row r="968" spans="1:8" s="117" customFormat="1" ht="30" customHeight="1">
      <c r="A968" s="115" t="s">
        <v>28663</v>
      </c>
      <c r="B968" s="375" t="str">
        <f>VLOOKUP($A968,SERVICOS,4,FALSE)</f>
        <v>Testeira De Granito Cinza Polido, Para Bancada, Altura 10 Cm, Espessura 2 Cm</v>
      </c>
      <c r="C968" s="376"/>
      <c r="D968" s="376"/>
      <c r="E968" s="376"/>
      <c r="F968" s="377"/>
      <c r="G968" s="115" t="str">
        <f>VLOOKUP($A968,SERVICOS,5,FALSE)</f>
        <v>m</v>
      </c>
      <c r="H968" s="116">
        <f>ROUND(SUM(H970:H970),2)</f>
        <v>2</v>
      </c>
    </row>
    <row r="969" spans="1:8" ht="15" customHeight="1">
      <c r="A969" s="118" t="s">
        <v>1029</v>
      </c>
      <c r="B969" s="118" t="s">
        <v>19767</v>
      </c>
      <c r="C969" s="119" t="s">
        <v>19769</v>
      </c>
      <c r="D969" s="119"/>
      <c r="E969" s="118"/>
      <c r="F969" s="118"/>
      <c r="G969" s="118"/>
      <c r="H969" s="120"/>
    </row>
    <row r="970" spans="1:8" ht="15" customHeight="1">
      <c r="A970" s="121" t="s">
        <v>26644</v>
      </c>
      <c r="B970" s="122">
        <v>1</v>
      </c>
      <c r="C970" s="122">
        <v>2</v>
      </c>
      <c r="D970" s="122"/>
      <c r="E970" s="122"/>
      <c r="F970" s="122"/>
      <c r="G970" s="122"/>
      <c r="H970" s="122">
        <f>B970*C970</f>
        <v>2</v>
      </c>
    </row>
    <row r="971" spans="1:8" s="117" customFormat="1" ht="30" customHeight="1">
      <c r="A971" s="115" t="s">
        <v>28664</v>
      </c>
      <c r="B971" s="375" t="str">
        <f>VLOOKUP($A971,SERVICOS,4,FALSE)</f>
        <v>Rodabanca Em Granito Cinza Polido, Altura 10 Cm, Espessura 2 Cm - Fornecimento E Instalação</v>
      </c>
      <c r="C971" s="376"/>
      <c r="D971" s="376"/>
      <c r="E971" s="376"/>
      <c r="F971" s="377"/>
      <c r="G971" s="115" t="str">
        <f>VLOOKUP($A971,SERVICOS,5,FALSE)</f>
        <v>m</v>
      </c>
      <c r="H971" s="116">
        <f>ROUND(SUM(H973:H973),2)</f>
        <v>3.2</v>
      </c>
    </row>
    <row r="972" spans="1:8" ht="15" customHeight="1">
      <c r="A972" s="118" t="s">
        <v>1029</v>
      </c>
      <c r="B972" s="118" t="s">
        <v>19767</v>
      </c>
      <c r="C972" s="119" t="s">
        <v>19769</v>
      </c>
      <c r="D972" s="119"/>
      <c r="E972" s="118"/>
      <c r="F972" s="118"/>
      <c r="G972" s="118"/>
      <c r="H972" s="120"/>
    </row>
    <row r="973" spans="1:8" ht="15" customHeight="1">
      <c r="A973" s="121" t="s">
        <v>26644</v>
      </c>
      <c r="B973" s="122">
        <v>1</v>
      </c>
      <c r="C973" s="122">
        <f>0.6*2+2</f>
        <v>3.2</v>
      </c>
      <c r="D973" s="122"/>
      <c r="E973" s="122"/>
      <c r="F973" s="122"/>
      <c r="G973" s="122"/>
      <c r="H973" s="122">
        <f>B973*C973</f>
        <v>3.2</v>
      </c>
    </row>
    <row r="974" spans="1:8" s="117" customFormat="1" ht="45" customHeight="1">
      <c r="A974" s="115" t="s">
        <v>28665</v>
      </c>
      <c r="B974" s="375" t="str">
        <f>VLOOKUP($A974,SERVICOS,4,FALSE)</f>
        <v>Cuba De Embutir De Aço Inoxidável Média, Incluso Válvula Tipo Americana Em Metal Cromado E Sifão Flexível Em Pvc - Fornecimento E Instalação. Af_01/2020</v>
      </c>
      <c r="C974" s="376"/>
      <c r="D974" s="376"/>
      <c r="E974" s="376"/>
      <c r="F974" s="377"/>
      <c r="G974" s="115" t="str">
        <f>VLOOKUP($A974,SERVICOS,5,FALSE)</f>
        <v>und</v>
      </c>
      <c r="H974" s="116">
        <f>ROUND(SUM(H976:H976),2)</f>
        <v>1</v>
      </c>
    </row>
    <row r="975" spans="1:8" ht="15" customHeight="1">
      <c r="A975" s="118" t="s">
        <v>1029</v>
      </c>
      <c r="B975" s="118" t="s">
        <v>19767</v>
      </c>
      <c r="C975" s="119"/>
      <c r="D975" s="119"/>
      <c r="E975" s="118"/>
      <c r="F975" s="118"/>
      <c r="G975" s="118"/>
      <c r="H975" s="120"/>
    </row>
    <row r="976" spans="1:8" ht="15" customHeight="1">
      <c r="A976" s="121" t="s">
        <v>26644</v>
      </c>
      <c r="B976" s="122">
        <v>1</v>
      </c>
      <c r="C976" s="241"/>
      <c r="D976" s="122"/>
      <c r="E976" s="122"/>
      <c r="F976" s="122"/>
      <c r="G976" s="122"/>
      <c r="H976" s="122">
        <f>B976</f>
        <v>1</v>
      </c>
    </row>
    <row r="977" spans="1:8" s="117" customFormat="1" ht="30" customHeight="1">
      <c r="A977" s="115" t="s">
        <v>28666</v>
      </c>
      <c r="B977" s="375" t="str">
        <f>VLOOKUP($A977,SERVICOS,4,FALSE)</f>
        <v>Barra De Apoio Reta, Em Aco Inox Polido, Comprimento 80 Cm,  Fixada Na Parede - Fornecimento E Instalação. Af_01/2020</v>
      </c>
      <c r="C977" s="376"/>
      <c r="D977" s="376"/>
      <c r="E977" s="376"/>
      <c r="F977" s="377"/>
      <c r="G977" s="115" t="str">
        <f>VLOOKUP($A977,SERVICOS,5,FALSE)</f>
        <v>und</v>
      </c>
      <c r="H977" s="116">
        <f>ROUND(SUM(H979:H979),2)</f>
        <v>6</v>
      </c>
    </row>
    <row r="978" spans="1:8" ht="15" customHeight="1">
      <c r="A978" s="118" t="s">
        <v>1029</v>
      </c>
      <c r="B978" s="118" t="s">
        <v>19767</v>
      </c>
      <c r="C978" s="119"/>
      <c r="D978" s="119"/>
      <c r="E978" s="118"/>
      <c r="F978" s="118"/>
      <c r="G978" s="118"/>
      <c r="H978" s="120"/>
    </row>
    <row r="979" spans="1:8" ht="15" customHeight="1">
      <c r="A979" s="121" t="s">
        <v>26693</v>
      </c>
      <c r="B979" s="122">
        <v>6</v>
      </c>
      <c r="C979" s="241" t="s">
        <v>26639</v>
      </c>
      <c r="D979" s="122"/>
      <c r="E979" s="122"/>
      <c r="F979" s="122"/>
      <c r="G979" s="122"/>
      <c r="H979" s="122">
        <f>B979</f>
        <v>6</v>
      </c>
    </row>
    <row r="980" spans="1:8" s="117" customFormat="1" ht="45" customHeight="1">
      <c r="A980" s="115" t="s">
        <v>28667</v>
      </c>
      <c r="B980" s="375" t="str">
        <f>VLOOKUP($A980,SERVICOS,4,FALSE)</f>
        <v>Barra De Apoio Para Pia Ou Lavatório (Proteção Para Pia), Em Aço Inoxidável Aisi 304, Tubo De 1 1/4", Inclusive Fixação Com Parafusos Inoxidáveis E Buchas Plásticas.  Fornecimento.(Desonerado)</v>
      </c>
      <c r="C980" s="376"/>
      <c r="D980" s="376"/>
      <c r="E980" s="376"/>
      <c r="F980" s="377"/>
      <c r="G980" s="115" t="str">
        <f>VLOOKUP($A980,SERVICOS,5,FALSE)</f>
        <v>un</v>
      </c>
      <c r="H980" s="116">
        <f>ROUND(SUM(H982:H982),2)</f>
        <v>2</v>
      </c>
    </row>
    <row r="981" spans="1:8" ht="15" customHeight="1">
      <c r="A981" s="118" t="s">
        <v>1029</v>
      </c>
      <c r="B981" s="118" t="s">
        <v>19767</v>
      </c>
      <c r="C981" s="119"/>
      <c r="D981" s="119"/>
      <c r="E981" s="118"/>
      <c r="F981" s="118"/>
      <c r="G981" s="118"/>
      <c r="H981" s="120"/>
    </row>
    <row r="982" spans="1:8" ht="15" customHeight="1">
      <c r="A982" s="121" t="s">
        <v>26693</v>
      </c>
      <c r="B982" s="122">
        <v>2</v>
      </c>
      <c r="C982" s="241" t="s">
        <v>26641</v>
      </c>
      <c r="D982" s="122"/>
      <c r="E982" s="122"/>
      <c r="F982" s="122"/>
      <c r="G982" s="122"/>
      <c r="H982" s="122">
        <f>B982</f>
        <v>2</v>
      </c>
    </row>
    <row r="983" spans="1:8" s="117" customFormat="1" ht="30" customHeight="1">
      <c r="A983" s="115" t="s">
        <v>28668</v>
      </c>
      <c r="B983" s="375" t="str">
        <f>VLOOKUP($A983,SERVICOS,4,FALSE)</f>
        <v>Mictório De Louça Branca, Marcas De Referência Deca, Celite Ou Ideal Standard, Inclusive Engates Cromados</v>
      </c>
      <c r="C983" s="376"/>
      <c r="D983" s="376"/>
      <c r="E983" s="376"/>
      <c r="F983" s="377"/>
      <c r="G983" s="115" t="str">
        <f>VLOOKUP($A983,SERVICOS,5,FALSE)</f>
        <v>und</v>
      </c>
      <c r="H983" s="116">
        <f>ROUND(SUM(H985:H985),2)</f>
        <v>2</v>
      </c>
    </row>
    <row r="984" spans="1:8" ht="15" customHeight="1">
      <c r="A984" s="118" t="s">
        <v>1029</v>
      </c>
      <c r="B984" s="118" t="s">
        <v>19767</v>
      </c>
      <c r="C984" s="119"/>
      <c r="D984" s="119"/>
      <c r="E984" s="118"/>
      <c r="F984" s="118"/>
      <c r="G984" s="118"/>
      <c r="H984" s="120"/>
    </row>
    <row r="985" spans="1:8" ht="15" customHeight="1">
      <c r="A985" s="121" t="s">
        <v>26640</v>
      </c>
      <c r="B985" s="122">
        <v>2</v>
      </c>
      <c r="C985" s="241" t="s">
        <v>26641</v>
      </c>
      <c r="D985" s="122"/>
      <c r="E985" s="122"/>
      <c r="F985" s="122"/>
      <c r="G985" s="122"/>
      <c r="H985" s="122">
        <f>B985</f>
        <v>2</v>
      </c>
    </row>
    <row r="986" spans="1:8" s="117" customFormat="1" ht="45" customHeight="1">
      <c r="A986" s="115" t="s">
        <v>28669</v>
      </c>
      <c r="B986" s="375" t="str">
        <f>VLOOKUP($A986,SERVICOS,4,FALSE)</f>
        <v>Tanque De Louça Branca Suspenso, 18L Ou Equivalente, Incluso Sifão Tipo Garrafa Em Pvc, Válvula Plástica E Torneira De Metal Cromado Padrão Popular - Fornecimento E Instalação. Af_01/2020</v>
      </c>
      <c r="C986" s="376"/>
      <c r="D986" s="376"/>
      <c r="E986" s="376"/>
      <c r="F986" s="377"/>
      <c r="G986" s="115" t="str">
        <f>VLOOKUP($A986,SERVICOS,5,FALSE)</f>
        <v>und</v>
      </c>
      <c r="H986" s="116">
        <f>ROUND(SUM(H988:H988),2)</f>
        <v>1</v>
      </c>
    </row>
    <row r="987" spans="1:8" ht="15" customHeight="1">
      <c r="A987" s="118" t="s">
        <v>1029</v>
      </c>
      <c r="B987" s="118" t="s">
        <v>19767</v>
      </c>
      <c r="C987" s="119"/>
      <c r="D987" s="119"/>
      <c r="E987" s="118"/>
      <c r="F987" s="118"/>
      <c r="G987" s="118"/>
      <c r="H987" s="120"/>
    </row>
    <row r="988" spans="1:8" ht="15" customHeight="1">
      <c r="A988" s="121" t="s">
        <v>26570</v>
      </c>
      <c r="B988" s="122">
        <v>1</v>
      </c>
      <c r="C988" s="241"/>
      <c r="D988" s="122"/>
      <c r="E988" s="122"/>
      <c r="F988" s="122"/>
      <c r="G988" s="122"/>
      <c r="H988" s="122">
        <f>B988</f>
        <v>1</v>
      </c>
    </row>
    <row r="989" spans="1:8" s="117" customFormat="1" ht="30" customHeight="1">
      <c r="A989" s="115" t="s">
        <v>28718</v>
      </c>
      <c r="B989" s="375" t="str">
        <f>VLOOKUP($A989,SERVICOS,4,FALSE)</f>
        <v>Torneira Cromada Tubo Móvel, De Mesa, 1/2 Ou 3/4, Para Pia De Cozinha, Padrão Alto - Fornecimento E Instalação. Af_01/2020</v>
      </c>
      <c r="C989" s="376"/>
      <c r="D989" s="376"/>
      <c r="E989" s="376"/>
      <c r="F989" s="377"/>
      <c r="G989" s="115" t="str">
        <f>VLOOKUP($A989,SERVICOS,5,FALSE)</f>
        <v>und</v>
      </c>
      <c r="H989" s="116">
        <f>ROUND(SUM(H991:H991),2)</f>
        <v>1</v>
      </c>
    </row>
    <row r="990" spans="1:8" ht="15" customHeight="1">
      <c r="A990" s="118" t="s">
        <v>1029</v>
      </c>
      <c r="B990" s="118" t="s">
        <v>19767</v>
      </c>
      <c r="C990" s="119"/>
      <c r="D990" s="119"/>
      <c r="E990" s="118"/>
      <c r="F990" s="118"/>
      <c r="G990" s="118"/>
      <c r="H990" s="120"/>
    </row>
    <row r="991" spans="1:8" ht="15" customHeight="1">
      <c r="A991" s="121" t="s">
        <v>26644</v>
      </c>
      <c r="B991" s="122">
        <v>1</v>
      </c>
      <c r="C991" s="241"/>
      <c r="D991" s="122"/>
      <c r="E991" s="122"/>
      <c r="F991" s="122"/>
      <c r="G991" s="122"/>
      <c r="H991" s="122">
        <f>B991</f>
        <v>1</v>
      </c>
    </row>
    <row r="992" spans="1:8" s="117" customFormat="1" ht="30" customHeight="1">
      <c r="A992" s="115" t="s">
        <v>28719</v>
      </c>
      <c r="B992" s="375" t="str">
        <f>VLOOKUP($A992,SERVICOS,4,FALSE)</f>
        <v>Torneira Cromada 1/2 Ou 3/4 Para Tanque, Padrão Popular - Fornecimento E Instalação. Af_01/2020</v>
      </c>
      <c r="C992" s="376"/>
      <c r="D992" s="376"/>
      <c r="E992" s="376"/>
      <c r="F992" s="377"/>
      <c r="G992" s="115" t="str">
        <f>VLOOKUP($A992,SERVICOS,5,FALSE)</f>
        <v>und</v>
      </c>
      <c r="H992" s="116">
        <f>ROUND(SUM(H994:H994),2)</f>
        <v>3</v>
      </c>
    </row>
    <row r="993" spans="1:8" ht="15" customHeight="1">
      <c r="A993" s="118" t="s">
        <v>1029</v>
      </c>
      <c r="B993" s="118" t="s">
        <v>19767</v>
      </c>
      <c r="C993" s="119"/>
      <c r="D993" s="119"/>
      <c r="E993" s="118"/>
      <c r="F993" s="118"/>
      <c r="G993" s="118"/>
      <c r="H993" s="120"/>
    </row>
    <row r="994" spans="1:8" ht="15" customHeight="1">
      <c r="A994" s="121" t="s">
        <v>26732</v>
      </c>
      <c r="B994" s="122">
        <v>3</v>
      </c>
      <c r="C994" s="241"/>
      <c r="D994" s="122"/>
      <c r="E994" s="122"/>
      <c r="F994" s="122"/>
      <c r="G994" s="122"/>
      <c r="H994" s="122">
        <f>B994</f>
        <v>3</v>
      </c>
    </row>
    <row r="995" spans="1:8" s="117" customFormat="1" ht="30" customHeight="1">
      <c r="A995" s="115" t="s">
        <v>28720</v>
      </c>
      <c r="B995" s="375" t="str">
        <f>VLOOKUP($A995,SERVICOS,4,FALSE)</f>
        <v>Saboneteira Plastica Tipo Dispenser Para Sabonete Liquido Com Reservatorio 800 A 1500 Ml, Incluso Fixação. Af_01/2020</v>
      </c>
      <c r="C995" s="376"/>
      <c r="D995" s="376"/>
      <c r="E995" s="376"/>
      <c r="F995" s="377"/>
      <c r="G995" s="115" t="str">
        <f>VLOOKUP($A995,SERVICOS,5,FALSE)</f>
        <v>und</v>
      </c>
      <c r="H995" s="116">
        <f>ROUND(SUM(H997:H997),2)</f>
        <v>6</v>
      </c>
    </row>
    <row r="996" spans="1:8" ht="15" customHeight="1">
      <c r="A996" s="118" t="s">
        <v>1029</v>
      </c>
      <c r="B996" s="118" t="s">
        <v>19767</v>
      </c>
      <c r="C996" s="119"/>
      <c r="D996" s="119"/>
      <c r="E996" s="118"/>
      <c r="F996" s="118"/>
      <c r="G996" s="118"/>
      <c r="H996" s="120"/>
    </row>
    <row r="997" spans="1:8" ht="25.5">
      <c r="A997" s="249" t="str">
        <f>A964</f>
        <v>Wc Fem./ Wc Masc./ Wc PNE</v>
      </c>
      <c r="B997" s="248">
        <f>B964</f>
        <v>6</v>
      </c>
      <c r="C997" s="241"/>
      <c r="D997" s="122"/>
      <c r="E997" s="122"/>
      <c r="F997" s="122"/>
      <c r="G997" s="122"/>
      <c r="H997" s="122">
        <f>B997</f>
        <v>6</v>
      </c>
    </row>
    <row r="998" spans="1:8" s="117" customFormat="1" ht="15" customHeight="1">
      <c r="A998" s="115" t="s">
        <v>28721</v>
      </c>
      <c r="B998" s="375" t="str">
        <f>VLOOKUP($A998,SERVICOS,4,FALSE)</f>
        <v>Toalheiro Plástico Tipo Dispenser Para Papel Toalha Interfolhado</v>
      </c>
      <c r="C998" s="376"/>
      <c r="D998" s="376"/>
      <c r="E998" s="376"/>
      <c r="F998" s="377"/>
      <c r="G998" s="115" t="str">
        <f>VLOOKUP($A998,SERVICOS,5,FALSE)</f>
        <v>und.</v>
      </c>
      <c r="H998" s="116">
        <f>ROUND(SUM(H1000:H1000),2)</f>
        <v>6</v>
      </c>
    </row>
    <row r="999" spans="1:8" ht="15" customHeight="1">
      <c r="A999" s="118" t="s">
        <v>1029</v>
      </c>
      <c r="B999" s="118" t="s">
        <v>19767</v>
      </c>
      <c r="C999" s="119"/>
      <c r="D999" s="119"/>
      <c r="E999" s="118"/>
      <c r="F999" s="118"/>
      <c r="G999" s="118"/>
      <c r="H999" s="120"/>
    </row>
    <row r="1000" spans="1:8" ht="25.5">
      <c r="A1000" s="249" t="str">
        <f>A997</f>
        <v>Wc Fem./ Wc Masc./ Wc PNE</v>
      </c>
      <c r="B1000" s="122">
        <f>B997</f>
        <v>6</v>
      </c>
      <c r="C1000" s="241"/>
      <c r="D1000" s="122"/>
      <c r="E1000" s="122"/>
      <c r="F1000" s="122"/>
      <c r="G1000" s="122"/>
      <c r="H1000" s="122">
        <f>B1000</f>
        <v>6</v>
      </c>
    </row>
    <row r="1001" spans="1:8" s="117" customFormat="1" ht="15" customHeight="1">
      <c r="A1001" s="115" t="s">
        <v>28724</v>
      </c>
      <c r="B1001" s="375" t="str">
        <f>VLOOKUP($A1001,SERVICOS,4,FALSE)</f>
        <v>Ducha Manual Higiênica, Plástica, Com Registro Metálico</v>
      </c>
      <c r="C1001" s="376"/>
      <c r="D1001" s="376"/>
      <c r="E1001" s="376"/>
      <c r="F1001" s="377"/>
      <c r="G1001" s="115" t="str">
        <f>VLOOKUP($A1001,SERVICOS,5,FALSE)</f>
        <v>und.</v>
      </c>
      <c r="H1001" s="116">
        <f>ROUND(SUM(H1003:H1003),2)</f>
        <v>6</v>
      </c>
    </row>
    <row r="1002" spans="1:8" ht="15" customHeight="1">
      <c r="A1002" s="118" t="s">
        <v>1029</v>
      </c>
      <c r="B1002" s="118" t="s">
        <v>19767</v>
      </c>
      <c r="C1002" s="119"/>
      <c r="D1002" s="119"/>
      <c r="E1002" s="118"/>
      <c r="F1002" s="118"/>
      <c r="G1002" s="118"/>
      <c r="H1002" s="120"/>
    </row>
    <row r="1003" spans="1:8" ht="25.5">
      <c r="A1003" s="249" t="str">
        <f>A1000</f>
        <v>Wc Fem./ Wc Masc./ Wc PNE</v>
      </c>
      <c r="B1003" s="122">
        <f>B1000</f>
        <v>6</v>
      </c>
      <c r="C1003" s="241"/>
      <c r="D1003" s="122"/>
      <c r="E1003" s="122"/>
      <c r="F1003" s="122"/>
      <c r="G1003" s="122"/>
      <c r="H1003" s="122">
        <f>B1003</f>
        <v>6</v>
      </c>
    </row>
    <row r="1004" spans="1:8" s="117" customFormat="1" ht="15" customHeight="1">
      <c r="A1004" s="115" t="s">
        <v>28725</v>
      </c>
      <c r="B1004" s="375" t="str">
        <f>VLOOKUP($A1004,SERVICOS,4,FALSE)</f>
        <v>Espelho Prata, Espessura 4 Mm Fixado Com Botão Frances Cromado</v>
      </c>
      <c r="C1004" s="376"/>
      <c r="D1004" s="376"/>
      <c r="E1004" s="376"/>
      <c r="F1004" s="377"/>
      <c r="G1004" s="115" t="str">
        <f>VLOOKUP($A1004,SERVICOS,5,FALSE)</f>
        <v>m²</v>
      </c>
      <c r="H1004" s="116">
        <f>ROUND(SUM(H1006:H1006),2)</f>
        <v>2.4300000000000002</v>
      </c>
    </row>
    <row r="1005" spans="1:8" ht="15" customHeight="1">
      <c r="A1005" s="118" t="s">
        <v>1029</v>
      </c>
      <c r="B1005" s="118" t="s">
        <v>19767</v>
      </c>
      <c r="C1005" s="119" t="s">
        <v>19768</v>
      </c>
      <c r="D1005" s="119" t="s">
        <v>26634</v>
      </c>
      <c r="E1005" s="118"/>
      <c r="F1005" s="118"/>
      <c r="G1005" s="118"/>
      <c r="H1005" s="120"/>
    </row>
    <row r="1006" spans="1:8" ht="25.5">
      <c r="A1006" s="249" t="str">
        <f>A1003</f>
        <v>Wc Fem./ Wc Masc./ Wc PNE</v>
      </c>
      <c r="B1006" s="122">
        <f>B1003</f>
        <v>6</v>
      </c>
      <c r="C1006" s="122">
        <v>0.45</v>
      </c>
      <c r="D1006" s="122">
        <v>0.9</v>
      </c>
      <c r="E1006" s="122"/>
      <c r="F1006" s="122"/>
      <c r="G1006" s="122"/>
      <c r="H1006" s="122">
        <f>B1006*C1006*D1006</f>
        <v>2.4300000000000002</v>
      </c>
    </row>
    <row r="1007" spans="1:8" s="117" customFormat="1" ht="15" customHeight="1">
      <c r="A1007" s="115" t="s">
        <v>29105</v>
      </c>
      <c r="B1007" s="375" t="str">
        <f>VLOOKUP($A1007,SERVICOS,4,FALSE)</f>
        <v>Prateleiras Em Granito Cinza Andorinha, Esp. 2Cm</v>
      </c>
      <c r="C1007" s="376"/>
      <c r="D1007" s="376"/>
      <c r="E1007" s="376"/>
      <c r="F1007" s="377"/>
      <c r="G1007" s="115" t="str">
        <f>VLOOKUP($A1007,SERVICOS,5,FALSE)</f>
        <v>m²</v>
      </c>
      <c r="H1007" s="116">
        <f>ROUND(SUM(H1009:H1009),2)</f>
        <v>2.1</v>
      </c>
    </row>
    <row r="1008" spans="1:8" ht="15" customHeight="1">
      <c r="A1008" s="118" t="s">
        <v>1029</v>
      </c>
      <c r="B1008" s="118" t="s">
        <v>19767</v>
      </c>
      <c r="C1008" s="119" t="s">
        <v>19768</v>
      </c>
      <c r="D1008" s="119" t="s">
        <v>26634</v>
      </c>
      <c r="E1008" s="118"/>
      <c r="F1008" s="118"/>
      <c r="G1008" s="118"/>
      <c r="H1008" s="120"/>
    </row>
    <row r="1009" spans="1:8" ht="15" customHeight="1">
      <c r="A1009" s="249" t="s">
        <v>26570</v>
      </c>
      <c r="B1009" s="122">
        <v>3</v>
      </c>
      <c r="C1009" s="122">
        <v>1.4</v>
      </c>
      <c r="D1009" s="122">
        <v>0.5</v>
      </c>
      <c r="E1009" s="122"/>
      <c r="F1009" s="122"/>
      <c r="G1009" s="122"/>
      <c r="H1009" s="122">
        <f>B1009*C1009*D1009</f>
        <v>2.0999999999999996</v>
      </c>
    </row>
    <row r="1010" spans="1:8" ht="15" customHeight="1">
      <c r="A1010" s="113" t="s">
        <v>26609</v>
      </c>
      <c r="B1010" s="378" t="str">
        <f>VLOOKUP($A1010,SERVICOS,4,FALSE)</f>
        <v>SERVIÇOS DIVERSOS OU ESPECÍFICOS</v>
      </c>
      <c r="C1010" s="378"/>
      <c r="D1010" s="378"/>
      <c r="E1010" s="378"/>
      <c r="F1010" s="378"/>
      <c r="G1010" s="378">
        <f>VLOOKUP($A1010,SERVICOS,5,FALSE)</f>
        <v>0</v>
      </c>
      <c r="H1010" s="378" t="e">
        <f>ROUND(SUM(#REF!),2)</f>
        <v>#REF!</v>
      </c>
    </row>
    <row r="1011" spans="1:8" s="117" customFormat="1" ht="15" customHeight="1">
      <c r="A1011" s="115" t="s">
        <v>26610</v>
      </c>
      <c r="B1011" s="375" t="str">
        <f>VLOOKUP($A1011,SERVICOS,4,FALSE)</f>
        <v>Remoção Cuidadosa Do Concreto Afetado, Através De Escarificação</v>
      </c>
      <c r="C1011" s="376"/>
      <c r="D1011" s="376"/>
      <c r="E1011" s="376"/>
      <c r="F1011" s="377"/>
      <c r="G1011" s="115" t="str">
        <f>VLOOKUP($A1011,SERVICOS,5,FALSE)</f>
        <v>m³</v>
      </c>
      <c r="H1011" s="116">
        <f>ROUND(SUM(H1013:H1013),2)</f>
        <v>0.03</v>
      </c>
    </row>
    <row r="1012" spans="1:8" ht="15" customHeight="1">
      <c r="A1012" s="118" t="s">
        <v>1029</v>
      </c>
      <c r="B1012" s="118" t="s">
        <v>19767</v>
      </c>
      <c r="C1012" s="119" t="s">
        <v>26720</v>
      </c>
      <c r="D1012" s="119" t="s">
        <v>26634</v>
      </c>
      <c r="E1012" s="119" t="s">
        <v>26643</v>
      </c>
      <c r="F1012" s="118"/>
      <c r="G1012" s="118"/>
      <c r="H1012" s="120"/>
    </row>
    <row r="1013" spans="1:8" ht="15" customHeight="1">
      <c r="A1013" s="121" t="s">
        <v>26711</v>
      </c>
      <c r="B1013" s="122">
        <v>1</v>
      </c>
      <c r="C1013" s="122">
        <f>0.3*4</f>
        <v>1.2</v>
      </c>
      <c r="D1013" s="122">
        <v>0.5</v>
      </c>
      <c r="E1013" s="122">
        <v>0.05</v>
      </c>
      <c r="F1013" s="122"/>
      <c r="G1013" s="122"/>
      <c r="H1013" s="122">
        <f>B1013*C1013*D1013*E1013</f>
        <v>0.03</v>
      </c>
    </row>
    <row r="1014" spans="1:8" s="117" customFormat="1" ht="45" customHeight="1">
      <c r="A1014" s="115" t="s">
        <v>26611</v>
      </c>
      <c r="B1014" s="375" t="str">
        <f>VLOOKUP($A1014,SERVICOS,4,FALSE)</f>
        <v>Limpeza De Aço Com Lixamento E Escovamento Com Escova De Aço, Até A Completa Remoção De Partículas Soltas, Materiais Indesejáveis E Corrosão</v>
      </c>
      <c r="C1014" s="376"/>
      <c r="D1014" s="376"/>
      <c r="E1014" s="376"/>
      <c r="F1014" s="377"/>
      <c r="G1014" s="115" t="str">
        <f>VLOOKUP($A1014,SERVICOS,5,FALSE)</f>
        <v>m²</v>
      </c>
      <c r="H1014" s="116">
        <f>ROUND(SUM(H1016:H1016),2)</f>
        <v>0.6</v>
      </c>
    </row>
    <row r="1015" spans="1:8" ht="15" customHeight="1">
      <c r="A1015" s="118" t="s">
        <v>1029</v>
      </c>
      <c r="B1015" s="118" t="s">
        <v>19767</v>
      </c>
      <c r="C1015" s="119" t="s">
        <v>26720</v>
      </c>
      <c r="D1015" s="119" t="s">
        <v>26634</v>
      </c>
      <c r="E1015" s="119"/>
      <c r="F1015" s="118"/>
      <c r="G1015" s="118"/>
      <c r="H1015" s="120"/>
    </row>
    <row r="1016" spans="1:8" ht="15" customHeight="1">
      <c r="A1016" s="121" t="str">
        <f>A1013</f>
        <v>Pilares</v>
      </c>
      <c r="B1016" s="280">
        <f>B1013</f>
        <v>1</v>
      </c>
      <c r="C1016" s="122">
        <f>C1013</f>
        <v>1.2</v>
      </c>
      <c r="D1016" s="122">
        <f>D1013</f>
        <v>0.5</v>
      </c>
      <c r="E1016" s="122"/>
      <c r="F1016" s="122"/>
      <c r="G1016" s="122"/>
      <c r="H1016" s="122">
        <f>B1016*C1016*D1016</f>
        <v>0.6</v>
      </c>
    </row>
    <row r="1017" spans="1:8" s="117" customFormat="1" ht="30" customHeight="1">
      <c r="A1017" s="115" t="s">
        <v>26612</v>
      </c>
      <c r="B1017" s="375" t="str">
        <f>VLOOKUP($A1017,SERVICOS,4,FALSE)</f>
        <v>Aplicação De Sika Top 108 Armatec Ou Equivalente, Nas Ferragens A Serem Recuperadas</v>
      </c>
      <c r="C1017" s="376"/>
      <c r="D1017" s="376"/>
      <c r="E1017" s="376"/>
      <c r="F1017" s="377"/>
      <c r="G1017" s="115" t="str">
        <f>VLOOKUP($A1017,SERVICOS,5,FALSE)</f>
        <v>m²</v>
      </c>
      <c r="H1017" s="116">
        <f>ROUND(SUM(H1019:H1019),2)</f>
        <v>0.6</v>
      </c>
    </row>
    <row r="1018" spans="1:8" ht="15" customHeight="1">
      <c r="A1018" s="118" t="s">
        <v>1029</v>
      </c>
      <c r="B1018" s="118" t="s">
        <v>19767</v>
      </c>
      <c r="C1018" s="119" t="s">
        <v>26720</v>
      </c>
      <c r="D1018" s="119" t="s">
        <v>26634</v>
      </c>
      <c r="E1018" s="119"/>
      <c r="F1018" s="118"/>
      <c r="G1018" s="118"/>
      <c r="H1018" s="120"/>
    </row>
    <row r="1019" spans="1:8" ht="15" customHeight="1">
      <c r="A1019" s="121" t="str">
        <f>A1016</f>
        <v>Pilares</v>
      </c>
      <c r="B1019" s="122">
        <f>B1016</f>
        <v>1</v>
      </c>
      <c r="C1019" s="122">
        <f>C1016</f>
        <v>1.2</v>
      </c>
      <c r="D1019" s="122">
        <f>D1016</f>
        <v>0.5</v>
      </c>
      <c r="E1019" s="122"/>
      <c r="F1019" s="122"/>
      <c r="G1019" s="122"/>
      <c r="H1019" s="122">
        <f>B1019*C1019*D1019</f>
        <v>0.6</v>
      </c>
    </row>
    <row r="1020" spans="1:8" s="117" customFormat="1" ht="45" customHeight="1">
      <c r="A1020" s="115" t="s">
        <v>26628</v>
      </c>
      <c r="B1020" s="375" t="str">
        <f>VLOOKUP($A1020,SERVICOS,4,FALSE)</f>
        <v>Fornecimento E Lançamento De Concreto Para Grouteamento Com Adição De Pedrisco (50% Em Peso), Utilizando Sikagrout Ou Produto Equivalente, Exclusive Forma</v>
      </c>
      <c r="C1020" s="376"/>
      <c r="D1020" s="376"/>
      <c r="E1020" s="376"/>
      <c r="F1020" s="377"/>
      <c r="G1020" s="115" t="str">
        <f>VLOOKUP($A1020,SERVICOS,5,FALSE)</f>
        <v>m³</v>
      </c>
      <c r="H1020" s="116">
        <f>ROUND(SUM(H1022:H1022),2)</f>
        <v>0.03</v>
      </c>
    </row>
    <row r="1021" spans="1:8" ht="15" customHeight="1">
      <c r="A1021" s="118" t="s">
        <v>1029</v>
      </c>
      <c r="B1021" s="118" t="s">
        <v>19767</v>
      </c>
      <c r="C1021" s="119" t="s">
        <v>26720</v>
      </c>
      <c r="D1021" s="119" t="s">
        <v>26634</v>
      </c>
      <c r="E1021" s="119" t="s">
        <v>26643</v>
      </c>
      <c r="F1021" s="118"/>
      <c r="G1021" s="118"/>
      <c r="H1021" s="120"/>
    </row>
    <row r="1022" spans="1:8" ht="15" customHeight="1">
      <c r="A1022" s="121" t="str">
        <f>A1016</f>
        <v>Pilares</v>
      </c>
      <c r="B1022" s="122">
        <f>B1016</f>
        <v>1</v>
      </c>
      <c r="C1022" s="122">
        <f>C1016</f>
        <v>1.2</v>
      </c>
      <c r="D1022" s="122">
        <f>D1016</f>
        <v>0.5</v>
      </c>
      <c r="E1022" s="122">
        <v>0.05</v>
      </c>
      <c r="F1022" s="122"/>
      <c r="G1022" s="122"/>
      <c r="H1022" s="122">
        <f>B1022*C1022*D1022*E1022</f>
        <v>0.03</v>
      </c>
    </row>
    <row r="1023" spans="1:8" s="117" customFormat="1" ht="45" customHeight="1">
      <c r="A1023" s="115" t="s">
        <v>26629</v>
      </c>
      <c r="B1023" s="375" t="str">
        <f>VLOOKUP($A1023,SERVICOS,4,FALSE)</f>
        <v>Fôrma De Tábua De Madeira De 2.5X30.0Cm, Levando-Se Em Conta Utilização 1 Vez (Incluindo O Material, Corte, Montagem, Escoramento E Desforma)</v>
      </c>
      <c r="C1023" s="376"/>
      <c r="D1023" s="376"/>
      <c r="E1023" s="376"/>
      <c r="F1023" s="377"/>
      <c r="G1023" s="115" t="str">
        <f>VLOOKUP($A1023,SERVICOS,5,FALSE)</f>
        <v>m²</v>
      </c>
      <c r="H1023" s="116">
        <f>ROUND(SUM(H1025:H1025),2)</f>
        <v>0.6</v>
      </c>
    </row>
    <row r="1024" spans="1:8" ht="15" customHeight="1">
      <c r="A1024" s="118" t="s">
        <v>1029</v>
      </c>
      <c r="B1024" s="118" t="s">
        <v>19767</v>
      </c>
      <c r="C1024" s="119" t="s">
        <v>26720</v>
      </c>
      <c r="D1024" s="119" t="s">
        <v>26634</v>
      </c>
      <c r="E1024" s="119"/>
      <c r="F1024" s="118"/>
      <c r="G1024" s="118"/>
      <c r="H1024" s="120"/>
    </row>
    <row r="1025" spans="1:8" ht="15" customHeight="1">
      <c r="A1025" s="121" t="str">
        <f>A1019</f>
        <v>Pilares</v>
      </c>
      <c r="B1025" s="122">
        <f>B1019</f>
        <v>1</v>
      </c>
      <c r="C1025" s="122">
        <f>C1019</f>
        <v>1.2</v>
      </c>
      <c r="D1025" s="122">
        <f>D1019</f>
        <v>0.5</v>
      </c>
      <c r="E1025" s="122"/>
      <c r="F1025" s="122"/>
      <c r="G1025" s="122"/>
      <c r="H1025" s="122">
        <f>B1025*C1025*D1025</f>
        <v>0.6</v>
      </c>
    </row>
    <row r="1026" spans="1:8" s="117" customFormat="1" ht="194.25" customHeight="1">
      <c r="A1026" s="115" t="s">
        <v>29134</v>
      </c>
      <c r="B1026" s="375" t="str">
        <f>VLOOKUP($A1026,SERVICOS,4,FALSE)</f>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Instalação.(Desonerado)</v>
      </c>
      <c r="C1026" s="376"/>
      <c r="D1026" s="376"/>
      <c r="E1026" s="376"/>
      <c r="F1026" s="377"/>
      <c r="G1026" s="115" t="str">
        <f>VLOOKUP($A1026,SERVICOS,5,FALSE)</f>
        <v>un</v>
      </c>
      <c r="H1026" s="116">
        <f>ROUND(SUM(H1028:H1028),2)</f>
        <v>1</v>
      </c>
    </row>
    <row r="1027" spans="1:8" ht="15" customHeight="1">
      <c r="A1027" s="118" t="s">
        <v>1029</v>
      </c>
      <c r="B1027" s="118" t="s">
        <v>19767</v>
      </c>
      <c r="C1027" s="119"/>
      <c r="D1027" s="119"/>
      <c r="E1027" s="118"/>
      <c r="F1027" s="118"/>
      <c r="G1027" s="118"/>
      <c r="H1027" s="120"/>
    </row>
    <row r="1028" spans="1:8" ht="15" customHeight="1">
      <c r="A1028" s="121" t="s">
        <v>26737</v>
      </c>
      <c r="B1028" s="122">
        <v>1</v>
      </c>
      <c r="C1028" s="122"/>
      <c r="D1028" s="122"/>
      <c r="E1028" s="122"/>
      <c r="F1028" s="122"/>
      <c r="G1028" s="122"/>
      <c r="H1028" s="122">
        <f>B1028</f>
        <v>1</v>
      </c>
    </row>
    <row r="1029" spans="1:8" ht="15" customHeight="1">
      <c r="A1029" s="113" t="s">
        <v>26613</v>
      </c>
      <c r="B1029" s="378" t="str">
        <f>VLOOKUP($A1029,SERVICOS,4,FALSE)</f>
        <v>MOBILIÁRIO URBANO</v>
      </c>
      <c r="C1029" s="378"/>
      <c r="D1029" s="378"/>
      <c r="E1029" s="378"/>
      <c r="F1029" s="378"/>
      <c r="G1029" s="378">
        <f>VLOOKUP($A1029,SERVICOS,5,FALSE)</f>
        <v>0</v>
      </c>
      <c r="H1029" s="378" t="e">
        <f>ROUND(SUM(#REF!),2)</f>
        <v>#REF!</v>
      </c>
    </row>
    <row r="1030" spans="1:8" s="117" customFormat="1" ht="30" customHeight="1">
      <c r="A1030" s="115" t="s">
        <v>28670</v>
      </c>
      <c r="B1030" s="375" t="str">
        <f>VLOOKUP($A1030,SERVICOS,4,FALSE)</f>
        <v>Banco Para Praça Estilo Tamanduá Em Ripas De Madeira Maciça E Pés Em Ferro Fundido - Largura 1,5 M - 3 Lugares</v>
      </c>
      <c r="C1030" s="376"/>
      <c r="D1030" s="376"/>
      <c r="E1030" s="376"/>
      <c r="F1030" s="377"/>
      <c r="G1030" s="115" t="str">
        <f>VLOOKUP($A1030,SERVICOS,5,FALSE)</f>
        <v>und.</v>
      </c>
      <c r="H1030" s="116">
        <f>ROUND(SUM(H1032:H1032),2)</f>
        <v>12</v>
      </c>
    </row>
    <row r="1031" spans="1:8" ht="15" customHeight="1">
      <c r="A1031" s="118" t="s">
        <v>1029</v>
      </c>
      <c r="B1031" s="118" t="s">
        <v>19767</v>
      </c>
      <c r="C1031" s="119"/>
      <c r="D1031" s="119"/>
      <c r="E1031" s="118"/>
      <c r="F1031" s="118"/>
      <c r="G1031" s="118"/>
      <c r="H1031" s="120"/>
    </row>
    <row r="1032" spans="1:8" ht="15" customHeight="1">
      <c r="A1032" s="121" t="s">
        <v>26626</v>
      </c>
      <c r="B1032" s="122">
        <v>12</v>
      </c>
      <c r="C1032" s="122"/>
      <c r="D1032" s="122"/>
      <c r="E1032" s="122"/>
      <c r="F1032" s="122"/>
      <c r="G1032" s="122"/>
      <c r="H1032" s="122">
        <f>B1032</f>
        <v>12</v>
      </c>
    </row>
    <row r="1033" spans="1:8" s="117" customFormat="1" ht="30" customHeight="1">
      <c r="A1033" s="115" t="s">
        <v>28671</v>
      </c>
      <c r="B1033" s="375" t="str">
        <f>VLOOKUP($A1033,SERVICOS,4,FALSE)</f>
        <v>Lixeira Cilíndrica Em Tela Belinox Com Suporte De Tubos Galvanizados, Inclusive Pintura, Conforme Projeto - Fornecimento E Instalação</v>
      </c>
      <c r="C1033" s="376"/>
      <c r="D1033" s="376"/>
      <c r="E1033" s="376"/>
      <c r="F1033" s="377"/>
      <c r="G1033" s="115" t="str">
        <f>VLOOKUP($A1033,SERVICOS,5,FALSE)</f>
        <v>und.</v>
      </c>
      <c r="H1033" s="116">
        <f>ROUND(SUM(H1035:H1035),2)</f>
        <v>5</v>
      </c>
    </row>
    <row r="1034" spans="1:8" ht="15" customHeight="1">
      <c r="A1034" s="118" t="s">
        <v>1029</v>
      </c>
      <c r="B1034" s="118" t="s">
        <v>19767</v>
      </c>
      <c r="C1034" s="119"/>
      <c r="D1034" s="119"/>
      <c r="E1034" s="118"/>
      <c r="F1034" s="118"/>
      <c r="G1034" s="118"/>
      <c r="H1034" s="120"/>
    </row>
    <row r="1035" spans="1:8" ht="15" customHeight="1">
      <c r="A1035" s="121" t="s">
        <v>26625</v>
      </c>
      <c r="B1035" s="122">
        <v>5</v>
      </c>
      <c r="C1035" s="122"/>
      <c r="D1035" s="122"/>
      <c r="E1035" s="122"/>
      <c r="F1035" s="122"/>
      <c r="G1035" s="122"/>
      <c r="H1035" s="122">
        <f>B1035</f>
        <v>5</v>
      </c>
    </row>
    <row r="1036" spans="1:8" s="117" customFormat="1" ht="30" customHeight="1">
      <c r="A1036" s="115" t="s">
        <v>26694</v>
      </c>
      <c r="B1036" s="375" t="str">
        <f>VLOOKUP($A1036,SERVICOS,4,FALSE)</f>
        <v>Bicicletário Em Tubo De Ferro Galvanizado 1" E Ferro Liso 1/2", Inclusive Pintura, Conforme Projeto Padrão Sedu</v>
      </c>
      <c r="C1036" s="376"/>
      <c r="D1036" s="376"/>
      <c r="E1036" s="376"/>
      <c r="F1036" s="377"/>
      <c r="G1036" s="115" t="str">
        <f>VLOOKUP($A1036,SERVICOS,5,FALSE)</f>
        <v>m</v>
      </c>
      <c r="H1036" s="116">
        <f>ROUND(SUM(H1038:H1038),2)</f>
        <v>2</v>
      </c>
    </row>
    <row r="1037" spans="1:8" ht="15" customHeight="1">
      <c r="A1037" s="118" t="s">
        <v>1029</v>
      </c>
      <c r="B1037" s="118" t="s">
        <v>19767</v>
      </c>
      <c r="C1037" s="119"/>
      <c r="D1037" s="119"/>
      <c r="E1037" s="118"/>
      <c r="F1037" s="118"/>
      <c r="G1037" s="118"/>
      <c r="H1037" s="120"/>
    </row>
    <row r="1038" spans="1:8" ht="15" customHeight="1">
      <c r="A1038" s="121" t="s">
        <v>26646</v>
      </c>
      <c r="B1038" s="122">
        <v>2</v>
      </c>
      <c r="C1038" s="241" t="s">
        <v>26687</v>
      </c>
      <c r="D1038" s="122"/>
      <c r="E1038" s="122"/>
      <c r="F1038" s="122"/>
      <c r="G1038" s="122"/>
      <c r="H1038" s="122">
        <f>B1038</f>
        <v>2</v>
      </c>
    </row>
    <row r="1039" spans="1:8" s="117" customFormat="1" ht="30" customHeight="1">
      <c r="A1039" s="115" t="s">
        <v>26806</v>
      </c>
      <c r="B1039" s="375" t="str">
        <f>VLOOKUP($A1039,SERVICOS,4,FALSE)</f>
        <v>Bebedouro Elétrico Tipo Pressão Em Aço Inoxidável, Modelo De Pé, Adulto/Criança, Capacidade 80L/H.  Fornecimento.(Desonerado)</v>
      </c>
      <c r="C1039" s="376"/>
      <c r="D1039" s="376"/>
      <c r="E1039" s="376"/>
      <c r="F1039" s="377"/>
      <c r="G1039" s="115" t="str">
        <f>VLOOKUP($A1039,SERVICOS,5,FALSE)</f>
        <v>un</v>
      </c>
      <c r="H1039" s="116">
        <f>ROUND(SUM(H1041:H1041),2)</f>
        <v>2</v>
      </c>
    </row>
    <row r="1040" spans="1:8" ht="15" customHeight="1">
      <c r="A1040" s="118" t="s">
        <v>1029</v>
      </c>
      <c r="B1040" s="118" t="s">
        <v>19767</v>
      </c>
      <c r="C1040" s="119"/>
      <c r="D1040" s="119"/>
      <c r="E1040" s="118"/>
      <c r="F1040" s="118"/>
      <c r="G1040" s="118"/>
      <c r="H1040" s="120"/>
    </row>
    <row r="1041" spans="1:8" ht="15" customHeight="1">
      <c r="A1041" s="121" t="s">
        <v>26642</v>
      </c>
      <c r="B1041" s="122">
        <v>2</v>
      </c>
      <c r="C1041" s="241" t="s">
        <v>26645</v>
      </c>
      <c r="D1041" s="122"/>
      <c r="E1041" s="122"/>
      <c r="F1041" s="122"/>
      <c r="G1041" s="122"/>
      <c r="H1041" s="122">
        <f>B1041</f>
        <v>2</v>
      </c>
    </row>
    <row r="1042" spans="1:8" s="117" customFormat="1" ht="75" customHeight="1">
      <c r="A1042" s="115" t="s">
        <v>26807</v>
      </c>
      <c r="B1042" s="375" t="str">
        <f>VLOOKUP($A1042,SERVICOS,4,FALSE)</f>
        <v>Mesa De Jogos Com 4 Bancos, Tampo De Mesa Em Marmorite Armado, Na Cor Natural, Tendo No Centro Tabuleiro De Xadrez Em Marmorite Nas Cores Branca E Preta, Pés (Mesa E Bancos) De Concreto Armado, Conforme Projeto Fpj.  Fornecimento E Colocação.(Desonerado)</v>
      </c>
      <c r="C1042" s="376"/>
      <c r="D1042" s="376"/>
      <c r="E1042" s="376"/>
      <c r="F1042" s="377"/>
      <c r="G1042" s="115" t="str">
        <f>VLOOKUP($A1042,SERVICOS,5,FALSE)</f>
        <v>un</v>
      </c>
      <c r="H1042" s="116">
        <f>ROUND(SUM(H1044:H1044),2)</f>
        <v>1</v>
      </c>
    </row>
    <row r="1043" spans="1:8" ht="15" customHeight="1">
      <c r="A1043" s="118" t="s">
        <v>1029</v>
      </c>
      <c r="B1043" s="118" t="s">
        <v>19767</v>
      </c>
      <c r="C1043" s="119"/>
      <c r="D1043" s="119"/>
      <c r="E1043" s="118"/>
      <c r="F1043" s="118"/>
      <c r="G1043" s="118"/>
      <c r="H1043" s="120"/>
    </row>
    <row r="1044" spans="1:8" ht="15" customHeight="1">
      <c r="A1044" s="121" t="s">
        <v>26690</v>
      </c>
      <c r="B1044" s="122">
        <v>1</v>
      </c>
      <c r="C1044" s="241"/>
      <c r="D1044" s="122"/>
      <c r="E1044" s="122"/>
      <c r="F1044" s="122"/>
      <c r="G1044" s="122"/>
      <c r="H1044" s="122">
        <f>B1044</f>
        <v>1</v>
      </c>
    </row>
    <row r="1045" spans="1:8" s="117" customFormat="1" ht="60" customHeight="1">
      <c r="A1045" s="115" t="s">
        <v>28555</v>
      </c>
      <c r="B1045" s="375" t="str">
        <f>VLOOKUP($A1045,SERVICOS,4,FALSE)</f>
        <v>Escada Tipo Marinheiro De Tubo De Ferro 1" E 3/4" E Proteção Em Barra Chata De Ferro 1" X 3/16", Com Comprimento De 6,60 M, Para Acesso A Caixa D'Água, Fixado Com Argamassa, Inclusive Pintura Em Esmalte Sintético, Conforme Detalhe Em Projeto</v>
      </c>
      <c r="C1045" s="376"/>
      <c r="D1045" s="376"/>
      <c r="E1045" s="376"/>
      <c r="F1045" s="377"/>
      <c r="G1045" s="115" t="str">
        <f>VLOOKUP($A1045,SERVICOS,5,FALSE)</f>
        <v>und.</v>
      </c>
      <c r="H1045" s="116">
        <f>ROUND(SUM(H1047:H1047),2)</f>
        <v>1</v>
      </c>
    </row>
    <row r="1046" spans="1:8" ht="15" customHeight="1">
      <c r="A1046" s="118" t="s">
        <v>1029</v>
      </c>
      <c r="B1046" s="118" t="s">
        <v>19767</v>
      </c>
      <c r="C1046" s="119"/>
      <c r="D1046" s="119"/>
      <c r="E1046" s="118"/>
      <c r="F1046" s="118"/>
      <c r="G1046" s="118"/>
      <c r="H1046" s="120"/>
    </row>
    <row r="1047" spans="1:8" ht="15" customHeight="1">
      <c r="A1047" s="121" t="s">
        <v>26763</v>
      </c>
      <c r="B1047" s="122">
        <v>1</v>
      </c>
      <c r="C1047" s="241"/>
      <c r="D1047" s="122"/>
      <c r="E1047" s="122"/>
      <c r="F1047" s="122"/>
      <c r="G1047" s="122"/>
      <c r="H1047" s="122">
        <f>B1047</f>
        <v>1</v>
      </c>
    </row>
    <row r="1048" spans="1:8" s="117" customFormat="1" ht="45" customHeight="1">
      <c r="A1048" s="115" t="s">
        <v>28672</v>
      </c>
      <c r="B1048" s="375" t="str">
        <f>VLOOKUP($A1048,SERVICOS,4,FALSE)</f>
        <v>Escada Complementar De Tubo De Ferro 1" E 3/4", Com Comprimento De 1,80 M, Para Complemento Ao Acesso À Caixa D'Água, Inclusive Pintura Em Esmalte Sintético, Conforme Detalhe Em Projeto</v>
      </c>
      <c r="C1048" s="376"/>
      <c r="D1048" s="376"/>
      <c r="E1048" s="376"/>
      <c r="F1048" s="377"/>
      <c r="G1048" s="115" t="str">
        <f>VLOOKUP($A1048,SERVICOS,5,FALSE)</f>
        <v>und.</v>
      </c>
      <c r="H1048" s="116">
        <f>ROUND(SUM(H1050:H1050),2)</f>
        <v>1</v>
      </c>
    </row>
    <row r="1049" spans="1:8" ht="15" customHeight="1">
      <c r="A1049" s="118" t="s">
        <v>1029</v>
      </c>
      <c r="B1049" s="118" t="s">
        <v>19767</v>
      </c>
      <c r="C1049" s="119"/>
      <c r="D1049" s="119"/>
      <c r="E1049" s="118"/>
      <c r="F1049" s="118"/>
      <c r="G1049" s="118"/>
      <c r="H1049" s="120"/>
    </row>
    <row r="1050" spans="1:8" ht="15" customHeight="1">
      <c r="A1050" s="121" t="s">
        <v>26763</v>
      </c>
      <c r="B1050" s="122">
        <v>1</v>
      </c>
      <c r="C1050" s="241"/>
      <c r="D1050" s="122"/>
      <c r="E1050" s="122"/>
      <c r="F1050" s="122"/>
      <c r="G1050" s="122"/>
      <c r="H1050" s="122">
        <f>B1050</f>
        <v>1</v>
      </c>
    </row>
    <row r="1051" spans="1:8" ht="15" customHeight="1">
      <c r="A1051" s="113" t="s">
        <v>26614</v>
      </c>
      <c r="B1051" s="378" t="str">
        <f>VLOOKUP($A1051,SERVICOS,4,FALSE)</f>
        <v>PAISAGISMO</v>
      </c>
      <c r="C1051" s="378"/>
      <c r="D1051" s="378"/>
      <c r="E1051" s="378"/>
      <c r="F1051" s="378"/>
      <c r="G1051" s="378">
        <f>VLOOKUP($A1051,SERVICOS,5,FALSE)</f>
        <v>0</v>
      </c>
      <c r="H1051" s="378" t="e">
        <f>ROUND(SUM(#REF!),2)</f>
        <v>#REF!</v>
      </c>
    </row>
    <row r="1052" spans="1:8" s="117" customFormat="1" ht="15" customHeight="1">
      <c r="A1052" s="115" t="s">
        <v>26615</v>
      </c>
      <c r="B1052" s="375" t="str">
        <f>VLOOKUP($A1052,SERVICOS,4,FALSE)</f>
        <v>Plantio De Arbusto Ou  Cerca Viva. Af_05/2018</v>
      </c>
      <c r="C1052" s="376"/>
      <c r="D1052" s="376"/>
      <c r="E1052" s="376"/>
      <c r="F1052" s="377"/>
      <c r="G1052" s="115" t="str">
        <f>VLOOKUP($A1052,SERVICOS,5,FALSE)</f>
        <v>und</v>
      </c>
      <c r="H1052" s="116">
        <f>ROUND(SUM(H1054:H1056),2)</f>
        <v>59</v>
      </c>
    </row>
    <row r="1053" spans="1:8" ht="15" customHeight="1">
      <c r="A1053" s="118" t="s">
        <v>1029</v>
      </c>
      <c r="B1053" s="118" t="s">
        <v>19767</v>
      </c>
      <c r="C1053" s="119"/>
      <c r="D1053" s="119"/>
      <c r="E1053" s="118"/>
      <c r="F1053" s="118"/>
      <c r="G1053" s="118"/>
      <c r="H1053" s="120"/>
    </row>
    <row r="1054" spans="1:8" ht="15" customHeight="1">
      <c r="A1054" s="121" t="s">
        <v>26624</v>
      </c>
      <c r="B1054" s="122">
        <v>10</v>
      </c>
      <c r="C1054" s="122"/>
      <c r="D1054" s="122"/>
      <c r="E1054" s="122"/>
      <c r="F1054" s="122"/>
      <c r="G1054" s="122"/>
      <c r="H1054" s="122">
        <f>B1054</f>
        <v>10</v>
      </c>
    </row>
    <row r="1055" spans="1:8" ht="15" customHeight="1">
      <c r="A1055" s="121" t="s">
        <v>26673</v>
      </c>
      <c r="B1055" s="122">
        <v>22</v>
      </c>
      <c r="C1055" s="122"/>
      <c r="D1055" s="122"/>
      <c r="E1055" s="122"/>
      <c r="F1055" s="122"/>
      <c r="G1055" s="122"/>
      <c r="H1055" s="122">
        <f>B1055</f>
        <v>22</v>
      </c>
    </row>
    <row r="1056" spans="1:8" ht="15" customHeight="1">
      <c r="A1056" s="121" t="s">
        <v>26674</v>
      </c>
      <c r="B1056" s="122">
        <v>27</v>
      </c>
      <c r="C1056" s="122"/>
      <c r="D1056" s="122"/>
      <c r="E1056" s="122"/>
      <c r="F1056" s="122"/>
      <c r="G1056" s="122"/>
      <c r="H1056" s="122">
        <f>B1056</f>
        <v>27</v>
      </c>
    </row>
    <row r="1057" spans="1:8" s="117" customFormat="1" ht="30" customHeight="1">
      <c r="A1057" s="115" t="s">
        <v>26616</v>
      </c>
      <c r="B1057" s="375" t="str">
        <f>VLOOKUP($A1057,SERVICOS,4,FALSE)</f>
        <v>Plantio De Árvore Ornamental Com Altura De Muda Menor Ou Igual A 2,00 M. Af_05/2018</v>
      </c>
      <c r="C1057" s="376"/>
      <c r="D1057" s="376"/>
      <c r="E1057" s="376"/>
      <c r="F1057" s="377"/>
      <c r="G1057" s="115" t="str">
        <f>VLOOKUP($A1057,SERVICOS,5,FALSE)</f>
        <v>und</v>
      </c>
      <c r="H1057" s="116">
        <f>ROUND(SUM(H1059:H1061),2)</f>
        <v>11</v>
      </c>
    </row>
    <row r="1058" spans="1:8" ht="15" customHeight="1">
      <c r="A1058" s="118" t="s">
        <v>1029</v>
      </c>
      <c r="B1058" s="118" t="s">
        <v>19767</v>
      </c>
      <c r="C1058" s="119"/>
      <c r="D1058" s="119"/>
      <c r="E1058" s="118"/>
      <c r="F1058" s="118"/>
      <c r="G1058" s="118"/>
      <c r="H1058" s="120"/>
    </row>
    <row r="1059" spans="1:8" ht="15" customHeight="1">
      <c r="A1059" s="121" t="s">
        <v>28635</v>
      </c>
      <c r="B1059" s="122">
        <v>4</v>
      </c>
      <c r="C1059" s="122"/>
      <c r="D1059" s="122"/>
      <c r="E1059" s="122"/>
      <c r="F1059" s="122"/>
      <c r="G1059" s="122"/>
      <c r="H1059" s="122">
        <f>B1059</f>
        <v>4</v>
      </c>
    </row>
    <row r="1060" spans="1:8" ht="15" customHeight="1">
      <c r="A1060" s="121" t="s">
        <v>26678</v>
      </c>
      <c r="B1060" s="122">
        <v>4</v>
      </c>
      <c r="C1060" s="122"/>
      <c r="D1060" s="122"/>
      <c r="E1060" s="122"/>
      <c r="F1060" s="122"/>
      <c r="G1060" s="122"/>
      <c r="H1060" s="122">
        <f>B1060</f>
        <v>4</v>
      </c>
    </row>
    <row r="1061" spans="1:8" ht="15" customHeight="1">
      <c r="A1061" s="121" t="s">
        <v>26675</v>
      </c>
      <c r="B1061" s="122">
        <v>3</v>
      </c>
      <c r="C1061" s="122"/>
      <c r="D1061" s="122"/>
      <c r="E1061" s="122"/>
      <c r="F1061" s="122"/>
      <c r="G1061" s="122"/>
      <c r="H1061" s="122">
        <f>B1061</f>
        <v>3</v>
      </c>
    </row>
    <row r="1062" spans="1:8" s="117" customFormat="1" ht="30" customHeight="1">
      <c r="A1062" s="115" t="s">
        <v>26617</v>
      </c>
      <c r="B1062" s="375" t="str">
        <f>VLOOKUP($A1062,SERVICOS,4,FALSE)</f>
        <v>Plantio De Árvore Ornamental Com Altura De Muda Maior Que 2,00 M E Menor Ou Igual A 4,00 M. Af_05/2018</v>
      </c>
      <c r="C1062" s="376"/>
      <c r="D1062" s="376"/>
      <c r="E1062" s="376"/>
      <c r="F1062" s="377"/>
      <c r="G1062" s="115" t="str">
        <f>VLOOKUP($A1062,SERVICOS,5,FALSE)</f>
        <v>und</v>
      </c>
      <c r="H1062" s="116">
        <f>ROUND(SUM(H1064:H1065),2)</f>
        <v>2</v>
      </c>
    </row>
    <row r="1063" spans="1:8" ht="15" customHeight="1">
      <c r="A1063" s="118" t="s">
        <v>1029</v>
      </c>
      <c r="B1063" s="118" t="s">
        <v>19767</v>
      </c>
      <c r="C1063" s="119"/>
      <c r="D1063" s="119"/>
      <c r="E1063" s="118"/>
      <c r="F1063" s="118"/>
      <c r="G1063" s="118"/>
      <c r="H1063" s="120"/>
    </row>
    <row r="1064" spans="1:8" ht="15" customHeight="1">
      <c r="A1064" s="121" t="s">
        <v>26676</v>
      </c>
      <c r="B1064" s="122">
        <v>1</v>
      </c>
      <c r="C1064" s="122"/>
      <c r="D1064" s="122"/>
      <c r="E1064" s="122"/>
      <c r="F1064" s="122"/>
      <c r="G1064" s="122"/>
      <c r="H1064" s="122">
        <f>B1064</f>
        <v>1</v>
      </c>
    </row>
    <row r="1065" spans="1:8" ht="15" customHeight="1">
      <c r="A1065" s="121" t="s">
        <v>26677</v>
      </c>
      <c r="B1065" s="122">
        <v>1</v>
      </c>
      <c r="C1065" s="122"/>
      <c r="D1065" s="122"/>
      <c r="E1065" s="122"/>
      <c r="F1065" s="122"/>
      <c r="G1065" s="122"/>
      <c r="H1065" s="122">
        <f>B1065</f>
        <v>1</v>
      </c>
    </row>
    <row r="1066" spans="1:8" s="117" customFormat="1" ht="30" customHeight="1">
      <c r="A1066" s="115" t="s">
        <v>28673</v>
      </c>
      <c r="B1066" s="375" t="str">
        <f>VLOOKUP($A1066,SERVICOS,4,FALSE)</f>
        <v>Fornecimento E Plantio De Grama Em Placas Tipo Esmeralda, Inclusive Fornecimento De Terra Vegetal</v>
      </c>
      <c r="C1066" s="376"/>
      <c r="D1066" s="376"/>
      <c r="E1066" s="376"/>
      <c r="F1066" s="377"/>
      <c r="G1066" s="115" t="str">
        <f>VLOOKUP($A1066,SERVICOS,5,FALSE)</f>
        <v>m²</v>
      </c>
      <c r="H1066" s="116">
        <f>ROUND(SUM(H1068:H1068),2)</f>
        <v>178.91</v>
      </c>
    </row>
    <row r="1067" spans="1:8" ht="15" customHeight="1">
      <c r="A1067" s="118" t="s">
        <v>1029</v>
      </c>
      <c r="B1067" s="118" t="s">
        <v>19767</v>
      </c>
      <c r="C1067" s="119" t="s">
        <v>26630</v>
      </c>
      <c r="D1067" s="119"/>
      <c r="E1067" s="118"/>
      <c r="F1067" s="118"/>
      <c r="G1067" s="118"/>
      <c r="H1067" s="120"/>
    </row>
    <row r="1068" spans="1:8" ht="15" customHeight="1">
      <c r="A1068" s="121" t="s">
        <v>26672</v>
      </c>
      <c r="B1068" s="122">
        <v>1</v>
      </c>
      <c r="C1068" s="122">
        <f>55.01+30.14+87.61+6.15</f>
        <v>178.91</v>
      </c>
      <c r="D1068" s="122"/>
      <c r="E1068" s="122"/>
      <c r="F1068" s="122"/>
      <c r="G1068" s="122"/>
      <c r="H1068" s="122">
        <f>B1068*C1068</f>
        <v>178.91</v>
      </c>
    </row>
    <row r="1069" spans="1:8" s="117" customFormat="1" ht="15" customHeight="1">
      <c r="A1069" s="115" t="s">
        <v>29087</v>
      </c>
      <c r="B1069" s="375" t="str">
        <f>VLOOKUP($A1069,SERVICOS,4,FALSE)</f>
        <v>Aplicação De Adubo Em Solo. Af_05/2018</v>
      </c>
      <c r="C1069" s="376"/>
      <c r="D1069" s="376"/>
      <c r="E1069" s="376"/>
      <c r="F1069" s="377"/>
      <c r="G1069" s="115" t="str">
        <f>VLOOKUP($A1069,SERVICOS,5,FALSE)</f>
        <v>m²</v>
      </c>
      <c r="H1069" s="116">
        <f>ROUND(SUM(H1071:H1071),2)</f>
        <v>72</v>
      </c>
    </row>
    <row r="1070" spans="1:8" ht="15" customHeight="1">
      <c r="A1070" s="118" t="s">
        <v>1029</v>
      </c>
      <c r="B1070" s="118" t="s">
        <v>19767</v>
      </c>
      <c r="C1070" s="119" t="s">
        <v>26630</v>
      </c>
      <c r="D1070" s="119"/>
      <c r="E1070" s="118"/>
      <c r="F1070" s="118"/>
      <c r="G1070" s="118"/>
      <c r="H1070" s="120"/>
    </row>
    <row r="1071" spans="1:8" ht="15" customHeight="1">
      <c r="A1071" s="121" t="s">
        <v>29088</v>
      </c>
      <c r="B1071" s="122">
        <f>H1052+H1057+H1062</f>
        <v>72</v>
      </c>
      <c r="C1071" s="122">
        <v>1</v>
      </c>
      <c r="D1071" s="122"/>
      <c r="E1071" s="122"/>
      <c r="F1071" s="122"/>
      <c r="G1071" s="122"/>
      <c r="H1071" s="122">
        <f>B1071*C1071</f>
        <v>72</v>
      </c>
    </row>
    <row r="1072" spans="1:8" ht="15" customHeight="1">
      <c r="A1072" s="113" t="s">
        <v>26618</v>
      </c>
      <c r="B1072" s="378" t="str">
        <f>VLOOKUP($A1072,SERVICOS,4,FALSE)</f>
        <v>PAVIMENTAÇÃO EXTERNA</v>
      </c>
      <c r="C1072" s="378"/>
      <c r="D1072" s="378"/>
      <c r="E1072" s="378"/>
      <c r="F1072" s="378"/>
      <c r="G1072" s="378">
        <f>VLOOKUP($A1072,SERVICOS,5,FALSE)</f>
        <v>0</v>
      </c>
      <c r="H1072" s="378" t="e">
        <f>ROUND(SUM(#REF!),2)</f>
        <v>#REF!</v>
      </c>
    </row>
    <row r="1073" spans="1:8" s="117" customFormat="1" ht="30" customHeight="1">
      <c r="A1073" s="115" t="s">
        <v>26619</v>
      </c>
      <c r="B1073" s="375" t="str">
        <f>VLOOKUP($A1073,SERVICOS,4,FALSE)</f>
        <v>Regularização E Compactação De Subleito De Solo  Predominantemente Argiloso. Af_11/2019</v>
      </c>
      <c r="C1073" s="376"/>
      <c r="D1073" s="376"/>
      <c r="E1073" s="376"/>
      <c r="F1073" s="377"/>
      <c r="G1073" s="115" t="str">
        <f>VLOOKUP($A1073,SERVICOS,5,FALSE)</f>
        <v>m²</v>
      </c>
      <c r="H1073" s="116">
        <f>ROUND(SUM(H1075),2)</f>
        <v>579.55999999999995</v>
      </c>
    </row>
    <row r="1074" spans="1:8" ht="15" customHeight="1">
      <c r="A1074" s="118" t="s">
        <v>1029</v>
      </c>
      <c r="B1074" s="118" t="s">
        <v>19767</v>
      </c>
      <c r="C1074" s="119" t="s">
        <v>26630</v>
      </c>
      <c r="D1074" s="119"/>
      <c r="E1074" s="118"/>
      <c r="F1074" s="118"/>
      <c r="G1074" s="118"/>
      <c r="H1074" s="120"/>
    </row>
    <row r="1075" spans="1:8" ht="15" customHeight="1">
      <c r="A1075" s="121" t="s">
        <v>28788</v>
      </c>
      <c r="B1075" s="122">
        <v>1</v>
      </c>
      <c r="C1075" s="122">
        <f>C34-213.77</f>
        <v>579.56000000000006</v>
      </c>
      <c r="D1075" s="122"/>
      <c r="E1075" s="122"/>
      <c r="F1075" s="122"/>
      <c r="G1075" s="122"/>
      <c r="H1075" s="122">
        <f>B1075*C1075</f>
        <v>579.56000000000006</v>
      </c>
    </row>
    <row r="1076" spans="1:8" s="117" customFormat="1" ht="30" customHeight="1">
      <c r="A1076" s="115" t="s">
        <v>26620</v>
      </c>
      <c r="B1076" s="375" t="str">
        <f>VLOOKUP($A1076,SERVICOS,4,FALSE)</f>
        <v>Execução De Pátio/Estacionamento Em Piso Intertravado, Com Bloco Retangular Cor Natural De 20 X 10 Cm, Espessura 6 Cm. Af_12/2015</v>
      </c>
      <c r="C1076" s="376"/>
      <c r="D1076" s="376"/>
      <c r="E1076" s="376"/>
      <c r="F1076" s="377"/>
      <c r="G1076" s="115" t="str">
        <f>VLOOKUP($A1076,SERVICOS,5,FALSE)</f>
        <v>m²</v>
      </c>
      <c r="H1076" s="116">
        <f>ROUND(SUM(H1078:H1080),2)</f>
        <v>139.82</v>
      </c>
    </row>
    <row r="1077" spans="1:8" ht="15" customHeight="1">
      <c r="A1077" s="118" t="s">
        <v>1029</v>
      </c>
      <c r="B1077" s="118" t="s">
        <v>19767</v>
      </c>
      <c r="C1077" s="119" t="s">
        <v>26630</v>
      </c>
      <c r="D1077" s="119"/>
      <c r="E1077" s="118"/>
      <c r="F1077" s="118"/>
      <c r="G1077" s="118"/>
      <c r="H1077" s="120"/>
    </row>
    <row r="1078" spans="1:8" ht="15" customHeight="1">
      <c r="A1078" s="121" t="s">
        <v>26679</v>
      </c>
      <c r="B1078" s="122">
        <v>1</v>
      </c>
      <c r="C1078" s="122">
        <f>66.62+7.15</f>
        <v>73.77000000000001</v>
      </c>
      <c r="D1078" s="122"/>
      <c r="E1078" s="122"/>
      <c r="F1078" s="122"/>
      <c r="G1078" s="122"/>
      <c r="H1078" s="122">
        <f>B1078*C1078</f>
        <v>73.77000000000001</v>
      </c>
    </row>
    <row r="1079" spans="1:8" ht="15" customHeight="1">
      <c r="A1079" s="121" t="s">
        <v>26680</v>
      </c>
      <c r="B1079" s="122">
        <v>1</v>
      </c>
      <c r="C1079" s="122">
        <f>5.5+32.84</f>
        <v>38.340000000000003</v>
      </c>
      <c r="D1079" s="122"/>
      <c r="E1079" s="122"/>
      <c r="F1079" s="122"/>
      <c r="G1079" s="122"/>
      <c r="H1079" s="122">
        <f>B1079*C1079</f>
        <v>38.340000000000003</v>
      </c>
    </row>
    <row r="1080" spans="1:8" ht="15" customHeight="1">
      <c r="A1080" s="121" t="s">
        <v>26681</v>
      </c>
      <c r="B1080" s="122">
        <v>1</v>
      </c>
      <c r="C1080" s="122">
        <v>27.71</v>
      </c>
      <c r="D1080" s="122"/>
      <c r="E1080" s="122"/>
      <c r="F1080" s="122"/>
      <c r="G1080" s="122"/>
      <c r="H1080" s="122">
        <f>B1080*C1080</f>
        <v>27.71</v>
      </c>
    </row>
    <row r="1081" spans="1:8" s="117" customFormat="1" ht="60" customHeight="1">
      <c r="A1081" s="115" t="s">
        <v>26808</v>
      </c>
      <c r="B1081" s="375" t="str">
        <f>VLOOKUP($A1081,SERVICOS,4,FALSE)</f>
        <v>Assentamento De Guia (Meio-Fio) Em Trecho Reto, Confeccionada Em Concreto Pré-Fabricado, Dimensões 100X15X13X30 Cm (Comprimento X Base Inferior X Base Superior X Altura), Para Vias Urbanas (Uso Viário). Af_06/2016</v>
      </c>
      <c r="C1081" s="376"/>
      <c r="D1081" s="376"/>
      <c r="E1081" s="376"/>
      <c r="F1081" s="377"/>
      <c r="G1081" s="115" t="str">
        <f>VLOOKUP($A1081,SERVICOS,5,FALSE)</f>
        <v>m</v>
      </c>
      <c r="H1081" s="116">
        <f>ROUND(SUM(H1083:H1086),2)</f>
        <v>114.68</v>
      </c>
    </row>
    <row r="1082" spans="1:8" ht="15" customHeight="1">
      <c r="A1082" s="118" t="s">
        <v>1029</v>
      </c>
      <c r="B1082" s="118" t="s">
        <v>19767</v>
      </c>
      <c r="C1082" s="119" t="s">
        <v>19769</v>
      </c>
      <c r="D1082" s="119"/>
      <c r="E1082" s="118"/>
      <c r="F1082" s="118"/>
      <c r="G1082" s="118"/>
      <c r="H1082" s="120"/>
    </row>
    <row r="1083" spans="1:8" ht="15" customHeight="1">
      <c r="A1083" s="121" t="s">
        <v>26654</v>
      </c>
      <c r="B1083" s="122">
        <v>1</v>
      </c>
      <c r="C1083" s="122">
        <v>31.16</v>
      </c>
      <c r="D1083" s="122"/>
      <c r="E1083" s="122"/>
      <c r="F1083" s="122"/>
      <c r="G1083" s="122"/>
      <c r="H1083" s="122">
        <f>B1083*C1083</f>
        <v>31.16</v>
      </c>
    </row>
    <row r="1084" spans="1:8" ht="15" customHeight="1">
      <c r="A1084" s="121" t="s">
        <v>26656</v>
      </c>
      <c r="B1084" s="122">
        <v>1</v>
      </c>
      <c r="C1084" s="122">
        <v>19.34</v>
      </c>
      <c r="D1084" s="122"/>
      <c r="E1084" s="122"/>
      <c r="F1084" s="122"/>
      <c r="G1084" s="122"/>
      <c r="H1084" s="122">
        <f>B1084*C1084</f>
        <v>19.34</v>
      </c>
    </row>
    <row r="1085" spans="1:8" ht="15" customHeight="1">
      <c r="A1085" s="121" t="s">
        <v>26657</v>
      </c>
      <c r="B1085" s="122">
        <v>1</v>
      </c>
      <c r="C1085" s="122">
        <v>59.8</v>
      </c>
      <c r="D1085" s="122"/>
      <c r="E1085" s="122"/>
      <c r="F1085" s="122"/>
      <c r="G1085" s="122"/>
      <c r="H1085" s="122">
        <f>B1085*C1085</f>
        <v>59.8</v>
      </c>
    </row>
    <row r="1086" spans="1:8" ht="15" customHeight="1">
      <c r="A1086" s="121" t="s">
        <v>26658</v>
      </c>
      <c r="B1086" s="122">
        <v>1</v>
      </c>
      <c r="C1086" s="122">
        <v>4.38</v>
      </c>
      <c r="D1086" s="122"/>
      <c r="E1086" s="122"/>
      <c r="F1086" s="122"/>
      <c r="G1086" s="122"/>
      <c r="H1086" s="122">
        <f>B1086*C1086</f>
        <v>4.38</v>
      </c>
    </row>
    <row r="1087" spans="1:8" s="117" customFormat="1" ht="45" customHeight="1">
      <c r="A1087" s="115" t="s">
        <v>28787</v>
      </c>
      <c r="B1087" s="375" t="str">
        <f>VLOOKUP($A1087,SERVICOS,4,FALSE)</f>
        <v>Execução De Passeio (Calçada) Ou Piso De Concreto Com Concreto Moldado In Loco, Feito Em Obra, Acabamento Convencional, Espessura 8 Cm, Armado. Af_07/2016</v>
      </c>
      <c r="C1087" s="376"/>
      <c r="D1087" s="376"/>
      <c r="E1087" s="376"/>
      <c r="F1087" s="377"/>
      <c r="G1087" s="115" t="str">
        <f>VLOOKUP($A1087,SERVICOS,5,FALSE)</f>
        <v>m²</v>
      </c>
      <c r="H1087" s="116">
        <f>ROUND(SUM(H1090:H1101),2)</f>
        <v>58.27</v>
      </c>
    </row>
    <row r="1088" spans="1:8" ht="15" customHeight="1">
      <c r="A1088" s="118" t="s">
        <v>1029</v>
      </c>
      <c r="B1088" s="118" t="s">
        <v>19767</v>
      </c>
      <c r="C1088" s="119" t="s">
        <v>19768</v>
      </c>
      <c r="D1088" s="119" t="s">
        <v>19769</v>
      </c>
      <c r="E1088" s="119" t="s">
        <v>26630</v>
      </c>
      <c r="F1088" s="118"/>
      <c r="G1088" s="118"/>
      <c r="H1088" s="120"/>
    </row>
    <row r="1089" spans="1:8" ht="15" customHeight="1">
      <c r="A1089" s="255" t="s">
        <v>26790</v>
      </c>
      <c r="B1089" s="252"/>
      <c r="C1089" s="253"/>
      <c r="D1089" s="253"/>
      <c r="E1089" s="253"/>
      <c r="F1089" s="252"/>
      <c r="G1089" s="252"/>
      <c r="H1089" s="254"/>
    </row>
    <row r="1090" spans="1:8" ht="15" customHeight="1">
      <c r="A1090" s="121" t="s">
        <v>26695</v>
      </c>
      <c r="B1090" s="122">
        <v>3</v>
      </c>
      <c r="C1090" s="122">
        <v>0.6</v>
      </c>
      <c r="D1090" s="122">
        <v>2</v>
      </c>
      <c r="E1090" s="122">
        <f>C1090*D1090</f>
        <v>1.2</v>
      </c>
      <c r="F1090" s="122"/>
      <c r="G1090" s="122"/>
      <c r="H1090" s="122">
        <f>B1090*E1090</f>
        <v>3.5999999999999996</v>
      </c>
    </row>
    <row r="1091" spans="1:8" ht="15" customHeight="1">
      <c r="A1091" s="121" t="s">
        <v>26696</v>
      </c>
      <c r="B1091" s="122">
        <v>2</v>
      </c>
      <c r="C1091" s="122">
        <v>0.6</v>
      </c>
      <c r="D1091" s="122">
        <v>1.6</v>
      </c>
      <c r="E1091" s="122">
        <f t="shared" ref="E1091:E1093" si="119">C1091*D1091</f>
        <v>0.96</v>
      </c>
      <c r="F1091" s="122"/>
      <c r="G1091" s="122"/>
      <c r="H1091" s="122">
        <f t="shared" ref="H1091:H1093" si="120">B1091*E1091</f>
        <v>1.92</v>
      </c>
    </row>
    <row r="1092" spans="1:8" ht="15" customHeight="1">
      <c r="A1092" s="121" t="s">
        <v>26697</v>
      </c>
      <c r="B1092" s="122">
        <v>1</v>
      </c>
      <c r="C1092" s="122">
        <v>0.6</v>
      </c>
      <c r="D1092" s="122">
        <v>1.3</v>
      </c>
      <c r="E1092" s="122">
        <f t="shared" si="119"/>
        <v>0.78</v>
      </c>
      <c r="F1092" s="122"/>
      <c r="G1092" s="122"/>
      <c r="H1092" s="122">
        <f t="shared" si="120"/>
        <v>0.78</v>
      </c>
    </row>
    <row r="1093" spans="1:8" ht="15" customHeight="1">
      <c r="A1093" s="121" t="s">
        <v>26698</v>
      </c>
      <c r="B1093" s="122">
        <v>1</v>
      </c>
      <c r="C1093" s="122">
        <v>0.6</v>
      </c>
      <c r="D1093" s="122">
        <v>1.5</v>
      </c>
      <c r="E1093" s="122">
        <f t="shared" si="119"/>
        <v>0.89999999999999991</v>
      </c>
      <c r="F1093" s="122"/>
      <c r="G1093" s="122"/>
      <c r="H1093" s="122">
        <f t="shared" si="120"/>
        <v>0.89999999999999991</v>
      </c>
    </row>
    <row r="1094" spans="1:8" ht="15" customHeight="1">
      <c r="A1094" s="251" t="s">
        <v>26791</v>
      </c>
      <c r="B1094" s="122"/>
      <c r="C1094" s="122"/>
      <c r="D1094" s="122"/>
      <c r="E1094" s="122"/>
      <c r="F1094" s="122"/>
      <c r="G1094" s="122"/>
      <c r="H1094" s="122"/>
    </row>
    <row r="1095" spans="1:8" ht="15" customHeight="1">
      <c r="A1095" s="121" t="s">
        <v>26654</v>
      </c>
      <c r="B1095" s="122">
        <v>1</v>
      </c>
      <c r="C1095" s="122"/>
      <c r="D1095" s="122"/>
      <c r="E1095" s="122">
        <v>4.62</v>
      </c>
      <c r="F1095" s="122"/>
      <c r="G1095" s="122"/>
      <c r="H1095" s="122">
        <f>B1095*E1095</f>
        <v>4.62</v>
      </c>
    </row>
    <row r="1096" spans="1:8" ht="15" customHeight="1">
      <c r="A1096" s="121" t="s">
        <v>26656</v>
      </c>
      <c r="B1096" s="122">
        <v>1</v>
      </c>
      <c r="C1096" s="122"/>
      <c r="D1096" s="122"/>
      <c r="E1096" s="122">
        <v>8.48</v>
      </c>
      <c r="F1096" s="122"/>
      <c r="G1096" s="122"/>
      <c r="H1096" s="122">
        <f>B1096*E1096</f>
        <v>8.48</v>
      </c>
    </row>
    <row r="1097" spans="1:8" ht="15" customHeight="1">
      <c r="A1097" s="121" t="s">
        <v>26657</v>
      </c>
      <c r="B1097" s="122">
        <v>1</v>
      </c>
      <c r="C1097" s="122"/>
      <c r="D1097" s="122"/>
      <c r="E1097" s="122">
        <v>10.83</v>
      </c>
      <c r="F1097" s="122"/>
      <c r="G1097" s="122"/>
      <c r="H1097" s="122">
        <f>B1097*E1097</f>
        <v>10.83</v>
      </c>
    </row>
    <row r="1098" spans="1:8" ht="15" customHeight="1">
      <c r="A1098" s="251" t="s">
        <v>28532</v>
      </c>
      <c r="B1098" s="122"/>
      <c r="C1098" s="122"/>
      <c r="D1098" s="122"/>
      <c r="E1098" s="122"/>
      <c r="F1098" s="122"/>
      <c r="G1098" s="122"/>
      <c r="H1098" s="122"/>
    </row>
    <row r="1099" spans="1:8" ht="15" customHeight="1">
      <c r="A1099" s="121" t="s">
        <v>26654</v>
      </c>
      <c r="B1099" s="122">
        <v>1</v>
      </c>
      <c r="C1099" s="122"/>
      <c r="D1099" s="122"/>
      <c r="E1099" s="122">
        <v>19.940000000000001</v>
      </c>
      <c r="F1099" s="122"/>
      <c r="G1099" s="122"/>
      <c r="H1099" s="122">
        <f>B1099*E1099</f>
        <v>19.940000000000001</v>
      </c>
    </row>
    <row r="1100" spans="1:8" ht="15" customHeight="1">
      <c r="A1100" s="121" t="s">
        <v>26656</v>
      </c>
      <c r="B1100" s="122">
        <v>1</v>
      </c>
      <c r="C1100" s="122"/>
      <c r="D1100" s="122"/>
      <c r="E1100" s="122">
        <v>4.84</v>
      </c>
      <c r="F1100" s="122"/>
      <c r="G1100" s="122"/>
      <c r="H1100" s="122">
        <f>B1100*E1100</f>
        <v>4.84</v>
      </c>
    </row>
    <row r="1101" spans="1:8" ht="15" customHeight="1">
      <c r="A1101" s="121" t="s">
        <v>26657</v>
      </c>
      <c r="B1101" s="122">
        <v>1</v>
      </c>
      <c r="C1101" s="122"/>
      <c r="D1101" s="122"/>
      <c r="E1101" s="122">
        <v>2.36</v>
      </c>
      <c r="F1101" s="122"/>
      <c r="G1101" s="122"/>
      <c r="H1101" s="122">
        <f>B1101*E1101</f>
        <v>2.36</v>
      </c>
    </row>
    <row r="1102" spans="1:8" ht="15" customHeight="1">
      <c r="A1102" s="113" t="s">
        <v>26809</v>
      </c>
      <c r="B1102" s="378" t="str">
        <f>VLOOKUP($A1102,SERVICOS,4,FALSE)</f>
        <v>CALÇADA CIDADÃ</v>
      </c>
      <c r="C1102" s="378"/>
      <c r="D1102" s="378"/>
      <c r="E1102" s="378"/>
      <c r="F1102" s="378"/>
      <c r="G1102" s="378">
        <f>VLOOKUP($A1102,SERVICOS,5,FALSE)</f>
        <v>0</v>
      </c>
      <c r="H1102" s="378" t="e">
        <f>ROUND(SUM(#REF!),2)</f>
        <v>#REF!</v>
      </c>
    </row>
    <row r="1103" spans="1:8" s="117" customFormat="1" ht="45" customHeight="1">
      <c r="A1103" s="115" t="s">
        <v>26810</v>
      </c>
      <c r="B1103" s="375" t="str">
        <f>VLOOKUP($A1103,SERVICOS,4,FALSE)</f>
        <v>Execução De Passeio (Calçada) Ou Piso De Concreto Com Concreto Moldado In Loco, Feito Em Obra, Acabamento Convencional, Espessura 8 Cm, Armado. Af_07/2016</v>
      </c>
      <c r="C1103" s="376"/>
      <c r="D1103" s="376"/>
      <c r="E1103" s="376"/>
      <c r="F1103" s="377"/>
      <c r="G1103" s="115" t="str">
        <f>VLOOKUP($A1103,SERVICOS,5,FALSE)</f>
        <v>m²</v>
      </c>
      <c r="H1103" s="116">
        <f>ROUND(SUM(H1105:H1107),2)</f>
        <v>112.65</v>
      </c>
    </row>
    <row r="1104" spans="1:8" ht="15" customHeight="1">
      <c r="A1104" s="118" t="s">
        <v>1029</v>
      </c>
      <c r="B1104" s="118" t="s">
        <v>19767</v>
      </c>
      <c r="C1104" s="119" t="s">
        <v>26630</v>
      </c>
      <c r="D1104" s="119"/>
      <c r="E1104" s="118"/>
      <c r="F1104" s="118"/>
      <c r="G1104" s="118"/>
      <c r="H1104" s="120"/>
    </row>
    <row r="1105" spans="1:8" ht="15" customHeight="1">
      <c r="A1105" s="121" t="s">
        <v>26682</v>
      </c>
      <c r="B1105" s="122">
        <v>1</v>
      </c>
      <c r="C1105" s="122">
        <v>101.71</v>
      </c>
      <c r="D1105" s="241"/>
      <c r="E1105" s="122"/>
      <c r="F1105" s="122"/>
      <c r="G1105" s="122"/>
      <c r="H1105" s="122">
        <f>B1105*C1105</f>
        <v>101.71</v>
      </c>
    </row>
    <row r="1106" spans="1:8" ht="15" customHeight="1">
      <c r="A1106" s="121" t="s">
        <v>26684</v>
      </c>
      <c r="B1106" s="122">
        <v>1</v>
      </c>
      <c r="C1106" s="122">
        <v>7.2</v>
      </c>
      <c r="D1106" s="241" t="s">
        <v>28636</v>
      </c>
      <c r="E1106" s="122"/>
      <c r="F1106" s="122"/>
      <c r="G1106" s="122"/>
      <c r="H1106" s="122">
        <f>B1106*C1106</f>
        <v>7.2</v>
      </c>
    </row>
    <row r="1107" spans="1:8" ht="15" customHeight="1">
      <c r="A1107" s="121" t="s">
        <v>26684</v>
      </c>
      <c r="B1107" s="122">
        <v>2</v>
      </c>
      <c r="C1107" s="122">
        <v>1.87</v>
      </c>
      <c r="D1107" s="241" t="s">
        <v>28637</v>
      </c>
      <c r="E1107" s="122"/>
      <c r="F1107" s="122"/>
      <c r="G1107" s="122"/>
      <c r="H1107" s="122">
        <f>B1107*C1107</f>
        <v>3.74</v>
      </c>
    </row>
    <row r="1108" spans="1:8" s="117" customFormat="1" ht="45" customHeight="1">
      <c r="A1108" s="115" t="s">
        <v>26811</v>
      </c>
      <c r="B1108" s="375" t="str">
        <f>VLOOKUP($A1108,SERVICOS,4,FALSE)</f>
        <v>Execução De Passeio (Calçada) Ou Piso De Concreto Com Concreto Moldado In Loco, Usinado, Acabamento Convencional, Não Armado. Af_07/2016</v>
      </c>
      <c r="C1108" s="376"/>
      <c r="D1108" s="376"/>
      <c r="E1108" s="376"/>
      <c r="F1108" s="377"/>
      <c r="G1108" s="115" t="str">
        <f>VLOOKUP($A1108,SERVICOS,5,FALSE)</f>
        <v>m³</v>
      </c>
      <c r="H1108" s="116">
        <f>ROUND(SUM(H1110:H1113),2)</f>
        <v>4.97</v>
      </c>
    </row>
    <row r="1109" spans="1:8" ht="15" customHeight="1">
      <c r="A1109" s="118" t="s">
        <v>1029</v>
      </c>
      <c r="B1109" s="118" t="s">
        <v>19767</v>
      </c>
      <c r="C1109" s="119" t="s">
        <v>26630</v>
      </c>
      <c r="D1109" s="119" t="s">
        <v>26643</v>
      </c>
      <c r="E1109" s="118"/>
      <c r="F1109" s="118"/>
      <c r="G1109" s="118"/>
      <c r="H1109" s="120"/>
    </row>
    <row r="1110" spans="1:8" ht="15" customHeight="1">
      <c r="A1110" s="121" t="s">
        <v>26683</v>
      </c>
      <c r="B1110" s="122">
        <v>1</v>
      </c>
      <c r="C1110" s="122">
        <v>26.68</v>
      </c>
      <c r="D1110" s="122">
        <v>0.04</v>
      </c>
      <c r="E1110" s="122"/>
      <c r="F1110" s="122"/>
      <c r="G1110" s="122"/>
      <c r="H1110" s="122">
        <f>B1110*C1110*D1110</f>
        <v>1.0671999999999999</v>
      </c>
    </row>
    <row r="1111" spans="1:8" ht="15" customHeight="1">
      <c r="A1111" s="121" t="s">
        <v>28696</v>
      </c>
      <c r="B1111" s="122">
        <v>3</v>
      </c>
      <c r="C1111" s="122">
        <v>0.62</v>
      </c>
      <c r="D1111" s="122">
        <v>0.04</v>
      </c>
      <c r="E1111" s="122"/>
      <c r="F1111" s="122"/>
      <c r="G1111" s="122"/>
      <c r="H1111" s="122">
        <f>B1111*C1111</f>
        <v>1.8599999999999999</v>
      </c>
    </row>
    <row r="1112" spans="1:8" ht="15" customHeight="1">
      <c r="A1112" s="121" t="s">
        <v>28696</v>
      </c>
      <c r="B1112" s="122">
        <v>1</v>
      </c>
      <c r="C1112" s="122">
        <v>0.84</v>
      </c>
      <c r="D1112" s="122">
        <v>0.04</v>
      </c>
      <c r="E1112" s="122"/>
      <c r="F1112" s="122"/>
      <c r="G1112" s="122"/>
      <c r="H1112" s="122">
        <f>B1112*C1112</f>
        <v>0.84</v>
      </c>
    </row>
    <row r="1113" spans="1:8" ht="15" customHeight="1">
      <c r="A1113" s="121" t="s">
        <v>26684</v>
      </c>
      <c r="B1113" s="122">
        <v>2</v>
      </c>
      <c r="C1113" s="122">
        <v>0.6</v>
      </c>
      <c r="D1113" s="122">
        <v>0.04</v>
      </c>
      <c r="E1113" s="122"/>
      <c r="F1113" s="122"/>
      <c r="G1113" s="122"/>
      <c r="H1113" s="122">
        <f>B1113*C1113</f>
        <v>1.2</v>
      </c>
    </row>
    <row r="1114" spans="1:8" s="117" customFormat="1" ht="45" customHeight="1">
      <c r="A1114" s="115" t="s">
        <v>28674</v>
      </c>
      <c r="B1114" s="375" t="str">
        <f>VLOOKUP($A1114,SERVICOS,4,FALSE)</f>
        <v>Fornecimento E Assentamento De Ladrilho Hidráulico Pastilhado, Vermelho, Dim. 20X20 Cm, Esp. 1.5Cm, Assentado Com Pasta De Cimento Colante, Exclusive Regularização E Lastro</v>
      </c>
      <c r="C1114" s="376"/>
      <c r="D1114" s="376"/>
      <c r="E1114" s="376"/>
      <c r="F1114" s="377"/>
      <c r="G1114" s="115" t="str">
        <f>VLOOKUP($A1114,SERVICOS,5,FALSE)</f>
        <v>m²</v>
      </c>
      <c r="H1114" s="116">
        <f>ROUND(SUM(H1116:H1119),2)</f>
        <v>30.58</v>
      </c>
    </row>
    <row r="1115" spans="1:8" ht="15" customHeight="1">
      <c r="A1115" s="118" t="s">
        <v>1029</v>
      </c>
      <c r="B1115" s="118" t="s">
        <v>19767</v>
      </c>
      <c r="C1115" s="119" t="s">
        <v>26630</v>
      </c>
      <c r="D1115" s="119"/>
      <c r="E1115" s="118"/>
      <c r="F1115" s="118"/>
      <c r="G1115" s="118"/>
      <c r="H1115" s="120"/>
    </row>
    <row r="1116" spans="1:8" ht="15" customHeight="1">
      <c r="A1116" s="121" t="str">
        <f>A1110</f>
        <v>Ladriho</v>
      </c>
      <c r="B1116" s="122">
        <f>B1110</f>
        <v>1</v>
      </c>
      <c r="C1116" s="122">
        <f>C1110</f>
        <v>26.68</v>
      </c>
      <c r="D1116" s="122"/>
      <c r="E1116" s="122"/>
      <c r="F1116" s="122"/>
      <c r="G1116" s="122"/>
      <c r="H1116" s="122">
        <f>B1116*C1116</f>
        <v>26.68</v>
      </c>
    </row>
    <row r="1117" spans="1:8" ht="15" customHeight="1">
      <c r="A1117" s="121" t="str">
        <f>A1111</f>
        <v>Entorno árvores</v>
      </c>
      <c r="B1117" s="122">
        <f>B1111</f>
        <v>3</v>
      </c>
      <c r="C1117" s="122">
        <f t="shared" ref="C1117" si="121">C1111</f>
        <v>0.62</v>
      </c>
      <c r="D1117" s="122"/>
      <c r="E1117" s="122"/>
      <c r="F1117" s="122"/>
      <c r="G1117" s="122"/>
      <c r="H1117" s="122">
        <f>B1117*C1117</f>
        <v>1.8599999999999999</v>
      </c>
    </row>
    <row r="1118" spans="1:8" ht="15" customHeight="1">
      <c r="A1118" s="121" t="str">
        <f t="shared" ref="A1118:B1119" si="122">A1112</f>
        <v>Entorno árvores</v>
      </c>
      <c r="B1118" s="122">
        <f t="shared" si="122"/>
        <v>1</v>
      </c>
      <c r="C1118" s="122">
        <f t="shared" ref="C1118:C1119" si="123">C1112</f>
        <v>0.84</v>
      </c>
      <c r="D1118" s="122"/>
      <c r="E1118" s="122"/>
      <c r="F1118" s="122"/>
      <c r="G1118" s="122"/>
      <c r="H1118" s="122">
        <f>B1118*C1118</f>
        <v>0.84</v>
      </c>
    </row>
    <row r="1119" spans="1:8" ht="15" customHeight="1">
      <c r="A1119" s="121" t="str">
        <f t="shared" si="122"/>
        <v>Rampas acesso</v>
      </c>
      <c r="B1119" s="122">
        <f t="shared" si="122"/>
        <v>2</v>
      </c>
      <c r="C1119" s="122">
        <f t="shared" si="123"/>
        <v>0.6</v>
      </c>
      <c r="D1119" s="122"/>
      <c r="E1119" s="122"/>
      <c r="F1119" s="122"/>
      <c r="G1119" s="122"/>
      <c r="H1119" s="122">
        <f>B1119*C1119</f>
        <v>1.2</v>
      </c>
    </row>
    <row r="1120" spans="1:8" s="117" customFormat="1" ht="60" customHeight="1">
      <c r="A1120" s="115" t="s">
        <v>28675</v>
      </c>
      <c r="B1120" s="375" t="str">
        <f>VLOOKUP($A1120,SERVICOS,4,FALSE)</f>
        <v>Assentamento De Guia (Meio-Fio) Em Trecho Reto, Confeccionada Em Concreto Pré-Fabricado, Dimensões 100X15X13X30 Cm (Comprimento X Base Inferior X Base Superior X Altura), Para Vias Urbanas (Uso Viário). Af_06/2016</v>
      </c>
      <c r="C1120" s="376"/>
      <c r="D1120" s="376"/>
      <c r="E1120" s="376"/>
      <c r="F1120" s="377"/>
      <c r="G1120" s="115" t="str">
        <f>VLOOKUP($A1120,SERVICOS,5,FALSE)</f>
        <v>m</v>
      </c>
      <c r="H1120" s="116">
        <f>ROUND(SUM(H1122:H1125),2)</f>
        <v>79.239999999999995</v>
      </c>
    </row>
    <row r="1121" spans="1:8" ht="15" customHeight="1">
      <c r="A1121" s="118" t="s">
        <v>1029</v>
      </c>
      <c r="B1121" s="118" t="s">
        <v>19767</v>
      </c>
      <c r="C1121" s="119" t="s">
        <v>19769</v>
      </c>
      <c r="D1121" s="119"/>
      <c r="E1121" s="118"/>
      <c r="F1121" s="118"/>
      <c r="G1121" s="118"/>
      <c r="H1121" s="120"/>
    </row>
    <row r="1122" spans="1:8" ht="15" customHeight="1">
      <c r="A1122" s="121" t="s">
        <v>26651</v>
      </c>
      <c r="B1122" s="122">
        <v>1</v>
      </c>
      <c r="C1122" s="122">
        <f>37-4.5</f>
        <v>32.5</v>
      </c>
      <c r="D1122" s="122"/>
      <c r="E1122" s="122"/>
      <c r="F1122" s="122"/>
      <c r="G1122" s="122"/>
      <c r="H1122" s="122">
        <f>B1122*C1122</f>
        <v>32.5</v>
      </c>
    </row>
    <row r="1123" spans="1:8" ht="15" customHeight="1">
      <c r="A1123" s="121" t="s">
        <v>26622</v>
      </c>
      <c r="B1123" s="122">
        <v>1</v>
      </c>
      <c r="C1123" s="122">
        <v>30.14</v>
      </c>
      <c r="D1123" s="241" t="s">
        <v>26686</v>
      </c>
      <c r="E1123" s="122"/>
      <c r="F1123" s="122"/>
      <c r="G1123" s="122"/>
      <c r="H1123" s="122">
        <f>B1123*C1123</f>
        <v>30.14</v>
      </c>
    </row>
    <row r="1124" spans="1:8" ht="25.5">
      <c r="A1124" s="240" t="s">
        <v>28638</v>
      </c>
      <c r="B1124" s="122">
        <v>3</v>
      </c>
      <c r="C1124" s="122">
        <f>0.9*4</f>
        <v>3.6</v>
      </c>
      <c r="D1124" s="241" t="s">
        <v>26792</v>
      </c>
      <c r="E1124" s="122"/>
      <c r="F1124" s="122"/>
      <c r="G1124" s="122"/>
      <c r="H1124" s="122">
        <f>B1124*C1124</f>
        <v>10.8</v>
      </c>
    </row>
    <row r="1125" spans="1:8" ht="25.5">
      <c r="A1125" s="240" t="s">
        <v>28639</v>
      </c>
      <c r="B1125" s="122">
        <v>1</v>
      </c>
      <c r="C1125" s="122">
        <f>2.9*2</f>
        <v>5.8</v>
      </c>
      <c r="D1125" s="241"/>
      <c r="E1125" s="122"/>
      <c r="F1125" s="122"/>
      <c r="G1125" s="122"/>
      <c r="H1125" s="122">
        <f>B1125*C1125</f>
        <v>5.8</v>
      </c>
    </row>
    <row r="1126" spans="1:8" s="117" customFormat="1" ht="60" customHeight="1">
      <c r="A1126" s="115" t="s">
        <v>28676</v>
      </c>
      <c r="B1126" s="375" t="str">
        <f>VLOOKUP($A1126,SERVICOS,4,FALSE)</f>
        <v>Assentamento De Guia (Meio-Fio) Em Trecho Curvo, Confeccionada Em Concreto Pré-Fabricado, Dimensões 100X15X13X30 Cm (Comprimento X Base Inferior X Base Superior X Altura), Para Vias Urbanas (Uso Viário). Af_06/2016</v>
      </c>
      <c r="C1126" s="376"/>
      <c r="D1126" s="376"/>
      <c r="E1126" s="376"/>
      <c r="F1126" s="377"/>
      <c r="G1126" s="115" t="str">
        <f>VLOOKUP($A1126,SERVICOS,5,FALSE)</f>
        <v>m</v>
      </c>
      <c r="H1126" s="116">
        <f>ROUND(SUM(H1128:H1128),2)</f>
        <v>6.48</v>
      </c>
    </row>
    <row r="1127" spans="1:8" ht="15" customHeight="1">
      <c r="A1127" s="118" t="s">
        <v>1029</v>
      </c>
      <c r="B1127" s="118" t="s">
        <v>19767</v>
      </c>
      <c r="C1127" s="119" t="s">
        <v>19769</v>
      </c>
      <c r="D1127" s="119"/>
      <c r="E1127" s="118"/>
      <c r="F1127" s="118"/>
      <c r="G1127" s="118"/>
      <c r="H1127" s="120"/>
    </row>
    <row r="1128" spans="1:8" ht="15" customHeight="1">
      <c r="A1128" s="121" t="s">
        <v>26685</v>
      </c>
      <c r="B1128" s="122">
        <v>1</v>
      </c>
      <c r="C1128" s="122">
        <v>6.48</v>
      </c>
      <c r="D1128" s="122"/>
      <c r="E1128" s="122"/>
      <c r="F1128" s="122"/>
      <c r="G1128" s="122"/>
      <c r="H1128" s="122">
        <f>B1128*C1128</f>
        <v>6.48</v>
      </c>
    </row>
    <row r="1129" spans="1:8" ht="15" customHeight="1">
      <c r="A1129" s="113" t="s">
        <v>28677</v>
      </c>
      <c r="B1129" s="378" t="str">
        <f>VLOOKUP($A1129,SERVICOS,4,FALSE)</f>
        <v>SERVIÇOS FINAIS</v>
      </c>
      <c r="C1129" s="378"/>
      <c r="D1129" s="378"/>
      <c r="E1129" s="378"/>
      <c r="F1129" s="378"/>
      <c r="G1129" s="378">
        <f>VLOOKUP($A1129,SERVICOS,5,FALSE)</f>
        <v>0</v>
      </c>
      <c r="H1129" s="378" t="e">
        <f>ROUND(SUM(#REF!),2)</f>
        <v>#REF!</v>
      </c>
    </row>
    <row r="1130" spans="1:8" s="117" customFormat="1" ht="45" customHeight="1">
      <c r="A1130" s="115" t="s">
        <v>28678</v>
      </c>
      <c r="B1130" s="375" t="str">
        <f>VLOOKUP($A1130,SERVICOS,4,FALSE)</f>
        <v>Locação De Andaime Metálico Para Trabalho Em Fachada De Edifíco (Aluguel De 1 M² Por 1 Mês) Inclusive Frete, Montagem E Desmontagem</v>
      </c>
      <c r="C1130" s="376"/>
      <c r="D1130" s="376"/>
      <c r="E1130" s="376"/>
      <c r="F1130" s="377"/>
      <c r="G1130" s="115" t="str">
        <f>VLOOKUP($A1130,SERVICOS,5,FALSE)</f>
        <v>m²</v>
      </c>
      <c r="H1130" s="116">
        <f>ROUND(SUM(H1132:H1133),2)</f>
        <v>3760</v>
      </c>
    </row>
    <row r="1131" spans="1:8" ht="15" customHeight="1">
      <c r="A1131" s="118" t="s">
        <v>1029</v>
      </c>
      <c r="B1131" s="118" t="s">
        <v>19767</v>
      </c>
      <c r="C1131" s="119" t="s">
        <v>19769</v>
      </c>
      <c r="D1131" s="119" t="s">
        <v>26634</v>
      </c>
      <c r="E1131" s="118" t="s">
        <v>29005</v>
      </c>
      <c r="F1131" s="118"/>
      <c r="G1131" s="118"/>
      <c r="H1131" s="120"/>
    </row>
    <row r="1132" spans="1:8" ht="15" customHeight="1">
      <c r="A1132" s="121" t="s">
        <v>29004</v>
      </c>
      <c r="B1132" s="122">
        <v>1</v>
      </c>
      <c r="C1132" s="122">
        <f>(11+14)*2</f>
        <v>50</v>
      </c>
      <c r="D1132" s="122">
        <v>8</v>
      </c>
      <c r="E1132" s="122">
        <v>4</v>
      </c>
      <c r="F1132" s="122"/>
      <c r="G1132" s="122"/>
      <c r="H1132" s="122">
        <f>B1132*C1132*D1132*E1132</f>
        <v>1600</v>
      </c>
    </row>
    <row r="1133" spans="1:8" ht="15" customHeight="1">
      <c r="A1133" s="121" t="s">
        <v>29006</v>
      </c>
      <c r="B1133" s="122">
        <v>1</v>
      </c>
      <c r="C1133" s="122">
        <f>(12+15)*2</f>
        <v>54</v>
      </c>
      <c r="D1133" s="122">
        <v>10</v>
      </c>
      <c r="E1133" s="122">
        <v>4</v>
      </c>
      <c r="F1133" s="122"/>
      <c r="G1133" s="122"/>
      <c r="H1133" s="122">
        <f>B1133*C1133*D1133*E1133</f>
        <v>2160</v>
      </c>
    </row>
    <row r="1134" spans="1:8" s="117" customFormat="1" ht="15" customHeight="1">
      <c r="A1134" s="115" t="s">
        <v>28679</v>
      </c>
      <c r="B1134" s="375" t="str">
        <f>VLOOKUP($A1134,SERVICOS,4,FALSE)</f>
        <v>Limpeza Geral De Obras (Quadras, Praças E Jardins)</v>
      </c>
      <c r="C1134" s="376"/>
      <c r="D1134" s="376"/>
      <c r="E1134" s="376"/>
      <c r="F1134" s="377"/>
      <c r="G1134" s="115" t="str">
        <f>VLOOKUP($A1134,SERVICOS,5,FALSE)</f>
        <v>m²</v>
      </c>
      <c r="H1134" s="116">
        <f>ROUND(SUM(H1136:H1136),2)</f>
        <v>793.33</v>
      </c>
    </row>
    <row r="1135" spans="1:8" ht="15" customHeight="1">
      <c r="A1135" s="118" t="s">
        <v>1029</v>
      </c>
      <c r="B1135" s="118" t="s">
        <v>19767</v>
      </c>
      <c r="C1135" s="119" t="s">
        <v>26630</v>
      </c>
      <c r="D1135" s="119"/>
      <c r="E1135" s="118"/>
      <c r="F1135" s="118"/>
      <c r="G1135" s="118"/>
      <c r="H1135" s="120"/>
    </row>
    <row r="1136" spans="1:8" ht="15" customHeight="1">
      <c r="A1136" s="121" t="s">
        <v>26740</v>
      </c>
      <c r="B1136" s="122">
        <v>1</v>
      </c>
      <c r="C1136" s="122">
        <f>C34</f>
        <v>793.33</v>
      </c>
      <c r="D1136" s="122"/>
      <c r="E1136" s="122"/>
      <c r="F1136" s="122"/>
      <c r="G1136" s="122"/>
      <c r="H1136" s="122">
        <f>B1136*C1136</f>
        <v>793.33</v>
      </c>
    </row>
    <row r="1137" spans="1:8" s="117" customFormat="1" ht="45" customHeight="1">
      <c r="A1137" s="115" t="s">
        <v>29003</v>
      </c>
      <c r="B1137" s="375" t="str">
        <f>VLOOKUP($A1137,SERVICOS,4,FALSE)</f>
        <v>Placa Para Inauguração De Obra Em Alumínio Polido E=4Mm, Dimensões 40 X 50 Cm, Gravação Em Baixo Relevo, Inclusive Pintura E Fixação</v>
      </c>
      <c r="C1137" s="376"/>
      <c r="D1137" s="376"/>
      <c r="E1137" s="376"/>
      <c r="F1137" s="377"/>
      <c r="G1137" s="115" t="str">
        <f>VLOOKUP($A1137,SERVICOS,5,FALSE)</f>
        <v>und</v>
      </c>
      <c r="H1137" s="116">
        <f>ROUND(SUM(H1139:H1139),2)</f>
        <v>1</v>
      </c>
    </row>
    <row r="1138" spans="1:8" ht="15" customHeight="1">
      <c r="A1138" s="118" t="s">
        <v>1029</v>
      </c>
      <c r="B1138" s="118" t="s">
        <v>19767</v>
      </c>
      <c r="C1138" s="119"/>
      <c r="D1138" s="119"/>
      <c r="E1138" s="118"/>
      <c r="F1138" s="118"/>
      <c r="G1138" s="118"/>
      <c r="H1138" s="120"/>
    </row>
    <row r="1139" spans="1:8" ht="15" customHeight="1">
      <c r="A1139" s="121" t="s">
        <v>29113</v>
      </c>
      <c r="B1139" s="122">
        <v>1</v>
      </c>
      <c r="C1139" s="122"/>
      <c r="D1139" s="122"/>
      <c r="E1139" s="122"/>
      <c r="F1139" s="122"/>
      <c r="G1139" s="122"/>
      <c r="H1139" s="122">
        <f>B1139</f>
        <v>1</v>
      </c>
    </row>
  </sheetData>
  <mergeCells count="297">
    <mergeCell ref="B1069:F1069"/>
    <mergeCell ref="B860:F860"/>
    <mergeCell ref="B611:F611"/>
    <mergeCell ref="B710:F710"/>
    <mergeCell ref="B713:F713"/>
    <mergeCell ref="B716:F716"/>
    <mergeCell ref="B719:F719"/>
    <mergeCell ref="B698:F698"/>
    <mergeCell ref="B701:F701"/>
    <mergeCell ref="B704:F704"/>
    <mergeCell ref="B707:F707"/>
    <mergeCell ref="B692:F692"/>
    <mergeCell ref="B695:F695"/>
    <mergeCell ref="B728:F728"/>
    <mergeCell ref="B722:F722"/>
    <mergeCell ref="B725:F725"/>
    <mergeCell ref="B755:F755"/>
    <mergeCell ref="B752:F752"/>
    <mergeCell ref="B686:F686"/>
    <mergeCell ref="B679:F679"/>
    <mergeCell ref="B767:F767"/>
    <mergeCell ref="B835:F835"/>
    <mergeCell ref="B839:F839"/>
    <mergeCell ref="B857:F857"/>
    <mergeCell ref="B537:F537"/>
    <mergeCell ref="B534:F534"/>
    <mergeCell ref="B540:F540"/>
    <mergeCell ref="B650:F650"/>
    <mergeCell ref="B598:F598"/>
    <mergeCell ref="B595:F595"/>
    <mergeCell ref="B589:F589"/>
    <mergeCell ref="B592:F592"/>
    <mergeCell ref="B586:F586"/>
    <mergeCell ref="B638:F638"/>
    <mergeCell ref="B641:F641"/>
    <mergeCell ref="B644:F644"/>
    <mergeCell ref="B647:F647"/>
    <mergeCell ref="B626:F626"/>
    <mergeCell ref="B629:F629"/>
    <mergeCell ref="B632:F632"/>
    <mergeCell ref="B635:F635"/>
    <mergeCell ref="B614:F614"/>
    <mergeCell ref="B617:F617"/>
    <mergeCell ref="B620:F620"/>
    <mergeCell ref="B623:F623"/>
    <mergeCell ref="B602:F602"/>
    <mergeCell ref="B605:F605"/>
    <mergeCell ref="B608:F608"/>
    <mergeCell ref="B580:F580"/>
    <mergeCell ref="B574:F574"/>
    <mergeCell ref="B561:F561"/>
    <mergeCell ref="B564:F564"/>
    <mergeCell ref="B543:F543"/>
    <mergeCell ref="B546:F546"/>
    <mergeCell ref="B549:F549"/>
    <mergeCell ref="B552:F552"/>
    <mergeCell ref="B558:F558"/>
    <mergeCell ref="B555:F555"/>
    <mergeCell ref="B923:F923"/>
    <mergeCell ref="B1066:F1066"/>
    <mergeCell ref="B1039:F1039"/>
    <mergeCell ref="B1051:H1051"/>
    <mergeCell ref="B1045:F1045"/>
    <mergeCell ref="B746:F746"/>
    <mergeCell ref="B749:F749"/>
    <mergeCell ref="B813:H813"/>
    <mergeCell ref="B814:F814"/>
    <mergeCell ref="B818:F818"/>
    <mergeCell ref="B827:F827"/>
    <mergeCell ref="B824:F824"/>
    <mergeCell ref="B821:F821"/>
    <mergeCell ref="B830:F830"/>
    <mergeCell ref="B868:F868"/>
    <mergeCell ref="B934:F934"/>
    <mergeCell ref="B949:H949"/>
    <mergeCell ref="B863:H863"/>
    <mergeCell ref="B890:F890"/>
    <mergeCell ref="B884:F884"/>
    <mergeCell ref="B881:F881"/>
    <mergeCell ref="B910:F910"/>
    <mergeCell ref="B1020:F1020"/>
    <mergeCell ref="B1011:F1011"/>
    <mergeCell ref="B44:F44"/>
    <mergeCell ref="D41:D43"/>
    <mergeCell ref="B48:F48"/>
    <mergeCell ref="B956:F956"/>
    <mergeCell ref="B974:F974"/>
    <mergeCell ref="B995:F995"/>
    <mergeCell ref="B998:F998"/>
    <mergeCell ref="B1001:F1001"/>
    <mergeCell ref="B583:F583"/>
    <mergeCell ref="B672:H672"/>
    <mergeCell ref="B864:F864"/>
    <mergeCell ref="B916:F916"/>
    <mergeCell ref="B570:F570"/>
    <mergeCell ref="B567:F567"/>
    <mergeCell ref="B577:F577"/>
    <mergeCell ref="B968:F968"/>
    <mergeCell ref="B971:F971"/>
    <mergeCell ref="B983:F983"/>
    <mergeCell ref="B902:F902"/>
    <mergeCell ref="B893:F893"/>
    <mergeCell ref="B926:H926"/>
    <mergeCell ref="B927:F927"/>
    <mergeCell ref="B683:F683"/>
    <mergeCell ref="B689:F689"/>
    <mergeCell ref="B1017:F1017"/>
    <mergeCell ref="B950:F950"/>
    <mergeCell ref="B959:F959"/>
    <mergeCell ref="B962:F962"/>
    <mergeCell ref="B977:F977"/>
    <mergeCell ref="B1010:H1010"/>
    <mergeCell ref="B992:F992"/>
    <mergeCell ref="B953:F953"/>
    <mergeCell ref="B965:F965"/>
    <mergeCell ref="B1014:F1014"/>
    <mergeCell ref="B980:F980"/>
    <mergeCell ref="B989:F989"/>
    <mergeCell ref="B986:F986"/>
    <mergeCell ref="B1004:F1004"/>
    <mergeCell ref="B1007:F1007"/>
    <mergeCell ref="B1023:F1023"/>
    <mergeCell ref="B1062:F1062"/>
    <mergeCell ref="B1052:F1052"/>
    <mergeCell ref="B1057:F1057"/>
    <mergeCell ref="B1026:F1026"/>
    <mergeCell ref="B1029:H1029"/>
    <mergeCell ref="B1030:F1030"/>
    <mergeCell ref="B1033:F1033"/>
    <mergeCell ref="B1036:F1036"/>
    <mergeCell ref="B1042:F1042"/>
    <mergeCell ref="B1048:F1048"/>
    <mergeCell ref="B792:F792"/>
    <mergeCell ref="B801:F801"/>
    <mergeCell ref="B804:F804"/>
    <mergeCell ref="B795:F795"/>
    <mergeCell ref="B798:F798"/>
    <mergeCell ref="B810:F810"/>
    <mergeCell ref="B845:F845"/>
    <mergeCell ref="B854:F854"/>
    <mergeCell ref="B848:F848"/>
    <mergeCell ref="B851:F851"/>
    <mergeCell ref="B673:F673"/>
    <mergeCell ref="B758:F758"/>
    <mergeCell ref="B761:F761"/>
    <mergeCell ref="B764:F764"/>
    <mergeCell ref="B676:F676"/>
    <mergeCell ref="B913:F913"/>
    <mergeCell ref="B919:F919"/>
    <mergeCell ref="B731:F731"/>
    <mergeCell ref="B905:F905"/>
    <mergeCell ref="B734:F734"/>
    <mergeCell ref="B737:F737"/>
    <mergeCell ref="B740:F740"/>
    <mergeCell ref="B743:F743"/>
    <mergeCell ref="B896:F896"/>
    <mergeCell ref="B899:F899"/>
    <mergeCell ref="B872:F872"/>
    <mergeCell ref="B875:F875"/>
    <mergeCell ref="B878:F878"/>
    <mergeCell ref="B770:F770"/>
    <mergeCell ref="B773:F773"/>
    <mergeCell ref="B782:F782"/>
    <mergeCell ref="B786:F786"/>
    <mergeCell ref="B789:F789"/>
    <mergeCell ref="B807:F807"/>
    <mergeCell ref="B1130:F1130"/>
    <mergeCell ref="B1137:F1137"/>
    <mergeCell ref="B1102:H1102"/>
    <mergeCell ref="B1103:F1103"/>
    <mergeCell ref="B1114:F1114"/>
    <mergeCell ref="B1120:F1120"/>
    <mergeCell ref="B1126:F1126"/>
    <mergeCell ref="B1072:H1072"/>
    <mergeCell ref="B1076:F1076"/>
    <mergeCell ref="B1081:F1081"/>
    <mergeCell ref="B1108:F1108"/>
    <mergeCell ref="B1087:F1087"/>
    <mergeCell ref="B1129:H1129"/>
    <mergeCell ref="B1073:F1073"/>
    <mergeCell ref="B1134:F1134"/>
    <mergeCell ref="B444:F444"/>
    <mergeCell ref="B456:F456"/>
    <mergeCell ref="B119:F119"/>
    <mergeCell ref="B416:F416"/>
    <mergeCell ref="B399:F399"/>
    <mergeCell ref="B314:F314"/>
    <mergeCell ref="B337:F337"/>
    <mergeCell ref="B343:F343"/>
    <mergeCell ref="B346:F346"/>
    <mergeCell ref="B369:F369"/>
    <mergeCell ref="B328:F328"/>
    <mergeCell ref="B447:F447"/>
    <mergeCell ref="B305:F305"/>
    <mergeCell ref="B193:H193"/>
    <mergeCell ref="B279:F279"/>
    <mergeCell ref="B248:F248"/>
    <mergeCell ref="B300:F300"/>
    <mergeCell ref="B142:F142"/>
    <mergeCell ref="B255:F255"/>
    <mergeCell ref="B258:F258"/>
    <mergeCell ref="B200:F200"/>
    <mergeCell ref="B244:F244"/>
    <mergeCell ref="D250:G251"/>
    <mergeCell ref="B275:F275"/>
    <mergeCell ref="B252:F252"/>
    <mergeCell ref="B89:F89"/>
    <mergeCell ref="B99:F99"/>
    <mergeCell ref="B104:F104"/>
    <mergeCell ref="B111:F111"/>
    <mergeCell ref="B126:F126"/>
    <mergeCell ref="B115:F115"/>
    <mergeCell ref="B272:F272"/>
    <mergeCell ref="D246:G247"/>
    <mergeCell ref="B194:F194"/>
    <mergeCell ref="B164:F164"/>
    <mergeCell ref="B173:H173"/>
    <mergeCell ref="B528:F528"/>
    <mergeCell ref="B510:F510"/>
    <mergeCell ref="B513:F513"/>
    <mergeCell ref="B516:F516"/>
    <mergeCell ref="B470:F470"/>
    <mergeCell ref="B474:F474"/>
    <mergeCell ref="B491:H491"/>
    <mergeCell ref="B519:F519"/>
    <mergeCell ref="B285:H285"/>
    <mergeCell ref="B286:F286"/>
    <mergeCell ref="B295:F295"/>
    <mergeCell ref="B498:F498"/>
    <mergeCell ref="B291:F291"/>
    <mergeCell ref="F293:G294"/>
    <mergeCell ref="B492:F492"/>
    <mergeCell ref="B461:H461"/>
    <mergeCell ref="B462:F462"/>
    <mergeCell ref="B269:F269"/>
    <mergeCell ref="B282:F282"/>
    <mergeCell ref="B21:F21"/>
    <mergeCell ref="A1:H1"/>
    <mergeCell ref="B4:H4"/>
    <mergeCell ref="B2:H2"/>
    <mergeCell ref="B3:H3"/>
    <mergeCell ref="B5:F5"/>
    <mergeCell ref="B32:F32"/>
    <mergeCell ref="B35:F35"/>
    <mergeCell ref="B8:F8"/>
    <mergeCell ref="B15:F15"/>
    <mergeCell ref="B18:F18"/>
    <mergeCell ref="B24:F24"/>
    <mergeCell ref="B29:F29"/>
    <mergeCell ref="B842:F842"/>
    <mergeCell ref="B52:F52"/>
    <mergeCell ref="B62:F62"/>
    <mergeCell ref="B507:F507"/>
    <mergeCell ref="B382:F382"/>
    <mergeCell ref="B434:F434"/>
    <mergeCell ref="B477:F477"/>
    <mergeCell ref="B669:F669"/>
    <mergeCell ref="B157:F157"/>
    <mergeCell ref="B160:F160"/>
    <mergeCell ref="B653:F653"/>
    <mergeCell ref="B657:F657"/>
    <mergeCell ref="B661:F661"/>
    <mergeCell ref="B665:F665"/>
    <mergeCell ref="B373:H373"/>
    <mergeCell ref="B374:F374"/>
    <mergeCell ref="B386:F386"/>
    <mergeCell ref="B502:F502"/>
    <mergeCell ref="B505:H505"/>
    <mergeCell ref="B81:F81"/>
    <mergeCell ref="B353:F353"/>
    <mergeCell ref="B412:F412"/>
    <mergeCell ref="B443:H443"/>
    <mergeCell ref="B181:F181"/>
    <mergeCell ref="B531:F531"/>
    <mergeCell ref="B450:F450"/>
    <mergeCell ref="B453:F453"/>
    <mergeCell ref="B522:F522"/>
    <mergeCell ref="B525:F525"/>
    <mergeCell ref="B123:F123"/>
    <mergeCell ref="B138:F138"/>
    <mergeCell ref="B360:F360"/>
    <mergeCell ref="B38:H38"/>
    <mergeCell ref="B39:F39"/>
    <mergeCell ref="B107:F107"/>
    <mergeCell ref="B146:F146"/>
    <mergeCell ref="B152:F152"/>
    <mergeCell ref="B149:F149"/>
    <mergeCell ref="F288:G290"/>
    <mergeCell ref="B187:F187"/>
    <mergeCell ref="D392:G395"/>
    <mergeCell ref="B424:F424"/>
    <mergeCell ref="B174:F174"/>
    <mergeCell ref="B212:F212"/>
    <mergeCell ref="B222:F222"/>
    <mergeCell ref="B229:F229"/>
    <mergeCell ref="B240:F240"/>
    <mergeCell ref="B262:F262"/>
  </mergeCells>
  <phoneticPr fontId="35" type="noConversion"/>
  <dataValidations disablePrompts="1" count="1">
    <dataValidation type="list" errorStyle="warning" allowBlank="1" showInputMessage="1" showErrorMessage="1" error="Selecionar Referencial compatível" sqref="XER1:XFD3">
      <formula1>DADOS</formula1>
    </dataValidation>
  </dataValidations>
  <printOptions horizontalCentered="1"/>
  <pageMargins left="0.78740157480314965" right="0.39370078740157483" top="1.5748031496062993" bottom="1.1811023622047245" header="0" footer="0"/>
  <pageSetup paperSize="9" scale="85" orientation="portrait" r:id="rId1"/>
  <headerFooter scaleWithDoc="0" alignWithMargins="0">
    <oddHeader>&amp;C&amp;G</oddHeader>
    <oddFooter>&amp;C&amp;"Arial,Normal"&amp;10__________________________
Fabrício Benício Brito
Engenheiro Civil - CREA ES-014512/D
&amp;R&amp;"Arial,Normal"&amp;10Página &amp;P de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ES517"/>
  <sheetViews>
    <sheetView showGridLines="0" view="pageBreakPreview" topLeftCell="A469" zoomScaleNormal="100" zoomScaleSheetLayoutView="100" zoomScalePageLayoutView="85" workbookViewId="0">
      <selection activeCell="B469" sqref="B469"/>
    </sheetView>
  </sheetViews>
  <sheetFormatPr defaultColWidth="9" defaultRowHeight="12.75"/>
  <cols>
    <col min="1" max="1" width="6.625" style="145" customWidth="1"/>
    <col min="2" max="2" width="7.625" style="146" customWidth="1"/>
    <col min="3" max="3" width="8.625" style="146" customWidth="1"/>
    <col min="4" max="4" width="30.625" style="146" customWidth="1"/>
    <col min="5" max="5" width="5.625" style="145" customWidth="1"/>
    <col min="6" max="6" width="6.625" style="184" customWidth="1"/>
    <col min="7" max="7" width="8.625" style="147" customWidth="1"/>
    <col min="8" max="8" width="10.625" style="147" customWidth="1"/>
    <col min="9" max="9" width="10.125" style="264" bestFit="1" customWidth="1"/>
    <col min="10" max="11" width="10.125" style="138" bestFit="1" customWidth="1"/>
    <col min="12" max="16384" width="9" style="138"/>
  </cols>
  <sheetData>
    <row r="1" spans="1:992 16373:16373" s="127" customFormat="1" ht="30" customHeight="1">
      <c r="A1" s="411" t="s">
        <v>19674</v>
      </c>
      <c r="B1" s="411"/>
      <c r="C1" s="411"/>
      <c r="D1" s="411"/>
      <c r="E1" s="411"/>
      <c r="F1" s="411"/>
      <c r="G1" s="411"/>
      <c r="H1" s="411"/>
      <c r="I1" s="265"/>
      <c r="J1" s="128"/>
      <c r="K1" s="128"/>
      <c r="L1" s="128"/>
      <c r="M1" s="129"/>
      <c r="N1" s="130"/>
      <c r="O1" s="131"/>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8"/>
      <c r="JZ1" s="128"/>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8"/>
      <c r="LT1" s="128"/>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8"/>
      <c r="RF1" s="128"/>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8"/>
      <c r="TB1" s="128"/>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8"/>
      <c r="UV1" s="128"/>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8"/>
      <c r="WR1" s="128"/>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8"/>
      <c r="YN1" s="128"/>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8"/>
      <c r="AAH1" s="128"/>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8"/>
      <c r="ACD1" s="128"/>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8"/>
      <c r="ADZ1" s="128"/>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8"/>
      <c r="AFT1" s="128"/>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8"/>
      <c r="AJH1" s="128"/>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8"/>
      <c r="ALC1" s="128"/>
      <c r="ALD1" s="128"/>
      <c r="XES1" s="127" t="s">
        <v>1019</v>
      </c>
    </row>
    <row r="2" spans="1:992 16373:16373" s="127" customFormat="1" ht="20.100000000000001" customHeight="1">
      <c r="A2" s="415" t="s">
        <v>982</v>
      </c>
      <c r="B2" s="415"/>
      <c r="C2" s="373" t="str">
        <f>OBRA</f>
        <v>RESTAURAÇÃO CASARÃO MADAME ALBERTINA HOLZ</v>
      </c>
      <c r="D2" s="373"/>
      <c r="E2" s="373"/>
      <c r="F2" s="373"/>
      <c r="G2" s="373"/>
      <c r="H2" s="373"/>
      <c r="I2" s="265"/>
      <c r="J2" s="128"/>
      <c r="K2" s="128"/>
      <c r="L2" s="128"/>
      <c r="M2" s="129"/>
      <c r="N2" s="130"/>
      <c r="O2" s="131"/>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XES2" s="127" t="s">
        <v>35</v>
      </c>
    </row>
    <row r="3" spans="1:992 16373:16373" s="127" customFormat="1" ht="20.100000000000001" customHeight="1">
      <c r="A3" s="416" t="s">
        <v>19670</v>
      </c>
      <c r="B3" s="417"/>
      <c r="C3" s="412" t="str">
        <f>CONTRATO</f>
        <v>Avenida Rio Doce, quadra 20E, lote 1, Centro - Baixo Guandu/ ES</v>
      </c>
      <c r="D3" s="413"/>
      <c r="E3" s="413"/>
      <c r="F3" s="413"/>
      <c r="G3" s="413"/>
      <c r="H3" s="414"/>
      <c r="I3" s="265"/>
      <c r="J3" s="128"/>
      <c r="K3" s="128"/>
      <c r="L3" s="128"/>
      <c r="M3" s="129"/>
      <c r="N3" s="130"/>
      <c r="O3" s="131"/>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XES3" s="127" t="s">
        <v>2174</v>
      </c>
    </row>
    <row r="4" spans="1:992 16373:16373" s="135" customFormat="1" ht="19.5" customHeight="1">
      <c r="A4" s="186" t="s">
        <v>1020</v>
      </c>
      <c r="B4" s="405" t="s">
        <v>1022</v>
      </c>
      <c r="C4" s="406"/>
      <c r="D4" s="406"/>
      <c r="E4" s="406"/>
      <c r="F4" s="407"/>
      <c r="G4" s="133" t="s">
        <v>19692</v>
      </c>
      <c r="H4" s="134" t="s">
        <v>19678</v>
      </c>
      <c r="I4" s="263"/>
    </row>
    <row r="5" spans="1:992 16373:16373" ht="30" customHeight="1">
      <c r="A5" s="136">
        <f>COUNTIF($A$4:$A4,$A$4)</f>
        <v>1</v>
      </c>
      <c r="B5" s="408" t="s">
        <v>28547</v>
      </c>
      <c r="C5" s="409"/>
      <c r="D5" s="409"/>
      <c r="E5" s="409"/>
      <c r="F5" s="410"/>
      <c r="G5" s="137" t="s">
        <v>6</v>
      </c>
      <c r="H5" s="211">
        <f>SUM(H7:H16)</f>
        <v>273.18</v>
      </c>
    </row>
    <row r="6" spans="1:992 16373:16373" ht="30" customHeight="1">
      <c r="A6" s="139" t="s">
        <v>1026</v>
      </c>
      <c r="B6" s="139" t="s">
        <v>1027</v>
      </c>
      <c r="C6" s="139" t="s">
        <v>31</v>
      </c>
      <c r="D6" s="139" t="s">
        <v>1023</v>
      </c>
      <c r="E6" s="139" t="s">
        <v>32</v>
      </c>
      <c r="F6" s="183" t="s">
        <v>2343</v>
      </c>
      <c r="G6" s="140" t="s">
        <v>19676</v>
      </c>
      <c r="H6" s="140" t="s">
        <v>19677</v>
      </c>
    </row>
    <row r="7" spans="1:992 16373:16373" ht="25.5">
      <c r="A7" s="141" t="s">
        <v>26621</v>
      </c>
      <c r="B7" s="141" t="s">
        <v>1019</v>
      </c>
      <c r="C7" s="141">
        <v>4777</v>
      </c>
      <c r="D7" s="142" t="str">
        <f>PROPER(IFERROR(
IF(C7="","",
IF(CONCATENATE($A7,$B7)="IDER-ES",INDEX('IDER-ES'!$B:$B,MATCH($C7,'IDER-ES'!$A:$A,0)),
IF(CONCATENATE($A7,$B7)="CDER-ES",INDEX('CDER-ES'!$B:$B,MATCH($C7,'CDER-ES'!$A:$A,0)),
IF(CONCATENATE($A7,$B7)="ISINAPI",INDEX(ISINAPI!$B:$B,MATCH($C7,ISINAPI!$A:$A,0)),
IF(CONCATENATE($A7,$B7)="CSINAPI",INDEX(CSINAPI!$B:$B,MATCH($C7,CSINAPI!$A:$A,0)),
IF(CONCATENATE($A7,$B7)="CCESAN",INDEX(CCESAN!$B:$B,MATCH($C7,CCESAN!$A:$A,0)),
IF(CONCATENATE($A7,$B7)="CSCORIO",INDEX(CSCORIO!#REF!,MATCH($C7,CSCORIO!#REF!,0)),
IF(CONCATENATE($A7,$B7)="MERC",INDEX(MERCADO!$B:$B,MATCH($C7,MERCADO!$A:$A,0)),
IF(CONCATENATE($A7,$B7)="CCOMP",INDEX(COMPOSICAO!$B:$B,MATCH($C7,COMPOSICAO!$A:$A,0)),""
))))))))),"*Verificar código*"))</f>
        <v xml:space="preserve">Cantoneira Aco Abas Iguais (Qualquer Bitola), Espessura Entre 1/8" E 1/4"                                                                                                                                                                                                                                                                                                                                                                                                                                 </v>
      </c>
      <c r="E7" s="143" t="str">
        <f>LOWER(IFERROR(
IF(CONCATENATE($A7,$B7)="IDER-ES",INDEX('IDER-ES'!$C:$C,MATCH($C7,'IDER-ES'!$A:$A,0)),
IF(CONCATENATE($A7,$B7)="CIOPES",INDEX('CDER-ES'!$C:$C,MATCH($C7,'CDER-ES'!$A:$A,0)),
IF(CONCATENATE($A7,$B7)="ISINAPI",INDEX(ISINAPI!$C:$C,MATCH($C7,ISINAPI!$A:$A,0)),
IF(CONCATENATE($A7,$B7)="CSINAPI",INDEX(CSINAPI!$C:$C,MATCH($C7,CSINAPI!$A:$A,0)),
IF(CONCATENATE($A7,$B7)="CCESAN",INDEX(CCESAN!$C:$C,MATCH($C7,CCESAN!$A:$A,0)),
IF(CONCATENATE($A7,$B7)="CSCORIO",INDEX(CSCORIO!$A:$A,MATCH($C7,CSCORIO!#REF!,0)),
IF(CONCATENATE($A7,$B7)="MERC",INDEX(MERCADO!$D:$D,MATCH($C7,MERCADO!$A:$A,0)),
IF(CONCATENATE($A7,$B7)="CCOMP",INDEX(COMPOSICAO!$H:$H,MATCH($C7,COMPOSICAO!$A:$A,0)),""
)))))))),""))</f>
        <v xml:space="preserve">kg    </v>
      </c>
      <c r="F7" s="182">
        <f>9.81*1.03</f>
        <v>10.1043</v>
      </c>
      <c r="G7" s="144">
        <f>(IFERROR(
IF(CONCATENATE($A7,$B7)="IDER-ES",INDEX('IDER-ES'!$D:$D,MATCH($C7,'IDER-ES'!$A:$A,0)),
IF(CONCATENATE($A7,$B7)="CIOPES",INDEX('CDER-ES'!$D:$D,MATCH($C7,'CDER-ES'!$A:$A,0)),
IF(CONCATENATE($A7,$B7)="ISINAPI",INDEX(ISINAPI!$E:$E,MATCH($C7,ISINAPI!$A:$A,0)),
IF(CONCATENATE($A7,$B7)="CSINAPI",INDEX(CSINAPI!$D:$D,MATCH($C7,CSINAPI!$A:$A,0)),
IF(CONCATENATE($A7,$B7)="CCESAN",INDEX(CCESAN!$D:$D,MATCH($C7,CCESAN!$A:$A,0)),
IF(CONCATENATE($A7,$B7)="CSCORIO",INDEX(CSCORIO!$B:$B,MATCH($C7,CSCORIO!#REF!,0)),
IF(CONCATENATE($A7,$B7)="MERC",INDEX(MERCADO!$E:$E,MATCH($C7,MERCADO!$A:$A,0)),
IF(CONCATENATE($A7,$B7)="CCOMP",INDEX(COMPOSICAO!$H:$H,MATCH($C7,COMPOSICAO!$A:$A,0)),""
)))))))),""))</f>
        <v>11.83</v>
      </c>
      <c r="H7" s="144">
        <f t="shared" ref="H7:H16" si="0">IF(B7="","",ROUND(G7*F7,2))</f>
        <v>119.53</v>
      </c>
      <c r="I7" s="278"/>
      <c r="J7" s="266"/>
    </row>
    <row r="8" spans="1:992 16373:16373" ht="25.5">
      <c r="A8" s="141" t="s">
        <v>26621</v>
      </c>
      <c r="B8" s="141" t="s">
        <v>1019</v>
      </c>
      <c r="C8" s="141">
        <v>1330</v>
      </c>
      <c r="D8" s="142" t="str">
        <f>PROPER(IFERROR(
IF(C8="","",
IF(CONCATENATE($A8,$B8)="IDER-ES",INDEX('IDER-ES'!$B:$B,MATCH($C8,'IDER-ES'!$A:$A,0)),
IF(CONCATENATE($A8,$B8)="CDER-ES",INDEX('CDER-ES'!$B:$B,MATCH($C8,'CDER-ES'!$A:$A,0)),
IF(CONCATENATE($A8,$B8)="ISINAPI",INDEX(ISINAPI!$B:$B,MATCH($C8,ISINAPI!$A:$A,0)),
IF(CONCATENATE($A8,$B8)="CSINAPI",INDEX(CSINAPI!$B:$B,MATCH($C8,CSINAPI!$A:$A,0)),
IF(CONCATENATE($A8,$B8)="CCESAN",INDEX(CCESAN!$B:$B,MATCH($C8,CCESAN!$A:$A,0)),
IF(CONCATENATE($A8,$B8)="CSCORIO",INDEX(CSCORIO!#REF!,MATCH($C8,CSCORIO!#REF!,0)),
IF(CONCATENATE($A8,$B8)="MERC",INDEX(MERCADO!$B:$B,MATCH($C8,MERCADO!$A:$A,0)),
IF(CONCATENATE($A8,$B8)="CCOMP",INDEX(COMPOSICAO!$B:$B,MATCH($C8,COMPOSICAO!$A:$A,0)),""
))))))))),"*Verificar código*"))</f>
        <v xml:space="preserve">Chapa De Aco Grossa, Astm A36, E = 1/4 " (6,35 Mm) 49,79 Kg/M2                                                                                                                                                                                                                                                                                                                                                                                                                                            </v>
      </c>
      <c r="E8" s="143" t="str">
        <f>LOWER(IFERROR(
IF(CONCATENATE($A8,$B8)="IDER-ES",INDEX('IDER-ES'!$C:$C,MATCH($C8,'IDER-ES'!$A:$A,0)),
IF(CONCATENATE($A8,$B8)="CIOPES",INDEX('CDER-ES'!$C:$C,MATCH($C8,'CDER-ES'!$A:$A,0)),
IF(CONCATENATE($A8,$B8)="ISINAPI",INDEX(ISINAPI!$C:$C,MATCH($C8,ISINAPI!$A:$A,0)),
IF(CONCATENATE($A8,$B8)="CSINAPI",INDEX(CSINAPI!$C:$C,MATCH($C8,CSINAPI!$A:$A,0)),
IF(CONCATENATE($A8,$B8)="CCESAN",INDEX(CCESAN!$C:$C,MATCH($C8,CCESAN!$A:$A,0)),
IF(CONCATENATE($A8,$B8)="CSCORIO",INDEX(CSCORIO!$A:$A,MATCH($C8,CSCORIO!#REF!,0)),
IF(CONCATENATE($A8,$B8)="MERC",INDEX(MERCADO!$D:$D,MATCH($C8,MERCADO!$A:$A,0)),
IF(CONCATENATE($A8,$B8)="CCOMP",INDEX(COMPOSICAO!$H:$H,MATCH($C8,COMPOSICAO!$A:$A,0)),""
)))))))),""))</f>
        <v xml:space="preserve">kg    </v>
      </c>
      <c r="F8" s="182">
        <f>0.07*0.07*4*1.1*49.79</f>
        <v>1.0734724000000002</v>
      </c>
      <c r="G8" s="144">
        <f>(IFERROR(
IF(CONCATENATE($A8,$B8)="IDER-ES",INDEX('IDER-ES'!$D:$D,MATCH($C8,'IDER-ES'!$A:$A,0)),
IF(CONCATENATE($A8,$B8)="CIOPES",INDEX('CDER-ES'!$D:$D,MATCH($C8,'CDER-ES'!$A:$A,0)),
IF(CONCATENATE($A8,$B8)="ISINAPI",INDEX(ISINAPI!$E:$E,MATCH($C8,ISINAPI!$A:$A,0)),
IF(CONCATENATE($A8,$B8)="CSINAPI",INDEX(CSINAPI!$D:$D,MATCH($C8,CSINAPI!$A:$A,0)),
IF(CONCATENATE($A8,$B8)="CCESAN",INDEX(CCESAN!$D:$D,MATCH($C8,CCESAN!$A:$A,0)),
IF(CONCATENATE($A8,$B8)="CSCORIO",INDEX(CSCORIO!$B:$B,MATCH($C8,CSCORIO!#REF!,0)),
IF(CONCATENATE($A8,$B8)="MERC",INDEX(MERCADO!$E:$E,MATCH($C8,MERCADO!$A:$A,0)),
IF(CONCATENATE($A8,$B8)="CCOMP",INDEX(COMPOSICAO!$H:$H,MATCH($C8,COMPOSICAO!$A:$A,0)),""
)))))))),""))</f>
        <v>13.93</v>
      </c>
      <c r="H8" s="144">
        <f t="shared" si="0"/>
        <v>14.95</v>
      </c>
      <c r="I8" s="277"/>
      <c r="J8" s="266"/>
    </row>
    <row r="9" spans="1:992 16373:16373" ht="25.5">
      <c r="A9" s="141" t="s">
        <v>26621</v>
      </c>
      <c r="B9" s="141" t="s">
        <v>26583</v>
      </c>
      <c r="C9" s="141">
        <v>100195</v>
      </c>
      <c r="D9" s="142" t="str">
        <f>PROPER(IFERROR(
IF(C9="","",
IF(CONCATENATE($A9,$B9)="IDER-ES",INDEX('IDER-ES'!$B:$B,MATCH($C9,'IDER-ES'!$A:$A,0)),
IF(CONCATENATE($A9,$B9)="CDER-ES",INDEX('CDER-ES'!$B:$B,MATCH($C9,'CDER-ES'!$A:$A,0)),
IF(CONCATENATE($A9,$B9)="ISINAPI",INDEX(ISINAPI!$B:$B,MATCH($C9,ISINAPI!$A:$A,0)),
IF(CONCATENATE($A9,$B9)="CSINAPI",INDEX(CSINAPI!$B:$B,MATCH($C9,CSINAPI!$A:$A,0)),
IF(CONCATENATE($A9,$B9)="CCESAN",INDEX(CCESAN!$B:$B,MATCH($C9,CCESAN!$A:$A,0)),
IF(CONCATENATE($A9,$B9)="CSCORIO",INDEX(CSCORIO!#REF!,MATCH($C9,CSCORIO!#REF!,0)),
IF(CONCATENATE($A9,$B9)="MERC",INDEX(MERCADO!$B:$B,MATCH($C9,MERCADO!$A:$A,0)),
IF(CONCATENATE($A9,$B9)="CCOMP",INDEX(COMPOSICAO!$B:$B,MATCH($C9,COMPOSICAO!$A:$A,0)),""
))))))))),"*Verificar código*"))</f>
        <v>Barra De Ferro Redonda Lisa Sae-1020 Ø 5/8"</v>
      </c>
      <c r="E9" s="143" t="str">
        <f>LOWER(IFERROR(
IF(CONCATENATE($A9,$B9)="IDER-ES",INDEX('IDER-ES'!$C:$C,MATCH($C9,'IDER-ES'!$A:$A,0)),
IF(CONCATENATE($A9,$B9)="CIOPES",INDEX('CDER-ES'!$C:$C,MATCH($C9,'CDER-ES'!$A:$A,0)),
IF(CONCATENATE($A9,$B9)="ISINAPI",INDEX(ISINAPI!$C:$C,MATCH($C9,ISINAPI!$A:$A,0)),
IF(CONCATENATE($A9,$B9)="CSINAPI",INDEX(CSINAPI!$C:$C,MATCH($C9,CSINAPI!$A:$A,0)),
IF(CONCATENATE($A9,$B9)="CCESAN",INDEX(CCESAN!$C:$C,MATCH($C9,CCESAN!$A:$A,0)),
IF(CONCATENATE($A9,$B9)="CSCORIO",INDEX(CSCORIO!$A:$A,MATCH($C9,CSCORIO!#REF!,0)),
IF(CONCATENATE($A9,$B9)="MERC",INDEX(MERCADO!$D:$D,MATCH($C9,MERCADO!$A:$A,0)),
IF(CONCATENATE($A9,$B9)="CCOMP",INDEX(COMPOSICAO!$H:$H,MATCH($C9,COMPOSICAO!$A:$A,0)),""
)))))))),""))</f>
        <v>kg</v>
      </c>
      <c r="F9" s="182">
        <f>0.75*2*1.1*1.56</f>
        <v>2.5740000000000003</v>
      </c>
      <c r="G9" s="144">
        <f>(IFERROR(
IF(CONCATENATE($A9,$B9)="IDER-ES",INDEX('IDER-ES'!$D:$D,MATCH($C9,'IDER-ES'!$A:$A,0)),
IF(CONCATENATE($A9,$B9)="CIOPES",INDEX('CDER-ES'!$D:$D,MATCH($C9,'CDER-ES'!$A:$A,0)),
IF(CONCATENATE($A9,$B9)="ISINAPI",INDEX(ISINAPI!$E:$E,MATCH($C9,ISINAPI!$A:$A,0)),
IF(CONCATENATE($A9,$B9)="CSINAPI",INDEX(CSINAPI!$D:$D,MATCH($C9,CSINAPI!$A:$A,0)),
IF(CONCATENATE($A9,$B9)="CCESAN",INDEX(CCESAN!$D:$D,MATCH($C9,CCESAN!$A:$A,0)),
IF(CONCATENATE($A9,$B9)="CSCORIO",INDEX(CSCORIO!$B:$B,MATCH($C9,CSCORIO!#REF!,0)),
IF(CONCATENATE($A9,$B9)="MERC",INDEX(MERCADO!$E:$E,MATCH($C9,MERCADO!$A:$A,0)),
IF(CONCATENATE($A9,$B9)="CCOMP",INDEX(COMPOSICAO!$H:$H,MATCH($C9,COMPOSICAO!$A:$A,0)),""
)))))))),""))</f>
        <v>11.49</v>
      </c>
      <c r="H9" s="144">
        <f t="shared" si="0"/>
        <v>29.58</v>
      </c>
    </row>
    <row r="10" spans="1:992 16373:16373" ht="25.5">
      <c r="A10" s="141" t="s">
        <v>26621</v>
      </c>
      <c r="B10" s="141" t="s">
        <v>1019</v>
      </c>
      <c r="C10" s="141">
        <v>4340</v>
      </c>
      <c r="D10" s="142" t="str">
        <f>PROPER(IFERROR(
IF(C10="","",
IF(CONCATENATE($A10,$B10)="IDER-ES",INDEX('IDER-ES'!$B:$B,MATCH($C10,'IDER-ES'!$A:$A,0)),
IF(CONCATENATE($A10,$B10)="CDER-ES",INDEX('CDER-ES'!$B:$B,MATCH($C10,'CDER-ES'!$A:$A,0)),
IF(CONCATENATE($A10,$B10)="ISINAPI",INDEX(ISINAPI!$B:$B,MATCH($C10,ISINAPI!$A:$A,0)),
IF(CONCATENATE($A10,$B10)="CSINAPI",INDEX(CSINAPI!$B:$B,MATCH($C10,CSINAPI!$A:$A,0)),
IF(CONCATENATE($A10,$B10)="CCESAN",INDEX(CCESAN!$B:$B,MATCH($C10,CCESAN!$A:$A,0)),
IF(CONCATENATE($A10,$B10)="CSCORIO",INDEX(CSCORIO!#REF!,MATCH($C10,CSCORIO!#REF!,0)),
IF(CONCATENATE($A10,$B10)="MERC",INDEX(MERCADO!$B:$B,MATCH($C10,MERCADO!$A:$A,0)),
IF(CONCATENATE($A10,$B10)="CCOMP",INDEX(COMPOSICAO!$B:$B,MATCH($C10,COMPOSICAO!$A:$A,0)),""
))))))))),"*Verificar código*"))</f>
        <v xml:space="preserve">Porca Zincada, Sextavada, Diametro 5/8"                                                                                                                                                                                                                                                                                                                                                                                                                                                                   </v>
      </c>
      <c r="E10" s="143" t="str">
        <f>LOWER(IFERROR(
IF(CONCATENATE($A10,$B10)="IDER-ES",INDEX('IDER-ES'!$C:$C,MATCH($C10,'IDER-ES'!$A:$A,0)),
IF(CONCATENATE($A10,$B10)="CIOPES",INDEX('CDER-ES'!$C:$C,MATCH($C10,'CDER-ES'!$A:$A,0)),
IF(CONCATENATE($A10,$B10)="ISINAPI",INDEX(ISINAPI!$C:$C,MATCH($C10,ISINAPI!$A:$A,0)),
IF(CONCATENATE($A10,$B10)="CSINAPI",INDEX(CSINAPI!$C:$C,MATCH($C10,CSINAPI!$A:$A,0)),
IF(CONCATENATE($A10,$B10)="CCESAN",INDEX(CCESAN!$C:$C,MATCH($C10,CCESAN!$A:$A,0)),
IF(CONCATENATE($A10,$B10)="CSCORIO",INDEX(CSCORIO!$A:$A,MATCH($C10,CSCORIO!#REF!,0)),
IF(CONCATENATE($A10,$B10)="MERC",INDEX(MERCADO!$D:$D,MATCH($C10,MERCADO!$A:$A,0)),
IF(CONCATENATE($A10,$B10)="CCOMP",INDEX(COMPOSICAO!$H:$H,MATCH($C10,COMPOSICAO!$A:$A,0)),""
)))))))),""))</f>
        <v xml:space="preserve">un    </v>
      </c>
      <c r="F10" s="182">
        <f>8</f>
        <v>8</v>
      </c>
      <c r="G10" s="144">
        <f>(IFERROR(
IF(CONCATENATE($A10,$B10)="IDER-ES",INDEX('IDER-ES'!$D:$D,MATCH($C10,'IDER-ES'!$A:$A,0)),
IF(CONCATENATE($A10,$B10)="CIOPES",INDEX('CDER-ES'!$D:$D,MATCH($C10,'CDER-ES'!$A:$A,0)),
IF(CONCATENATE($A10,$B10)="ISINAPI",INDEX(ISINAPI!$E:$E,MATCH($C10,ISINAPI!$A:$A,0)),
IF(CONCATENATE($A10,$B10)="CSINAPI",INDEX(CSINAPI!$D:$D,MATCH($C10,CSINAPI!$A:$A,0)),
IF(CONCATENATE($A10,$B10)="CCESAN",INDEX(CCESAN!$D:$D,MATCH($C10,CCESAN!$A:$A,0)),
IF(CONCATENATE($A10,$B10)="CSCORIO",INDEX(CSCORIO!$B:$B,MATCH($C10,CSCORIO!#REF!,0)),
IF(CONCATENATE($A10,$B10)="MERC",INDEX(MERCADO!$E:$E,MATCH($C10,MERCADO!$A:$A,0)),
IF(CONCATENATE($A10,$B10)="CCOMP",INDEX(COMPOSICAO!$H:$H,MATCH($C10,COMPOSICAO!$A:$A,0)),""
)))))))),""))</f>
        <v>1.1200000000000001</v>
      </c>
      <c r="H10" s="144">
        <f t="shared" ref="H10" si="1">IF(B10="","",ROUND(G10*F10,2))</f>
        <v>8.9600000000000009</v>
      </c>
    </row>
    <row r="11" spans="1:992 16373:16373" ht="25.5">
      <c r="A11" s="141" t="s">
        <v>26621</v>
      </c>
      <c r="B11" s="141" t="s">
        <v>1019</v>
      </c>
      <c r="C11" s="141">
        <v>10997</v>
      </c>
      <c r="D11" s="142" t="str">
        <f>PROPER(IFERROR(
IF(C11="","",
IF(CONCATENATE($A11,$B11)="IDER-ES",INDEX('IDER-ES'!$B:$B,MATCH($C11,'IDER-ES'!$A:$A,0)),
IF(CONCATENATE($A11,$B11)="CDER-ES",INDEX('CDER-ES'!$B:$B,MATCH($C11,'CDER-ES'!$A:$A,0)),
IF(CONCATENATE($A11,$B11)="ISINAPI",INDEX(ISINAPI!$B:$B,MATCH($C11,ISINAPI!$A:$A,0)),
IF(CONCATENATE($A11,$B11)="CSINAPI",INDEX(CSINAPI!$B:$B,MATCH($C11,CSINAPI!$A:$A,0)),
IF(CONCATENATE($A11,$B11)="CCESAN",INDEX(CCESAN!$B:$B,MATCH($C11,CCESAN!$A:$A,0)),
IF(CONCATENATE($A11,$B11)="CSCORIO",INDEX(CSCORIO!#REF!,MATCH($C11,CSCORIO!#REF!,0)),
IF(CONCATENATE($A11,$B11)="MERC",INDEX(MERCADO!$B:$B,MATCH($C11,MERCADO!$A:$A,0)),
IF(CONCATENATE($A11,$B11)="CCOMP",INDEX(COMPOSICAO!$B:$B,MATCH($C11,COMPOSICAO!$A:$A,0)),""
))))))))),"*Verificar código*"))</f>
        <v xml:space="preserve">Eletrodo Revestido Aws - E7018, Diametro Igual A 4,00 Mm                                                                                                                                                                                                                                                                                                                                                                                                                                                  </v>
      </c>
      <c r="E11" s="143" t="str">
        <f>LOWER(IFERROR(
IF(CONCATENATE($A11,$B11)="IDER-ES",INDEX('IDER-ES'!$C:$C,MATCH($C11,'IDER-ES'!$A:$A,0)),
IF(CONCATENATE($A11,$B11)="CIOPES",INDEX('CDER-ES'!$C:$C,MATCH($C11,'CDER-ES'!$A:$A,0)),
IF(CONCATENATE($A11,$B11)="ISINAPI",INDEX(ISINAPI!$C:$C,MATCH($C11,ISINAPI!$A:$A,0)),
IF(CONCATENATE($A11,$B11)="CSINAPI",INDEX(CSINAPI!$C:$C,MATCH($C11,CSINAPI!$A:$A,0)),
IF(CONCATENATE($A11,$B11)="CCESAN",INDEX(CCESAN!$C:$C,MATCH($C11,CCESAN!$A:$A,0)),
IF(CONCATENATE($A11,$B11)="CSCORIO",INDEX(CSCORIO!$A:$A,MATCH($C11,CSCORIO!#REF!,0)),
IF(CONCATENATE($A11,$B11)="MERC",INDEX(MERCADO!$D:$D,MATCH($C11,MERCADO!$A:$A,0)),
IF(CONCATENATE($A11,$B11)="CCOMP",INDEX(COMPOSICAO!$H:$H,MATCH($C11,COMPOSICAO!$A:$A,0)),""
)))))))),""))</f>
        <v xml:space="preserve">kg    </v>
      </c>
      <c r="F11" s="182">
        <f>(F7+F8+F9)*0.01</f>
        <v>0.13751772400000001</v>
      </c>
      <c r="G11" s="144">
        <f>(IFERROR(
IF(CONCATENATE($A11,$B11)="IDER-ES",INDEX('IDER-ES'!$D:$D,MATCH($C11,'IDER-ES'!$A:$A,0)),
IF(CONCATENATE($A11,$B11)="CIOPES",INDEX('CDER-ES'!$D:$D,MATCH($C11,'CDER-ES'!$A:$A,0)),
IF(CONCATENATE($A11,$B11)="ISINAPI",INDEX(ISINAPI!$E:$E,MATCH($C11,ISINAPI!$A:$A,0)),
IF(CONCATENATE($A11,$B11)="CSINAPI",INDEX(CSINAPI!$D:$D,MATCH($C11,CSINAPI!$A:$A,0)),
IF(CONCATENATE($A11,$B11)="CCESAN",INDEX(CCESAN!$D:$D,MATCH($C11,CCESAN!$A:$A,0)),
IF(CONCATENATE($A11,$B11)="CSCORIO",INDEX(CSCORIO!$B:$B,MATCH($C11,CSCORIO!#REF!,0)),
IF(CONCATENATE($A11,$B11)="MERC",INDEX(MERCADO!$E:$E,MATCH($C11,MERCADO!$A:$A,0)),
IF(CONCATENATE($A11,$B11)="CCOMP",INDEX(COMPOSICAO!$H:$H,MATCH($C11,COMPOSICAO!$A:$A,0)),""
)))))))),""))</f>
        <v>30.98</v>
      </c>
      <c r="H11" s="144">
        <f t="shared" si="0"/>
        <v>4.26</v>
      </c>
    </row>
    <row r="12" spans="1:992 16373:16373" ht="38.25">
      <c r="A12" s="141" t="s">
        <v>26621</v>
      </c>
      <c r="B12" s="141" t="s">
        <v>1019</v>
      </c>
      <c r="C12" s="141">
        <v>44495</v>
      </c>
      <c r="D12" s="142" t="str">
        <f>PROPER(IFERROR(
IF(C12="","",
IF(CONCATENATE($A12,$B12)="IDER-ES",INDEX('IDER-ES'!$B:$B,MATCH($C12,'IDER-ES'!$A:$A,0)),
IF(CONCATENATE($A12,$B12)="CDER-ES",INDEX('CDER-ES'!$B:$B,MATCH($C12,'CDER-ES'!$A:$A,0)),
IF(CONCATENATE($A12,$B12)="ISINAPI",INDEX(ISINAPI!$B:$B,MATCH($C12,ISINAPI!$A:$A,0)),
IF(CONCATENATE($A12,$B12)="CSINAPI",INDEX(CSINAPI!$B:$B,MATCH($C12,CSINAPI!$A:$A,0)),
IF(CONCATENATE($A12,$B12)="CCESAN",INDEX(CCESAN!$B:$B,MATCH($C12,CCESAN!$A:$A,0)),
IF(CONCATENATE($A12,$B12)="CSCORIO",INDEX(CSCORIO!#REF!,MATCH($C12,CSCORIO!#REF!,0)),
IF(CONCATENATE($A12,$B12)="MERC",INDEX(MERCADO!$B:$B,MATCH($C12,MERCADO!$A:$A,0)),
IF(CONCATENATE($A12,$B12)="CCOMP",INDEX(COMPOSICAO!$B:$B,MATCH($C12,COMPOSICAO!$A:$A,0)),""
))))))))),"*Verificar código*"))</f>
        <v xml:space="preserve">Disco De Corte Para Metal Com Duas Telas 12 X 1/8 X 3/4 "  (300 X 3,2 X 19,05 Mm)                                                                                                                                                                                                                                                                                                                                                                                                                         </v>
      </c>
      <c r="E12" s="143" t="str">
        <f>LOWER(IFERROR(
IF(CONCATENATE($A12,$B12)="IDER-ES",INDEX('IDER-ES'!$C:$C,MATCH($C12,'IDER-ES'!$A:$A,0)),
IF(CONCATENATE($A12,$B12)="CIOPES",INDEX('CDER-ES'!$C:$C,MATCH($C12,'CDER-ES'!$A:$A,0)),
IF(CONCATENATE($A12,$B12)="ISINAPI",INDEX(ISINAPI!$C:$C,MATCH($C12,ISINAPI!$A:$A,0)),
IF(CONCATENATE($A12,$B12)="CSINAPI",INDEX(CSINAPI!$C:$C,MATCH($C12,CSINAPI!$A:$A,0)),
IF(CONCATENATE($A12,$B12)="CCESAN",INDEX(CCESAN!$C:$C,MATCH($C12,CCESAN!$A:$A,0)),
IF(CONCATENATE($A12,$B12)="CSCORIO",INDEX(CSCORIO!$A:$A,MATCH($C12,CSCORIO!#REF!,0)),
IF(CONCATENATE($A12,$B12)="MERC",INDEX(MERCADO!$D:$D,MATCH($C12,MERCADO!$A:$A,0)),
IF(CONCATENATE($A12,$B12)="CCOMP",INDEX(COMPOSICAO!$H:$H,MATCH($C12,COMPOSICAO!$A:$A,0)),""
)))))))),""))</f>
        <v xml:space="preserve">un    </v>
      </c>
      <c r="F12" s="182">
        <v>0.01</v>
      </c>
      <c r="G12" s="144">
        <f>(IFERROR(
IF(CONCATENATE($A12,$B12)="IDER-ES",INDEX('IDER-ES'!$D:$D,MATCH($C12,'IDER-ES'!$A:$A,0)),
IF(CONCATENATE($A12,$B12)="CIOPES",INDEX('CDER-ES'!$D:$D,MATCH($C12,'CDER-ES'!$A:$A,0)),
IF(CONCATENATE($A12,$B12)="ISINAPI",INDEX(ISINAPI!$E:$E,MATCH($C12,ISINAPI!$A:$A,0)),
IF(CONCATENATE($A12,$B12)="CSINAPI",INDEX(CSINAPI!$D:$D,MATCH($C12,CSINAPI!$A:$A,0)),
IF(CONCATENATE($A12,$B12)="CCESAN",INDEX(CCESAN!$D:$D,MATCH($C12,CCESAN!$A:$A,0)),
IF(CONCATENATE($A12,$B12)="CSCORIO",INDEX(CSCORIO!$B:$B,MATCH($C12,CSCORIO!#REF!,0)),
IF(CONCATENATE($A12,$B12)="MERC",INDEX(MERCADO!$E:$E,MATCH($C12,MERCADO!$A:$A,0)),
IF(CONCATENATE($A12,$B12)="CCOMP",INDEX(COMPOSICAO!$H:$H,MATCH($C12,COMPOSICAO!$A:$A,0)),""
)))))))),""))</f>
        <v>17.45</v>
      </c>
      <c r="H12" s="144">
        <f t="shared" si="0"/>
        <v>0.17</v>
      </c>
    </row>
    <row r="13" spans="1:992 16373:16373" ht="25.5">
      <c r="A13" s="141" t="s">
        <v>21960</v>
      </c>
      <c r="B13" s="141" t="s">
        <v>1019</v>
      </c>
      <c r="C13" s="141">
        <v>88251</v>
      </c>
      <c r="D13" s="142" t="str">
        <f>PROPER(IFERROR(
IF(C13="","",
IF(CONCATENATE($A13,$B13)="IDER-ES",INDEX('IDER-ES'!$B:$B,MATCH($C13,'IDER-ES'!$A:$A,0)),
IF(CONCATENATE($A13,$B13)="CDER-ES",INDEX('CDER-ES'!$B:$B,MATCH($C13,'CDER-ES'!$A:$A,0)),
IF(CONCATENATE($A13,$B13)="ISINAPI",INDEX(ISINAPI!$B:$B,MATCH($C13,ISINAPI!$A:$A,0)),
IF(CONCATENATE($A13,$B13)="CSINAPI",INDEX(CSINAPI!$B:$B,MATCH($C13,CSINAPI!$A:$A,0)),
IF(CONCATENATE($A13,$B13)="CCESAN",INDEX(CCESAN!$B:$B,MATCH($C13,CCESAN!$A:$A,0)),
IF(CONCATENATE($A13,$B13)="CSCORIO",INDEX(CSCORIO!#REF!,MATCH($C13,CSCORIO!#REF!,0)),
IF(CONCATENATE($A13,$B13)="MERC",INDEX(MERCADO!$B:$B,MATCH($C13,MERCADO!$A:$A,0)),
IF(CONCATENATE($A13,$B13)="CCOMP",INDEX(COMPOSICAO!$B:$B,MATCH($C13,COMPOSICAO!$A:$A,0)),""
))))))))),"*Verificar código*"))</f>
        <v>Auxiliar De Serralheiro Com Encargos Complementares</v>
      </c>
      <c r="E13" s="143" t="str">
        <f>LOWER(IFERROR(
IF(CONCATENATE($A13,$B13)="IDER-ES",INDEX('IDER-ES'!$C:$C,MATCH($C13,'IDER-ES'!$A:$A,0)),
IF(CONCATENATE($A13,$B13)="CIOPES",INDEX('CDER-ES'!$C:$C,MATCH($C13,'CDER-ES'!$A:$A,0)),
IF(CONCATENATE($A13,$B13)="ISINAPI",INDEX(ISINAPI!$C:$C,MATCH($C13,ISINAPI!$A:$A,0)),
IF(CONCATENATE($A13,$B13)="CSINAPI",INDEX(CSINAPI!$C:$C,MATCH($C13,CSINAPI!$A:$A,0)),
IF(CONCATENATE($A13,$B13)="CCESAN",INDEX(CCESAN!$C:$C,MATCH($C13,CCESAN!$A:$A,0)),
IF(CONCATENATE($A13,$B13)="CSCORIO",INDEX(CSCORIO!$A:$A,MATCH($C13,CSCORIO!#REF!,0)),
IF(CONCATENATE($A13,$B13)="MERC",INDEX(MERCADO!$D:$D,MATCH($C13,MERCADO!$A:$A,0)),
IF(CONCATENATE($A13,$B13)="CCOMP",INDEX(COMPOSICAO!$H:$H,MATCH($C13,COMPOSICAO!$A:$A,0)),""
)))))))),""))</f>
        <v>h</v>
      </c>
      <c r="F13" s="182">
        <v>1.65</v>
      </c>
      <c r="G13" s="144">
        <f>(IFERROR(
IF(CONCATENATE($A13,$B13)="IDER-ES",INDEX('IDER-ES'!$D:$D,MATCH($C13,'IDER-ES'!$A:$A,0)),
IF(CONCATENATE($A13,$B13)="CIOPES",INDEX('CDER-ES'!$D:$D,MATCH($C13,'CDER-ES'!$A:$A,0)),
IF(CONCATENATE($A13,$B13)="ISINAPI",INDEX(ISINAPI!$E:$E,MATCH($C13,ISINAPI!$A:$A,0)),
IF(CONCATENATE($A13,$B13)="CSINAPI",INDEX(CSINAPI!$D:$D,MATCH($C13,CSINAPI!$A:$A,0)),
IF(CONCATENATE($A13,$B13)="CCESAN",INDEX(CCESAN!$D:$D,MATCH($C13,CCESAN!$A:$A,0)),
IF(CONCATENATE($A13,$B13)="CSCORIO",INDEX(CSCORIO!$B:$B,MATCH($C13,CSCORIO!#REF!,0)),
IF(CONCATENATE($A13,$B13)="MERC",INDEX(MERCADO!$E:$E,MATCH($C13,MERCADO!$A:$A,0)),
IF(CONCATENATE($A13,$B13)="CCOMP",INDEX(COMPOSICAO!$H:$H,MATCH($C13,COMPOSICAO!$A:$A,0)),""
)))))))),""))</f>
        <v>20.34</v>
      </c>
      <c r="H13" s="144">
        <f t="shared" si="0"/>
        <v>33.56</v>
      </c>
    </row>
    <row r="14" spans="1:992 16373:16373" ht="25.5">
      <c r="A14" s="141" t="s">
        <v>21960</v>
      </c>
      <c r="B14" s="141" t="s">
        <v>1019</v>
      </c>
      <c r="C14" s="141">
        <v>88315</v>
      </c>
      <c r="D14" s="142" t="str">
        <f>PROPER(IFERROR(
IF(C14="","",
IF(CONCATENATE($A14,$B14)="IDER-ES",INDEX('IDER-ES'!$B:$B,MATCH($C14,'IDER-ES'!$A:$A,0)),
IF(CONCATENATE($A14,$B14)="CDER-ES",INDEX('CDER-ES'!$B:$B,MATCH($C14,'CDER-ES'!$A:$A,0)),
IF(CONCATENATE($A14,$B14)="ISINAPI",INDEX(ISINAPI!$B:$B,MATCH($C14,ISINAPI!$A:$A,0)),
IF(CONCATENATE($A14,$B14)="CSINAPI",INDEX(CSINAPI!$B:$B,MATCH($C14,CSINAPI!$A:$A,0)),
IF(CONCATENATE($A14,$B14)="CCESAN",INDEX(CCESAN!$B:$B,MATCH($C14,CCESAN!$A:$A,0)),
IF(CONCATENATE($A14,$B14)="CSCORIO",INDEX(CSCORIO!#REF!,MATCH($C14,CSCORIO!#REF!,0)),
IF(CONCATENATE($A14,$B14)="MERC",INDEX(MERCADO!$B:$B,MATCH($C14,MERCADO!$A:$A,0)),
IF(CONCATENATE($A14,$B14)="CCOMP",INDEX(COMPOSICAO!$B:$B,MATCH($C14,COMPOSICAO!$A:$A,0)),""
))))))))),"*Verificar código*"))</f>
        <v>Serralheiro Com Encargos Complementares</v>
      </c>
      <c r="E14" s="143" t="str">
        <f>LOWER(IFERROR(
IF(CONCATENATE($A14,$B14)="IDER-ES",INDEX('IDER-ES'!$C:$C,MATCH($C14,'IDER-ES'!$A:$A,0)),
IF(CONCATENATE($A14,$B14)="CIOPES",INDEX('CDER-ES'!$C:$C,MATCH($C14,'CDER-ES'!$A:$A,0)),
IF(CONCATENATE($A14,$B14)="ISINAPI",INDEX(ISINAPI!$C:$C,MATCH($C14,ISINAPI!$A:$A,0)),
IF(CONCATENATE($A14,$B14)="CSINAPI",INDEX(CSINAPI!$C:$C,MATCH($C14,CSINAPI!$A:$A,0)),
IF(CONCATENATE($A14,$B14)="CCESAN",INDEX(CCESAN!$C:$C,MATCH($C14,CCESAN!$A:$A,0)),
IF(CONCATENATE($A14,$B14)="CSCORIO",INDEX(CSCORIO!$A:$A,MATCH($C14,CSCORIO!#REF!,0)),
IF(CONCATENATE($A14,$B14)="MERC",INDEX(MERCADO!$D:$D,MATCH($C14,MERCADO!$A:$A,0)),
IF(CONCATENATE($A14,$B14)="CCOMP",INDEX(COMPOSICAO!$H:$H,MATCH($C14,COMPOSICAO!$A:$A,0)),""
)))))))),""))</f>
        <v>h</v>
      </c>
      <c r="F14" s="182">
        <v>2.0099999999999998</v>
      </c>
      <c r="G14" s="144">
        <f>(IFERROR(
IF(CONCATENATE($A14,$B14)="IDER-ES",INDEX('IDER-ES'!$D:$D,MATCH($C14,'IDER-ES'!$A:$A,0)),
IF(CONCATENATE($A14,$B14)="CIOPES",INDEX('CDER-ES'!$D:$D,MATCH($C14,'CDER-ES'!$A:$A,0)),
IF(CONCATENATE($A14,$B14)="ISINAPI",INDEX(ISINAPI!$E:$E,MATCH($C14,ISINAPI!$A:$A,0)),
IF(CONCATENATE($A14,$B14)="CSINAPI",INDEX(CSINAPI!$D:$D,MATCH($C14,CSINAPI!$A:$A,0)),
IF(CONCATENATE($A14,$B14)="CCESAN",INDEX(CCESAN!$D:$D,MATCH($C14,CCESAN!$A:$A,0)),
IF(CONCATENATE($A14,$B14)="CSCORIO",INDEX(CSCORIO!$B:$B,MATCH($C14,CSCORIO!#REF!,0)),
IF(CONCATENATE($A14,$B14)="MERC",INDEX(MERCADO!$E:$E,MATCH($C14,MERCADO!$A:$A,0)),
IF(CONCATENATE($A14,$B14)="CCOMP",INDEX(COMPOSICAO!$H:$H,MATCH($C14,COMPOSICAO!$A:$A,0)),""
)))))))),""))</f>
        <v>25.1</v>
      </c>
      <c r="H14" s="144">
        <f t="shared" si="0"/>
        <v>50.45</v>
      </c>
    </row>
    <row r="15" spans="1:992 16373:16373" ht="25.5">
      <c r="A15" s="141" t="s">
        <v>21960</v>
      </c>
      <c r="B15" s="141" t="s">
        <v>1019</v>
      </c>
      <c r="C15" s="141">
        <v>100717</v>
      </c>
      <c r="D15" s="142" t="str">
        <f>PROPER(IFERROR(
IF(C15="","",
IF(CONCATENATE($A15,$B15)="IDER-ES",INDEX('IDER-ES'!$B:$B,MATCH($C15,'IDER-ES'!$A:$A,0)),
IF(CONCATENATE($A15,$B15)="CDER-ES",INDEX('CDER-ES'!$B:$B,MATCH($C15,'CDER-ES'!$A:$A,0)),
IF(CONCATENATE($A15,$B15)="ISINAPI",INDEX(ISINAPI!$B:$B,MATCH($C15,ISINAPI!$A:$A,0)),
IF(CONCATENATE($A15,$B15)="CSINAPI",INDEX(CSINAPI!$B:$B,MATCH($C15,CSINAPI!$A:$A,0)),
IF(CONCATENATE($A15,$B15)="CCESAN",INDEX(CCESAN!$B:$B,MATCH($C15,CCESAN!$A:$A,0)),
IF(CONCATENATE($A15,$B15)="CSCORIO",INDEX(CSCORIO!#REF!,MATCH($C15,CSCORIO!#REF!,0)),
IF(CONCATENATE($A15,$B15)="MERC",INDEX(MERCADO!$B:$B,MATCH($C15,MERCADO!$A:$A,0)),
IF(CONCATENATE($A15,$B15)="CCOMP",INDEX(COMPOSICAO!$B:$B,MATCH($C15,COMPOSICAO!$A:$A,0)),""
))))))))),"*Verificar código*"))</f>
        <v>Lixamento Manual Em Superfícies Metálicas Em Obra. Af_01/2020</v>
      </c>
      <c r="E15" s="143" t="str">
        <f>LOWER(IFERROR(
IF(CONCATENATE($A15,$B15)="IDER-ES",INDEX('IDER-ES'!$C:$C,MATCH($C15,'IDER-ES'!$A:$A,0)),
IF(CONCATENATE($A15,$B15)="CIOPES",INDEX('CDER-ES'!$C:$C,MATCH($C15,'CDER-ES'!$A:$A,0)),
IF(CONCATENATE($A15,$B15)="ISINAPI",INDEX(ISINAPI!$C:$C,MATCH($C15,ISINAPI!$A:$A,0)),
IF(CONCATENATE($A15,$B15)="CSINAPI",INDEX(CSINAPI!$C:$C,MATCH($C15,CSINAPI!$A:$A,0)),
IF(CONCATENATE($A15,$B15)="CCESAN",INDEX(CCESAN!$C:$C,MATCH($C15,CCESAN!$A:$A,0)),
IF(CONCATENATE($A15,$B15)="CSCORIO",INDEX(CSCORIO!$A:$A,MATCH($C15,CSCORIO!#REF!,0)),
IF(CONCATENATE($A15,$B15)="MERC",INDEX(MERCADO!$D:$D,MATCH($C15,MERCADO!$A:$A,0)),
IF(CONCATENATE($A15,$B15)="CCOMP",INDEX(COMPOSICAO!$H:$H,MATCH($C15,COMPOSICAO!$A:$A,0)),""
)))))))),""))</f>
        <v>m²</v>
      </c>
      <c r="F15" s="182">
        <v>0.4</v>
      </c>
      <c r="G15" s="144">
        <f>(IFERROR(
IF(CONCATENATE($A15,$B15)="IDER-ES",INDEX('IDER-ES'!$D:$D,MATCH($C15,'IDER-ES'!$A:$A,0)),
IF(CONCATENATE($A15,$B15)="CIOPES",INDEX('CDER-ES'!$D:$D,MATCH($C15,'CDER-ES'!$A:$A,0)),
IF(CONCATENATE($A15,$B15)="ISINAPI",INDEX(ISINAPI!$E:$E,MATCH($C15,ISINAPI!$A:$A,0)),
IF(CONCATENATE($A15,$B15)="CSINAPI",INDEX(CSINAPI!$D:$D,MATCH($C15,CSINAPI!$A:$A,0)),
IF(CONCATENATE($A15,$B15)="CCESAN",INDEX(CCESAN!$D:$D,MATCH($C15,CCESAN!$A:$A,0)),
IF(CONCATENATE($A15,$B15)="CSCORIO",INDEX(CSCORIO!$B:$B,MATCH($C15,CSCORIO!#REF!,0)),
IF(CONCATENATE($A15,$B15)="MERC",INDEX(MERCADO!$E:$E,MATCH($C15,MERCADO!$A:$A,0)),
IF(CONCATENATE($A15,$B15)="CCOMP",INDEX(COMPOSICAO!$H:$H,MATCH($C15,COMPOSICAO!$A:$A,0)),""
)))))))),""))</f>
        <v>9.2899999999999991</v>
      </c>
      <c r="H15" s="144">
        <f t="shared" si="0"/>
        <v>3.72</v>
      </c>
    </row>
    <row r="16" spans="1:992 16373:16373" ht="63.75">
      <c r="A16" s="141" t="s">
        <v>21960</v>
      </c>
      <c r="B16" s="141" t="s">
        <v>26583</v>
      </c>
      <c r="C16" s="141">
        <v>190417</v>
      </c>
      <c r="D16" s="142" t="str">
        <f>PROPER(IFERROR(
IF(C16="","",
IF(CONCATENATE($A16,$B16)="IDER-ES",INDEX('IDER-ES'!$B:$B,MATCH($C16,'IDER-ES'!$A:$A,0)),
IF(CONCATENATE($A16,$B16)="CDER-ES",INDEX('CDER-ES'!$B:$B,MATCH($C16,'CDER-ES'!$A:$A,0)),
IF(CONCATENATE($A16,$B16)="ISINAPI",INDEX(ISINAPI!$B:$B,MATCH($C16,ISINAPI!$A:$A,0)),
IF(CONCATENATE($A16,$B16)="CSINAPI",INDEX(CSINAPI!$B:$B,MATCH($C16,CSINAPI!$A:$A,0)),
IF(CONCATENATE($A16,$B16)="CCESAN",INDEX(CCESAN!$B:$B,MATCH($C16,CCESAN!$A:$A,0)),
IF(CONCATENATE($A16,$B16)="CSCORIO",INDEX(CSCORIO!#REF!,MATCH($C16,CSCORIO!#REF!,0)),
IF(CONCATENATE($A16,$B16)="MERC",INDEX(MERCADO!$B:$B,MATCH($C16,MERCADO!$A:$A,0)),
IF(CONCATENATE($A16,$B16)="CCOMP",INDEX(COMPOSICAO!$B:$B,MATCH($C16,COMPOSICAO!$A:$A,0)),""
))))))))),"*Verificar código*"))</f>
        <v>Pintura Com Tinta Esmalte Sintético, Marcas De Referência Suvinil, Coral Ou Metalatex, A Duas Demãos, Inclusive Fundo Anticorrosivo A Uma Demão, Em Metal</v>
      </c>
      <c r="E16" s="143" t="str">
        <f>LOWER(IFERROR(
IF(CONCATENATE($A16,$B16)="IDER-ES",INDEX('IDER-ES'!$C:$C,MATCH($C16,'IDER-ES'!$A:$A,0)),
IF(CONCATENATE($A16,$B16)="CDER-ES",INDEX('CDER-ES'!$C:$C,MATCH($C16,'CDER-ES'!$A:$A,0)),
IF(CONCATENATE($A16,$B16)="ISINAPI",INDEX(ISINAPI!$C:$C,MATCH($C16,ISINAPI!$A:$A,0)),
IF(CONCATENATE($A16,$B16)="CSINAPI",INDEX(CSINAPI!$C:$C,MATCH($C16,CSINAPI!$A:$A,0)),
IF(CONCATENATE($A16,$B16)="CCESAN",INDEX(CCESAN!$C:$C,MATCH($C16,CCESAN!$A:$A,0)),
IF(CONCATENATE($A16,$B16)="CSCORIO",INDEX(CSCORIO!$A:$A,MATCH($C16,CSCORIO!#REF!,0)),
IF(CONCATENATE($A16,$B16)="MERC",INDEX(MERCADO!$D:$D,MATCH($C16,MERCADO!$A:$A,0)),
IF(CONCATENATE($A16,$B16)="CCOMP",INDEX(COMPOSICAO!$H:$H,MATCH($C16,COMPOSICAO!$A:$A,0)),""
)))))))),""))</f>
        <v>m²</v>
      </c>
      <c r="F16" s="182">
        <f>F15</f>
        <v>0.4</v>
      </c>
      <c r="G16" s="144">
        <f>(IFERROR(
IF(CONCATENATE($A16,$B16)="IDER-ES",INDEX('IDER-ES'!$D:$D,MATCH($C16,'IDER-ES'!$A:$A,0)),
IF(CONCATENATE($A16,$B16)="CDER-ES",INDEX('CDER-ES'!$D:$D,MATCH($C16,'CDER-ES'!$A:$A,0)),
IF(CONCATENATE($A16,$B16)="ISINAPI",INDEX(ISINAPI!$E:$E,MATCH($C16,ISINAPI!$A:$A,0)),
IF(CONCATENATE($A16,$B16)="CSINAPI",INDEX(CSINAPI!$D:$D,MATCH($C16,CSINAPI!$A:$A,0)),
IF(CONCATENATE($A16,$B16)="CCESAN",INDEX(CCESAN!$D:$D,MATCH($C16,CCESAN!$A:$A,0)),
IF(CONCATENATE($A16,$B16)="CSCORIO",INDEX(CSCORIO!$B:$B,MATCH($C16,CSCORIO!#REF!,0)),
IF(CONCATENATE($A16,$B16)="MERC",INDEX(MERCADO!$E:$E,MATCH($C16,MERCADO!$A:$A,0)),
IF(CONCATENATE($A16,$B16)="CCOMP",INDEX(COMPOSICAO!$H:$H,MATCH($C16,COMPOSICAO!$A:$A,0)),""
)))))))),""))</f>
        <v>20.010000000000002</v>
      </c>
      <c r="H16" s="144">
        <f t="shared" si="0"/>
        <v>8</v>
      </c>
    </row>
    <row r="18" spans="1:9" s="135" customFormat="1" ht="20.100000000000001" customHeight="1">
      <c r="A18" s="132" t="s">
        <v>1020</v>
      </c>
      <c r="B18" s="405" t="s">
        <v>1022</v>
      </c>
      <c r="C18" s="406"/>
      <c r="D18" s="406"/>
      <c r="E18" s="406"/>
      <c r="F18" s="407"/>
      <c r="G18" s="133" t="s">
        <v>19692</v>
      </c>
      <c r="H18" s="134" t="s">
        <v>19678</v>
      </c>
      <c r="I18" s="263"/>
    </row>
    <row r="19" spans="1:9" ht="60" customHeight="1">
      <c r="A19" s="136">
        <f>COUNTIF($A$4:$A18,$A$4)</f>
        <v>2</v>
      </c>
      <c r="B19" s="408" t="s">
        <v>28693</v>
      </c>
      <c r="C19" s="409"/>
      <c r="D19" s="409"/>
      <c r="E19" s="409"/>
      <c r="F19" s="410"/>
      <c r="G19" s="137" t="s">
        <v>6</v>
      </c>
      <c r="H19" s="211">
        <f>SUM(H21:H29)</f>
        <v>168.73000000000005</v>
      </c>
    </row>
    <row r="20" spans="1:9" ht="30" customHeight="1">
      <c r="A20" s="139" t="s">
        <v>1026</v>
      </c>
      <c r="B20" s="139" t="s">
        <v>1027</v>
      </c>
      <c r="C20" s="139" t="s">
        <v>31</v>
      </c>
      <c r="D20" s="139" t="s">
        <v>1023</v>
      </c>
      <c r="E20" s="139" t="s">
        <v>32</v>
      </c>
      <c r="F20" s="183" t="s">
        <v>2343</v>
      </c>
      <c r="G20" s="140" t="s">
        <v>19676</v>
      </c>
      <c r="H20" s="140" t="s">
        <v>19677</v>
      </c>
    </row>
    <row r="21" spans="1:9" ht="38.25">
      <c r="A21" s="141" t="s">
        <v>26621</v>
      </c>
      <c r="B21" s="141" t="s">
        <v>1019</v>
      </c>
      <c r="C21" s="141">
        <v>20208</v>
      </c>
      <c r="D21" s="142" t="str">
        <f>PROPER(IFERROR(
IF(C21="","",
IF(CONCATENATE($A21,$B21)="IDER-ES",INDEX('IDER-ES'!$B:$B,MATCH($C21,'IDER-ES'!$A:$A,0)),
IF(CONCATENATE($A21,$B21)="CDER-ES",INDEX('CDER-ES'!$B:$B,MATCH($C21,'CDER-ES'!$A:$A,0)),
IF(CONCATENATE($A21,$B21)="ISINAPI",INDEX(ISINAPI!$B:$B,MATCH($C21,ISINAPI!$A:$A,0)),
IF(CONCATENATE($A21,$B21)="CSINAPI",INDEX(CSINAPI!$B:$B,MATCH($C21,CSINAPI!$A:$A,0)),
IF(CONCATENATE($A21,$B21)="CCESAN",INDEX(CCESAN!$B:$B,MATCH($C21,CCESAN!$A:$A,0)),
IF(CONCATENATE($A21,$B21)="CSCORIO",INDEX(CSCORIO!#REF!,MATCH($C21,CSCORIO!#REF!,0)),
IF(CONCATENATE($A21,$B21)="MERC",INDEX(MERCADO!$B:$B,MATCH($C21,MERCADO!$A:$A,0)),
IF(CONCATENATE($A21,$B21)="CCOMP",INDEX(COMPOSICAO!$B:$B,MATCH($C21,COMPOSICAO!$A:$A,0)),""
))))))))),"*Verificar código*"))</f>
        <v xml:space="preserve">Pranchao  Aparelhado *8 X 30* Cm, Em Macaranduba, Angelim Ou Equivalente Da Regiao                                                                                                                                                                                                                                                                                                                                                                                                                        </v>
      </c>
      <c r="E21" s="143" t="str">
        <f>LOWER(IFERROR(
IF(CONCATENATE($A21,$B21)="IDER-ES",INDEX('IDER-ES'!$C:$C,MATCH($C21,'IDER-ES'!$A:$A,0)),
IF(CONCATENATE($A21,$B21)="CIOPES",INDEX('CDER-ES'!$C:$C,MATCH($C21,'CDER-ES'!$A:$A,0)),
IF(CONCATENATE($A21,$B21)="ISINAPI",INDEX(ISINAPI!$C:$C,MATCH($C21,ISINAPI!$A:$A,0)),
IF(CONCATENATE($A21,$B21)="CSINAPI",INDEX(CSINAPI!$C:$C,MATCH($C21,CSINAPI!$A:$A,0)),
IF(CONCATENATE($A21,$B21)="CCESAN",INDEX(CCESAN!$C:$C,MATCH($C21,CCESAN!$A:$A,0)),
IF(CONCATENATE($A21,$B21)="CSCORIO",INDEX(CSCORIO!$A:$A,MATCH($C21,CSCORIO!#REF!,0)),
IF(CONCATENATE($A21,$B21)="MERC",INDEX(MERCADO!$D:$D,MATCH($C21,MERCADO!$A:$A,0)),
IF(CONCATENATE($A21,$B21)="CCOMP",INDEX(COMPOSICAO!$H:$H,MATCH($C21,COMPOSICAO!$A:$A,0)),""
)))))))),""))</f>
        <v xml:space="preserve">m     </v>
      </c>
      <c r="F21" s="182">
        <v>1</v>
      </c>
      <c r="G21" s="144">
        <f>(IFERROR(
IF(CONCATENATE($A21,$B21)="IDER-ES",INDEX('IDER-ES'!$D:$D,MATCH($C21,'IDER-ES'!$A:$A,0)),
IF(CONCATENATE($A21,$B21)="CIOPES",INDEX('CDER-ES'!$D:$D,MATCH($C21,'CDER-ES'!$A:$A,0)),
IF(CONCATENATE($A21,$B21)="ISINAPI",INDEX(ISINAPI!$E:$E,MATCH($C21,ISINAPI!$A:$A,0)),
IF(CONCATENATE($A21,$B21)="CSINAPI",INDEX(CSINAPI!$D:$D,MATCH($C21,CSINAPI!$A:$A,0)),
IF(CONCATENATE($A21,$B21)="CCESAN",INDEX(CCESAN!$D:$D,MATCH($C21,CCESAN!$A:$A,0)),
IF(CONCATENATE($A21,$B21)="CSCORIO",INDEX(CSCORIO!$B:$B,MATCH($C21,CSCORIO!#REF!,0)),
IF(CONCATENATE($A21,$B21)="MERC",INDEX(MERCADO!$E:$E,MATCH($C21,MERCADO!$A:$A,0)),
IF(CONCATENATE($A21,$B21)="CCOMP",INDEX(COMPOSICAO!$H:$H,MATCH($C21,COMPOSICAO!$A:$A,0)),""
)))))))),""))</f>
        <v>112.2</v>
      </c>
      <c r="H21" s="144">
        <f t="shared" ref="H21" si="2">IF(B21="","",ROUND(G21*F21,2))</f>
        <v>112.2</v>
      </c>
    </row>
    <row r="22" spans="1:9" ht="25.5">
      <c r="A22" s="141" t="s">
        <v>21960</v>
      </c>
      <c r="B22" s="141" t="s">
        <v>1019</v>
      </c>
      <c r="C22" s="141">
        <v>88239</v>
      </c>
      <c r="D22" s="142" t="str">
        <f>PROPER(IFERROR(
IF(C22="","",
IF(CONCATENATE($A22,$B22)="IDER-ES",INDEX('IDER-ES'!$B:$B,MATCH($C22,'IDER-ES'!$A:$A,0)),
IF(CONCATENATE($A22,$B22)="CDER-ES",INDEX('CDER-ES'!$B:$B,MATCH($C22,'CDER-ES'!$A:$A,0)),
IF(CONCATENATE($A22,$B22)="ISINAPI",INDEX(ISINAPI!$B:$B,MATCH($C22,ISINAPI!$A:$A,0)),
IF(CONCATENATE($A22,$B22)="CSINAPI",INDEX(CSINAPI!$B:$B,MATCH($C22,CSINAPI!$A:$A,0)),
IF(CONCATENATE($A22,$B22)="CCESAN",INDEX(CCESAN!$B:$B,MATCH($C22,CCESAN!$A:$A,0)),
IF(CONCATENATE($A22,$B22)="CSCORIO",INDEX(CSCORIO!#REF!,MATCH($C22,CSCORIO!#REF!,0)),
IF(CONCATENATE($A22,$B22)="MERC",INDEX(MERCADO!$B:$B,MATCH($C22,MERCADO!$A:$A,0)),
IF(CONCATENATE($A22,$B22)="CCOMP",INDEX(COMPOSICAO!$B:$B,MATCH($C22,COMPOSICAO!$A:$A,0)),""
))))))))),"*Verificar código*"))</f>
        <v>Ajudante De Carpinteiro Com Encargos Complementares</v>
      </c>
      <c r="E22" s="143" t="str">
        <f>LOWER(IFERROR(
IF(CONCATENATE($A22,$B22)="IDER-ES",INDEX('IDER-ES'!$C:$C,MATCH($C22,'IDER-ES'!$A:$A,0)),
IF(CONCATENATE($A22,$B22)="CIOPES",INDEX('CDER-ES'!$C:$C,MATCH($C22,'CDER-ES'!$A:$A,0)),
IF(CONCATENATE($A22,$B22)="ISINAPI",INDEX(ISINAPI!$C:$C,MATCH($C22,ISINAPI!$A:$A,0)),
IF(CONCATENATE($A22,$B22)="CSINAPI",INDEX(CSINAPI!$C:$C,MATCH($C22,CSINAPI!$A:$A,0)),
IF(CONCATENATE($A22,$B22)="CCESAN",INDEX(CCESAN!$C:$C,MATCH($C22,CCESAN!$A:$A,0)),
IF(CONCATENATE($A22,$B22)="CSCORIO",INDEX(CSCORIO!$A:$A,MATCH($C22,CSCORIO!#REF!,0)),
IF(CONCATENATE($A22,$B22)="MERC",INDEX(MERCADO!$D:$D,MATCH($C22,MERCADO!$A:$A,0)),
IF(CONCATENATE($A22,$B22)="CCOMP",INDEX(COMPOSICAO!$H:$H,MATCH($C22,COMPOSICAO!$A:$A,0)),""
)))))))),""))</f>
        <v>h</v>
      </c>
      <c r="F22" s="182">
        <v>0.6</v>
      </c>
      <c r="G22" s="144">
        <f>(IFERROR(
IF(CONCATENATE($A22,$B22)="IDER-ES",INDEX('IDER-ES'!$D:$D,MATCH($C22,'IDER-ES'!$A:$A,0)),
IF(CONCATENATE($A22,$B22)="CIOPES",INDEX('CDER-ES'!$D:$D,MATCH($C22,'CDER-ES'!$A:$A,0)),
IF(CONCATENATE($A22,$B22)="ISINAPI",INDEX(ISINAPI!$E:$E,MATCH($C22,ISINAPI!$A:$A,0)),
IF(CONCATENATE($A22,$B22)="CSINAPI",INDEX(CSINAPI!$D:$D,MATCH($C22,CSINAPI!$A:$A,0)),
IF(CONCATENATE($A22,$B22)="CCESAN",INDEX(CCESAN!$D:$D,MATCH($C22,CCESAN!$A:$A,0)),
IF(CONCATENATE($A22,$B22)="CSCORIO",INDEX(CSCORIO!$B:$B,MATCH($C22,CSCORIO!#REF!,0)),
IF(CONCATENATE($A22,$B22)="MERC",INDEX(MERCADO!$E:$E,MATCH($C22,MERCADO!$A:$A,0)),
IF(CONCATENATE($A22,$B22)="CCOMP",INDEX(COMPOSICAO!$H:$H,MATCH($C22,COMPOSICAO!$A:$A,0)),""
)))))))),""))</f>
        <v>21.16</v>
      </c>
      <c r="H22" s="144">
        <f t="shared" ref="H22" si="3">IF(B22="","",ROUND(G22*F22,2))</f>
        <v>12.7</v>
      </c>
    </row>
    <row r="23" spans="1:9" ht="25.5">
      <c r="A23" s="141" t="s">
        <v>21960</v>
      </c>
      <c r="B23" s="141" t="s">
        <v>1019</v>
      </c>
      <c r="C23" s="141">
        <v>88262</v>
      </c>
      <c r="D23" s="142" t="str">
        <f>PROPER(IFERROR(
IF(C23="","",
IF(CONCATENATE($A23,$B23)="IDER-ES",INDEX('IDER-ES'!$B:$B,MATCH($C23,'IDER-ES'!$A:$A,0)),
IF(CONCATENATE($A23,$B23)="CDER-ES",INDEX('CDER-ES'!$B:$B,MATCH($C23,'CDER-ES'!$A:$A,0)),
IF(CONCATENATE($A23,$B23)="ISINAPI",INDEX(ISINAPI!$B:$B,MATCH($C23,ISINAPI!$A:$A,0)),
IF(CONCATENATE($A23,$B23)="CSINAPI",INDEX(CSINAPI!$B:$B,MATCH($C23,CSINAPI!$A:$A,0)),
IF(CONCATENATE($A23,$B23)="CCESAN",INDEX(CCESAN!$B:$B,MATCH($C23,CCESAN!$A:$A,0)),
IF(CONCATENATE($A23,$B23)="CSCORIO",INDEX(CSCORIO!#REF!,MATCH($C23,CSCORIO!#REF!,0)),
IF(CONCATENATE($A23,$B23)="MERC",INDEX(MERCADO!$B:$B,MATCH($C23,MERCADO!$A:$A,0)),
IF(CONCATENATE($A23,$B23)="CCOMP",INDEX(COMPOSICAO!$B:$B,MATCH($C23,COMPOSICAO!$A:$A,0)),""
))))))))),"*Verificar código*"))</f>
        <v>Carpinteiro De Formas Com Encargos Complementares</v>
      </c>
      <c r="E23" s="143" t="str">
        <f>LOWER(IFERROR(
IF(CONCATENATE($A23,$B23)="IDER-ES",INDEX('IDER-ES'!$C:$C,MATCH($C23,'IDER-ES'!$A:$A,0)),
IF(CONCATENATE($A23,$B23)="CIOPES",INDEX('CDER-ES'!$C:$C,MATCH($C23,'CDER-ES'!$A:$A,0)),
IF(CONCATENATE($A23,$B23)="ISINAPI",INDEX(ISINAPI!$C:$C,MATCH($C23,ISINAPI!$A:$A,0)),
IF(CONCATENATE($A23,$B23)="CSINAPI",INDEX(CSINAPI!$C:$C,MATCH($C23,CSINAPI!$A:$A,0)),
IF(CONCATENATE($A23,$B23)="CCESAN",INDEX(CCESAN!$C:$C,MATCH($C23,CCESAN!$A:$A,0)),
IF(CONCATENATE($A23,$B23)="CSCORIO",INDEX(CSCORIO!$A:$A,MATCH($C23,CSCORIO!#REF!,0)),
IF(CONCATENATE($A23,$B23)="MERC",INDEX(MERCADO!$D:$D,MATCH($C23,MERCADO!$A:$A,0)),
IF(CONCATENATE($A23,$B23)="CCOMP",INDEX(COMPOSICAO!$H:$H,MATCH($C23,COMPOSICAO!$A:$A,0)),""
)))))))),""))</f>
        <v>h</v>
      </c>
      <c r="F23" s="182">
        <v>0.8</v>
      </c>
      <c r="G23" s="144">
        <f>(IFERROR(
IF(CONCATENATE($A23,$B23)="IDER-ES",INDEX('IDER-ES'!$D:$D,MATCH($C23,'IDER-ES'!$A:$A,0)),
IF(CONCATENATE($A23,$B23)="CIOPES",INDEX('CDER-ES'!$D:$D,MATCH($C23,'CDER-ES'!$A:$A,0)),
IF(CONCATENATE($A23,$B23)="ISINAPI",INDEX(ISINAPI!$E:$E,MATCH($C23,ISINAPI!$A:$A,0)),
IF(CONCATENATE($A23,$B23)="CSINAPI",INDEX(CSINAPI!$D:$D,MATCH($C23,CSINAPI!$A:$A,0)),
IF(CONCATENATE($A23,$B23)="CCESAN",INDEX(CCESAN!$D:$D,MATCH($C23,CCESAN!$A:$A,0)),
IF(CONCATENATE($A23,$B23)="CSCORIO",INDEX(CSCORIO!$B:$B,MATCH($C23,CSCORIO!#REF!,0)),
IF(CONCATENATE($A23,$B23)="MERC",INDEX(MERCADO!$E:$E,MATCH($C23,MERCADO!$A:$A,0)),
IF(CONCATENATE($A23,$B23)="CCOMP",INDEX(COMPOSICAO!$H:$H,MATCH($C23,COMPOSICAO!$A:$A,0)),""
)))))))),""))</f>
        <v>25.18</v>
      </c>
      <c r="H23" s="144">
        <f t="shared" ref="H23:H29" si="4">IF(B23="","",ROUND(G23*F23,2))</f>
        <v>20.14</v>
      </c>
    </row>
    <row r="24" spans="1:9" ht="51">
      <c r="A24" s="141" t="s">
        <v>21960</v>
      </c>
      <c r="B24" s="141" t="s">
        <v>1019</v>
      </c>
      <c r="C24" s="141">
        <v>91692</v>
      </c>
      <c r="D24" s="142" t="str">
        <f>PROPER(IFERROR(
IF(C24="","",
IF(CONCATENATE($A24,$B24)="IDER-ES",INDEX('IDER-ES'!$B:$B,MATCH($C24,'IDER-ES'!$A:$A,0)),
IF(CONCATENATE($A24,$B24)="CDER-ES",INDEX('CDER-ES'!$B:$B,MATCH($C24,'CDER-ES'!$A:$A,0)),
IF(CONCATENATE($A24,$B24)="ISINAPI",INDEX(ISINAPI!$B:$B,MATCH($C24,ISINAPI!$A:$A,0)),
IF(CONCATENATE($A24,$B24)="CSINAPI",INDEX(CSINAPI!$B:$B,MATCH($C24,CSINAPI!$A:$A,0)),
IF(CONCATENATE($A24,$B24)="CCESAN",INDEX(CCESAN!$B:$B,MATCH($C24,CCESAN!$A:$A,0)),
IF(CONCATENATE($A24,$B24)="CSCORIO",INDEX(CSCORIO!#REF!,MATCH($C24,CSCORIO!#REF!,0)),
IF(CONCATENATE($A24,$B24)="MERC",INDEX(MERCADO!$B:$B,MATCH($C24,MERCADO!$A:$A,0)),
IF(CONCATENATE($A24,$B24)="CCOMP",INDEX(COMPOSICAO!$B:$B,MATCH($C24,COMPOSICAO!$A:$A,0)),""
))))))))),"*Verificar código*"))</f>
        <v>Serra Circular De Bancada Com Motor Elétrico Potência De 5Hp, Com Coifa Para Disco 10" - Chp Diurno. Af_08/2015</v>
      </c>
      <c r="E24" s="143" t="str">
        <f>LOWER(IFERROR(
IF(CONCATENATE($A24,$B24)="IDER-ES",INDEX('IDER-ES'!$C:$C,MATCH($C24,'IDER-ES'!$A:$A,0)),
IF(CONCATENATE($A24,$B24)="CIOPES",INDEX('CDER-ES'!$C:$C,MATCH($C24,'CDER-ES'!$A:$A,0)),
IF(CONCATENATE($A24,$B24)="ISINAPI",INDEX(ISINAPI!$C:$C,MATCH($C24,ISINAPI!$A:$A,0)),
IF(CONCATENATE($A24,$B24)="CSINAPI",INDEX(CSINAPI!$C:$C,MATCH($C24,CSINAPI!$A:$A,0)),
IF(CONCATENATE($A24,$B24)="CCESAN",INDEX(CCESAN!$C:$C,MATCH($C24,CCESAN!$A:$A,0)),
IF(CONCATENATE($A24,$B24)="CSCORIO",INDEX(CSCORIO!$A:$A,MATCH($C24,CSCORIO!#REF!,0)),
IF(CONCATENATE($A24,$B24)="MERC",INDEX(MERCADO!$D:$D,MATCH($C24,MERCADO!$A:$A,0)),
IF(CONCATENATE($A24,$B24)="CCOMP",INDEX(COMPOSICAO!$H:$H,MATCH($C24,COMPOSICAO!$A:$A,0)),""
)))))))),""))</f>
        <v>chp</v>
      </c>
      <c r="F24" s="182">
        <v>0.05</v>
      </c>
      <c r="G24" s="144">
        <f>(IFERROR(
IF(CONCATENATE($A24,$B24)="IDER-ES",INDEX('IDER-ES'!$D:$D,MATCH($C24,'IDER-ES'!$A:$A,0)),
IF(CONCATENATE($A24,$B24)="CIOPES",INDEX('CDER-ES'!$D:$D,MATCH($C24,'CDER-ES'!$A:$A,0)),
IF(CONCATENATE($A24,$B24)="ISINAPI",INDEX(ISINAPI!$E:$E,MATCH($C24,ISINAPI!$A:$A,0)),
IF(CONCATENATE($A24,$B24)="CSINAPI",INDEX(CSINAPI!$D:$D,MATCH($C24,CSINAPI!$A:$A,0)),
IF(CONCATENATE($A24,$B24)="CCESAN",INDEX(CCESAN!$D:$D,MATCH($C24,CCESAN!$A:$A,0)),
IF(CONCATENATE($A24,$B24)="CSCORIO",INDEX(CSCORIO!$B:$B,MATCH($C24,CSCORIO!#REF!,0)),
IF(CONCATENATE($A24,$B24)="MERC",INDEX(MERCADO!$E:$E,MATCH($C24,MERCADO!$A:$A,0)),
IF(CONCATENATE($A24,$B24)="CCOMP",INDEX(COMPOSICAO!$H:$H,MATCH($C24,COMPOSICAO!$A:$A,0)),""
)))))))),""))</f>
        <v>29.71</v>
      </c>
      <c r="H24" s="144">
        <f t="shared" si="4"/>
        <v>1.49</v>
      </c>
    </row>
    <row r="25" spans="1:9" ht="38.25">
      <c r="A25" s="141" t="s">
        <v>21960</v>
      </c>
      <c r="B25" s="141" t="s">
        <v>1019</v>
      </c>
      <c r="C25" s="141">
        <v>91693</v>
      </c>
      <c r="D25" s="142" t="str">
        <f>PROPER(IFERROR(
IF(C25="","",
IF(CONCATENATE($A25,$B25)="IDER-ES",INDEX('IDER-ES'!$B:$B,MATCH($C25,'IDER-ES'!$A:$A,0)),
IF(CONCATENATE($A25,$B25)="CDER-ES",INDEX('CDER-ES'!$B:$B,MATCH($C25,'CDER-ES'!$A:$A,0)),
IF(CONCATENATE($A25,$B25)="ISINAPI",INDEX(ISINAPI!$B:$B,MATCH($C25,ISINAPI!$A:$A,0)),
IF(CONCATENATE($A25,$B25)="CSINAPI",INDEX(CSINAPI!$B:$B,MATCH($C25,CSINAPI!$A:$A,0)),
IF(CONCATENATE($A25,$B25)="CCESAN",INDEX(CCESAN!$B:$B,MATCH($C25,CCESAN!$A:$A,0)),
IF(CONCATENATE($A25,$B25)="CSCORIO",INDEX(CSCORIO!#REF!,MATCH($C25,CSCORIO!#REF!,0)),
IF(CONCATENATE($A25,$B25)="MERC",INDEX(MERCADO!$B:$B,MATCH($C25,MERCADO!$A:$A,0)),
IF(CONCATENATE($A25,$B25)="CCOMP",INDEX(COMPOSICAO!$B:$B,MATCH($C25,COMPOSICAO!$A:$A,0)),""
))))))))),"*Verificar código*"))</f>
        <v>Serra Circular De Bancada Com Motor Elétrico Potência De 5Hp, Com Coifa Para Disco 10" - Chi Diurno. Af_08/2015</v>
      </c>
      <c r="E25" s="143" t="str">
        <f>LOWER(IFERROR(
IF(CONCATENATE($A25,$B25)="IDER-ES",INDEX('IDER-ES'!$C:$C,MATCH($C25,'IDER-ES'!$A:$A,0)),
IF(CONCATENATE($A25,$B25)="CIOPES",INDEX('CDER-ES'!$C:$C,MATCH($C25,'CDER-ES'!$A:$A,0)),
IF(CONCATENATE($A25,$B25)="ISINAPI",INDEX(ISINAPI!$C:$C,MATCH($C25,ISINAPI!$A:$A,0)),
IF(CONCATENATE($A25,$B25)="CSINAPI",INDEX(CSINAPI!$C:$C,MATCH($C25,CSINAPI!$A:$A,0)),
IF(CONCATENATE($A25,$B25)="CCESAN",INDEX(CCESAN!$C:$C,MATCH($C25,CCESAN!$A:$A,0)),
IF(CONCATENATE($A25,$B25)="CSCORIO",INDEX(CSCORIO!$A:$A,MATCH($C25,CSCORIO!#REF!,0)),
IF(CONCATENATE($A25,$B25)="MERC",INDEX(MERCADO!$D:$D,MATCH($C25,MERCADO!$A:$A,0)),
IF(CONCATENATE($A25,$B25)="CCOMP",INDEX(COMPOSICAO!$H:$H,MATCH($C25,COMPOSICAO!$A:$A,0)),""
)))))))),""))</f>
        <v>chi</v>
      </c>
      <c r="F25" s="182">
        <v>0.1</v>
      </c>
      <c r="G25" s="144">
        <f>(IFERROR(
IF(CONCATENATE($A25,$B25)="IDER-ES",INDEX('IDER-ES'!$D:$D,MATCH($C25,'IDER-ES'!$A:$A,0)),
IF(CONCATENATE($A25,$B25)="CIOPES",INDEX('CDER-ES'!$D:$D,MATCH($C25,'CDER-ES'!$A:$A,0)),
IF(CONCATENATE($A25,$B25)="ISINAPI",INDEX(ISINAPI!$E:$E,MATCH($C25,ISINAPI!$A:$A,0)),
IF(CONCATENATE($A25,$B25)="CSINAPI",INDEX(CSINAPI!$D:$D,MATCH($C25,CSINAPI!$A:$A,0)),
IF(CONCATENATE($A25,$B25)="CCESAN",INDEX(CCESAN!$D:$D,MATCH($C25,CCESAN!$A:$A,0)),
IF(CONCATENATE($A25,$B25)="CSCORIO",INDEX(CSCORIO!$B:$B,MATCH($C25,CSCORIO!#REF!,0)),
IF(CONCATENATE($A25,$B25)="MERC",INDEX(MERCADO!$E:$E,MATCH($C25,MERCADO!$A:$A,0)),
IF(CONCATENATE($A25,$B25)="CCOMP",INDEX(COMPOSICAO!$H:$H,MATCH($C25,COMPOSICAO!$A:$A,0)),""
)))))))),""))</f>
        <v>28.28</v>
      </c>
      <c r="H25" s="144">
        <f t="shared" ref="H25" si="5">IF(B25="","",ROUND(G25*F25,2))</f>
        <v>2.83</v>
      </c>
    </row>
    <row r="26" spans="1:9" ht="51">
      <c r="A26" s="141" t="s">
        <v>21960</v>
      </c>
      <c r="B26" s="141" t="s">
        <v>1019</v>
      </c>
      <c r="C26" s="141">
        <v>93281</v>
      </c>
      <c r="D26" s="142" t="str">
        <f>PROPER(IFERROR(
IF(C26="","",
IF(CONCATENATE($A26,$B26)="IDER-ES",INDEX('IDER-ES'!$B:$B,MATCH($C26,'IDER-ES'!$A:$A,0)),
IF(CONCATENATE($A26,$B26)="CDER-ES",INDEX('CDER-ES'!$B:$B,MATCH($C26,'CDER-ES'!$A:$A,0)),
IF(CONCATENATE($A26,$B26)="ISINAPI",INDEX(ISINAPI!$B:$B,MATCH($C26,ISINAPI!$A:$A,0)),
IF(CONCATENATE($A26,$B26)="CSINAPI",INDEX(CSINAPI!$B:$B,MATCH($C26,CSINAPI!$A:$A,0)),
IF(CONCATENATE($A26,$B26)="CCESAN",INDEX(CCESAN!$B:$B,MATCH($C26,CCESAN!$A:$A,0)),
IF(CONCATENATE($A26,$B26)="CSCORIO",INDEX(CSCORIO!#REF!,MATCH($C26,CSCORIO!#REF!,0)),
IF(CONCATENATE($A26,$B26)="MERC",INDEX(MERCADO!$B:$B,MATCH($C26,MERCADO!$A:$A,0)),
IF(CONCATENATE($A26,$B26)="CCOMP",INDEX(COMPOSICAO!$B:$B,MATCH($C26,COMPOSICAO!$A:$A,0)),""
))))))))),"*Verificar código*"))</f>
        <v>Guincho Elétrico De Coluna, Capacidade 400 Kg, Com Moto Freio, Motor Trifásico De 1,25 Cv - Chp Diurno. Af_03/2016</v>
      </c>
      <c r="E26" s="143" t="str">
        <f>LOWER(IFERROR(
IF(CONCATENATE($A26,$B26)="IDER-ES",INDEX('IDER-ES'!$C:$C,MATCH($C26,'IDER-ES'!$A:$A,0)),
IF(CONCATENATE($A26,$B26)="CIOPES",INDEX('CDER-ES'!$C:$C,MATCH($C26,'CDER-ES'!$A:$A,0)),
IF(CONCATENATE($A26,$B26)="ISINAPI",INDEX(ISINAPI!$C:$C,MATCH($C26,ISINAPI!$A:$A,0)),
IF(CONCATENATE($A26,$B26)="CSINAPI",INDEX(CSINAPI!$C:$C,MATCH($C26,CSINAPI!$A:$A,0)),
IF(CONCATENATE($A26,$B26)="CCESAN",INDEX(CCESAN!$C:$C,MATCH($C26,CCESAN!$A:$A,0)),
IF(CONCATENATE($A26,$B26)="CSCORIO",INDEX(CSCORIO!$A:$A,MATCH($C26,CSCORIO!#REF!,0)),
IF(CONCATENATE($A26,$B26)="MERC",INDEX(MERCADO!$D:$D,MATCH($C26,MERCADO!$A:$A,0)),
IF(CONCATENATE($A26,$B26)="CCOMP",INDEX(COMPOSICAO!$H:$H,MATCH($C26,COMPOSICAO!$A:$A,0)),""
)))))))),""))</f>
        <v>chp</v>
      </c>
      <c r="F26" s="182">
        <v>0.1</v>
      </c>
      <c r="G26" s="144">
        <f>(IFERROR(
IF(CONCATENATE($A26,$B26)="IDER-ES",INDEX('IDER-ES'!$D:$D,MATCH($C26,'IDER-ES'!$A:$A,0)),
IF(CONCATENATE($A26,$B26)="CIOPES",INDEX('CDER-ES'!$D:$D,MATCH($C26,'CDER-ES'!$A:$A,0)),
IF(CONCATENATE($A26,$B26)="ISINAPI",INDEX(ISINAPI!$E:$E,MATCH($C26,ISINAPI!$A:$A,0)),
IF(CONCATENATE($A26,$B26)="CSINAPI",INDEX(CSINAPI!$D:$D,MATCH($C26,CSINAPI!$A:$A,0)),
IF(CONCATENATE($A26,$B26)="CCESAN",INDEX(CCESAN!$D:$D,MATCH($C26,CCESAN!$A:$A,0)),
IF(CONCATENATE($A26,$B26)="CSCORIO",INDEX(CSCORIO!$B:$B,MATCH($C26,CSCORIO!#REF!,0)),
IF(CONCATENATE($A26,$B26)="MERC",INDEX(MERCADO!$E:$E,MATCH($C26,MERCADO!$A:$A,0)),
IF(CONCATENATE($A26,$B26)="CCOMP",INDEX(COMPOSICAO!$H:$H,MATCH($C26,COMPOSICAO!$A:$A,0)),""
)))))))),""))</f>
        <v>25.91</v>
      </c>
      <c r="H26" s="144">
        <f t="shared" ref="H26" si="6">IF(B26="","",ROUND(G26*F26,2))</f>
        <v>2.59</v>
      </c>
    </row>
    <row r="27" spans="1:9" ht="51">
      <c r="A27" s="141" t="s">
        <v>21960</v>
      </c>
      <c r="B27" s="141" t="s">
        <v>1019</v>
      </c>
      <c r="C27" s="141">
        <v>93282</v>
      </c>
      <c r="D27" s="142" t="str">
        <f>PROPER(IFERROR(
IF(C27="","",
IF(CONCATENATE($A27,$B27)="IDER-ES",INDEX('IDER-ES'!$B:$B,MATCH($C27,'IDER-ES'!$A:$A,0)),
IF(CONCATENATE($A27,$B27)="CDER-ES",INDEX('CDER-ES'!$B:$B,MATCH($C27,'CDER-ES'!$A:$A,0)),
IF(CONCATENATE($A27,$B27)="ISINAPI",INDEX(ISINAPI!$B:$B,MATCH($C27,ISINAPI!$A:$A,0)),
IF(CONCATENATE($A27,$B27)="CSINAPI",INDEX(CSINAPI!$B:$B,MATCH($C27,CSINAPI!$A:$A,0)),
IF(CONCATENATE($A27,$B27)="CCESAN",INDEX(CCESAN!$B:$B,MATCH($C27,CCESAN!$A:$A,0)),
IF(CONCATENATE($A27,$B27)="CSCORIO",INDEX(CSCORIO!#REF!,MATCH($C27,CSCORIO!#REF!,0)),
IF(CONCATENATE($A27,$B27)="MERC",INDEX(MERCADO!$B:$B,MATCH($C27,MERCADO!$A:$A,0)),
IF(CONCATENATE($A27,$B27)="CCOMP",INDEX(COMPOSICAO!$B:$B,MATCH($C27,COMPOSICAO!$A:$A,0)),""
))))))))),"*Verificar código*"))</f>
        <v>Guincho Elétrico De Coluna, Capacidade 400 Kg, Com Moto Freio, Motor Trifásico De 1,25 Cv - Chi Diurno. Af_03/2016</v>
      </c>
      <c r="E27" s="143" t="str">
        <f>LOWER(IFERROR(
IF(CONCATENATE($A27,$B27)="IDER-ES",INDEX('IDER-ES'!$C:$C,MATCH($C27,'IDER-ES'!$A:$A,0)),
IF(CONCATENATE($A27,$B27)="CIOPES",INDEX('CDER-ES'!$C:$C,MATCH($C27,'CDER-ES'!$A:$A,0)),
IF(CONCATENATE($A27,$B27)="ISINAPI",INDEX(ISINAPI!$C:$C,MATCH($C27,ISINAPI!$A:$A,0)),
IF(CONCATENATE($A27,$B27)="CSINAPI",INDEX(CSINAPI!$C:$C,MATCH($C27,CSINAPI!$A:$A,0)),
IF(CONCATENATE($A27,$B27)="CCESAN",INDEX(CCESAN!$C:$C,MATCH($C27,CCESAN!$A:$A,0)),
IF(CONCATENATE($A27,$B27)="CSCORIO",INDEX(CSCORIO!$A:$A,MATCH($C27,CSCORIO!#REF!,0)),
IF(CONCATENATE($A27,$B27)="MERC",INDEX(MERCADO!$D:$D,MATCH($C27,MERCADO!$A:$A,0)),
IF(CONCATENATE($A27,$B27)="CCOMP",INDEX(COMPOSICAO!$H:$H,MATCH($C27,COMPOSICAO!$A:$A,0)),""
)))))))),""))</f>
        <v>chi</v>
      </c>
      <c r="F27" s="182">
        <v>0.1</v>
      </c>
      <c r="G27" s="144">
        <f>(IFERROR(
IF(CONCATENATE($A27,$B27)="IDER-ES",INDEX('IDER-ES'!$D:$D,MATCH($C27,'IDER-ES'!$A:$A,0)),
IF(CONCATENATE($A27,$B27)="CIOPES",INDEX('CDER-ES'!$D:$D,MATCH($C27,'CDER-ES'!$A:$A,0)),
IF(CONCATENATE($A27,$B27)="ISINAPI",INDEX(ISINAPI!$E:$E,MATCH($C27,ISINAPI!$A:$A,0)),
IF(CONCATENATE($A27,$B27)="CSINAPI",INDEX(CSINAPI!$D:$D,MATCH($C27,CSINAPI!$A:$A,0)),
IF(CONCATENATE($A27,$B27)="CCESAN",INDEX(CCESAN!$D:$D,MATCH($C27,CCESAN!$A:$A,0)),
IF(CONCATENATE($A27,$B27)="CSCORIO",INDEX(CSCORIO!$B:$B,MATCH($C27,CSCORIO!#REF!,0)),
IF(CONCATENATE($A27,$B27)="MERC",INDEX(MERCADO!$E:$E,MATCH($C27,MERCADO!$A:$A,0)),
IF(CONCATENATE($A27,$B27)="CCOMP",INDEX(COMPOSICAO!$H:$H,MATCH($C27,COMPOSICAO!$A:$A,0)),""
)))))))),""))</f>
        <v>24.85</v>
      </c>
      <c r="H27" s="144">
        <f t="shared" si="4"/>
        <v>2.4900000000000002</v>
      </c>
    </row>
    <row r="28" spans="1:9" ht="25.5">
      <c r="A28" s="141" t="s">
        <v>21960</v>
      </c>
      <c r="B28" s="141" t="s">
        <v>1019</v>
      </c>
      <c r="C28" s="141">
        <v>102193</v>
      </c>
      <c r="D28" s="142" t="str">
        <f>PROPER(IFERROR(
IF(C28="","",
IF(CONCATENATE($A28,$B28)="IDER-ES",INDEX('IDER-ES'!$B:$B,MATCH($C28,'IDER-ES'!$A:$A,0)),
IF(CONCATENATE($A28,$B28)="CDER-ES",INDEX('CDER-ES'!$B:$B,MATCH($C28,'CDER-ES'!$A:$A,0)),
IF(CONCATENATE($A28,$B28)="ISINAPI",INDEX(ISINAPI!$B:$B,MATCH($C28,ISINAPI!$A:$A,0)),
IF(CONCATENATE($A28,$B28)="CSINAPI",INDEX(CSINAPI!$B:$B,MATCH($C28,CSINAPI!$A:$A,0)),
IF(CONCATENATE($A28,$B28)="CCESAN",INDEX(CCESAN!$B:$B,MATCH($C28,CCESAN!$A:$A,0)),
IF(CONCATENATE($A28,$B28)="CSCORIO",INDEX(CSCORIO!#REF!,MATCH($C28,CSCORIO!#REF!,0)),
IF(CONCATENATE($A28,$B28)="MERC",INDEX(MERCADO!$B:$B,MATCH($C28,MERCADO!$A:$A,0)),
IF(CONCATENATE($A28,$B28)="CCOMP",INDEX(COMPOSICAO!$B:$B,MATCH($C28,COMPOSICAO!$A:$A,0)),""
))))))))),"*Verificar código*"))</f>
        <v>Lixamento De Madeira Para Aplicação De Fundo Ou Pintura. Af_01/2021</v>
      </c>
      <c r="E28" s="143" t="str">
        <f>LOWER(IFERROR(
IF(CONCATENATE($A28,$B28)="IDER-ES",INDEX('IDER-ES'!$C:$C,MATCH($C28,'IDER-ES'!$A:$A,0)),
IF(CONCATENATE($A28,$B28)="CIOPES",INDEX('CDER-ES'!$C:$C,MATCH($C28,'CDER-ES'!$A:$A,0)),
IF(CONCATENATE($A28,$B28)="ISINAPI",INDEX(ISINAPI!$C:$C,MATCH($C28,ISINAPI!$A:$A,0)),
IF(CONCATENATE($A28,$B28)="CSINAPI",INDEX(CSINAPI!$C:$C,MATCH($C28,CSINAPI!$A:$A,0)),
IF(CONCATENATE($A28,$B28)="CCESAN",INDEX(CCESAN!$C:$C,MATCH($C28,CCESAN!$A:$A,0)),
IF(CONCATENATE($A28,$B28)="CSCORIO",INDEX(CSCORIO!$A:$A,MATCH($C28,CSCORIO!#REF!,0)),
IF(CONCATENATE($A28,$B28)="MERC",INDEX(MERCADO!$D:$D,MATCH($C28,MERCADO!$A:$A,0)),
IF(CONCATENATE($A28,$B28)="CCOMP",INDEX(COMPOSICAO!$H:$H,MATCH($C28,COMPOSICAO!$A:$A,0)),""
)))))))),""))</f>
        <v>m²</v>
      </c>
      <c r="F28" s="182">
        <v>0.76</v>
      </c>
      <c r="G28" s="144">
        <f>(IFERROR(
IF(CONCATENATE($A28,$B28)="IDER-ES",INDEX('IDER-ES'!$D:$D,MATCH($C28,'IDER-ES'!$A:$A,0)),
IF(CONCATENATE($A28,$B28)="CIOPES",INDEX('CDER-ES'!$D:$D,MATCH($C28,'CDER-ES'!$A:$A,0)),
IF(CONCATENATE($A28,$B28)="ISINAPI",INDEX(ISINAPI!$E:$E,MATCH($C28,ISINAPI!$A:$A,0)),
IF(CONCATENATE($A28,$B28)="CSINAPI",INDEX(CSINAPI!$D:$D,MATCH($C28,CSINAPI!$A:$A,0)),
IF(CONCATENATE($A28,$B28)="CCESAN",INDEX(CCESAN!$D:$D,MATCH($C28,CCESAN!$A:$A,0)),
IF(CONCATENATE($A28,$B28)="CSCORIO",INDEX(CSCORIO!$B:$B,MATCH($C28,CSCORIO!#REF!,0)),
IF(CONCATENATE($A28,$B28)="MERC",INDEX(MERCADO!$E:$E,MATCH($C28,MERCADO!$A:$A,0)),
IF(CONCATENATE($A28,$B28)="CCOMP",INDEX(COMPOSICAO!$H:$H,MATCH($C28,COMPOSICAO!$A:$A,0)),""
)))))))),""))</f>
        <v>2.0499999999999998</v>
      </c>
      <c r="H28" s="144">
        <f t="shared" si="4"/>
        <v>1.56</v>
      </c>
    </row>
    <row r="29" spans="1:9" ht="38.25">
      <c r="A29" s="141" t="s">
        <v>21960</v>
      </c>
      <c r="B29" s="141" t="s">
        <v>1019</v>
      </c>
      <c r="C29" s="141">
        <v>102215</v>
      </c>
      <c r="D29" s="142" t="str">
        <f>PROPER(IFERROR(
IF(C29="","",
IF(CONCATENATE($A29,$B29)="IDER-ES",INDEX('IDER-ES'!$B:$B,MATCH($C29,'IDER-ES'!$A:$A,0)),
IF(CONCATENATE($A29,$B29)="CDER-ES",INDEX('CDER-ES'!$B:$B,MATCH($C29,'CDER-ES'!$A:$A,0)),
IF(CONCATENATE($A29,$B29)="ISINAPI",INDEX(ISINAPI!$B:$B,MATCH($C29,ISINAPI!$A:$A,0)),
IF(CONCATENATE($A29,$B29)="CSINAPI",INDEX(CSINAPI!$B:$B,MATCH($C29,CSINAPI!$A:$A,0)),
IF(CONCATENATE($A29,$B29)="CCESAN",INDEX(CCESAN!$B:$B,MATCH($C29,CCESAN!$A:$A,0)),
IF(CONCATENATE($A29,$B29)="CSCORIO",INDEX(CSCORIO!#REF!,MATCH($C29,CSCORIO!#REF!,0)),
IF(CONCATENATE($A29,$B29)="MERC",INDEX(MERCADO!$B:$B,MATCH($C29,MERCADO!$A:$A,0)),
IF(CONCATENATE($A29,$B29)="CCOMP",INDEX(COMPOSICAO!$B:$B,MATCH($C29,COMPOSICAO!$A:$A,0)),""
))))))))),"*Verificar código*"))</f>
        <v>Pintura Verniz (Incolor) Poliuretânico (Resina Alquídica Modificada) Em Madeira, 2 Demãos. Af_01/2021</v>
      </c>
      <c r="E29" s="143" t="str">
        <f>LOWER(IFERROR(
IF(CONCATENATE($A29,$B29)="IDER-ES",INDEX('IDER-ES'!$C:$C,MATCH($C29,'IDER-ES'!$A:$A,0)),
IF(CONCATENATE($A29,$B29)="CIOPES",INDEX('CDER-ES'!$C:$C,MATCH($C29,'CDER-ES'!$A:$A,0)),
IF(CONCATENATE($A29,$B29)="ISINAPI",INDEX(ISINAPI!$C:$C,MATCH($C29,ISINAPI!$A:$A,0)),
IF(CONCATENATE($A29,$B29)="CSINAPI",INDEX(CSINAPI!$C:$C,MATCH($C29,CSINAPI!$A:$A,0)),
IF(CONCATENATE($A29,$B29)="CCESAN",INDEX(CCESAN!$C:$C,MATCH($C29,CCESAN!$A:$A,0)),
IF(CONCATENATE($A29,$B29)="CSCORIO",INDEX(CSCORIO!$A:$A,MATCH($C29,CSCORIO!#REF!,0)),
IF(CONCATENATE($A29,$B29)="MERC",INDEX(MERCADO!$D:$D,MATCH($C29,MERCADO!$A:$A,0)),
IF(CONCATENATE($A29,$B29)="CCOMP",INDEX(COMPOSICAO!$H:$H,MATCH($C29,COMPOSICAO!$A:$A,0)),""
)))))))),""))</f>
        <v>m²</v>
      </c>
      <c r="F29" s="182">
        <f>F28</f>
        <v>0.76</v>
      </c>
      <c r="G29" s="144">
        <f>(IFERROR(
IF(CONCATENATE($A29,$B29)="IDER-ES",INDEX('IDER-ES'!$D:$D,MATCH($C29,'IDER-ES'!$A:$A,0)),
IF(CONCATENATE($A29,$B29)="CIOPES",INDEX('CDER-ES'!$D:$D,MATCH($C29,'CDER-ES'!$A:$A,0)),
IF(CONCATENATE($A29,$B29)="ISINAPI",INDEX(ISINAPI!$E:$E,MATCH($C29,ISINAPI!$A:$A,0)),
IF(CONCATENATE($A29,$B29)="CSINAPI",INDEX(CSINAPI!$D:$D,MATCH($C29,CSINAPI!$A:$A,0)),
IF(CONCATENATE($A29,$B29)="CCESAN",INDEX(CCESAN!$D:$D,MATCH($C29,CCESAN!$A:$A,0)),
IF(CONCATENATE($A29,$B29)="CSCORIO",INDEX(CSCORIO!$B:$B,MATCH($C29,CSCORIO!#REF!,0)),
IF(CONCATENATE($A29,$B29)="MERC",INDEX(MERCADO!$E:$E,MATCH($C29,MERCADO!$A:$A,0)),
IF(CONCATENATE($A29,$B29)="CCOMP",INDEX(COMPOSICAO!$H:$H,MATCH($C29,COMPOSICAO!$A:$A,0)),""
)))))))),""))</f>
        <v>16.75</v>
      </c>
      <c r="H29" s="144">
        <f t="shared" si="4"/>
        <v>12.73</v>
      </c>
    </row>
    <row r="31" spans="1:9" s="135" customFormat="1" ht="20.100000000000001" customHeight="1">
      <c r="A31" s="186" t="s">
        <v>1020</v>
      </c>
      <c r="B31" s="405" t="s">
        <v>1022</v>
      </c>
      <c r="C31" s="406"/>
      <c r="D31" s="406"/>
      <c r="E31" s="406"/>
      <c r="F31" s="407"/>
      <c r="G31" s="133" t="s">
        <v>19692</v>
      </c>
      <c r="H31" s="134" t="s">
        <v>19678</v>
      </c>
      <c r="I31" s="263"/>
    </row>
    <row r="32" spans="1:9" ht="75" customHeight="1">
      <c r="A32" s="136">
        <f>COUNTIF($A$4:$A31,$A$4)</f>
        <v>3</v>
      </c>
      <c r="B32" s="408" t="s">
        <v>28692</v>
      </c>
      <c r="C32" s="409"/>
      <c r="D32" s="409"/>
      <c r="E32" s="409"/>
      <c r="F32" s="410"/>
      <c r="G32" s="137" t="s">
        <v>2067</v>
      </c>
      <c r="H32" s="211">
        <f>SUM(H34:H46)</f>
        <v>9457.9200000000019</v>
      </c>
    </row>
    <row r="33" spans="1:9" ht="30" customHeight="1">
      <c r="A33" s="139" t="s">
        <v>1026</v>
      </c>
      <c r="B33" s="139" t="s">
        <v>1027</v>
      </c>
      <c r="C33" s="139" t="s">
        <v>31</v>
      </c>
      <c r="D33" s="139" t="s">
        <v>1023</v>
      </c>
      <c r="E33" s="139" t="s">
        <v>32</v>
      </c>
      <c r="F33" s="183" t="s">
        <v>2343</v>
      </c>
      <c r="G33" s="140" t="s">
        <v>19676</v>
      </c>
      <c r="H33" s="140" t="s">
        <v>19677</v>
      </c>
    </row>
    <row r="34" spans="1:9" ht="38.25">
      <c r="A34" s="141" t="s">
        <v>26621</v>
      </c>
      <c r="B34" s="141" t="s">
        <v>1019</v>
      </c>
      <c r="C34" s="141">
        <v>4465</v>
      </c>
      <c r="D34" s="142" t="str">
        <f>PROPER(IFERROR(
IF(C34="","",
IF(CONCATENATE($A34,$B34)="IDER-ES",INDEX('IDER-ES'!$B:$B,MATCH($C34,'IDER-ES'!$A:$A,0)),
IF(CONCATENATE($A34,$B34)="CDER-ES",INDEX('CDER-ES'!$B:$B,MATCH($C34,'CDER-ES'!$A:$A,0)),
IF(CONCATENATE($A34,$B34)="ISINAPI",INDEX(ISINAPI!$B:$B,MATCH($C34,ISINAPI!$A:$A,0)),
IF(CONCATENATE($A34,$B34)="CSINAPI",INDEX(CSINAPI!$B:$B,MATCH($C34,CSINAPI!$A:$A,0)),
IF(CONCATENATE($A34,$B34)="CCESAN",INDEX(CCESAN!$B:$B,MATCH($C34,CCESAN!$A:$A,0)),
IF(CONCATENATE($A34,$B34)="CSCORIO",INDEX(CSCORIO!#REF!,MATCH($C34,CSCORIO!#REF!,0)),
IF(CONCATENATE($A34,$B34)="MERC",INDEX(MERCADO!$B:$B,MATCH($C34,MERCADO!$A:$A,0)),
IF(CONCATENATE($A34,$B34)="CCOMP",INDEX(COMPOSICAO!$B:$B,MATCH($C34,COMPOSICAO!$A:$A,0)),""
))))))))),"*Verificar código*"))</f>
        <v xml:space="preserve">Prancha Nao Aparelhada  *6 X 25* Cm, Em Macaranduba, Angelim Ou Equivalente Da Regiao -  Bruta                                                                                                                                                                                                                                                                                                                                                                                                            </v>
      </c>
      <c r="E34" s="143" t="str">
        <f>LOWER(IFERROR(
IF(CONCATENATE($A34,$B34)="IDER-ES",INDEX('IDER-ES'!$C:$C,MATCH($C34,'IDER-ES'!$A:$A,0)),
IF(CONCATENATE($A34,$B34)="CIOPES",INDEX('CDER-ES'!$C:$C,MATCH($C34,'CDER-ES'!$A:$A,0)),
IF(CONCATENATE($A34,$B34)="ISINAPI",INDEX(ISINAPI!$C:$C,MATCH($C34,ISINAPI!$A:$A,0)),
IF(CONCATENATE($A34,$B34)="CSINAPI",INDEX(CSINAPI!$C:$C,MATCH($C34,CSINAPI!$A:$A,0)),
IF(CONCATENATE($A34,$B34)="CCESAN",INDEX(CCESAN!$C:$C,MATCH($C34,CCESAN!$A:$A,0)),
IF(CONCATENATE($A34,$B34)="CSCORIO",INDEX(CSCORIO!$A:$A,MATCH($C34,CSCORIO!#REF!,0)),
IF(CONCATENATE($A34,$B34)="MERC",INDEX(MERCADO!$D:$D,MATCH($C34,MERCADO!$A:$A,0)),
IF(CONCATENATE($A34,$B34)="CCOMP",INDEX(COMPOSICAO!$H:$H,MATCH($C34,COMPOSICAO!$A:$A,0)),""
)))))))),""))</f>
        <v xml:space="preserve">m     </v>
      </c>
      <c r="F34" s="182">
        <f>(0.2+3.3+1.05)*2+(1.05+0.45+3.3+1.2)*2+2.6*3</f>
        <v>28.900000000000002</v>
      </c>
      <c r="G34" s="144">
        <f>(IFERROR(
IF(CONCATENATE($A34,$B34)="IDER-ES",INDEX('IDER-ES'!$D:$D,MATCH($C34,'IDER-ES'!$A:$A,0)),
IF(CONCATENATE($A34,$B34)="CIOPES",INDEX('CDER-ES'!$D:$D,MATCH($C34,'CDER-ES'!$A:$A,0)),
IF(CONCATENATE($A34,$B34)="ISINAPI",INDEX(ISINAPI!$E:$E,MATCH($C34,ISINAPI!$A:$A,0)),
IF(CONCATENATE($A34,$B34)="CSINAPI",INDEX(CSINAPI!$D:$D,MATCH($C34,CSINAPI!$A:$A,0)),
IF(CONCATENATE($A34,$B34)="CCESAN",INDEX(CCESAN!$D:$D,MATCH($C34,CCESAN!$A:$A,0)),
IF(CONCATENATE($A34,$B34)="CSCORIO",INDEX(CSCORIO!$B:$B,MATCH($C34,CSCORIO!#REF!,0)),
IF(CONCATENATE($A34,$B34)="MERC",INDEX(MERCADO!$E:$E,MATCH($C34,MERCADO!$A:$A,0)),
IF(CONCATENATE($A34,$B34)="CCOMP",INDEX(COMPOSICAO!$H:$H,MATCH($C34,COMPOSICAO!$A:$A,0)),""
)))))))),""))</f>
        <v>45.04</v>
      </c>
      <c r="H34" s="144">
        <f t="shared" ref="H34:H46" si="7">IF(B34="","",ROUND(G34*F34,2))</f>
        <v>1301.6600000000001</v>
      </c>
    </row>
    <row r="35" spans="1:9" ht="38.25">
      <c r="A35" s="141" t="s">
        <v>26621</v>
      </c>
      <c r="B35" s="141" t="s">
        <v>1019</v>
      </c>
      <c r="C35" s="141">
        <v>3993</v>
      </c>
      <c r="D35" s="142" t="str">
        <f>PROPER(IFERROR(
IF(C35="","",
IF(CONCATENATE($A35,$B35)="IDER-ES",INDEX('IDER-ES'!$B:$B,MATCH($C35,'IDER-ES'!$A:$A,0)),
IF(CONCATENATE($A35,$B35)="CDER-ES",INDEX('CDER-ES'!$B:$B,MATCH($C35,'CDER-ES'!$A:$A,0)),
IF(CONCATENATE($A35,$B35)="ISINAPI",INDEX(ISINAPI!$B:$B,MATCH($C35,ISINAPI!$A:$A,0)),
IF(CONCATENATE($A35,$B35)="CSINAPI",INDEX(CSINAPI!$B:$B,MATCH($C35,CSINAPI!$A:$A,0)),
IF(CONCATENATE($A35,$B35)="CCESAN",INDEX(CCESAN!$B:$B,MATCH($C35,CCESAN!$A:$A,0)),
IF(CONCATENATE($A35,$B35)="CSCORIO",INDEX(CSCORIO!#REF!,MATCH($C35,CSCORIO!#REF!,0)),
IF(CONCATENATE($A35,$B35)="MERC",INDEX(MERCADO!$B:$B,MATCH($C35,MERCADO!$A:$A,0)),
IF(CONCATENATE($A35,$B35)="CCOMP",INDEX(COMPOSICAO!$B:$B,MATCH($C35,COMPOSICAO!$A:$A,0)),""
))))))))),"*Verificar código*"))</f>
        <v xml:space="preserve">Tabua Aparelhada *2,5 X 15* Cm, Em Macaranduba, Angelim Ou Equivalente Da Regiao                                                                                                                                                                                                                                                                                                                                                                                                                          </v>
      </c>
      <c r="E35" s="143" t="str">
        <f>LOWER(IFERROR(
IF(CONCATENATE($A35,$B35)="IDER-ES",INDEX('IDER-ES'!$C:$C,MATCH($C35,'IDER-ES'!$A:$A,0)),
IF(CONCATENATE($A35,$B35)="CIOPES",INDEX('CDER-ES'!$C:$C,MATCH($C35,'CDER-ES'!$A:$A,0)),
IF(CONCATENATE($A35,$B35)="ISINAPI",INDEX(ISINAPI!$C:$C,MATCH($C35,ISINAPI!$A:$A,0)),
IF(CONCATENATE($A35,$B35)="CSINAPI",INDEX(CSINAPI!$C:$C,MATCH($C35,CSINAPI!$A:$A,0)),
IF(CONCATENATE($A35,$B35)="CCESAN",INDEX(CCESAN!$C:$C,MATCH($C35,CCESAN!$A:$A,0)),
IF(CONCATENATE($A35,$B35)="CSCORIO",INDEX(CSCORIO!$A:$A,MATCH($C35,CSCORIO!#REF!,0)),
IF(CONCATENATE($A35,$B35)="MERC",INDEX(MERCADO!$D:$D,MATCH($C35,MERCADO!$A:$A,0)),
IF(CONCATENATE($A35,$B35)="CCOMP",INDEX(COMPOSICAO!$H:$H,MATCH($C35,COMPOSICAO!$A:$A,0)),""
)))))))),""))</f>
        <v xml:space="preserve">m²    </v>
      </c>
      <c r="F35" s="182">
        <f>24*1.1</f>
        <v>26.400000000000002</v>
      </c>
      <c r="G35" s="144">
        <f>(IFERROR(
IF(CONCATENATE($A35,$B35)="IDER-ES",INDEX('IDER-ES'!$D:$D,MATCH($C35,'IDER-ES'!$A:$A,0)),
IF(CONCATENATE($A35,$B35)="CIOPES",INDEX('CDER-ES'!$D:$D,MATCH($C35,'CDER-ES'!$A:$A,0)),
IF(CONCATENATE($A35,$B35)="ISINAPI",INDEX(ISINAPI!$E:$E,MATCH($C35,ISINAPI!$A:$A,0)),
IF(CONCATENATE($A35,$B35)="CSINAPI",INDEX(CSINAPI!$D:$D,MATCH($C35,CSINAPI!$A:$A,0)),
IF(CONCATENATE($A35,$B35)="CCESAN",INDEX(CCESAN!$D:$D,MATCH($C35,CCESAN!$A:$A,0)),
IF(CONCATENATE($A35,$B35)="CSCORIO",INDEX(CSCORIO!$B:$B,MATCH($C35,CSCORIO!#REF!,0)),
IF(CONCATENATE($A35,$B35)="MERC",INDEX(MERCADO!$E:$E,MATCH($C35,MERCADO!$A:$A,0)),
IF(CONCATENATE($A35,$B35)="CCOMP",INDEX(COMPOSICAO!$H:$H,MATCH($C35,COMPOSICAO!$A:$A,0)),""
)))))))),""))</f>
        <v>124.22</v>
      </c>
      <c r="H35" s="144">
        <f t="shared" ref="H35:H40" si="8">IF(B35="","",ROUND(G35*F35,2))</f>
        <v>3279.41</v>
      </c>
    </row>
    <row r="36" spans="1:9" ht="38.25">
      <c r="A36" s="141" t="s">
        <v>26621</v>
      </c>
      <c r="B36" s="141" t="s">
        <v>1019</v>
      </c>
      <c r="C36" s="141">
        <v>3992</v>
      </c>
      <c r="D36" s="142" t="str">
        <f>PROPER(IFERROR(
IF(C36="","",
IF(CONCATENATE($A36,$B36)="IDER-ES",INDEX('IDER-ES'!$B:$B,MATCH($C36,'IDER-ES'!$A:$A,0)),
IF(CONCATENATE($A36,$B36)="CDER-ES",INDEX('CDER-ES'!$B:$B,MATCH($C36,'CDER-ES'!$A:$A,0)),
IF(CONCATENATE($A36,$B36)="ISINAPI",INDEX(ISINAPI!$B:$B,MATCH($C36,ISINAPI!$A:$A,0)),
IF(CONCATENATE($A36,$B36)="CSINAPI",INDEX(CSINAPI!$B:$B,MATCH($C36,CSINAPI!$A:$A,0)),
IF(CONCATENATE($A36,$B36)="CCESAN",INDEX(CCESAN!$B:$B,MATCH($C36,CCESAN!$A:$A,0)),
IF(CONCATENATE($A36,$B36)="CSCORIO",INDEX(CSCORIO!#REF!,MATCH($C36,CSCORIO!#REF!,0)),
IF(CONCATENATE($A36,$B36)="MERC",INDEX(MERCADO!$B:$B,MATCH($C36,MERCADO!$A:$A,0)),
IF(CONCATENATE($A36,$B36)="CCOMP",INDEX(COMPOSICAO!$B:$B,MATCH($C36,COMPOSICAO!$A:$A,0)),""
))))))))),"*Verificar código*"))</f>
        <v xml:space="preserve">Tabua Aparelhada *2,5 X 30* Cm, Em Macaranduba, Angelim Ou Equivalente Da Regiao                                                                                                                                                                                                                                                                                                                                                                                                                          </v>
      </c>
      <c r="E36" s="143" t="str">
        <f>LOWER(IFERROR(
IF(CONCATENATE($A36,$B36)="IDER-ES",INDEX('IDER-ES'!$C:$C,MATCH($C36,'IDER-ES'!$A:$A,0)),
IF(CONCATENATE($A36,$B36)="CIOPES",INDEX('CDER-ES'!$C:$C,MATCH($C36,'CDER-ES'!$A:$A,0)),
IF(CONCATENATE($A36,$B36)="ISINAPI",INDEX(ISINAPI!$C:$C,MATCH($C36,ISINAPI!$A:$A,0)),
IF(CONCATENATE($A36,$B36)="CSINAPI",INDEX(CSINAPI!$C:$C,MATCH($C36,CSINAPI!$A:$A,0)),
IF(CONCATENATE($A36,$B36)="CCESAN",INDEX(CCESAN!$C:$C,MATCH($C36,CCESAN!$A:$A,0)),
IF(CONCATENATE($A36,$B36)="CSCORIO",INDEX(CSCORIO!$A:$A,MATCH($C36,CSCORIO!#REF!,0)),
IF(CONCATENATE($A36,$B36)="MERC",INDEX(MERCADO!$D:$D,MATCH($C36,MERCADO!$A:$A,0)),
IF(CONCATENATE($A36,$B36)="CCOMP",INDEX(COMPOSICAO!$H:$H,MATCH($C36,COMPOSICAO!$A:$A,0)),""
)))))))),""))</f>
        <v xml:space="preserve">m     </v>
      </c>
      <c r="F36" s="182">
        <f>22*1.1</f>
        <v>24.200000000000003</v>
      </c>
      <c r="G36" s="144">
        <f>(IFERROR(
IF(CONCATENATE($A36,$B36)="IDER-ES",INDEX('IDER-ES'!$D:$D,MATCH($C36,'IDER-ES'!$A:$A,0)),
IF(CONCATENATE($A36,$B36)="CIOPES",INDEX('CDER-ES'!$D:$D,MATCH($C36,'CDER-ES'!$A:$A,0)),
IF(CONCATENATE($A36,$B36)="ISINAPI",INDEX(ISINAPI!$E:$E,MATCH($C36,ISINAPI!$A:$A,0)),
IF(CONCATENATE($A36,$B36)="CSINAPI",INDEX(CSINAPI!$D:$D,MATCH($C36,CSINAPI!$A:$A,0)),
IF(CONCATENATE($A36,$B36)="CCESAN",INDEX(CCESAN!$D:$D,MATCH($C36,CCESAN!$A:$A,0)),
IF(CONCATENATE($A36,$B36)="CSCORIO",INDEX(CSCORIO!$B:$B,MATCH($C36,CSCORIO!#REF!,0)),
IF(CONCATENATE($A36,$B36)="MERC",INDEX(MERCADO!$E:$E,MATCH($C36,MERCADO!$A:$A,0)),
IF(CONCATENATE($A36,$B36)="CCOMP",INDEX(COMPOSICAO!$H:$H,MATCH($C36,COMPOSICAO!$A:$A,0)),""
)))))))),""))</f>
        <v>31.55</v>
      </c>
      <c r="H36" s="144">
        <f t="shared" si="8"/>
        <v>763.51</v>
      </c>
    </row>
    <row r="37" spans="1:9" ht="25.5">
      <c r="A37" s="141" t="s">
        <v>26621</v>
      </c>
      <c r="B37" s="141" t="s">
        <v>1019</v>
      </c>
      <c r="C37" s="141">
        <v>39027</v>
      </c>
      <c r="D37" s="142" t="str">
        <f>PROPER(IFERROR(
IF(C37="","",
IF(CONCATENATE($A37,$B37)="IDER-ES",INDEX('IDER-ES'!$B:$B,MATCH($C37,'IDER-ES'!$A:$A,0)),
IF(CONCATENATE($A37,$B37)="CDER-ES",INDEX('CDER-ES'!$B:$B,MATCH($C37,'CDER-ES'!$A:$A,0)),
IF(CONCATENATE($A37,$B37)="ISINAPI",INDEX(ISINAPI!$B:$B,MATCH($C37,ISINAPI!$A:$A,0)),
IF(CONCATENATE($A37,$B37)="CSINAPI",INDEX(CSINAPI!$B:$B,MATCH($C37,CSINAPI!$A:$A,0)),
IF(CONCATENATE($A37,$B37)="CCESAN",INDEX(CCESAN!$B:$B,MATCH($C37,CCESAN!$A:$A,0)),
IF(CONCATENATE($A37,$B37)="CSCORIO",INDEX(CSCORIO!#REF!,MATCH($C37,CSCORIO!#REF!,0)),
IF(CONCATENATE($A37,$B37)="MERC",INDEX(MERCADO!$B:$B,MATCH($C37,MERCADO!$A:$A,0)),
IF(CONCATENATE($A37,$B37)="CCOMP",INDEX(COMPOSICAO!$B:$B,MATCH($C37,COMPOSICAO!$A:$A,0)),""
))))))))),"*Verificar código*"))</f>
        <v xml:space="preserve">Prego De Aco Polido Com Cabeca 19  X 36 (3 1/4  X  9)                                                                                                                                                                                                                                                                                                                                                                                                                                                     </v>
      </c>
      <c r="E37" s="143" t="str">
        <f>LOWER(IFERROR(
IF(CONCATENATE($A37,$B37)="IDER-ES",INDEX('IDER-ES'!$C:$C,MATCH($C37,'IDER-ES'!$A:$A,0)),
IF(CONCATENATE($A37,$B37)="CIOPES",INDEX('CDER-ES'!$C:$C,MATCH($C37,'CDER-ES'!$A:$A,0)),
IF(CONCATENATE($A37,$B37)="ISINAPI",INDEX(ISINAPI!$C:$C,MATCH($C37,ISINAPI!$A:$A,0)),
IF(CONCATENATE($A37,$B37)="CSINAPI",INDEX(CSINAPI!$C:$C,MATCH($C37,CSINAPI!$A:$A,0)),
IF(CONCATENATE($A37,$B37)="CCESAN",INDEX(CCESAN!$C:$C,MATCH($C37,CCESAN!$A:$A,0)),
IF(CONCATENATE($A37,$B37)="CSCORIO",INDEX(CSCORIO!$A:$A,MATCH($C37,CSCORIO!#REF!,0)),
IF(CONCATENATE($A37,$B37)="MERC",INDEX(MERCADO!$D:$D,MATCH($C37,MERCADO!$A:$A,0)),
IF(CONCATENATE($A37,$B37)="CCOMP",INDEX(COMPOSICAO!$H:$H,MATCH($C37,COMPOSICAO!$A:$A,0)),""
)))))))),""))</f>
        <v xml:space="preserve">kg    </v>
      </c>
      <c r="F37" s="182">
        <v>10</v>
      </c>
      <c r="G37" s="144">
        <f>(IFERROR(
IF(CONCATENATE($A37,$B37)="IDER-ES",INDEX('IDER-ES'!$D:$D,MATCH($C37,'IDER-ES'!$A:$A,0)),
IF(CONCATENATE($A37,$B37)="CIOPES",INDEX('CDER-ES'!$D:$D,MATCH($C37,'CDER-ES'!$A:$A,0)),
IF(CONCATENATE($A37,$B37)="ISINAPI",INDEX(ISINAPI!$E:$E,MATCH($C37,ISINAPI!$A:$A,0)),
IF(CONCATENATE($A37,$B37)="CSINAPI",INDEX(CSINAPI!$D:$D,MATCH($C37,CSINAPI!$A:$A,0)),
IF(CONCATENATE($A37,$B37)="CCESAN",INDEX(CCESAN!$D:$D,MATCH($C37,CCESAN!$A:$A,0)),
IF(CONCATENATE($A37,$B37)="CSCORIO",INDEX(CSCORIO!$B:$B,MATCH($C37,CSCORIO!#REF!,0)),
IF(CONCATENATE($A37,$B37)="MERC",INDEX(MERCADO!$E:$E,MATCH($C37,MERCADO!$A:$A,0)),
IF(CONCATENATE($A37,$B37)="CCOMP",INDEX(COMPOSICAO!$H:$H,MATCH($C37,COMPOSICAO!$A:$A,0)),""
)))))))),""))</f>
        <v>27.58</v>
      </c>
      <c r="H37" s="144">
        <f t="shared" ref="H37" si="9">IF(B37="","",ROUND(G37*F37,2))</f>
        <v>275.8</v>
      </c>
    </row>
    <row r="38" spans="1:9" ht="25.5">
      <c r="A38" s="141" t="s">
        <v>26621</v>
      </c>
      <c r="B38" s="141" t="s">
        <v>26583</v>
      </c>
      <c r="C38" s="141">
        <v>100195</v>
      </c>
      <c r="D38" s="142" t="str">
        <f>PROPER(IFERROR(
IF(C38="","",
IF(CONCATENATE($A38,$B38)="IDER-ES",INDEX('IDER-ES'!$B:$B,MATCH($C38,'IDER-ES'!$A:$A,0)),
IF(CONCATENATE($A38,$B38)="CDER-ES",INDEX('CDER-ES'!$B:$B,MATCH($C38,'CDER-ES'!$A:$A,0)),
IF(CONCATENATE($A38,$B38)="ISINAPI",INDEX(ISINAPI!$B:$B,MATCH($C38,ISINAPI!$A:$A,0)),
IF(CONCATENATE($A38,$B38)="CSINAPI",INDEX(CSINAPI!$B:$B,MATCH($C38,CSINAPI!$A:$A,0)),
IF(CONCATENATE($A38,$B38)="CCESAN",INDEX(CCESAN!$B:$B,MATCH($C38,CCESAN!$A:$A,0)),
IF(CONCATENATE($A38,$B38)="CSCORIO",INDEX(CSCORIO!#REF!,MATCH($C38,CSCORIO!#REF!,0)),
IF(CONCATENATE($A38,$B38)="MERC",INDEX(MERCADO!$B:$B,MATCH($C38,MERCADO!$A:$A,0)),
IF(CONCATENATE($A38,$B38)="CCOMP",INDEX(COMPOSICAO!$B:$B,MATCH($C38,COMPOSICAO!$A:$A,0)),""
))))))))),"*Verificar código*"))</f>
        <v>Barra De Ferro Redonda Lisa Sae-1020 Ø 5/8"</v>
      </c>
      <c r="E38" s="143" t="str">
        <f>LOWER(IFERROR(
IF(CONCATENATE($A38,$B38)="IDER-ES",INDEX('IDER-ES'!$C:$C,MATCH($C38,'IDER-ES'!$A:$A,0)),
IF(CONCATENATE($A38,$B38)="CIOPES",INDEX('CDER-ES'!$C:$C,MATCH($C38,'CDER-ES'!$A:$A,0)),
IF(CONCATENATE($A38,$B38)="ISINAPI",INDEX(ISINAPI!$C:$C,MATCH($C38,ISINAPI!$A:$A,0)),
IF(CONCATENATE($A38,$B38)="CSINAPI",INDEX(CSINAPI!$C:$C,MATCH($C38,CSINAPI!$A:$A,0)),
IF(CONCATENATE($A38,$B38)="CCESAN",INDEX(CCESAN!$C:$C,MATCH($C38,CCESAN!$A:$A,0)),
IF(CONCATENATE($A38,$B38)="CSCORIO",INDEX(CSCORIO!$A:$A,MATCH($C38,CSCORIO!#REF!,0)),
IF(CONCATENATE($A38,$B38)="MERC",INDEX(MERCADO!$D:$D,MATCH($C38,MERCADO!$A:$A,0)),
IF(CONCATENATE($A38,$B38)="CCOMP",INDEX(COMPOSICAO!$H:$H,MATCH($C38,COMPOSICAO!$A:$A,0)),""
)))))))),""))</f>
        <v>kg</v>
      </c>
      <c r="F38" s="182">
        <f>1.6*6</f>
        <v>9.6000000000000014</v>
      </c>
      <c r="G38" s="144">
        <f>(IFERROR(
IF(CONCATENATE($A38,$B38)="IDER-ES",INDEX('IDER-ES'!$D:$D,MATCH($C38,'IDER-ES'!$A:$A,0)),
IF(CONCATENATE($A38,$B38)="CIOPES",INDEX('CDER-ES'!$D:$D,MATCH($C38,'CDER-ES'!$A:$A,0)),
IF(CONCATENATE($A38,$B38)="ISINAPI",INDEX(ISINAPI!$E:$E,MATCH($C38,ISINAPI!$A:$A,0)),
IF(CONCATENATE($A38,$B38)="CSINAPI",INDEX(CSINAPI!$D:$D,MATCH($C38,CSINAPI!$A:$A,0)),
IF(CONCATENATE($A38,$B38)="CCESAN",INDEX(CCESAN!$D:$D,MATCH($C38,CCESAN!$A:$A,0)),
IF(CONCATENATE($A38,$B38)="CSCORIO",INDEX(CSCORIO!$B:$B,MATCH($C38,CSCORIO!#REF!,0)),
IF(CONCATENATE($A38,$B38)="MERC",INDEX(MERCADO!$E:$E,MATCH($C38,MERCADO!$A:$A,0)),
IF(CONCATENATE($A38,$B38)="CCOMP",INDEX(COMPOSICAO!$H:$H,MATCH($C38,COMPOSICAO!$A:$A,0)),""
)))))))),""))</f>
        <v>11.49</v>
      </c>
      <c r="H38" s="144">
        <f t="shared" ref="H38:H39" si="10">IF(B38="","",ROUND(G38*F38,2))</f>
        <v>110.3</v>
      </c>
    </row>
    <row r="39" spans="1:9" ht="25.5">
      <c r="A39" s="141" t="s">
        <v>26621</v>
      </c>
      <c r="B39" s="141" t="s">
        <v>1019</v>
      </c>
      <c r="C39" s="141">
        <v>4340</v>
      </c>
      <c r="D39" s="142" t="str">
        <f>PROPER(IFERROR(
IF(C39="","",
IF(CONCATENATE($A39,$B39)="IDER-ES",INDEX('IDER-ES'!$B:$B,MATCH($C39,'IDER-ES'!$A:$A,0)),
IF(CONCATENATE($A39,$B39)="CDER-ES",INDEX('CDER-ES'!$B:$B,MATCH($C39,'CDER-ES'!$A:$A,0)),
IF(CONCATENATE($A39,$B39)="ISINAPI",INDEX(ISINAPI!$B:$B,MATCH($C39,ISINAPI!$A:$A,0)),
IF(CONCATENATE($A39,$B39)="CSINAPI",INDEX(CSINAPI!$B:$B,MATCH($C39,CSINAPI!$A:$A,0)),
IF(CONCATENATE($A39,$B39)="CCESAN",INDEX(CCESAN!$B:$B,MATCH($C39,CCESAN!$A:$A,0)),
IF(CONCATENATE($A39,$B39)="CSCORIO",INDEX(CSCORIO!#REF!,MATCH($C39,CSCORIO!#REF!,0)),
IF(CONCATENATE($A39,$B39)="MERC",INDEX(MERCADO!$B:$B,MATCH($C39,MERCADO!$A:$A,0)),
IF(CONCATENATE($A39,$B39)="CCOMP",INDEX(COMPOSICAO!$B:$B,MATCH($C39,COMPOSICAO!$A:$A,0)),""
))))))))),"*Verificar código*"))</f>
        <v xml:space="preserve">Porca Zincada, Sextavada, Diametro 5/8"                                                                                                                                                                                                                                                                                                                                                                                                                                                                   </v>
      </c>
      <c r="E39" s="143" t="str">
        <f>LOWER(IFERROR(
IF(CONCATENATE($A39,$B39)="IDER-ES",INDEX('IDER-ES'!$C:$C,MATCH($C39,'IDER-ES'!$A:$A,0)),
IF(CONCATENATE($A39,$B39)="CIOPES",INDEX('CDER-ES'!$C:$C,MATCH($C39,'CDER-ES'!$A:$A,0)),
IF(CONCATENATE($A39,$B39)="ISINAPI",INDEX(ISINAPI!$C:$C,MATCH($C39,ISINAPI!$A:$A,0)),
IF(CONCATENATE($A39,$B39)="CSINAPI",INDEX(CSINAPI!$C:$C,MATCH($C39,CSINAPI!$A:$A,0)),
IF(CONCATENATE($A39,$B39)="CCESAN",INDEX(CCESAN!$C:$C,MATCH($C39,CCESAN!$A:$A,0)),
IF(CONCATENATE($A39,$B39)="CSCORIO",INDEX(CSCORIO!$A:$A,MATCH($C39,CSCORIO!#REF!,0)),
IF(CONCATENATE($A39,$B39)="MERC",INDEX(MERCADO!$D:$D,MATCH($C39,MERCADO!$A:$A,0)),
IF(CONCATENATE($A39,$B39)="CCOMP",INDEX(COMPOSICAO!$H:$H,MATCH($C39,COMPOSICAO!$A:$A,0)),""
)))))))),""))</f>
        <v xml:space="preserve">un    </v>
      </c>
      <c r="F39" s="182">
        <f>8</f>
        <v>8</v>
      </c>
      <c r="G39" s="144">
        <f>(IFERROR(
IF(CONCATENATE($A39,$B39)="IDER-ES",INDEX('IDER-ES'!$D:$D,MATCH($C39,'IDER-ES'!$A:$A,0)),
IF(CONCATENATE($A39,$B39)="CIOPES",INDEX('CDER-ES'!$D:$D,MATCH($C39,'CDER-ES'!$A:$A,0)),
IF(CONCATENATE($A39,$B39)="ISINAPI",INDEX(ISINAPI!$E:$E,MATCH($C39,ISINAPI!$A:$A,0)),
IF(CONCATENATE($A39,$B39)="CSINAPI",INDEX(CSINAPI!$D:$D,MATCH($C39,CSINAPI!$A:$A,0)),
IF(CONCATENATE($A39,$B39)="CCESAN",INDEX(CCESAN!$D:$D,MATCH($C39,CCESAN!$A:$A,0)),
IF(CONCATENATE($A39,$B39)="CSCORIO",INDEX(CSCORIO!$B:$B,MATCH($C39,CSCORIO!#REF!,0)),
IF(CONCATENATE($A39,$B39)="MERC",INDEX(MERCADO!$E:$E,MATCH($C39,MERCADO!$A:$A,0)),
IF(CONCATENATE($A39,$B39)="CCOMP",INDEX(COMPOSICAO!$H:$H,MATCH($C39,COMPOSICAO!$A:$A,0)),""
)))))))),""))</f>
        <v>1.1200000000000001</v>
      </c>
      <c r="H39" s="144">
        <f t="shared" si="10"/>
        <v>8.9600000000000009</v>
      </c>
    </row>
    <row r="40" spans="1:9">
      <c r="A40" s="141" t="s">
        <v>21960</v>
      </c>
      <c r="B40" s="141" t="s">
        <v>1019</v>
      </c>
      <c r="C40" s="141">
        <v>101746</v>
      </c>
      <c r="D40" s="142" t="str">
        <f>PROPER(IFERROR(
IF(C40="","",
IF(CONCATENATE($A40,$B40)="IDER-ES",INDEX('IDER-ES'!$B:$B,MATCH($C40,'IDER-ES'!$A:$A,0)),
IF(CONCATENATE($A40,$B40)="CDER-ES",INDEX('CDER-ES'!$B:$B,MATCH($C40,'CDER-ES'!$A:$A,0)),
IF(CONCATENATE($A40,$B40)="ISINAPI",INDEX(ISINAPI!$B:$B,MATCH($C40,ISINAPI!$A:$A,0)),
IF(CONCATENATE($A40,$B40)="CSINAPI",INDEX(CSINAPI!$B:$B,MATCH($C40,CSINAPI!$A:$A,0)),
IF(CONCATENATE($A40,$B40)="CCESAN",INDEX(CCESAN!$B:$B,MATCH($C40,CCESAN!$A:$A,0)),
IF(CONCATENATE($A40,$B40)="CSCORIO",INDEX(CSCORIO!#REF!,MATCH($C40,CSCORIO!#REF!,0)),
IF(CONCATENATE($A40,$B40)="MERC",INDEX(MERCADO!$B:$B,MATCH($C40,MERCADO!$A:$A,0)),
IF(CONCATENATE($A40,$B40)="CCOMP",INDEX(COMPOSICAO!$B:$B,MATCH($C40,COMPOSICAO!$A:$A,0)),""
))))))))),"*Verificar código*"))</f>
        <v>Assoalho De Madeira. Af_09/2020</v>
      </c>
      <c r="E40" s="143" t="str">
        <f>LOWER(IFERROR(
IF(CONCATENATE($A40,$B40)="IDER-ES",INDEX('IDER-ES'!$C:$C,MATCH($C40,'IDER-ES'!$A:$A,0)),
IF(CONCATENATE($A40,$B40)="CIOPES",INDEX('CDER-ES'!$C:$C,MATCH($C40,'CDER-ES'!$A:$A,0)),
IF(CONCATENATE($A40,$B40)="ISINAPI",INDEX(ISINAPI!$C:$C,MATCH($C40,ISINAPI!$A:$A,0)),
IF(CONCATENATE($A40,$B40)="CSINAPI",INDEX(CSINAPI!$C:$C,MATCH($C40,CSINAPI!$A:$A,0)),
IF(CONCATENATE($A40,$B40)="CCESAN",INDEX(CCESAN!$C:$C,MATCH($C40,CCESAN!$A:$A,0)),
IF(CONCATENATE($A40,$B40)="CSCORIO",INDEX(CSCORIO!$A:$A,MATCH($C40,CSCORIO!#REF!,0)),
IF(CONCATENATE($A40,$B40)="MERC",INDEX(MERCADO!$D:$D,MATCH($C40,MERCADO!$A:$A,0)),
IF(CONCATENATE($A40,$B40)="CCOMP",INDEX(COMPOSICAO!$H:$H,MATCH($C40,COMPOSICAO!$A:$A,0)),""
)))))))),""))</f>
        <v>m²</v>
      </c>
      <c r="F40" s="182">
        <f>2.6*0.95</f>
        <v>2.4699999999999998</v>
      </c>
      <c r="G40" s="144">
        <f>(IFERROR(
IF(CONCATENATE($A40,$B40)="IDER-ES",INDEX('IDER-ES'!$D:$D,MATCH($C40,'IDER-ES'!$A:$A,0)),
IF(CONCATENATE($A40,$B40)="CIOPES",INDEX('CDER-ES'!$D:$D,MATCH($C40,'CDER-ES'!$A:$A,0)),
IF(CONCATENATE($A40,$B40)="ISINAPI",INDEX(ISINAPI!$E:$E,MATCH($C40,ISINAPI!$A:$A,0)),
IF(CONCATENATE($A40,$B40)="CSINAPI",INDEX(CSINAPI!$D:$D,MATCH($C40,CSINAPI!$A:$A,0)),
IF(CONCATENATE($A40,$B40)="CCESAN",INDEX(CCESAN!$D:$D,MATCH($C40,CCESAN!$A:$A,0)),
IF(CONCATENATE($A40,$B40)="CSCORIO",INDEX(CSCORIO!$B:$B,MATCH($C40,CSCORIO!#REF!,0)),
IF(CONCATENATE($A40,$B40)="MERC",INDEX(MERCADO!$E:$E,MATCH($C40,MERCADO!$A:$A,0)),
IF(CONCATENATE($A40,$B40)="CCOMP",INDEX(COMPOSICAO!$H:$H,MATCH($C40,COMPOSICAO!$A:$A,0)),""
)))))))),""))</f>
        <v>289.38</v>
      </c>
      <c r="H40" s="144">
        <f t="shared" si="8"/>
        <v>714.77</v>
      </c>
    </row>
    <row r="41" spans="1:9" ht="25.5">
      <c r="A41" s="141" t="s">
        <v>21960</v>
      </c>
      <c r="B41" s="141" t="s">
        <v>1019</v>
      </c>
      <c r="C41" s="141">
        <v>88239</v>
      </c>
      <c r="D41" s="142" t="str">
        <f>PROPER(IFERROR(
IF(C41="","",
IF(CONCATENATE($A41,$B41)="IDER-ES",INDEX('IDER-ES'!$B:$B,MATCH($C41,'IDER-ES'!$A:$A,0)),
IF(CONCATENATE($A41,$B41)="CDER-ES",INDEX('CDER-ES'!$B:$B,MATCH($C41,'CDER-ES'!$A:$A,0)),
IF(CONCATENATE($A41,$B41)="ISINAPI",INDEX(ISINAPI!$B:$B,MATCH($C41,ISINAPI!$A:$A,0)),
IF(CONCATENATE($A41,$B41)="CSINAPI",INDEX(CSINAPI!$B:$B,MATCH($C41,CSINAPI!$A:$A,0)),
IF(CONCATENATE($A41,$B41)="CCESAN",INDEX(CCESAN!$B:$B,MATCH($C41,CCESAN!$A:$A,0)),
IF(CONCATENATE($A41,$B41)="CSCORIO",INDEX(CSCORIO!#REF!,MATCH($C41,CSCORIO!#REF!,0)),
IF(CONCATENATE($A41,$B41)="MERC",INDEX(MERCADO!$B:$B,MATCH($C41,MERCADO!$A:$A,0)),
IF(CONCATENATE($A41,$B41)="CCOMP",INDEX(COMPOSICAO!$B:$B,MATCH($C41,COMPOSICAO!$A:$A,0)),""
))))))))),"*Verificar código*"))</f>
        <v>Ajudante De Carpinteiro Com Encargos Complementares</v>
      </c>
      <c r="E41" s="143" t="str">
        <f>LOWER(IFERROR(
IF(CONCATENATE($A41,$B41)="IDER-ES",INDEX('IDER-ES'!$C:$C,MATCH($C41,'IDER-ES'!$A:$A,0)),
IF(CONCATENATE($A41,$B41)="CIOPES",INDEX('CDER-ES'!$C:$C,MATCH($C41,'CDER-ES'!$A:$A,0)),
IF(CONCATENATE($A41,$B41)="ISINAPI",INDEX(ISINAPI!$C:$C,MATCH($C41,ISINAPI!$A:$A,0)),
IF(CONCATENATE($A41,$B41)="CSINAPI",INDEX(CSINAPI!$C:$C,MATCH($C41,CSINAPI!$A:$A,0)),
IF(CONCATENATE($A41,$B41)="CCESAN",INDEX(CCESAN!$C:$C,MATCH($C41,CCESAN!$A:$A,0)),
IF(CONCATENATE($A41,$B41)="CSCORIO",INDEX(CSCORIO!$A:$A,MATCH($C41,CSCORIO!#REF!,0)),
IF(CONCATENATE($A41,$B41)="MERC",INDEX(MERCADO!$D:$D,MATCH($C41,MERCADO!$A:$A,0)),
IF(CONCATENATE($A41,$B41)="CCOMP",INDEX(COMPOSICAO!$H:$H,MATCH($C41,COMPOSICAO!$A:$A,0)),""
)))))))),""))</f>
        <v>h</v>
      </c>
      <c r="F41" s="182">
        <f>18+12</f>
        <v>30</v>
      </c>
      <c r="G41" s="144">
        <f>(IFERROR(
IF(CONCATENATE($A41,$B41)="IDER-ES",INDEX('IDER-ES'!$D:$D,MATCH($C41,'IDER-ES'!$A:$A,0)),
IF(CONCATENATE($A41,$B41)="CIOPES",INDEX('CDER-ES'!$D:$D,MATCH($C41,'CDER-ES'!$A:$A,0)),
IF(CONCATENATE($A41,$B41)="ISINAPI",INDEX(ISINAPI!$E:$E,MATCH($C41,ISINAPI!$A:$A,0)),
IF(CONCATENATE($A41,$B41)="CSINAPI",INDEX(CSINAPI!$D:$D,MATCH($C41,CSINAPI!$A:$A,0)),
IF(CONCATENATE($A41,$B41)="CCESAN",INDEX(CCESAN!$D:$D,MATCH($C41,CCESAN!$A:$A,0)),
IF(CONCATENATE($A41,$B41)="CSCORIO",INDEX(CSCORIO!$B:$B,MATCH($C41,CSCORIO!#REF!,0)),
IF(CONCATENATE($A41,$B41)="MERC",INDEX(MERCADO!$E:$E,MATCH($C41,MERCADO!$A:$A,0)),
IF(CONCATENATE($A41,$B41)="CCOMP",INDEX(COMPOSICAO!$H:$H,MATCH($C41,COMPOSICAO!$A:$A,0)),""
)))))))),""))</f>
        <v>21.16</v>
      </c>
      <c r="H41" s="144">
        <f t="shared" si="7"/>
        <v>634.79999999999995</v>
      </c>
    </row>
    <row r="42" spans="1:9" ht="25.5">
      <c r="A42" s="141" t="s">
        <v>21960</v>
      </c>
      <c r="B42" s="141" t="s">
        <v>1019</v>
      </c>
      <c r="C42" s="141">
        <v>88262</v>
      </c>
      <c r="D42" s="142" t="str">
        <f>PROPER(IFERROR(
IF(C42="","",
IF(CONCATENATE($A42,$B42)="IDER-ES",INDEX('IDER-ES'!$B:$B,MATCH($C42,'IDER-ES'!$A:$A,0)),
IF(CONCATENATE($A42,$B42)="CDER-ES",INDEX('CDER-ES'!$B:$B,MATCH($C42,'CDER-ES'!$A:$A,0)),
IF(CONCATENATE($A42,$B42)="ISINAPI",INDEX(ISINAPI!$B:$B,MATCH($C42,ISINAPI!$A:$A,0)),
IF(CONCATENATE($A42,$B42)="CSINAPI",INDEX(CSINAPI!$B:$B,MATCH($C42,CSINAPI!$A:$A,0)),
IF(CONCATENATE($A42,$B42)="CCESAN",INDEX(CCESAN!$B:$B,MATCH($C42,CCESAN!$A:$A,0)),
IF(CONCATENATE($A42,$B42)="CSCORIO",INDEX(CSCORIO!#REF!,MATCH($C42,CSCORIO!#REF!,0)),
IF(CONCATENATE($A42,$B42)="MERC",INDEX(MERCADO!$B:$B,MATCH($C42,MERCADO!$A:$A,0)),
IF(CONCATENATE($A42,$B42)="CCOMP",INDEX(COMPOSICAO!$B:$B,MATCH($C42,COMPOSICAO!$A:$A,0)),""
))))))))),"*Verificar código*"))</f>
        <v>Carpinteiro De Formas Com Encargos Complementares</v>
      </c>
      <c r="E42" s="143" t="str">
        <f>LOWER(IFERROR(
IF(CONCATENATE($A42,$B42)="IDER-ES",INDEX('IDER-ES'!$C:$C,MATCH($C42,'IDER-ES'!$A:$A,0)),
IF(CONCATENATE($A42,$B42)="CIOPES",INDEX('CDER-ES'!$C:$C,MATCH($C42,'CDER-ES'!$A:$A,0)),
IF(CONCATENATE($A42,$B42)="ISINAPI",INDEX(ISINAPI!$C:$C,MATCH($C42,ISINAPI!$A:$A,0)),
IF(CONCATENATE($A42,$B42)="CSINAPI",INDEX(CSINAPI!$C:$C,MATCH($C42,CSINAPI!$A:$A,0)),
IF(CONCATENATE($A42,$B42)="CCESAN",INDEX(CCESAN!$C:$C,MATCH($C42,CCESAN!$A:$A,0)),
IF(CONCATENATE($A42,$B42)="CSCORIO",INDEX(CSCORIO!$A:$A,MATCH($C42,CSCORIO!#REF!,0)),
IF(CONCATENATE($A42,$B42)="MERC",INDEX(MERCADO!$D:$D,MATCH($C42,MERCADO!$A:$A,0)),
IF(CONCATENATE($A42,$B42)="CCOMP",INDEX(COMPOSICAO!$H:$H,MATCH($C42,COMPOSICAO!$A:$A,0)),""
)))))))),""))</f>
        <v>h</v>
      </c>
      <c r="F42" s="182">
        <f>36+24</f>
        <v>60</v>
      </c>
      <c r="G42" s="144">
        <f>(IFERROR(
IF(CONCATENATE($A42,$B42)="IDER-ES",INDEX('IDER-ES'!$D:$D,MATCH($C42,'IDER-ES'!$A:$A,0)),
IF(CONCATENATE($A42,$B42)="CIOPES",INDEX('CDER-ES'!$D:$D,MATCH($C42,'CDER-ES'!$A:$A,0)),
IF(CONCATENATE($A42,$B42)="ISINAPI",INDEX(ISINAPI!$E:$E,MATCH($C42,ISINAPI!$A:$A,0)),
IF(CONCATENATE($A42,$B42)="CSINAPI",INDEX(CSINAPI!$D:$D,MATCH($C42,CSINAPI!$A:$A,0)),
IF(CONCATENATE($A42,$B42)="CCESAN",INDEX(CCESAN!$D:$D,MATCH($C42,CCESAN!$A:$A,0)),
IF(CONCATENATE($A42,$B42)="CSCORIO",INDEX(CSCORIO!$B:$B,MATCH($C42,CSCORIO!#REF!,0)),
IF(CONCATENATE($A42,$B42)="MERC",INDEX(MERCADO!$E:$E,MATCH($C42,MERCADO!$A:$A,0)),
IF(CONCATENATE($A42,$B42)="CCOMP",INDEX(COMPOSICAO!$H:$H,MATCH($C42,COMPOSICAO!$A:$A,0)),""
)))))))),""))</f>
        <v>25.18</v>
      </c>
      <c r="H42" s="144">
        <f t="shared" si="7"/>
        <v>1510.8</v>
      </c>
    </row>
    <row r="43" spans="1:9" ht="51">
      <c r="A43" s="141" t="s">
        <v>21960</v>
      </c>
      <c r="B43" s="141" t="s">
        <v>1019</v>
      </c>
      <c r="C43" s="141">
        <v>91692</v>
      </c>
      <c r="D43" s="142" t="str">
        <f>PROPER(IFERROR(
IF(C43="","",
IF(CONCATENATE($A43,$B43)="IDER-ES",INDEX('IDER-ES'!$B:$B,MATCH($C43,'IDER-ES'!$A:$A,0)),
IF(CONCATENATE($A43,$B43)="CDER-ES",INDEX('CDER-ES'!$B:$B,MATCH($C43,'CDER-ES'!$A:$A,0)),
IF(CONCATENATE($A43,$B43)="ISINAPI",INDEX(ISINAPI!$B:$B,MATCH($C43,ISINAPI!$A:$A,0)),
IF(CONCATENATE($A43,$B43)="CSINAPI",INDEX(CSINAPI!$B:$B,MATCH($C43,CSINAPI!$A:$A,0)),
IF(CONCATENATE($A43,$B43)="CCESAN",INDEX(CCESAN!$B:$B,MATCH($C43,CCESAN!$A:$A,0)),
IF(CONCATENATE($A43,$B43)="CSCORIO",INDEX(CSCORIO!#REF!,MATCH($C43,CSCORIO!#REF!,0)),
IF(CONCATENATE($A43,$B43)="MERC",INDEX(MERCADO!$B:$B,MATCH($C43,MERCADO!$A:$A,0)),
IF(CONCATENATE($A43,$B43)="CCOMP",INDEX(COMPOSICAO!$B:$B,MATCH($C43,COMPOSICAO!$A:$A,0)),""
))))))))),"*Verificar código*"))</f>
        <v>Serra Circular De Bancada Com Motor Elétrico Potência De 5Hp, Com Coifa Para Disco 10" - Chp Diurno. Af_08/2015</v>
      </c>
      <c r="E43" s="143" t="str">
        <f>LOWER(IFERROR(
IF(CONCATENATE($A43,$B43)="IDER-ES",INDEX('IDER-ES'!$C:$C,MATCH($C43,'IDER-ES'!$A:$A,0)),
IF(CONCATENATE($A43,$B43)="CIOPES",INDEX('CDER-ES'!$C:$C,MATCH($C43,'CDER-ES'!$A:$A,0)),
IF(CONCATENATE($A43,$B43)="ISINAPI",INDEX(ISINAPI!$C:$C,MATCH($C43,ISINAPI!$A:$A,0)),
IF(CONCATENATE($A43,$B43)="CSINAPI",INDEX(CSINAPI!$C:$C,MATCH($C43,CSINAPI!$A:$A,0)),
IF(CONCATENATE($A43,$B43)="CCESAN",INDEX(CCESAN!$C:$C,MATCH($C43,CCESAN!$A:$A,0)),
IF(CONCATENATE($A43,$B43)="CSCORIO",INDEX(CSCORIO!$A:$A,MATCH($C43,CSCORIO!#REF!,0)),
IF(CONCATENATE($A43,$B43)="MERC",INDEX(MERCADO!$D:$D,MATCH($C43,MERCADO!$A:$A,0)),
IF(CONCATENATE($A43,$B43)="CCOMP",INDEX(COMPOSICAO!$H:$H,MATCH($C43,COMPOSICAO!$A:$A,0)),""
)))))))),""))</f>
        <v>chp</v>
      </c>
      <c r="F43" s="182">
        <v>0.5</v>
      </c>
      <c r="G43" s="144">
        <f>(IFERROR(
IF(CONCATENATE($A43,$B43)="IDER-ES",INDEX('IDER-ES'!$D:$D,MATCH($C43,'IDER-ES'!$A:$A,0)),
IF(CONCATENATE($A43,$B43)="CIOPES",INDEX('CDER-ES'!$D:$D,MATCH($C43,'CDER-ES'!$A:$A,0)),
IF(CONCATENATE($A43,$B43)="ISINAPI",INDEX(ISINAPI!$E:$E,MATCH($C43,ISINAPI!$A:$A,0)),
IF(CONCATENATE($A43,$B43)="CSINAPI",INDEX(CSINAPI!$D:$D,MATCH($C43,CSINAPI!$A:$A,0)),
IF(CONCATENATE($A43,$B43)="CCESAN",INDEX(CCESAN!$D:$D,MATCH($C43,CCESAN!$A:$A,0)),
IF(CONCATENATE($A43,$B43)="CSCORIO",INDEX(CSCORIO!$B:$B,MATCH($C43,CSCORIO!#REF!,0)),
IF(CONCATENATE($A43,$B43)="MERC",INDEX(MERCADO!$E:$E,MATCH($C43,MERCADO!$A:$A,0)),
IF(CONCATENATE($A43,$B43)="CCOMP",INDEX(COMPOSICAO!$H:$H,MATCH($C43,COMPOSICAO!$A:$A,0)),""
)))))))),""))</f>
        <v>29.71</v>
      </c>
      <c r="H43" s="144">
        <f t="shared" si="7"/>
        <v>14.86</v>
      </c>
    </row>
    <row r="44" spans="1:9" ht="38.25">
      <c r="A44" s="141" t="s">
        <v>21960</v>
      </c>
      <c r="B44" s="141" t="s">
        <v>1019</v>
      </c>
      <c r="C44" s="141">
        <v>91693</v>
      </c>
      <c r="D44" s="142" t="str">
        <f>PROPER(IFERROR(
IF(C44="","",
IF(CONCATENATE($A44,$B44)="IDER-ES",INDEX('IDER-ES'!$B:$B,MATCH($C44,'IDER-ES'!$A:$A,0)),
IF(CONCATENATE($A44,$B44)="CDER-ES",INDEX('CDER-ES'!$B:$B,MATCH($C44,'CDER-ES'!$A:$A,0)),
IF(CONCATENATE($A44,$B44)="ISINAPI",INDEX(ISINAPI!$B:$B,MATCH($C44,ISINAPI!$A:$A,0)),
IF(CONCATENATE($A44,$B44)="CSINAPI",INDEX(CSINAPI!$B:$B,MATCH($C44,CSINAPI!$A:$A,0)),
IF(CONCATENATE($A44,$B44)="CCESAN",INDEX(CCESAN!$B:$B,MATCH($C44,CCESAN!$A:$A,0)),
IF(CONCATENATE($A44,$B44)="CSCORIO",INDEX(CSCORIO!#REF!,MATCH($C44,CSCORIO!#REF!,0)),
IF(CONCATENATE($A44,$B44)="MERC",INDEX(MERCADO!$B:$B,MATCH($C44,MERCADO!$A:$A,0)),
IF(CONCATENATE($A44,$B44)="CCOMP",INDEX(COMPOSICAO!$B:$B,MATCH($C44,COMPOSICAO!$A:$A,0)),""
))))))))),"*Verificar código*"))</f>
        <v>Serra Circular De Bancada Com Motor Elétrico Potência De 5Hp, Com Coifa Para Disco 10" - Chi Diurno. Af_08/2015</v>
      </c>
      <c r="E44" s="143" t="str">
        <f>LOWER(IFERROR(
IF(CONCATENATE($A44,$B44)="IDER-ES",INDEX('IDER-ES'!$C:$C,MATCH($C44,'IDER-ES'!$A:$A,0)),
IF(CONCATENATE($A44,$B44)="CIOPES",INDEX('CDER-ES'!$C:$C,MATCH($C44,'CDER-ES'!$A:$A,0)),
IF(CONCATENATE($A44,$B44)="ISINAPI",INDEX(ISINAPI!$C:$C,MATCH($C44,ISINAPI!$A:$A,0)),
IF(CONCATENATE($A44,$B44)="CSINAPI",INDEX(CSINAPI!$C:$C,MATCH($C44,CSINAPI!$A:$A,0)),
IF(CONCATENATE($A44,$B44)="CCESAN",INDEX(CCESAN!$C:$C,MATCH($C44,CCESAN!$A:$A,0)),
IF(CONCATENATE($A44,$B44)="CSCORIO",INDEX(CSCORIO!$A:$A,MATCH($C44,CSCORIO!#REF!,0)),
IF(CONCATENATE($A44,$B44)="MERC",INDEX(MERCADO!$D:$D,MATCH($C44,MERCADO!$A:$A,0)),
IF(CONCATENATE($A44,$B44)="CCOMP",INDEX(COMPOSICAO!$H:$H,MATCH($C44,COMPOSICAO!$A:$A,0)),""
)))))))),""))</f>
        <v>chi</v>
      </c>
      <c r="F44" s="182">
        <v>1.3</v>
      </c>
      <c r="G44" s="144">
        <f>(IFERROR(
IF(CONCATENATE($A44,$B44)="IDER-ES",INDEX('IDER-ES'!$D:$D,MATCH($C44,'IDER-ES'!$A:$A,0)),
IF(CONCATENATE($A44,$B44)="CIOPES",INDEX('CDER-ES'!$D:$D,MATCH($C44,'CDER-ES'!$A:$A,0)),
IF(CONCATENATE($A44,$B44)="ISINAPI",INDEX(ISINAPI!$E:$E,MATCH($C44,ISINAPI!$A:$A,0)),
IF(CONCATENATE($A44,$B44)="CSINAPI",INDEX(CSINAPI!$D:$D,MATCH($C44,CSINAPI!$A:$A,0)),
IF(CONCATENATE($A44,$B44)="CCESAN",INDEX(CCESAN!$D:$D,MATCH($C44,CCESAN!$A:$A,0)),
IF(CONCATENATE($A44,$B44)="CSCORIO",INDEX(CSCORIO!$B:$B,MATCH($C44,CSCORIO!#REF!,0)),
IF(CONCATENATE($A44,$B44)="MERC",INDEX(MERCADO!$E:$E,MATCH($C44,MERCADO!$A:$A,0)),
IF(CONCATENATE($A44,$B44)="CCOMP",INDEX(COMPOSICAO!$H:$H,MATCH($C44,COMPOSICAO!$A:$A,0)),""
)))))))),""))</f>
        <v>28.28</v>
      </c>
      <c r="H44" s="144">
        <f t="shared" si="7"/>
        <v>36.76</v>
      </c>
    </row>
    <row r="45" spans="1:9" ht="25.5">
      <c r="A45" s="141" t="s">
        <v>21960</v>
      </c>
      <c r="B45" s="141" t="s">
        <v>1019</v>
      </c>
      <c r="C45" s="141">
        <v>102193</v>
      </c>
      <c r="D45" s="142" t="str">
        <f>PROPER(IFERROR(
IF(C45="","",
IF(CONCATENATE($A45,$B45)="IDER-ES",INDEX('IDER-ES'!$B:$B,MATCH($C45,'IDER-ES'!$A:$A,0)),
IF(CONCATENATE($A45,$B45)="CDER-ES",INDEX('CDER-ES'!$B:$B,MATCH($C45,'CDER-ES'!$A:$A,0)),
IF(CONCATENATE($A45,$B45)="ISINAPI",INDEX(ISINAPI!$B:$B,MATCH($C45,ISINAPI!$A:$A,0)),
IF(CONCATENATE($A45,$B45)="CSINAPI",INDEX(CSINAPI!$B:$B,MATCH($C45,CSINAPI!$A:$A,0)),
IF(CONCATENATE($A45,$B45)="CCESAN",INDEX(CCESAN!$B:$B,MATCH($C45,CCESAN!$A:$A,0)),
IF(CONCATENATE($A45,$B45)="CSCORIO",INDEX(CSCORIO!#REF!,MATCH($C45,CSCORIO!#REF!,0)),
IF(CONCATENATE($A45,$B45)="MERC",INDEX(MERCADO!$B:$B,MATCH($C45,MERCADO!$A:$A,0)),
IF(CONCATENATE($A45,$B45)="CCOMP",INDEX(COMPOSICAO!$B:$B,MATCH($C45,COMPOSICAO!$A:$A,0)),""
))))))))),"*Verificar código*"))</f>
        <v>Lixamento De Madeira Para Aplicação De Fundo Ou Pintura. Af_01/2021</v>
      </c>
      <c r="E45" s="143" t="str">
        <f>LOWER(IFERROR(
IF(CONCATENATE($A45,$B45)="IDER-ES",INDEX('IDER-ES'!$C:$C,MATCH($C45,'IDER-ES'!$A:$A,0)),
IF(CONCATENATE($A45,$B45)="CIOPES",INDEX('CDER-ES'!$C:$C,MATCH($C45,'CDER-ES'!$A:$A,0)),
IF(CONCATENATE($A45,$B45)="ISINAPI",INDEX(ISINAPI!$C:$C,MATCH($C45,ISINAPI!$A:$A,0)),
IF(CONCATENATE($A45,$B45)="CSINAPI",INDEX(CSINAPI!$C:$C,MATCH($C45,CSINAPI!$A:$A,0)),
IF(CONCATENATE($A45,$B45)="CCESAN",INDEX(CCESAN!$C:$C,MATCH($C45,CCESAN!$A:$A,0)),
IF(CONCATENATE($A45,$B45)="CSCORIO",INDEX(CSCORIO!$A:$A,MATCH($C45,CSCORIO!#REF!,0)),
IF(CONCATENATE($A45,$B45)="MERC",INDEX(MERCADO!$D:$D,MATCH($C45,MERCADO!$A:$A,0)),
IF(CONCATENATE($A45,$B45)="CCOMP",INDEX(COMPOSICAO!$H:$H,MATCH($C45,COMPOSICAO!$A:$A,0)),""
)))))))),""))</f>
        <v>m²</v>
      </c>
      <c r="F45" s="182">
        <f>F34*0.62+F35*0.35+F36*0.65</f>
        <v>42.888000000000005</v>
      </c>
      <c r="G45" s="144">
        <f>(IFERROR(
IF(CONCATENATE($A45,$B45)="IDER-ES",INDEX('IDER-ES'!$D:$D,MATCH($C45,'IDER-ES'!$A:$A,0)),
IF(CONCATENATE($A45,$B45)="CIOPES",INDEX('CDER-ES'!$D:$D,MATCH($C45,'CDER-ES'!$A:$A,0)),
IF(CONCATENATE($A45,$B45)="ISINAPI",INDEX(ISINAPI!$E:$E,MATCH($C45,ISINAPI!$A:$A,0)),
IF(CONCATENATE($A45,$B45)="CSINAPI",INDEX(CSINAPI!$D:$D,MATCH($C45,CSINAPI!$A:$A,0)),
IF(CONCATENATE($A45,$B45)="CCESAN",INDEX(CCESAN!$D:$D,MATCH($C45,CCESAN!$A:$A,0)),
IF(CONCATENATE($A45,$B45)="CSCORIO",INDEX(CSCORIO!$B:$B,MATCH($C45,CSCORIO!#REF!,0)),
IF(CONCATENATE($A45,$B45)="MERC",INDEX(MERCADO!$E:$E,MATCH($C45,MERCADO!$A:$A,0)),
IF(CONCATENATE($A45,$B45)="CCOMP",INDEX(COMPOSICAO!$H:$H,MATCH($C45,COMPOSICAO!$A:$A,0)),""
)))))))),""))</f>
        <v>2.0499999999999998</v>
      </c>
      <c r="H45" s="144">
        <f t="shared" si="7"/>
        <v>87.92</v>
      </c>
    </row>
    <row r="46" spans="1:9" ht="38.25">
      <c r="A46" s="141" t="s">
        <v>21960</v>
      </c>
      <c r="B46" s="141" t="s">
        <v>1019</v>
      </c>
      <c r="C46" s="141">
        <v>102215</v>
      </c>
      <c r="D46" s="142" t="str">
        <f>PROPER(IFERROR(
IF(C46="","",
IF(CONCATENATE($A46,$B46)="IDER-ES",INDEX('IDER-ES'!$B:$B,MATCH($C46,'IDER-ES'!$A:$A,0)),
IF(CONCATENATE($A46,$B46)="CDER-ES",INDEX('CDER-ES'!$B:$B,MATCH($C46,'CDER-ES'!$A:$A,0)),
IF(CONCATENATE($A46,$B46)="ISINAPI",INDEX(ISINAPI!$B:$B,MATCH($C46,ISINAPI!$A:$A,0)),
IF(CONCATENATE($A46,$B46)="CSINAPI",INDEX(CSINAPI!$B:$B,MATCH($C46,CSINAPI!$A:$A,0)),
IF(CONCATENATE($A46,$B46)="CCESAN",INDEX(CCESAN!$B:$B,MATCH($C46,CCESAN!$A:$A,0)),
IF(CONCATENATE($A46,$B46)="CSCORIO",INDEX(CSCORIO!#REF!,MATCH($C46,CSCORIO!#REF!,0)),
IF(CONCATENATE($A46,$B46)="MERC",INDEX(MERCADO!$B:$B,MATCH($C46,MERCADO!$A:$A,0)),
IF(CONCATENATE($A46,$B46)="CCOMP",INDEX(COMPOSICAO!$B:$B,MATCH($C46,COMPOSICAO!$A:$A,0)),""
))))))))),"*Verificar código*"))</f>
        <v>Pintura Verniz (Incolor) Poliuretânico (Resina Alquídica Modificada) Em Madeira, 2 Demãos. Af_01/2021</v>
      </c>
      <c r="E46" s="143" t="str">
        <f>LOWER(IFERROR(
IF(CONCATENATE($A46,$B46)="IDER-ES",INDEX('IDER-ES'!$C:$C,MATCH($C46,'IDER-ES'!$A:$A,0)),
IF(CONCATENATE($A46,$B46)="CIOPES",INDEX('CDER-ES'!$C:$C,MATCH($C46,'CDER-ES'!$A:$A,0)),
IF(CONCATENATE($A46,$B46)="ISINAPI",INDEX(ISINAPI!$C:$C,MATCH($C46,ISINAPI!$A:$A,0)),
IF(CONCATENATE($A46,$B46)="CSINAPI",INDEX(CSINAPI!$C:$C,MATCH($C46,CSINAPI!$A:$A,0)),
IF(CONCATENATE($A46,$B46)="CCESAN",INDEX(CCESAN!$C:$C,MATCH($C46,CCESAN!$A:$A,0)),
IF(CONCATENATE($A46,$B46)="CSCORIO",INDEX(CSCORIO!$A:$A,MATCH($C46,CSCORIO!#REF!,0)),
IF(CONCATENATE($A46,$B46)="MERC",INDEX(MERCADO!$D:$D,MATCH($C46,MERCADO!$A:$A,0)),
IF(CONCATENATE($A46,$B46)="CCOMP",INDEX(COMPOSICAO!$H:$H,MATCH($C46,COMPOSICAO!$A:$A,0)),""
)))))))),""))</f>
        <v>m²</v>
      </c>
      <c r="F46" s="182">
        <f>F45</f>
        <v>42.888000000000005</v>
      </c>
      <c r="G46" s="144">
        <f>(IFERROR(
IF(CONCATENATE($A46,$B46)="IDER-ES",INDEX('IDER-ES'!$D:$D,MATCH($C46,'IDER-ES'!$A:$A,0)),
IF(CONCATENATE($A46,$B46)="CIOPES",INDEX('CDER-ES'!$D:$D,MATCH($C46,'CDER-ES'!$A:$A,0)),
IF(CONCATENATE($A46,$B46)="ISINAPI",INDEX(ISINAPI!$E:$E,MATCH($C46,ISINAPI!$A:$A,0)),
IF(CONCATENATE($A46,$B46)="CSINAPI",INDEX(CSINAPI!$D:$D,MATCH($C46,CSINAPI!$A:$A,0)),
IF(CONCATENATE($A46,$B46)="CCESAN",INDEX(CCESAN!$D:$D,MATCH($C46,CCESAN!$A:$A,0)),
IF(CONCATENATE($A46,$B46)="CSCORIO",INDEX(CSCORIO!$B:$B,MATCH($C46,CSCORIO!#REF!,0)),
IF(CONCATENATE($A46,$B46)="MERC",INDEX(MERCADO!$E:$E,MATCH($C46,MERCADO!$A:$A,0)),
IF(CONCATENATE($A46,$B46)="CCOMP",INDEX(COMPOSICAO!$H:$H,MATCH($C46,COMPOSICAO!$A:$A,0)),""
)))))))),""))</f>
        <v>16.75</v>
      </c>
      <c r="H46" s="144">
        <f t="shared" si="7"/>
        <v>718.37</v>
      </c>
    </row>
    <row r="48" spans="1:9" s="135" customFormat="1" ht="20.100000000000001" customHeight="1">
      <c r="A48" s="186" t="s">
        <v>1020</v>
      </c>
      <c r="B48" s="405" t="s">
        <v>1022</v>
      </c>
      <c r="C48" s="406"/>
      <c r="D48" s="406"/>
      <c r="E48" s="406"/>
      <c r="F48" s="407"/>
      <c r="G48" s="133" t="s">
        <v>19692</v>
      </c>
      <c r="H48" s="134" t="s">
        <v>19678</v>
      </c>
      <c r="I48" s="263"/>
    </row>
    <row r="49" spans="1:9" ht="75" customHeight="1">
      <c r="A49" s="136">
        <f>COUNTIF($A$4:$A48,$A$4)</f>
        <v>4</v>
      </c>
      <c r="B49" s="408" t="s">
        <v>28634</v>
      </c>
      <c r="C49" s="409"/>
      <c r="D49" s="409"/>
      <c r="E49" s="409"/>
      <c r="F49" s="410"/>
      <c r="G49" s="137" t="s">
        <v>6</v>
      </c>
      <c r="H49" s="211">
        <f>SUM(H51:H59)</f>
        <v>214.97</v>
      </c>
    </row>
    <row r="50" spans="1:9" ht="30" customHeight="1">
      <c r="A50" s="139" t="s">
        <v>1026</v>
      </c>
      <c r="B50" s="139" t="s">
        <v>1027</v>
      </c>
      <c r="C50" s="139" t="s">
        <v>31</v>
      </c>
      <c r="D50" s="139" t="s">
        <v>1023</v>
      </c>
      <c r="E50" s="139" t="s">
        <v>32</v>
      </c>
      <c r="F50" s="183" t="s">
        <v>2343</v>
      </c>
      <c r="G50" s="140" t="s">
        <v>19676</v>
      </c>
      <c r="H50" s="140" t="s">
        <v>19677</v>
      </c>
    </row>
    <row r="51" spans="1:9" ht="38.25">
      <c r="A51" s="141" t="s">
        <v>26621</v>
      </c>
      <c r="B51" s="141" t="s">
        <v>1019</v>
      </c>
      <c r="C51" s="141">
        <v>4430</v>
      </c>
      <c r="D51" s="142" t="str">
        <f>PROPER(IFERROR(
IF(C51="","",
IF(CONCATENATE($A51,$B51)="IDER-ES",INDEX('IDER-ES'!$B:$B,MATCH($C51,'IDER-ES'!$A:$A,0)),
IF(CONCATENATE($A51,$B51)="CDER-ES",INDEX('CDER-ES'!$B:$B,MATCH($C51,'CDER-ES'!$A:$A,0)),
IF(CONCATENATE($A51,$B51)="ISINAPI",INDEX(ISINAPI!$B:$B,MATCH($C51,ISINAPI!$A:$A,0)),
IF(CONCATENATE($A51,$B51)="CSINAPI",INDEX(CSINAPI!$B:$B,MATCH($C51,CSINAPI!$A:$A,0)),
IF(CONCATENATE($A51,$B51)="CCESAN",INDEX(CCESAN!$B:$B,MATCH($C51,CCESAN!$A:$A,0)),
IF(CONCATENATE($A51,$B51)="CSCORIO",INDEX(CSCORIO!#REF!,MATCH($C51,CSCORIO!#REF!,0)),
IF(CONCATENATE($A51,$B51)="MERC",INDEX(MERCADO!$B:$B,MATCH($C51,MERCADO!$A:$A,0)),
IF(CONCATENATE($A51,$B51)="CCOMP",INDEX(COMPOSICAO!$B:$B,MATCH($C51,COMPOSICAO!$A:$A,0)),""
))))))))),"*Verificar código*"))</f>
        <v xml:space="preserve">Caibro Nao Aparelhado *5 X 6* Cm, Em Macaranduba, Angelim Ou Equivalente Da Regiao -  Bruta                                                                                                                                                                                                                                                                                                                                                                                                               </v>
      </c>
      <c r="E51" s="143" t="str">
        <f>LOWER(IFERROR(
IF(CONCATENATE($A51,$B51)="IDER-ES",INDEX('IDER-ES'!$C:$C,MATCH($C51,'IDER-ES'!$A:$A,0)),
IF(CONCATENATE($A51,$B51)="CIOPES",INDEX('CDER-ES'!$C:$C,MATCH($C51,'CDER-ES'!$A:$A,0)),
IF(CONCATENATE($A51,$B51)="ISINAPI",INDEX(ISINAPI!$C:$C,MATCH($C51,ISINAPI!$A:$A,0)),
IF(CONCATENATE($A51,$B51)="CSINAPI",INDEX(CSINAPI!$C:$C,MATCH($C51,CSINAPI!$A:$A,0)),
IF(CONCATENATE($A51,$B51)="CCESAN",INDEX(CCESAN!$C:$C,MATCH($C51,CCESAN!$A:$A,0)),
IF(CONCATENATE($A51,$B51)="CSCORIO",INDEX(CSCORIO!$A:$A,MATCH($C51,CSCORIO!#REF!,0)),
IF(CONCATENATE($A51,$B51)="MERC",INDEX(MERCADO!$D:$D,MATCH($C51,MERCADO!$A:$A,0)),
IF(CONCATENATE($A51,$B51)="CCOMP",INDEX(COMPOSICAO!$H:$H,MATCH($C51,COMPOSICAO!$A:$A,0)),""
)))))))),""))</f>
        <v xml:space="preserve">m     </v>
      </c>
      <c r="F51" s="182">
        <v>1.5</v>
      </c>
      <c r="G51" s="144">
        <f>(IFERROR(
IF(CONCATENATE($A51,$B51)="IDER-ES",INDEX('IDER-ES'!$D:$D,MATCH($C51,'IDER-ES'!$A:$A,0)),
IF(CONCATENATE($A51,$B51)="CIOPES",INDEX('CDER-ES'!$D:$D,MATCH($C51,'CDER-ES'!$A:$A,0)),
IF(CONCATENATE($A51,$B51)="ISINAPI",INDEX(ISINAPI!$E:$E,MATCH($C51,ISINAPI!$A:$A,0)),
IF(CONCATENATE($A51,$B51)="CSINAPI",INDEX(CSINAPI!$D:$D,MATCH($C51,CSINAPI!$A:$A,0)),
IF(CONCATENATE($A51,$B51)="CCESAN",INDEX(CCESAN!$D:$D,MATCH($C51,CCESAN!$A:$A,0)),
IF(CONCATENATE($A51,$B51)="CSCORIO",INDEX(CSCORIO!$B:$B,MATCH($C51,CSCORIO!#REF!,0)),
IF(CONCATENATE($A51,$B51)="MERC",INDEX(MERCADO!$E:$E,MATCH($C51,MERCADO!$A:$A,0)),
IF(CONCATENATE($A51,$B51)="CCOMP",INDEX(COMPOSICAO!$H:$H,MATCH($C51,COMPOSICAO!$A:$A,0)),""
)))))))),""))</f>
        <v>13.6</v>
      </c>
      <c r="H51" s="144">
        <f t="shared" ref="H51:H59" si="11">IF(B51="","",ROUND(G51*F51,2))</f>
        <v>20.399999999999999</v>
      </c>
    </row>
    <row r="52" spans="1:9" ht="38.25">
      <c r="A52" s="141" t="s">
        <v>26621</v>
      </c>
      <c r="B52" s="141" t="s">
        <v>1019</v>
      </c>
      <c r="C52" s="141">
        <v>20205</v>
      </c>
      <c r="D52" s="142" t="str">
        <f>PROPER(IFERROR(
IF(C52="","",
IF(CONCATENATE($A52,$B52)="IDER-ES",INDEX('IDER-ES'!$B:$B,MATCH($C52,'IDER-ES'!$A:$A,0)),
IF(CONCATENATE($A52,$B52)="CDER-ES",INDEX('CDER-ES'!$B:$B,MATCH($C52,'CDER-ES'!$A:$A,0)),
IF(CONCATENATE($A52,$B52)="ISINAPI",INDEX(ISINAPI!$B:$B,MATCH($C52,ISINAPI!$A:$A,0)),
IF(CONCATENATE($A52,$B52)="CSINAPI",INDEX(CSINAPI!$B:$B,MATCH($C52,CSINAPI!$A:$A,0)),
IF(CONCATENATE($A52,$B52)="CCESAN",INDEX(CCESAN!$B:$B,MATCH($C52,CCESAN!$A:$A,0)),
IF(CONCATENATE($A52,$B52)="CSCORIO",INDEX(CSCORIO!#REF!,MATCH($C52,CSCORIO!#REF!,0)),
IF(CONCATENATE($A52,$B52)="MERC",INDEX(MERCADO!$B:$B,MATCH($C52,MERCADO!$A:$A,0)),
IF(CONCATENATE($A52,$B52)="CCOMP",INDEX(COMPOSICAO!$B:$B,MATCH($C52,COMPOSICAO!$A:$A,0)),""
))))))))),"*Verificar código*"))</f>
        <v xml:space="preserve">Ripa  Aparelhada *1,5 X 5* Cm, Em Macaranduba, Angelim Ou Equivalente Da Regiao                                                                                                                                                                                                                                                                                                                                                                                                                           </v>
      </c>
      <c r="E52" s="143" t="str">
        <f>LOWER(IFERROR(
IF(CONCATENATE($A52,$B52)="IDER-ES",INDEX('IDER-ES'!$C:$C,MATCH($C52,'IDER-ES'!$A:$A,0)),
IF(CONCATENATE($A52,$B52)="CIOPES",INDEX('CDER-ES'!$C:$C,MATCH($C52,'CDER-ES'!$A:$A,0)),
IF(CONCATENATE($A52,$B52)="ISINAPI",INDEX(ISINAPI!$C:$C,MATCH($C52,ISINAPI!$A:$A,0)),
IF(CONCATENATE($A52,$B52)="CSINAPI",INDEX(CSINAPI!$C:$C,MATCH($C52,CSINAPI!$A:$A,0)),
IF(CONCATENATE($A52,$B52)="CCESAN",INDEX(CCESAN!$C:$C,MATCH($C52,CCESAN!$A:$A,0)),
IF(CONCATENATE($A52,$B52)="CSCORIO",INDEX(CSCORIO!$A:$A,MATCH($C52,CSCORIO!#REF!,0)),
IF(CONCATENATE($A52,$B52)="MERC",INDEX(MERCADO!$D:$D,MATCH($C52,MERCADO!$A:$A,0)),
IF(CONCATENATE($A52,$B52)="CCOMP",INDEX(COMPOSICAO!$H:$H,MATCH($C52,COMPOSICAO!$A:$A,0)),""
)))))))),""))</f>
        <v xml:space="preserve">m     </v>
      </c>
      <c r="F52" s="182">
        <v>6</v>
      </c>
      <c r="G52" s="144">
        <f>(IFERROR(
IF(CONCATENATE($A52,$B52)="IDER-ES",INDEX('IDER-ES'!$D:$D,MATCH($C52,'IDER-ES'!$A:$A,0)),
IF(CONCATENATE($A52,$B52)="CIOPES",INDEX('CDER-ES'!$D:$D,MATCH($C52,'CDER-ES'!$A:$A,0)),
IF(CONCATENATE($A52,$B52)="ISINAPI",INDEX(ISINAPI!$E:$E,MATCH($C52,ISINAPI!$A:$A,0)),
IF(CONCATENATE($A52,$B52)="CSINAPI",INDEX(CSINAPI!$D:$D,MATCH($C52,CSINAPI!$A:$A,0)),
IF(CONCATENATE($A52,$B52)="CCESAN",INDEX(CCESAN!$D:$D,MATCH($C52,CCESAN!$A:$A,0)),
IF(CONCATENATE($A52,$B52)="CSCORIO",INDEX(CSCORIO!$B:$B,MATCH($C52,CSCORIO!#REF!,0)),
IF(CONCATENATE($A52,$B52)="MERC",INDEX(MERCADO!$E:$E,MATCH($C52,MERCADO!$A:$A,0)),
IF(CONCATENATE($A52,$B52)="CCOMP",INDEX(COMPOSICAO!$H:$H,MATCH($C52,COMPOSICAO!$A:$A,0)),""
)))))))),""))</f>
        <v>3.46</v>
      </c>
      <c r="H52" s="144">
        <f t="shared" ref="H52" si="12">IF(B52="","",ROUND(G52*F52,2))</f>
        <v>20.76</v>
      </c>
    </row>
    <row r="53" spans="1:9" ht="25.5">
      <c r="A53" s="141" t="s">
        <v>26621</v>
      </c>
      <c r="B53" s="141" t="s">
        <v>1019</v>
      </c>
      <c r="C53" s="141">
        <v>5075</v>
      </c>
      <c r="D53" s="142" t="str">
        <f>PROPER(IFERROR(
IF(C53="","",
IF(CONCATENATE($A53,$B53)="IDER-ES",INDEX('IDER-ES'!$B:$B,MATCH($C53,'IDER-ES'!$A:$A,0)),
IF(CONCATENATE($A53,$B53)="CDER-ES",INDEX('CDER-ES'!$B:$B,MATCH($C53,'CDER-ES'!$A:$A,0)),
IF(CONCATENATE($A53,$B53)="ISINAPI",INDEX(ISINAPI!$B:$B,MATCH($C53,ISINAPI!$A:$A,0)),
IF(CONCATENATE($A53,$B53)="CSINAPI",INDEX(CSINAPI!$B:$B,MATCH($C53,CSINAPI!$A:$A,0)),
IF(CONCATENATE($A53,$B53)="CCESAN",INDEX(CCESAN!$B:$B,MATCH($C53,CCESAN!$A:$A,0)),
IF(CONCATENATE($A53,$B53)="CSCORIO",INDEX(CSCORIO!#REF!,MATCH($C53,CSCORIO!#REF!,0)),
IF(CONCATENATE($A53,$B53)="MERC",INDEX(MERCADO!$B:$B,MATCH($C53,MERCADO!$A:$A,0)),
IF(CONCATENATE($A53,$B53)="CCOMP",INDEX(COMPOSICAO!$B:$B,MATCH($C53,COMPOSICAO!$A:$A,0)),""
))))))))),"*Verificar código*"))</f>
        <v xml:space="preserve">Prego De Aco Polido Com Cabeca 18 X 30 (2 3/4 X 10)                                                                                                                                                                                                                                                                                                                                                                                                                                                       </v>
      </c>
      <c r="E53" s="143" t="str">
        <f>LOWER(IFERROR(
IF(CONCATENATE($A53,$B53)="IDER-ES",INDEX('IDER-ES'!$C:$C,MATCH($C53,'IDER-ES'!$A:$A,0)),
IF(CONCATENATE($A53,$B53)="CIOPES",INDEX('CDER-ES'!$C:$C,MATCH($C53,'CDER-ES'!$A:$A,0)),
IF(CONCATENATE($A53,$B53)="ISINAPI",INDEX(ISINAPI!$C:$C,MATCH($C53,ISINAPI!$A:$A,0)),
IF(CONCATENATE($A53,$B53)="CSINAPI",INDEX(CSINAPI!$C:$C,MATCH($C53,CSINAPI!$A:$A,0)),
IF(CONCATENATE($A53,$B53)="CCESAN",INDEX(CCESAN!$C:$C,MATCH($C53,CCESAN!$A:$A,0)),
IF(CONCATENATE($A53,$B53)="CSCORIO",INDEX(CSCORIO!$A:$A,MATCH($C53,CSCORIO!#REF!,0)),
IF(CONCATENATE($A53,$B53)="MERC",INDEX(MERCADO!$D:$D,MATCH($C53,MERCADO!$A:$A,0)),
IF(CONCATENATE($A53,$B53)="CCOMP",INDEX(COMPOSICAO!$H:$H,MATCH($C53,COMPOSICAO!$A:$A,0)),""
)))))))),""))</f>
        <v xml:space="preserve">kg    </v>
      </c>
      <c r="F53" s="182">
        <v>0.5</v>
      </c>
      <c r="G53" s="144">
        <f>(IFERROR(
IF(CONCATENATE($A53,$B53)="IDER-ES",INDEX('IDER-ES'!$D:$D,MATCH($C53,'IDER-ES'!$A:$A,0)),
IF(CONCATENATE($A53,$B53)="CIOPES",INDEX('CDER-ES'!$D:$D,MATCH($C53,'CDER-ES'!$A:$A,0)),
IF(CONCATENATE($A53,$B53)="ISINAPI",INDEX(ISINAPI!$E:$E,MATCH($C53,ISINAPI!$A:$A,0)),
IF(CONCATENATE($A53,$B53)="CSINAPI",INDEX(CSINAPI!$D:$D,MATCH($C53,CSINAPI!$A:$A,0)),
IF(CONCATENATE($A53,$B53)="CCESAN",INDEX(CCESAN!$D:$D,MATCH($C53,CCESAN!$A:$A,0)),
IF(CONCATENATE($A53,$B53)="CSCORIO",INDEX(CSCORIO!$B:$B,MATCH($C53,CSCORIO!#REF!,0)),
IF(CONCATENATE($A53,$B53)="MERC",INDEX(MERCADO!$E:$E,MATCH($C53,MERCADO!$A:$A,0)),
IF(CONCATENATE($A53,$B53)="CCOMP",INDEX(COMPOSICAO!$H:$H,MATCH($C53,COMPOSICAO!$A:$A,0)),""
)))))))),""))</f>
        <v>27.61</v>
      </c>
      <c r="H53" s="144">
        <f t="shared" si="11"/>
        <v>13.81</v>
      </c>
    </row>
    <row r="54" spans="1:9" ht="25.5">
      <c r="A54" s="141" t="s">
        <v>21960</v>
      </c>
      <c r="B54" s="141" t="s">
        <v>1019</v>
      </c>
      <c r="C54" s="141">
        <v>88239</v>
      </c>
      <c r="D54" s="142" t="str">
        <f>PROPER(IFERROR(
IF(C54="","",
IF(CONCATENATE($A54,$B54)="IDER-ES",INDEX('IDER-ES'!$B:$B,MATCH($C54,'IDER-ES'!$A:$A,0)),
IF(CONCATENATE($A54,$B54)="CDER-ES",INDEX('CDER-ES'!$B:$B,MATCH($C54,'CDER-ES'!$A:$A,0)),
IF(CONCATENATE($A54,$B54)="ISINAPI",INDEX(ISINAPI!$B:$B,MATCH($C54,ISINAPI!$A:$A,0)),
IF(CONCATENATE($A54,$B54)="CSINAPI",INDEX(CSINAPI!$B:$B,MATCH($C54,CSINAPI!$A:$A,0)),
IF(CONCATENATE($A54,$B54)="CCESAN",INDEX(CCESAN!$B:$B,MATCH($C54,CCESAN!$A:$A,0)),
IF(CONCATENATE($A54,$B54)="CSCORIO",INDEX(CSCORIO!#REF!,MATCH($C54,CSCORIO!#REF!,0)),
IF(CONCATENATE($A54,$B54)="MERC",INDEX(MERCADO!$B:$B,MATCH($C54,MERCADO!$A:$A,0)),
IF(CONCATENATE($A54,$B54)="CCOMP",INDEX(COMPOSICAO!$B:$B,MATCH($C54,COMPOSICAO!$A:$A,0)),""
))))))))),"*Verificar código*"))</f>
        <v>Ajudante De Carpinteiro Com Encargos Complementares</v>
      </c>
      <c r="E54" s="143" t="str">
        <f>LOWER(IFERROR(
IF(CONCATENATE($A54,$B54)="IDER-ES",INDEX('IDER-ES'!$C:$C,MATCH($C54,'IDER-ES'!$A:$A,0)),
IF(CONCATENATE($A54,$B54)="CIOPES",INDEX('CDER-ES'!$C:$C,MATCH($C54,'CDER-ES'!$A:$A,0)),
IF(CONCATENATE($A54,$B54)="ISINAPI",INDEX(ISINAPI!$C:$C,MATCH($C54,ISINAPI!$A:$A,0)),
IF(CONCATENATE($A54,$B54)="CSINAPI",INDEX(CSINAPI!$C:$C,MATCH($C54,CSINAPI!$A:$A,0)),
IF(CONCATENATE($A54,$B54)="CCESAN",INDEX(CCESAN!$C:$C,MATCH($C54,CCESAN!$A:$A,0)),
IF(CONCATENATE($A54,$B54)="CSCORIO",INDEX(CSCORIO!$A:$A,MATCH($C54,CSCORIO!#REF!,0)),
IF(CONCATENATE($A54,$B54)="MERC",INDEX(MERCADO!$D:$D,MATCH($C54,MERCADO!$A:$A,0)),
IF(CONCATENATE($A54,$B54)="CCOMP",INDEX(COMPOSICAO!$H:$H,MATCH($C54,COMPOSICAO!$A:$A,0)),""
)))))))),""))</f>
        <v>h</v>
      </c>
      <c r="F54" s="182">
        <f>0.25*4+1</f>
        <v>2</v>
      </c>
      <c r="G54" s="144">
        <f>(IFERROR(
IF(CONCATENATE($A54,$B54)="IDER-ES",INDEX('IDER-ES'!$D:$D,MATCH($C54,'IDER-ES'!$A:$A,0)),
IF(CONCATENATE($A54,$B54)="CIOPES",INDEX('CDER-ES'!$D:$D,MATCH($C54,'CDER-ES'!$A:$A,0)),
IF(CONCATENATE($A54,$B54)="ISINAPI",INDEX(ISINAPI!$E:$E,MATCH($C54,ISINAPI!$A:$A,0)),
IF(CONCATENATE($A54,$B54)="CSINAPI",INDEX(CSINAPI!$D:$D,MATCH($C54,CSINAPI!$A:$A,0)),
IF(CONCATENATE($A54,$B54)="CCESAN",INDEX(CCESAN!$D:$D,MATCH($C54,CCESAN!$A:$A,0)),
IF(CONCATENATE($A54,$B54)="CSCORIO",INDEX(CSCORIO!$B:$B,MATCH($C54,CSCORIO!#REF!,0)),
IF(CONCATENATE($A54,$B54)="MERC",INDEX(MERCADO!$E:$E,MATCH($C54,MERCADO!$A:$A,0)),
IF(CONCATENATE($A54,$B54)="CCOMP",INDEX(COMPOSICAO!$H:$H,MATCH($C54,COMPOSICAO!$A:$A,0)),""
)))))))),""))</f>
        <v>21.16</v>
      </c>
      <c r="H54" s="144">
        <f t="shared" si="11"/>
        <v>42.32</v>
      </c>
    </row>
    <row r="55" spans="1:9" ht="25.5">
      <c r="A55" s="141" t="s">
        <v>21960</v>
      </c>
      <c r="B55" s="141" t="s">
        <v>1019</v>
      </c>
      <c r="C55" s="141">
        <v>88262</v>
      </c>
      <c r="D55" s="142" t="str">
        <f>PROPER(IFERROR(
IF(C55="","",
IF(CONCATENATE($A55,$B55)="IDER-ES",INDEX('IDER-ES'!$B:$B,MATCH($C55,'IDER-ES'!$A:$A,0)),
IF(CONCATENATE($A55,$B55)="CDER-ES",INDEX('CDER-ES'!$B:$B,MATCH($C55,'CDER-ES'!$A:$A,0)),
IF(CONCATENATE($A55,$B55)="ISINAPI",INDEX(ISINAPI!$B:$B,MATCH($C55,ISINAPI!$A:$A,0)),
IF(CONCATENATE($A55,$B55)="CSINAPI",INDEX(CSINAPI!$B:$B,MATCH($C55,CSINAPI!$A:$A,0)),
IF(CONCATENATE($A55,$B55)="CCESAN",INDEX(CCESAN!$B:$B,MATCH($C55,CCESAN!$A:$A,0)),
IF(CONCATENATE($A55,$B55)="CSCORIO",INDEX(CSCORIO!#REF!,MATCH($C55,CSCORIO!#REF!,0)),
IF(CONCATENATE($A55,$B55)="MERC",INDEX(MERCADO!$B:$B,MATCH($C55,MERCADO!$A:$A,0)),
IF(CONCATENATE($A55,$B55)="CCOMP",INDEX(COMPOSICAO!$B:$B,MATCH($C55,COMPOSICAO!$A:$A,0)),""
))))))))),"*Verificar código*"))</f>
        <v>Carpinteiro De Formas Com Encargos Complementares</v>
      </c>
      <c r="E55" s="143" t="str">
        <f>LOWER(IFERROR(
IF(CONCATENATE($A55,$B55)="IDER-ES",INDEX('IDER-ES'!$C:$C,MATCH($C55,'IDER-ES'!$A:$A,0)),
IF(CONCATENATE($A55,$B55)="CIOPES",INDEX('CDER-ES'!$C:$C,MATCH($C55,'CDER-ES'!$A:$A,0)),
IF(CONCATENATE($A55,$B55)="ISINAPI",INDEX(ISINAPI!$C:$C,MATCH($C55,ISINAPI!$A:$A,0)),
IF(CONCATENATE($A55,$B55)="CSINAPI",INDEX(CSINAPI!$C:$C,MATCH($C55,CSINAPI!$A:$A,0)),
IF(CONCATENATE($A55,$B55)="CCESAN",INDEX(CCESAN!$C:$C,MATCH($C55,CCESAN!$A:$A,0)),
IF(CONCATENATE($A55,$B55)="CSCORIO",INDEX(CSCORIO!$A:$A,MATCH($C55,CSCORIO!#REF!,0)),
IF(CONCATENATE($A55,$B55)="MERC",INDEX(MERCADO!$D:$D,MATCH($C55,MERCADO!$A:$A,0)),
IF(CONCATENATE($A55,$B55)="CCOMP",INDEX(COMPOSICAO!$H:$H,MATCH($C55,COMPOSICAO!$A:$A,0)),""
)))))))),""))</f>
        <v>h</v>
      </c>
      <c r="F55" s="182">
        <f>0.43*4+2</f>
        <v>3.7199999999999998</v>
      </c>
      <c r="G55" s="144">
        <f>(IFERROR(
IF(CONCATENATE($A55,$B55)="IDER-ES",INDEX('IDER-ES'!$D:$D,MATCH($C55,'IDER-ES'!$A:$A,0)),
IF(CONCATENATE($A55,$B55)="CIOPES",INDEX('CDER-ES'!$D:$D,MATCH($C55,'CDER-ES'!$A:$A,0)),
IF(CONCATENATE($A55,$B55)="ISINAPI",INDEX(ISINAPI!$E:$E,MATCH($C55,ISINAPI!$A:$A,0)),
IF(CONCATENATE($A55,$B55)="CSINAPI",INDEX(CSINAPI!$D:$D,MATCH($C55,CSINAPI!$A:$A,0)),
IF(CONCATENATE($A55,$B55)="CCESAN",INDEX(CCESAN!$D:$D,MATCH($C55,CCESAN!$A:$A,0)),
IF(CONCATENATE($A55,$B55)="CSCORIO",INDEX(CSCORIO!$B:$B,MATCH($C55,CSCORIO!#REF!,0)),
IF(CONCATENATE($A55,$B55)="MERC",INDEX(MERCADO!$E:$E,MATCH($C55,MERCADO!$A:$A,0)),
IF(CONCATENATE($A55,$B55)="CCOMP",INDEX(COMPOSICAO!$H:$H,MATCH($C55,COMPOSICAO!$A:$A,0)),""
)))))))),""))</f>
        <v>25.18</v>
      </c>
      <c r="H55" s="144">
        <f t="shared" si="11"/>
        <v>93.67</v>
      </c>
    </row>
    <row r="56" spans="1:9" ht="51">
      <c r="A56" s="141" t="s">
        <v>21960</v>
      </c>
      <c r="B56" s="141" t="s">
        <v>1019</v>
      </c>
      <c r="C56" s="141">
        <v>91692</v>
      </c>
      <c r="D56" s="142" t="str">
        <f>PROPER(IFERROR(
IF(C56="","",
IF(CONCATENATE($A56,$B56)="IDER-ES",INDEX('IDER-ES'!$B:$B,MATCH($C56,'IDER-ES'!$A:$A,0)),
IF(CONCATENATE($A56,$B56)="CDER-ES",INDEX('CDER-ES'!$B:$B,MATCH($C56,'CDER-ES'!$A:$A,0)),
IF(CONCATENATE($A56,$B56)="ISINAPI",INDEX(ISINAPI!$B:$B,MATCH($C56,ISINAPI!$A:$A,0)),
IF(CONCATENATE($A56,$B56)="CSINAPI",INDEX(CSINAPI!$B:$B,MATCH($C56,CSINAPI!$A:$A,0)),
IF(CONCATENATE($A56,$B56)="CCESAN",INDEX(CCESAN!$B:$B,MATCH($C56,CCESAN!$A:$A,0)),
IF(CONCATENATE($A56,$B56)="CSCORIO",INDEX(CSCORIO!#REF!,MATCH($C56,CSCORIO!#REF!,0)),
IF(CONCATENATE($A56,$B56)="MERC",INDEX(MERCADO!$B:$B,MATCH($C56,MERCADO!$A:$A,0)),
IF(CONCATENATE($A56,$B56)="CCOMP",INDEX(COMPOSICAO!$B:$B,MATCH($C56,COMPOSICAO!$A:$A,0)),""
))))))))),"*Verificar código*"))</f>
        <v>Serra Circular De Bancada Com Motor Elétrico Potência De 5Hp, Com Coifa Para Disco 10" - Chp Diurno. Af_08/2015</v>
      </c>
      <c r="E56" s="143" t="str">
        <f>LOWER(IFERROR(
IF(CONCATENATE($A56,$B56)="IDER-ES",INDEX('IDER-ES'!$C:$C,MATCH($C56,'IDER-ES'!$A:$A,0)),
IF(CONCATENATE($A56,$B56)="CIOPES",INDEX('CDER-ES'!$C:$C,MATCH($C56,'CDER-ES'!$A:$A,0)),
IF(CONCATENATE($A56,$B56)="ISINAPI",INDEX(ISINAPI!$C:$C,MATCH($C56,ISINAPI!$A:$A,0)),
IF(CONCATENATE($A56,$B56)="CSINAPI",INDEX(CSINAPI!$C:$C,MATCH($C56,CSINAPI!$A:$A,0)),
IF(CONCATENATE($A56,$B56)="CCESAN",INDEX(CCESAN!$C:$C,MATCH($C56,CCESAN!$A:$A,0)),
IF(CONCATENATE($A56,$B56)="CSCORIO",INDEX(CSCORIO!$A:$A,MATCH($C56,CSCORIO!#REF!,0)),
IF(CONCATENATE($A56,$B56)="MERC",INDEX(MERCADO!$D:$D,MATCH($C56,MERCADO!$A:$A,0)),
IF(CONCATENATE($A56,$B56)="CCOMP",INDEX(COMPOSICAO!$H:$H,MATCH($C56,COMPOSICAO!$A:$A,0)),""
)))))))),""))</f>
        <v>chp</v>
      </c>
      <c r="F56" s="182">
        <v>0.02</v>
      </c>
      <c r="G56" s="144">
        <f>(IFERROR(
IF(CONCATENATE($A56,$B56)="IDER-ES",INDEX('IDER-ES'!$D:$D,MATCH($C56,'IDER-ES'!$A:$A,0)),
IF(CONCATENATE($A56,$B56)="CIOPES",INDEX('CDER-ES'!$D:$D,MATCH($C56,'CDER-ES'!$A:$A,0)),
IF(CONCATENATE($A56,$B56)="ISINAPI",INDEX(ISINAPI!$E:$E,MATCH($C56,ISINAPI!$A:$A,0)),
IF(CONCATENATE($A56,$B56)="CSINAPI",INDEX(CSINAPI!$D:$D,MATCH($C56,CSINAPI!$A:$A,0)),
IF(CONCATENATE($A56,$B56)="CCESAN",INDEX(CCESAN!$D:$D,MATCH($C56,CCESAN!$A:$A,0)),
IF(CONCATENATE($A56,$B56)="CSCORIO",INDEX(CSCORIO!$B:$B,MATCH($C56,CSCORIO!#REF!,0)),
IF(CONCATENATE($A56,$B56)="MERC",INDEX(MERCADO!$E:$E,MATCH($C56,MERCADO!$A:$A,0)),
IF(CONCATENATE($A56,$B56)="CCOMP",INDEX(COMPOSICAO!$H:$H,MATCH($C56,COMPOSICAO!$A:$A,0)),""
)))))))),""))</f>
        <v>29.71</v>
      </c>
      <c r="H56" s="144">
        <f t="shared" si="11"/>
        <v>0.59</v>
      </c>
    </row>
    <row r="57" spans="1:9" ht="38.25">
      <c r="A57" s="141" t="s">
        <v>21960</v>
      </c>
      <c r="B57" s="141" t="s">
        <v>1019</v>
      </c>
      <c r="C57" s="141">
        <v>91693</v>
      </c>
      <c r="D57" s="142" t="str">
        <f>PROPER(IFERROR(
IF(C57="","",
IF(CONCATENATE($A57,$B57)="IDER-ES",INDEX('IDER-ES'!$B:$B,MATCH($C57,'IDER-ES'!$A:$A,0)),
IF(CONCATENATE($A57,$B57)="CDER-ES",INDEX('CDER-ES'!$B:$B,MATCH($C57,'CDER-ES'!$A:$A,0)),
IF(CONCATENATE($A57,$B57)="ISINAPI",INDEX(ISINAPI!$B:$B,MATCH($C57,ISINAPI!$A:$A,0)),
IF(CONCATENATE($A57,$B57)="CSINAPI",INDEX(CSINAPI!$B:$B,MATCH($C57,CSINAPI!$A:$A,0)),
IF(CONCATENATE($A57,$B57)="CCESAN",INDEX(CCESAN!$B:$B,MATCH($C57,CCESAN!$A:$A,0)),
IF(CONCATENATE($A57,$B57)="CSCORIO",INDEX(CSCORIO!#REF!,MATCH($C57,CSCORIO!#REF!,0)),
IF(CONCATENATE($A57,$B57)="MERC",INDEX(MERCADO!$B:$B,MATCH($C57,MERCADO!$A:$A,0)),
IF(CONCATENATE($A57,$B57)="CCOMP",INDEX(COMPOSICAO!$B:$B,MATCH($C57,COMPOSICAO!$A:$A,0)),""
))))))))),"*Verificar código*"))</f>
        <v>Serra Circular De Bancada Com Motor Elétrico Potência De 5Hp, Com Coifa Para Disco 10" - Chi Diurno. Af_08/2015</v>
      </c>
      <c r="E57" s="143" t="str">
        <f>LOWER(IFERROR(
IF(CONCATENATE($A57,$B57)="IDER-ES",INDEX('IDER-ES'!$C:$C,MATCH($C57,'IDER-ES'!$A:$A,0)),
IF(CONCATENATE($A57,$B57)="CIOPES",INDEX('CDER-ES'!$C:$C,MATCH($C57,'CDER-ES'!$A:$A,0)),
IF(CONCATENATE($A57,$B57)="ISINAPI",INDEX(ISINAPI!$C:$C,MATCH($C57,ISINAPI!$A:$A,0)),
IF(CONCATENATE($A57,$B57)="CSINAPI",INDEX(CSINAPI!$C:$C,MATCH($C57,CSINAPI!$A:$A,0)),
IF(CONCATENATE($A57,$B57)="CCESAN",INDEX(CCESAN!$C:$C,MATCH($C57,CCESAN!$A:$A,0)),
IF(CONCATENATE($A57,$B57)="CSCORIO",INDEX(CSCORIO!$A:$A,MATCH($C57,CSCORIO!#REF!,0)),
IF(CONCATENATE($A57,$B57)="MERC",INDEX(MERCADO!$D:$D,MATCH($C57,MERCADO!$A:$A,0)),
IF(CONCATENATE($A57,$B57)="CCOMP",INDEX(COMPOSICAO!$H:$H,MATCH($C57,COMPOSICAO!$A:$A,0)),""
)))))))),""))</f>
        <v>chi</v>
      </c>
      <c r="F57" s="182">
        <v>0.09</v>
      </c>
      <c r="G57" s="144">
        <f>(IFERROR(
IF(CONCATENATE($A57,$B57)="IDER-ES",INDEX('IDER-ES'!$D:$D,MATCH($C57,'IDER-ES'!$A:$A,0)),
IF(CONCATENATE($A57,$B57)="CIOPES",INDEX('CDER-ES'!$D:$D,MATCH($C57,'CDER-ES'!$A:$A,0)),
IF(CONCATENATE($A57,$B57)="ISINAPI",INDEX(ISINAPI!$E:$E,MATCH($C57,ISINAPI!$A:$A,0)),
IF(CONCATENATE($A57,$B57)="CSINAPI",INDEX(CSINAPI!$D:$D,MATCH($C57,CSINAPI!$A:$A,0)),
IF(CONCATENATE($A57,$B57)="CCESAN",INDEX(CCESAN!$D:$D,MATCH($C57,CCESAN!$A:$A,0)),
IF(CONCATENATE($A57,$B57)="CSCORIO",INDEX(CSCORIO!$B:$B,MATCH($C57,CSCORIO!#REF!,0)),
IF(CONCATENATE($A57,$B57)="MERC",INDEX(MERCADO!$E:$E,MATCH($C57,MERCADO!$A:$A,0)),
IF(CONCATENATE($A57,$B57)="CCOMP",INDEX(COMPOSICAO!$H:$H,MATCH($C57,COMPOSICAO!$A:$A,0)),""
)))))))),""))</f>
        <v>28.28</v>
      </c>
      <c r="H57" s="144">
        <f t="shared" si="11"/>
        <v>2.5499999999999998</v>
      </c>
    </row>
    <row r="58" spans="1:9" ht="25.5">
      <c r="A58" s="141" t="s">
        <v>21960</v>
      </c>
      <c r="B58" s="141" t="s">
        <v>1019</v>
      </c>
      <c r="C58" s="141">
        <v>102193</v>
      </c>
      <c r="D58" s="142" t="str">
        <f>PROPER(IFERROR(
IF(C58="","",
IF(CONCATENATE($A58,$B58)="IDER-ES",INDEX('IDER-ES'!$B:$B,MATCH($C58,'IDER-ES'!$A:$A,0)),
IF(CONCATENATE($A58,$B58)="CDER-ES",INDEX('CDER-ES'!$B:$B,MATCH($C58,'CDER-ES'!$A:$A,0)),
IF(CONCATENATE($A58,$B58)="ISINAPI",INDEX(ISINAPI!$B:$B,MATCH($C58,ISINAPI!$A:$A,0)),
IF(CONCATENATE($A58,$B58)="CSINAPI",INDEX(CSINAPI!$B:$B,MATCH($C58,CSINAPI!$A:$A,0)),
IF(CONCATENATE($A58,$B58)="CCESAN",INDEX(CCESAN!$B:$B,MATCH($C58,CCESAN!$A:$A,0)),
IF(CONCATENATE($A58,$B58)="CSCORIO",INDEX(CSCORIO!#REF!,MATCH($C58,CSCORIO!#REF!,0)),
IF(CONCATENATE($A58,$B58)="MERC",INDEX(MERCADO!$B:$B,MATCH($C58,MERCADO!$A:$A,0)),
IF(CONCATENATE($A58,$B58)="CCOMP",INDEX(COMPOSICAO!$B:$B,MATCH($C58,COMPOSICAO!$A:$A,0)),""
))))))))),"*Verificar código*"))</f>
        <v>Lixamento De Madeira Para Aplicação De Fundo Ou Pintura. Af_01/2021</v>
      </c>
      <c r="E58" s="143" t="str">
        <f>LOWER(IFERROR(
IF(CONCATENATE($A58,$B58)="IDER-ES",INDEX('IDER-ES'!$C:$C,MATCH($C58,'IDER-ES'!$A:$A,0)),
IF(CONCATENATE($A58,$B58)="CIOPES",INDEX('CDER-ES'!$C:$C,MATCH($C58,'CDER-ES'!$A:$A,0)),
IF(CONCATENATE($A58,$B58)="ISINAPI",INDEX(ISINAPI!$C:$C,MATCH($C58,ISINAPI!$A:$A,0)),
IF(CONCATENATE($A58,$B58)="CSINAPI",INDEX(CSINAPI!$C:$C,MATCH($C58,CSINAPI!$A:$A,0)),
IF(CONCATENATE($A58,$B58)="CCESAN",INDEX(CCESAN!$C:$C,MATCH($C58,CCESAN!$A:$A,0)),
IF(CONCATENATE($A58,$B58)="CSCORIO",INDEX(CSCORIO!$A:$A,MATCH($C58,CSCORIO!#REF!,0)),
IF(CONCATENATE($A58,$B58)="MERC",INDEX(MERCADO!$D:$D,MATCH($C58,MERCADO!$A:$A,0)),
IF(CONCATENATE($A58,$B58)="CCOMP",INDEX(COMPOSICAO!$H:$H,MATCH($C58,COMPOSICAO!$A:$A,0)),""
)))))))),""))</f>
        <v>m²</v>
      </c>
      <c r="F58" s="182">
        <f>0.22*F51+0.13*F52</f>
        <v>1.1100000000000001</v>
      </c>
      <c r="G58" s="144">
        <f>(IFERROR(
IF(CONCATENATE($A58,$B58)="IDER-ES",INDEX('IDER-ES'!$D:$D,MATCH($C58,'IDER-ES'!$A:$A,0)),
IF(CONCATENATE($A58,$B58)="CIOPES",INDEX('CDER-ES'!$D:$D,MATCH($C58,'CDER-ES'!$A:$A,0)),
IF(CONCATENATE($A58,$B58)="ISINAPI",INDEX(ISINAPI!$E:$E,MATCH($C58,ISINAPI!$A:$A,0)),
IF(CONCATENATE($A58,$B58)="CSINAPI",INDEX(CSINAPI!$D:$D,MATCH($C58,CSINAPI!$A:$A,0)),
IF(CONCATENATE($A58,$B58)="CCESAN",INDEX(CCESAN!$D:$D,MATCH($C58,CCESAN!$A:$A,0)),
IF(CONCATENATE($A58,$B58)="CSCORIO",INDEX(CSCORIO!$B:$B,MATCH($C58,CSCORIO!#REF!,0)),
IF(CONCATENATE($A58,$B58)="MERC",INDEX(MERCADO!$E:$E,MATCH($C58,MERCADO!$A:$A,0)),
IF(CONCATENATE($A58,$B58)="CCOMP",INDEX(COMPOSICAO!$H:$H,MATCH($C58,COMPOSICAO!$A:$A,0)),""
)))))))),""))</f>
        <v>2.0499999999999998</v>
      </c>
      <c r="H58" s="144">
        <f t="shared" si="11"/>
        <v>2.2799999999999998</v>
      </c>
    </row>
    <row r="59" spans="1:9" ht="38.25">
      <c r="A59" s="141" t="s">
        <v>21960</v>
      </c>
      <c r="B59" s="141" t="s">
        <v>1019</v>
      </c>
      <c r="C59" s="141">
        <v>102215</v>
      </c>
      <c r="D59" s="142" t="str">
        <f>PROPER(IFERROR(
IF(C59="","",
IF(CONCATENATE($A59,$B59)="IDER-ES",INDEX('IDER-ES'!$B:$B,MATCH($C59,'IDER-ES'!$A:$A,0)),
IF(CONCATENATE($A59,$B59)="CDER-ES",INDEX('CDER-ES'!$B:$B,MATCH($C59,'CDER-ES'!$A:$A,0)),
IF(CONCATENATE($A59,$B59)="ISINAPI",INDEX(ISINAPI!$B:$B,MATCH($C59,ISINAPI!$A:$A,0)),
IF(CONCATENATE($A59,$B59)="CSINAPI",INDEX(CSINAPI!$B:$B,MATCH($C59,CSINAPI!$A:$A,0)),
IF(CONCATENATE($A59,$B59)="CCESAN",INDEX(CCESAN!$B:$B,MATCH($C59,CCESAN!$A:$A,0)),
IF(CONCATENATE($A59,$B59)="CSCORIO",INDEX(CSCORIO!#REF!,MATCH($C59,CSCORIO!#REF!,0)),
IF(CONCATENATE($A59,$B59)="MERC",INDEX(MERCADO!$B:$B,MATCH($C59,MERCADO!$A:$A,0)),
IF(CONCATENATE($A59,$B59)="CCOMP",INDEX(COMPOSICAO!$B:$B,MATCH($C59,COMPOSICAO!$A:$A,0)),""
))))))))),"*Verificar código*"))</f>
        <v>Pintura Verniz (Incolor) Poliuretânico (Resina Alquídica Modificada) Em Madeira, 2 Demãos. Af_01/2021</v>
      </c>
      <c r="E59" s="143" t="str">
        <f>LOWER(IFERROR(
IF(CONCATENATE($A59,$B59)="IDER-ES",INDEX('IDER-ES'!$C:$C,MATCH($C59,'IDER-ES'!$A:$A,0)),
IF(CONCATENATE($A59,$B59)="CIOPES",INDEX('CDER-ES'!$C:$C,MATCH($C59,'CDER-ES'!$A:$A,0)),
IF(CONCATENATE($A59,$B59)="ISINAPI",INDEX(ISINAPI!$C:$C,MATCH($C59,ISINAPI!$A:$A,0)),
IF(CONCATENATE($A59,$B59)="CSINAPI",INDEX(CSINAPI!$C:$C,MATCH($C59,CSINAPI!$A:$A,0)),
IF(CONCATENATE($A59,$B59)="CCESAN",INDEX(CCESAN!$C:$C,MATCH($C59,CCESAN!$A:$A,0)),
IF(CONCATENATE($A59,$B59)="CSCORIO",INDEX(CSCORIO!$A:$A,MATCH($C59,CSCORIO!#REF!,0)),
IF(CONCATENATE($A59,$B59)="MERC",INDEX(MERCADO!$D:$D,MATCH($C59,MERCADO!$A:$A,0)),
IF(CONCATENATE($A59,$B59)="CCOMP",INDEX(COMPOSICAO!$H:$H,MATCH($C59,COMPOSICAO!$A:$A,0)),""
)))))))),""))</f>
        <v>m²</v>
      </c>
      <c r="F59" s="182">
        <f>F58</f>
        <v>1.1100000000000001</v>
      </c>
      <c r="G59" s="144">
        <f>(IFERROR(
IF(CONCATENATE($A59,$B59)="IDER-ES",INDEX('IDER-ES'!$D:$D,MATCH($C59,'IDER-ES'!$A:$A,0)),
IF(CONCATENATE($A59,$B59)="CIOPES",INDEX('CDER-ES'!$D:$D,MATCH($C59,'CDER-ES'!$A:$A,0)),
IF(CONCATENATE($A59,$B59)="ISINAPI",INDEX(ISINAPI!$E:$E,MATCH($C59,ISINAPI!$A:$A,0)),
IF(CONCATENATE($A59,$B59)="CSINAPI",INDEX(CSINAPI!$D:$D,MATCH($C59,CSINAPI!$A:$A,0)),
IF(CONCATENATE($A59,$B59)="CCESAN",INDEX(CCESAN!$D:$D,MATCH($C59,CCESAN!$A:$A,0)),
IF(CONCATENATE($A59,$B59)="CSCORIO",INDEX(CSCORIO!$B:$B,MATCH($C59,CSCORIO!#REF!,0)),
IF(CONCATENATE($A59,$B59)="MERC",INDEX(MERCADO!$E:$E,MATCH($C59,MERCADO!$A:$A,0)),
IF(CONCATENATE($A59,$B59)="CCOMP",INDEX(COMPOSICAO!$H:$H,MATCH($C59,COMPOSICAO!$A:$A,0)),""
)))))))),""))</f>
        <v>16.75</v>
      </c>
      <c r="H59" s="144">
        <f t="shared" si="11"/>
        <v>18.59</v>
      </c>
    </row>
    <row r="61" spans="1:9" s="135" customFormat="1" ht="20.100000000000001" customHeight="1">
      <c r="A61" s="186" t="s">
        <v>1020</v>
      </c>
      <c r="B61" s="405" t="s">
        <v>1022</v>
      </c>
      <c r="C61" s="406"/>
      <c r="D61" s="406"/>
      <c r="E61" s="406"/>
      <c r="F61" s="407"/>
      <c r="G61" s="133" t="s">
        <v>19692</v>
      </c>
      <c r="H61" s="134" t="s">
        <v>19678</v>
      </c>
      <c r="I61" s="263"/>
    </row>
    <row r="62" spans="1:9" ht="45" customHeight="1">
      <c r="A62" s="136">
        <f>COUNTIF($A$4:$A61,$A$4)</f>
        <v>5</v>
      </c>
      <c r="B62" s="408" t="s">
        <v>28545</v>
      </c>
      <c r="C62" s="409"/>
      <c r="D62" s="409"/>
      <c r="E62" s="409"/>
      <c r="F62" s="410"/>
      <c r="G62" s="137" t="s">
        <v>6</v>
      </c>
      <c r="H62" s="211">
        <f>SUM(H64:H71)</f>
        <v>119.81</v>
      </c>
    </row>
    <row r="63" spans="1:9" ht="30" customHeight="1">
      <c r="A63" s="139" t="s">
        <v>1026</v>
      </c>
      <c r="B63" s="139" t="s">
        <v>1027</v>
      </c>
      <c r="C63" s="139" t="s">
        <v>31</v>
      </c>
      <c r="D63" s="139" t="s">
        <v>1023</v>
      </c>
      <c r="E63" s="139" t="s">
        <v>32</v>
      </c>
      <c r="F63" s="183" t="s">
        <v>2343</v>
      </c>
      <c r="G63" s="140" t="s">
        <v>19676</v>
      </c>
      <c r="H63" s="140" t="s">
        <v>19677</v>
      </c>
    </row>
    <row r="64" spans="1:9" ht="38.25">
      <c r="A64" s="141" t="s">
        <v>26621</v>
      </c>
      <c r="B64" s="141" t="s">
        <v>1019</v>
      </c>
      <c r="C64" s="141">
        <v>4430</v>
      </c>
      <c r="D64" s="142" t="str">
        <f>PROPER(IFERROR(
IF(C64="","",
IF(CONCATENATE($A64,$B64)="IDER-ES",INDEX('IDER-ES'!$B:$B,MATCH($C64,'IDER-ES'!$A:$A,0)),
IF(CONCATENATE($A64,$B64)="CDER-ES",INDEX('CDER-ES'!$B:$B,MATCH($C64,'CDER-ES'!$A:$A,0)),
IF(CONCATENATE($A64,$B64)="ISINAPI",INDEX(ISINAPI!$B:$B,MATCH($C64,ISINAPI!$A:$A,0)),
IF(CONCATENATE($A64,$B64)="CSINAPI",INDEX(CSINAPI!$B:$B,MATCH($C64,CSINAPI!$A:$A,0)),
IF(CONCATENATE($A64,$B64)="CCESAN",INDEX(CCESAN!$B:$B,MATCH($C64,CCESAN!$A:$A,0)),
IF(CONCATENATE($A64,$B64)="CSCORIO",INDEX(CSCORIO!#REF!,MATCH($C64,CSCORIO!#REF!,0)),
IF(CONCATENATE($A64,$B64)="MERC",INDEX(MERCADO!$B:$B,MATCH($C64,MERCADO!$A:$A,0)),
IF(CONCATENATE($A64,$B64)="CCOMP",INDEX(COMPOSICAO!$B:$B,MATCH($C64,COMPOSICAO!$A:$A,0)),""
))))))))),"*Verificar código*"))</f>
        <v xml:space="preserve">Caibro Nao Aparelhado *5 X 6* Cm, Em Macaranduba, Angelim Ou Equivalente Da Regiao -  Bruta                                                                                                                                                                                                                                                                                                                                                                                                               </v>
      </c>
      <c r="E64" s="143" t="str">
        <f>LOWER(IFERROR(
IF(CONCATENATE($A64,$B64)="IDER-ES",INDEX('IDER-ES'!$C:$C,MATCH($C64,'IDER-ES'!$A:$A,0)),
IF(CONCATENATE($A64,$B64)="CIOPES",INDEX('CDER-ES'!$C:$C,MATCH($C64,'CDER-ES'!$A:$A,0)),
IF(CONCATENATE($A64,$B64)="ISINAPI",INDEX(ISINAPI!$C:$C,MATCH($C64,ISINAPI!$A:$A,0)),
IF(CONCATENATE($A64,$B64)="CSINAPI",INDEX(CSINAPI!$C:$C,MATCH($C64,CSINAPI!$A:$A,0)),
IF(CONCATENATE($A64,$B64)="CCESAN",INDEX(CCESAN!$C:$C,MATCH($C64,CCESAN!$A:$A,0)),
IF(CONCATENATE($A64,$B64)="CSCORIO",INDEX(CSCORIO!$A:$A,MATCH($C64,CSCORIO!#REF!,0)),
IF(CONCATENATE($A64,$B64)="MERC",INDEX(MERCADO!$D:$D,MATCH($C64,MERCADO!$A:$A,0)),
IF(CONCATENATE($A64,$B64)="CCOMP",INDEX(COMPOSICAO!$H:$H,MATCH($C64,COMPOSICAO!$A:$A,0)),""
)))))))),""))</f>
        <v xml:space="preserve">m     </v>
      </c>
      <c r="F64" s="182">
        <v>1</v>
      </c>
      <c r="G64" s="144">
        <f>(IFERROR(
IF(CONCATENATE($A64,$B64)="IDER-ES",INDEX('IDER-ES'!$D:$D,MATCH($C64,'IDER-ES'!$A:$A,0)),
IF(CONCATENATE($A64,$B64)="CIOPES",INDEX('CDER-ES'!$D:$D,MATCH($C64,'CDER-ES'!$A:$A,0)),
IF(CONCATENATE($A64,$B64)="ISINAPI",INDEX(ISINAPI!$E:$E,MATCH($C64,ISINAPI!$A:$A,0)),
IF(CONCATENATE($A64,$B64)="CSINAPI",INDEX(CSINAPI!$D:$D,MATCH($C64,CSINAPI!$A:$A,0)),
IF(CONCATENATE($A64,$B64)="CCESAN",INDEX(CCESAN!$D:$D,MATCH($C64,CCESAN!$A:$A,0)),
IF(CONCATENATE($A64,$B64)="CSCORIO",INDEX(CSCORIO!$B:$B,MATCH($C64,CSCORIO!#REF!,0)),
IF(CONCATENATE($A64,$B64)="MERC",INDEX(MERCADO!$E:$E,MATCH($C64,MERCADO!$A:$A,0)),
IF(CONCATENATE($A64,$B64)="CCOMP",INDEX(COMPOSICAO!$H:$H,MATCH($C64,COMPOSICAO!$A:$A,0)),""
)))))))),""))</f>
        <v>13.6</v>
      </c>
      <c r="H64" s="144">
        <f t="shared" ref="H64:H71" si="13">IF(B64="","",ROUND(G64*F64,2))</f>
        <v>13.6</v>
      </c>
    </row>
    <row r="65" spans="1:9" ht="25.5">
      <c r="A65" s="141" t="s">
        <v>26621</v>
      </c>
      <c r="B65" s="141" t="s">
        <v>26583</v>
      </c>
      <c r="C65" s="141">
        <v>100194</v>
      </c>
      <c r="D65" s="142" t="str">
        <f>PROPER(IFERROR(
IF(C65="","",
IF(CONCATENATE($A65,$B65)="IDER-ES",INDEX('IDER-ES'!$B:$B,MATCH($C65,'IDER-ES'!$A:$A,0)),
IF(CONCATENATE($A65,$B65)="CDER-ES",INDEX('CDER-ES'!$B:$B,MATCH($C65,'CDER-ES'!$A:$A,0)),
IF(CONCATENATE($A65,$B65)="ISINAPI",INDEX(ISINAPI!$B:$B,MATCH($C65,ISINAPI!$A:$A,0)),
IF(CONCATENATE($A65,$B65)="CSINAPI",INDEX(CSINAPI!$B:$B,MATCH($C65,CSINAPI!$A:$A,0)),
IF(CONCATENATE($A65,$B65)="CCESAN",INDEX(CCESAN!$B:$B,MATCH($C65,CCESAN!$A:$A,0)),
IF(CONCATENATE($A65,$B65)="CSCORIO",INDEX(CSCORIO!#REF!,MATCH($C65,CSCORIO!#REF!,0)),
IF(CONCATENATE($A65,$B65)="MERC",INDEX(MERCADO!$B:$B,MATCH($C65,MERCADO!$A:$A,0)),
IF(CONCATENATE($A65,$B65)="CCOMP",INDEX(COMPOSICAO!$B:$B,MATCH($C65,COMPOSICAO!$A:$A,0)),""
))))))))),"*Verificar código*"))</f>
        <v>Barra De Ferro Redonda Lisa Sae-1020 Ø 1/2"</v>
      </c>
      <c r="E65" s="143" t="str">
        <f>LOWER(IFERROR(
IF(CONCATENATE($A65,$B65)="IDER-ES",INDEX('IDER-ES'!$C:$C,MATCH($C65,'IDER-ES'!$A:$A,0)),
IF(CONCATENATE($A65,$B65)="CIOPES",INDEX('CDER-ES'!$C:$C,MATCH($C65,'CDER-ES'!$A:$A,0)),
IF(CONCATENATE($A65,$B65)="ISINAPI",INDEX(ISINAPI!$C:$C,MATCH($C65,ISINAPI!$A:$A,0)),
IF(CONCATENATE($A65,$B65)="CSINAPI",INDEX(CSINAPI!$C:$C,MATCH($C65,CSINAPI!$A:$A,0)),
IF(CONCATENATE($A65,$B65)="CCESAN",INDEX(CCESAN!$C:$C,MATCH($C65,CCESAN!$A:$A,0)),
IF(CONCATENATE($A65,$B65)="CSCORIO",INDEX(CSCORIO!$A:$A,MATCH($C65,CSCORIO!#REF!,0)),
IF(CONCATENATE($A65,$B65)="MERC",INDEX(MERCADO!$D:$D,MATCH($C65,MERCADO!$A:$A,0)),
IF(CONCATENATE($A65,$B65)="CCOMP",INDEX(COMPOSICAO!$H:$H,MATCH($C65,COMPOSICAO!$A:$A,0)),""
)))))))),""))</f>
        <v>m</v>
      </c>
      <c r="F65" s="182">
        <v>0.2</v>
      </c>
      <c r="G65" s="144">
        <f>(IFERROR(
IF(CONCATENATE($A65,$B65)="IDER-ES",INDEX('IDER-ES'!$D:$D,MATCH($C65,'IDER-ES'!$A:$A,0)),
IF(CONCATENATE($A65,$B65)="CIOPES",INDEX('CDER-ES'!$D:$D,MATCH($C65,'CDER-ES'!$A:$A,0)),
IF(CONCATENATE($A65,$B65)="ISINAPI",INDEX(ISINAPI!$E:$E,MATCH($C65,ISINAPI!$A:$A,0)),
IF(CONCATENATE($A65,$B65)="CSINAPI",INDEX(CSINAPI!$D:$D,MATCH($C65,CSINAPI!$A:$A,0)),
IF(CONCATENATE($A65,$B65)="CCESAN",INDEX(CCESAN!$D:$D,MATCH($C65,CCESAN!$A:$A,0)),
IF(CONCATENATE($A65,$B65)="CSCORIO",INDEX(CSCORIO!$B:$B,MATCH($C65,CSCORIO!#REF!,0)),
IF(CONCATENATE($A65,$B65)="MERC",INDEX(MERCADO!$E:$E,MATCH($C65,MERCADO!$A:$A,0)),
IF(CONCATENATE($A65,$B65)="CCOMP",INDEX(COMPOSICAO!$H:$H,MATCH($C65,COMPOSICAO!$A:$A,0)),""
)))))))),""))</f>
        <v>10.56</v>
      </c>
      <c r="H65" s="144">
        <f t="shared" si="13"/>
        <v>2.11</v>
      </c>
    </row>
    <row r="66" spans="1:9" ht="25.5">
      <c r="A66" s="141" t="s">
        <v>26621</v>
      </c>
      <c r="B66" s="141" t="s">
        <v>26583</v>
      </c>
      <c r="C66" s="141">
        <v>100189</v>
      </c>
      <c r="D66" s="142" t="str">
        <f>PROPER(IFERROR(
IF(C66="","",
IF(CONCATENATE($A66,$B66)="IDER-ES",INDEX('IDER-ES'!$B:$B,MATCH($C66,'IDER-ES'!$A:$A,0)),
IF(CONCATENATE($A66,$B66)="CDER-ES",INDEX('CDER-ES'!$B:$B,MATCH($C66,'CDER-ES'!$A:$A,0)),
IF(CONCATENATE($A66,$B66)="ISINAPI",INDEX(ISINAPI!$B:$B,MATCH($C66,ISINAPI!$A:$A,0)),
IF(CONCATENATE($A66,$B66)="CSINAPI",INDEX(CSINAPI!$B:$B,MATCH($C66,CSINAPI!$A:$A,0)),
IF(CONCATENATE($A66,$B66)="CCESAN",INDEX(CCESAN!$B:$B,MATCH($C66,CCESAN!$A:$A,0)),
IF(CONCATENATE($A66,$B66)="CSCORIO",INDEX(CSCORIO!#REF!,MATCH($C66,CSCORIO!#REF!,0)),
IF(CONCATENATE($A66,$B66)="MERC",INDEX(MERCADO!$B:$B,MATCH($C66,MERCADO!$A:$A,0)),
IF(CONCATENATE($A66,$B66)="CCOMP",INDEX(COMPOSICAO!$B:$B,MATCH($C66,COMPOSICAO!$A:$A,0)),""
))))))))),"*Verificar código*"))</f>
        <v>Barra Chata De Ferro Astm A-36 1/8" X 3/4"</v>
      </c>
      <c r="E66" s="143" t="str">
        <f>LOWER(IFERROR(
IF(CONCATENATE($A66,$B66)="IDER-ES",INDEX('IDER-ES'!$C:$C,MATCH($C66,'IDER-ES'!$A:$A,0)),
IF(CONCATENATE($A66,$B66)="CIOPES",INDEX('CDER-ES'!$C:$C,MATCH($C66,'CDER-ES'!$A:$A,0)),
IF(CONCATENATE($A66,$B66)="ISINAPI",INDEX(ISINAPI!$C:$C,MATCH($C66,ISINAPI!$A:$A,0)),
IF(CONCATENATE($A66,$B66)="CSINAPI",INDEX(CSINAPI!$C:$C,MATCH($C66,CSINAPI!$A:$A,0)),
IF(CONCATENATE($A66,$B66)="CCESAN",INDEX(CCESAN!$C:$C,MATCH($C66,CCESAN!$A:$A,0)),
IF(CONCATENATE($A66,$B66)="CSCORIO",INDEX(CSCORIO!$A:$A,MATCH($C66,CSCORIO!#REF!,0)),
IF(CONCATENATE($A66,$B66)="MERC",INDEX(MERCADO!$D:$D,MATCH($C66,MERCADO!$A:$A,0)),
IF(CONCATENATE($A66,$B66)="CCOMP",INDEX(COMPOSICAO!$H:$H,MATCH($C66,COMPOSICAO!$A:$A,0)),""
)))))))),""))</f>
        <v>m</v>
      </c>
      <c r="F66" s="182">
        <v>0.1</v>
      </c>
      <c r="G66" s="144">
        <f>(IFERROR(
IF(CONCATENATE($A66,$B66)="IDER-ES",INDEX('IDER-ES'!$D:$D,MATCH($C66,'IDER-ES'!$A:$A,0)),
IF(CONCATENATE($A66,$B66)="CIOPES",INDEX('CDER-ES'!$D:$D,MATCH($C66,'CDER-ES'!$A:$A,0)),
IF(CONCATENATE($A66,$B66)="ISINAPI",INDEX(ISINAPI!$E:$E,MATCH($C66,ISINAPI!$A:$A,0)),
IF(CONCATENATE($A66,$B66)="CSINAPI",INDEX(CSINAPI!$D:$D,MATCH($C66,CSINAPI!$A:$A,0)),
IF(CONCATENATE($A66,$B66)="CCESAN",INDEX(CCESAN!$D:$D,MATCH($C66,CCESAN!$A:$A,0)),
IF(CONCATENATE($A66,$B66)="CSCORIO",INDEX(CSCORIO!$B:$B,MATCH($C66,CSCORIO!#REF!,0)),
IF(CONCATENATE($A66,$B66)="MERC",INDEX(MERCADO!$E:$E,MATCH($C66,MERCADO!$A:$A,0)),
IF(CONCATENATE($A66,$B66)="CCOMP",INDEX(COMPOSICAO!$H:$H,MATCH($C66,COMPOSICAO!$A:$A,0)),""
)))))))),""))</f>
        <v>5.66</v>
      </c>
      <c r="H66" s="144">
        <f t="shared" ref="H66" si="14">IF(B66="","",ROUND(G66*F66,2))</f>
        <v>0.56999999999999995</v>
      </c>
    </row>
    <row r="67" spans="1:9" ht="51">
      <c r="A67" s="141" t="s">
        <v>26621</v>
      </c>
      <c r="B67" s="141" t="s">
        <v>1019</v>
      </c>
      <c r="C67" s="141">
        <v>4358</v>
      </c>
      <c r="D67" s="142" t="str">
        <f>PROPER(IFERROR(
IF(C67="","",
IF(CONCATENATE($A67,$B67)="IDER-ES",INDEX('IDER-ES'!$B:$B,MATCH($C67,'IDER-ES'!$A:$A,0)),
IF(CONCATENATE($A67,$B67)="CDER-ES",INDEX('CDER-ES'!$B:$B,MATCH($C67,'CDER-ES'!$A:$A,0)),
IF(CONCATENATE($A67,$B67)="ISINAPI",INDEX(ISINAPI!$B:$B,MATCH($C67,ISINAPI!$A:$A,0)),
IF(CONCATENATE($A67,$B67)="CSINAPI",INDEX(CSINAPI!$B:$B,MATCH($C67,CSINAPI!$A:$A,0)),
IF(CONCATENATE($A67,$B67)="CCESAN",INDEX(CCESAN!$B:$B,MATCH($C67,CCESAN!$A:$A,0)),
IF(CONCATENATE($A67,$B67)="CSCORIO",INDEX(CSCORIO!#REF!,MATCH($C67,CSCORIO!#REF!,0)),
IF(CONCATENATE($A67,$B67)="MERC",INDEX(MERCADO!$B:$B,MATCH($C67,MERCADO!$A:$A,0)),
IF(CONCATENATE($A67,$B67)="CCOMP",INDEX(COMPOSICAO!$B:$B,MATCH($C67,COMPOSICAO!$A:$A,0)),""
))))))))),"*Verificar código*"))</f>
        <v xml:space="preserve">Parafuso De Latao Com Rosca Soberba, Cabeca Chata E Fenda Simples, Diametro 4,8 Mm, Comprimento 65 Mm                                                                                                                                                                                                                                                                                                                                                                                                     </v>
      </c>
      <c r="E67" s="143" t="str">
        <f>LOWER(IFERROR(
IF(CONCATENATE($A67,$B67)="IDER-ES",INDEX('IDER-ES'!$C:$C,MATCH($C67,'IDER-ES'!$A:$A,0)),
IF(CONCATENATE($A67,$B67)="CIOPES",INDEX('CDER-ES'!$C:$C,MATCH($C67,'CDER-ES'!$A:$A,0)),
IF(CONCATENATE($A67,$B67)="ISINAPI",INDEX(ISINAPI!$C:$C,MATCH($C67,ISINAPI!$A:$A,0)),
IF(CONCATENATE($A67,$B67)="CSINAPI",INDEX(CSINAPI!$C:$C,MATCH($C67,CSINAPI!$A:$A,0)),
IF(CONCATENATE($A67,$B67)="CCESAN",INDEX(CCESAN!$C:$C,MATCH($C67,CCESAN!$A:$A,0)),
IF(CONCATENATE($A67,$B67)="CSCORIO",INDEX(CSCORIO!$A:$A,MATCH($C67,CSCORIO!#REF!,0)),
IF(CONCATENATE($A67,$B67)="MERC",INDEX(MERCADO!$D:$D,MATCH($C67,MERCADO!$A:$A,0)),
IF(CONCATENATE($A67,$B67)="CCOMP",INDEX(COMPOSICAO!$H:$H,MATCH($C67,COMPOSICAO!$A:$A,0)),""
)))))))),""))</f>
        <v xml:space="preserve">un    </v>
      </c>
      <c r="F67" s="182">
        <v>2</v>
      </c>
      <c r="G67" s="144">
        <f>(IFERROR(
IF(CONCATENATE($A67,$B67)="IDER-ES",INDEX('IDER-ES'!$D:$D,MATCH($C67,'IDER-ES'!$A:$A,0)),
IF(CONCATENATE($A67,$B67)="CIOPES",INDEX('CDER-ES'!$D:$D,MATCH($C67,'CDER-ES'!$A:$A,0)),
IF(CONCATENATE($A67,$B67)="ISINAPI",INDEX(ISINAPI!$E:$E,MATCH($C67,ISINAPI!$A:$A,0)),
IF(CONCATENATE($A67,$B67)="CSINAPI",INDEX(CSINAPI!$D:$D,MATCH($C67,CSINAPI!$A:$A,0)),
IF(CONCATENATE($A67,$B67)="CCESAN",INDEX(CCESAN!$D:$D,MATCH($C67,CCESAN!$A:$A,0)),
IF(CONCATENATE($A67,$B67)="CSCORIO",INDEX(CSCORIO!$B:$B,MATCH($C67,CSCORIO!#REF!,0)),
IF(CONCATENATE($A67,$B67)="MERC",INDEX(MERCADO!$E:$E,MATCH($C67,MERCADO!$A:$A,0)),
IF(CONCATENATE($A67,$B67)="CCOMP",INDEX(COMPOSICAO!$H:$H,MATCH($C67,COMPOSICAO!$A:$A,0)),""
)))))))),""))</f>
        <v>1.92</v>
      </c>
      <c r="H67" s="144">
        <f t="shared" si="13"/>
        <v>3.84</v>
      </c>
    </row>
    <row r="68" spans="1:9" ht="25.5">
      <c r="A68" s="141" t="s">
        <v>21960</v>
      </c>
      <c r="B68" s="141" t="s">
        <v>1019</v>
      </c>
      <c r="C68" s="141">
        <v>88316</v>
      </c>
      <c r="D68" s="142" t="str">
        <f>PROPER(IFERROR(
IF(C68="","",
IF(CONCATENATE($A68,$B68)="IDER-ES",INDEX('IDER-ES'!$B:$B,MATCH($C68,'IDER-ES'!$A:$A,0)),
IF(CONCATENATE($A68,$B68)="CDER-ES",INDEX('CDER-ES'!$B:$B,MATCH($C68,'CDER-ES'!$A:$A,0)),
IF(CONCATENATE($A68,$B68)="ISINAPI",INDEX(ISINAPI!$B:$B,MATCH($C68,ISINAPI!$A:$A,0)),
IF(CONCATENATE($A68,$B68)="CSINAPI",INDEX(CSINAPI!$B:$B,MATCH($C68,CSINAPI!$A:$A,0)),
IF(CONCATENATE($A68,$B68)="CCESAN",INDEX(CCESAN!$B:$B,MATCH($C68,CCESAN!$A:$A,0)),
IF(CONCATENATE($A68,$B68)="CSCORIO",INDEX(CSCORIO!#REF!,MATCH($C68,CSCORIO!#REF!,0)),
IF(CONCATENATE($A68,$B68)="MERC",INDEX(MERCADO!$B:$B,MATCH($C68,MERCADO!$A:$A,0)),
IF(CONCATENATE($A68,$B68)="CCOMP",INDEX(COMPOSICAO!$B:$B,MATCH($C68,COMPOSICAO!$A:$A,0)),""
))))))))),"*Verificar código*"))</f>
        <v>Servente Com Encargos Complementares</v>
      </c>
      <c r="E68" s="143" t="str">
        <f>LOWER(IFERROR(
IF(CONCATENATE($A68,$B68)="IDER-ES",INDEX('IDER-ES'!$C:$C,MATCH($C68,'IDER-ES'!$A:$A,0)),
IF(CONCATENATE($A68,$B68)="CIOPES",INDEX('CDER-ES'!$C:$C,MATCH($C68,'CDER-ES'!$A:$A,0)),
IF(CONCATENATE($A68,$B68)="ISINAPI",INDEX(ISINAPI!$C:$C,MATCH($C68,ISINAPI!$A:$A,0)),
IF(CONCATENATE($A68,$B68)="CSINAPI",INDEX(CSINAPI!$C:$C,MATCH($C68,CSINAPI!$A:$A,0)),
IF(CONCATENATE($A68,$B68)="CCESAN",INDEX(CCESAN!$C:$C,MATCH($C68,CCESAN!$A:$A,0)),
IF(CONCATENATE($A68,$B68)="CSCORIO",INDEX(CSCORIO!$A:$A,MATCH($C68,CSCORIO!#REF!,0)),
IF(CONCATENATE($A68,$B68)="MERC",INDEX(MERCADO!$D:$D,MATCH($C68,MERCADO!$A:$A,0)),
IF(CONCATENATE($A68,$B68)="CCOMP",INDEX(COMPOSICAO!$H:$H,MATCH($C68,COMPOSICAO!$A:$A,0)),""
)))))))),""))</f>
        <v>h</v>
      </c>
      <c r="F68" s="182">
        <f>0.8+1</f>
        <v>1.8</v>
      </c>
      <c r="G68" s="144">
        <f>(IFERROR(
IF(CONCATENATE($A68,$B68)="IDER-ES",INDEX('IDER-ES'!$D:$D,MATCH($C68,'IDER-ES'!$A:$A,0)),
IF(CONCATENATE($A68,$B68)="CIOPES",INDEX('CDER-ES'!$D:$D,MATCH($C68,'CDER-ES'!$A:$A,0)),
IF(CONCATENATE($A68,$B68)="ISINAPI",INDEX(ISINAPI!$E:$E,MATCH($C68,ISINAPI!$A:$A,0)),
IF(CONCATENATE($A68,$B68)="CSINAPI",INDEX(CSINAPI!$D:$D,MATCH($C68,CSINAPI!$A:$A,0)),
IF(CONCATENATE($A68,$B68)="CCESAN",INDEX(CCESAN!$D:$D,MATCH($C68,CCESAN!$A:$A,0)),
IF(CONCATENATE($A68,$B68)="CSCORIO",INDEX(CSCORIO!$B:$B,MATCH($C68,CSCORIO!#REF!,0)),
IF(CONCATENATE($A68,$B68)="MERC",INDEX(MERCADO!$E:$E,MATCH($C68,MERCADO!$A:$A,0)),
IF(CONCATENATE($A68,$B68)="CCOMP",INDEX(COMPOSICAO!$H:$H,MATCH($C68,COMPOSICAO!$A:$A,0)),""
)))))))),""))</f>
        <v>18.11</v>
      </c>
      <c r="H68" s="144">
        <f t="shared" si="13"/>
        <v>32.6</v>
      </c>
    </row>
    <row r="69" spans="1:9" ht="25.5">
      <c r="A69" s="141" t="s">
        <v>21960</v>
      </c>
      <c r="B69" s="141" t="s">
        <v>1019</v>
      </c>
      <c r="C69" s="141">
        <v>88262</v>
      </c>
      <c r="D69" s="142" t="str">
        <f>PROPER(IFERROR(
IF(C69="","",
IF(CONCATENATE($A69,$B69)="IDER-ES",INDEX('IDER-ES'!$B:$B,MATCH($C69,'IDER-ES'!$A:$A,0)),
IF(CONCATENATE($A69,$B69)="CDER-ES",INDEX('CDER-ES'!$B:$B,MATCH($C69,'CDER-ES'!$A:$A,0)),
IF(CONCATENATE($A69,$B69)="ISINAPI",INDEX(ISINAPI!$B:$B,MATCH($C69,ISINAPI!$A:$A,0)),
IF(CONCATENATE($A69,$B69)="CSINAPI",INDEX(CSINAPI!$B:$B,MATCH($C69,CSINAPI!$A:$A,0)),
IF(CONCATENATE($A69,$B69)="CCESAN",INDEX(CCESAN!$B:$B,MATCH($C69,CCESAN!$A:$A,0)),
IF(CONCATENATE($A69,$B69)="CSCORIO",INDEX(CSCORIO!#REF!,MATCH($C69,CSCORIO!#REF!,0)),
IF(CONCATENATE($A69,$B69)="MERC",INDEX(MERCADO!$B:$B,MATCH($C69,MERCADO!$A:$A,0)),
IF(CONCATENATE($A69,$B69)="CCOMP",INDEX(COMPOSICAO!$B:$B,MATCH($C69,COMPOSICAO!$A:$A,0)),""
))))))))),"*Verificar código*"))</f>
        <v>Carpinteiro De Formas Com Encargos Complementares</v>
      </c>
      <c r="E69" s="143" t="str">
        <f>LOWER(IFERROR(
IF(CONCATENATE($A69,$B69)="IDER-ES",INDEX('IDER-ES'!$C:$C,MATCH($C69,'IDER-ES'!$A:$A,0)),
IF(CONCATENATE($A69,$B69)="CIOPES",INDEX('CDER-ES'!$C:$C,MATCH($C69,'CDER-ES'!$A:$A,0)),
IF(CONCATENATE($A69,$B69)="ISINAPI",INDEX(ISINAPI!$C:$C,MATCH($C69,ISINAPI!$A:$A,0)),
IF(CONCATENATE($A69,$B69)="CSINAPI",INDEX(CSINAPI!$C:$C,MATCH($C69,CSINAPI!$A:$A,0)),
IF(CONCATENATE($A69,$B69)="CCESAN",INDEX(CCESAN!$C:$C,MATCH($C69,CCESAN!$A:$A,0)),
IF(CONCATENATE($A69,$B69)="CSCORIO",INDEX(CSCORIO!$A:$A,MATCH($C69,CSCORIO!#REF!,0)),
IF(CONCATENATE($A69,$B69)="MERC",INDEX(MERCADO!$D:$D,MATCH($C69,MERCADO!$A:$A,0)),
IF(CONCATENATE($A69,$B69)="CCOMP",INDEX(COMPOSICAO!$H:$H,MATCH($C69,COMPOSICAO!$A:$A,0)),""
)))))))),""))</f>
        <v>h</v>
      </c>
      <c r="F69" s="182">
        <f>1+1.5</f>
        <v>2.5</v>
      </c>
      <c r="G69" s="144">
        <f>(IFERROR(
IF(CONCATENATE($A69,$B69)="IDER-ES",INDEX('IDER-ES'!$D:$D,MATCH($C69,'IDER-ES'!$A:$A,0)),
IF(CONCATENATE($A69,$B69)="CIOPES",INDEX('CDER-ES'!$D:$D,MATCH($C69,'CDER-ES'!$A:$A,0)),
IF(CONCATENATE($A69,$B69)="ISINAPI",INDEX(ISINAPI!$E:$E,MATCH($C69,ISINAPI!$A:$A,0)),
IF(CONCATENATE($A69,$B69)="CSINAPI",INDEX(CSINAPI!$D:$D,MATCH($C69,CSINAPI!$A:$A,0)),
IF(CONCATENATE($A69,$B69)="CCESAN",INDEX(CCESAN!$D:$D,MATCH($C69,CCESAN!$A:$A,0)),
IF(CONCATENATE($A69,$B69)="CSCORIO",INDEX(CSCORIO!$B:$B,MATCH($C69,CSCORIO!#REF!,0)),
IF(CONCATENATE($A69,$B69)="MERC",INDEX(MERCADO!$E:$E,MATCH($C69,MERCADO!$A:$A,0)),
IF(CONCATENATE($A69,$B69)="CCOMP",INDEX(COMPOSICAO!$H:$H,MATCH($C69,COMPOSICAO!$A:$A,0)),""
)))))))),""))</f>
        <v>25.18</v>
      </c>
      <c r="H69" s="144">
        <f t="shared" ref="H69:H70" si="15">IF(B69="","",ROUND(G69*F69,2))</f>
        <v>62.95</v>
      </c>
    </row>
    <row r="70" spans="1:9" ht="25.5">
      <c r="A70" s="141" t="s">
        <v>21960</v>
      </c>
      <c r="B70" s="141" t="s">
        <v>1019</v>
      </c>
      <c r="C70" s="141">
        <v>102193</v>
      </c>
      <c r="D70" s="142" t="str">
        <f>PROPER(IFERROR(
IF(C70="","",
IF(CONCATENATE($A70,$B70)="IDER-ES",INDEX('IDER-ES'!$B:$B,MATCH($C70,'IDER-ES'!$A:$A,0)),
IF(CONCATENATE($A70,$B70)="CDER-ES",INDEX('CDER-ES'!$B:$B,MATCH($C70,'CDER-ES'!$A:$A,0)),
IF(CONCATENATE($A70,$B70)="ISINAPI",INDEX(ISINAPI!$B:$B,MATCH($C70,ISINAPI!$A:$A,0)),
IF(CONCATENATE($A70,$B70)="CSINAPI",INDEX(CSINAPI!$B:$B,MATCH($C70,CSINAPI!$A:$A,0)),
IF(CONCATENATE($A70,$B70)="CCESAN",INDEX(CCESAN!$B:$B,MATCH($C70,CCESAN!$A:$A,0)),
IF(CONCATENATE($A70,$B70)="CSCORIO",INDEX(CSCORIO!#REF!,MATCH($C70,CSCORIO!#REF!,0)),
IF(CONCATENATE($A70,$B70)="MERC",INDEX(MERCADO!$B:$B,MATCH($C70,MERCADO!$A:$A,0)),
IF(CONCATENATE($A70,$B70)="CCOMP",INDEX(COMPOSICAO!$B:$B,MATCH($C70,COMPOSICAO!$A:$A,0)),""
))))))))),"*Verificar código*"))</f>
        <v>Lixamento De Madeira Para Aplicação De Fundo Ou Pintura. Af_01/2021</v>
      </c>
      <c r="E70" s="143" t="str">
        <f>LOWER(IFERROR(
IF(CONCATENATE($A70,$B70)="IDER-ES",INDEX('IDER-ES'!$C:$C,MATCH($C70,'IDER-ES'!$A:$A,0)),
IF(CONCATENATE($A70,$B70)="CIOPES",INDEX('CDER-ES'!$C:$C,MATCH($C70,'CDER-ES'!$A:$A,0)),
IF(CONCATENATE($A70,$B70)="ISINAPI",INDEX(ISINAPI!$C:$C,MATCH($C70,ISINAPI!$A:$A,0)),
IF(CONCATENATE($A70,$B70)="CSINAPI",INDEX(CSINAPI!$C:$C,MATCH($C70,CSINAPI!$A:$A,0)),
IF(CONCATENATE($A70,$B70)="CCESAN",INDEX(CCESAN!$C:$C,MATCH($C70,CCESAN!$A:$A,0)),
IF(CONCATENATE($A70,$B70)="CSCORIO",INDEX(CSCORIO!$A:$A,MATCH($C70,CSCORIO!#REF!,0)),
IF(CONCATENATE($A70,$B70)="MERC",INDEX(MERCADO!$D:$D,MATCH($C70,MERCADO!$A:$A,0)),
IF(CONCATENATE($A70,$B70)="CCOMP",INDEX(COMPOSICAO!$H:$H,MATCH($C70,COMPOSICAO!$A:$A,0)),""
)))))))),""))</f>
        <v>m²</v>
      </c>
      <c r="F70" s="182">
        <v>0.22</v>
      </c>
      <c r="G70" s="144">
        <f>(IFERROR(
IF(CONCATENATE($A70,$B70)="IDER-ES",INDEX('IDER-ES'!$D:$D,MATCH($C70,'IDER-ES'!$A:$A,0)),
IF(CONCATENATE($A70,$B70)="CIOPES",INDEX('CDER-ES'!$D:$D,MATCH($C70,'CDER-ES'!$A:$A,0)),
IF(CONCATENATE($A70,$B70)="ISINAPI",INDEX(ISINAPI!$E:$E,MATCH($C70,ISINAPI!$A:$A,0)),
IF(CONCATENATE($A70,$B70)="CSINAPI",INDEX(CSINAPI!$D:$D,MATCH($C70,CSINAPI!$A:$A,0)),
IF(CONCATENATE($A70,$B70)="CCESAN",INDEX(CCESAN!$D:$D,MATCH($C70,CCESAN!$A:$A,0)),
IF(CONCATENATE($A70,$B70)="CSCORIO",INDEX(CSCORIO!$B:$B,MATCH($C70,CSCORIO!#REF!,0)),
IF(CONCATENATE($A70,$B70)="MERC",INDEX(MERCADO!$E:$E,MATCH($C70,MERCADO!$A:$A,0)),
IF(CONCATENATE($A70,$B70)="CCOMP",INDEX(COMPOSICAO!$H:$H,MATCH($C70,COMPOSICAO!$A:$A,0)),""
)))))))),""))</f>
        <v>2.0499999999999998</v>
      </c>
      <c r="H70" s="144">
        <f t="shared" si="15"/>
        <v>0.45</v>
      </c>
    </row>
    <row r="71" spans="1:9" ht="38.25">
      <c r="A71" s="141" t="s">
        <v>21960</v>
      </c>
      <c r="B71" s="141" t="s">
        <v>1019</v>
      </c>
      <c r="C71" s="141">
        <v>102215</v>
      </c>
      <c r="D71" s="142" t="str">
        <f>PROPER(IFERROR(
IF(C71="","",
IF(CONCATENATE($A71,$B71)="IDER-ES",INDEX('IDER-ES'!$B:$B,MATCH($C71,'IDER-ES'!$A:$A,0)),
IF(CONCATENATE($A71,$B71)="CDER-ES",INDEX('CDER-ES'!$B:$B,MATCH($C71,'CDER-ES'!$A:$A,0)),
IF(CONCATENATE($A71,$B71)="ISINAPI",INDEX(ISINAPI!$B:$B,MATCH($C71,ISINAPI!$A:$A,0)),
IF(CONCATENATE($A71,$B71)="CSINAPI",INDEX(CSINAPI!$B:$B,MATCH($C71,CSINAPI!$A:$A,0)),
IF(CONCATENATE($A71,$B71)="CCESAN",INDEX(CCESAN!$B:$B,MATCH($C71,CCESAN!$A:$A,0)),
IF(CONCATENATE($A71,$B71)="CSCORIO",INDEX(CSCORIO!#REF!,MATCH($C71,CSCORIO!#REF!,0)),
IF(CONCATENATE($A71,$B71)="MERC",INDEX(MERCADO!$B:$B,MATCH($C71,MERCADO!$A:$A,0)),
IF(CONCATENATE($A71,$B71)="CCOMP",INDEX(COMPOSICAO!$B:$B,MATCH($C71,COMPOSICAO!$A:$A,0)),""
))))))))),"*Verificar código*"))</f>
        <v>Pintura Verniz (Incolor) Poliuretânico (Resina Alquídica Modificada) Em Madeira, 2 Demãos. Af_01/2021</v>
      </c>
      <c r="E71" s="143" t="str">
        <f>LOWER(IFERROR(
IF(CONCATENATE($A71,$B71)="IDER-ES",INDEX('IDER-ES'!$C:$C,MATCH($C71,'IDER-ES'!$A:$A,0)),
IF(CONCATENATE($A71,$B71)="CIOPES",INDEX('CDER-ES'!$C:$C,MATCH($C71,'CDER-ES'!$A:$A,0)),
IF(CONCATENATE($A71,$B71)="ISINAPI",INDEX(ISINAPI!$C:$C,MATCH($C71,ISINAPI!$A:$A,0)),
IF(CONCATENATE($A71,$B71)="CSINAPI",INDEX(CSINAPI!$C:$C,MATCH($C71,CSINAPI!$A:$A,0)),
IF(CONCATENATE($A71,$B71)="CCESAN",INDEX(CCESAN!$C:$C,MATCH($C71,CCESAN!$A:$A,0)),
IF(CONCATENATE($A71,$B71)="CSCORIO",INDEX(CSCORIO!$A:$A,MATCH($C71,CSCORIO!#REF!,0)),
IF(CONCATENATE($A71,$B71)="MERC",INDEX(MERCADO!$D:$D,MATCH($C71,MERCADO!$A:$A,0)),
IF(CONCATENATE($A71,$B71)="CCOMP",INDEX(COMPOSICAO!$H:$H,MATCH($C71,COMPOSICAO!$A:$A,0)),""
)))))))),""))</f>
        <v>m²</v>
      </c>
      <c r="F71" s="182">
        <f>F70</f>
        <v>0.22</v>
      </c>
      <c r="G71" s="144">
        <f>(IFERROR(
IF(CONCATENATE($A71,$B71)="IDER-ES",INDEX('IDER-ES'!$D:$D,MATCH($C71,'IDER-ES'!$A:$A,0)),
IF(CONCATENATE($A71,$B71)="CIOPES",INDEX('CDER-ES'!$D:$D,MATCH($C71,'CDER-ES'!$A:$A,0)),
IF(CONCATENATE($A71,$B71)="ISINAPI",INDEX(ISINAPI!$E:$E,MATCH($C71,ISINAPI!$A:$A,0)),
IF(CONCATENATE($A71,$B71)="CSINAPI",INDEX(CSINAPI!$D:$D,MATCH($C71,CSINAPI!$A:$A,0)),
IF(CONCATENATE($A71,$B71)="CCESAN",INDEX(CCESAN!$D:$D,MATCH($C71,CCESAN!$A:$A,0)),
IF(CONCATENATE($A71,$B71)="CSCORIO",INDEX(CSCORIO!$B:$B,MATCH($C71,CSCORIO!#REF!,0)),
IF(CONCATENATE($A71,$B71)="MERC",INDEX(MERCADO!$E:$E,MATCH($C71,MERCADO!$A:$A,0)),
IF(CONCATENATE($A71,$B71)="CCOMP",INDEX(COMPOSICAO!$H:$H,MATCH($C71,COMPOSICAO!$A:$A,0)),""
)))))))),""))</f>
        <v>16.75</v>
      </c>
      <c r="H71" s="144">
        <f t="shared" si="13"/>
        <v>3.69</v>
      </c>
    </row>
    <row r="73" spans="1:9" s="135" customFormat="1" ht="19.5" customHeight="1">
      <c r="A73" s="186" t="s">
        <v>1020</v>
      </c>
      <c r="B73" s="405" t="s">
        <v>1022</v>
      </c>
      <c r="C73" s="406"/>
      <c r="D73" s="406"/>
      <c r="E73" s="406"/>
      <c r="F73" s="407"/>
      <c r="G73" s="133" t="s">
        <v>19692</v>
      </c>
      <c r="H73" s="134" t="s">
        <v>19678</v>
      </c>
      <c r="I73" s="263"/>
    </row>
    <row r="74" spans="1:9" ht="60" customHeight="1">
      <c r="A74" s="136">
        <f>COUNTIF($A$4:$A73,$A$4)</f>
        <v>6</v>
      </c>
      <c r="B74" s="408" t="s">
        <v>28633</v>
      </c>
      <c r="C74" s="409"/>
      <c r="D74" s="409"/>
      <c r="E74" s="409"/>
      <c r="F74" s="410"/>
      <c r="G74" s="137" t="s">
        <v>26764</v>
      </c>
      <c r="H74" s="211">
        <f>SUM(H76:H83)</f>
        <v>188.51000000000002</v>
      </c>
    </row>
    <row r="75" spans="1:9" ht="30" customHeight="1">
      <c r="A75" s="139" t="s">
        <v>1026</v>
      </c>
      <c r="B75" s="139" t="s">
        <v>1027</v>
      </c>
      <c r="C75" s="139" t="s">
        <v>31</v>
      </c>
      <c r="D75" s="139" t="s">
        <v>1023</v>
      </c>
      <c r="E75" s="139" t="s">
        <v>32</v>
      </c>
      <c r="F75" s="183" t="s">
        <v>2343</v>
      </c>
      <c r="G75" s="140" t="s">
        <v>19676</v>
      </c>
      <c r="H75" s="140" t="s">
        <v>19677</v>
      </c>
    </row>
    <row r="76" spans="1:9" ht="38.25">
      <c r="A76" s="141" t="s">
        <v>26621</v>
      </c>
      <c r="B76" s="141" t="s">
        <v>1019</v>
      </c>
      <c r="C76" s="141">
        <v>3993</v>
      </c>
      <c r="D76" s="142" t="str">
        <f>PROPER(IFERROR(
IF(C76="","",
IF(CONCATENATE($A76,$B76)="IDER-ES",INDEX('IDER-ES'!$B:$B,MATCH($C76,'IDER-ES'!$A:$A,0)),
IF(CONCATENATE($A76,$B76)="CDER-ES",INDEX('CDER-ES'!$B:$B,MATCH($C76,'CDER-ES'!$A:$A,0)),
IF(CONCATENATE($A76,$B76)="ISINAPI",INDEX(ISINAPI!$B:$B,MATCH($C76,ISINAPI!$A:$A,0)),
IF(CONCATENATE($A76,$B76)="CSINAPI",INDEX(CSINAPI!$B:$B,MATCH($C76,CSINAPI!$A:$A,0)),
IF(CONCATENATE($A76,$B76)="CCESAN",INDEX(CCESAN!$B:$B,MATCH($C76,CCESAN!$A:$A,0)),
IF(CONCATENATE($A76,$B76)="CSCORIO",INDEX(CSCORIO!#REF!,MATCH($C76,CSCORIO!#REF!,0)),
IF(CONCATENATE($A76,$B76)="MERC",INDEX(MERCADO!$B:$B,MATCH($C76,MERCADO!$A:$A,0)),
IF(CONCATENATE($A76,$B76)="CCOMP",INDEX(COMPOSICAO!$B:$B,MATCH($C76,COMPOSICAO!$A:$A,0)),""
))))))))),"*Verificar código*"))</f>
        <v xml:space="preserve">Tabua Aparelhada *2,5 X 15* Cm, Em Macaranduba, Angelim Ou Equivalente Da Regiao                                                                                                                                                                                                                                                                                                                                                                                                                          </v>
      </c>
      <c r="E76" s="143" t="str">
        <f>LOWER(IFERROR(
IF(CONCATENATE($A76,$B76)="IDER-ES",INDEX('IDER-ES'!$C:$C,MATCH($C76,'IDER-ES'!$A:$A,0)),
IF(CONCATENATE($A76,$B76)="CIOPES",INDEX('CDER-ES'!$C:$C,MATCH($C76,'CDER-ES'!$A:$A,0)),
IF(CONCATENATE($A76,$B76)="ISINAPI",INDEX(ISINAPI!$C:$C,MATCH($C76,ISINAPI!$A:$A,0)),
IF(CONCATENATE($A76,$B76)="CSINAPI",INDEX(CSINAPI!$C:$C,MATCH($C76,CSINAPI!$A:$A,0)),
IF(CONCATENATE($A76,$B76)="CCESAN",INDEX(CCESAN!$C:$C,MATCH($C76,CCESAN!$A:$A,0)),
IF(CONCATENATE($A76,$B76)="CSCORIO",INDEX(CSCORIO!$A:$A,MATCH($C76,CSCORIO!#REF!,0)),
IF(CONCATENATE($A76,$B76)="MERC",INDEX(MERCADO!$D:$D,MATCH($C76,MERCADO!$A:$A,0)),
IF(CONCATENATE($A76,$B76)="CCOMP",INDEX(COMPOSICAO!$H:$H,MATCH($C76,COMPOSICAO!$A:$A,0)),""
)))))))),""))</f>
        <v xml:space="preserve">m²    </v>
      </c>
      <c r="F76" s="182">
        <v>1</v>
      </c>
      <c r="G76" s="144">
        <f>(IFERROR(
IF(CONCATENATE($A76,$B76)="IDER-ES",INDEX('IDER-ES'!$D:$D,MATCH($C76,'IDER-ES'!$A:$A,0)),
IF(CONCATENATE($A76,$B76)="CIOPES",INDEX('CDER-ES'!$D:$D,MATCH($C76,'CDER-ES'!$A:$A,0)),
IF(CONCATENATE($A76,$B76)="ISINAPI",INDEX(ISINAPI!$E:$E,MATCH($C76,ISINAPI!$A:$A,0)),
IF(CONCATENATE($A76,$B76)="CSINAPI",INDEX(CSINAPI!$D:$D,MATCH($C76,CSINAPI!$A:$A,0)),
IF(CONCATENATE($A76,$B76)="CCESAN",INDEX(CCESAN!$D:$D,MATCH($C76,CCESAN!$A:$A,0)),
IF(CONCATENATE($A76,$B76)="CSCORIO",INDEX(CSCORIO!$B:$B,MATCH($C76,CSCORIO!#REF!,0)),
IF(CONCATENATE($A76,$B76)="MERC",INDEX(MERCADO!$E:$E,MATCH($C76,MERCADO!$A:$A,0)),
IF(CONCATENATE($A76,$B76)="CCOMP",INDEX(COMPOSICAO!$H:$H,MATCH($C76,COMPOSICAO!$A:$A,0)),""
)))))))),""))</f>
        <v>124.22</v>
      </c>
      <c r="H76" s="144">
        <f t="shared" ref="H76:H83" si="16">IF(B76="","",ROUND(G76*F76,2))</f>
        <v>124.22</v>
      </c>
    </row>
    <row r="77" spans="1:9" ht="51">
      <c r="A77" s="141" t="s">
        <v>26621</v>
      </c>
      <c r="B77" s="141" t="s">
        <v>1019</v>
      </c>
      <c r="C77" s="141">
        <v>7568</v>
      </c>
      <c r="D77" s="142" t="str">
        <f>PROPER(IFERROR(
IF(C77="","",
IF(CONCATENATE($A77,$B77)="IDER-ES",INDEX('IDER-ES'!$B:$B,MATCH($C77,'IDER-ES'!$A:$A,0)),
IF(CONCATENATE($A77,$B77)="CDER-ES",INDEX('CDER-ES'!$B:$B,MATCH($C77,'CDER-ES'!$A:$A,0)),
IF(CONCATENATE($A77,$B77)="ISINAPI",INDEX(ISINAPI!$B:$B,MATCH($C77,ISINAPI!$A:$A,0)),
IF(CONCATENATE($A77,$B77)="CSINAPI",INDEX(CSINAPI!$B:$B,MATCH($C77,CSINAPI!$A:$A,0)),
IF(CONCATENATE($A77,$B77)="CCESAN",INDEX(CCESAN!$B:$B,MATCH($C77,CCESAN!$A:$A,0)),
IF(CONCATENATE($A77,$B77)="CSCORIO",INDEX(CSCORIO!#REF!,MATCH($C77,CSCORIO!#REF!,0)),
IF(CONCATENATE($A77,$B77)="MERC",INDEX(MERCADO!$B:$B,MATCH($C77,MERCADO!$A:$A,0)),
IF(CONCATENATE($A77,$B77)="CCOMP",INDEX(COMPOSICAO!$B:$B,MATCH($C77,COMPOSICAO!$A:$A,0)),""
))))))))),"*Verificar código*"))</f>
        <v xml:space="preserve">Bucha De Nylon Sem Aba S10, Com Parafuso De 6,10 X 65 Mm Em Aco Zincado Com Rosca Soberba, Cabeca Chata E Fenda Phillips                                                                                                                                                                                                                                                                                                                                                                                  </v>
      </c>
      <c r="E77" s="143" t="str">
        <f>LOWER(IFERROR(
IF(CONCATENATE($A77,$B77)="IDER-ES",INDEX('IDER-ES'!$C:$C,MATCH($C77,'IDER-ES'!$A:$A,0)),
IF(CONCATENATE($A77,$B77)="CIOPES",INDEX('CDER-ES'!$C:$C,MATCH($C77,'CDER-ES'!$A:$A,0)),
IF(CONCATENATE($A77,$B77)="ISINAPI",INDEX(ISINAPI!$C:$C,MATCH($C77,ISINAPI!$A:$A,0)),
IF(CONCATENATE($A77,$B77)="CSINAPI",INDEX(CSINAPI!$C:$C,MATCH($C77,CSINAPI!$A:$A,0)),
IF(CONCATENATE($A77,$B77)="CCESAN",INDEX(CCESAN!$C:$C,MATCH($C77,CCESAN!$A:$A,0)),
IF(CONCATENATE($A77,$B77)="CSCORIO",INDEX(CSCORIO!$A:$A,MATCH($C77,CSCORIO!#REF!,0)),
IF(CONCATENATE($A77,$B77)="MERC",INDEX(MERCADO!$D:$D,MATCH($C77,MERCADO!$A:$A,0)),
IF(CONCATENATE($A77,$B77)="CCOMP",INDEX(COMPOSICAO!$H:$H,MATCH($C77,COMPOSICAO!$A:$A,0)),""
)))))))),""))</f>
        <v xml:space="preserve">un    </v>
      </c>
      <c r="F77" s="182">
        <v>20</v>
      </c>
      <c r="G77" s="144">
        <f>(IFERROR(
IF(CONCATENATE($A77,$B77)="IDER-ES",INDEX('IDER-ES'!$D:$D,MATCH($C77,'IDER-ES'!$A:$A,0)),
IF(CONCATENATE($A77,$B77)="CIOPES",INDEX('CDER-ES'!$D:$D,MATCH($C77,'CDER-ES'!$A:$A,0)),
IF(CONCATENATE($A77,$B77)="ISINAPI",INDEX(ISINAPI!$E:$E,MATCH($C77,ISINAPI!$A:$A,0)),
IF(CONCATENATE($A77,$B77)="CSINAPI",INDEX(CSINAPI!$D:$D,MATCH($C77,CSINAPI!$A:$A,0)),
IF(CONCATENATE($A77,$B77)="CCESAN",INDEX(CCESAN!$D:$D,MATCH($C77,CCESAN!$A:$A,0)),
IF(CONCATENATE($A77,$B77)="CSCORIO",INDEX(CSCORIO!$B:$B,MATCH($C77,CSCORIO!#REF!,0)),
IF(CONCATENATE($A77,$B77)="MERC",INDEX(MERCADO!$E:$E,MATCH($C77,MERCADO!$A:$A,0)),
IF(CONCATENATE($A77,$B77)="CCOMP",INDEX(COMPOSICAO!$H:$H,MATCH($C77,COMPOSICAO!$A:$A,0)),""
)))))))),""))</f>
        <v>0.73</v>
      </c>
      <c r="H77" s="144">
        <f t="shared" si="16"/>
        <v>14.6</v>
      </c>
    </row>
    <row r="78" spans="1:9" ht="25.5">
      <c r="A78" s="141" t="s">
        <v>21960</v>
      </c>
      <c r="B78" s="141" t="s">
        <v>1019</v>
      </c>
      <c r="C78" s="141">
        <v>88316</v>
      </c>
      <c r="D78" s="142" t="str">
        <f>PROPER(IFERROR(
IF(C78="","",
IF(CONCATENATE($A78,$B78)="IDER-ES",INDEX('IDER-ES'!$B:$B,MATCH($C78,'IDER-ES'!$A:$A,0)),
IF(CONCATENATE($A78,$B78)="CDER-ES",INDEX('CDER-ES'!$B:$B,MATCH($C78,'CDER-ES'!$A:$A,0)),
IF(CONCATENATE($A78,$B78)="ISINAPI",INDEX(ISINAPI!$B:$B,MATCH($C78,ISINAPI!$A:$A,0)),
IF(CONCATENATE($A78,$B78)="CSINAPI",INDEX(CSINAPI!$B:$B,MATCH($C78,CSINAPI!$A:$A,0)),
IF(CONCATENATE($A78,$B78)="CCESAN",INDEX(CCESAN!$B:$B,MATCH($C78,CCESAN!$A:$A,0)),
IF(CONCATENATE($A78,$B78)="CSCORIO",INDEX(CSCORIO!#REF!,MATCH($C78,CSCORIO!#REF!,0)),
IF(CONCATENATE($A78,$B78)="MERC",INDEX(MERCADO!$B:$B,MATCH($C78,MERCADO!$A:$A,0)),
IF(CONCATENATE($A78,$B78)="CCOMP",INDEX(COMPOSICAO!$B:$B,MATCH($C78,COMPOSICAO!$A:$A,0)),""
))))))))),"*Verificar código*"))</f>
        <v>Servente Com Encargos Complementares</v>
      </c>
      <c r="E78" s="143" t="str">
        <f>LOWER(IFERROR(
IF(CONCATENATE($A78,$B78)="IDER-ES",INDEX('IDER-ES'!$C:$C,MATCH($C78,'IDER-ES'!$A:$A,0)),
IF(CONCATENATE($A78,$B78)="CIOPES",INDEX('CDER-ES'!$C:$C,MATCH($C78,'CDER-ES'!$A:$A,0)),
IF(CONCATENATE($A78,$B78)="ISINAPI",INDEX(ISINAPI!$C:$C,MATCH($C78,ISINAPI!$A:$A,0)),
IF(CONCATENATE($A78,$B78)="CSINAPI",INDEX(CSINAPI!$C:$C,MATCH($C78,CSINAPI!$A:$A,0)),
IF(CONCATENATE($A78,$B78)="CCESAN",INDEX(CCESAN!$C:$C,MATCH($C78,CCESAN!$A:$A,0)),
IF(CONCATENATE($A78,$B78)="CSCORIO",INDEX(CSCORIO!$A:$A,MATCH($C78,CSCORIO!#REF!,0)),
IF(CONCATENATE($A78,$B78)="MERC",INDEX(MERCADO!$D:$D,MATCH($C78,MERCADO!$A:$A,0)),
IF(CONCATENATE($A78,$B78)="CCOMP",INDEX(COMPOSICAO!$H:$H,MATCH($C78,COMPOSICAO!$A:$A,0)),""
)))))))),""))</f>
        <v>h</v>
      </c>
      <c r="F78" s="182">
        <f>0.177*2</f>
        <v>0.35399999999999998</v>
      </c>
      <c r="G78" s="144">
        <f>(IFERROR(
IF(CONCATENATE($A78,$B78)="IDER-ES",INDEX('IDER-ES'!$D:$D,MATCH($C78,'IDER-ES'!$A:$A,0)),
IF(CONCATENATE($A78,$B78)="CIOPES",INDEX('CDER-ES'!$D:$D,MATCH($C78,'CDER-ES'!$A:$A,0)),
IF(CONCATENATE($A78,$B78)="ISINAPI",INDEX(ISINAPI!$E:$E,MATCH($C78,ISINAPI!$A:$A,0)),
IF(CONCATENATE($A78,$B78)="CSINAPI",INDEX(CSINAPI!$D:$D,MATCH($C78,CSINAPI!$A:$A,0)),
IF(CONCATENATE($A78,$B78)="CCESAN",INDEX(CCESAN!$D:$D,MATCH($C78,CCESAN!$A:$A,0)),
IF(CONCATENATE($A78,$B78)="CSCORIO",INDEX(CSCORIO!$B:$B,MATCH($C78,CSCORIO!#REF!,0)),
IF(CONCATENATE($A78,$B78)="MERC",INDEX(MERCADO!$E:$E,MATCH($C78,MERCADO!$A:$A,0)),
IF(CONCATENATE($A78,$B78)="CCOMP",INDEX(COMPOSICAO!$H:$H,MATCH($C78,COMPOSICAO!$A:$A,0)),""
)))))))),""))</f>
        <v>18.11</v>
      </c>
      <c r="H78" s="144">
        <f t="shared" si="16"/>
        <v>6.41</v>
      </c>
    </row>
    <row r="79" spans="1:9" ht="25.5">
      <c r="A79" s="141" t="s">
        <v>21960</v>
      </c>
      <c r="B79" s="141" t="s">
        <v>1019</v>
      </c>
      <c r="C79" s="141">
        <v>88262</v>
      </c>
      <c r="D79" s="142" t="str">
        <f>PROPER(IFERROR(
IF(C79="","",
IF(CONCATENATE($A79,$B79)="IDER-ES",INDEX('IDER-ES'!$B:$B,MATCH($C79,'IDER-ES'!$A:$A,0)),
IF(CONCATENATE($A79,$B79)="CDER-ES",INDEX('CDER-ES'!$B:$B,MATCH($C79,'CDER-ES'!$A:$A,0)),
IF(CONCATENATE($A79,$B79)="ISINAPI",INDEX(ISINAPI!$B:$B,MATCH($C79,ISINAPI!$A:$A,0)),
IF(CONCATENATE($A79,$B79)="CSINAPI",INDEX(CSINAPI!$B:$B,MATCH($C79,CSINAPI!$A:$A,0)),
IF(CONCATENATE($A79,$B79)="CCESAN",INDEX(CCESAN!$B:$B,MATCH($C79,CCESAN!$A:$A,0)),
IF(CONCATENATE($A79,$B79)="CSCORIO",INDEX(CSCORIO!#REF!,MATCH($C79,CSCORIO!#REF!,0)),
IF(CONCATENATE($A79,$B79)="MERC",INDEX(MERCADO!$B:$B,MATCH($C79,MERCADO!$A:$A,0)),
IF(CONCATENATE($A79,$B79)="CCOMP",INDEX(COMPOSICAO!$B:$B,MATCH($C79,COMPOSICAO!$A:$A,0)),""
))))))))),"*Verificar código*"))</f>
        <v>Carpinteiro De Formas Com Encargos Complementares</v>
      </c>
      <c r="E79" s="143" t="str">
        <f>LOWER(IFERROR(
IF(CONCATENATE($A79,$B79)="IDER-ES",INDEX('IDER-ES'!$C:$C,MATCH($C79,'IDER-ES'!$A:$A,0)),
IF(CONCATENATE($A79,$B79)="CIOPES",INDEX('CDER-ES'!$C:$C,MATCH($C79,'CDER-ES'!$A:$A,0)),
IF(CONCATENATE($A79,$B79)="ISINAPI",INDEX(ISINAPI!$C:$C,MATCH($C79,ISINAPI!$A:$A,0)),
IF(CONCATENATE($A79,$B79)="CSINAPI",INDEX(CSINAPI!$C:$C,MATCH($C79,CSINAPI!$A:$A,0)),
IF(CONCATENATE($A79,$B79)="CCESAN",INDEX(CCESAN!$C:$C,MATCH($C79,CCESAN!$A:$A,0)),
IF(CONCATENATE($A79,$B79)="CSCORIO",INDEX(CSCORIO!$A:$A,MATCH($C79,CSCORIO!#REF!,0)),
IF(CONCATENATE($A79,$B79)="MERC",INDEX(MERCADO!$D:$D,MATCH($C79,MERCADO!$A:$A,0)),
IF(CONCATENATE($A79,$B79)="CCOMP",INDEX(COMPOSICAO!$H:$H,MATCH($C79,COMPOSICAO!$A:$A,0)),""
)))))))),""))</f>
        <v>h</v>
      </c>
      <c r="F79" s="182">
        <f>0.424*2</f>
        <v>0.84799999999999998</v>
      </c>
      <c r="G79" s="144">
        <f>(IFERROR(
IF(CONCATENATE($A79,$B79)="IDER-ES",INDEX('IDER-ES'!$D:$D,MATCH($C79,'IDER-ES'!$A:$A,0)),
IF(CONCATENATE($A79,$B79)="CIOPES",INDEX('CDER-ES'!$D:$D,MATCH($C79,'CDER-ES'!$A:$A,0)),
IF(CONCATENATE($A79,$B79)="ISINAPI",INDEX(ISINAPI!$E:$E,MATCH($C79,ISINAPI!$A:$A,0)),
IF(CONCATENATE($A79,$B79)="CSINAPI",INDEX(CSINAPI!$D:$D,MATCH($C79,CSINAPI!$A:$A,0)),
IF(CONCATENATE($A79,$B79)="CCESAN",INDEX(CCESAN!$D:$D,MATCH($C79,CCESAN!$A:$A,0)),
IF(CONCATENATE($A79,$B79)="CSCORIO",INDEX(CSCORIO!$B:$B,MATCH($C79,CSCORIO!#REF!,0)),
IF(CONCATENATE($A79,$B79)="MERC",INDEX(MERCADO!$E:$E,MATCH($C79,MERCADO!$A:$A,0)),
IF(CONCATENATE($A79,$B79)="CCOMP",INDEX(COMPOSICAO!$H:$H,MATCH($C79,COMPOSICAO!$A:$A,0)),""
)))))))),""))</f>
        <v>25.18</v>
      </c>
      <c r="H79" s="144">
        <f t="shared" si="16"/>
        <v>21.35</v>
      </c>
    </row>
    <row r="80" spans="1:9" ht="51">
      <c r="A80" s="141" t="s">
        <v>21960</v>
      </c>
      <c r="B80" s="141" t="s">
        <v>1019</v>
      </c>
      <c r="C80" s="141">
        <v>91692</v>
      </c>
      <c r="D80" s="142" t="str">
        <f>PROPER(IFERROR(
IF(C80="","",
IF(CONCATENATE($A80,$B80)="IDER-ES",INDEX('IDER-ES'!$B:$B,MATCH($C80,'IDER-ES'!$A:$A,0)),
IF(CONCATENATE($A80,$B80)="CDER-ES",INDEX('CDER-ES'!$B:$B,MATCH($C80,'CDER-ES'!$A:$A,0)),
IF(CONCATENATE($A80,$B80)="ISINAPI",INDEX(ISINAPI!$B:$B,MATCH($C80,ISINAPI!$A:$A,0)),
IF(CONCATENATE($A80,$B80)="CSINAPI",INDEX(CSINAPI!$B:$B,MATCH($C80,CSINAPI!$A:$A,0)),
IF(CONCATENATE($A80,$B80)="CCESAN",INDEX(CCESAN!$B:$B,MATCH($C80,CCESAN!$A:$A,0)),
IF(CONCATENATE($A80,$B80)="CSCORIO",INDEX(CSCORIO!#REF!,MATCH($C80,CSCORIO!#REF!,0)),
IF(CONCATENATE($A80,$B80)="MERC",INDEX(MERCADO!$B:$B,MATCH($C80,MERCADO!$A:$A,0)),
IF(CONCATENATE($A80,$B80)="CCOMP",INDEX(COMPOSICAO!$B:$B,MATCH($C80,COMPOSICAO!$A:$A,0)),""
))))))))),"*Verificar código*"))</f>
        <v>Serra Circular De Bancada Com Motor Elétrico Potência De 5Hp, Com Coifa Para Disco 10" - Chp Diurno. Af_08/2015</v>
      </c>
      <c r="E80" s="143" t="str">
        <f>LOWER(IFERROR(
IF(CONCATENATE($A80,$B80)="IDER-ES",INDEX('IDER-ES'!$C:$C,MATCH($C80,'IDER-ES'!$A:$A,0)),
IF(CONCATENATE($A80,$B80)="CIOPES",INDEX('CDER-ES'!$C:$C,MATCH($C80,'CDER-ES'!$A:$A,0)),
IF(CONCATENATE($A80,$B80)="ISINAPI",INDEX(ISINAPI!$C:$C,MATCH($C80,ISINAPI!$A:$A,0)),
IF(CONCATENATE($A80,$B80)="CSINAPI",INDEX(CSINAPI!$C:$C,MATCH($C80,CSINAPI!$A:$A,0)),
IF(CONCATENATE($A80,$B80)="CCESAN",INDEX(CCESAN!$C:$C,MATCH($C80,CCESAN!$A:$A,0)),
IF(CONCATENATE($A80,$B80)="CSCORIO",INDEX(CSCORIO!$A:$A,MATCH($C80,CSCORIO!#REF!,0)),
IF(CONCATENATE($A80,$B80)="MERC",INDEX(MERCADO!$D:$D,MATCH($C80,MERCADO!$A:$A,0)),
IF(CONCATENATE($A80,$B80)="CCOMP",INDEX(COMPOSICAO!$H:$H,MATCH($C80,COMPOSICAO!$A:$A,0)),""
)))))))),""))</f>
        <v>chp</v>
      </c>
      <c r="F80" s="182">
        <v>0.01</v>
      </c>
      <c r="G80" s="144">
        <f>(IFERROR(
IF(CONCATENATE($A80,$B80)="IDER-ES",INDEX('IDER-ES'!$D:$D,MATCH($C80,'IDER-ES'!$A:$A,0)),
IF(CONCATENATE($A80,$B80)="CIOPES",INDEX('CDER-ES'!$D:$D,MATCH($C80,'CDER-ES'!$A:$A,0)),
IF(CONCATENATE($A80,$B80)="ISINAPI",INDEX(ISINAPI!$E:$E,MATCH($C80,ISINAPI!$A:$A,0)),
IF(CONCATENATE($A80,$B80)="CSINAPI",INDEX(CSINAPI!$D:$D,MATCH($C80,CSINAPI!$A:$A,0)),
IF(CONCATENATE($A80,$B80)="CCESAN",INDEX(CCESAN!$D:$D,MATCH($C80,CCESAN!$A:$A,0)),
IF(CONCATENATE($A80,$B80)="CSCORIO",INDEX(CSCORIO!$B:$B,MATCH($C80,CSCORIO!#REF!,0)),
IF(CONCATENATE($A80,$B80)="MERC",INDEX(MERCADO!$E:$E,MATCH($C80,MERCADO!$A:$A,0)),
IF(CONCATENATE($A80,$B80)="CCOMP",INDEX(COMPOSICAO!$H:$H,MATCH($C80,COMPOSICAO!$A:$A,0)),""
)))))))),""))</f>
        <v>29.71</v>
      </c>
      <c r="H80" s="144">
        <f t="shared" si="16"/>
        <v>0.3</v>
      </c>
    </row>
    <row r="81" spans="1:9" ht="38.25">
      <c r="A81" s="141" t="s">
        <v>21960</v>
      </c>
      <c r="B81" s="141" t="s">
        <v>1019</v>
      </c>
      <c r="C81" s="141">
        <v>91693</v>
      </c>
      <c r="D81" s="142" t="str">
        <f>PROPER(IFERROR(
IF(C81="","",
IF(CONCATENATE($A81,$B81)="IDER-ES",INDEX('IDER-ES'!$B:$B,MATCH($C81,'IDER-ES'!$A:$A,0)),
IF(CONCATENATE($A81,$B81)="CDER-ES",INDEX('CDER-ES'!$B:$B,MATCH($C81,'CDER-ES'!$A:$A,0)),
IF(CONCATENATE($A81,$B81)="ISINAPI",INDEX(ISINAPI!$B:$B,MATCH($C81,ISINAPI!$A:$A,0)),
IF(CONCATENATE($A81,$B81)="CSINAPI",INDEX(CSINAPI!$B:$B,MATCH($C81,CSINAPI!$A:$A,0)),
IF(CONCATENATE($A81,$B81)="CCESAN",INDEX(CCESAN!$B:$B,MATCH($C81,CCESAN!$A:$A,0)),
IF(CONCATENATE($A81,$B81)="CSCORIO",INDEX(CSCORIO!#REF!,MATCH($C81,CSCORIO!#REF!,0)),
IF(CONCATENATE($A81,$B81)="MERC",INDEX(MERCADO!$B:$B,MATCH($C81,MERCADO!$A:$A,0)),
IF(CONCATENATE($A81,$B81)="CCOMP",INDEX(COMPOSICAO!$B:$B,MATCH($C81,COMPOSICAO!$A:$A,0)),""
))))))))),"*Verificar código*"))</f>
        <v>Serra Circular De Bancada Com Motor Elétrico Potência De 5Hp, Com Coifa Para Disco 10" - Chi Diurno. Af_08/2015</v>
      </c>
      <c r="E81" s="143" t="str">
        <f>LOWER(IFERROR(
IF(CONCATENATE($A81,$B81)="IDER-ES",INDEX('IDER-ES'!$C:$C,MATCH($C81,'IDER-ES'!$A:$A,0)),
IF(CONCATENATE($A81,$B81)="CIOPES",INDEX('CDER-ES'!$C:$C,MATCH($C81,'CDER-ES'!$A:$A,0)),
IF(CONCATENATE($A81,$B81)="ISINAPI",INDEX(ISINAPI!$C:$C,MATCH($C81,ISINAPI!$A:$A,0)),
IF(CONCATENATE($A81,$B81)="CSINAPI",INDEX(CSINAPI!$C:$C,MATCH($C81,CSINAPI!$A:$A,0)),
IF(CONCATENATE($A81,$B81)="CCESAN",INDEX(CCESAN!$C:$C,MATCH($C81,CCESAN!$A:$A,0)),
IF(CONCATENATE($A81,$B81)="CSCORIO",INDEX(CSCORIO!$A:$A,MATCH($C81,CSCORIO!#REF!,0)),
IF(CONCATENATE($A81,$B81)="MERC",INDEX(MERCADO!$D:$D,MATCH($C81,MERCADO!$A:$A,0)),
IF(CONCATENATE($A81,$B81)="CCOMP",INDEX(COMPOSICAO!$H:$H,MATCH($C81,COMPOSICAO!$A:$A,0)),""
)))))))),""))</f>
        <v>chi</v>
      </c>
      <c r="F81" s="182">
        <v>0.1</v>
      </c>
      <c r="G81" s="144">
        <f>(IFERROR(
IF(CONCATENATE($A81,$B81)="IDER-ES",INDEX('IDER-ES'!$D:$D,MATCH($C81,'IDER-ES'!$A:$A,0)),
IF(CONCATENATE($A81,$B81)="CIOPES",INDEX('CDER-ES'!$D:$D,MATCH($C81,'CDER-ES'!$A:$A,0)),
IF(CONCATENATE($A81,$B81)="ISINAPI",INDEX(ISINAPI!$E:$E,MATCH($C81,ISINAPI!$A:$A,0)),
IF(CONCATENATE($A81,$B81)="CSINAPI",INDEX(CSINAPI!$D:$D,MATCH($C81,CSINAPI!$A:$A,0)),
IF(CONCATENATE($A81,$B81)="CCESAN",INDEX(CCESAN!$D:$D,MATCH($C81,CCESAN!$A:$A,0)),
IF(CONCATENATE($A81,$B81)="CSCORIO",INDEX(CSCORIO!$B:$B,MATCH($C81,CSCORIO!#REF!,0)),
IF(CONCATENATE($A81,$B81)="MERC",INDEX(MERCADO!$E:$E,MATCH($C81,MERCADO!$A:$A,0)),
IF(CONCATENATE($A81,$B81)="CCOMP",INDEX(COMPOSICAO!$H:$H,MATCH($C81,COMPOSICAO!$A:$A,0)),""
)))))))),""))</f>
        <v>28.28</v>
      </c>
      <c r="H81" s="144">
        <f t="shared" si="16"/>
        <v>2.83</v>
      </c>
    </row>
    <row r="82" spans="1:9" ht="25.5">
      <c r="A82" s="141" t="s">
        <v>21960</v>
      </c>
      <c r="B82" s="141" t="s">
        <v>1019</v>
      </c>
      <c r="C82" s="141">
        <v>102193</v>
      </c>
      <c r="D82" s="142" t="str">
        <f>PROPER(IFERROR(
IF(C82="","",
IF(CONCATENATE($A82,$B82)="IDER-ES",INDEX('IDER-ES'!$B:$B,MATCH($C82,'IDER-ES'!$A:$A,0)),
IF(CONCATENATE($A82,$B82)="CDER-ES",INDEX('CDER-ES'!$B:$B,MATCH($C82,'CDER-ES'!$A:$A,0)),
IF(CONCATENATE($A82,$B82)="ISINAPI",INDEX(ISINAPI!$B:$B,MATCH($C82,ISINAPI!$A:$A,0)),
IF(CONCATENATE($A82,$B82)="CSINAPI",INDEX(CSINAPI!$B:$B,MATCH($C82,CSINAPI!$A:$A,0)),
IF(CONCATENATE($A82,$B82)="CCESAN",INDEX(CCESAN!$B:$B,MATCH($C82,CCESAN!$A:$A,0)),
IF(CONCATENATE($A82,$B82)="CSCORIO",INDEX(CSCORIO!#REF!,MATCH($C82,CSCORIO!#REF!,0)),
IF(CONCATENATE($A82,$B82)="MERC",INDEX(MERCADO!$B:$B,MATCH($C82,MERCADO!$A:$A,0)),
IF(CONCATENATE($A82,$B82)="CCOMP",INDEX(COMPOSICAO!$B:$B,MATCH($C82,COMPOSICAO!$A:$A,0)),""
))))))))),"*Verificar código*"))</f>
        <v>Lixamento De Madeira Para Aplicação De Fundo Ou Pintura. Af_01/2021</v>
      </c>
      <c r="E82" s="143" t="str">
        <f>LOWER(IFERROR(
IF(CONCATENATE($A82,$B82)="IDER-ES",INDEX('IDER-ES'!$C:$C,MATCH($C82,'IDER-ES'!$A:$A,0)),
IF(CONCATENATE($A82,$B82)="CIOPES",INDEX('CDER-ES'!$C:$C,MATCH($C82,'CDER-ES'!$A:$A,0)),
IF(CONCATENATE($A82,$B82)="ISINAPI",INDEX(ISINAPI!$C:$C,MATCH($C82,ISINAPI!$A:$A,0)),
IF(CONCATENATE($A82,$B82)="CSINAPI",INDEX(CSINAPI!$C:$C,MATCH($C82,CSINAPI!$A:$A,0)),
IF(CONCATENATE($A82,$B82)="CCESAN",INDEX(CCESAN!$C:$C,MATCH($C82,CCESAN!$A:$A,0)),
IF(CONCATENATE($A82,$B82)="CSCORIO",INDEX(CSCORIO!$A:$A,MATCH($C82,CSCORIO!#REF!,0)),
IF(CONCATENATE($A82,$B82)="MERC",INDEX(MERCADO!$D:$D,MATCH($C82,MERCADO!$A:$A,0)),
IF(CONCATENATE($A82,$B82)="CCOMP",INDEX(COMPOSICAO!$H:$H,MATCH($C82,COMPOSICAO!$A:$A,0)),""
)))))))),""))</f>
        <v>m²</v>
      </c>
      <c r="F82" s="182">
        <v>1</v>
      </c>
      <c r="G82" s="144">
        <f>(IFERROR(
IF(CONCATENATE($A82,$B82)="IDER-ES",INDEX('IDER-ES'!$D:$D,MATCH($C82,'IDER-ES'!$A:$A,0)),
IF(CONCATENATE($A82,$B82)="CIOPES",INDEX('CDER-ES'!$D:$D,MATCH($C82,'CDER-ES'!$A:$A,0)),
IF(CONCATENATE($A82,$B82)="ISINAPI",INDEX(ISINAPI!$E:$E,MATCH($C82,ISINAPI!$A:$A,0)),
IF(CONCATENATE($A82,$B82)="CSINAPI",INDEX(CSINAPI!$D:$D,MATCH($C82,CSINAPI!$A:$A,0)),
IF(CONCATENATE($A82,$B82)="CCESAN",INDEX(CCESAN!$D:$D,MATCH($C82,CCESAN!$A:$A,0)),
IF(CONCATENATE($A82,$B82)="CSCORIO",INDEX(CSCORIO!$B:$B,MATCH($C82,CSCORIO!#REF!,0)),
IF(CONCATENATE($A82,$B82)="MERC",INDEX(MERCADO!$E:$E,MATCH($C82,MERCADO!$A:$A,0)),
IF(CONCATENATE($A82,$B82)="CCOMP",INDEX(COMPOSICAO!$H:$H,MATCH($C82,COMPOSICAO!$A:$A,0)),""
)))))))),""))</f>
        <v>2.0499999999999998</v>
      </c>
      <c r="H82" s="144">
        <f t="shared" si="16"/>
        <v>2.0499999999999998</v>
      </c>
    </row>
    <row r="83" spans="1:9" ht="38.25">
      <c r="A83" s="141" t="s">
        <v>21960</v>
      </c>
      <c r="B83" s="141" t="s">
        <v>1019</v>
      </c>
      <c r="C83" s="141">
        <v>102215</v>
      </c>
      <c r="D83" s="142" t="str">
        <f>PROPER(IFERROR(
IF(C83="","",
IF(CONCATENATE($A83,$B83)="IDER-ES",INDEX('IDER-ES'!$B:$B,MATCH($C83,'IDER-ES'!$A:$A,0)),
IF(CONCATENATE($A83,$B83)="CDER-ES",INDEX('CDER-ES'!$B:$B,MATCH($C83,'CDER-ES'!$A:$A,0)),
IF(CONCATENATE($A83,$B83)="ISINAPI",INDEX(ISINAPI!$B:$B,MATCH($C83,ISINAPI!$A:$A,0)),
IF(CONCATENATE($A83,$B83)="CSINAPI",INDEX(CSINAPI!$B:$B,MATCH($C83,CSINAPI!$A:$A,0)),
IF(CONCATENATE($A83,$B83)="CCESAN",INDEX(CCESAN!$B:$B,MATCH($C83,CCESAN!$A:$A,0)),
IF(CONCATENATE($A83,$B83)="CSCORIO",INDEX(CSCORIO!#REF!,MATCH($C83,CSCORIO!#REF!,0)),
IF(CONCATENATE($A83,$B83)="MERC",INDEX(MERCADO!$B:$B,MATCH($C83,MERCADO!$A:$A,0)),
IF(CONCATENATE($A83,$B83)="CCOMP",INDEX(COMPOSICAO!$B:$B,MATCH($C83,COMPOSICAO!$A:$A,0)),""
))))))))),"*Verificar código*"))</f>
        <v>Pintura Verniz (Incolor) Poliuretânico (Resina Alquídica Modificada) Em Madeira, 2 Demãos. Af_01/2021</v>
      </c>
      <c r="E83" s="143" t="str">
        <f>LOWER(IFERROR(
IF(CONCATENATE($A83,$B83)="IDER-ES",INDEX('IDER-ES'!$C:$C,MATCH($C83,'IDER-ES'!$A:$A,0)),
IF(CONCATENATE($A83,$B83)="CIOPES",INDEX('CDER-ES'!$C:$C,MATCH($C83,'CDER-ES'!$A:$A,0)),
IF(CONCATENATE($A83,$B83)="ISINAPI",INDEX(ISINAPI!$C:$C,MATCH($C83,ISINAPI!$A:$A,0)),
IF(CONCATENATE($A83,$B83)="CSINAPI",INDEX(CSINAPI!$C:$C,MATCH($C83,CSINAPI!$A:$A,0)),
IF(CONCATENATE($A83,$B83)="CCESAN",INDEX(CCESAN!$C:$C,MATCH($C83,CCESAN!$A:$A,0)),
IF(CONCATENATE($A83,$B83)="CSCORIO",INDEX(CSCORIO!$A:$A,MATCH($C83,CSCORIO!#REF!,0)),
IF(CONCATENATE($A83,$B83)="MERC",INDEX(MERCADO!$D:$D,MATCH($C83,MERCADO!$A:$A,0)),
IF(CONCATENATE($A83,$B83)="CCOMP",INDEX(COMPOSICAO!$H:$H,MATCH($C83,COMPOSICAO!$A:$A,0)),""
)))))))),""))</f>
        <v>m²</v>
      </c>
      <c r="F83" s="182">
        <f>F82</f>
        <v>1</v>
      </c>
      <c r="G83" s="144">
        <f>(IFERROR(
IF(CONCATENATE($A83,$B83)="IDER-ES",INDEX('IDER-ES'!$D:$D,MATCH($C83,'IDER-ES'!$A:$A,0)),
IF(CONCATENATE($A83,$B83)="CIOPES",INDEX('CDER-ES'!$D:$D,MATCH($C83,'CDER-ES'!$A:$A,0)),
IF(CONCATENATE($A83,$B83)="ISINAPI",INDEX(ISINAPI!$E:$E,MATCH($C83,ISINAPI!$A:$A,0)),
IF(CONCATENATE($A83,$B83)="CSINAPI",INDEX(CSINAPI!$D:$D,MATCH($C83,CSINAPI!$A:$A,0)),
IF(CONCATENATE($A83,$B83)="CCESAN",INDEX(CCESAN!$D:$D,MATCH($C83,CCESAN!$A:$A,0)),
IF(CONCATENATE($A83,$B83)="CSCORIO",INDEX(CSCORIO!$B:$B,MATCH($C83,CSCORIO!#REF!,0)),
IF(CONCATENATE($A83,$B83)="MERC",INDEX(MERCADO!$E:$E,MATCH($C83,MERCADO!$A:$A,0)),
IF(CONCATENATE($A83,$B83)="CCOMP",INDEX(COMPOSICAO!$H:$H,MATCH($C83,COMPOSICAO!$A:$A,0)),""
)))))))),""))</f>
        <v>16.75</v>
      </c>
      <c r="H83" s="144">
        <f t="shared" si="16"/>
        <v>16.75</v>
      </c>
    </row>
    <row r="85" spans="1:9" s="135" customFormat="1" ht="19.5" customHeight="1">
      <c r="A85" s="186" t="s">
        <v>1020</v>
      </c>
      <c r="B85" s="405" t="s">
        <v>1022</v>
      </c>
      <c r="C85" s="406"/>
      <c r="D85" s="406"/>
      <c r="E85" s="406"/>
      <c r="F85" s="407"/>
      <c r="G85" s="133" t="s">
        <v>19692</v>
      </c>
      <c r="H85" s="134" t="s">
        <v>19678</v>
      </c>
      <c r="I85" s="263"/>
    </row>
    <row r="86" spans="1:9" ht="30" customHeight="1">
      <c r="A86" s="136">
        <f>COUNTIF($A$4:$A85,$A$4)</f>
        <v>7</v>
      </c>
      <c r="B86" s="408" t="s">
        <v>29095</v>
      </c>
      <c r="C86" s="409"/>
      <c r="D86" s="409"/>
      <c r="E86" s="409"/>
      <c r="F86" s="410"/>
      <c r="G86" s="137" t="s">
        <v>6</v>
      </c>
      <c r="H86" s="211">
        <f>SUM(H88:H91)</f>
        <v>33.86</v>
      </c>
    </row>
    <row r="87" spans="1:9" ht="30" customHeight="1">
      <c r="A87" s="139" t="s">
        <v>1026</v>
      </c>
      <c r="B87" s="139" t="s">
        <v>1027</v>
      </c>
      <c r="C87" s="139" t="s">
        <v>31</v>
      </c>
      <c r="D87" s="139" t="s">
        <v>1023</v>
      </c>
      <c r="E87" s="139" t="s">
        <v>32</v>
      </c>
      <c r="F87" s="183" t="s">
        <v>2343</v>
      </c>
      <c r="G87" s="140" t="s">
        <v>19676</v>
      </c>
      <c r="H87" s="140" t="s">
        <v>19677</v>
      </c>
    </row>
    <row r="88" spans="1:9" ht="51">
      <c r="A88" s="141" t="s">
        <v>26621</v>
      </c>
      <c r="B88" s="141" t="s">
        <v>1019</v>
      </c>
      <c r="C88" s="141">
        <v>7568</v>
      </c>
      <c r="D88" s="142" t="str">
        <f>PROPER(IFERROR(
IF(C88="","",
IF(CONCATENATE($A88,$B88)="IDER-ES",INDEX('IDER-ES'!$B:$B,MATCH($C88,'IDER-ES'!$A:$A,0)),
IF(CONCATENATE($A88,$B88)="CDER-ES",INDEX('CDER-ES'!$B:$B,MATCH($C88,'CDER-ES'!$A:$A,0)),
IF(CONCATENATE($A88,$B88)="ISINAPI",INDEX(ISINAPI!$B:$B,MATCH($C88,ISINAPI!$A:$A,0)),
IF(CONCATENATE($A88,$B88)="CSINAPI",INDEX(CSINAPI!$B:$B,MATCH($C88,CSINAPI!$A:$A,0)),
IF(CONCATENATE($A88,$B88)="CCESAN",INDEX(CCESAN!$B:$B,MATCH($C88,CCESAN!$A:$A,0)),
IF(CONCATENATE($A88,$B88)="CSCORIO",INDEX(CSCORIO!#REF!,MATCH($C88,CSCORIO!#REF!,0)),
IF(CONCATENATE($A88,$B88)="MERC",INDEX(MERCADO!$B:$B,MATCH($C88,MERCADO!$A:$A,0)),
IF(CONCATENATE($A88,$B88)="CCOMP",INDEX(COMPOSICAO!$B:$B,MATCH($C88,COMPOSICAO!$A:$A,0)),""
))))))))),"*Verificar código*"))</f>
        <v xml:space="preserve">Bucha De Nylon Sem Aba S10, Com Parafuso De 6,10 X 65 Mm Em Aco Zincado Com Rosca Soberba, Cabeca Chata E Fenda Phillips                                                                                                                                                                                                                                                                                                                                                                                  </v>
      </c>
      <c r="E88" s="143" t="str">
        <f>LOWER(IFERROR(
IF(CONCATENATE($A88,$B88)="IDER-ES",INDEX('IDER-ES'!$C:$C,MATCH($C88,'IDER-ES'!$A:$A,0)),
IF(CONCATENATE($A88,$B88)="CIOPES",INDEX('CDER-ES'!$C:$C,MATCH($C88,'CDER-ES'!$A:$A,0)),
IF(CONCATENATE($A88,$B88)="ISINAPI",INDEX(ISINAPI!$C:$C,MATCH($C88,ISINAPI!$A:$A,0)),
IF(CONCATENATE($A88,$B88)="CSINAPI",INDEX(CSINAPI!$C:$C,MATCH($C88,CSINAPI!$A:$A,0)),
IF(CONCATENATE($A88,$B88)="CCESAN",INDEX(CCESAN!$C:$C,MATCH($C88,CCESAN!$A:$A,0)),
IF(CONCATENATE($A88,$B88)="CSCORIO",INDEX(CSCORIO!$A:$A,MATCH($C88,CSCORIO!#REF!,0)),
IF(CONCATENATE($A88,$B88)="MERC",INDEX(MERCADO!$D:$D,MATCH($C88,MERCADO!$A:$A,0)),
IF(CONCATENATE($A88,$B88)="CCOMP",INDEX(COMPOSICAO!$H:$H,MATCH($C88,COMPOSICAO!$A:$A,0)),""
)))))))),""))</f>
        <v xml:space="preserve">un    </v>
      </c>
      <c r="F88" s="182">
        <v>1.1579999999999999</v>
      </c>
      <c r="G88" s="144">
        <f>(IFERROR(
IF(CONCATENATE($A88,$B88)="IDER-ES",INDEX('IDER-ES'!$D:$D,MATCH($C88,'IDER-ES'!$A:$A,0)),
IF(CONCATENATE($A88,$B88)="CIOPES",INDEX('CDER-ES'!$D:$D,MATCH($C88,'CDER-ES'!$A:$A,0)),
IF(CONCATENATE($A88,$B88)="ISINAPI",INDEX(ISINAPI!$E:$E,MATCH($C88,ISINAPI!$A:$A,0)),
IF(CONCATENATE($A88,$B88)="CSINAPI",INDEX(CSINAPI!$D:$D,MATCH($C88,CSINAPI!$A:$A,0)),
IF(CONCATENATE($A88,$B88)="CCESAN",INDEX(CCESAN!$D:$D,MATCH($C88,CCESAN!$A:$A,0)),
IF(CONCATENATE($A88,$B88)="CSCORIO",INDEX(CSCORIO!$B:$B,MATCH($C88,CSCORIO!#REF!,0)),
IF(CONCATENATE($A88,$B88)="MERC",INDEX(MERCADO!$E:$E,MATCH($C88,MERCADO!$A:$A,0)),
IF(CONCATENATE($A88,$B88)="CCOMP",INDEX(COMPOSICAO!$H:$H,MATCH($C88,COMPOSICAO!$A:$A,0)),""
)))))))),""))</f>
        <v>0.73</v>
      </c>
      <c r="H88" s="144">
        <f t="shared" ref="H88:H91" si="17">IF(B88="","",ROUND(G88*F88,2))</f>
        <v>0.85</v>
      </c>
    </row>
    <row r="89" spans="1:9">
      <c r="A89" s="141" t="s">
        <v>26621</v>
      </c>
      <c r="B89" s="141" t="s">
        <v>1019</v>
      </c>
      <c r="C89" s="141">
        <v>44396</v>
      </c>
      <c r="D89" s="142" t="str">
        <f>PROPER(IFERROR(
IF(C89="","",
IF(CONCATENATE($A89,$B89)="IDER-ES",INDEX('IDER-ES'!$B:$B,MATCH($C89,'IDER-ES'!$A:$A,0)),
IF(CONCATENATE($A89,$B89)="CDER-ES",INDEX('CDER-ES'!$B:$B,MATCH($C89,'CDER-ES'!$A:$A,0)),
IF(CONCATENATE($A89,$B89)="ISINAPI",INDEX(ISINAPI!$B:$B,MATCH($C89,ISINAPI!$A:$A,0)),
IF(CONCATENATE($A89,$B89)="CSINAPI",INDEX(CSINAPI!$B:$B,MATCH($C89,CSINAPI!$A:$A,0)),
IF(CONCATENATE($A89,$B89)="CCESAN",INDEX(CCESAN!$B:$B,MATCH($C89,CCESAN!$A:$A,0)),
IF(CONCATENATE($A89,$B89)="CSCORIO",INDEX(CSCORIO!#REF!,MATCH($C89,CSCORIO!#REF!,0)),
IF(CONCATENATE($A89,$B89)="MERC",INDEX(MERCADO!$B:$B,MATCH($C89,MERCADO!$A:$A,0)),
IF(CONCATENATE($A89,$B89)="CCOMP",INDEX(COMPOSICAO!$B:$B,MATCH($C89,COMPOSICAO!$A:$A,0)),""
))))))))),"*Verificar código*"))</f>
        <v xml:space="preserve">Cola Branca Base Pva                                                                                                                                                                                                                                                                                                                                                                                                                                                                                      </v>
      </c>
      <c r="E89" s="143" t="str">
        <f>LOWER(IFERROR(
IF(CONCATENATE($A89,$B89)="IDER-ES",INDEX('IDER-ES'!$C:$C,MATCH($C89,'IDER-ES'!$A:$A,0)),
IF(CONCATENATE($A89,$B89)="CIOPES",INDEX('CDER-ES'!$C:$C,MATCH($C89,'CDER-ES'!$A:$A,0)),
IF(CONCATENATE($A89,$B89)="ISINAPI",INDEX(ISINAPI!$C:$C,MATCH($C89,ISINAPI!$A:$A,0)),
IF(CONCATENATE($A89,$B89)="CSINAPI",INDEX(CSINAPI!$C:$C,MATCH($C89,CSINAPI!$A:$A,0)),
IF(CONCATENATE($A89,$B89)="CCESAN",INDEX(CCESAN!$C:$C,MATCH($C89,CCESAN!$A:$A,0)),
IF(CONCATENATE($A89,$B89)="CSCORIO",INDEX(CSCORIO!$A:$A,MATCH($C89,CSCORIO!#REF!,0)),
IF(CONCATENATE($A89,$B89)="MERC",INDEX(MERCADO!$D:$D,MATCH($C89,MERCADO!$A:$A,0)),
IF(CONCATENATE($A89,$B89)="CCOMP",INDEX(COMPOSICAO!$H:$H,MATCH($C89,COMPOSICAO!$A:$A,0)),""
)))))))),""))</f>
        <v xml:space="preserve">kg    </v>
      </c>
      <c r="F89" s="182">
        <v>0.04</v>
      </c>
      <c r="G89" s="144">
        <f>(IFERROR(
IF(CONCATENATE($A89,$B89)="IDER-ES",INDEX('IDER-ES'!$D:$D,MATCH($C89,'IDER-ES'!$A:$A,0)),
IF(CONCATENATE($A89,$B89)="CIOPES",INDEX('CDER-ES'!$D:$D,MATCH($C89,'CDER-ES'!$A:$A,0)),
IF(CONCATENATE($A89,$B89)="ISINAPI",INDEX(ISINAPI!$E:$E,MATCH($C89,ISINAPI!$A:$A,0)),
IF(CONCATENATE($A89,$B89)="CSINAPI",INDEX(CSINAPI!$D:$D,MATCH($C89,CSINAPI!$A:$A,0)),
IF(CONCATENATE($A89,$B89)="CCESAN",INDEX(CCESAN!$D:$D,MATCH($C89,CCESAN!$A:$A,0)),
IF(CONCATENATE($A89,$B89)="CSCORIO",INDEX(CSCORIO!$B:$B,MATCH($C89,CSCORIO!#REF!,0)),
IF(CONCATENATE($A89,$B89)="MERC",INDEX(MERCADO!$E:$E,MATCH($C89,MERCADO!$A:$A,0)),
IF(CONCATENATE($A89,$B89)="CCOMP",INDEX(COMPOSICAO!$H:$H,MATCH($C89,COMPOSICAO!$A:$A,0)),""
)))))))),""))</f>
        <v>39.72</v>
      </c>
      <c r="H89" s="144">
        <f t="shared" si="17"/>
        <v>1.59</v>
      </c>
    </row>
    <row r="90" spans="1:9" ht="25.5">
      <c r="A90" s="141" t="s">
        <v>21960</v>
      </c>
      <c r="B90" s="141" t="s">
        <v>1019</v>
      </c>
      <c r="C90" s="141">
        <v>88316</v>
      </c>
      <c r="D90" s="142" t="str">
        <f>PROPER(IFERROR(
IF(C90="","",
IF(CONCATENATE($A90,$B90)="IDER-ES",INDEX('IDER-ES'!$B:$B,MATCH($C90,'IDER-ES'!$A:$A,0)),
IF(CONCATENATE($A90,$B90)="CDER-ES",INDEX('CDER-ES'!$B:$B,MATCH($C90,'CDER-ES'!$A:$A,0)),
IF(CONCATENATE($A90,$B90)="ISINAPI",INDEX(ISINAPI!$B:$B,MATCH($C90,ISINAPI!$A:$A,0)),
IF(CONCATENATE($A90,$B90)="CSINAPI",INDEX(CSINAPI!$B:$B,MATCH($C90,CSINAPI!$A:$A,0)),
IF(CONCATENATE($A90,$B90)="CCESAN",INDEX(CCESAN!$B:$B,MATCH($C90,CCESAN!$A:$A,0)),
IF(CONCATENATE($A90,$B90)="CSCORIO",INDEX(CSCORIO!#REF!,MATCH($C90,CSCORIO!#REF!,0)),
IF(CONCATENATE($A90,$B90)="MERC",INDEX(MERCADO!$B:$B,MATCH($C90,MERCADO!$A:$A,0)),
IF(CONCATENATE($A90,$B90)="CCOMP",INDEX(COMPOSICAO!$B:$B,MATCH($C90,COMPOSICAO!$A:$A,0)),""
))))))))),"*Verificar código*"))</f>
        <v>Servente Com Encargos Complementares</v>
      </c>
      <c r="E90" s="143" t="str">
        <f>LOWER(IFERROR(
IF(CONCATENATE($A90,$B90)="IDER-ES",INDEX('IDER-ES'!$C:$C,MATCH($C90,'IDER-ES'!$A:$A,0)),
IF(CONCATENATE($A90,$B90)="CIOPES",INDEX('CDER-ES'!$C:$C,MATCH($C90,'CDER-ES'!$A:$A,0)),
IF(CONCATENATE($A90,$B90)="ISINAPI",INDEX(ISINAPI!$C:$C,MATCH($C90,ISINAPI!$A:$A,0)),
IF(CONCATENATE($A90,$B90)="CSINAPI",INDEX(CSINAPI!$C:$C,MATCH($C90,CSINAPI!$A:$A,0)),
IF(CONCATENATE($A90,$B90)="CCESAN",INDEX(CCESAN!$C:$C,MATCH($C90,CCESAN!$A:$A,0)),
IF(CONCATENATE($A90,$B90)="CSCORIO",INDEX(CSCORIO!$A:$A,MATCH($C90,CSCORIO!#REF!,0)),
IF(CONCATENATE($A90,$B90)="MERC",INDEX(MERCADO!$D:$D,MATCH($C90,MERCADO!$A:$A,0)),
IF(CONCATENATE($A90,$B90)="CCOMP",INDEX(COMPOSICAO!$H:$H,MATCH($C90,COMPOSICAO!$A:$A,0)),""
)))))))),""))</f>
        <v>h</v>
      </c>
      <c r="F90" s="182">
        <f>0.177*2</f>
        <v>0.35399999999999998</v>
      </c>
      <c r="G90" s="144">
        <f>(IFERROR(
IF(CONCATENATE($A90,$B90)="IDER-ES",INDEX('IDER-ES'!$D:$D,MATCH($C90,'IDER-ES'!$A:$A,0)),
IF(CONCATENATE($A90,$B90)="CIOPES",INDEX('CDER-ES'!$D:$D,MATCH($C90,'CDER-ES'!$A:$A,0)),
IF(CONCATENATE($A90,$B90)="ISINAPI",INDEX(ISINAPI!$E:$E,MATCH($C90,ISINAPI!$A:$A,0)),
IF(CONCATENATE($A90,$B90)="CSINAPI",INDEX(CSINAPI!$D:$D,MATCH($C90,CSINAPI!$A:$A,0)),
IF(CONCATENATE($A90,$B90)="CCESAN",INDEX(CCESAN!$D:$D,MATCH($C90,CCESAN!$A:$A,0)),
IF(CONCATENATE($A90,$B90)="CSCORIO",INDEX(CSCORIO!$B:$B,MATCH($C90,CSCORIO!#REF!,0)),
IF(CONCATENATE($A90,$B90)="MERC",INDEX(MERCADO!$E:$E,MATCH($C90,MERCADO!$A:$A,0)),
IF(CONCATENATE($A90,$B90)="CCOMP",INDEX(COMPOSICAO!$H:$H,MATCH($C90,COMPOSICAO!$A:$A,0)),""
)))))))),""))</f>
        <v>18.11</v>
      </c>
      <c r="H90" s="144">
        <f t="shared" si="17"/>
        <v>6.41</v>
      </c>
    </row>
    <row r="91" spans="1:9" ht="25.5">
      <c r="A91" s="141" t="s">
        <v>21960</v>
      </c>
      <c r="B91" s="141" t="s">
        <v>1019</v>
      </c>
      <c r="C91" s="141">
        <v>88320</v>
      </c>
      <c r="D91" s="142" t="str">
        <f>PROPER(IFERROR(
IF(C91="","",
IF(CONCATENATE($A91,$B91)="IDER-ES",INDEX('IDER-ES'!$B:$B,MATCH($C91,'IDER-ES'!$A:$A,0)),
IF(CONCATENATE($A91,$B91)="CDER-ES",INDEX('CDER-ES'!$B:$B,MATCH($C91,'CDER-ES'!$A:$A,0)),
IF(CONCATENATE($A91,$B91)="ISINAPI",INDEX(ISINAPI!$B:$B,MATCH($C91,ISINAPI!$A:$A,0)),
IF(CONCATENATE($A91,$B91)="CSINAPI",INDEX(CSINAPI!$B:$B,MATCH($C91,CSINAPI!$A:$A,0)),
IF(CONCATENATE($A91,$B91)="CCESAN",INDEX(CCESAN!$B:$B,MATCH($C91,CCESAN!$A:$A,0)),
IF(CONCATENATE($A91,$B91)="CSCORIO",INDEX(CSCORIO!#REF!,MATCH($C91,CSCORIO!#REF!,0)),
IF(CONCATENATE($A91,$B91)="MERC",INDEX(MERCADO!$B:$B,MATCH($C91,MERCADO!$A:$A,0)),
IF(CONCATENATE($A91,$B91)="CCOMP",INDEX(COMPOSICAO!$B:$B,MATCH($C91,COMPOSICAO!$A:$A,0)),""
))))))))),"*Verificar código*"))</f>
        <v>Taqueador Ou Taqueiro Com Encargos Complementares</v>
      </c>
      <c r="E91" s="143" t="str">
        <f>LOWER(IFERROR(
IF(CONCATENATE($A91,$B91)="IDER-ES",INDEX('IDER-ES'!$C:$C,MATCH($C91,'IDER-ES'!$A:$A,0)),
IF(CONCATENATE($A91,$B91)="CIOPES",INDEX('CDER-ES'!$C:$C,MATCH($C91,'CDER-ES'!$A:$A,0)),
IF(CONCATENATE($A91,$B91)="ISINAPI",INDEX(ISINAPI!$C:$C,MATCH($C91,ISINAPI!$A:$A,0)),
IF(CONCATENATE($A91,$B91)="CSINAPI",INDEX(CSINAPI!$C:$C,MATCH($C91,CSINAPI!$A:$A,0)),
IF(CONCATENATE($A91,$B91)="CCESAN",INDEX(CCESAN!$C:$C,MATCH($C91,CCESAN!$A:$A,0)),
IF(CONCATENATE($A91,$B91)="CSCORIO",INDEX(CSCORIO!$A:$A,MATCH($C91,CSCORIO!#REF!,0)),
IF(CONCATENATE($A91,$B91)="MERC",INDEX(MERCADO!$D:$D,MATCH($C91,MERCADO!$A:$A,0)),
IF(CONCATENATE($A91,$B91)="CCOMP",INDEX(COMPOSICAO!$H:$H,MATCH($C91,COMPOSICAO!$A:$A,0)),""
)))))))),""))</f>
        <v>h</v>
      </c>
      <c r="F91" s="182">
        <f>0.424*2</f>
        <v>0.84799999999999998</v>
      </c>
      <c r="G91" s="144">
        <f>(IFERROR(
IF(CONCATENATE($A91,$B91)="IDER-ES",INDEX('IDER-ES'!$D:$D,MATCH($C91,'IDER-ES'!$A:$A,0)),
IF(CONCATENATE($A91,$B91)="CIOPES",INDEX('CDER-ES'!$D:$D,MATCH($C91,'CDER-ES'!$A:$A,0)),
IF(CONCATENATE($A91,$B91)="ISINAPI",INDEX(ISINAPI!$E:$E,MATCH($C91,ISINAPI!$A:$A,0)),
IF(CONCATENATE($A91,$B91)="CSINAPI",INDEX(CSINAPI!$D:$D,MATCH($C91,CSINAPI!$A:$A,0)),
IF(CONCATENATE($A91,$B91)="CCESAN",INDEX(CCESAN!$D:$D,MATCH($C91,CCESAN!$A:$A,0)),
IF(CONCATENATE($A91,$B91)="CSCORIO",INDEX(CSCORIO!$B:$B,MATCH($C91,CSCORIO!#REF!,0)),
IF(CONCATENATE($A91,$B91)="MERC",INDEX(MERCADO!$E:$E,MATCH($C91,MERCADO!$A:$A,0)),
IF(CONCATENATE($A91,$B91)="CCOMP",INDEX(COMPOSICAO!$H:$H,MATCH($C91,COMPOSICAO!$A:$A,0)),""
)))))))),""))</f>
        <v>29.49</v>
      </c>
      <c r="H91" s="144">
        <f t="shared" si="17"/>
        <v>25.01</v>
      </c>
    </row>
    <row r="93" spans="1:9" s="135" customFormat="1" ht="19.5" customHeight="1">
      <c r="A93" s="186" t="s">
        <v>1020</v>
      </c>
      <c r="B93" s="405" t="s">
        <v>1022</v>
      </c>
      <c r="C93" s="406"/>
      <c r="D93" s="406"/>
      <c r="E93" s="406"/>
      <c r="F93" s="407"/>
      <c r="G93" s="133" t="s">
        <v>19692</v>
      </c>
      <c r="H93" s="134" t="s">
        <v>19678</v>
      </c>
      <c r="I93" s="263"/>
    </row>
    <row r="94" spans="1:9" ht="45" customHeight="1">
      <c r="A94" s="136">
        <f>COUNTIF($A$4:$A93,$A$4)</f>
        <v>8</v>
      </c>
      <c r="B94" s="408" t="s">
        <v>28608</v>
      </c>
      <c r="C94" s="409"/>
      <c r="D94" s="409"/>
      <c r="E94" s="409"/>
      <c r="F94" s="410"/>
      <c r="G94" s="137" t="s">
        <v>26764</v>
      </c>
      <c r="H94" s="211">
        <f>SUM(H96:H103)</f>
        <v>226.94000000000003</v>
      </c>
    </row>
    <row r="95" spans="1:9" ht="30" customHeight="1">
      <c r="A95" s="139" t="s">
        <v>1026</v>
      </c>
      <c r="B95" s="139" t="s">
        <v>1027</v>
      </c>
      <c r="C95" s="139" t="s">
        <v>31</v>
      </c>
      <c r="D95" s="139" t="s">
        <v>1023</v>
      </c>
      <c r="E95" s="139" t="s">
        <v>32</v>
      </c>
      <c r="F95" s="183" t="s">
        <v>2343</v>
      </c>
      <c r="G95" s="140" t="s">
        <v>19676</v>
      </c>
      <c r="H95" s="140" t="s">
        <v>19677</v>
      </c>
    </row>
    <row r="96" spans="1:9" ht="51">
      <c r="A96" s="141" t="s">
        <v>26621</v>
      </c>
      <c r="B96" s="141" t="s">
        <v>1019</v>
      </c>
      <c r="C96" s="141">
        <v>3286</v>
      </c>
      <c r="D96" s="142" t="str">
        <f>PROPER(IFERROR(
IF(C96="","",
IF(CONCATENATE($A96,$B96)="IDER-ES",INDEX('IDER-ES'!$B:$B,MATCH($C96,'IDER-ES'!$A:$A,0)),
IF(CONCATENATE($A96,$B96)="CDER-ES",INDEX('CDER-ES'!$B:$B,MATCH($C96,'CDER-ES'!$A:$A,0)),
IF(CONCATENATE($A96,$B96)="ISINAPI",INDEX(ISINAPI!$B:$B,MATCH($C96,ISINAPI!$A:$A,0)),
IF(CONCATENATE($A96,$B96)="CSINAPI",INDEX(CSINAPI!$B:$B,MATCH($C96,CSINAPI!$A:$A,0)),
IF(CONCATENATE($A96,$B96)="CCESAN",INDEX(CCESAN!$B:$B,MATCH($C96,CCESAN!$A:$A,0)),
IF(CONCATENATE($A96,$B96)="CSCORIO",INDEX(CSCORIO!#REF!,MATCH($C96,CSCORIO!#REF!,0)),
IF(CONCATENATE($A96,$B96)="MERC",INDEX(MERCADO!$B:$B,MATCH($C96,MERCADO!$A:$A,0)),
IF(CONCATENATE($A96,$B96)="CCOMP",INDEX(COMPOSICAO!$B:$B,MATCH($C96,COMPOSICAO!$A:$A,0)),""
))))))))),"*Verificar código*"))</f>
        <v xml:space="preserve">Forro De Madeira Cedrinho Ou Equivalente Da Regiao, Encaixe Macho/Femea Com Friso, *10 X 1* Cm (Sem Colocacao)                                                                                                                                                                                                                                                                                                                                                                                            </v>
      </c>
      <c r="E96" s="143" t="str">
        <f>LOWER(IFERROR(
IF(CONCATENATE($A96,$B96)="IDER-ES",INDEX('IDER-ES'!$C:$C,MATCH($C96,'IDER-ES'!$A:$A,0)),
IF(CONCATENATE($A96,$B96)="CIOPES",INDEX('CDER-ES'!$C:$C,MATCH($C96,'CDER-ES'!$A:$A,0)),
IF(CONCATENATE($A96,$B96)="ISINAPI",INDEX(ISINAPI!$C:$C,MATCH($C96,ISINAPI!$A:$A,0)),
IF(CONCATENATE($A96,$B96)="CSINAPI",INDEX(CSINAPI!$C:$C,MATCH($C96,CSINAPI!$A:$A,0)),
IF(CONCATENATE($A96,$B96)="CCESAN",INDEX(CCESAN!$C:$C,MATCH($C96,CCESAN!$A:$A,0)),
IF(CONCATENATE($A96,$B96)="CSCORIO",INDEX(CSCORIO!$A:$A,MATCH($C96,CSCORIO!#REF!,0)),
IF(CONCATENATE($A96,$B96)="MERC",INDEX(MERCADO!$D:$D,MATCH($C96,MERCADO!$A:$A,0)),
IF(CONCATENATE($A96,$B96)="CCOMP",INDEX(COMPOSICAO!$H:$H,MATCH($C96,COMPOSICAO!$A:$A,0)),""
)))))))),""))</f>
        <v xml:space="preserve">m²    </v>
      </c>
      <c r="F96" s="182">
        <v>1.085</v>
      </c>
      <c r="G96" s="144">
        <f>(IFERROR(
IF(CONCATENATE($A96,$B96)="IDER-ES",INDEX('IDER-ES'!$D:$D,MATCH($C96,'IDER-ES'!$A:$A,0)),
IF(CONCATENATE($A96,$B96)="CIOPES",INDEX('CDER-ES'!$D:$D,MATCH($C96,'CDER-ES'!$A:$A,0)),
IF(CONCATENATE($A96,$B96)="ISINAPI",INDEX(ISINAPI!$E:$E,MATCH($C96,ISINAPI!$A:$A,0)),
IF(CONCATENATE($A96,$B96)="CSINAPI",INDEX(CSINAPI!$D:$D,MATCH($C96,CSINAPI!$A:$A,0)),
IF(CONCATENATE($A96,$B96)="CCESAN",INDEX(CCESAN!$D:$D,MATCH($C96,CCESAN!$A:$A,0)),
IF(CONCATENATE($A96,$B96)="CSCORIO",INDEX(CSCORIO!$B:$B,MATCH($C96,CSCORIO!#REF!,0)),
IF(CONCATENATE($A96,$B96)="MERC",INDEX(MERCADO!$E:$E,MATCH($C96,MERCADO!$A:$A,0)),
IF(CONCATENATE($A96,$B96)="CCOMP",INDEX(COMPOSICAO!$H:$H,MATCH($C96,COMPOSICAO!$A:$A,0)),""
)))))))),""))</f>
        <v>79.41</v>
      </c>
      <c r="H96" s="144">
        <f t="shared" ref="H96:H103" si="18">IF(B96="","",ROUND(G96*F96,2))</f>
        <v>86.16</v>
      </c>
    </row>
    <row r="97" spans="1:9" ht="38.25">
      <c r="A97" s="141" t="s">
        <v>26621</v>
      </c>
      <c r="B97" s="141" t="s">
        <v>1019</v>
      </c>
      <c r="C97" s="141">
        <v>4415</v>
      </c>
      <c r="D97" s="142" t="str">
        <f>PROPER(IFERROR(
IF(C97="","",
IF(CONCATENATE($A97,$B97)="IDER-ES",INDEX('IDER-ES'!$B:$B,MATCH($C97,'IDER-ES'!$A:$A,0)),
IF(CONCATENATE($A97,$B97)="CDER-ES",INDEX('CDER-ES'!$B:$B,MATCH($C97,'CDER-ES'!$A:$A,0)),
IF(CONCATENATE($A97,$B97)="ISINAPI",INDEX(ISINAPI!$B:$B,MATCH($C97,ISINAPI!$A:$A,0)),
IF(CONCATENATE($A97,$B97)="CSINAPI",INDEX(CSINAPI!$B:$B,MATCH($C97,CSINAPI!$A:$A,0)),
IF(CONCATENATE($A97,$B97)="CCESAN",INDEX(CCESAN!$B:$B,MATCH($C97,CCESAN!$A:$A,0)),
IF(CONCATENATE($A97,$B97)="CSCORIO",INDEX(CSCORIO!#REF!,MATCH($C97,CSCORIO!#REF!,0)),
IF(CONCATENATE($A97,$B97)="MERC",INDEX(MERCADO!$B:$B,MATCH($C97,MERCADO!$A:$A,0)),
IF(CONCATENATE($A97,$B97)="CCOMP",INDEX(COMPOSICAO!$B:$B,MATCH($C97,COMPOSICAO!$A:$A,0)),""
))))))))),"*Verificar código*"))</f>
        <v xml:space="preserve">Sarrafo Nao Aparelhado 2,5 X 5 Cm, Em Macaranduba, Angelim Ou Equivalente Da Regiao -  Bruta                                                                                                                                                                                                                                                                                                                                                                                                              </v>
      </c>
      <c r="E97" s="143" t="str">
        <f>LOWER(IFERROR(
IF(CONCATENATE($A97,$B97)="IDER-ES",INDEX('IDER-ES'!$C:$C,MATCH($C97,'IDER-ES'!$A:$A,0)),
IF(CONCATENATE($A97,$B97)="CIOPES",INDEX('CDER-ES'!$C:$C,MATCH($C97,'CDER-ES'!$A:$A,0)),
IF(CONCATENATE($A97,$B97)="ISINAPI",INDEX(ISINAPI!$C:$C,MATCH($C97,ISINAPI!$A:$A,0)),
IF(CONCATENATE($A97,$B97)="CSINAPI",INDEX(CSINAPI!$C:$C,MATCH($C97,CSINAPI!$A:$A,0)),
IF(CONCATENATE($A97,$B97)="CCESAN",INDEX(CCESAN!$C:$C,MATCH($C97,CCESAN!$A:$A,0)),
IF(CONCATENATE($A97,$B97)="CSCORIO",INDEX(CSCORIO!$A:$A,MATCH($C97,CSCORIO!#REF!,0)),
IF(CONCATENATE($A97,$B97)="MERC",INDEX(MERCADO!$D:$D,MATCH($C97,MERCADO!$A:$A,0)),
IF(CONCATENATE($A97,$B97)="CCOMP",INDEX(COMPOSICAO!$H:$H,MATCH($C97,COMPOSICAO!$A:$A,0)),""
)))))))),""))</f>
        <v xml:space="preserve">m     </v>
      </c>
      <c r="F97" s="182">
        <v>3.3</v>
      </c>
      <c r="G97" s="144">
        <f>(IFERROR(
IF(CONCATENATE($A97,$B97)="IDER-ES",INDEX('IDER-ES'!$D:$D,MATCH($C97,'IDER-ES'!$A:$A,0)),
IF(CONCATENATE($A97,$B97)="CIOPES",INDEX('CDER-ES'!$D:$D,MATCH($C97,'CDER-ES'!$A:$A,0)),
IF(CONCATENATE($A97,$B97)="ISINAPI",INDEX(ISINAPI!$E:$E,MATCH($C97,ISINAPI!$A:$A,0)),
IF(CONCATENATE($A97,$B97)="CSINAPI",INDEX(CSINAPI!$D:$D,MATCH($C97,CSINAPI!$A:$A,0)),
IF(CONCATENATE($A97,$B97)="CCESAN",INDEX(CCESAN!$D:$D,MATCH($C97,CCESAN!$A:$A,0)),
IF(CONCATENATE($A97,$B97)="CSCORIO",INDEX(CSCORIO!$B:$B,MATCH($C97,CSCORIO!#REF!,0)),
IF(CONCATENATE($A97,$B97)="MERC",INDEX(MERCADO!$E:$E,MATCH($C97,MERCADO!$A:$A,0)),
IF(CONCATENATE($A97,$B97)="CCOMP",INDEX(COMPOSICAO!$H:$H,MATCH($C97,COMPOSICAO!$A:$A,0)),""
)))))))),""))</f>
        <v>5.14</v>
      </c>
      <c r="H97" s="144">
        <f t="shared" si="18"/>
        <v>16.96</v>
      </c>
    </row>
    <row r="98" spans="1:9" ht="25.5">
      <c r="A98" s="141" t="s">
        <v>26621</v>
      </c>
      <c r="B98" s="141" t="s">
        <v>1019</v>
      </c>
      <c r="C98" s="141">
        <v>5066</v>
      </c>
      <c r="D98" s="142" t="str">
        <f>PROPER(IFERROR(
IF(C98="","",
IF(CONCATENATE($A98,$B98)="IDER-ES",INDEX('IDER-ES'!$B:$B,MATCH($C98,'IDER-ES'!$A:$A,0)),
IF(CONCATENATE($A98,$B98)="CDER-ES",INDEX('CDER-ES'!$B:$B,MATCH($C98,'CDER-ES'!$A:$A,0)),
IF(CONCATENATE($A98,$B98)="ISINAPI",INDEX(ISINAPI!$B:$B,MATCH($C98,ISINAPI!$A:$A,0)),
IF(CONCATENATE($A98,$B98)="CSINAPI",INDEX(CSINAPI!$B:$B,MATCH($C98,CSINAPI!$A:$A,0)),
IF(CONCATENATE($A98,$B98)="CCESAN",INDEX(CCESAN!$B:$B,MATCH($C98,CCESAN!$A:$A,0)),
IF(CONCATENATE($A98,$B98)="CSCORIO",INDEX(CSCORIO!#REF!,MATCH($C98,CSCORIO!#REF!,0)),
IF(CONCATENATE($A98,$B98)="MERC",INDEX(MERCADO!$B:$B,MATCH($C98,MERCADO!$A:$A,0)),
IF(CONCATENATE($A98,$B98)="CCOMP",INDEX(COMPOSICAO!$B:$B,MATCH($C98,COMPOSICAO!$A:$A,0)),""
))))))))),"*Verificar código*"))</f>
        <v xml:space="preserve">Prego De Aco Polido Com Cabeca 12 X 12                                                                                                                                                                                                                                                                                                                                                                                                                                                                    </v>
      </c>
      <c r="E98" s="143" t="str">
        <f>LOWER(IFERROR(
IF(CONCATENATE($A98,$B98)="IDER-ES",INDEX('IDER-ES'!$C:$C,MATCH($C98,'IDER-ES'!$A:$A,0)),
IF(CONCATENATE($A98,$B98)="CIOPES",INDEX('CDER-ES'!$C:$C,MATCH($C98,'CDER-ES'!$A:$A,0)),
IF(CONCATENATE($A98,$B98)="ISINAPI",INDEX(ISINAPI!$C:$C,MATCH($C98,ISINAPI!$A:$A,0)),
IF(CONCATENATE($A98,$B98)="CSINAPI",INDEX(CSINAPI!$C:$C,MATCH($C98,CSINAPI!$A:$A,0)),
IF(CONCATENATE($A98,$B98)="CCESAN",INDEX(CCESAN!$C:$C,MATCH($C98,CCESAN!$A:$A,0)),
IF(CONCATENATE($A98,$B98)="CSCORIO",INDEX(CSCORIO!$A:$A,MATCH($C98,CSCORIO!#REF!,0)),
IF(CONCATENATE($A98,$B98)="MERC",INDEX(MERCADO!$D:$D,MATCH($C98,MERCADO!$A:$A,0)),
IF(CONCATENATE($A98,$B98)="CCOMP",INDEX(COMPOSICAO!$H:$H,MATCH($C98,COMPOSICAO!$A:$A,0)),""
)))))))),""))</f>
        <v xml:space="preserve">kg    </v>
      </c>
      <c r="F98" s="182">
        <v>2.5000000000000001E-2</v>
      </c>
      <c r="G98" s="144">
        <f>(IFERROR(
IF(CONCATENATE($A98,$B98)="IDER-ES",INDEX('IDER-ES'!$D:$D,MATCH($C98,'IDER-ES'!$A:$A,0)),
IF(CONCATENATE($A98,$B98)="CIOPES",INDEX('CDER-ES'!$D:$D,MATCH($C98,'CDER-ES'!$A:$A,0)),
IF(CONCATENATE($A98,$B98)="ISINAPI",INDEX(ISINAPI!$E:$E,MATCH($C98,ISINAPI!$A:$A,0)),
IF(CONCATENATE($A98,$B98)="CSINAPI",INDEX(CSINAPI!$D:$D,MATCH($C98,CSINAPI!$A:$A,0)),
IF(CONCATENATE($A98,$B98)="CCESAN",INDEX(CCESAN!$D:$D,MATCH($C98,CCESAN!$A:$A,0)),
IF(CONCATENATE($A98,$B98)="CSCORIO",INDEX(CSCORIO!$B:$B,MATCH($C98,CSCORIO!#REF!,0)),
IF(CONCATENATE($A98,$B98)="MERC",INDEX(MERCADO!$E:$E,MATCH($C98,MERCADO!$A:$A,0)),
IF(CONCATENATE($A98,$B98)="CCOMP",INDEX(COMPOSICAO!$H:$H,MATCH($C98,COMPOSICAO!$A:$A,0)),""
)))))))),""))</f>
        <v>36.380000000000003</v>
      </c>
      <c r="H98" s="144">
        <f t="shared" ref="H98:H99" si="19">IF(B98="","",ROUND(G98*F98,2))</f>
        <v>0.91</v>
      </c>
    </row>
    <row r="99" spans="1:9" ht="38.25">
      <c r="A99" s="141" t="s">
        <v>26621</v>
      </c>
      <c r="B99" s="141" t="s">
        <v>1019</v>
      </c>
      <c r="C99" s="141">
        <v>20212</v>
      </c>
      <c r="D99" s="142" t="str">
        <f>PROPER(IFERROR(
IF(C99="","",
IF(CONCATENATE($A99,$B99)="IDER-ES",INDEX('IDER-ES'!$B:$B,MATCH($C99,'IDER-ES'!$A:$A,0)),
IF(CONCATENATE($A99,$B99)="CDER-ES",INDEX('CDER-ES'!$B:$B,MATCH($C99,'CDER-ES'!$A:$A,0)),
IF(CONCATENATE($A99,$B99)="ISINAPI",INDEX(ISINAPI!$B:$B,MATCH($C99,ISINAPI!$A:$A,0)),
IF(CONCATENATE($A99,$B99)="CSINAPI",INDEX(CSINAPI!$B:$B,MATCH($C99,CSINAPI!$A:$A,0)),
IF(CONCATENATE($A99,$B99)="CCESAN",INDEX(CCESAN!$B:$B,MATCH($C99,CCESAN!$A:$A,0)),
IF(CONCATENATE($A99,$B99)="CSCORIO",INDEX(CSCORIO!#REF!,MATCH($C99,CSCORIO!#REF!,0)),
IF(CONCATENATE($A99,$B99)="MERC",INDEX(MERCADO!$B:$B,MATCH($C99,MERCADO!$A:$A,0)),
IF(CONCATENATE($A99,$B99)="CCOMP",INDEX(COMPOSICAO!$B:$B,MATCH($C99,COMPOSICAO!$A:$A,0)),""
))))))))),"*Verificar código*"))</f>
        <v xml:space="preserve">Caibro Aparelhado *6 X 8* Cm, Em Macaranduba, Angelim Ou Equivalente Da Regiao                                                                                                                                                                                                                                                                                                                                                                                                                            </v>
      </c>
      <c r="E99" s="143" t="str">
        <f>LOWER(IFERROR(
IF(CONCATENATE($A99,$B99)="IDER-ES",INDEX('IDER-ES'!$C:$C,MATCH($C99,'IDER-ES'!$A:$A,0)),
IF(CONCATENATE($A99,$B99)="CIOPES",INDEX('CDER-ES'!$C:$C,MATCH($C99,'CDER-ES'!$A:$A,0)),
IF(CONCATENATE($A99,$B99)="ISINAPI",INDEX(ISINAPI!$C:$C,MATCH($C99,ISINAPI!$A:$A,0)),
IF(CONCATENATE($A99,$B99)="CSINAPI",INDEX(CSINAPI!$C:$C,MATCH($C99,CSINAPI!$A:$A,0)),
IF(CONCATENATE($A99,$B99)="CCESAN",INDEX(CCESAN!$C:$C,MATCH($C99,CCESAN!$A:$A,0)),
IF(CONCATENATE($A99,$B99)="CSCORIO",INDEX(CSCORIO!$A:$A,MATCH($C99,CSCORIO!#REF!,0)),
IF(CONCATENATE($A99,$B99)="MERC",INDEX(MERCADO!$D:$D,MATCH($C99,MERCADO!$A:$A,0)),
IF(CONCATENATE($A99,$B99)="CCOMP",INDEX(COMPOSICAO!$H:$H,MATCH($C99,COMPOSICAO!$A:$A,0)),""
)))))))),""))</f>
        <v xml:space="preserve">m     </v>
      </c>
      <c r="F99" s="182">
        <v>1.667</v>
      </c>
      <c r="G99" s="144">
        <f>(IFERROR(
IF(CONCATENATE($A99,$B99)="IDER-ES",INDEX('IDER-ES'!$D:$D,MATCH($C99,'IDER-ES'!$A:$A,0)),
IF(CONCATENATE($A99,$B99)="CIOPES",INDEX('CDER-ES'!$D:$D,MATCH($C99,'CDER-ES'!$A:$A,0)),
IF(CONCATENATE($A99,$B99)="ISINAPI",INDEX(ISINAPI!$E:$E,MATCH($C99,ISINAPI!$A:$A,0)),
IF(CONCATENATE($A99,$B99)="CSINAPI",INDEX(CSINAPI!$D:$D,MATCH($C99,CSINAPI!$A:$A,0)),
IF(CONCATENATE($A99,$B99)="CCESAN",INDEX(CCESAN!$D:$D,MATCH($C99,CCESAN!$A:$A,0)),
IF(CONCATENATE($A99,$B99)="CSCORIO",INDEX(CSCORIO!$B:$B,MATCH($C99,CSCORIO!#REF!,0)),
IF(CONCATENATE($A99,$B99)="MERC",INDEX(MERCADO!$E:$E,MATCH($C99,MERCADO!$A:$A,0)),
IF(CONCATENATE($A99,$B99)="CCOMP",INDEX(COMPOSICAO!$H:$H,MATCH($C99,COMPOSICAO!$A:$A,0)),""
)))))))),""))</f>
        <v>23.24</v>
      </c>
      <c r="H99" s="144">
        <f t="shared" si="19"/>
        <v>38.74</v>
      </c>
    </row>
    <row r="100" spans="1:9" ht="25.5">
      <c r="A100" s="141" t="s">
        <v>21960</v>
      </c>
      <c r="B100" s="141" t="s">
        <v>1019</v>
      </c>
      <c r="C100" s="141">
        <v>88239</v>
      </c>
      <c r="D100" s="142" t="str">
        <f>PROPER(IFERROR(
IF(C100="","",
IF(CONCATENATE($A100,$B100)="IDER-ES",INDEX('IDER-ES'!$B:$B,MATCH($C100,'IDER-ES'!$A:$A,0)),
IF(CONCATENATE($A100,$B100)="CDER-ES",INDEX('CDER-ES'!$B:$B,MATCH($C100,'CDER-ES'!$A:$A,0)),
IF(CONCATENATE($A100,$B100)="ISINAPI",INDEX(ISINAPI!$B:$B,MATCH($C100,ISINAPI!$A:$A,0)),
IF(CONCATENATE($A100,$B100)="CSINAPI",INDEX(CSINAPI!$B:$B,MATCH($C100,CSINAPI!$A:$A,0)),
IF(CONCATENATE($A100,$B100)="CCESAN",INDEX(CCESAN!$B:$B,MATCH($C100,CCESAN!$A:$A,0)),
IF(CONCATENATE($A100,$B100)="CSCORIO",INDEX(CSCORIO!#REF!,MATCH($C100,CSCORIO!#REF!,0)),
IF(CONCATENATE($A100,$B100)="MERC",INDEX(MERCADO!$B:$B,MATCH($C100,MERCADO!$A:$A,0)),
IF(CONCATENATE($A100,$B100)="CCOMP",INDEX(COMPOSICAO!$B:$B,MATCH($C100,COMPOSICAO!$A:$A,0)),""
))))))))),"*Verificar código*"))</f>
        <v>Ajudante De Carpinteiro Com Encargos Complementares</v>
      </c>
      <c r="E100" s="143" t="str">
        <f>LOWER(IFERROR(
IF(CONCATENATE($A100,$B100)="IDER-ES",INDEX('IDER-ES'!$C:$C,MATCH($C100,'IDER-ES'!$A:$A,0)),
IF(CONCATENATE($A100,$B100)="CIOPES",INDEX('CDER-ES'!$C:$C,MATCH($C100,'CDER-ES'!$A:$A,0)),
IF(CONCATENATE($A100,$B100)="ISINAPI",INDEX(ISINAPI!$C:$C,MATCH($C100,ISINAPI!$A:$A,0)),
IF(CONCATENATE($A100,$B100)="CSINAPI",INDEX(CSINAPI!$C:$C,MATCH($C100,CSINAPI!$A:$A,0)),
IF(CONCATENATE($A100,$B100)="CCESAN",INDEX(CCESAN!$C:$C,MATCH($C100,CCESAN!$A:$A,0)),
IF(CONCATENATE($A100,$B100)="CSCORIO",INDEX(CSCORIO!$A:$A,MATCH($C100,CSCORIO!#REF!,0)),
IF(CONCATENATE($A100,$B100)="MERC",INDEX(MERCADO!$D:$D,MATCH($C100,MERCADO!$A:$A,0)),
IF(CONCATENATE($A100,$B100)="CCOMP",INDEX(COMPOSICAO!$H:$H,MATCH($C100,COMPOSICAO!$A:$A,0)),""
)))))))),""))</f>
        <v>h</v>
      </c>
      <c r="F100" s="182">
        <v>0.67600000000000005</v>
      </c>
      <c r="G100" s="144">
        <f>(IFERROR(
IF(CONCATENATE($A100,$B100)="IDER-ES",INDEX('IDER-ES'!$D:$D,MATCH($C100,'IDER-ES'!$A:$A,0)),
IF(CONCATENATE($A100,$B100)="CIOPES",INDEX('CDER-ES'!$D:$D,MATCH($C100,'CDER-ES'!$A:$A,0)),
IF(CONCATENATE($A100,$B100)="ISINAPI",INDEX(ISINAPI!$E:$E,MATCH($C100,ISINAPI!$A:$A,0)),
IF(CONCATENATE($A100,$B100)="CSINAPI",INDEX(CSINAPI!$D:$D,MATCH($C100,CSINAPI!$A:$A,0)),
IF(CONCATENATE($A100,$B100)="CCESAN",INDEX(CCESAN!$D:$D,MATCH($C100,CCESAN!$A:$A,0)),
IF(CONCATENATE($A100,$B100)="CSCORIO",INDEX(CSCORIO!$B:$B,MATCH($C100,CSCORIO!#REF!,0)),
IF(CONCATENATE($A100,$B100)="MERC",INDEX(MERCADO!$E:$E,MATCH($C100,MERCADO!$A:$A,0)),
IF(CONCATENATE($A100,$B100)="CCOMP",INDEX(COMPOSICAO!$H:$H,MATCH($C100,COMPOSICAO!$A:$A,0)),""
)))))))),""))</f>
        <v>21.16</v>
      </c>
      <c r="H100" s="144">
        <f t="shared" si="18"/>
        <v>14.3</v>
      </c>
    </row>
    <row r="101" spans="1:9" ht="25.5">
      <c r="A101" s="141" t="s">
        <v>21960</v>
      </c>
      <c r="B101" s="141" t="s">
        <v>1019</v>
      </c>
      <c r="C101" s="141">
        <v>88262</v>
      </c>
      <c r="D101" s="142" t="str">
        <f>PROPER(IFERROR(
IF(C101="","",
IF(CONCATENATE($A101,$B101)="IDER-ES",INDEX('IDER-ES'!$B:$B,MATCH($C101,'IDER-ES'!$A:$A,0)),
IF(CONCATENATE($A101,$B101)="CDER-ES",INDEX('CDER-ES'!$B:$B,MATCH($C101,'CDER-ES'!$A:$A,0)),
IF(CONCATENATE($A101,$B101)="ISINAPI",INDEX(ISINAPI!$B:$B,MATCH($C101,ISINAPI!$A:$A,0)),
IF(CONCATENATE($A101,$B101)="CSINAPI",INDEX(CSINAPI!$B:$B,MATCH($C101,CSINAPI!$A:$A,0)),
IF(CONCATENATE($A101,$B101)="CCESAN",INDEX(CCESAN!$B:$B,MATCH($C101,CCESAN!$A:$A,0)),
IF(CONCATENATE($A101,$B101)="CSCORIO",INDEX(CSCORIO!#REF!,MATCH($C101,CSCORIO!#REF!,0)),
IF(CONCATENATE($A101,$B101)="MERC",INDEX(MERCADO!$B:$B,MATCH($C101,MERCADO!$A:$A,0)),
IF(CONCATENATE($A101,$B101)="CCOMP",INDEX(COMPOSICAO!$B:$B,MATCH($C101,COMPOSICAO!$A:$A,0)),""
))))))))),"*Verificar código*"))</f>
        <v>Carpinteiro De Formas Com Encargos Complementares</v>
      </c>
      <c r="E101" s="143" t="str">
        <f>LOWER(IFERROR(
IF(CONCATENATE($A101,$B101)="IDER-ES",INDEX('IDER-ES'!$C:$C,MATCH($C101,'IDER-ES'!$A:$A,0)),
IF(CONCATENATE($A101,$B101)="CIOPES",INDEX('CDER-ES'!$C:$C,MATCH($C101,'CDER-ES'!$A:$A,0)),
IF(CONCATENATE($A101,$B101)="ISINAPI",INDEX(ISINAPI!$C:$C,MATCH($C101,ISINAPI!$A:$A,0)),
IF(CONCATENATE($A101,$B101)="CSINAPI",INDEX(CSINAPI!$C:$C,MATCH($C101,CSINAPI!$A:$A,0)),
IF(CONCATENATE($A101,$B101)="CCESAN",INDEX(CCESAN!$C:$C,MATCH($C101,CCESAN!$A:$A,0)),
IF(CONCATENATE($A101,$B101)="CSCORIO",INDEX(CSCORIO!$A:$A,MATCH($C101,CSCORIO!#REF!,0)),
IF(CONCATENATE($A101,$B101)="MERC",INDEX(MERCADO!$D:$D,MATCH($C101,MERCADO!$A:$A,0)),
IF(CONCATENATE($A101,$B101)="CCOMP",INDEX(COMPOSICAO!$H:$H,MATCH($C101,COMPOSICAO!$A:$A,0)),""
)))))))),""))</f>
        <v>h</v>
      </c>
      <c r="F101" s="182">
        <v>2.028</v>
      </c>
      <c r="G101" s="144">
        <f>(IFERROR(
IF(CONCATENATE($A101,$B101)="IDER-ES",INDEX('IDER-ES'!$D:$D,MATCH($C101,'IDER-ES'!$A:$A,0)),
IF(CONCATENATE($A101,$B101)="CIOPES",INDEX('CDER-ES'!$D:$D,MATCH($C101,'CDER-ES'!$A:$A,0)),
IF(CONCATENATE($A101,$B101)="ISINAPI",INDEX(ISINAPI!$E:$E,MATCH($C101,ISINAPI!$A:$A,0)),
IF(CONCATENATE($A101,$B101)="CSINAPI",INDEX(CSINAPI!$D:$D,MATCH($C101,CSINAPI!$A:$A,0)),
IF(CONCATENATE($A101,$B101)="CCESAN",INDEX(CCESAN!$D:$D,MATCH($C101,CCESAN!$A:$A,0)),
IF(CONCATENATE($A101,$B101)="CSCORIO",INDEX(CSCORIO!$B:$B,MATCH($C101,CSCORIO!#REF!,0)),
IF(CONCATENATE($A101,$B101)="MERC",INDEX(MERCADO!$E:$E,MATCH($C101,MERCADO!$A:$A,0)),
IF(CONCATENATE($A101,$B101)="CCOMP",INDEX(COMPOSICAO!$H:$H,MATCH($C101,COMPOSICAO!$A:$A,0)),""
)))))))),""))</f>
        <v>25.18</v>
      </c>
      <c r="H101" s="144">
        <f t="shared" si="18"/>
        <v>51.07</v>
      </c>
    </row>
    <row r="102" spans="1:9" ht="25.5">
      <c r="A102" s="141" t="s">
        <v>21960</v>
      </c>
      <c r="B102" s="141" t="s">
        <v>1019</v>
      </c>
      <c r="C102" s="141">
        <v>102193</v>
      </c>
      <c r="D102" s="142" t="str">
        <f>PROPER(IFERROR(
IF(C102="","",
IF(CONCATENATE($A102,$B102)="IDER-ES",INDEX('IDER-ES'!$B:$B,MATCH($C102,'IDER-ES'!$A:$A,0)),
IF(CONCATENATE($A102,$B102)="CDER-ES",INDEX('CDER-ES'!$B:$B,MATCH($C102,'CDER-ES'!$A:$A,0)),
IF(CONCATENATE($A102,$B102)="ISINAPI",INDEX(ISINAPI!$B:$B,MATCH($C102,ISINAPI!$A:$A,0)),
IF(CONCATENATE($A102,$B102)="CSINAPI",INDEX(CSINAPI!$B:$B,MATCH($C102,CSINAPI!$A:$A,0)),
IF(CONCATENATE($A102,$B102)="CCESAN",INDEX(CCESAN!$B:$B,MATCH($C102,CCESAN!$A:$A,0)),
IF(CONCATENATE($A102,$B102)="CSCORIO",INDEX(CSCORIO!#REF!,MATCH($C102,CSCORIO!#REF!,0)),
IF(CONCATENATE($A102,$B102)="MERC",INDEX(MERCADO!$B:$B,MATCH($C102,MERCADO!$A:$A,0)),
IF(CONCATENATE($A102,$B102)="CCOMP",INDEX(COMPOSICAO!$B:$B,MATCH($C102,COMPOSICAO!$A:$A,0)),""
))))))))),"*Verificar código*"))</f>
        <v>Lixamento De Madeira Para Aplicação De Fundo Ou Pintura. Af_01/2021</v>
      </c>
      <c r="E102" s="143" t="str">
        <f>LOWER(IFERROR(
IF(CONCATENATE($A102,$B102)="IDER-ES",INDEX('IDER-ES'!$C:$C,MATCH($C102,'IDER-ES'!$A:$A,0)),
IF(CONCATENATE($A102,$B102)="CIOPES",INDEX('CDER-ES'!$C:$C,MATCH($C102,'CDER-ES'!$A:$A,0)),
IF(CONCATENATE($A102,$B102)="ISINAPI",INDEX(ISINAPI!$C:$C,MATCH($C102,ISINAPI!$A:$A,0)),
IF(CONCATENATE($A102,$B102)="CSINAPI",INDEX(CSINAPI!$C:$C,MATCH($C102,CSINAPI!$A:$A,0)),
IF(CONCATENATE($A102,$B102)="CCESAN",INDEX(CCESAN!$C:$C,MATCH($C102,CCESAN!$A:$A,0)),
IF(CONCATENATE($A102,$B102)="CSCORIO",INDEX(CSCORIO!$A:$A,MATCH($C102,CSCORIO!#REF!,0)),
IF(CONCATENATE($A102,$B102)="MERC",INDEX(MERCADO!$D:$D,MATCH($C102,MERCADO!$A:$A,0)),
IF(CONCATENATE($A102,$B102)="CCOMP",INDEX(COMPOSICAO!$H:$H,MATCH($C102,COMPOSICAO!$A:$A,0)),""
)))))))),""))</f>
        <v>m²</v>
      </c>
      <c r="F102" s="182">
        <v>1</v>
      </c>
      <c r="G102" s="144">
        <f>(IFERROR(
IF(CONCATENATE($A102,$B102)="IDER-ES",INDEX('IDER-ES'!$D:$D,MATCH($C102,'IDER-ES'!$A:$A,0)),
IF(CONCATENATE($A102,$B102)="CIOPES",INDEX('CDER-ES'!$D:$D,MATCH($C102,'CDER-ES'!$A:$A,0)),
IF(CONCATENATE($A102,$B102)="ISINAPI",INDEX(ISINAPI!$E:$E,MATCH($C102,ISINAPI!$A:$A,0)),
IF(CONCATENATE($A102,$B102)="CSINAPI",INDEX(CSINAPI!$D:$D,MATCH($C102,CSINAPI!$A:$A,0)),
IF(CONCATENATE($A102,$B102)="CCESAN",INDEX(CCESAN!$D:$D,MATCH($C102,CCESAN!$A:$A,0)),
IF(CONCATENATE($A102,$B102)="CSCORIO",INDEX(CSCORIO!$B:$B,MATCH($C102,CSCORIO!#REF!,0)),
IF(CONCATENATE($A102,$B102)="MERC",INDEX(MERCADO!$E:$E,MATCH($C102,MERCADO!$A:$A,0)),
IF(CONCATENATE($A102,$B102)="CCOMP",INDEX(COMPOSICAO!$H:$H,MATCH($C102,COMPOSICAO!$A:$A,0)),""
)))))))),""))</f>
        <v>2.0499999999999998</v>
      </c>
      <c r="H102" s="144">
        <f t="shared" si="18"/>
        <v>2.0499999999999998</v>
      </c>
    </row>
    <row r="103" spans="1:9" ht="38.25">
      <c r="A103" s="141" t="s">
        <v>21960</v>
      </c>
      <c r="B103" s="141" t="s">
        <v>1019</v>
      </c>
      <c r="C103" s="141">
        <v>102215</v>
      </c>
      <c r="D103" s="142" t="str">
        <f>PROPER(IFERROR(
IF(C103="","",
IF(CONCATENATE($A103,$B103)="IDER-ES",INDEX('IDER-ES'!$B:$B,MATCH($C103,'IDER-ES'!$A:$A,0)),
IF(CONCATENATE($A103,$B103)="CDER-ES",INDEX('CDER-ES'!$B:$B,MATCH($C103,'CDER-ES'!$A:$A,0)),
IF(CONCATENATE($A103,$B103)="ISINAPI",INDEX(ISINAPI!$B:$B,MATCH($C103,ISINAPI!$A:$A,0)),
IF(CONCATENATE($A103,$B103)="CSINAPI",INDEX(CSINAPI!$B:$B,MATCH($C103,CSINAPI!$A:$A,0)),
IF(CONCATENATE($A103,$B103)="CCESAN",INDEX(CCESAN!$B:$B,MATCH($C103,CCESAN!$A:$A,0)),
IF(CONCATENATE($A103,$B103)="CSCORIO",INDEX(CSCORIO!#REF!,MATCH($C103,CSCORIO!#REF!,0)),
IF(CONCATENATE($A103,$B103)="MERC",INDEX(MERCADO!$B:$B,MATCH($C103,MERCADO!$A:$A,0)),
IF(CONCATENATE($A103,$B103)="CCOMP",INDEX(COMPOSICAO!$B:$B,MATCH($C103,COMPOSICAO!$A:$A,0)),""
))))))))),"*Verificar código*"))</f>
        <v>Pintura Verniz (Incolor) Poliuretânico (Resina Alquídica Modificada) Em Madeira, 2 Demãos. Af_01/2021</v>
      </c>
      <c r="E103" s="143" t="str">
        <f>LOWER(IFERROR(
IF(CONCATENATE($A103,$B103)="IDER-ES",INDEX('IDER-ES'!$C:$C,MATCH($C103,'IDER-ES'!$A:$A,0)),
IF(CONCATENATE($A103,$B103)="CIOPES",INDEX('CDER-ES'!$C:$C,MATCH($C103,'CDER-ES'!$A:$A,0)),
IF(CONCATENATE($A103,$B103)="ISINAPI",INDEX(ISINAPI!$C:$C,MATCH($C103,ISINAPI!$A:$A,0)),
IF(CONCATENATE($A103,$B103)="CSINAPI",INDEX(CSINAPI!$C:$C,MATCH($C103,CSINAPI!$A:$A,0)),
IF(CONCATENATE($A103,$B103)="CCESAN",INDEX(CCESAN!$C:$C,MATCH($C103,CCESAN!$A:$A,0)),
IF(CONCATENATE($A103,$B103)="CSCORIO",INDEX(CSCORIO!$A:$A,MATCH($C103,CSCORIO!#REF!,0)),
IF(CONCATENATE($A103,$B103)="MERC",INDEX(MERCADO!$D:$D,MATCH($C103,MERCADO!$A:$A,0)),
IF(CONCATENATE($A103,$B103)="CCOMP",INDEX(COMPOSICAO!$H:$H,MATCH($C103,COMPOSICAO!$A:$A,0)),""
)))))))),""))</f>
        <v>m²</v>
      </c>
      <c r="F103" s="182">
        <f>F102</f>
        <v>1</v>
      </c>
      <c r="G103" s="144">
        <f>(IFERROR(
IF(CONCATENATE($A103,$B103)="IDER-ES",INDEX('IDER-ES'!$D:$D,MATCH($C103,'IDER-ES'!$A:$A,0)),
IF(CONCATENATE($A103,$B103)="CIOPES",INDEX('CDER-ES'!$D:$D,MATCH($C103,'CDER-ES'!$A:$A,0)),
IF(CONCATENATE($A103,$B103)="ISINAPI",INDEX(ISINAPI!$E:$E,MATCH($C103,ISINAPI!$A:$A,0)),
IF(CONCATENATE($A103,$B103)="CSINAPI",INDEX(CSINAPI!$D:$D,MATCH($C103,CSINAPI!$A:$A,0)),
IF(CONCATENATE($A103,$B103)="CCESAN",INDEX(CCESAN!$D:$D,MATCH($C103,CCESAN!$A:$A,0)),
IF(CONCATENATE($A103,$B103)="CSCORIO",INDEX(CSCORIO!$B:$B,MATCH($C103,CSCORIO!#REF!,0)),
IF(CONCATENATE($A103,$B103)="MERC",INDEX(MERCADO!$E:$E,MATCH($C103,MERCADO!$A:$A,0)),
IF(CONCATENATE($A103,$B103)="CCOMP",INDEX(COMPOSICAO!$H:$H,MATCH($C103,COMPOSICAO!$A:$A,0)),""
)))))))),""))</f>
        <v>16.75</v>
      </c>
      <c r="H103" s="144">
        <f t="shared" si="18"/>
        <v>16.75</v>
      </c>
    </row>
    <row r="105" spans="1:9" s="135" customFormat="1" ht="19.5" customHeight="1">
      <c r="A105" s="186" t="s">
        <v>1020</v>
      </c>
      <c r="B105" s="405" t="s">
        <v>1022</v>
      </c>
      <c r="C105" s="406"/>
      <c r="D105" s="406"/>
      <c r="E105" s="406"/>
      <c r="F105" s="407"/>
      <c r="G105" s="133" t="s">
        <v>19692</v>
      </c>
      <c r="H105" s="134" t="s">
        <v>19678</v>
      </c>
      <c r="I105" s="263"/>
    </row>
    <row r="106" spans="1:9" ht="45" customHeight="1">
      <c r="A106" s="136">
        <f>COUNTIF($A$4:$A105,$A$4)</f>
        <v>9</v>
      </c>
      <c r="B106" s="408" t="s">
        <v>28607</v>
      </c>
      <c r="C106" s="409"/>
      <c r="D106" s="409"/>
      <c r="E106" s="409"/>
      <c r="F106" s="410"/>
      <c r="G106" s="137" t="s">
        <v>19692</v>
      </c>
      <c r="H106" s="211">
        <f>SUM(H108:H116)</f>
        <v>421.06</v>
      </c>
    </row>
    <row r="107" spans="1:9" ht="30" customHeight="1">
      <c r="A107" s="139" t="s">
        <v>1026</v>
      </c>
      <c r="B107" s="139" t="s">
        <v>1027</v>
      </c>
      <c r="C107" s="139" t="s">
        <v>31</v>
      </c>
      <c r="D107" s="139" t="s">
        <v>1023</v>
      </c>
      <c r="E107" s="139" t="s">
        <v>32</v>
      </c>
      <c r="F107" s="183" t="s">
        <v>2343</v>
      </c>
      <c r="G107" s="140" t="s">
        <v>19676</v>
      </c>
      <c r="H107" s="140" t="s">
        <v>19677</v>
      </c>
    </row>
    <row r="108" spans="1:9" ht="38.25">
      <c r="A108" s="141" t="s">
        <v>26621</v>
      </c>
      <c r="B108" s="141" t="s">
        <v>1019</v>
      </c>
      <c r="C108" s="141">
        <v>20212</v>
      </c>
      <c r="D108" s="142" t="str">
        <f>PROPER(IFERROR(
IF(C108="","",
IF(CONCATENATE($A108,$B108)="IDER-ES",INDEX('IDER-ES'!$B:$B,MATCH($C108,'IDER-ES'!$A:$A,0)),
IF(CONCATENATE($A108,$B108)="CDER-ES",INDEX('CDER-ES'!$B:$B,MATCH($C108,'CDER-ES'!$A:$A,0)),
IF(CONCATENATE($A108,$B108)="ISINAPI",INDEX(ISINAPI!$B:$B,MATCH($C108,ISINAPI!$A:$A,0)),
IF(CONCATENATE($A108,$B108)="CSINAPI",INDEX(CSINAPI!$B:$B,MATCH($C108,CSINAPI!$A:$A,0)),
IF(CONCATENATE($A108,$B108)="CCESAN",INDEX(CCESAN!$B:$B,MATCH($C108,CCESAN!$A:$A,0)),
IF(CONCATENATE($A108,$B108)="CSCORIO",INDEX(CSCORIO!#REF!,MATCH($C108,CSCORIO!#REF!,0)),
IF(CONCATENATE($A108,$B108)="MERC",INDEX(MERCADO!$B:$B,MATCH($C108,MERCADO!$A:$A,0)),
IF(CONCATENATE($A108,$B108)="CCOMP",INDEX(COMPOSICAO!$B:$B,MATCH($C108,COMPOSICAO!$A:$A,0)),""
))))))))),"*Verificar código*"))</f>
        <v xml:space="preserve">Caibro Aparelhado *6 X 8* Cm, Em Macaranduba, Angelim Ou Equivalente Da Regiao                                                                                                                                                                                                                                                                                                                                                                                                                            </v>
      </c>
      <c r="E108" s="143" t="str">
        <f>LOWER(IFERROR(
IF(CONCATENATE($A108,$B108)="IDER-ES",INDEX('IDER-ES'!$C:$C,MATCH($C108,'IDER-ES'!$A:$A,0)),
IF(CONCATENATE($A108,$B108)="CIOPES",INDEX('CDER-ES'!$C:$C,MATCH($C108,'CDER-ES'!$A:$A,0)),
IF(CONCATENATE($A108,$B108)="ISINAPI",INDEX(ISINAPI!$C:$C,MATCH($C108,ISINAPI!$A:$A,0)),
IF(CONCATENATE($A108,$B108)="CSINAPI",INDEX(CSINAPI!$C:$C,MATCH($C108,CSINAPI!$A:$A,0)),
IF(CONCATENATE($A108,$B108)="CCESAN",INDEX(CCESAN!$C:$C,MATCH($C108,CCESAN!$A:$A,0)),
IF(CONCATENATE($A108,$B108)="CSCORIO",INDEX(CSCORIO!$A:$A,MATCH($C108,CSCORIO!#REF!,0)),
IF(CONCATENATE($A108,$B108)="MERC",INDEX(MERCADO!$D:$D,MATCH($C108,MERCADO!$A:$A,0)),
IF(CONCATENATE($A108,$B108)="CCOMP",INDEX(COMPOSICAO!$H:$H,MATCH($C108,COMPOSICAO!$A:$A,0)),""
)))))))),""))</f>
        <v xml:space="preserve">m     </v>
      </c>
      <c r="F108" s="182">
        <f>(0.6+0.7+0.8)*4</f>
        <v>8.3999999999999986</v>
      </c>
      <c r="G108" s="144">
        <f>(IFERROR(
IF(CONCATENATE($A108,$B108)="IDER-ES",INDEX('IDER-ES'!$D:$D,MATCH($C108,'IDER-ES'!$A:$A,0)),
IF(CONCATENATE($A108,$B108)="CIOPES",INDEX('CDER-ES'!$D:$D,MATCH($C108,'CDER-ES'!$A:$A,0)),
IF(CONCATENATE($A108,$B108)="ISINAPI",INDEX(ISINAPI!$E:$E,MATCH($C108,ISINAPI!$A:$A,0)),
IF(CONCATENATE($A108,$B108)="CSINAPI",INDEX(CSINAPI!$D:$D,MATCH($C108,CSINAPI!$A:$A,0)),
IF(CONCATENATE($A108,$B108)="CCESAN",INDEX(CCESAN!$D:$D,MATCH($C108,CCESAN!$A:$A,0)),
IF(CONCATENATE($A108,$B108)="CSCORIO",INDEX(CSCORIO!$B:$B,MATCH($C108,CSCORIO!#REF!,0)),
IF(CONCATENATE($A108,$B108)="MERC",INDEX(MERCADO!$E:$E,MATCH($C108,MERCADO!$A:$A,0)),
IF(CONCATENATE($A108,$B108)="CCOMP",INDEX(COMPOSICAO!$H:$H,MATCH($C108,COMPOSICAO!$A:$A,0)),""
)))))))),""))</f>
        <v>23.24</v>
      </c>
      <c r="H108" s="144">
        <f t="shared" ref="H108:H116" si="20">IF(B108="","",ROUND(G108*F108,2))</f>
        <v>195.22</v>
      </c>
    </row>
    <row r="109" spans="1:9" ht="51">
      <c r="A109" s="141" t="s">
        <v>26621</v>
      </c>
      <c r="B109" s="141" t="s">
        <v>1019</v>
      </c>
      <c r="C109" s="141">
        <v>7568</v>
      </c>
      <c r="D109" s="142" t="str">
        <f>PROPER(IFERROR(
IF(C109="","",
IF(CONCATENATE($A109,$B109)="IDER-ES",INDEX('IDER-ES'!$B:$B,MATCH($C109,'IDER-ES'!$A:$A,0)),
IF(CONCATENATE($A109,$B109)="CDER-ES",INDEX('CDER-ES'!$B:$B,MATCH($C109,'CDER-ES'!$A:$A,0)),
IF(CONCATENATE($A109,$B109)="ISINAPI",INDEX(ISINAPI!$B:$B,MATCH($C109,ISINAPI!$A:$A,0)),
IF(CONCATENATE($A109,$B109)="CSINAPI",INDEX(CSINAPI!$B:$B,MATCH($C109,CSINAPI!$A:$A,0)),
IF(CONCATENATE($A109,$B109)="CCESAN",INDEX(CCESAN!$B:$B,MATCH($C109,CCESAN!$A:$A,0)),
IF(CONCATENATE($A109,$B109)="CSCORIO",INDEX(CSCORIO!#REF!,MATCH($C109,CSCORIO!#REF!,0)),
IF(CONCATENATE($A109,$B109)="MERC",INDEX(MERCADO!$B:$B,MATCH($C109,MERCADO!$A:$A,0)),
IF(CONCATENATE($A109,$B109)="CCOMP",INDEX(COMPOSICAO!$B:$B,MATCH($C109,COMPOSICAO!$A:$A,0)),""
))))))))),"*Verificar código*"))</f>
        <v xml:space="preserve">Bucha De Nylon Sem Aba S10, Com Parafuso De 6,10 X 65 Mm Em Aco Zincado Com Rosca Soberba, Cabeca Chata E Fenda Phillips                                                                                                                                                                                                                                                                                                                                                                                  </v>
      </c>
      <c r="E109" s="143" t="str">
        <f>LOWER(IFERROR(
IF(CONCATENATE($A109,$B109)="IDER-ES",INDEX('IDER-ES'!$C:$C,MATCH($C109,'IDER-ES'!$A:$A,0)),
IF(CONCATENATE($A109,$B109)="CIOPES",INDEX('CDER-ES'!$C:$C,MATCH($C109,'CDER-ES'!$A:$A,0)),
IF(CONCATENATE($A109,$B109)="ISINAPI",INDEX(ISINAPI!$C:$C,MATCH($C109,ISINAPI!$A:$A,0)),
IF(CONCATENATE($A109,$B109)="CSINAPI",INDEX(CSINAPI!$C:$C,MATCH($C109,CSINAPI!$A:$A,0)),
IF(CONCATENATE($A109,$B109)="CCESAN",INDEX(CCESAN!$C:$C,MATCH($C109,CCESAN!$A:$A,0)),
IF(CONCATENATE($A109,$B109)="CSCORIO",INDEX(CSCORIO!$A:$A,MATCH($C109,CSCORIO!#REF!,0)),
IF(CONCATENATE($A109,$B109)="MERC",INDEX(MERCADO!$D:$D,MATCH($C109,MERCADO!$A:$A,0)),
IF(CONCATENATE($A109,$B109)="CCOMP",INDEX(COMPOSICAO!$H:$H,MATCH($C109,COMPOSICAO!$A:$A,0)),""
)))))))),""))</f>
        <v xml:space="preserve">un    </v>
      </c>
      <c r="F109" s="182">
        <f>6*4</f>
        <v>24</v>
      </c>
      <c r="G109" s="144">
        <f>(IFERROR(
IF(CONCATENATE($A109,$B109)="IDER-ES",INDEX('IDER-ES'!$D:$D,MATCH($C109,'IDER-ES'!$A:$A,0)),
IF(CONCATENATE($A109,$B109)="CIOPES",INDEX('CDER-ES'!$D:$D,MATCH($C109,'CDER-ES'!$A:$A,0)),
IF(CONCATENATE($A109,$B109)="ISINAPI",INDEX(ISINAPI!$E:$E,MATCH($C109,ISINAPI!$A:$A,0)),
IF(CONCATENATE($A109,$B109)="CSINAPI",INDEX(CSINAPI!$D:$D,MATCH($C109,CSINAPI!$A:$A,0)),
IF(CONCATENATE($A109,$B109)="CCESAN",INDEX(CCESAN!$D:$D,MATCH($C109,CCESAN!$A:$A,0)),
IF(CONCATENATE($A109,$B109)="CSCORIO",INDEX(CSCORIO!$B:$B,MATCH($C109,CSCORIO!#REF!,0)),
IF(CONCATENATE($A109,$B109)="MERC",INDEX(MERCADO!$E:$E,MATCH($C109,MERCADO!$A:$A,0)),
IF(CONCATENATE($A109,$B109)="CCOMP",INDEX(COMPOSICAO!$H:$H,MATCH($C109,COMPOSICAO!$A:$A,0)),""
)))))))),""))</f>
        <v>0.73</v>
      </c>
      <c r="H109" s="144">
        <f t="shared" si="20"/>
        <v>17.52</v>
      </c>
    </row>
    <row r="110" spans="1:9" ht="51">
      <c r="A110" s="141" t="s">
        <v>26621</v>
      </c>
      <c r="B110" s="141" t="s">
        <v>1019</v>
      </c>
      <c r="C110" s="141">
        <v>4358</v>
      </c>
      <c r="D110" s="142" t="str">
        <f>PROPER(IFERROR(
IF(C110="","",
IF(CONCATENATE($A110,$B110)="IDER-ES",INDEX('IDER-ES'!$B:$B,MATCH($C110,'IDER-ES'!$A:$A,0)),
IF(CONCATENATE($A110,$B110)="CDER-ES",INDEX('CDER-ES'!$B:$B,MATCH($C110,'CDER-ES'!$A:$A,0)),
IF(CONCATENATE($A110,$B110)="ISINAPI",INDEX(ISINAPI!$B:$B,MATCH($C110,ISINAPI!$A:$A,0)),
IF(CONCATENATE($A110,$B110)="CSINAPI",INDEX(CSINAPI!$B:$B,MATCH($C110,CSINAPI!$A:$A,0)),
IF(CONCATENATE($A110,$B110)="CCESAN",INDEX(CCESAN!$B:$B,MATCH($C110,CCESAN!$A:$A,0)),
IF(CONCATENATE($A110,$B110)="CSCORIO",INDEX(CSCORIO!#REF!,MATCH($C110,CSCORIO!#REF!,0)),
IF(CONCATENATE($A110,$B110)="MERC",INDEX(MERCADO!$B:$B,MATCH($C110,MERCADO!$A:$A,0)),
IF(CONCATENATE($A110,$B110)="CCOMP",INDEX(COMPOSICAO!$B:$B,MATCH($C110,COMPOSICAO!$A:$A,0)),""
))))))))),"*Verificar código*"))</f>
        <v xml:space="preserve">Parafuso De Latao Com Rosca Soberba, Cabeca Chata E Fenda Simples, Diametro 4,8 Mm, Comprimento 65 Mm                                                                                                                                                                                                                                                                                                                                                                                                     </v>
      </c>
      <c r="E110" s="143" t="str">
        <f>LOWER(IFERROR(
IF(CONCATENATE($A110,$B110)="IDER-ES",INDEX('IDER-ES'!$C:$C,MATCH($C110,'IDER-ES'!$A:$A,0)),
IF(CONCATENATE($A110,$B110)="CIOPES",INDEX('CDER-ES'!$C:$C,MATCH($C110,'CDER-ES'!$A:$A,0)),
IF(CONCATENATE($A110,$B110)="ISINAPI",INDEX(ISINAPI!$C:$C,MATCH($C110,ISINAPI!$A:$A,0)),
IF(CONCATENATE($A110,$B110)="CSINAPI",INDEX(CSINAPI!$C:$C,MATCH($C110,CSINAPI!$A:$A,0)),
IF(CONCATENATE($A110,$B110)="CCESAN",INDEX(CCESAN!$C:$C,MATCH($C110,CCESAN!$A:$A,0)),
IF(CONCATENATE($A110,$B110)="CSCORIO",INDEX(CSCORIO!$A:$A,MATCH($C110,CSCORIO!#REF!,0)),
IF(CONCATENATE($A110,$B110)="MERC",INDEX(MERCADO!$D:$D,MATCH($C110,MERCADO!$A:$A,0)),
IF(CONCATENATE($A110,$B110)="CCOMP",INDEX(COMPOSICAO!$H:$H,MATCH($C110,COMPOSICAO!$A:$A,0)),""
)))))))),""))</f>
        <v xml:space="preserve">un    </v>
      </c>
      <c r="F110" s="182">
        <v>12</v>
      </c>
      <c r="G110" s="144">
        <f>(IFERROR(
IF(CONCATENATE($A110,$B110)="IDER-ES",INDEX('IDER-ES'!$D:$D,MATCH($C110,'IDER-ES'!$A:$A,0)),
IF(CONCATENATE($A110,$B110)="CIOPES",INDEX('CDER-ES'!$D:$D,MATCH($C110,'CDER-ES'!$A:$A,0)),
IF(CONCATENATE($A110,$B110)="ISINAPI",INDEX(ISINAPI!$E:$E,MATCH($C110,ISINAPI!$A:$A,0)),
IF(CONCATENATE($A110,$B110)="CSINAPI",INDEX(CSINAPI!$D:$D,MATCH($C110,CSINAPI!$A:$A,0)),
IF(CONCATENATE($A110,$B110)="CCESAN",INDEX(CCESAN!$D:$D,MATCH($C110,CCESAN!$A:$A,0)),
IF(CONCATENATE($A110,$B110)="CSCORIO",INDEX(CSCORIO!$B:$B,MATCH($C110,CSCORIO!#REF!,0)),
IF(CONCATENATE($A110,$B110)="MERC",INDEX(MERCADO!$E:$E,MATCH($C110,MERCADO!$A:$A,0)),
IF(CONCATENATE($A110,$B110)="CCOMP",INDEX(COMPOSICAO!$H:$H,MATCH($C110,COMPOSICAO!$A:$A,0)),""
)))))))),""))</f>
        <v>1.92</v>
      </c>
      <c r="H110" s="144">
        <f t="shared" si="20"/>
        <v>23.04</v>
      </c>
    </row>
    <row r="111" spans="1:9" ht="25.5">
      <c r="A111" s="141" t="s">
        <v>21960</v>
      </c>
      <c r="B111" s="141" t="s">
        <v>1019</v>
      </c>
      <c r="C111" s="141">
        <v>88239</v>
      </c>
      <c r="D111" s="142" t="str">
        <f>PROPER(IFERROR(
IF(C111="","",
IF(CONCATENATE($A111,$B111)="IDER-ES",INDEX('IDER-ES'!$B:$B,MATCH($C111,'IDER-ES'!$A:$A,0)),
IF(CONCATENATE($A111,$B111)="CDER-ES",INDEX('CDER-ES'!$B:$B,MATCH($C111,'CDER-ES'!$A:$A,0)),
IF(CONCATENATE($A111,$B111)="ISINAPI",INDEX(ISINAPI!$B:$B,MATCH($C111,ISINAPI!$A:$A,0)),
IF(CONCATENATE($A111,$B111)="CSINAPI",INDEX(CSINAPI!$B:$B,MATCH($C111,CSINAPI!$A:$A,0)),
IF(CONCATENATE($A111,$B111)="CCESAN",INDEX(CCESAN!$B:$B,MATCH($C111,CCESAN!$A:$A,0)),
IF(CONCATENATE($A111,$B111)="CSCORIO",INDEX(CSCORIO!#REF!,MATCH($C111,CSCORIO!#REF!,0)),
IF(CONCATENATE($A111,$B111)="MERC",INDEX(MERCADO!$B:$B,MATCH($C111,MERCADO!$A:$A,0)),
IF(CONCATENATE($A111,$B111)="CCOMP",INDEX(COMPOSICAO!$B:$B,MATCH($C111,COMPOSICAO!$A:$A,0)),""
))))))))),"*Verificar código*"))</f>
        <v>Ajudante De Carpinteiro Com Encargos Complementares</v>
      </c>
      <c r="E111" s="143" t="str">
        <f>LOWER(IFERROR(
IF(CONCATENATE($A111,$B111)="IDER-ES",INDEX('IDER-ES'!$C:$C,MATCH($C111,'IDER-ES'!$A:$A,0)),
IF(CONCATENATE($A111,$B111)="CIOPES",INDEX('CDER-ES'!$C:$C,MATCH($C111,'CDER-ES'!$A:$A,0)),
IF(CONCATENATE($A111,$B111)="ISINAPI",INDEX(ISINAPI!$C:$C,MATCH($C111,ISINAPI!$A:$A,0)),
IF(CONCATENATE($A111,$B111)="CSINAPI",INDEX(CSINAPI!$C:$C,MATCH($C111,CSINAPI!$A:$A,0)),
IF(CONCATENATE($A111,$B111)="CCESAN",INDEX(CCESAN!$C:$C,MATCH($C111,CCESAN!$A:$A,0)),
IF(CONCATENATE($A111,$B111)="CSCORIO",INDEX(CSCORIO!$A:$A,MATCH($C111,CSCORIO!#REF!,0)),
IF(CONCATENATE($A111,$B111)="MERC",INDEX(MERCADO!$D:$D,MATCH($C111,MERCADO!$A:$A,0)),
IF(CONCATENATE($A111,$B111)="CCOMP",INDEX(COMPOSICAO!$H:$H,MATCH($C111,COMPOSICAO!$A:$A,0)),""
)))))))),""))</f>
        <v>h</v>
      </c>
      <c r="F111" s="182">
        <f>0.12*F108+1</f>
        <v>2.008</v>
      </c>
      <c r="G111" s="144">
        <f>(IFERROR(
IF(CONCATENATE($A111,$B111)="IDER-ES",INDEX('IDER-ES'!$D:$D,MATCH($C111,'IDER-ES'!$A:$A,0)),
IF(CONCATENATE($A111,$B111)="CIOPES",INDEX('CDER-ES'!$D:$D,MATCH($C111,'CDER-ES'!$A:$A,0)),
IF(CONCATENATE($A111,$B111)="ISINAPI",INDEX(ISINAPI!$E:$E,MATCH($C111,ISINAPI!$A:$A,0)),
IF(CONCATENATE($A111,$B111)="CSINAPI",INDEX(CSINAPI!$D:$D,MATCH($C111,CSINAPI!$A:$A,0)),
IF(CONCATENATE($A111,$B111)="CCESAN",INDEX(CCESAN!$D:$D,MATCH($C111,CCESAN!$A:$A,0)),
IF(CONCATENATE($A111,$B111)="CSCORIO",INDEX(CSCORIO!$B:$B,MATCH($C111,CSCORIO!#REF!,0)),
IF(CONCATENATE($A111,$B111)="MERC",INDEX(MERCADO!$E:$E,MATCH($C111,MERCADO!$A:$A,0)),
IF(CONCATENATE($A111,$B111)="CCOMP",INDEX(COMPOSICAO!$H:$H,MATCH($C111,COMPOSICAO!$A:$A,0)),""
)))))))),""))</f>
        <v>21.16</v>
      </c>
      <c r="H111" s="144">
        <f t="shared" si="20"/>
        <v>42.49</v>
      </c>
    </row>
    <row r="112" spans="1:9" ht="25.5">
      <c r="A112" s="141" t="s">
        <v>21960</v>
      </c>
      <c r="B112" s="141" t="s">
        <v>1019</v>
      </c>
      <c r="C112" s="141">
        <v>88262</v>
      </c>
      <c r="D112" s="142" t="str">
        <f>PROPER(IFERROR(
IF(C112="","",
IF(CONCATENATE($A112,$B112)="IDER-ES",INDEX('IDER-ES'!$B:$B,MATCH($C112,'IDER-ES'!$A:$A,0)),
IF(CONCATENATE($A112,$B112)="CDER-ES",INDEX('CDER-ES'!$B:$B,MATCH($C112,'CDER-ES'!$A:$A,0)),
IF(CONCATENATE($A112,$B112)="ISINAPI",INDEX(ISINAPI!$B:$B,MATCH($C112,ISINAPI!$A:$A,0)),
IF(CONCATENATE($A112,$B112)="CSINAPI",INDEX(CSINAPI!$B:$B,MATCH($C112,CSINAPI!$A:$A,0)),
IF(CONCATENATE($A112,$B112)="CCESAN",INDEX(CCESAN!$B:$B,MATCH($C112,CCESAN!$A:$A,0)),
IF(CONCATENATE($A112,$B112)="CSCORIO",INDEX(CSCORIO!#REF!,MATCH($C112,CSCORIO!#REF!,0)),
IF(CONCATENATE($A112,$B112)="MERC",INDEX(MERCADO!$B:$B,MATCH($C112,MERCADO!$A:$A,0)),
IF(CONCATENATE($A112,$B112)="CCOMP",INDEX(COMPOSICAO!$B:$B,MATCH($C112,COMPOSICAO!$A:$A,0)),""
))))))))),"*Verificar código*"))</f>
        <v>Carpinteiro De Formas Com Encargos Complementares</v>
      </c>
      <c r="E112" s="143" t="str">
        <f>LOWER(IFERROR(
IF(CONCATENATE($A112,$B112)="IDER-ES",INDEX('IDER-ES'!$C:$C,MATCH($C112,'IDER-ES'!$A:$A,0)),
IF(CONCATENATE($A112,$B112)="CIOPES",INDEX('CDER-ES'!$C:$C,MATCH($C112,'CDER-ES'!$A:$A,0)),
IF(CONCATENATE($A112,$B112)="ISINAPI",INDEX(ISINAPI!$C:$C,MATCH($C112,ISINAPI!$A:$A,0)),
IF(CONCATENATE($A112,$B112)="CSINAPI",INDEX(CSINAPI!$C:$C,MATCH($C112,CSINAPI!$A:$A,0)),
IF(CONCATENATE($A112,$B112)="CCESAN",INDEX(CCESAN!$C:$C,MATCH($C112,CCESAN!$A:$A,0)),
IF(CONCATENATE($A112,$B112)="CSCORIO",INDEX(CSCORIO!$A:$A,MATCH($C112,CSCORIO!#REF!,0)),
IF(CONCATENATE($A112,$B112)="MERC",INDEX(MERCADO!$D:$D,MATCH($C112,MERCADO!$A:$A,0)),
IF(CONCATENATE($A112,$B112)="CCOMP",INDEX(COMPOSICAO!$H:$H,MATCH($C112,COMPOSICAO!$A:$A,0)),""
)))))))),""))</f>
        <v>h</v>
      </c>
      <c r="F112" s="182">
        <f>0.35*F108+1.5</f>
        <v>4.4399999999999995</v>
      </c>
      <c r="G112" s="144">
        <f>(IFERROR(
IF(CONCATENATE($A112,$B112)="IDER-ES",INDEX('IDER-ES'!$D:$D,MATCH($C112,'IDER-ES'!$A:$A,0)),
IF(CONCATENATE($A112,$B112)="CIOPES",INDEX('CDER-ES'!$D:$D,MATCH($C112,'CDER-ES'!$A:$A,0)),
IF(CONCATENATE($A112,$B112)="ISINAPI",INDEX(ISINAPI!$E:$E,MATCH($C112,ISINAPI!$A:$A,0)),
IF(CONCATENATE($A112,$B112)="CSINAPI",INDEX(CSINAPI!$D:$D,MATCH($C112,CSINAPI!$A:$A,0)),
IF(CONCATENATE($A112,$B112)="CCESAN",INDEX(CCESAN!$D:$D,MATCH($C112,CCESAN!$A:$A,0)),
IF(CONCATENATE($A112,$B112)="CSCORIO",INDEX(CSCORIO!$B:$B,MATCH($C112,CSCORIO!#REF!,0)),
IF(CONCATENATE($A112,$B112)="MERC",INDEX(MERCADO!$E:$E,MATCH($C112,MERCADO!$A:$A,0)),
IF(CONCATENATE($A112,$B112)="CCOMP",INDEX(COMPOSICAO!$H:$H,MATCH($C112,COMPOSICAO!$A:$A,0)),""
)))))))),""))</f>
        <v>25.18</v>
      </c>
      <c r="H112" s="144">
        <f t="shared" si="20"/>
        <v>111.8</v>
      </c>
    </row>
    <row r="113" spans="1:9" ht="51">
      <c r="A113" s="141" t="s">
        <v>21960</v>
      </c>
      <c r="B113" s="141" t="s">
        <v>1019</v>
      </c>
      <c r="C113" s="141">
        <v>91692</v>
      </c>
      <c r="D113" s="142" t="str">
        <f>PROPER(IFERROR(
IF(C113="","",
IF(CONCATENATE($A113,$B113)="IDER-ES",INDEX('IDER-ES'!$B:$B,MATCH($C113,'IDER-ES'!$A:$A,0)),
IF(CONCATENATE($A113,$B113)="CDER-ES",INDEX('CDER-ES'!$B:$B,MATCH($C113,'CDER-ES'!$A:$A,0)),
IF(CONCATENATE($A113,$B113)="ISINAPI",INDEX(ISINAPI!$B:$B,MATCH($C113,ISINAPI!$A:$A,0)),
IF(CONCATENATE($A113,$B113)="CSINAPI",INDEX(CSINAPI!$B:$B,MATCH($C113,CSINAPI!$A:$A,0)),
IF(CONCATENATE($A113,$B113)="CCESAN",INDEX(CCESAN!$B:$B,MATCH($C113,CCESAN!$A:$A,0)),
IF(CONCATENATE($A113,$B113)="CSCORIO",INDEX(CSCORIO!#REF!,MATCH($C113,CSCORIO!#REF!,0)),
IF(CONCATENATE($A113,$B113)="MERC",INDEX(MERCADO!$B:$B,MATCH($C113,MERCADO!$A:$A,0)),
IF(CONCATENATE($A113,$B113)="CCOMP",INDEX(COMPOSICAO!$B:$B,MATCH($C113,COMPOSICAO!$A:$A,0)),""
))))))))),"*Verificar código*"))</f>
        <v>Serra Circular De Bancada Com Motor Elétrico Potência De 5Hp, Com Coifa Para Disco 10" - Chp Diurno. Af_08/2015</v>
      </c>
      <c r="E113" s="143" t="str">
        <f>LOWER(IFERROR(
IF(CONCATENATE($A113,$B113)="IDER-ES",INDEX('IDER-ES'!$C:$C,MATCH($C113,'IDER-ES'!$A:$A,0)),
IF(CONCATENATE($A113,$B113)="CIOPES",INDEX('CDER-ES'!$C:$C,MATCH($C113,'CDER-ES'!$A:$A,0)),
IF(CONCATENATE($A113,$B113)="ISINAPI",INDEX(ISINAPI!$C:$C,MATCH($C113,ISINAPI!$A:$A,0)),
IF(CONCATENATE($A113,$B113)="CSINAPI",INDEX(CSINAPI!$C:$C,MATCH($C113,CSINAPI!$A:$A,0)),
IF(CONCATENATE($A113,$B113)="CCESAN",INDEX(CCESAN!$C:$C,MATCH($C113,CCESAN!$A:$A,0)),
IF(CONCATENATE($A113,$B113)="CSCORIO",INDEX(CSCORIO!$A:$A,MATCH($C113,CSCORIO!#REF!,0)),
IF(CONCATENATE($A113,$B113)="MERC",INDEX(MERCADO!$D:$D,MATCH($C113,MERCADO!$A:$A,0)),
IF(CONCATENATE($A113,$B113)="CCOMP",INDEX(COMPOSICAO!$H:$H,MATCH($C113,COMPOSICAO!$A:$A,0)),""
)))))))),""))</f>
        <v>chp</v>
      </c>
      <c r="F113" s="182">
        <f>0.007*F108</f>
        <v>5.8799999999999991E-2</v>
      </c>
      <c r="G113" s="144">
        <f>(IFERROR(
IF(CONCATENATE($A113,$B113)="IDER-ES",INDEX('IDER-ES'!$D:$D,MATCH($C113,'IDER-ES'!$A:$A,0)),
IF(CONCATENATE($A113,$B113)="CIOPES",INDEX('CDER-ES'!$D:$D,MATCH($C113,'CDER-ES'!$A:$A,0)),
IF(CONCATENATE($A113,$B113)="ISINAPI",INDEX(ISINAPI!$E:$E,MATCH($C113,ISINAPI!$A:$A,0)),
IF(CONCATENATE($A113,$B113)="CSINAPI",INDEX(CSINAPI!$D:$D,MATCH($C113,CSINAPI!$A:$A,0)),
IF(CONCATENATE($A113,$B113)="CCESAN",INDEX(CCESAN!$D:$D,MATCH($C113,CCESAN!$A:$A,0)),
IF(CONCATENATE($A113,$B113)="CSCORIO",INDEX(CSCORIO!$B:$B,MATCH($C113,CSCORIO!#REF!,0)),
IF(CONCATENATE($A113,$B113)="MERC",INDEX(MERCADO!$E:$E,MATCH($C113,MERCADO!$A:$A,0)),
IF(CONCATENATE($A113,$B113)="CCOMP",INDEX(COMPOSICAO!$H:$H,MATCH($C113,COMPOSICAO!$A:$A,0)),""
)))))))),""))</f>
        <v>29.71</v>
      </c>
      <c r="H113" s="144">
        <f t="shared" si="20"/>
        <v>1.75</v>
      </c>
    </row>
    <row r="114" spans="1:9" ht="38.25">
      <c r="A114" s="141" t="s">
        <v>21960</v>
      </c>
      <c r="B114" s="141" t="s">
        <v>1019</v>
      </c>
      <c r="C114" s="141">
        <v>91693</v>
      </c>
      <c r="D114" s="142" t="str">
        <f>PROPER(IFERROR(
IF(C114="","",
IF(CONCATENATE($A114,$B114)="IDER-ES",INDEX('IDER-ES'!$B:$B,MATCH($C114,'IDER-ES'!$A:$A,0)),
IF(CONCATENATE($A114,$B114)="CDER-ES",INDEX('CDER-ES'!$B:$B,MATCH($C114,'CDER-ES'!$A:$A,0)),
IF(CONCATENATE($A114,$B114)="ISINAPI",INDEX(ISINAPI!$B:$B,MATCH($C114,ISINAPI!$A:$A,0)),
IF(CONCATENATE($A114,$B114)="CSINAPI",INDEX(CSINAPI!$B:$B,MATCH($C114,CSINAPI!$A:$A,0)),
IF(CONCATENATE($A114,$B114)="CCESAN",INDEX(CCESAN!$B:$B,MATCH($C114,CCESAN!$A:$A,0)),
IF(CONCATENATE($A114,$B114)="CSCORIO",INDEX(CSCORIO!#REF!,MATCH($C114,CSCORIO!#REF!,0)),
IF(CONCATENATE($A114,$B114)="MERC",INDEX(MERCADO!$B:$B,MATCH($C114,MERCADO!$A:$A,0)),
IF(CONCATENATE($A114,$B114)="CCOMP",INDEX(COMPOSICAO!$B:$B,MATCH($C114,COMPOSICAO!$A:$A,0)),""
))))))))),"*Verificar código*"))</f>
        <v>Serra Circular De Bancada Com Motor Elétrico Potência De 5Hp, Com Coifa Para Disco 10" - Chi Diurno. Af_08/2015</v>
      </c>
      <c r="E114" s="143" t="str">
        <f>LOWER(IFERROR(
IF(CONCATENATE($A114,$B114)="IDER-ES",INDEX('IDER-ES'!$C:$C,MATCH($C114,'IDER-ES'!$A:$A,0)),
IF(CONCATENATE($A114,$B114)="CIOPES",INDEX('CDER-ES'!$C:$C,MATCH($C114,'CDER-ES'!$A:$A,0)),
IF(CONCATENATE($A114,$B114)="ISINAPI",INDEX(ISINAPI!$C:$C,MATCH($C114,ISINAPI!$A:$A,0)),
IF(CONCATENATE($A114,$B114)="CSINAPI",INDEX(CSINAPI!$C:$C,MATCH($C114,CSINAPI!$A:$A,0)),
IF(CONCATENATE($A114,$B114)="CCESAN",INDEX(CCESAN!$C:$C,MATCH($C114,CCESAN!$A:$A,0)),
IF(CONCATENATE($A114,$B114)="CSCORIO",INDEX(CSCORIO!$A:$A,MATCH($C114,CSCORIO!#REF!,0)),
IF(CONCATENATE($A114,$B114)="MERC",INDEX(MERCADO!$D:$D,MATCH($C114,MERCADO!$A:$A,0)),
IF(CONCATENATE($A114,$B114)="CCOMP",INDEX(COMPOSICAO!$H:$H,MATCH($C114,COMPOSICAO!$A:$A,0)),""
)))))))),""))</f>
        <v>chi</v>
      </c>
      <c r="F114" s="182">
        <f>0.03*F108</f>
        <v>0.25199999999999995</v>
      </c>
      <c r="G114" s="144">
        <f>(IFERROR(
IF(CONCATENATE($A114,$B114)="IDER-ES",INDEX('IDER-ES'!$D:$D,MATCH($C114,'IDER-ES'!$A:$A,0)),
IF(CONCATENATE($A114,$B114)="CIOPES",INDEX('CDER-ES'!$D:$D,MATCH($C114,'CDER-ES'!$A:$A,0)),
IF(CONCATENATE($A114,$B114)="ISINAPI",INDEX(ISINAPI!$E:$E,MATCH($C114,ISINAPI!$A:$A,0)),
IF(CONCATENATE($A114,$B114)="CSINAPI",INDEX(CSINAPI!$D:$D,MATCH($C114,CSINAPI!$A:$A,0)),
IF(CONCATENATE($A114,$B114)="CCESAN",INDEX(CCESAN!$D:$D,MATCH($C114,CCESAN!$A:$A,0)),
IF(CONCATENATE($A114,$B114)="CSCORIO",INDEX(CSCORIO!$B:$B,MATCH($C114,CSCORIO!#REF!,0)),
IF(CONCATENATE($A114,$B114)="MERC",INDEX(MERCADO!$E:$E,MATCH($C114,MERCADO!$A:$A,0)),
IF(CONCATENATE($A114,$B114)="CCOMP",INDEX(COMPOSICAO!$H:$H,MATCH($C114,COMPOSICAO!$A:$A,0)),""
)))))))),""))</f>
        <v>28.28</v>
      </c>
      <c r="H114" s="144">
        <f t="shared" si="20"/>
        <v>7.13</v>
      </c>
    </row>
    <row r="115" spans="1:9" ht="25.5">
      <c r="A115" s="141" t="s">
        <v>21960</v>
      </c>
      <c r="B115" s="141" t="s">
        <v>1019</v>
      </c>
      <c r="C115" s="141">
        <v>102193</v>
      </c>
      <c r="D115" s="142" t="str">
        <f>PROPER(IFERROR(
IF(C115="","",
IF(CONCATENATE($A115,$B115)="IDER-ES",INDEX('IDER-ES'!$B:$B,MATCH($C115,'IDER-ES'!$A:$A,0)),
IF(CONCATENATE($A115,$B115)="CDER-ES",INDEX('CDER-ES'!$B:$B,MATCH($C115,'CDER-ES'!$A:$A,0)),
IF(CONCATENATE($A115,$B115)="ISINAPI",INDEX(ISINAPI!$B:$B,MATCH($C115,ISINAPI!$A:$A,0)),
IF(CONCATENATE($A115,$B115)="CSINAPI",INDEX(CSINAPI!$B:$B,MATCH($C115,CSINAPI!$A:$A,0)),
IF(CONCATENATE($A115,$B115)="CCESAN",INDEX(CCESAN!$B:$B,MATCH($C115,CCESAN!$A:$A,0)),
IF(CONCATENATE($A115,$B115)="CSCORIO",INDEX(CSCORIO!#REF!,MATCH($C115,CSCORIO!#REF!,0)),
IF(CONCATENATE($A115,$B115)="MERC",INDEX(MERCADO!$B:$B,MATCH($C115,MERCADO!$A:$A,0)),
IF(CONCATENATE($A115,$B115)="CCOMP",INDEX(COMPOSICAO!$B:$B,MATCH($C115,COMPOSICAO!$A:$A,0)),""
))))))))),"*Verificar código*"))</f>
        <v>Lixamento De Madeira Para Aplicação De Fundo Ou Pintura. Af_01/2021</v>
      </c>
      <c r="E115" s="143" t="str">
        <f>LOWER(IFERROR(
IF(CONCATENATE($A115,$B115)="IDER-ES",INDEX('IDER-ES'!$C:$C,MATCH($C115,'IDER-ES'!$A:$A,0)),
IF(CONCATENATE($A115,$B115)="CIOPES",INDEX('CDER-ES'!$C:$C,MATCH($C115,'CDER-ES'!$A:$A,0)),
IF(CONCATENATE($A115,$B115)="ISINAPI",INDEX(ISINAPI!$C:$C,MATCH($C115,ISINAPI!$A:$A,0)),
IF(CONCATENATE($A115,$B115)="CSINAPI",INDEX(CSINAPI!$C:$C,MATCH($C115,CSINAPI!$A:$A,0)),
IF(CONCATENATE($A115,$B115)="CCESAN",INDEX(CCESAN!$C:$C,MATCH($C115,CCESAN!$A:$A,0)),
IF(CONCATENATE($A115,$B115)="CSCORIO",INDEX(CSCORIO!$A:$A,MATCH($C115,CSCORIO!#REF!,0)),
IF(CONCATENATE($A115,$B115)="MERC",INDEX(MERCADO!$D:$D,MATCH($C115,MERCADO!$A:$A,0)),
IF(CONCATENATE($A115,$B115)="CCOMP",INDEX(COMPOSICAO!$H:$H,MATCH($C115,COMPOSICAO!$A:$A,0)),""
)))))))),""))</f>
        <v>m²</v>
      </c>
      <c r="F115" s="182">
        <f>F108*0.14</f>
        <v>1.1759999999999999</v>
      </c>
      <c r="G115" s="144">
        <f>(IFERROR(
IF(CONCATENATE($A115,$B115)="IDER-ES",INDEX('IDER-ES'!$D:$D,MATCH($C115,'IDER-ES'!$A:$A,0)),
IF(CONCATENATE($A115,$B115)="CIOPES",INDEX('CDER-ES'!$D:$D,MATCH($C115,'CDER-ES'!$A:$A,0)),
IF(CONCATENATE($A115,$B115)="ISINAPI",INDEX(ISINAPI!$E:$E,MATCH($C115,ISINAPI!$A:$A,0)),
IF(CONCATENATE($A115,$B115)="CSINAPI",INDEX(CSINAPI!$D:$D,MATCH($C115,CSINAPI!$A:$A,0)),
IF(CONCATENATE($A115,$B115)="CCESAN",INDEX(CCESAN!$D:$D,MATCH($C115,CCESAN!$A:$A,0)),
IF(CONCATENATE($A115,$B115)="CSCORIO",INDEX(CSCORIO!$B:$B,MATCH($C115,CSCORIO!#REF!,0)),
IF(CONCATENATE($A115,$B115)="MERC",INDEX(MERCADO!$E:$E,MATCH($C115,MERCADO!$A:$A,0)),
IF(CONCATENATE($A115,$B115)="CCOMP",INDEX(COMPOSICAO!$H:$H,MATCH($C115,COMPOSICAO!$A:$A,0)),""
)))))))),""))</f>
        <v>2.0499999999999998</v>
      </c>
      <c r="H115" s="144">
        <f t="shared" si="20"/>
        <v>2.41</v>
      </c>
    </row>
    <row r="116" spans="1:9" ht="38.25">
      <c r="A116" s="141" t="s">
        <v>21960</v>
      </c>
      <c r="B116" s="141" t="s">
        <v>1019</v>
      </c>
      <c r="C116" s="141">
        <v>102215</v>
      </c>
      <c r="D116" s="142" t="str">
        <f>PROPER(IFERROR(
IF(C116="","",
IF(CONCATENATE($A116,$B116)="IDER-ES",INDEX('IDER-ES'!$B:$B,MATCH($C116,'IDER-ES'!$A:$A,0)),
IF(CONCATENATE($A116,$B116)="CDER-ES",INDEX('CDER-ES'!$B:$B,MATCH($C116,'CDER-ES'!$A:$A,0)),
IF(CONCATENATE($A116,$B116)="ISINAPI",INDEX(ISINAPI!$B:$B,MATCH($C116,ISINAPI!$A:$A,0)),
IF(CONCATENATE($A116,$B116)="CSINAPI",INDEX(CSINAPI!$B:$B,MATCH($C116,CSINAPI!$A:$A,0)),
IF(CONCATENATE($A116,$B116)="CCESAN",INDEX(CCESAN!$B:$B,MATCH($C116,CCESAN!$A:$A,0)),
IF(CONCATENATE($A116,$B116)="CSCORIO",INDEX(CSCORIO!#REF!,MATCH($C116,CSCORIO!#REF!,0)),
IF(CONCATENATE($A116,$B116)="MERC",INDEX(MERCADO!$B:$B,MATCH($C116,MERCADO!$A:$A,0)),
IF(CONCATENATE($A116,$B116)="CCOMP",INDEX(COMPOSICAO!$B:$B,MATCH($C116,COMPOSICAO!$A:$A,0)),""
))))))))),"*Verificar código*"))</f>
        <v>Pintura Verniz (Incolor) Poliuretânico (Resina Alquídica Modificada) Em Madeira, 2 Demãos. Af_01/2021</v>
      </c>
      <c r="E116" s="143" t="str">
        <f>LOWER(IFERROR(
IF(CONCATENATE($A116,$B116)="IDER-ES",INDEX('IDER-ES'!$C:$C,MATCH($C116,'IDER-ES'!$A:$A,0)),
IF(CONCATENATE($A116,$B116)="CIOPES",INDEX('CDER-ES'!$C:$C,MATCH($C116,'CDER-ES'!$A:$A,0)),
IF(CONCATENATE($A116,$B116)="ISINAPI",INDEX(ISINAPI!$C:$C,MATCH($C116,ISINAPI!$A:$A,0)),
IF(CONCATENATE($A116,$B116)="CSINAPI",INDEX(CSINAPI!$C:$C,MATCH($C116,CSINAPI!$A:$A,0)),
IF(CONCATENATE($A116,$B116)="CCESAN",INDEX(CCESAN!$C:$C,MATCH($C116,CCESAN!$A:$A,0)),
IF(CONCATENATE($A116,$B116)="CSCORIO",INDEX(CSCORIO!$A:$A,MATCH($C116,CSCORIO!#REF!,0)),
IF(CONCATENATE($A116,$B116)="MERC",INDEX(MERCADO!$D:$D,MATCH($C116,MERCADO!$A:$A,0)),
IF(CONCATENATE($A116,$B116)="CCOMP",INDEX(COMPOSICAO!$H:$H,MATCH($C116,COMPOSICAO!$A:$A,0)),""
)))))))),""))</f>
        <v>m²</v>
      </c>
      <c r="F116" s="182">
        <f>F115</f>
        <v>1.1759999999999999</v>
      </c>
      <c r="G116" s="144">
        <f>(IFERROR(
IF(CONCATENATE($A116,$B116)="IDER-ES",INDEX('IDER-ES'!$D:$D,MATCH($C116,'IDER-ES'!$A:$A,0)),
IF(CONCATENATE($A116,$B116)="CIOPES",INDEX('CDER-ES'!$D:$D,MATCH($C116,'CDER-ES'!$A:$A,0)),
IF(CONCATENATE($A116,$B116)="ISINAPI",INDEX(ISINAPI!$E:$E,MATCH($C116,ISINAPI!$A:$A,0)),
IF(CONCATENATE($A116,$B116)="CSINAPI",INDEX(CSINAPI!$D:$D,MATCH($C116,CSINAPI!$A:$A,0)),
IF(CONCATENATE($A116,$B116)="CCESAN",INDEX(CCESAN!$D:$D,MATCH($C116,CCESAN!$A:$A,0)),
IF(CONCATENATE($A116,$B116)="CSCORIO",INDEX(CSCORIO!$B:$B,MATCH($C116,CSCORIO!#REF!,0)),
IF(CONCATENATE($A116,$B116)="MERC",INDEX(MERCADO!$E:$E,MATCH($C116,MERCADO!$A:$A,0)),
IF(CONCATENATE($A116,$B116)="CCOMP",INDEX(COMPOSICAO!$H:$H,MATCH($C116,COMPOSICAO!$A:$A,0)),""
)))))))),""))</f>
        <v>16.75</v>
      </c>
      <c r="H116" s="144">
        <f t="shared" si="20"/>
        <v>19.7</v>
      </c>
    </row>
    <row r="118" spans="1:9" s="135" customFormat="1" ht="20.100000000000001" customHeight="1">
      <c r="A118" s="186" t="s">
        <v>1020</v>
      </c>
      <c r="B118" s="405" t="s">
        <v>1022</v>
      </c>
      <c r="C118" s="406"/>
      <c r="D118" s="406"/>
      <c r="E118" s="406"/>
      <c r="F118" s="407"/>
      <c r="G118" s="133" t="s">
        <v>19692</v>
      </c>
      <c r="H118" s="134" t="s">
        <v>19678</v>
      </c>
      <c r="I118" s="263"/>
    </row>
    <row r="119" spans="1:9" ht="15" customHeight="1">
      <c r="A119" s="136">
        <f>COUNTIF($A$4:$A118,$A$4)</f>
        <v>10</v>
      </c>
      <c r="B119" s="408" t="s">
        <v>28965</v>
      </c>
      <c r="C119" s="409"/>
      <c r="D119" s="409"/>
      <c r="E119" s="409"/>
      <c r="F119" s="410"/>
      <c r="G119" s="137" t="s">
        <v>2067</v>
      </c>
      <c r="H119" s="211">
        <f>SUM(H121:H126)</f>
        <v>18.950000000000003</v>
      </c>
    </row>
    <row r="120" spans="1:9" ht="30" customHeight="1">
      <c r="A120" s="139" t="s">
        <v>1026</v>
      </c>
      <c r="B120" s="139" t="s">
        <v>1027</v>
      </c>
      <c r="C120" s="139" t="s">
        <v>31</v>
      </c>
      <c r="D120" s="139" t="s">
        <v>1023</v>
      </c>
      <c r="E120" s="139" t="s">
        <v>32</v>
      </c>
      <c r="F120" s="183" t="s">
        <v>2343</v>
      </c>
      <c r="G120" s="140" t="s">
        <v>19676</v>
      </c>
      <c r="H120" s="140" t="s">
        <v>19677</v>
      </c>
    </row>
    <row r="121" spans="1:9" ht="25.5">
      <c r="A121" s="141"/>
      <c r="B121" s="141" t="s">
        <v>1021</v>
      </c>
      <c r="C121" s="141">
        <v>5</v>
      </c>
      <c r="D121" s="142" t="str">
        <f>PROPER(IFERROR(
IF(C121="","",
IF(CONCATENATE($A121,$B121)="IDER-ES",INDEX('IDER-ES'!$B:$B,MATCH($C121,'IDER-ES'!$A:$A,0)),
IF(CONCATENATE($A121,$B121)="CDER-ES",INDEX('CDER-ES'!$B:$B,MATCH($C121,'CDER-ES'!$A:$A,0)),
IF(CONCATENATE($A121,$B121)="ISINAPI",INDEX(ISINAPI!$B:$B,MATCH($C121,ISINAPI!$A:$A,0)),
IF(CONCATENATE($A121,$B121)="CSINAPI",INDEX(CSINAPI!$B:$B,MATCH($C121,CSINAPI!$A:$A,0)),
IF(CONCATENATE($A121,$B121)="CCESAN",INDEX(CCESAN!$B:$B,MATCH($C121,CCESAN!$A:$A,0)),
IF(CONCATENATE($A121,$B121)="CSCORIO",INDEX(CSCORIO!#REF!,MATCH($C121,CSCORIO!#REF!,0)),
IF(CONCATENATE($A121,$B121)="MERC",INDEX(MERCADO!$B:$B,MATCH($C121,MERCADO!$A:$A,0)),
IF(CONCATENATE($A121,$B121)="CCOMP",INDEX(COMPOSICAO!$B:$B,MATCH($C121,COMPOSICAO!$A:$A,0)),""
))))))))),"*Verificar código*"))</f>
        <v>Tubo Vde E Joelho 90° (Azul), Dn 38 Mm</v>
      </c>
      <c r="E121" s="143" t="str">
        <f>LOWER(IFERROR(
IF(CONCATENATE($A121,$B121)="IDER-ES",INDEX('IDER-ES'!$C:$C,MATCH($C121,'IDER-ES'!$A:$A,0)),
IF(CONCATENATE($A121,$B121)="CIOPES",INDEX('CDER-ES'!$C:$C,MATCH($C121,'CDER-ES'!$A:$A,0)),
IF(CONCATENATE($A121,$B121)="ISINAPI",INDEX(ISINAPI!$C:$C,MATCH($C121,ISINAPI!$A:$A,0)),
IF(CONCATENATE($A121,$B121)="CSINAPI",INDEX(CSINAPI!$C:$C,MATCH($C121,CSINAPI!$A:$A,0)),
IF(CONCATENATE($A121,$B121)="CCESAN",INDEX(CCESAN!$C:$C,MATCH($C121,CCESAN!$A:$A,0)),
IF(CONCATENATE($A121,$B121)="CSCORIO",INDEX(CSCORIO!$A:$A,MATCH($C121,CSCORIO!#REF!,0)),
IF(CONCATENATE($A121,$B121)="MERC",INDEX(MERCADO!$D:$D,MATCH($C121,MERCADO!$A:$A,0)),
IF(CONCATENATE($A121,$B121)="CCOMP",INDEX(COMPOSICAO!$H:$H,MATCH($C121,COMPOSICAO!$A:$A,0)),""
)))))))),""))</f>
        <v>und</v>
      </c>
      <c r="F121" s="182">
        <v>1</v>
      </c>
      <c r="G121" s="284">
        <f>(IFERROR(
IF(CONCATENATE($A121,$B121)="IDER-ES",INDEX('IDER-ES'!$D:$D,MATCH($C121,'IDER-ES'!$A:$A,0)),
IF(CONCATENATE($A121,$B121)="CIOPES",INDEX('CDER-ES'!$D:$D,MATCH($C121,'CDER-ES'!$A:$A,0)),
IF(CONCATENATE($A121,$B121)="ISINAPI",INDEX(ISINAPI!$E:$E,MATCH($C121,ISINAPI!$A:$A,0)),
IF(CONCATENATE($A121,$B121)="CSINAPI",INDEX(CSINAPI!$D:$D,MATCH($C121,CSINAPI!$A:$A,0)),
IF(CONCATENATE($A121,$B121)="CCESAN",INDEX(CCESAN!$D:$D,MATCH($C121,CCESAN!$A:$A,0)),
IF(CONCATENATE($A121,$B121)="CSCORIO",INDEX(CSCORIO!$B:$B,MATCH($C121,CSCORIO!#REF!,0)),
IF(CONCATENATE($A121,$B121)="MERC",INDEX(MERCADO!$E:$E,MATCH($C121,MERCADO!$A:$A,0)),
IF(CONCATENATE($A121,$B121)="CCOMP",INDEX(COMPOSICAO!$H:$H,MATCH($C121,COMPOSICAO!$A:$A,0)),""
)))))))),""))</f>
        <v>13.06</v>
      </c>
      <c r="H121" s="144">
        <f t="shared" ref="H121:H126" si="21">IF(B121="","",ROUND(G121*F121,2))</f>
        <v>13.06</v>
      </c>
    </row>
    <row r="122" spans="1:9" ht="25.5">
      <c r="A122" s="141" t="s">
        <v>26621</v>
      </c>
      <c r="B122" s="141" t="s">
        <v>1019</v>
      </c>
      <c r="C122" s="141">
        <v>122</v>
      </c>
      <c r="D122" s="142" t="str">
        <f>PROPER(IFERROR(
IF(C122="","",
IF(CONCATENATE($A122,$B122)="IDER-ES",INDEX('IDER-ES'!$B:$B,MATCH($C122,'IDER-ES'!$A:$A,0)),
IF(CONCATENATE($A122,$B122)="CDER-ES",INDEX('CDER-ES'!$B:$B,MATCH($C122,'CDER-ES'!$A:$A,0)),
IF(CONCATENATE($A122,$B122)="ISINAPI",INDEX(ISINAPI!$B:$B,MATCH($C122,ISINAPI!$A:$A,0)),
IF(CONCATENATE($A122,$B122)="CSINAPI",INDEX(CSINAPI!$B:$B,MATCH($C122,CSINAPI!$A:$A,0)),
IF(CONCATENATE($A122,$B122)="CCESAN",INDEX(CCESAN!$B:$B,MATCH($C122,CCESAN!$A:$A,0)),
IF(CONCATENATE($A122,$B122)="CSCORIO",INDEX(CSCORIO!#REF!,MATCH($C122,CSCORIO!#REF!,0)),
IF(CONCATENATE($A122,$B122)="MERC",INDEX(MERCADO!$B:$B,MATCH($C122,MERCADO!$A:$A,0)),
IF(CONCATENATE($A122,$B122)="CCOMP",INDEX(COMPOSICAO!$B:$B,MATCH($C122,COMPOSICAO!$A:$A,0)),""
))))))))),"*Verificar código*"))</f>
        <v xml:space="preserve">Adesivo Plastico Para Pvc, Frasco Com *850* Gr                                                                                                                                                                                                                                                                                                                                                                                                                                                            </v>
      </c>
      <c r="E122" s="143" t="str">
        <f>LOWER(IFERROR(
IF(CONCATENATE($A122,$B122)="IDER-ES",INDEX('IDER-ES'!$C:$C,MATCH($C122,'IDER-ES'!$A:$A,0)),
IF(CONCATENATE($A122,$B122)="CIOPES",INDEX('CDER-ES'!$C:$C,MATCH($C122,'CDER-ES'!$A:$A,0)),
IF(CONCATENATE($A122,$B122)="ISINAPI",INDEX(ISINAPI!$C:$C,MATCH($C122,ISINAPI!$A:$A,0)),
IF(CONCATENATE($A122,$B122)="CSINAPI",INDEX(CSINAPI!$C:$C,MATCH($C122,CSINAPI!$A:$A,0)),
IF(CONCATENATE($A122,$B122)="CCESAN",INDEX(CCESAN!$C:$C,MATCH($C122,CCESAN!$A:$A,0)),
IF(CONCATENATE($A122,$B122)="CSCORIO",INDEX(CSCORIO!$A:$A,MATCH($C122,CSCORIO!#REF!,0)),
IF(CONCATENATE($A122,$B122)="MERC",INDEX(MERCADO!$D:$D,MATCH($C122,MERCADO!$A:$A,0)),
IF(CONCATENATE($A122,$B122)="CCOMP",INDEX(COMPOSICAO!$H:$H,MATCH($C122,COMPOSICAO!$A:$A,0)),""
)))))))),""))</f>
        <v xml:space="preserve">un    </v>
      </c>
      <c r="F122" s="182">
        <v>0.01</v>
      </c>
      <c r="G122" s="144">
        <f>(IFERROR(
IF(CONCATENATE($A122,$B122)="IDER-ES",INDEX('IDER-ES'!$D:$D,MATCH($C122,'IDER-ES'!$A:$A,0)),
IF(CONCATENATE($A122,$B122)="CIOPES",INDEX('CDER-ES'!$D:$D,MATCH($C122,'CDER-ES'!$A:$A,0)),
IF(CONCATENATE($A122,$B122)="ISINAPI",INDEX(ISINAPI!$E:$E,MATCH($C122,ISINAPI!$A:$A,0)),
IF(CONCATENATE($A122,$B122)="CSINAPI",INDEX(CSINAPI!$D:$D,MATCH($C122,CSINAPI!$A:$A,0)),
IF(CONCATENATE($A122,$B122)="CCESAN",INDEX(CCESAN!$D:$D,MATCH($C122,CCESAN!$A:$A,0)),
IF(CONCATENATE($A122,$B122)="CSCORIO",INDEX(CSCORIO!$B:$B,MATCH($C122,CSCORIO!#REF!,0)),
IF(CONCATENATE($A122,$B122)="MERC",INDEX(MERCADO!$E:$E,MATCH($C122,MERCADO!$A:$A,0)),
IF(CONCATENATE($A122,$B122)="CCOMP",INDEX(COMPOSICAO!$H:$H,MATCH($C122,COMPOSICAO!$A:$A,0)),""
)))))))),""))</f>
        <v>71.78</v>
      </c>
      <c r="H122" s="144">
        <f t="shared" si="21"/>
        <v>0.72</v>
      </c>
    </row>
    <row r="123" spans="1:9" ht="25.5">
      <c r="A123" s="141" t="s">
        <v>26621</v>
      </c>
      <c r="B123" s="141" t="s">
        <v>1019</v>
      </c>
      <c r="C123" s="141">
        <v>20083</v>
      </c>
      <c r="D123" s="142" t="str">
        <f>PROPER(IFERROR(
IF(C123="","",
IF(CONCATENATE($A123,$B123)="IDER-ES",INDEX('IDER-ES'!$B:$B,MATCH($C123,'IDER-ES'!$A:$A,0)),
IF(CONCATENATE($A123,$B123)="CDER-ES",INDEX('CDER-ES'!$B:$B,MATCH($C123,'CDER-ES'!$A:$A,0)),
IF(CONCATENATE($A123,$B123)="ISINAPI",INDEX(ISINAPI!$B:$B,MATCH($C123,ISINAPI!$A:$A,0)),
IF(CONCATENATE($A123,$B123)="CSINAPI",INDEX(CSINAPI!$B:$B,MATCH($C123,CSINAPI!$A:$A,0)),
IF(CONCATENATE($A123,$B123)="CCESAN",INDEX(CCESAN!$B:$B,MATCH($C123,CCESAN!$A:$A,0)),
IF(CONCATENATE($A123,$B123)="CSCORIO",INDEX(CSCORIO!#REF!,MATCH($C123,CSCORIO!#REF!,0)),
IF(CONCATENATE($A123,$B123)="MERC",INDEX(MERCADO!$B:$B,MATCH($C123,MERCADO!$A:$A,0)),
IF(CONCATENATE($A123,$B123)="CCOMP",INDEX(COMPOSICAO!$B:$B,MATCH($C123,COMPOSICAO!$A:$A,0)),""
))))))))),"*Verificar código*"))</f>
        <v xml:space="preserve">Solucao Preparadora / Limpadora Para Pvc, Frasco Com 1000 Cm3                                                                                                                                                                                                                                                                                                                                                                                                                                             </v>
      </c>
      <c r="E123" s="143" t="str">
        <f>LOWER(IFERROR(
IF(CONCATENATE($A123,$B123)="IDER-ES",INDEX('IDER-ES'!$C:$C,MATCH($C123,'IDER-ES'!$A:$A,0)),
IF(CONCATENATE($A123,$B123)="CIOPES",INDEX('CDER-ES'!$C:$C,MATCH($C123,'CDER-ES'!$A:$A,0)),
IF(CONCATENATE($A123,$B123)="ISINAPI",INDEX(ISINAPI!$C:$C,MATCH($C123,ISINAPI!$A:$A,0)),
IF(CONCATENATE($A123,$B123)="CSINAPI",INDEX(CSINAPI!$C:$C,MATCH($C123,CSINAPI!$A:$A,0)),
IF(CONCATENATE($A123,$B123)="CCESAN",INDEX(CCESAN!$C:$C,MATCH($C123,CCESAN!$A:$A,0)),
IF(CONCATENATE($A123,$B123)="CSCORIO",INDEX(CSCORIO!$A:$A,MATCH($C123,CSCORIO!#REF!,0)),
IF(CONCATENATE($A123,$B123)="MERC",INDEX(MERCADO!$D:$D,MATCH($C123,MERCADO!$A:$A,0)),
IF(CONCATENATE($A123,$B123)="CCOMP",INDEX(COMPOSICAO!$H:$H,MATCH($C123,COMPOSICAO!$A:$A,0)),""
)))))))),""))</f>
        <v xml:space="preserve">un    </v>
      </c>
      <c r="F123" s="182">
        <v>1.4999999999999999E-2</v>
      </c>
      <c r="G123" s="144">
        <f>(IFERROR(
IF(CONCATENATE($A123,$B123)="IDER-ES",INDEX('IDER-ES'!$D:$D,MATCH($C123,'IDER-ES'!$A:$A,0)),
IF(CONCATENATE($A123,$B123)="CIOPES",INDEX('CDER-ES'!$D:$D,MATCH($C123,'CDER-ES'!$A:$A,0)),
IF(CONCATENATE($A123,$B123)="ISINAPI",INDEX(ISINAPI!$E:$E,MATCH($C123,ISINAPI!$A:$A,0)),
IF(CONCATENATE($A123,$B123)="CSINAPI",INDEX(CSINAPI!$D:$D,MATCH($C123,CSINAPI!$A:$A,0)),
IF(CONCATENATE($A123,$B123)="CCESAN",INDEX(CCESAN!$D:$D,MATCH($C123,CCESAN!$A:$A,0)),
IF(CONCATENATE($A123,$B123)="CSCORIO",INDEX(CSCORIO!$B:$B,MATCH($C123,CSCORIO!#REF!,0)),
IF(CONCATENATE($A123,$B123)="MERC",INDEX(MERCADO!$E:$E,MATCH($C123,MERCADO!$A:$A,0)),
IF(CONCATENATE($A123,$B123)="CCOMP",INDEX(COMPOSICAO!$H:$H,MATCH($C123,COMPOSICAO!$A:$A,0)),""
)))))))),""))</f>
        <v>81.33</v>
      </c>
      <c r="H123" s="144">
        <f t="shared" si="21"/>
        <v>1.22</v>
      </c>
    </row>
    <row r="124" spans="1:9">
      <c r="A124" s="141" t="s">
        <v>26621</v>
      </c>
      <c r="B124" s="141" t="s">
        <v>1019</v>
      </c>
      <c r="C124" s="141">
        <v>38383</v>
      </c>
      <c r="D124" s="142" t="str">
        <f>PROPER(IFERROR(
IF(C124="","",
IF(CONCATENATE($A124,$B124)="IDER-ES",INDEX('IDER-ES'!$B:$B,MATCH($C124,'IDER-ES'!$A:$A,0)),
IF(CONCATENATE($A124,$B124)="CDER-ES",INDEX('CDER-ES'!$B:$B,MATCH($C124,'CDER-ES'!$A:$A,0)),
IF(CONCATENATE($A124,$B124)="ISINAPI",INDEX(ISINAPI!$B:$B,MATCH($C124,ISINAPI!$A:$A,0)),
IF(CONCATENATE($A124,$B124)="CSINAPI",INDEX(CSINAPI!$B:$B,MATCH($C124,CSINAPI!$A:$A,0)),
IF(CONCATENATE($A124,$B124)="CCESAN",INDEX(CCESAN!$B:$B,MATCH($C124,CCESAN!$A:$A,0)),
IF(CONCATENATE($A124,$B124)="CSCORIO",INDEX(CSCORIO!#REF!,MATCH($C124,CSCORIO!#REF!,0)),
IF(CONCATENATE($A124,$B124)="MERC",INDEX(MERCADO!$B:$B,MATCH($C124,MERCADO!$A:$A,0)),
IF(CONCATENATE($A124,$B124)="CCOMP",INDEX(COMPOSICAO!$B:$B,MATCH($C124,COMPOSICAO!$A:$A,0)),""
))))))))),"*Verificar código*"))</f>
        <v xml:space="preserve">Lixa D'Agua Em Folha, Grao 100                                                                                                                                                                                                                                                                                                                                                                                                                                                                            </v>
      </c>
      <c r="E124" s="143" t="str">
        <f>LOWER(IFERROR(
IF(CONCATENATE($A124,$B124)="IDER-ES",INDEX('IDER-ES'!$C:$C,MATCH($C124,'IDER-ES'!$A:$A,0)),
IF(CONCATENATE($A124,$B124)="CIOPES",INDEX('CDER-ES'!$C:$C,MATCH($C124,'CDER-ES'!$A:$A,0)),
IF(CONCATENATE($A124,$B124)="ISINAPI",INDEX(ISINAPI!$C:$C,MATCH($C124,ISINAPI!$A:$A,0)),
IF(CONCATENATE($A124,$B124)="CSINAPI",INDEX(CSINAPI!$C:$C,MATCH($C124,CSINAPI!$A:$A,0)),
IF(CONCATENATE($A124,$B124)="CCESAN",INDEX(CCESAN!$C:$C,MATCH($C124,CCESAN!$A:$A,0)),
IF(CONCATENATE($A124,$B124)="CSCORIO",INDEX(CSCORIO!$A:$A,MATCH($C124,CSCORIO!#REF!,0)),
IF(CONCATENATE($A124,$B124)="MERC",INDEX(MERCADO!$D:$D,MATCH($C124,MERCADO!$A:$A,0)),
IF(CONCATENATE($A124,$B124)="CCOMP",INDEX(COMPOSICAO!$H:$H,MATCH($C124,COMPOSICAO!$A:$A,0)),""
)))))))),""))</f>
        <v xml:space="preserve">un    </v>
      </c>
      <c r="F124" s="182">
        <v>2.1000000000000001E-2</v>
      </c>
      <c r="G124" s="144">
        <f>(IFERROR(
IF(CONCATENATE($A124,$B124)="IDER-ES",INDEX('IDER-ES'!$D:$D,MATCH($C124,'IDER-ES'!$A:$A,0)),
IF(CONCATENATE($A124,$B124)="CIOPES",INDEX('CDER-ES'!$D:$D,MATCH($C124,'CDER-ES'!$A:$A,0)),
IF(CONCATENATE($A124,$B124)="ISINAPI",INDEX(ISINAPI!$E:$E,MATCH($C124,ISINAPI!$A:$A,0)),
IF(CONCATENATE($A124,$B124)="CSINAPI",INDEX(CSINAPI!$D:$D,MATCH($C124,CSINAPI!$A:$A,0)),
IF(CONCATENATE($A124,$B124)="CCESAN",INDEX(CCESAN!$D:$D,MATCH($C124,CCESAN!$A:$A,0)),
IF(CONCATENATE($A124,$B124)="CSCORIO",INDEX(CSCORIO!$B:$B,MATCH($C124,CSCORIO!#REF!,0)),
IF(CONCATENATE($A124,$B124)="MERC",INDEX(MERCADO!$E:$E,MATCH($C124,MERCADO!$A:$A,0)),
IF(CONCATENATE($A124,$B124)="CCOMP",INDEX(COMPOSICAO!$H:$H,MATCH($C124,COMPOSICAO!$A:$A,0)),""
)))))))),""))</f>
        <v>1.99</v>
      </c>
      <c r="H124" s="144">
        <f t="shared" si="21"/>
        <v>0.04</v>
      </c>
    </row>
    <row r="125" spans="1:9" ht="38.25">
      <c r="A125" s="141" t="s">
        <v>21960</v>
      </c>
      <c r="B125" s="141" t="s">
        <v>1019</v>
      </c>
      <c r="C125" s="141">
        <v>88248</v>
      </c>
      <c r="D125" s="142" t="str">
        <f>PROPER(IFERROR(
IF(C125="","",
IF(CONCATENATE($A125,$B125)="IDER-ES",INDEX('IDER-ES'!$B:$B,MATCH($C125,'IDER-ES'!$A:$A,0)),
IF(CONCATENATE($A125,$B125)="CDER-ES",INDEX('CDER-ES'!$B:$B,MATCH($C125,'CDER-ES'!$A:$A,0)),
IF(CONCATENATE($A125,$B125)="ISINAPI",INDEX(ISINAPI!$B:$B,MATCH($C125,ISINAPI!$A:$A,0)),
IF(CONCATENATE($A125,$B125)="CSINAPI",INDEX(CSINAPI!$B:$B,MATCH($C125,CSINAPI!$A:$A,0)),
IF(CONCATENATE($A125,$B125)="CCESAN",INDEX(CCESAN!$B:$B,MATCH($C125,CCESAN!$A:$A,0)),
IF(CONCATENATE($A125,$B125)="CSCORIO",INDEX(CSCORIO!#REF!,MATCH($C125,CSCORIO!#REF!,0)),
IF(CONCATENATE($A125,$B125)="MERC",INDEX(MERCADO!$B:$B,MATCH($C125,MERCADO!$A:$A,0)),
IF(CONCATENATE($A125,$B125)="CCOMP",INDEX(COMPOSICAO!$B:$B,MATCH($C125,COMPOSICAO!$A:$A,0)),""
))))))))),"*Verificar código*"))</f>
        <v>Auxiliar De Encanador Ou Bombeiro Hidráulico Com Encargos Complementares</v>
      </c>
      <c r="E125" s="143" t="str">
        <f>LOWER(IFERROR(
IF(CONCATENATE($A125,$B125)="IDER-ES",INDEX('IDER-ES'!$C:$C,MATCH($C125,'IDER-ES'!$A:$A,0)),
IF(CONCATENATE($A125,$B125)="CIOPES",INDEX('CDER-ES'!$C:$C,MATCH($C125,'CDER-ES'!$A:$A,0)),
IF(CONCATENATE($A125,$B125)="ISINAPI",INDEX(ISINAPI!$C:$C,MATCH($C125,ISINAPI!$A:$A,0)),
IF(CONCATENATE($A125,$B125)="CSINAPI",INDEX(CSINAPI!$C:$C,MATCH($C125,CSINAPI!$A:$A,0)),
IF(CONCATENATE($A125,$B125)="CCESAN",INDEX(CCESAN!$C:$C,MATCH($C125,CCESAN!$A:$A,0)),
IF(CONCATENATE($A125,$B125)="CSCORIO",INDEX(CSCORIO!$A:$A,MATCH($C125,CSCORIO!#REF!,0)),
IF(CONCATENATE($A125,$B125)="MERC",INDEX(MERCADO!$D:$D,MATCH($C125,MERCADO!$A:$A,0)),
IF(CONCATENATE($A125,$B125)="CCOMP",INDEX(COMPOSICAO!$H:$H,MATCH($C125,COMPOSICAO!$A:$A,0)),""
)))))))),""))</f>
        <v>h</v>
      </c>
      <c r="F125" s="182">
        <v>0.1</v>
      </c>
      <c r="G125" s="144">
        <f>(IFERROR(
IF(CONCATENATE($A125,$B125)="IDER-ES",INDEX('IDER-ES'!$D:$D,MATCH($C125,'IDER-ES'!$A:$A,0)),
IF(CONCATENATE($A125,$B125)="CIOPES",INDEX('CDER-ES'!$D:$D,MATCH($C125,'CDER-ES'!$A:$A,0)),
IF(CONCATENATE($A125,$B125)="ISINAPI",INDEX(ISINAPI!$E:$E,MATCH($C125,ISINAPI!$A:$A,0)),
IF(CONCATENATE($A125,$B125)="CSINAPI",INDEX(CSINAPI!$D:$D,MATCH($C125,CSINAPI!$A:$A,0)),
IF(CONCATENATE($A125,$B125)="CCESAN",INDEX(CCESAN!$D:$D,MATCH($C125,CCESAN!$A:$A,0)),
IF(CONCATENATE($A125,$B125)="CSCORIO",INDEX(CSCORIO!$B:$B,MATCH($C125,CSCORIO!#REF!,0)),
IF(CONCATENATE($A125,$B125)="MERC",INDEX(MERCADO!$E:$E,MATCH($C125,MERCADO!$A:$A,0)),
IF(CONCATENATE($A125,$B125)="CCOMP",INDEX(COMPOSICAO!$H:$H,MATCH($C125,COMPOSICAO!$A:$A,0)),""
)))))))),""))</f>
        <v>17.190000000000001</v>
      </c>
      <c r="H125" s="144">
        <f t="shared" si="21"/>
        <v>1.72</v>
      </c>
    </row>
    <row r="126" spans="1:9" ht="25.5">
      <c r="A126" s="141" t="s">
        <v>21960</v>
      </c>
      <c r="B126" s="141" t="s">
        <v>1019</v>
      </c>
      <c r="C126" s="141">
        <v>88267</v>
      </c>
      <c r="D126" s="142" t="str">
        <f>PROPER(IFERROR(
IF(C126="","",
IF(CONCATENATE($A126,$B126)="IDER-ES",INDEX('IDER-ES'!$B:$B,MATCH($C126,'IDER-ES'!$A:$A,0)),
IF(CONCATENATE($A126,$B126)="CDER-ES",INDEX('CDER-ES'!$B:$B,MATCH($C126,'CDER-ES'!$A:$A,0)),
IF(CONCATENATE($A126,$B126)="ISINAPI",INDEX(ISINAPI!$B:$B,MATCH($C126,ISINAPI!$A:$A,0)),
IF(CONCATENATE($A126,$B126)="CSINAPI",INDEX(CSINAPI!$B:$B,MATCH($C126,CSINAPI!$A:$A,0)),
IF(CONCATENATE($A126,$B126)="CCESAN",INDEX(CCESAN!$B:$B,MATCH($C126,CCESAN!$A:$A,0)),
IF(CONCATENATE($A126,$B126)="CSCORIO",INDEX(CSCORIO!#REF!,MATCH($C126,CSCORIO!#REF!,0)),
IF(CONCATENATE($A126,$B126)="MERC",INDEX(MERCADO!$B:$B,MATCH($C126,MERCADO!$A:$A,0)),
IF(CONCATENATE($A126,$B126)="CCOMP",INDEX(COMPOSICAO!$B:$B,MATCH($C126,COMPOSICAO!$A:$A,0)),""
))))))))),"*Verificar código*"))</f>
        <v>Encanador Ou Bombeiro Hidráulico Com Encargos Complementares</v>
      </c>
      <c r="E126" s="143" t="str">
        <f>LOWER(IFERROR(
IF(CONCATENATE($A126,$B126)="IDER-ES",INDEX('IDER-ES'!$C:$C,MATCH($C126,'IDER-ES'!$A:$A,0)),
IF(CONCATENATE($A126,$B126)="CIOPES",INDEX('CDER-ES'!$C:$C,MATCH($C126,'CDER-ES'!$A:$A,0)),
IF(CONCATENATE($A126,$B126)="ISINAPI",INDEX(ISINAPI!$C:$C,MATCH($C126,ISINAPI!$A:$A,0)),
IF(CONCATENATE($A126,$B126)="CSINAPI",INDEX(CSINAPI!$C:$C,MATCH($C126,CSINAPI!$A:$A,0)),
IF(CONCATENATE($A126,$B126)="CCESAN",INDEX(CCESAN!$C:$C,MATCH($C126,CCESAN!$A:$A,0)),
IF(CONCATENATE($A126,$B126)="CSCORIO",INDEX(CSCORIO!$A:$A,MATCH($C126,CSCORIO!#REF!,0)),
IF(CONCATENATE($A126,$B126)="MERC",INDEX(MERCADO!$D:$D,MATCH($C126,MERCADO!$A:$A,0)),
IF(CONCATENATE($A126,$B126)="CCOMP",INDEX(COMPOSICAO!$H:$H,MATCH($C126,COMPOSICAO!$A:$A,0)),""
)))))))),""))</f>
        <v>h</v>
      </c>
      <c r="F126" s="182">
        <v>0.1</v>
      </c>
      <c r="G126" s="144">
        <f>(IFERROR(
IF(CONCATENATE($A126,$B126)="IDER-ES",INDEX('IDER-ES'!$D:$D,MATCH($C126,'IDER-ES'!$A:$A,0)),
IF(CONCATENATE($A126,$B126)="CIOPES",INDEX('CDER-ES'!$D:$D,MATCH($C126,'CDER-ES'!$A:$A,0)),
IF(CONCATENATE($A126,$B126)="ISINAPI",INDEX(ISINAPI!$E:$E,MATCH($C126,ISINAPI!$A:$A,0)),
IF(CONCATENATE($A126,$B126)="CSINAPI",INDEX(CSINAPI!$D:$D,MATCH($C126,CSINAPI!$A:$A,0)),
IF(CONCATENATE($A126,$B126)="CCESAN",INDEX(CCESAN!$D:$D,MATCH($C126,CCESAN!$A:$A,0)),
IF(CONCATENATE($A126,$B126)="CSCORIO",INDEX(CSCORIO!$B:$B,MATCH($C126,CSCORIO!#REF!,0)),
IF(CONCATENATE($A126,$B126)="MERC",INDEX(MERCADO!$E:$E,MATCH($C126,MERCADO!$A:$A,0)),
IF(CONCATENATE($A126,$B126)="CCOMP",INDEX(COMPOSICAO!$H:$H,MATCH($C126,COMPOSICAO!$A:$A,0)),""
)))))))),""))</f>
        <v>21.94</v>
      </c>
      <c r="H126" s="144">
        <f t="shared" si="21"/>
        <v>2.19</v>
      </c>
    </row>
    <row r="128" spans="1:9" s="135" customFormat="1" ht="20.100000000000001" customHeight="1">
      <c r="A128" s="186" t="s">
        <v>1020</v>
      </c>
      <c r="B128" s="405" t="s">
        <v>1022</v>
      </c>
      <c r="C128" s="406"/>
      <c r="D128" s="406"/>
      <c r="E128" s="406"/>
      <c r="F128" s="407"/>
      <c r="G128" s="133" t="s">
        <v>19692</v>
      </c>
      <c r="H128" s="134" t="s">
        <v>19678</v>
      </c>
      <c r="I128" s="263"/>
    </row>
    <row r="129" spans="1:9" ht="30" customHeight="1">
      <c r="A129" s="136">
        <f>COUNTIF($A$4:$A128,$A$4)</f>
        <v>11</v>
      </c>
      <c r="B129" s="408" t="s">
        <v>28969</v>
      </c>
      <c r="C129" s="409"/>
      <c r="D129" s="409"/>
      <c r="E129" s="409"/>
      <c r="F129" s="410"/>
      <c r="G129" s="137" t="s">
        <v>19692</v>
      </c>
      <c r="H129" s="211">
        <f>SUM(H131:H135)</f>
        <v>44.109999999999992</v>
      </c>
    </row>
    <row r="130" spans="1:9" ht="30" customHeight="1">
      <c r="A130" s="139" t="s">
        <v>1026</v>
      </c>
      <c r="B130" s="139" t="s">
        <v>1027</v>
      </c>
      <c r="C130" s="139" t="s">
        <v>31</v>
      </c>
      <c r="D130" s="139" t="s">
        <v>1023</v>
      </c>
      <c r="E130" s="139" t="s">
        <v>32</v>
      </c>
      <c r="F130" s="183" t="s">
        <v>2343</v>
      </c>
      <c r="G130" s="140" t="s">
        <v>19676</v>
      </c>
      <c r="H130" s="140" t="s">
        <v>19677</v>
      </c>
    </row>
    <row r="131" spans="1:9" ht="25.5">
      <c r="A131" s="141" t="s">
        <v>26621</v>
      </c>
      <c r="B131" s="141" t="s">
        <v>1019</v>
      </c>
      <c r="C131" s="141">
        <v>301</v>
      </c>
      <c r="D131" s="142" t="str">
        <f>PROPER(IFERROR(
IF(C131="","",
IF(CONCATENATE($A131,$B131)="IDER-ES",INDEX('IDER-ES'!$B:$B,MATCH($C131,'IDER-ES'!$A:$A,0)),
IF(CONCATENATE($A131,$B131)="CDER-ES",INDEX('CDER-ES'!$B:$B,MATCH($C131,'CDER-ES'!$A:$A,0)),
IF(CONCATENATE($A131,$B131)="ISINAPI",INDEX(ISINAPI!$B:$B,MATCH($C131,ISINAPI!$A:$A,0)),
IF(CONCATENATE($A131,$B131)="CSINAPI",INDEX(CSINAPI!$B:$B,MATCH($C131,CSINAPI!$A:$A,0)),
IF(CONCATENATE($A131,$B131)="CCESAN",INDEX(CCESAN!$B:$B,MATCH($C131,CCESAN!$A:$A,0)),
IF(CONCATENATE($A131,$B131)="CSCORIO",INDEX(CSCORIO!#REF!,MATCH($C131,CSCORIO!#REF!,0)),
IF(CONCATENATE($A131,$B131)="MERC",INDEX(MERCADO!$B:$B,MATCH($C131,MERCADO!$A:$A,0)),
IF(CONCATENATE($A131,$B131)="CCOMP",INDEX(COMPOSICAO!$B:$B,MATCH($C131,COMPOSICAO!$A:$A,0)),""
))))))))),"*Verificar código*"))</f>
        <v xml:space="preserve">Anel Borracha Para Tubo Esgoto Predial, Dn 100 Mm (Nbr 5688)                                                                                                                                                                                                                                                                                                                                                                                                                                              </v>
      </c>
      <c r="E131" s="143" t="str">
        <f>LOWER(IFERROR(
IF(CONCATENATE($A131,$B131)="IDER-ES",INDEX('IDER-ES'!$C:$C,MATCH($C131,'IDER-ES'!$A:$A,0)),
IF(CONCATENATE($A131,$B131)="CIOPES",INDEX('CDER-ES'!$C:$C,MATCH($C131,'CDER-ES'!$A:$A,0)),
IF(CONCATENATE($A131,$B131)="ISINAPI",INDEX(ISINAPI!$C:$C,MATCH($C131,ISINAPI!$A:$A,0)),
IF(CONCATENATE($A131,$B131)="CSINAPI",INDEX(CSINAPI!$C:$C,MATCH($C131,CSINAPI!$A:$A,0)),
IF(CONCATENATE($A131,$B131)="CCESAN",INDEX(CCESAN!$C:$C,MATCH($C131,CCESAN!$A:$A,0)),
IF(CONCATENATE($A131,$B131)="CSCORIO",INDEX(CSCORIO!$A:$A,MATCH($C131,CSCORIO!#REF!,0)),
IF(CONCATENATE($A131,$B131)="MERC",INDEX(MERCADO!$D:$D,MATCH($C131,MERCADO!$A:$A,0)),
IF(CONCATENATE($A131,$B131)="CCOMP",INDEX(COMPOSICAO!$H:$H,MATCH($C131,COMPOSICAO!$A:$A,0)),""
)))))))),""))</f>
        <v xml:space="preserve">un    </v>
      </c>
      <c r="F131" s="182">
        <v>2</v>
      </c>
      <c r="G131" s="284">
        <f>(IFERROR(
IF(CONCATENATE($A131,$B131)="IDER-ES",INDEX('IDER-ES'!$D:$D,MATCH($C131,'IDER-ES'!$A:$A,0)),
IF(CONCATENATE($A131,$B131)="CIOPES",INDEX('CDER-ES'!$D:$D,MATCH($C131,'CDER-ES'!$A:$A,0)),
IF(CONCATENATE($A131,$B131)="ISINAPI",INDEX(ISINAPI!$E:$E,MATCH($C131,ISINAPI!$A:$A,0)),
IF(CONCATENATE($A131,$B131)="CSINAPI",INDEX(CSINAPI!$D:$D,MATCH($C131,CSINAPI!$A:$A,0)),
IF(CONCATENATE($A131,$B131)="CCESAN",INDEX(CCESAN!$D:$D,MATCH($C131,CCESAN!$A:$A,0)),
IF(CONCATENATE($A131,$B131)="CSCORIO",INDEX(CSCORIO!$B:$B,MATCH($C131,CSCORIO!#REF!,0)),
IF(CONCATENATE($A131,$B131)="MERC",INDEX(MERCADO!$E:$E,MATCH($C131,MERCADO!$A:$A,0)),
IF(CONCATENATE($A131,$B131)="CCOMP",INDEX(COMPOSICAO!$H:$H,MATCH($C131,COMPOSICAO!$A:$A,0)),""
)))))))),""))</f>
        <v>3.53</v>
      </c>
      <c r="H131" s="144">
        <f>IF(B131="","",ROUND(G131*F131,2))</f>
        <v>7.06</v>
      </c>
    </row>
    <row r="132" spans="1:9" ht="25.5">
      <c r="A132" s="141" t="s">
        <v>26621</v>
      </c>
      <c r="B132" s="141" t="s">
        <v>1019</v>
      </c>
      <c r="C132" s="141">
        <v>11655</v>
      </c>
      <c r="D132" s="142" t="str">
        <f>PROPER(IFERROR(
IF(C132="","",
IF(CONCATENATE($A132,$B132)="IDER-ES",INDEX('IDER-ES'!$B:$B,MATCH($C132,'IDER-ES'!$A:$A,0)),
IF(CONCATENATE($A132,$B132)="CDER-ES",INDEX('CDER-ES'!$B:$B,MATCH($C132,'CDER-ES'!$A:$A,0)),
IF(CONCATENATE($A132,$B132)="ISINAPI",INDEX(ISINAPI!$B:$B,MATCH($C132,ISINAPI!$A:$A,0)),
IF(CONCATENATE($A132,$B132)="CSINAPI",INDEX(CSINAPI!$B:$B,MATCH($C132,CSINAPI!$A:$A,0)),
IF(CONCATENATE($A132,$B132)="CCESAN",INDEX(CCESAN!$B:$B,MATCH($C132,CCESAN!$A:$A,0)),
IF(CONCATENATE($A132,$B132)="CSCORIO",INDEX(CSCORIO!#REF!,MATCH($C132,CSCORIO!#REF!,0)),
IF(CONCATENATE($A132,$B132)="MERC",INDEX(MERCADO!$B:$B,MATCH($C132,MERCADO!$A:$A,0)),
IF(CONCATENATE($A132,$B132)="CCOMP",INDEX(COMPOSICAO!$B:$B,MATCH($C132,COMPOSICAO!$A:$A,0)),""
))))))))),"*Verificar código*"))</f>
        <v xml:space="preserve">Te Sanitario, Pvc, Dn 100 X 50 Mm, Serie Normal, Para Esgoto Predial                                                                                                                                                                                                                                                                                                                                                                                                                                      </v>
      </c>
      <c r="E132" s="143" t="str">
        <f>LOWER(IFERROR(
IF(CONCATENATE($A132,$B132)="IDER-ES",INDEX('IDER-ES'!$C:$C,MATCH($C132,'IDER-ES'!$A:$A,0)),
IF(CONCATENATE($A132,$B132)="CIOPES",INDEX('CDER-ES'!$C:$C,MATCH($C132,'CDER-ES'!$A:$A,0)),
IF(CONCATENATE($A132,$B132)="ISINAPI",INDEX(ISINAPI!$C:$C,MATCH($C132,ISINAPI!$A:$A,0)),
IF(CONCATENATE($A132,$B132)="CSINAPI",INDEX(CSINAPI!$C:$C,MATCH($C132,CSINAPI!$A:$A,0)),
IF(CONCATENATE($A132,$B132)="CCESAN",INDEX(CCESAN!$C:$C,MATCH($C132,CCESAN!$A:$A,0)),
IF(CONCATENATE($A132,$B132)="CSCORIO",INDEX(CSCORIO!$A:$A,MATCH($C132,CSCORIO!#REF!,0)),
IF(CONCATENATE($A132,$B132)="MERC",INDEX(MERCADO!$D:$D,MATCH($C132,MERCADO!$A:$A,0)),
IF(CONCATENATE($A132,$B132)="CCOMP",INDEX(COMPOSICAO!$H:$H,MATCH($C132,COMPOSICAO!$A:$A,0)),""
)))))))),""))</f>
        <v xml:space="preserve">un    </v>
      </c>
      <c r="F132" s="182">
        <v>1</v>
      </c>
      <c r="G132" s="144">
        <f>(IFERROR(
IF(CONCATENATE($A132,$B132)="IDER-ES",INDEX('IDER-ES'!$D:$D,MATCH($C132,'IDER-ES'!$A:$A,0)),
IF(CONCATENATE($A132,$B132)="CIOPES",INDEX('CDER-ES'!$D:$D,MATCH($C132,'CDER-ES'!$A:$A,0)),
IF(CONCATENATE($A132,$B132)="ISINAPI",INDEX(ISINAPI!$E:$E,MATCH($C132,ISINAPI!$A:$A,0)),
IF(CONCATENATE($A132,$B132)="CSINAPI",INDEX(CSINAPI!$D:$D,MATCH($C132,CSINAPI!$A:$A,0)),
IF(CONCATENATE($A132,$B132)="CCESAN",INDEX(CCESAN!$D:$D,MATCH($C132,CCESAN!$A:$A,0)),
IF(CONCATENATE($A132,$B132)="CSCORIO",INDEX(CSCORIO!$B:$B,MATCH($C132,CSCORIO!#REF!,0)),
IF(CONCATENATE($A132,$B132)="MERC",INDEX(MERCADO!$E:$E,MATCH($C132,MERCADO!$A:$A,0)),
IF(CONCATENATE($A132,$B132)="CCOMP",INDEX(COMPOSICAO!$H:$H,MATCH($C132,COMPOSICAO!$A:$A,0)),""
)))))))),""))</f>
        <v>23.47</v>
      </c>
      <c r="H132" s="144">
        <f>IF(B132="","",ROUND(G132*F132,2))</f>
        <v>23.47</v>
      </c>
    </row>
    <row r="133" spans="1:9" ht="25.5">
      <c r="A133" s="141" t="s">
        <v>26621</v>
      </c>
      <c r="B133" s="141" t="s">
        <v>1019</v>
      </c>
      <c r="C133" s="141">
        <v>20083</v>
      </c>
      <c r="D133" s="142" t="str">
        <f>PROPER(IFERROR(
IF(C133="","",
IF(CONCATENATE($A133,$B133)="IDER-ES",INDEX('IDER-ES'!$B:$B,MATCH($C133,'IDER-ES'!$A:$A,0)),
IF(CONCATENATE($A133,$B133)="CDER-ES",INDEX('CDER-ES'!$B:$B,MATCH($C133,'CDER-ES'!$A:$A,0)),
IF(CONCATENATE($A133,$B133)="ISINAPI",INDEX(ISINAPI!$B:$B,MATCH($C133,ISINAPI!$A:$A,0)),
IF(CONCATENATE($A133,$B133)="CSINAPI",INDEX(CSINAPI!$B:$B,MATCH($C133,CSINAPI!$A:$A,0)),
IF(CONCATENATE($A133,$B133)="CCESAN",INDEX(CCESAN!$B:$B,MATCH($C133,CCESAN!$A:$A,0)),
IF(CONCATENATE($A133,$B133)="CSCORIO",INDEX(CSCORIO!#REF!,MATCH($C133,CSCORIO!#REF!,0)),
IF(CONCATENATE($A133,$B133)="MERC",INDEX(MERCADO!$B:$B,MATCH($C133,MERCADO!$A:$A,0)),
IF(CONCATENATE($A133,$B133)="CCOMP",INDEX(COMPOSICAO!$B:$B,MATCH($C133,COMPOSICAO!$A:$A,0)),""
))))))))),"*Verificar código*"))</f>
        <v xml:space="preserve">Solucao Preparadora / Limpadora Para Pvc, Frasco Com 1000 Cm3                                                                                                                                                                                                                                                                                                                                                                                                                                             </v>
      </c>
      <c r="E133" s="143" t="str">
        <f>LOWER(IFERROR(
IF(CONCATENATE($A133,$B133)="IDER-ES",INDEX('IDER-ES'!$C:$C,MATCH($C133,'IDER-ES'!$A:$A,0)),
IF(CONCATENATE($A133,$B133)="CIOPES",INDEX('CDER-ES'!$C:$C,MATCH($C133,'CDER-ES'!$A:$A,0)),
IF(CONCATENATE($A133,$B133)="ISINAPI",INDEX(ISINAPI!$C:$C,MATCH($C133,ISINAPI!$A:$A,0)),
IF(CONCATENATE($A133,$B133)="CSINAPI",INDEX(CSINAPI!$C:$C,MATCH($C133,CSINAPI!$A:$A,0)),
IF(CONCATENATE($A133,$B133)="CCESAN",INDEX(CCESAN!$C:$C,MATCH($C133,CCESAN!$A:$A,0)),
IF(CONCATENATE($A133,$B133)="CSCORIO",INDEX(CSCORIO!$A:$A,MATCH($C133,CSCORIO!#REF!,0)),
IF(CONCATENATE($A133,$B133)="MERC",INDEX(MERCADO!$D:$D,MATCH($C133,MERCADO!$A:$A,0)),
IF(CONCATENATE($A133,$B133)="CCOMP",INDEX(COMPOSICAO!$H:$H,MATCH($C133,COMPOSICAO!$A:$A,0)),""
)))))))),""))</f>
        <v xml:space="preserve">un    </v>
      </c>
      <c r="F133" s="182">
        <v>0.09</v>
      </c>
      <c r="G133" s="144">
        <f>(IFERROR(
IF(CONCATENATE($A133,$B133)="IDER-ES",INDEX('IDER-ES'!$D:$D,MATCH($C133,'IDER-ES'!$A:$A,0)),
IF(CONCATENATE($A133,$B133)="CIOPES",INDEX('CDER-ES'!$D:$D,MATCH($C133,'CDER-ES'!$A:$A,0)),
IF(CONCATENATE($A133,$B133)="ISINAPI",INDEX(ISINAPI!$E:$E,MATCH($C133,ISINAPI!$A:$A,0)),
IF(CONCATENATE($A133,$B133)="CSINAPI",INDEX(CSINAPI!$D:$D,MATCH($C133,CSINAPI!$A:$A,0)),
IF(CONCATENATE($A133,$B133)="CCESAN",INDEX(CCESAN!$D:$D,MATCH($C133,CCESAN!$A:$A,0)),
IF(CONCATENATE($A133,$B133)="CSCORIO",INDEX(CSCORIO!$B:$B,MATCH($C133,CSCORIO!#REF!,0)),
IF(CONCATENATE($A133,$B133)="MERC",INDEX(MERCADO!$E:$E,MATCH($C133,MERCADO!$A:$A,0)),
IF(CONCATENATE($A133,$B133)="CCOMP",INDEX(COMPOSICAO!$H:$H,MATCH($C133,COMPOSICAO!$A:$A,0)),""
)))))))),""))</f>
        <v>81.33</v>
      </c>
      <c r="H133" s="144">
        <f>IF(B133="","",ROUND(G133*F133,2))</f>
        <v>7.32</v>
      </c>
    </row>
    <row r="134" spans="1:9" ht="38.25">
      <c r="A134" s="141" t="s">
        <v>21960</v>
      </c>
      <c r="B134" s="141" t="s">
        <v>1019</v>
      </c>
      <c r="C134" s="141">
        <v>88248</v>
      </c>
      <c r="D134" s="142" t="str">
        <f>PROPER(IFERROR(
IF(C134="","",
IF(CONCATENATE($A134,$B134)="IDER-ES",INDEX('IDER-ES'!$B:$B,MATCH($C134,'IDER-ES'!$A:$A,0)),
IF(CONCATENATE($A134,$B134)="CDER-ES",INDEX('CDER-ES'!$B:$B,MATCH($C134,'CDER-ES'!$A:$A,0)),
IF(CONCATENATE($A134,$B134)="ISINAPI",INDEX(ISINAPI!$B:$B,MATCH($C134,ISINAPI!$A:$A,0)),
IF(CONCATENATE($A134,$B134)="CSINAPI",INDEX(CSINAPI!$B:$B,MATCH($C134,CSINAPI!$A:$A,0)),
IF(CONCATENATE($A134,$B134)="CCESAN",INDEX(CCESAN!$B:$B,MATCH($C134,CCESAN!$A:$A,0)),
IF(CONCATENATE($A134,$B134)="CSCORIO",INDEX(CSCORIO!#REF!,MATCH($C134,CSCORIO!#REF!,0)),
IF(CONCATENATE($A134,$B134)="MERC",INDEX(MERCADO!$B:$B,MATCH($C134,MERCADO!$A:$A,0)),
IF(CONCATENATE($A134,$B134)="CCOMP",INDEX(COMPOSICAO!$B:$B,MATCH($C134,COMPOSICAO!$A:$A,0)),""
))))))))),"*Verificar código*"))</f>
        <v>Auxiliar De Encanador Ou Bombeiro Hidráulico Com Encargos Complementares</v>
      </c>
      <c r="E134" s="143" t="str">
        <f>LOWER(IFERROR(
IF(CONCATENATE($A134,$B134)="IDER-ES",INDEX('IDER-ES'!$C:$C,MATCH($C134,'IDER-ES'!$A:$A,0)),
IF(CONCATENATE($A134,$B134)="CIOPES",INDEX('CDER-ES'!$C:$C,MATCH($C134,'CDER-ES'!$A:$A,0)),
IF(CONCATENATE($A134,$B134)="ISINAPI",INDEX(ISINAPI!$C:$C,MATCH($C134,ISINAPI!$A:$A,0)),
IF(CONCATENATE($A134,$B134)="CSINAPI",INDEX(CSINAPI!$C:$C,MATCH($C134,CSINAPI!$A:$A,0)),
IF(CONCATENATE($A134,$B134)="CCESAN",INDEX(CCESAN!$C:$C,MATCH($C134,CCESAN!$A:$A,0)),
IF(CONCATENATE($A134,$B134)="CSCORIO",INDEX(CSCORIO!$A:$A,MATCH($C134,CSCORIO!#REF!,0)),
IF(CONCATENATE($A134,$B134)="MERC",INDEX(MERCADO!$D:$D,MATCH($C134,MERCADO!$A:$A,0)),
IF(CONCATENATE($A134,$B134)="CCOMP",INDEX(COMPOSICAO!$H:$H,MATCH($C134,COMPOSICAO!$A:$A,0)),""
)))))))),""))</f>
        <v>h</v>
      </c>
      <c r="F134" s="182">
        <v>0.16</v>
      </c>
      <c r="G134" s="144">
        <f>(IFERROR(
IF(CONCATENATE($A134,$B134)="IDER-ES",INDEX('IDER-ES'!$D:$D,MATCH($C134,'IDER-ES'!$A:$A,0)),
IF(CONCATENATE($A134,$B134)="CIOPES",INDEX('CDER-ES'!$D:$D,MATCH($C134,'CDER-ES'!$A:$A,0)),
IF(CONCATENATE($A134,$B134)="ISINAPI",INDEX(ISINAPI!$E:$E,MATCH($C134,ISINAPI!$A:$A,0)),
IF(CONCATENATE($A134,$B134)="CSINAPI",INDEX(CSINAPI!$D:$D,MATCH($C134,CSINAPI!$A:$A,0)),
IF(CONCATENATE($A134,$B134)="CCESAN",INDEX(CCESAN!$D:$D,MATCH($C134,CCESAN!$A:$A,0)),
IF(CONCATENATE($A134,$B134)="CSCORIO",INDEX(CSCORIO!$B:$B,MATCH($C134,CSCORIO!#REF!,0)),
IF(CONCATENATE($A134,$B134)="MERC",INDEX(MERCADO!$E:$E,MATCH($C134,MERCADO!$A:$A,0)),
IF(CONCATENATE($A134,$B134)="CCOMP",INDEX(COMPOSICAO!$H:$H,MATCH($C134,COMPOSICAO!$A:$A,0)),""
)))))))),""))</f>
        <v>17.190000000000001</v>
      </c>
      <c r="H134" s="144">
        <f>IF(B134="","",ROUND(G134*F134,2))</f>
        <v>2.75</v>
      </c>
    </row>
    <row r="135" spans="1:9" ht="25.5">
      <c r="A135" s="141" t="s">
        <v>21960</v>
      </c>
      <c r="B135" s="141" t="s">
        <v>1019</v>
      </c>
      <c r="C135" s="141">
        <v>88267</v>
      </c>
      <c r="D135" s="142" t="str">
        <f>PROPER(IFERROR(
IF(C135="","",
IF(CONCATENATE($A135,$B135)="IDER-ES",INDEX('IDER-ES'!$B:$B,MATCH($C135,'IDER-ES'!$A:$A,0)),
IF(CONCATENATE($A135,$B135)="CDER-ES",INDEX('CDER-ES'!$B:$B,MATCH($C135,'CDER-ES'!$A:$A,0)),
IF(CONCATENATE($A135,$B135)="ISINAPI",INDEX(ISINAPI!$B:$B,MATCH($C135,ISINAPI!$A:$A,0)),
IF(CONCATENATE($A135,$B135)="CSINAPI",INDEX(CSINAPI!$B:$B,MATCH($C135,CSINAPI!$A:$A,0)),
IF(CONCATENATE($A135,$B135)="CCESAN",INDEX(CCESAN!$B:$B,MATCH($C135,CCESAN!$A:$A,0)),
IF(CONCATENATE($A135,$B135)="CSCORIO",INDEX(CSCORIO!#REF!,MATCH($C135,CSCORIO!#REF!,0)),
IF(CONCATENATE($A135,$B135)="MERC",INDEX(MERCADO!$B:$B,MATCH($C135,MERCADO!$A:$A,0)),
IF(CONCATENATE($A135,$B135)="CCOMP",INDEX(COMPOSICAO!$B:$B,MATCH($C135,COMPOSICAO!$A:$A,0)),""
))))))))),"*Verificar código*"))</f>
        <v>Encanador Ou Bombeiro Hidráulico Com Encargos Complementares</v>
      </c>
      <c r="E135" s="143" t="str">
        <f>LOWER(IFERROR(
IF(CONCATENATE($A135,$B135)="IDER-ES",INDEX('IDER-ES'!$C:$C,MATCH($C135,'IDER-ES'!$A:$A,0)),
IF(CONCATENATE($A135,$B135)="CIOPES",INDEX('CDER-ES'!$C:$C,MATCH($C135,'CDER-ES'!$A:$A,0)),
IF(CONCATENATE($A135,$B135)="ISINAPI",INDEX(ISINAPI!$C:$C,MATCH($C135,ISINAPI!$A:$A,0)),
IF(CONCATENATE($A135,$B135)="CSINAPI",INDEX(CSINAPI!$C:$C,MATCH($C135,CSINAPI!$A:$A,0)),
IF(CONCATENATE($A135,$B135)="CCESAN",INDEX(CCESAN!$C:$C,MATCH($C135,CCESAN!$A:$A,0)),
IF(CONCATENATE($A135,$B135)="CSCORIO",INDEX(CSCORIO!$A:$A,MATCH($C135,CSCORIO!#REF!,0)),
IF(CONCATENATE($A135,$B135)="MERC",INDEX(MERCADO!$D:$D,MATCH($C135,MERCADO!$A:$A,0)),
IF(CONCATENATE($A135,$B135)="CCOMP",INDEX(COMPOSICAO!$H:$H,MATCH($C135,COMPOSICAO!$A:$A,0)),""
)))))))),""))</f>
        <v>h</v>
      </c>
      <c r="F135" s="182">
        <v>0.16</v>
      </c>
      <c r="G135" s="144">
        <f>(IFERROR(
IF(CONCATENATE($A135,$B135)="IDER-ES",INDEX('IDER-ES'!$D:$D,MATCH($C135,'IDER-ES'!$A:$A,0)),
IF(CONCATENATE($A135,$B135)="CIOPES",INDEX('CDER-ES'!$D:$D,MATCH($C135,'CDER-ES'!$A:$A,0)),
IF(CONCATENATE($A135,$B135)="ISINAPI",INDEX(ISINAPI!$E:$E,MATCH($C135,ISINAPI!$A:$A,0)),
IF(CONCATENATE($A135,$B135)="CSINAPI",INDEX(CSINAPI!$D:$D,MATCH($C135,CSINAPI!$A:$A,0)),
IF(CONCATENATE($A135,$B135)="CCESAN",INDEX(CCESAN!$D:$D,MATCH($C135,CCESAN!$A:$A,0)),
IF(CONCATENATE($A135,$B135)="CSCORIO",INDEX(CSCORIO!$B:$B,MATCH($C135,CSCORIO!#REF!,0)),
IF(CONCATENATE($A135,$B135)="MERC",INDEX(MERCADO!$E:$E,MATCH($C135,MERCADO!$A:$A,0)),
IF(CONCATENATE($A135,$B135)="CCOMP",INDEX(COMPOSICAO!$H:$H,MATCH($C135,COMPOSICAO!$A:$A,0)),""
)))))))),""))</f>
        <v>21.94</v>
      </c>
      <c r="H135" s="144">
        <f>IF(B135="","",ROUND(G135*F135,2))</f>
        <v>3.51</v>
      </c>
    </row>
    <row r="137" spans="1:9" s="135" customFormat="1" ht="20.100000000000001" customHeight="1">
      <c r="A137" s="186" t="s">
        <v>1020</v>
      </c>
      <c r="B137" s="405" t="s">
        <v>1022</v>
      </c>
      <c r="C137" s="406"/>
      <c r="D137" s="406"/>
      <c r="E137" s="406"/>
      <c r="F137" s="407"/>
      <c r="G137" s="133" t="s">
        <v>19692</v>
      </c>
      <c r="H137" s="134" t="s">
        <v>19678</v>
      </c>
      <c r="I137" s="263"/>
    </row>
    <row r="138" spans="1:9" ht="30" customHeight="1">
      <c r="A138" s="136">
        <f>COUNTIF($A$4:$A137,$A$4)</f>
        <v>12</v>
      </c>
      <c r="B138" s="408" t="s">
        <v>28970</v>
      </c>
      <c r="C138" s="409"/>
      <c r="D138" s="409"/>
      <c r="E138" s="409"/>
      <c r="F138" s="410"/>
      <c r="G138" s="137" t="s">
        <v>19692</v>
      </c>
      <c r="H138" s="211">
        <f>SUM(H140:H143)</f>
        <v>36.369999999999997</v>
      </c>
    </row>
    <row r="139" spans="1:9" ht="30" customHeight="1">
      <c r="A139" s="139" t="s">
        <v>1026</v>
      </c>
      <c r="B139" s="139" t="s">
        <v>1027</v>
      </c>
      <c r="C139" s="139" t="s">
        <v>31</v>
      </c>
      <c r="D139" s="139" t="s">
        <v>1023</v>
      </c>
      <c r="E139" s="139" t="s">
        <v>32</v>
      </c>
      <c r="F139" s="183" t="s">
        <v>2343</v>
      </c>
      <c r="G139" s="140" t="s">
        <v>19676</v>
      </c>
      <c r="H139" s="140" t="s">
        <v>19677</v>
      </c>
    </row>
    <row r="140" spans="1:9" ht="25.5">
      <c r="A140" s="141" t="s">
        <v>26621</v>
      </c>
      <c r="B140" s="141" t="s">
        <v>1019</v>
      </c>
      <c r="C140" s="141">
        <v>39321</v>
      </c>
      <c r="D140" s="142" t="str">
        <f>PROPER(IFERROR(
IF(C140="","",
IF(CONCATENATE($A140,$B140)="IDER-ES",INDEX('IDER-ES'!$B:$B,MATCH($C140,'IDER-ES'!$A:$A,0)),
IF(CONCATENATE($A140,$B140)="CDER-ES",INDEX('CDER-ES'!$B:$B,MATCH($C140,'CDER-ES'!$A:$A,0)),
IF(CONCATENATE($A140,$B140)="ISINAPI",INDEX(ISINAPI!$B:$B,MATCH($C140,ISINAPI!$A:$A,0)),
IF(CONCATENATE($A140,$B140)="CSINAPI",INDEX(CSINAPI!$B:$B,MATCH($C140,CSINAPI!$A:$A,0)),
IF(CONCATENATE($A140,$B140)="CCESAN",INDEX(CCESAN!$B:$B,MATCH($C140,CCESAN!$A:$A,0)),
IF(CONCATENATE($A140,$B140)="CSCORIO",INDEX(CSCORIO!#REF!,MATCH($C140,CSCORIO!#REF!,0)),
IF(CONCATENATE($A140,$B140)="MERC",INDEX(MERCADO!$B:$B,MATCH($C140,MERCADO!$A:$A,0)),
IF(CONCATENATE($A140,$B140)="CCOMP",INDEX(COMPOSICAO!$B:$B,MATCH($C140,COMPOSICAO!$A:$A,0)),""
))))))))),"*Verificar código*"))</f>
        <v xml:space="preserve">Terminal De Ventilacao, 100 Mm, Serie Normal, Esgoto Predial                                                                                                                                                                                                                                                                                                                                                                                                                                              </v>
      </c>
      <c r="E140" s="143" t="str">
        <f>LOWER(IFERROR(
IF(CONCATENATE($A140,$B140)="IDER-ES",INDEX('IDER-ES'!$C:$C,MATCH($C140,'IDER-ES'!$A:$A,0)),
IF(CONCATENATE($A140,$B140)="CIOPES",INDEX('CDER-ES'!$C:$C,MATCH($C140,'CDER-ES'!$A:$A,0)),
IF(CONCATENATE($A140,$B140)="ISINAPI",INDEX(ISINAPI!$C:$C,MATCH($C140,ISINAPI!$A:$A,0)),
IF(CONCATENATE($A140,$B140)="CSINAPI",INDEX(CSINAPI!$C:$C,MATCH($C140,CSINAPI!$A:$A,0)),
IF(CONCATENATE($A140,$B140)="CCESAN",INDEX(CCESAN!$C:$C,MATCH($C140,CCESAN!$A:$A,0)),
IF(CONCATENATE($A140,$B140)="CSCORIO",INDEX(CSCORIO!$A:$A,MATCH($C140,CSCORIO!#REF!,0)),
IF(CONCATENATE($A140,$B140)="MERC",INDEX(MERCADO!$D:$D,MATCH($C140,MERCADO!$A:$A,0)),
IF(CONCATENATE($A140,$B140)="CCOMP",INDEX(COMPOSICAO!$H:$H,MATCH($C140,COMPOSICAO!$A:$A,0)),""
)))))))),""))</f>
        <v xml:space="preserve">un    </v>
      </c>
      <c r="F140" s="182">
        <v>1</v>
      </c>
      <c r="G140" s="284">
        <f>(IFERROR(
IF(CONCATENATE($A140,$B140)="IDER-ES",INDEX('IDER-ES'!$D:$D,MATCH($C140,'IDER-ES'!$A:$A,0)),
IF(CONCATENATE($A140,$B140)="CIOPES",INDEX('CDER-ES'!$D:$D,MATCH($C140,'CDER-ES'!$A:$A,0)),
IF(CONCATENATE($A140,$B140)="ISINAPI",INDEX(ISINAPI!$E:$E,MATCH($C140,ISINAPI!$A:$A,0)),
IF(CONCATENATE($A140,$B140)="CSINAPI",INDEX(CSINAPI!$D:$D,MATCH($C140,CSINAPI!$A:$A,0)),
IF(CONCATENATE($A140,$B140)="CCESAN",INDEX(CCESAN!$D:$D,MATCH($C140,CCESAN!$A:$A,0)),
IF(CONCATENATE($A140,$B140)="CSCORIO",INDEX(CSCORIO!$B:$B,MATCH($C140,CSCORIO!#REF!,0)),
IF(CONCATENATE($A140,$B140)="MERC",INDEX(MERCADO!$E:$E,MATCH($C140,MERCADO!$A:$A,0)),
IF(CONCATENATE($A140,$B140)="CCOMP",INDEX(COMPOSICAO!$H:$H,MATCH($C140,COMPOSICAO!$A:$A,0)),""
)))))))),""))</f>
        <v>27.05</v>
      </c>
      <c r="H140" s="144">
        <f>IF(B140="","",ROUND(G140*F140,2))</f>
        <v>27.05</v>
      </c>
    </row>
    <row r="141" spans="1:9" ht="51">
      <c r="A141" s="141" t="s">
        <v>26621</v>
      </c>
      <c r="B141" s="141" t="s">
        <v>1019</v>
      </c>
      <c r="C141" s="141">
        <v>20078</v>
      </c>
      <c r="D141" s="142" t="str">
        <f>PROPER(IFERROR(
IF(C141="","",
IF(CONCATENATE($A141,$B141)="IDER-ES",INDEX('IDER-ES'!$B:$B,MATCH($C141,'IDER-ES'!$A:$A,0)),
IF(CONCATENATE($A141,$B141)="CDER-ES",INDEX('CDER-ES'!$B:$B,MATCH($C141,'CDER-ES'!$A:$A,0)),
IF(CONCATENATE($A141,$B141)="ISINAPI",INDEX(ISINAPI!$B:$B,MATCH($C141,ISINAPI!$A:$A,0)),
IF(CONCATENATE($A141,$B141)="CSINAPI",INDEX(CSINAPI!$B:$B,MATCH($C141,CSINAPI!$A:$A,0)),
IF(CONCATENATE($A141,$B141)="CCESAN",INDEX(CCESAN!$B:$B,MATCH($C141,CCESAN!$A:$A,0)),
IF(CONCATENATE($A141,$B141)="CSCORIO",INDEX(CSCORIO!#REF!,MATCH($C141,CSCORIO!#REF!,0)),
IF(CONCATENATE($A141,$B141)="MERC",INDEX(MERCADO!$B:$B,MATCH($C141,MERCADO!$A:$A,0)),
IF(CONCATENATE($A141,$B141)="CCOMP",INDEX(COMPOSICAO!$B:$B,MATCH($C141,COMPOSICAO!$A:$A,0)),""
))))))))),"*Verificar código*"))</f>
        <v xml:space="preserve">Pasta Lubrificante Para Tubos E Conexoes Com Junta Elastica, Embalagem De *400* Gr (Uso Em Pvc, Aco, Polietileno E Outros)                                                                                                                                                                                                                                                                                                                                                                                </v>
      </c>
      <c r="E141" s="143" t="str">
        <f>LOWER(IFERROR(
IF(CONCATENATE($A141,$B141)="IDER-ES",INDEX('IDER-ES'!$C:$C,MATCH($C141,'IDER-ES'!$A:$A,0)),
IF(CONCATENATE($A141,$B141)="CIOPES",INDEX('CDER-ES'!$C:$C,MATCH($C141,'CDER-ES'!$A:$A,0)),
IF(CONCATENATE($A141,$B141)="ISINAPI",INDEX(ISINAPI!$C:$C,MATCH($C141,ISINAPI!$A:$A,0)),
IF(CONCATENATE($A141,$B141)="CSINAPI",INDEX(CSINAPI!$C:$C,MATCH($C141,CSINAPI!$A:$A,0)),
IF(CONCATENATE($A141,$B141)="CCESAN",INDEX(CCESAN!$C:$C,MATCH($C141,CCESAN!$A:$A,0)),
IF(CONCATENATE($A141,$B141)="CSCORIO",INDEX(CSCORIO!$A:$A,MATCH($C141,CSCORIO!#REF!,0)),
IF(CONCATENATE($A141,$B141)="MERC",INDEX(MERCADO!$D:$D,MATCH($C141,MERCADO!$A:$A,0)),
IF(CONCATENATE($A141,$B141)="CCOMP",INDEX(COMPOSICAO!$H:$H,MATCH($C141,COMPOSICAO!$A:$A,0)),""
)))))))),""))</f>
        <v xml:space="preserve">un    </v>
      </c>
      <c r="F141" s="182">
        <v>0.09</v>
      </c>
      <c r="G141" s="144">
        <f>(IFERROR(
IF(CONCATENATE($A141,$B141)="IDER-ES",INDEX('IDER-ES'!$D:$D,MATCH($C141,'IDER-ES'!$A:$A,0)),
IF(CONCATENATE($A141,$B141)="CIOPES",INDEX('CDER-ES'!$D:$D,MATCH($C141,'CDER-ES'!$A:$A,0)),
IF(CONCATENATE($A141,$B141)="ISINAPI",INDEX(ISINAPI!$E:$E,MATCH($C141,ISINAPI!$A:$A,0)),
IF(CONCATENATE($A141,$B141)="CSINAPI",INDEX(CSINAPI!$D:$D,MATCH($C141,CSINAPI!$A:$A,0)),
IF(CONCATENATE($A141,$B141)="CCESAN",INDEX(CCESAN!$D:$D,MATCH($C141,CCESAN!$A:$A,0)),
IF(CONCATENATE($A141,$B141)="CSCORIO",INDEX(CSCORIO!$B:$B,MATCH($C141,CSCORIO!#REF!,0)),
IF(CONCATENATE($A141,$B141)="MERC",INDEX(MERCADO!$E:$E,MATCH($C141,MERCADO!$A:$A,0)),
IF(CONCATENATE($A141,$B141)="CCOMP",INDEX(COMPOSICAO!$H:$H,MATCH($C141,COMPOSICAO!$A:$A,0)),""
)))))))),""))</f>
        <v>29.63</v>
      </c>
      <c r="H141" s="144">
        <f>IF(B141="","",ROUND(G141*F141,2))</f>
        <v>2.67</v>
      </c>
    </row>
    <row r="142" spans="1:9" ht="38.25">
      <c r="A142" s="141" t="s">
        <v>21960</v>
      </c>
      <c r="B142" s="141" t="s">
        <v>1019</v>
      </c>
      <c r="C142" s="141">
        <v>88248</v>
      </c>
      <c r="D142" s="142" t="str">
        <f>PROPER(IFERROR(
IF(C142="","",
IF(CONCATENATE($A142,$B142)="IDER-ES",INDEX('IDER-ES'!$B:$B,MATCH($C142,'IDER-ES'!$A:$A,0)),
IF(CONCATENATE($A142,$B142)="CDER-ES",INDEX('CDER-ES'!$B:$B,MATCH($C142,'CDER-ES'!$A:$A,0)),
IF(CONCATENATE($A142,$B142)="ISINAPI",INDEX(ISINAPI!$B:$B,MATCH($C142,ISINAPI!$A:$A,0)),
IF(CONCATENATE($A142,$B142)="CSINAPI",INDEX(CSINAPI!$B:$B,MATCH($C142,CSINAPI!$A:$A,0)),
IF(CONCATENATE($A142,$B142)="CCESAN",INDEX(CCESAN!$B:$B,MATCH($C142,CCESAN!$A:$A,0)),
IF(CONCATENATE($A142,$B142)="CSCORIO",INDEX(CSCORIO!#REF!,MATCH($C142,CSCORIO!#REF!,0)),
IF(CONCATENATE($A142,$B142)="MERC",INDEX(MERCADO!$B:$B,MATCH($C142,MERCADO!$A:$A,0)),
IF(CONCATENATE($A142,$B142)="CCOMP",INDEX(COMPOSICAO!$B:$B,MATCH($C142,COMPOSICAO!$A:$A,0)),""
))))))))),"*Verificar código*"))</f>
        <v>Auxiliar De Encanador Ou Bombeiro Hidráulico Com Encargos Complementares</v>
      </c>
      <c r="E142" s="143" t="str">
        <f>LOWER(IFERROR(
IF(CONCATENATE($A142,$B142)="IDER-ES",INDEX('IDER-ES'!$C:$C,MATCH($C142,'IDER-ES'!$A:$A,0)),
IF(CONCATENATE($A142,$B142)="CIOPES",INDEX('CDER-ES'!$C:$C,MATCH($C142,'CDER-ES'!$A:$A,0)),
IF(CONCATENATE($A142,$B142)="ISINAPI",INDEX(ISINAPI!$C:$C,MATCH($C142,ISINAPI!$A:$A,0)),
IF(CONCATENATE($A142,$B142)="CSINAPI",INDEX(CSINAPI!$C:$C,MATCH($C142,CSINAPI!$A:$A,0)),
IF(CONCATENATE($A142,$B142)="CCESAN",INDEX(CCESAN!$C:$C,MATCH($C142,CCESAN!$A:$A,0)),
IF(CONCATENATE($A142,$B142)="CSCORIO",INDEX(CSCORIO!$A:$A,MATCH($C142,CSCORIO!#REF!,0)),
IF(CONCATENATE($A142,$B142)="MERC",INDEX(MERCADO!$D:$D,MATCH($C142,MERCADO!$A:$A,0)),
IF(CONCATENATE($A142,$B142)="CCOMP",INDEX(COMPOSICAO!$H:$H,MATCH($C142,COMPOSICAO!$A:$A,0)),""
)))))))),""))</f>
        <v>h</v>
      </c>
      <c r="F142" s="182">
        <v>0.17</v>
      </c>
      <c r="G142" s="144">
        <f>(IFERROR(
IF(CONCATENATE($A142,$B142)="IDER-ES",INDEX('IDER-ES'!$D:$D,MATCH($C142,'IDER-ES'!$A:$A,0)),
IF(CONCATENATE($A142,$B142)="CIOPES",INDEX('CDER-ES'!$D:$D,MATCH($C142,'CDER-ES'!$A:$A,0)),
IF(CONCATENATE($A142,$B142)="ISINAPI",INDEX(ISINAPI!$E:$E,MATCH($C142,ISINAPI!$A:$A,0)),
IF(CONCATENATE($A142,$B142)="CSINAPI",INDEX(CSINAPI!$D:$D,MATCH($C142,CSINAPI!$A:$A,0)),
IF(CONCATENATE($A142,$B142)="CCESAN",INDEX(CCESAN!$D:$D,MATCH($C142,CCESAN!$A:$A,0)),
IF(CONCATENATE($A142,$B142)="CSCORIO",INDEX(CSCORIO!$B:$B,MATCH($C142,CSCORIO!#REF!,0)),
IF(CONCATENATE($A142,$B142)="MERC",INDEX(MERCADO!$E:$E,MATCH($C142,MERCADO!$A:$A,0)),
IF(CONCATENATE($A142,$B142)="CCOMP",INDEX(COMPOSICAO!$H:$H,MATCH($C142,COMPOSICAO!$A:$A,0)),""
)))))))),""))</f>
        <v>17.190000000000001</v>
      </c>
      <c r="H142" s="144">
        <f>IF(B142="","",ROUND(G142*F142,2))</f>
        <v>2.92</v>
      </c>
    </row>
    <row r="143" spans="1:9" ht="25.5">
      <c r="A143" s="141" t="s">
        <v>21960</v>
      </c>
      <c r="B143" s="141" t="s">
        <v>1019</v>
      </c>
      <c r="C143" s="141">
        <v>88267</v>
      </c>
      <c r="D143" s="142" t="str">
        <f>PROPER(IFERROR(
IF(C143="","",
IF(CONCATENATE($A143,$B143)="IDER-ES",INDEX('IDER-ES'!$B:$B,MATCH($C143,'IDER-ES'!$A:$A,0)),
IF(CONCATENATE($A143,$B143)="CDER-ES",INDEX('CDER-ES'!$B:$B,MATCH($C143,'CDER-ES'!$A:$A,0)),
IF(CONCATENATE($A143,$B143)="ISINAPI",INDEX(ISINAPI!$B:$B,MATCH($C143,ISINAPI!$A:$A,0)),
IF(CONCATENATE($A143,$B143)="CSINAPI",INDEX(CSINAPI!$B:$B,MATCH($C143,CSINAPI!$A:$A,0)),
IF(CONCATENATE($A143,$B143)="CCESAN",INDEX(CCESAN!$B:$B,MATCH($C143,CCESAN!$A:$A,0)),
IF(CONCATENATE($A143,$B143)="CSCORIO",INDEX(CSCORIO!#REF!,MATCH($C143,CSCORIO!#REF!,0)),
IF(CONCATENATE($A143,$B143)="MERC",INDEX(MERCADO!$B:$B,MATCH($C143,MERCADO!$A:$A,0)),
IF(CONCATENATE($A143,$B143)="CCOMP",INDEX(COMPOSICAO!$B:$B,MATCH($C143,COMPOSICAO!$A:$A,0)),""
))))))))),"*Verificar código*"))</f>
        <v>Encanador Ou Bombeiro Hidráulico Com Encargos Complementares</v>
      </c>
      <c r="E143" s="143" t="str">
        <f>LOWER(IFERROR(
IF(CONCATENATE($A143,$B143)="IDER-ES",INDEX('IDER-ES'!$C:$C,MATCH($C143,'IDER-ES'!$A:$A,0)),
IF(CONCATENATE($A143,$B143)="CIOPES",INDEX('CDER-ES'!$C:$C,MATCH($C143,'CDER-ES'!$A:$A,0)),
IF(CONCATENATE($A143,$B143)="ISINAPI",INDEX(ISINAPI!$C:$C,MATCH($C143,ISINAPI!$A:$A,0)),
IF(CONCATENATE($A143,$B143)="CSINAPI",INDEX(CSINAPI!$C:$C,MATCH($C143,CSINAPI!$A:$A,0)),
IF(CONCATENATE($A143,$B143)="CCESAN",INDEX(CCESAN!$C:$C,MATCH($C143,CCESAN!$A:$A,0)),
IF(CONCATENATE($A143,$B143)="CSCORIO",INDEX(CSCORIO!$A:$A,MATCH($C143,CSCORIO!#REF!,0)),
IF(CONCATENATE($A143,$B143)="MERC",INDEX(MERCADO!$D:$D,MATCH($C143,MERCADO!$A:$A,0)),
IF(CONCATENATE($A143,$B143)="CCOMP",INDEX(COMPOSICAO!$H:$H,MATCH($C143,COMPOSICAO!$A:$A,0)),""
)))))))),""))</f>
        <v>h</v>
      </c>
      <c r="F143" s="182">
        <v>0.17</v>
      </c>
      <c r="G143" s="144">
        <f>(IFERROR(
IF(CONCATENATE($A143,$B143)="IDER-ES",INDEX('IDER-ES'!$D:$D,MATCH($C143,'IDER-ES'!$A:$A,0)),
IF(CONCATENATE($A143,$B143)="CIOPES",INDEX('CDER-ES'!$D:$D,MATCH($C143,'CDER-ES'!$A:$A,0)),
IF(CONCATENATE($A143,$B143)="ISINAPI",INDEX(ISINAPI!$E:$E,MATCH($C143,ISINAPI!$A:$A,0)),
IF(CONCATENATE($A143,$B143)="CSINAPI",INDEX(CSINAPI!$D:$D,MATCH($C143,CSINAPI!$A:$A,0)),
IF(CONCATENATE($A143,$B143)="CCESAN",INDEX(CCESAN!$D:$D,MATCH($C143,CCESAN!$A:$A,0)),
IF(CONCATENATE($A143,$B143)="CSCORIO",INDEX(CSCORIO!$B:$B,MATCH($C143,CSCORIO!#REF!,0)),
IF(CONCATENATE($A143,$B143)="MERC",INDEX(MERCADO!$E:$E,MATCH($C143,MERCADO!$A:$A,0)),
IF(CONCATENATE($A143,$B143)="CCOMP",INDEX(COMPOSICAO!$H:$H,MATCH($C143,COMPOSICAO!$A:$A,0)),""
)))))))),""))</f>
        <v>21.94</v>
      </c>
      <c r="H143" s="144">
        <f>IF(B143="","",ROUND(G143*F143,2))</f>
        <v>3.73</v>
      </c>
    </row>
    <row r="145" spans="1:9" s="135" customFormat="1" ht="20.100000000000001" customHeight="1">
      <c r="A145" s="186" t="s">
        <v>1020</v>
      </c>
      <c r="B145" s="405" t="s">
        <v>1022</v>
      </c>
      <c r="C145" s="406"/>
      <c r="D145" s="406"/>
      <c r="E145" s="406"/>
      <c r="F145" s="407"/>
      <c r="G145" s="133" t="s">
        <v>19692</v>
      </c>
      <c r="H145" s="134" t="s">
        <v>19678</v>
      </c>
      <c r="I145" s="263"/>
    </row>
    <row r="146" spans="1:9" ht="30" customHeight="1">
      <c r="A146" s="136">
        <f>COUNTIF($A$4:$A145,$A$4)</f>
        <v>13</v>
      </c>
      <c r="B146" s="408" t="s">
        <v>28978</v>
      </c>
      <c r="C146" s="409"/>
      <c r="D146" s="409"/>
      <c r="E146" s="409"/>
      <c r="F146" s="410"/>
      <c r="G146" s="137" t="s">
        <v>19692</v>
      </c>
      <c r="H146" s="211">
        <f>SUM(H148:H153)</f>
        <v>41.680000000000007</v>
      </c>
    </row>
    <row r="147" spans="1:9" ht="30" customHeight="1">
      <c r="A147" s="139" t="s">
        <v>1026</v>
      </c>
      <c r="B147" s="139" t="s">
        <v>1027</v>
      </c>
      <c r="C147" s="139" t="s">
        <v>31</v>
      </c>
      <c r="D147" s="139" t="s">
        <v>1023</v>
      </c>
      <c r="E147" s="139" t="s">
        <v>32</v>
      </c>
      <c r="F147" s="183" t="s">
        <v>2343</v>
      </c>
      <c r="G147" s="140" t="s">
        <v>19676</v>
      </c>
      <c r="H147" s="140" t="s">
        <v>19677</v>
      </c>
    </row>
    <row r="148" spans="1:9" ht="25.5">
      <c r="A148" s="141" t="s">
        <v>26621</v>
      </c>
      <c r="B148" s="141" t="s">
        <v>1019</v>
      </c>
      <c r="C148" s="141">
        <v>20085</v>
      </c>
      <c r="D148" s="142" t="str">
        <f>PROPER(IFERROR(
IF(C148="","",
IF(CONCATENATE($A148,$B148)="IDER-ES",INDEX('IDER-ES'!$B:$B,MATCH($C148,'IDER-ES'!$A:$A,0)),
IF(CONCATENATE($A148,$B148)="CDER-ES",INDEX('CDER-ES'!$B:$B,MATCH($C148,'CDER-ES'!$A:$A,0)),
IF(CONCATENATE($A148,$B148)="ISINAPI",INDEX(ISINAPI!$B:$B,MATCH($C148,ISINAPI!$A:$A,0)),
IF(CONCATENATE($A148,$B148)="CSINAPI",INDEX(CSINAPI!$B:$B,MATCH($C148,CSINAPI!$A:$A,0)),
IF(CONCATENATE($A148,$B148)="CCESAN",INDEX(CCESAN!$B:$B,MATCH($C148,CCESAN!$A:$A,0)),
IF(CONCATENATE($A148,$B148)="CSCORIO",INDEX(CSCORIO!#REF!,MATCH($C148,CSCORIO!#REF!,0)),
IF(CONCATENATE($A148,$B148)="MERC",INDEX(MERCADO!$B:$B,MATCH($C148,MERCADO!$A:$A,0)),
IF(CONCATENATE($A148,$B148)="CCOMP",INDEX(COMPOSICAO!$B:$B,MATCH($C148,COMPOSICAO!$A:$A,0)),""
))))))))),"*Verificar código*"))</f>
        <v xml:space="preserve">Anel Borracha, Dn 50 Mm, Para Tubo Serie Reforcada Esgoto Predial                                                                                                                                                                                                                                                                                                                                                                                                                                         </v>
      </c>
      <c r="E148" s="143" t="str">
        <f>LOWER(IFERROR(
IF(CONCATENATE($A148,$B148)="IDER-ES",INDEX('IDER-ES'!$C:$C,MATCH($C148,'IDER-ES'!$A:$A,0)),
IF(CONCATENATE($A148,$B148)="CIOPES",INDEX('CDER-ES'!$C:$C,MATCH($C148,'CDER-ES'!$A:$A,0)),
IF(CONCATENATE($A148,$B148)="ISINAPI",INDEX(ISINAPI!$C:$C,MATCH($C148,ISINAPI!$A:$A,0)),
IF(CONCATENATE($A148,$B148)="CSINAPI",INDEX(CSINAPI!$C:$C,MATCH($C148,CSINAPI!$A:$A,0)),
IF(CONCATENATE($A148,$B148)="CCESAN",INDEX(CCESAN!$C:$C,MATCH($C148,CCESAN!$A:$A,0)),
IF(CONCATENATE($A148,$B148)="CSCORIO",INDEX(CSCORIO!$A:$A,MATCH($C148,CSCORIO!#REF!,0)),
IF(CONCATENATE($A148,$B148)="MERC",INDEX(MERCADO!$D:$D,MATCH($C148,MERCADO!$A:$A,0)),
IF(CONCATENATE($A148,$B148)="CCOMP",INDEX(COMPOSICAO!$H:$H,MATCH($C148,COMPOSICAO!$A:$A,0)),""
)))))))),""))</f>
        <v xml:space="preserve">un    </v>
      </c>
      <c r="F148" s="182">
        <v>1</v>
      </c>
      <c r="G148" s="284">
        <f>(IFERROR(
IF(CONCATENATE($A148,$B148)="IDER-ES",INDEX('IDER-ES'!$D:$D,MATCH($C148,'IDER-ES'!$A:$A,0)),
IF(CONCATENATE($A148,$B148)="CIOPES",INDEX('CDER-ES'!$D:$D,MATCH($C148,'CDER-ES'!$A:$A,0)),
IF(CONCATENATE($A148,$B148)="ISINAPI",INDEX(ISINAPI!$E:$E,MATCH($C148,ISINAPI!$A:$A,0)),
IF(CONCATENATE($A148,$B148)="CSINAPI",INDEX(CSINAPI!$D:$D,MATCH($C148,CSINAPI!$A:$A,0)),
IF(CONCATENATE($A148,$B148)="CCESAN",INDEX(CCESAN!$D:$D,MATCH($C148,CCESAN!$A:$A,0)),
IF(CONCATENATE($A148,$B148)="CSCORIO",INDEX(CSCORIO!$B:$B,MATCH($C148,CSCORIO!#REF!,0)),
IF(CONCATENATE($A148,$B148)="MERC",INDEX(MERCADO!$E:$E,MATCH($C148,MERCADO!$A:$A,0)),
IF(CONCATENATE($A148,$B148)="CCOMP",INDEX(COMPOSICAO!$H:$H,MATCH($C148,COMPOSICAO!$A:$A,0)),""
)))))))),""))</f>
        <v>2.62</v>
      </c>
      <c r="H148" s="144">
        <f t="shared" ref="H148:H153" si="22">IF(B148="","",ROUND(G148*F148,2))</f>
        <v>2.62</v>
      </c>
    </row>
    <row r="149" spans="1:9" ht="25.5">
      <c r="A149" s="141" t="s">
        <v>26621</v>
      </c>
      <c r="B149" s="141" t="s">
        <v>1019</v>
      </c>
      <c r="C149" s="141">
        <v>299</v>
      </c>
      <c r="D149" s="142" t="str">
        <f>PROPER(IFERROR(
IF(C149="","",
IF(CONCATENATE($A149,$B149)="IDER-ES",INDEX('IDER-ES'!$B:$B,MATCH($C149,'IDER-ES'!$A:$A,0)),
IF(CONCATENATE($A149,$B149)="CDER-ES",INDEX('CDER-ES'!$B:$B,MATCH($C149,'CDER-ES'!$A:$A,0)),
IF(CONCATENATE($A149,$B149)="ISINAPI",INDEX(ISINAPI!$B:$B,MATCH($C149,ISINAPI!$A:$A,0)),
IF(CONCATENATE($A149,$B149)="CSINAPI",INDEX(CSINAPI!$B:$B,MATCH($C149,CSINAPI!$A:$A,0)),
IF(CONCATENATE($A149,$B149)="CCESAN",INDEX(CCESAN!$B:$B,MATCH($C149,CCESAN!$A:$A,0)),
IF(CONCATENATE($A149,$B149)="CSCORIO",INDEX(CSCORIO!#REF!,MATCH($C149,CSCORIO!#REF!,0)),
IF(CONCATENATE($A149,$B149)="MERC",INDEX(MERCADO!$B:$B,MATCH($C149,MERCADO!$A:$A,0)),
IF(CONCATENATE($A149,$B149)="CCOMP",INDEX(COMPOSICAO!$B:$B,MATCH($C149,COMPOSICAO!$A:$A,0)),""
))))))))),"*Verificar código*"))</f>
        <v xml:space="preserve">Anel Borracha, Dn 100 Mm, Para Tubo Serie Reforcada Esgoto Predial                                                                                                                                                                                                                                                                                                                                                                                                                                        </v>
      </c>
      <c r="E149" s="143" t="str">
        <f>LOWER(IFERROR(
IF(CONCATENATE($A149,$B149)="IDER-ES",INDEX('IDER-ES'!$C:$C,MATCH($C149,'IDER-ES'!$A:$A,0)),
IF(CONCATENATE($A149,$B149)="CIOPES",INDEX('CDER-ES'!$C:$C,MATCH($C149,'CDER-ES'!$A:$A,0)),
IF(CONCATENATE($A149,$B149)="ISINAPI",INDEX(ISINAPI!$C:$C,MATCH($C149,ISINAPI!$A:$A,0)),
IF(CONCATENATE($A149,$B149)="CSINAPI",INDEX(CSINAPI!$C:$C,MATCH($C149,CSINAPI!$A:$A,0)),
IF(CONCATENATE($A149,$B149)="CCESAN",INDEX(CCESAN!$C:$C,MATCH($C149,CCESAN!$A:$A,0)),
IF(CONCATENATE($A149,$B149)="CSCORIO",INDEX(CSCORIO!$A:$A,MATCH($C149,CSCORIO!#REF!,0)),
IF(CONCATENATE($A149,$B149)="MERC",INDEX(MERCADO!$D:$D,MATCH($C149,MERCADO!$A:$A,0)),
IF(CONCATENATE($A149,$B149)="CCOMP",INDEX(COMPOSICAO!$H:$H,MATCH($C149,COMPOSICAO!$A:$A,0)),""
)))))))),""))</f>
        <v xml:space="preserve">un    </v>
      </c>
      <c r="F149" s="182">
        <v>1</v>
      </c>
      <c r="G149" s="284">
        <f>(IFERROR(
IF(CONCATENATE($A149,$B149)="IDER-ES",INDEX('IDER-ES'!$D:$D,MATCH($C149,'IDER-ES'!$A:$A,0)),
IF(CONCATENATE($A149,$B149)="CIOPES",INDEX('CDER-ES'!$D:$D,MATCH($C149,'CDER-ES'!$A:$A,0)),
IF(CONCATENATE($A149,$B149)="ISINAPI",INDEX(ISINAPI!$E:$E,MATCH($C149,ISINAPI!$A:$A,0)),
IF(CONCATENATE($A149,$B149)="CSINAPI",INDEX(CSINAPI!$D:$D,MATCH($C149,CSINAPI!$A:$A,0)),
IF(CONCATENATE($A149,$B149)="CCESAN",INDEX(CCESAN!$D:$D,MATCH($C149,CCESAN!$A:$A,0)),
IF(CONCATENATE($A149,$B149)="CSCORIO",INDEX(CSCORIO!$B:$B,MATCH($C149,CSCORIO!#REF!,0)),
IF(CONCATENATE($A149,$B149)="MERC",INDEX(MERCADO!$E:$E,MATCH($C149,MERCADO!$A:$A,0)),
IF(CONCATENATE($A149,$B149)="CCOMP",INDEX(COMPOSICAO!$H:$H,MATCH($C149,COMPOSICAO!$A:$A,0)),""
)))))))),""))</f>
        <v>4.1399999999999997</v>
      </c>
      <c r="H149" s="144">
        <f t="shared" si="22"/>
        <v>4.1399999999999997</v>
      </c>
    </row>
    <row r="150" spans="1:9" ht="25.5">
      <c r="A150" s="141" t="s">
        <v>26621</v>
      </c>
      <c r="B150" s="141" t="s">
        <v>1019</v>
      </c>
      <c r="C150" s="141">
        <v>3659</v>
      </c>
      <c r="D150" s="142" t="str">
        <f>PROPER(IFERROR(
IF(C150="","",
IF(CONCATENATE($A150,$B150)="IDER-ES",INDEX('IDER-ES'!$B:$B,MATCH($C150,'IDER-ES'!$A:$A,0)),
IF(CONCATENATE($A150,$B150)="CDER-ES",INDEX('CDER-ES'!$B:$B,MATCH($C150,'CDER-ES'!$A:$A,0)),
IF(CONCATENATE($A150,$B150)="ISINAPI",INDEX(ISINAPI!$B:$B,MATCH($C150,ISINAPI!$A:$A,0)),
IF(CONCATENATE($A150,$B150)="CSINAPI",INDEX(CSINAPI!$B:$B,MATCH($C150,CSINAPI!$A:$A,0)),
IF(CONCATENATE($A150,$B150)="CCESAN",INDEX(CCESAN!$B:$B,MATCH($C150,CCESAN!$A:$A,0)),
IF(CONCATENATE($A150,$B150)="CSCORIO",INDEX(CSCORIO!#REF!,MATCH($C150,CSCORIO!#REF!,0)),
IF(CONCATENATE($A150,$B150)="MERC",INDEX(MERCADO!$B:$B,MATCH($C150,MERCADO!$A:$A,0)),
IF(CONCATENATE($A150,$B150)="CCOMP",INDEX(COMPOSICAO!$B:$B,MATCH($C150,COMPOSICAO!$A:$A,0)),""
))))))))),"*Verificar código*"))</f>
        <v xml:space="preserve">Juncao Simples, Pvc, Dn 100 X 50 Mm, Serie Normal Para Esgoto Predial                                                                                                                                                                                                                                                                                                                                                                                                                                     </v>
      </c>
      <c r="E150" s="143" t="str">
        <f>LOWER(IFERROR(
IF(CONCATENATE($A150,$B150)="IDER-ES",INDEX('IDER-ES'!$C:$C,MATCH($C150,'IDER-ES'!$A:$A,0)),
IF(CONCATENATE($A150,$B150)="CIOPES",INDEX('CDER-ES'!$C:$C,MATCH($C150,'CDER-ES'!$A:$A,0)),
IF(CONCATENATE($A150,$B150)="ISINAPI",INDEX(ISINAPI!$C:$C,MATCH($C150,ISINAPI!$A:$A,0)),
IF(CONCATENATE($A150,$B150)="CSINAPI",INDEX(CSINAPI!$C:$C,MATCH($C150,CSINAPI!$A:$A,0)),
IF(CONCATENATE($A150,$B150)="CCESAN",INDEX(CCESAN!$C:$C,MATCH($C150,CCESAN!$A:$A,0)),
IF(CONCATENATE($A150,$B150)="CSCORIO",INDEX(CSCORIO!$A:$A,MATCH($C150,CSCORIO!#REF!,0)),
IF(CONCATENATE($A150,$B150)="MERC",INDEX(MERCADO!$D:$D,MATCH($C150,MERCADO!$A:$A,0)),
IF(CONCATENATE($A150,$B150)="CCOMP",INDEX(COMPOSICAO!$H:$H,MATCH($C150,COMPOSICAO!$A:$A,0)),""
)))))))),""))</f>
        <v xml:space="preserve">un    </v>
      </c>
      <c r="F150" s="182">
        <v>1</v>
      </c>
      <c r="G150" s="284">
        <f>(IFERROR(
IF(CONCATENATE($A150,$B150)="IDER-ES",INDEX('IDER-ES'!$D:$D,MATCH($C150,'IDER-ES'!$A:$A,0)),
IF(CONCATENATE($A150,$B150)="CIOPES",INDEX('CDER-ES'!$D:$D,MATCH($C150,'CDER-ES'!$A:$A,0)),
IF(CONCATENATE($A150,$B150)="ISINAPI",INDEX(ISINAPI!$E:$E,MATCH($C150,ISINAPI!$A:$A,0)),
IF(CONCATENATE($A150,$B150)="CSINAPI",INDEX(CSINAPI!$D:$D,MATCH($C150,CSINAPI!$A:$A,0)),
IF(CONCATENATE($A150,$B150)="CCESAN",INDEX(CCESAN!$D:$D,MATCH($C150,CCESAN!$A:$A,0)),
IF(CONCATENATE($A150,$B150)="CSCORIO",INDEX(CSCORIO!$B:$B,MATCH($C150,CSCORIO!#REF!,0)),
IF(CONCATENATE($A150,$B150)="MERC",INDEX(MERCADO!$E:$E,MATCH($C150,MERCADO!$A:$A,0)),
IF(CONCATENATE($A150,$B150)="CCOMP",INDEX(COMPOSICAO!$H:$H,MATCH($C150,COMPOSICAO!$A:$A,0)),""
)))))))),""))</f>
        <v>25.01</v>
      </c>
      <c r="H150" s="144">
        <f t="shared" si="22"/>
        <v>25.01</v>
      </c>
    </row>
    <row r="151" spans="1:9" ht="51">
      <c r="A151" s="141" t="s">
        <v>26621</v>
      </c>
      <c r="B151" s="141" t="s">
        <v>1019</v>
      </c>
      <c r="C151" s="141">
        <v>20078</v>
      </c>
      <c r="D151" s="142" t="str">
        <f>PROPER(IFERROR(
IF(C151="","",
IF(CONCATENATE($A151,$B151)="IDER-ES",INDEX('IDER-ES'!$B:$B,MATCH($C151,'IDER-ES'!$A:$A,0)),
IF(CONCATENATE($A151,$B151)="CDER-ES",INDEX('CDER-ES'!$B:$B,MATCH($C151,'CDER-ES'!$A:$A,0)),
IF(CONCATENATE($A151,$B151)="ISINAPI",INDEX(ISINAPI!$B:$B,MATCH($C151,ISINAPI!$A:$A,0)),
IF(CONCATENATE($A151,$B151)="CSINAPI",INDEX(CSINAPI!$B:$B,MATCH($C151,CSINAPI!$A:$A,0)),
IF(CONCATENATE($A151,$B151)="CCESAN",INDEX(CCESAN!$B:$B,MATCH($C151,CCESAN!$A:$A,0)),
IF(CONCATENATE($A151,$B151)="CSCORIO",INDEX(CSCORIO!#REF!,MATCH($C151,CSCORIO!#REF!,0)),
IF(CONCATENATE($A151,$B151)="MERC",INDEX(MERCADO!$B:$B,MATCH($C151,MERCADO!$A:$A,0)),
IF(CONCATENATE($A151,$B151)="CCOMP",INDEX(COMPOSICAO!$B:$B,MATCH($C151,COMPOSICAO!$A:$A,0)),""
))))))))),"*Verificar código*"))</f>
        <v xml:space="preserve">Pasta Lubrificante Para Tubos E Conexoes Com Junta Elastica, Embalagem De *400* Gr (Uso Em Pvc, Aco, Polietileno E Outros)                                                                                                                                                                                                                                                                                                                                                                                </v>
      </c>
      <c r="E151" s="143" t="str">
        <f>LOWER(IFERROR(
IF(CONCATENATE($A151,$B151)="IDER-ES",INDEX('IDER-ES'!$C:$C,MATCH($C151,'IDER-ES'!$A:$A,0)),
IF(CONCATENATE($A151,$B151)="CIOPES",INDEX('CDER-ES'!$C:$C,MATCH($C151,'CDER-ES'!$A:$A,0)),
IF(CONCATENATE($A151,$B151)="ISINAPI",INDEX(ISINAPI!$C:$C,MATCH($C151,ISINAPI!$A:$A,0)),
IF(CONCATENATE($A151,$B151)="CSINAPI",INDEX(CSINAPI!$C:$C,MATCH($C151,CSINAPI!$A:$A,0)),
IF(CONCATENATE($A151,$B151)="CCESAN",INDEX(CCESAN!$C:$C,MATCH($C151,CCESAN!$A:$A,0)),
IF(CONCATENATE($A151,$B151)="CSCORIO",INDEX(CSCORIO!$A:$A,MATCH($C151,CSCORIO!#REF!,0)),
IF(CONCATENATE($A151,$B151)="MERC",INDEX(MERCADO!$D:$D,MATCH($C151,MERCADO!$A:$A,0)),
IF(CONCATENATE($A151,$B151)="CCOMP",INDEX(COMPOSICAO!$H:$H,MATCH($C151,COMPOSICAO!$A:$A,0)),""
)))))))),""))</f>
        <v xml:space="preserve">un    </v>
      </c>
      <c r="F151" s="182">
        <v>0.09</v>
      </c>
      <c r="G151" s="144">
        <f>(IFERROR(
IF(CONCATENATE($A151,$B151)="IDER-ES",INDEX('IDER-ES'!$D:$D,MATCH($C151,'IDER-ES'!$A:$A,0)),
IF(CONCATENATE($A151,$B151)="CIOPES",INDEX('CDER-ES'!$D:$D,MATCH($C151,'CDER-ES'!$A:$A,0)),
IF(CONCATENATE($A151,$B151)="ISINAPI",INDEX(ISINAPI!$E:$E,MATCH($C151,ISINAPI!$A:$A,0)),
IF(CONCATENATE($A151,$B151)="CSINAPI",INDEX(CSINAPI!$D:$D,MATCH($C151,CSINAPI!$A:$A,0)),
IF(CONCATENATE($A151,$B151)="CCESAN",INDEX(CCESAN!$D:$D,MATCH($C151,CCESAN!$A:$A,0)),
IF(CONCATENATE($A151,$B151)="CSCORIO",INDEX(CSCORIO!$B:$B,MATCH($C151,CSCORIO!#REF!,0)),
IF(CONCATENATE($A151,$B151)="MERC",INDEX(MERCADO!$E:$E,MATCH($C151,MERCADO!$A:$A,0)),
IF(CONCATENATE($A151,$B151)="CCOMP",INDEX(COMPOSICAO!$H:$H,MATCH($C151,COMPOSICAO!$A:$A,0)),""
)))))))),""))</f>
        <v>29.63</v>
      </c>
      <c r="H151" s="144">
        <f t="shared" si="22"/>
        <v>2.67</v>
      </c>
    </row>
    <row r="152" spans="1:9" ht="38.25">
      <c r="A152" s="141" t="s">
        <v>21960</v>
      </c>
      <c r="B152" s="141" t="s">
        <v>1019</v>
      </c>
      <c r="C152" s="141">
        <v>88248</v>
      </c>
      <c r="D152" s="142" t="str">
        <f>PROPER(IFERROR(
IF(C152="","",
IF(CONCATENATE($A152,$B152)="IDER-ES",INDEX('IDER-ES'!$B:$B,MATCH($C152,'IDER-ES'!$A:$A,0)),
IF(CONCATENATE($A152,$B152)="CDER-ES",INDEX('CDER-ES'!$B:$B,MATCH($C152,'CDER-ES'!$A:$A,0)),
IF(CONCATENATE($A152,$B152)="ISINAPI",INDEX(ISINAPI!$B:$B,MATCH($C152,ISINAPI!$A:$A,0)),
IF(CONCATENATE($A152,$B152)="CSINAPI",INDEX(CSINAPI!$B:$B,MATCH($C152,CSINAPI!$A:$A,0)),
IF(CONCATENATE($A152,$B152)="CCESAN",INDEX(CCESAN!$B:$B,MATCH($C152,CCESAN!$A:$A,0)),
IF(CONCATENATE($A152,$B152)="CSCORIO",INDEX(CSCORIO!#REF!,MATCH($C152,CSCORIO!#REF!,0)),
IF(CONCATENATE($A152,$B152)="MERC",INDEX(MERCADO!$B:$B,MATCH($C152,MERCADO!$A:$A,0)),
IF(CONCATENATE($A152,$B152)="CCOMP",INDEX(COMPOSICAO!$B:$B,MATCH($C152,COMPOSICAO!$A:$A,0)),""
))))))))),"*Verificar código*"))</f>
        <v>Auxiliar De Encanador Ou Bombeiro Hidráulico Com Encargos Complementares</v>
      </c>
      <c r="E152" s="143" t="str">
        <f>LOWER(IFERROR(
IF(CONCATENATE($A152,$B152)="IDER-ES",INDEX('IDER-ES'!$C:$C,MATCH($C152,'IDER-ES'!$A:$A,0)),
IF(CONCATENATE($A152,$B152)="CIOPES",INDEX('CDER-ES'!$C:$C,MATCH($C152,'CDER-ES'!$A:$A,0)),
IF(CONCATENATE($A152,$B152)="ISINAPI",INDEX(ISINAPI!$C:$C,MATCH($C152,ISINAPI!$A:$A,0)),
IF(CONCATENATE($A152,$B152)="CSINAPI",INDEX(CSINAPI!$C:$C,MATCH($C152,CSINAPI!$A:$A,0)),
IF(CONCATENATE($A152,$B152)="CCESAN",INDEX(CCESAN!$C:$C,MATCH($C152,CCESAN!$A:$A,0)),
IF(CONCATENATE($A152,$B152)="CSCORIO",INDEX(CSCORIO!$A:$A,MATCH($C152,CSCORIO!#REF!,0)),
IF(CONCATENATE($A152,$B152)="MERC",INDEX(MERCADO!$D:$D,MATCH($C152,MERCADO!$A:$A,0)),
IF(CONCATENATE($A152,$B152)="CCOMP",INDEX(COMPOSICAO!$H:$H,MATCH($C152,COMPOSICAO!$A:$A,0)),""
)))))))),""))</f>
        <v>h</v>
      </c>
      <c r="F152" s="182">
        <v>0.185</v>
      </c>
      <c r="G152" s="144">
        <f>(IFERROR(
IF(CONCATENATE($A152,$B152)="IDER-ES",INDEX('IDER-ES'!$D:$D,MATCH($C152,'IDER-ES'!$A:$A,0)),
IF(CONCATENATE($A152,$B152)="CIOPES",INDEX('CDER-ES'!$D:$D,MATCH($C152,'CDER-ES'!$A:$A,0)),
IF(CONCATENATE($A152,$B152)="ISINAPI",INDEX(ISINAPI!$E:$E,MATCH($C152,ISINAPI!$A:$A,0)),
IF(CONCATENATE($A152,$B152)="CSINAPI",INDEX(CSINAPI!$D:$D,MATCH($C152,CSINAPI!$A:$A,0)),
IF(CONCATENATE($A152,$B152)="CCESAN",INDEX(CCESAN!$D:$D,MATCH($C152,CCESAN!$A:$A,0)),
IF(CONCATENATE($A152,$B152)="CSCORIO",INDEX(CSCORIO!$B:$B,MATCH($C152,CSCORIO!#REF!,0)),
IF(CONCATENATE($A152,$B152)="MERC",INDEX(MERCADO!$E:$E,MATCH($C152,MERCADO!$A:$A,0)),
IF(CONCATENATE($A152,$B152)="CCOMP",INDEX(COMPOSICAO!$H:$H,MATCH($C152,COMPOSICAO!$A:$A,0)),""
)))))))),""))</f>
        <v>17.190000000000001</v>
      </c>
      <c r="H152" s="144">
        <f t="shared" si="22"/>
        <v>3.18</v>
      </c>
    </row>
    <row r="153" spans="1:9" ht="25.5">
      <c r="A153" s="141" t="s">
        <v>21960</v>
      </c>
      <c r="B153" s="141" t="s">
        <v>1019</v>
      </c>
      <c r="C153" s="141">
        <v>88267</v>
      </c>
      <c r="D153" s="142" t="str">
        <f>PROPER(IFERROR(
IF(C153="","",
IF(CONCATENATE($A153,$B153)="IDER-ES",INDEX('IDER-ES'!$B:$B,MATCH($C153,'IDER-ES'!$A:$A,0)),
IF(CONCATENATE($A153,$B153)="CDER-ES",INDEX('CDER-ES'!$B:$B,MATCH($C153,'CDER-ES'!$A:$A,0)),
IF(CONCATENATE($A153,$B153)="ISINAPI",INDEX(ISINAPI!$B:$B,MATCH($C153,ISINAPI!$A:$A,0)),
IF(CONCATENATE($A153,$B153)="CSINAPI",INDEX(CSINAPI!$B:$B,MATCH($C153,CSINAPI!$A:$A,0)),
IF(CONCATENATE($A153,$B153)="CCESAN",INDEX(CCESAN!$B:$B,MATCH($C153,CCESAN!$A:$A,0)),
IF(CONCATENATE($A153,$B153)="CSCORIO",INDEX(CSCORIO!#REF!,MATCH($C153,CSCORIO!#REF!,0)),
IF(CONCATENATE($A153,$B153)="MERC",INDEX(MERCADO!$B:$B,MATCH($C153,MERCADO!$A:$A,0)),
IF(CONCATENATE($A153,$B153)="CCOMP",INDEX(COMPOSICAO!$B:$B,MATCH($C153,COMPOSICAO!$A:$A,0)),""
))))))))),"*Verificar código*"))</f>
        <v>Encanador Ou Bombeiro Hidráulico Com Encargos Complementares</v>
      </c>
      <c r="E153" s="143" t="str">
        <f>LOWER(IFERROR(
IF(CONCATENATE($A153,$B153)="IDER-ES",INDEX('IDER-ES'!$C:$C,MATCH($C153,'IDER-ES'!$A:$A,0)),
IF(CONCATENATE($A153,$B153)="CIOPES",INDEX('CDER-ES'!$C:$C,MATCH($C153,'CDER-ES'!$A:$A,0)),
IF(CONCATENATE($A153,$B153)="ISINAPI",INDEX(ISINAPI!$C:$C,MATCH($C153,ISINAPI!$A:$A,0)),
IF(CONCATENATE($A153,$B153)="CSINAPI",INDEX(CSINAPI!$C:$C,MATCH($C153,CSINAPI!$A:$A,0)),
IF(CONCATENATE($A153,$B153)="CCESAN",INDEX(CCESAN!$C:$C,MATCH($C153,CCESAN!$A:$A,0)),
IF(CONCATENATE($A153,$B153)="CSCORIO",INDEX(CSCORIO!$A:$A,MATCH($C153,CSCORIO!#REF!,0)),
IF(CONCATENATE($A153,$B153)="MERC",INDEX(MERCADO!$D:$D,MATCH($C153,MERCADO!$A:$A,0)),
IF(CONCATENATE($A153,$B153)="CCOMP",INDEX(COMPOSICAO!$H:$H,MATCH($C153,COMPOSICAO!$A:$A,0)),""
)))))))),""))</f>
        <v>h</v>
      </c>
      <c r="F153" s="182">
        <v>0.185</v>
      </c>
      <c r="G153" s="144">
        <f>(IFERROR(
IF(CONCATENATE($A153,$B153)="IDER-ES",INDEX('IDER-ES'!$D:$D,MATCH($C153,'IDER-ES'!$A:$A,0)),
IF(CONCATENATE($A153,$B153)="CIOPES",INDEX('CDER-ES'!$D:$D,MATCH($C153,'CDER-ES'!$A:$A,0)),
IF(CONCATENATE($A153,$B153)="ISINAPI",INDEX(ISINAPI!$E:$E,MATCH($C153,ISINAPI!$A:$A,0)),
IF(CONCATENATE($A153,$B153)="CSINAPI",INDEX(CSINAPI!$D:$D,MATCH($C153,CSINAPI!$A:$A,0)),
IF(CONCATENATE($A153,$B153)="CCESAN",INDEX(CCESAN!$D:$D,MATCH($C153,CCESAN!$A:$A,0)),
IF(CONCATENATE($A153,$B153)="CSCORIO",INDEX(CSCORIO!$B:$B,MATCH($C153,CSCORIO!#REF!,0)),
IF(CONCATENATE($A153,$B153)="MERC",INDEX(MERCADO!$E:$E,MATCH($C153,MERCADO!$A:$A,0)),
IF(CONCATENATE($A153,$B153)="CCOMP",INDEX(COMPOSICAO!$H:$H,MATCH($C153,COMPOSICAO!$A:$A,0)),""
)))))))),""))</f>
        <v>21.94</v>
      </c>
      <c r="H153" s="144">
        <f t="shared" si="22"/>
        <v>4.0599999999999996</v>
      </c>
    </row>
    <row r="155" spans="1:9" s="135" customFormat="1" ht="20.100000000000001" customHeight="1">
      <c r="A155" s="186" t="s">
        <v>1020</v>
      </c>
      <c r="B155" s="405" t="s">
        <v>1022</v>
      </c>
      <c r="C155" s="406"/>
      <c r="D155" s="406"/>
      <c r="E155" s="406"/>
      <c r="F155" s="407"/>
      <c r="G155" s="133" t="s">
        <v>19692</v>
      </c>
      <c r="H155" s="134" t="s">
        <v>19678</v>
      </c>
      <c r="I155" s="263"/>
    </row>
    <row r="156" spans="1:9" ht="30" customHeight="1">
      <c r="A156" s="136">
        <f>COUNTIF($A$4:$A155,$A$4)</f>
        <v>14</v>
      </c>
      <c r="B156" s="408" t="s">
        <v>28768</v>
      </c>
      <c r="C156" s="409"/>
      <c r="D156" s="409"/>
      <c r="E156" s="409"/>
      <c r="F156" s="410"/>
      <c r="G156" s="137" t="s">
        <v>19692</v>
      </c>
      <c r="H156" s="211">
        <f>SUM(H158:H166)</f>
        <v>619.87</v>
      </c>
    </row>
    <row r="157" spans="1:9" ht="30" customHeight="1">
      <c r="A157" s="139" t="s">
        <v>1026</v>
      </c>
      <c r="B157" s="139" t="s">
        <v>1027</v>
      </c>
      <c r="C157" s="139" t="s">
        <v>31</v>
      </c>
      <c r="D157" s="139" t="s">
        <v>1023</v>
      </c>
      <c r="E157" s="139" t="s">
        <v>32</v>
      </c>
      <c r="F157" s="183" t="s">
        <v>2343</v>
      </c>
      <c r="G157" s="140" t="s">
        <v>19676</v>
      </c>
      <c r="H157" s="140" t="s">
        <v>19677</v>
      </c>
    </row>
    <row r="158" spans="1:9" ht="51">
      <c r="A158" s="141" t="s">
        <v>26621</v>
      </c>
      <c r="B158" s="141" t="s">
        <v>1019</v>
      </c>
      <c r="C158" s="141">
        <v>21130</v>
      </c>
      <c r="D158" s="142" t="str">
        <f>PROPER(IFERROR(
IF(C158="","",
IF(CONCATENATE($A158,$B158)="IDER-ES",INDEX('IDER-ES'!$B:$B,MATCH($C158,'IDER-ES'!$A:$A,0)),
IF(CONCATENATE($A158,$B158)="CDER-ES",INDEX('CDER-ES'!$B:$B,MATCH($C158,'CDER-ES'!$A:$A,0)),
IF(CONCATENATE($A158,$B158)="ISINAPI",INDEX(ISINAPI!$B:$B,MATCH($C158,ISINAPI!$A:$A,0)),
IF(CONCATENATE($A158,$B158)="CSINAPI",INDEX(CSINAPI!$B:$B,MATCH($C158,CSINAPI!$A:$A,0)),
IF(CONCATENATE($A158,$B158)="CCESAN",INDEX(CCESAN!$B:$B,MATCH($C158,CCESAN!$A:$A,0)),
IF(CONCATENATE($A158,$B158)="CSCORIO",INDEX(CSCORIO!#REF!,MATCH($C158,CSCORIO!#REF!,0)),
IF(CONCATENATE($A158,$B158)="MERC",INDEX(MERCADO!$B:$B,MATCH($C158,MERCADO!$A:$A,0)),
IF(CONCATENATE($A158,$B158)="CCOMP",INDEX(COMPOSICAO!$B:$B,MATCH($C158,COMPOSICAO!$A:$A,0)),""
))))))))),"*Verificar código*"))</f>
        <v xml:space="preserve">!Em Processo Desativacao! Eletroduto Em Aco Galvanizado Eletrolitico, Semi-Pesado, Diametro 1 1/2", Parede De 1,20 Mm                                                                                                                                                                                                                                                                                                                                                                                     </v>
      </c>
      <c r="E158" s="143" t="str">
        <f>LOWER(IFERROR(
IF(CONCATENATE($A158,$B158)="IDER-ES",INDEX('IDER-ES'!$C:$C,MATCH($C158,'IDER-ES'!$A:$A,0)),
IF(CONCATENATE($A158,$B158)="CIOPES",INDEX('CDER-ES'!$C:$C,MATCH($C158,'CDER-ES'!$A:$A,0)),
IF(CONCATENATE($A158,$B158)="ISINAPI",INDEX(ISINAPI!$C:$C,MATCH($C158,ISINAPI!$A:$A,0)),
IF(CONCATENATE($A158,$B158)="CSINAPI",INDEX(CSINAPI!$C:$C,MATCH($C158,CSINAPI!$A:$A,0)),
IF(CONCATENATE($A158,$B158)="CCESAN",INDEX(CCESAN!$C:$C,MATCH($C158,CCESAN!$A:$A,0)),
IF(CONCATENATE($A158,$B158)="CSCORIO",INDEX(CSCORIO!$A:$A,MATCH($C158,CSCORIO!#REF!,0)),
IF(CONCATENATE($A158,$B158)="MERC",INDEX(MERCADO!$D:$D,MATCH($C158,MERCADO!$A:$A,0)),
IF(CONCATENATE($A158,$B158)="CCOMP",INDEX(COMPOSICAO!$H:$H,MATCH($C158,COMPOSICAO!$A:$A,0)),""
)))))))),""))</f>
        <v xml:space="preserve">m     </v>
      </c>
      <c r="F158" s="182">
        <v>6</v>
      </c>
      <c r="G158" s="284">
        <f>(IFERROR(
IF(CONCATENATE($A158,$B158)="IDER-ES",INDEX('IDER-ES'!$D:$D,MATCH($C158,'IDER-ES'!$A:$A,0)),
IF(CONCATENATE($A158,$B158)="CIOPES",INDEX('CDER-ES'!$D:$D,MATCH($C158,'CDER-ES'!$A:$A,0)),
IF(CONCATENATE($A158,$B158)="ISINAPI",INDEX(ISINAPI!$E:$E,MATCH($C158,ISINAPI!$A:$A,0)),
IF(CONCATENATE($A158,$B158)="CSINAPI",INDEX(CSINAPI!$D:$D,MATCH($C158,CSINAPI!$A:$A,0)),
IF(CONCATENATE($A158,$B158)="CCESAN",INDEX(CCESAN!$D:$D,MATCH($C158,CCESAN!$A:$A,0)),
IF(CONCATENATE($A158,$B158)="CSCORIO",INDEX(CSCORIO!$B:$B,MATCH($C158,CSCORIO!#REF!,0)),
IF(CONCATENATE($A158,$B158)="MERC",INDEX(MERCADO!$E:$E,MATCH($C158,MERCADO!$A:$A,0)),
IF(CONCATENATE($A158,$B158)="CCOMP",INDEX(COMPOSICAO!$H:$H,MATCH($C158,COMPOSICAO!$A:$A,0)),""
)))))))),""))</f>
        <v>33.49</v>
      </c>
      <c r="H158" s="144">
        <f t="shared" ref="H158:H166" si="23">IF(B158="","",ROUND(G158*F158,2))</f>
        <v>200.94</v>
      </c>
    </row>
    <row r="159" spans="1:9" ht="63.75">
      <c r="A159" s="141" t="s">
        <v>26621</v>
      </c>
      <c r="B159" s="141" t="s">
        <v>1019</v>
      </c>
      <c r="C159" s="141">
        <v>1049</v>
      </c>
      <c r="D159" s="142" t="str">
        <f>PROPER(IFERROR(
IF(C159="","",
IF(CONCATENATE($A159,$B159)="IDER-ES",INDEX('IDER-ES'!$B:$B,MATCH($C159,'IDER-ES'!$A:$A,0)),
IF(CONCATENATE($A159,$B159)="CDER-ES",INDEX('CDER-ES'!$B:$B,MATCH($C159,'CDER-ES'!$A:$A,0)),
IF(CONCATENATE($A159,$B159)="ISINAPI",INDEX(ISINAPI!$B:$B,MATCH($C159,ISINAPI!$A:$A,0)),
IF(CONCATENATE($A159,$B159)="CSINAPI",INDEX(CSINAPI!$B:$B,MATCH($C159,CSINAPI!$A:$A,0)),
IF(CONCATENATE($A159,$B159)="CCESAN",INDEX(CCESAN!$B:$B,MATCH($C159,CCESAN!$A:$A,0)),
IF(CONCATENATE($A159,$B159)="CSCORIO",INDEX(CSCORIO!#REF!,MATCH($C159,CSCORIO!#REF!,0)),
IF(CONCATENATE($A159,$B159)="MERC",INDEX(MERCADO!$B:$B,MATCH($C159,MERCADO!$A:$A,0)),
IF(CONCATENATE($A159,$B159)="CCOMP",INDEX(COMPOSICAO!$B:$B,MATCH($C159,COMPOSICAO!$A:$A,0)),""
))))))))),"*Verificar código*"))</f>
        <v xml:space="preserve">Cabecote Para Entrada De Linha De Alimentacao Para Eletroduto, Em Liga De Aluminio Com Acabamento Anti Corrosivo, Com Fixacao Por Encaixe Liso De 360 Graus, De 1 1/2"                                                                                                                                                                                                                                                                                                                                    </v>
      </c>
      <c r="E159" s="143" t="str">
        <f>LOWER(IFERROR(
IF(CONCATENATE($A159,$B159)="IDER-ES",INDEX('IDER-ES'!$C:$C,MATCH($C159,'IDER-ES'!$A:$A,0)),
IF(CONCATENATE($A159,$B159)="CIOPES",INDEX('CDER-ES'!$C:$C,MATCH($C159,'CDER-ES'!$A:$A,0)),
IF(CONCATENATE($A159,$B159)="ISINAPI",INDEX(ISINAPI!$C:$C,MATCH($C159,ISINAPI!$A:$A,0)),
IF(CONCATENATE($A159,$B159)="CSINAPI",INDEX(CSINAPI!$C:$C,MATCH($C159,CSINAPI!$A:$A,0)),
IF(CONCATENATE($A159,$B159)="CCESAN",INDEX(CCESAN!$C:$C,MATCH($C159,CCESAN!$A:$A,0)),
IF(CONCATENATE($A159,$B159)="CSCORIO",INDEX(CSCORIO!$A:$A,MATCH($C159,CSCORIO!#REF!,0)),
IF(CONCATENATE($A159,$B159)="MERC",INDEX(MERCADO!$D:$D,MATCH($C159,MERCADO!$A:$A,0)),
IF(CONCATENATE($A159,$B159)="CCOMP",INDEX(COMPOSICAO!$H:$H,MATCH($C159,COMPOSICAO!$A:$A,0)),""
)))))))),""))</f>
        <v xml:space="preserve">un    </v>
      </c>
      <c r="F159" s="182">
        <v>1</v>
      </c>
      <c r="G159" s="144">
        <f>(IFERROR(
IF(CONCATENATE($A159,$B159)="IDER-ES",INDEX('IDER-ES'!$D:$D,MATCH($C159,'IDER-ES'!$A:$A,0)),
IF(CONCATENATE($A159,$B159)="CIOPES",INDEX('CDER-ES'!$D:$D,MATCH($C159,'CDER-ES'!$A:$A,0)),
IF(CONCATENATE($A159,$B159)="ISINAPI",INDEX(ISINAPI!$E:$E,MATCH($C159,ISINAPI!$A:$A,0)),
IF(CONCATENATE($A159,$B159)="CSINAPI",INDEX(CSINAPI!$D:$D,MATCH($C159,CSINAPI!$A:$A,0)),
IF(CONCATENATE($A159,$B159)="CCESAN",INDEX(CCESAN!$D:$D,MATCH($C159,CCESAN!$A:$A,0)),
IF(CONCATENATE($A159,$B159)="CSCORIO",INDEX(CSCORIO!$B:$B,MATCH($C159,CSCORIO!#REF!,0)),
IF(CONCATENATE($A159,$B159)="MERC",INDEX(MERCADO!$E:$E,MATCH($C159,MERCADO!$A:$A,0)),
IF(CONCATENATE($A159,$B159)="CCOMP",INDEX(COMPOSICAO!$H:$H,MATCH($C159,COMPOSICAO!$A:$A,0)),""
)))))))),""))</f>
        <v>9.98</v>
      </c>
      <c r="H159" s="144">
        <f t="shared" si="23"/>
        <v>9.98</v>
      </c>
    </row>
    <row r="160" spans="1:9" ht="38.25">
      <c r="A160" s="141" t="s">
        <v>26621</v>
      </c>
      <c r="B160" s="141" t="s">
        <v>1019</v>
      </c>
      <c r="C160" s="141">
        <v>2644</v>
      </c>
      <c r="D160" s="142" t="str">
        <f>PROPER(IFERROR(
IF(C160="","",
IF(CONCATENATE($A160,$B160)="IDER-ES",INDEX('IDER-ES'!$B:$B,MATCH($C160,'IDER-ES'!$A:$A,0)),
IF(CONCATENATE($A160,$B160)="CDER-ES",INDEX('CDER-ES'!$B:$B,MATCH($C160,'CDER-ES'!$A:$A,0)),
IF(CONCATENATE($A160,$B160)="ISINAPI",INDEX(ISINAPI!$B:$B,MATCH($C160,ISINAPI!$A:$A,0)),
IF(CONCATENATE($A160,$B160)="CSINAPI",INDEX(CSINAPI!$B:$B,MATCH($C160,CSINAPI!$A:$A,0)),
IF(CONCATENATE($A160,$B160)="CCESAN",INDEX(CCESAN!$B:$B,MATCH($C160,CCESAN!$A:$A,0)),
IF(CONCATENATE($A160,$B160)="CSCORIO",INDEX(CSCORIO!#REF!,MATCH($C160,CSCORIO!#REF!,0)),
IF(CONCATENATE($A160,$B160)="MERC",INDEX(MERCADO!$B:$B,MATCH($C160,MERCADO!$A:$A,0)),
IF(CONCATENATE($A160,$B160)="CCOMP",INDEX(COMPOSICAO!$B:$B,MATCH($C160,COMPOSICAO!$A:$A,0)),""
))))))))),"*Verificar código*"))</f>
        <v xml:space="preserve">Luva Para Eletroduto, Em Aco Galvanizado Eletrolitico, Diametro De 40 Mm (1 1/2")                                                                                                                                                                                                                                                                                                                                                                                                                         </v>
      </c>
      <c r="E160" s="143" t="str">
        <f>LOWER(IFERROR(
IF(CONCATENATE($A160,$B160)="IDER-ES",INDEX('IDER-ES'!$C:$C,MATCH($C160,'IDER-ES'!$A:$A,0)),
IF(CONCATENATE($A160,$B160)="CIOPES",INDEX('CDER-ES'!$C:$C,MATCH($C160,'CDER-ES'!$A:$A,0)),
IF(CONCATENATE($A160,$B160)="ISINAPI",INDEX(ISINAPI!$C:$C,MATCH($C160,ISINAPI!$A:$A,0)),
IF(CONCATENATE($A160,$B160)="CSINAPI",INDEX(CSINAPI!$C:$C,MATCH($C160,CSINAPI!$A:$A,0)),
IF(CONCATENATE($A160,$B160)="CCESAN",INDEX(CCESAN!$C:$C,MATCH($C160,CCESAN!$A:$A,0)),
IF(CONCATENATE($A160,$B160)="CSCORIO",INDEX(CSCORIO!$A:$A,MATCH($C160,CSCORIO!#REF!,0)),
IF(CONCATENATE($A160,$B160)="MERC",INDEX(MERCADO!$D:$D,MATCH($C160,MERCADO!$A:$A,0)),
IF(CONCATENATE($A160,$B160)="CCOMP",INDEX(COMPOSICAO!$H:$H,MATCH($C160,COMPOSICAO!$A:$A,0)),""
)))))))),""))</f>
        <v xml:space="preserve">un    </v>
      </c>
      <c r="F160" s="182">
        <v>2</v>
      </c>
      <c r="G160" s="144">
        <f>(IFERROR(
IF(CONCATENATE($A160,$B160)="IDER-ES",INDEX('IDER-ES'!$D:$D,MATCH($C160,'IDER-ES'!$A:$A,0)),
IF(CONCATENATE($A160,$B160)="CIOPES",INDEX('CDER-ES'!$D:$D,MATCH($C160,'CDER-ES'!$A:$A,0)),
IF(CONCATENATE($A160,$B160)="ISINAPI",INDEX(ISINAPI!$E:$E,MATCH($C160,ISINAPI!$A:$A,0)),
IF(CONCATENATE($A160,$B160)="CSINAPI",INDEX(CSINAPI!$D:$D,MATCH($C160,CSINAPI!$A:$A,0)),
IF(CONCATENATE($A160,$B160)="CCESAN",INDEX(CCESAN!$D:$D,MATCH($C160,CCESAN!$A:$A,0)),
IF(CONCATENATE($A160,$B160)="CSCORIO",INDEX(CSCORIO!$B:$B,MATCH($C160,CSCORIO!#REF!,0)),
IF(CONCATENATE($A160,$B160)="MERC",INDEX(MERCADO!$E:$E,MATCH($C160,MERCADO!$A:$A,0)),
IF(CONCATENATE($A160,$B160)="CCOMP",INDEX(COMPOSICAO!$H:$H,MATCH($C160,COMPOSICAO!$A:$A,0)),""
)))))))),""))</f>
        <v>7.29</v>
      </c>
      <c r="H160" s="144">
        <f t="shared" si="23"/>
        <v>14.58</v>
      </c>
    </row>
    <row r="161" spans="1:9" ht="38.25">
      <c r="A161" s="141" t="s">
        <v>26621</v>
      </c>
      <c r="B161" s="141" t="s">
        <v>1019</v>
      </c>
      <c r="C161" s="141">
        <v>2632</v>
      </c>
      <c r="D161" s="142" t="str">
        <f>PROPER(IFERROR(
IF(C161="","",
IF(CONCATENATE($A161,$B161)="IDER-ES",INDEX('IDER-ES'!$B:$B,MATCH($C161,'IDER-ES'!$A:$A,0)),
IF(CONCATENATE($A161,$B161)="CDER-ES",INDEX('CDER-ES'!$B:$B,MATCH($C161,'CDER-ES'!$A:$A,0)),
IF(CONCATENATE($A161,$B161)="ISINAPI",INDEX(ISINAPI!$B:$B,MATCH($C161,ISINAPI!$A:$A,0)),
IF(CONCATENATE($A161,$B161)="CSINAPI",INDEX(CSINAPI!$B:$B,MATCH($C161,CSINAPI!$A:$A,0)),
IF(CONCATENATE($A161,$B161)="CCESAN",INDEX(CCESAN!$B:$B,MATCH($C161,CCESAN!$A:$A,0)),
IF(CONCATENATE($A161,$B161)="CSCORIO",INDEX(CSCORIO!#REF!,MATCH($C161,CSCORIO!#REF!,0)),
IF(CONCATENATE($A161,$B161)="MERC",INDEX(MERCADO!$B:$B,MATCH($C161,MERCADO!$A:$A,0)),
IF(CONCATENATE($A161,$B161)="CCOMP",INDEX(COMPOSICAO!$B:$B,MATCH($C161,COMPOSICAO!$A:$A,0)),""
))))))))),"*Verificar código*"))</f>
        <v xml:space="preserve">Curva 90 Graus, Para Eletroduto, Em Aco Galvanizado Eletrolitico, Diametro De 40 Mm (1 1/2")                                                                                                                                                                                                                                                                                                                                                                                                              </v>
      </c>
      <c r="E161" s="143" t="str">
        <f>LOWER(IFERROR(
IF(CONCATENATE($A161,$B161)="IDER-ES",INDEX('IDER-ES'!$C:$C,MATCH($C161,'IDER-ES'!$A:$A,0)),
IF(CONCATENATE($A161,$B161)="CIOPES",INDEX('CDER-ES'!$C:$C,MATCH($C161,'CDER-ES'!$A:$A,0)),
IF(CONCATENATE($A161,$B161)="ISINAPI",INDEX(ISINAPI!$C:$C,MATCH($C161,ISINAPI!$A:$A,0)),
IF(CONCATENATE($A161,$B161)="CSINAPI",INDEX(CSINAPI!$C:$C,MATCH($C161,CSINAPI!$A:$A,0)),
IF(CONCATENATE($A161,$B161)="CCESAN",INDEX(CCESAN!$C:$C,MATCH($C161,CCESAN!$A:$A,0)),
IF(CONCATENATE($A161,$B161)="CSCORIO",INDEX(CSCORIO!$A:$A,MATCH($C161,CSCORIO!#REF!,0)),
IF(CONCATENATE($A161,$B161)="MERC",INDEX(MERCADO!$D:$D,MATCH($C161,MERCADO!$A:$A,0)),
IF(CONCATENATE($A161,$B161)="CCOMP",INDEX(COMPOSICAO!$H:$H,MATCH($C161,COMPOSICAO!$A:$A,0)),""
)))))))),""))</f>
        <v xml:space="preserve">un    </v>
      </c>
      <c r="F161" s="182">
        <v>1</v>
      </c>
      <c r="G161" s="144">
        <f>(IFERROR(
IF(CONCATENATE($A161,$B161)="IDER-ES",INDEX('IDER-ES'!$D:$D,MATCH($C161,'IDER-ES'!$A:$A,0)),
IF(CONCATENATE($A161,$B161)="CIOPES",INDEX('CDER-ES'!$D:$D,MATCH($C161,'CDER-ES'!$A:$A,0)),
IF(CONCATENATE($A161,$B161)="ISINAPI",INDEX(ISINAPI!$E:$E,MATCH($C161,ISINAPI!$A:$A,0)),
IF(CONCATENATE($A161,$B161)="CSINAPI",INDEX(CSINAPI!$D:$D,MATCH($C161,CSINAPI!$A:$A,0)),
IF(CONCATENATE($A161,$B161)="CCESAN",INDEX(CCESAN!$D:$D,MATCH($C161,CCESAN!$A:$A,0)),
IF(CONCATENATE($A161,$B161)="CSCORIO",INDEX(CSCORIO!$B:$B,MATCH($C161,CSCORIO!#REF!,0)),
IF(CONCATENATE($A161,$B161)="MERC",INDEX(MERCADO!$E:$E,MATCH($C161,MERCADO!$A:$A,0)),
IF(CONCATENATE($A161,$B161)="CCOMP",INDEX(COMPOSICAO!$H:$H,MATCH($C161,COMPOSICAO!$A:$A,0)),""
)))))))),""))</f>
        <v>24.45</v>
      </c>
      <c r="H161" s="144">
        <f t="shared" si="23"/>
        <v>24.45</v>
      </c>
    </row>
    <row r="162" spans="1:9" ht="38.25">
      <c r="A162" s="141" t="s">
        <v>26621</v>
      </c>
      <c r="B162" s="141" t="s">
        <v>1019</v>
      </c>
      <c r="C162" s="141">
        <v>43130</v>
      </c>
      <c r="D162" s="142" t="str">
        <f>PROPER(IFERROR(
IF(C162="","",
IF(CONCATENATE($A162,$B162)="IDER-ES",INDEX('IDER-ES'!$B:$B,MATCH($C162,'IDER-ES'!$A:$A,0)),
IF(CONCATENATE($A162,$B162)="CDER-ES",INDEX('CDER-ES'!$B:$B,MATCH($C162,'CDER-ES'!$A:$A,0)),
IF(CONCATENATE($A162,$B162)="ISINAPI",INDEX(ISINAPI!$B:$B,MATCH($C162,ISINAPI!$A:$A,0)),
IF(CONCATENATE($A162,$B162)="CSINAPI",INDEX(CSINAPI!$B:$B,MATCH($C162,CSINAPI!$A:$A,0)),
IF(CONCATENATE($A162,$B162)="CCESAN",INDEX(CCESAN!$B:$B,MATCH($C162,CCESAN!$A:$A,0)),
IF(CONCATENATE($A162,$B162)="CSCORIO",INDEX(CSCORIO!#REF!,MATCH($C162,CSCORIO!#REF!,0)),
IF(CONCATENATE($A162,$B162)="MERC",INDEX(MERCADO!$B:$B,MATCH($C162,MERCADO!$A:$A,0)),
IF(CONCATENATE($A162,$B162)="CCOMP",INDEX(COMPOSICAO!$B:$B,MATCH($C162,COMPOSICAO!$A:$A,0)),""
))))))))),"*Verificar código*"))</f>
        <v xml:space="preserve">Arame Galvanizado 12 Bwg, D = 2,76 Mm (0,048 Kg/M) Ou 14 Bwg, D = 2,11 Mm (0,026 Kg/M)                                                                                                                                                                                                                                                                                                                                                                                                                    </v>
      </c>
      <c r="E162" s="143" t="str">
        <f>LOWER(IFERROR(
IF(CONCATENATE($A162,$B162)="IDER-ES",INDEX('IDER-ES'!$C:$C,MATCH($C162,'IDER-ES'!$A:$A,0)),
IF(CONCATENATE($A162,$B162)="CIOPES",INDEX('CDER-ES'!$C:$C,MATCH($C162,'CDER-ES'!$A:$A,0)),
IF(CONCATENATE($A162,$B162)="ISINAPI",INDEX(ISINAPI!$C:$C,MATCH($C162,ISINAPI!$A:$A,0)),
IF(CONCATENATE($A162,$B162)="CSINAPI",INDEX(CSINAPI!$C:$C,MATCH($C162,CSINAPI!$A:$A,0)),
IF(CONCATENATE($A162,$B162)="CCESAN",INDEX(CCESAN!$C:$C,MATCH($C162,CCESAN!$A:$A,0)),
IF(CONCATENATE($A162,$B162)="CSCORIO",INDEX(CSCORIO!$A:$A,MATCH($C162,CSCORIO!#REF!,0)),
IF(CONCATENATE($A162,$B162)="MERC",INDEX(MERCADO!$D:$D,MATCH($C162,MERCADO!$A:$A,0)),
IF(CONCATENATE($A162,$B162)="CCOMP",INDEX(COMPOSICAO!$H:$H,MATCH($C162,COMPOSICAO!$A:$A,0)),""
)))))))),""))</f>
        <v xml:space="preserve">kg    </v>
      </c>
      <c r="F162" s="182">
        <v>0.52</v>
      </c>
      <c r="G162" s="144">
        <f>(IFERROR(
IF(CONCATENATE($A162,$B162)="IDER-ES",INDEX('IDER-ES'!$D:$D,MATCH($C162,'IDER-ES'!$A:$A,0)),
IF(CONCATENATE($A162,$B162)="CIOPES",INDEX('CDER-ES'!$D:$D,MATCH($C162,'CDER-ES'!$A:$A,0)),
IF(CONCATENATE($A162,$B162)="ISINAPI",INDEX(ISINAPI!$E:$E,MATCH($C162,ISINAPI!$A:$A,0)),
IF(CONCATENATE($A162,$B162)="CSINAPI",INDEX(CSINAPI!$D:$D,MATCH($C162,CSINAPI!$A:$A,0)),
IF(CONCATENATE($A162,$B162)="CCESAN",INDEX(CCESAN!$D:$D,MATCH($C162,CCESAN!$A:$A,0)),
IF(CONCATENATE($A162,$B162)="CSCORIO",INDEX(CSCORIO!$B:$B,MATCH($C162,CSCORIO!#REF!,0)),
IF(CONCATENATE($A162,$B162)="MERC",INDEX(MERCADO!$E:$E,MATCH($C162,MERCADO!$A:$A,0)),
IF(CONCATENATE($A162,$B162)="CCOMP",INDEX(COMPOSICAO!$H:$H,MATCH($C162,COMPOSICAO!$A:$A,0)),""
)))))))),""))</f>
        <v>31.92</v>
      </c>
      <c r="H162" s="144">
        <f t="shared" ref="H162" si="24">IF(B162="","",ROUND(G162*F162,2))</f>
        <v>16.600000000000001</v>
      </c>
    </row>
    <row r="163" spans="1:9" ht="25.5">
      <c r="A163" s="141" t="s">
        <v>21960</v>
      </c>
      <c r="B163" s="141" t="s">
        <v>1019</v>
      </c>
      <c r="C163" s="141">
        <v>88247</v>
      </c>
      <c r="D163" s="142" t="str">
        <f>PROPER(IFERROR(
IF(C163="","",
IF(CONCATENATE($A163,$B163)="IDER-ES",INDEX('IDER-ES'!$B:$B,MATCH($C163,'IDER-ES'!$A:$A,0)),
IF(CONCATENATE($A163,$B163)="CDER-ES",INDEX('CDER-ES'!$B:$B,MATCH($C163,'CDER-ES'!$A:$A,0)),
IF(CONCATENATE($A163,$B163)="ISINAPI",INDEX(ISINAPI!$B:$B,MATCH($C163,ISINAPI!$A:$A,0)),
IF(CONCATENATE($A163,$B163)="CSINAPI",INDEX(CSINAPI!$B:$B,MATCH($C163,CSINAPI!$A:$A,0)),
IF(CONCATENATE($A163,$B163)="CCESAN",INDEX(CCESAN!$B:$B,MATCH($C163,CCESAN!$A:$A,0)),
IF(CONCATENATE($A163,$B163)="CSCORIO",INDEX(CSCORIO!#REF!,MATCH($C163,CSCORIO!#REF!,0)),
IF(CONCATENATE($A163,$B163)="MERC",INDEX(MERCADO!$B:$B,MATCH($C163,MERCADO!$A:$A,0)),
IF(CONCATENATE($A163,$B163)="CCOMP",INDEX(COMPOSICAO!$B:$B,MATCH($C163,COMPOSICAO!$A:$A,0)),""
))))))))),"*Verificar código*"))</f>
        <v>Auxiliar De Eletricista Com Encargos Complementares</v>
      </c>
      <c r="E163" s="143" t="str">
        <f>LOWER(IFERROR(
IF(CONCATENATE($A163,$B163)="IDER-ES",INDEX('IDER-ES'!$C:$C,MATCH($C163,'IDER-ES'!$A:$A,0)),
IF(CONCATENATE($A163,$B163)="CIOPES",INDEX('CDER-ES'!$C:$C,MATCH($C163,'CDER-ES'!$A:$A,0)),
IF(CONCATENATE($A163,$B163)="ISINAPI",INDEX(ISINAPI!$C:$C,MATCH($C163,ISINAPI!$A:$A,0)),
IF(CONCATENATE($A163,$B163)="CSINAPI",INDEX(CSINAPI!$C:$C,MATCH($C163,CSINAPI!$A:$A,0)),
IF(CONCATENATE($A163,$B163)="CCESAN",INDEX(CCESAN!$C:$C,MATCH($C163,CCESAN!$A:$A,0)),
IF(CONCATENATE($A163,$B163)="CSCORIO",INDEX(CSCORIO!$A:$A,MATCH($C163,CSCORIO!#REF!,0)),
IF(CONCATENATE($A163,$B163)="MERC",INDEX(MERCADO!$D:$D,MATCH($C163,MERCADO!$A:$A,0)),
IF(CONCATENATE($A163,$B163)="CCOMP",INDEX(COMPOSICAO!$H:$H,MATCH($C163,COMPOSICAO!$A:$A,0)),""
)))))))),""))</f>
        <v>h</v>
      </c>
      <c r="F163" s="182">
        <v>0.2</v>
      </c>
      <c r="G163" s="144">
        <f>(IFERROR(
IF(CONCATENATE($A163,$B163)="IDER-ES",INDEX('IDER-ES'!$D:$D,MATCH($C163,'IDER-ES'!$A:$A,0)),
IF(CONCATENATE($A163,$B163)="CIOPES",INDEX('CDER-ES'!$D:$D,MATCH($C163,'CDER-ES'!$A:$A,0)),
IF(CONCATENATE($A163,$B163)="ISINAPI",INDEX(ISINAPI!$E:$E,MATCH($C163,ISINAPI!$A:$A,0)),
IF(CONCATENATE($A163,$B163)="CSINAPI",INDEX(CSINAPI!$D:$D,MATCH($C163,CSINAPI!$A:$A,0)),
IF(CONCATENATE($A163,$B163)="CCESAN",INDEX(CCESAN!$D:$D,MATCH($C163,CCESAN!$A:$A,0)),
IF(CONCATENATE($A163,$B163)="CSCORIO",INDEX(CSCORIO!$B:$B,MATCH($C163,CSCORIO!#REF!,0)),
IF(CONCATENATE($A163,$B163)="MERC",INDEX(MERCADO!$E:$E,MATCH($C163,MERCADO!$A:$A,0)),
IF(CONCATENATE($A163,$B163)="CCOMP",INDEX(COMPOSICAO!$H:$H,MATCH($C163,COMPOSICAO!$A:$A,0)),""
)))))))),""))</f>
        <v>20.65</v>
      </c>
      <c r="H163" s="144">
        <f t="shared" ref="H163" si="25">IF(B163="","",ROUND(G163*F163,2))</f>
        <v>4.13</v>
      </c>
    </row>
    <row r="164" spans="1:9" ht="25.5">
      <c r="A164" s="141" t="s">
        <v>21960</v>
      </c>
      <c r="B164" s="141" t="s">
        <v>1019</v>
      </c>
      <c r="C164" s="141">
        <v>88264</v>
      </c>
      <c r="D164" s="142" t="str">
        <f>PROPER(IFERROR(
IF(C164="","",
IF(CONCATENATE($A164,$B164)="IDER-ES",INDEX('IDER-ES'!$B:$B,MATCH($C164,'IDER-ES'!$A:$A,0)),
IF(CONCATENATE($A164,$B164)="CDER-ES",INDEX('CDER-ES'!$B:$B,MATCH($C164,'CDER-ES'!$A:$A,0)),
IF(CONCATENATE($A164,$B164)="ISINAPI",INDEX(ISINAPI!$B:$B,MATCH($C164,ISINAPI!$A:$A,0)),
IF(CONCATENATE($A164,$B164)="CSINAPI",INDEX(CSINAPI!$B:$B,MATCH($C164,CSINAPI!$A:$A,0)),
IF(CONCATENATE($A164,$B164)="CCESAN",INDEX(CCESAN!$B:$B,MATCH($C164,CCESAN!$A:$A,0)),
IF(CONCATENATE($A164,$B164)="CSCORIO",INDEX(CSCORIO!#REF!,MATCH($C164,CSCORIO!#REF!,0)),
IF(CONCATENATE($A164,$B164)="MERC",INDEX(MERCADO!$B:$B,MATCH($C164,MERCADO!$A:$A,0)),
IF(CONCATENATE($A164,$B164)="CCOMP",INDEX(COMPOSICAO!$B:$B,MATCH($C164,COMPOSICAO!$A:$A,0)),""
))))))))),"*Verificar código*"))</f>
        <v>Eletricista Com Encargos Complementares</v>
      </c>
      <c r="E164" s="143" t="str">
        <f>LOWER(IFERROR(
IF(CONCATENATE($A164,$B164)="IDER-ES",INDEX('IDER-ES'!$C:$C,MATCH($C164,'IDER-ES'!$A:$A,0)),
IF(CONCATENATE($A164,$B164)="CIOPES",INDEX('CDER-ES'!$C:$C,MATCH($C164,'CDER-ES'!$A:$A,0)),
IF(CONCATENATE($A164,$B164)="ISINAPI",INDEX(ISINAPI!$C:$C,MATCH($C164,ISINAPI!$A:$A,0)),
IF(CONCATENATE($A164,$B164)="CSINAPI",INDEX(CSINAPI!$C:$C,MATCH($C164,CSINAPI!$A:$A,0)),
IF(CONCATENATE($A164,$B164)="CCESAN",INDEX(CCESAN!$C:$C,MATCH($C164,CCESAN!$A:$A,0)),
IF(CONCATENATE($A164,$B164)="CSCORIO",INDEX(CSCORIO!$A:$A,MATCH($C164,CSCORIO!#REF!,0)),
IF(CONCATENATE($A164,$B164)="MERC",INDEX(MERCADO!$D:$D,MATCH($C164,MERCADO!$A:$A,0)),
IF(CONCATENATE($A164,$B164)="CCOMP",INDEX(COMPOSICAO!$H:$H,MATCH($C164,COMPOSICAO!$A:$A,0)),""
)))))))),""))</f>
        <v>h</v>
      </c>
      <c r="F164" s="182">
        <v>0.2</v>
      </c>
      <c r="G164" s="144">
        <f>(IFERROR(
IF(CONCATENATE($A164,$B164)="IDER-ES",INDEX('IDER-ES'!$D:$D,MATCH($C164,'IDER-ES'!$A:$A,0)),
IF(CONCATENATE($A164,$B164)="CIOPES",INDEX('CDER-ES'!$D:$D,MATCH($C164,'CDER-ES'!$A:$A,0)),
IF(CONCATENATE($A164,$B164)="ISINAPI",INDEX(ISINAPI!$E:$E,MATCH($C164,ISINAPI!$A:$A,0)),
IF(CONCATENATE($A164,$B164)="CSINAPI",INDEX(CSINAPI!$D:$D,MATCH($C164,CSINAPI!$A:$A,0)),
IF(CONCATENATE($A164,$B164)="CCESAN",INDEX(CCESAN!$D:$D,MATCH($C164,CCESAN!$A:$A,0)),
IF(CONCATENATE($A164,$B164)="CSCORIO",INDEX(CSCORIO!$B:$B,MATCH($C164,CSCORIO!#REF!,0)),
IF(CONCATENATE($A164,$B164)="MERC",INDEX(MERCADO!$E:$E,MATCH($C164,MERCADO!$A:$A,0)),
IF(CONCATENATE($A164,$B164)="CCOMP",INDEX(COMPOSICAO!$H:$H,MATCH($C164,COMPOSICAO!$A:$A,0)),""
)))))))),""))</f>
        <v>26.73</v>
      </c>
      <c r="H164" s="144">
        <f t="shared" si="23"/>
        <v>5.35</v>
      </c>
    </row>
    <row r="165" spans="1:9" ht="76.5">
      <c r="A165" s="141" t="s">
        <v>21960</v>
      </c>
      <c r="B165" s="141" t="s">
        <v>26583</v>
      </c>
      <c r="C165" s="141">
        <v>150610</v>
      </c>
      <c r="D165" s="142" t="str">
        <f>PROPER(IFERROR(
IF(C165="","",
IF(CONCATENATE($A165,$B165)="IDER-ES",INDEX('IDER-ES'!$B:$B,MATCH($C165,'IDER-ES'!$A:$A,0)),
IF(CONCATENATE($A165,$B165)="CDER-ES",INDEX('CDER-ES'!$B:$B,MATCH($C165,'CDER-ES'!$A:$A,0)),
IF(CONCATENATE($A165,$B165)="ISINAPI",INDEX(ISINAPI!$B:$B,MATCH($C165,ISINAPI!$A:$A,0)),
IF(CONCATENATE($A165,$B165)="CSINAPI",INDEX(CSINAPI!$B:$B,MATCH($C165,CSINAPI!$A:$A,0)),
IF(CONCATENATE($A165,$B165)="CCESAN",INDEX(CCESAN!$B:$B,MATCH($C165,CCESAN!$A:$A,0)),
IF(CONCATENATE($A165,$B165)="CSCORIO",INDEX(CSCORIO!#REF!,MATCH($C165,CSCORIO!#REF!,0)),
IF(CONCATENATE($A165,$B165)="MERC",INDEX(MERCADO!$B:$B,MATCH($C165,MERCADO!$A:$A,0)),
IF(CONCATENATE($A165,$B165)="CCOMP",INDEX(COMPOSICAO!$B:$B,MATCH($C165,COMPOSICAO!$A:$A,0)),""
))))))))),"*Verificar código*"))</f>
        <v>Caixa De Aterramento De Concreto Simples, Nas Dimensões De 30X30X25Cm, Com Revest. Int. Em Chapisco E Reboco, Tampa De Concreto Esp.5Cm E Lastro De Brita Esp. 5 Cm, Incl. Haste 5/8"X2400Mm</v>
      </c>
      <c r="E165" s="143" t="str">
        <f>LOWER(IFERROR(
IF(CONCATENATE($A165,$B165)="IDER-ES",INDEX('IDER-ES'!$C:$C,MATCH($C165,'IDER-ES'!$A:$A,0)),
IF(CONCATENATE($A165,$B165)="CDER-ES",INDEX('CDER-ES'!$C:$C,MATCH($C165,'CDER-ES'!$A:$A,0)),
IF(CONCATENATE($A165,$B165)="ISINAPI",INDEX(ISINAPI!$C:$C,MATCH($C165,ISINAPI!$A:$A,0)),
IF(CONCATENATE($A165,$B165)="CSINAPI",INDEX(CSINAPI!$C:$C,MATCH($C165,CSINAPI!$A:$A,0)),
IF(CONCATENATE($A165,$B165)="CCESAN",INDEX(CCESAN!$C:$C,MATCH($C165,CCESAN!$A:$A,0)),
IF(CONCATENATE($A165,$B165)="CSCORIO",INDEX(CSCORIO!$A:$A,MATCH($C165,CSCORIO!#REF!,0)),
IF(CONCATENATE($A165,$B165)="MERC",INDEX(MERCADO!$D:$D,MATCH($C165,MERCADO!$A:$A,0)),
IF(CONCATENATE($A165,$B165)="CCOMP",INDEX(COMPOSICAO!$H:$H,MATCH($C165,COMPOSICAO!$A:$A,0)),""
)))))))),""))</f>
        <v>und</v>
      </c>
      <c r="F165" s="182">
        <v>1</v>
      </c>
      <c r="G165" s="144">
        <f>(IFERROR(
IF(CONCATENATE($A165,$B165)="IDER-ES",INDEX('IDER-ES'!$D:$D,MATCH($C165,'IDER-ES'!$A:$A,0)),
IF(CONCATENATE($A165,$B165)="CDER-ES",INDEX('CDER-ES'!$D:$D,MATCH($C165,'CDER-ES'!$A:$A,0)),
IF(CONCATENATE($A165,$B165)="ISINAPI",INDEX(ISINAPI!$E:$E,MATCH($C165,ISINAPI!$A:$A,0)),
IF(CONCATENATE($A165,$B165)="CSINAPI",INDEX(CSINAPI!$D:$D,MATCH($C165,CSINAPI!$A:$A,0)),
IF(CONCATENATE($A165,$B165)="CCESAN",INDEX(CCESAN!$D:$D,MATCH($C165,CCESAN!$A:$A,0)),
IF(CONCATENATE($A165,$B165)="CSCORIO",INDEX(CSCORIO!$B:$B,MATCH($C165,CSCORIO!#REF!,0)),
IF(CONCATENATE($A165,$B165)="MERC",INDEX(MERCADO!$E:$E,MATCH($C165,MERCADO!$A:$A,0)),
IF(CONCATENATE($A165,$B165)="CCOMP",INDEX(COMPOSICAO!$H:$H,MATCH($C165,COMPOSICAO!$A:$A,0)),""
)))))))),""))</f>
        <v>314.29000000000002</v>
      </c>
      <c r="H165" s="144">
        <f t="shared" ref="H165" si="26">IF(B165="","",ROUND(G165*F165,2))</f>
        <v>314.29000000000002</v>
      </c>
    </row>
    <row r="166" spans="1:9" ht="38.25">
      <c r="A166" s="141" t="s">
        <v>26621</v>
      </c>
      <c r="B166" s="141" t="s">
        <v>1019</v>
      </c>
      <c r="C166" s="141">
        <v>38056</v>
      </c>
      <c r="D166" s="142" t="str">
        <f>PROPER(IFERROR(
IF(C166="","",
IF(CONCATENATE($A166,$B166)="IDER-ES",INDEX('IDER-ES'!$B:$B,MATCH($C166,'IDER-ES'!$A:$A,0)),
IF(CONCATENATE($A166,$B166)="CDER-ES",INDEX('CDER-ES'!$B:$B,MATCH($C166,'CDER-ES'!$A:$A,0)),
IF(CONCATENATE($A166,$B166)="ISINAPI",INDEX(ISINAPI!$B:$B,MATCH($C166,ISINAPI!$A:$A,0)),
IF(CONCATENATE($A166,$B166)="CSINAPI",INDEX(CSINAPI!$B:$B,MATCH($C166,CSINAPI!$A:$A,0)),
IF(CONCATENATE($A166,$B166)="CCESAN",INDEX(CCESAN!$B:$B,MATCH($C166,CCESAN!$A:$A,0)),
IF(CONCATENATE($A166,$B166)="CSCORIO",INDEX(CSCORIO!#REF!,MATCH($C166,CSCORIO!#REF!,0)),
IF(CONCATENATE($A166,$B166)="MERC",INDEX(MERCADO!$B:$B,MATCH($C166,MERCADO!$A:$A,0)),
IF(CONCATENATE($A166,$B166)="CCOMP",INDEX(COMPOSICAO!$B:$B,MATCH($C166,COMPOSICAO!$A:$A,0)),""
))))))))),"*Verificar código*"))</f>
        <v xml:space="preserve">Grampo Metalico Tipo U Para Haste De Aterramento De Ate 5/8'', Condutor De 10 A 25 Mm2                                                                                                                                                                                                                                                                                                                                                                                                                    </v>
      </c>
      <c r="E166" s="143" t="str">
        <f>LOWER(IFERROR(
IF(CONCATENATE($A166,$B166)="IDER-ES",INDEX('IDER-ES'!$C:$C,MATCH($C166,'IDER-ES'!$A:$A,0)),
IF(CONCATENATE($A166,$B166)="CDER-ES",INDEX('CDER-ES'!$C:$C,MATCH($C166,'CDER-ES'!$A:$A,0)),
IF(CONCATENATE($A166,$B166)="ISINAPI",INDEX(ISINAPI!$C:$C,MATCH($C166,ISINAPI!$A:$A,0)),
IF(CONCATENATE($A166,$B166)="CSINAPI",INDEX(CSINAPI!$C:$C,MATCH($C166,CSINAPI!$A:$A,0)),
IF(CONCATENATE($A166,$B166)="CCESAN",INDEX(CCESAN!$C:$C,MATCH($C166,CCESAN!$A:$A,0)),
IF(CONCATENATE($A166,$B166)="CSCORIO",INDEX(CSCORIO!$A:$A,MATCH($C166,CSCORIO!#REF!,0)),
IF(CONCATENATE($A166,$B166)="MERC",INDEX(MERCADO!$D:$D,MATCH($C166,MERCADO!$A:$A,0)),
IF(CONCATENATE($A166,$B166)="CCOMP",INDEX(COMPOSICAO!$H:$H,MATCH($C166,COMPOSICAO!$A:$A,0)),""
)))))))),""))</f>
        <v xml:space="preserve">un    </v>
      </c>
      <c r="F166" s="182">
        <v>1</v>
      </c>
      <c r="G166" s="144">
        <f>(IFERROR(
IF(CONCATENATE($A166,$B166)="IDER-ES",INDEX('IDER-ES'!$D:$D,MATCH($C166,'IDER-ES'!$A:$A,0)),
IF(CONCATENATE($A166,$B166)="CDER-ES",INDEX('CDER-ES'!$D:$D,MATCH($C166,'CDER-ES'!$A:$A,0)),
IF(CONCATENATE($A166,$B166)="ISINAPI",INDEX(ISINAPI!$E:$E,MATCH($C166,ISINAPI!$A:$A,0)),
IF(CONCATENATE($A166,$B166)="CSINAPI",INDEX(CSINAPI!$D:$D,MATCH($C166,CSINAPI!$A:$A,0)),
IF(CONCATENATE($A166,$B166)="CCESAN",INDEX(CCESAN!$D:$D,MATCH($C166,CCESAN!$A:$A,0)),
IF(CONCATENATE($A166,$B166)="CSCORIO",INDEX(CSCORIO!$B:$B,MATCH($C166,CSCORIO!#REF!,0)),
IF(CONCATENATE($A166,$B166)="MERC",INDEX(MERCADO!$E:$E,MATCH($C166,MERCADO!$A:$A,0)),
IF(CONCATENATE($A166,$B166)="CCOMP",INDEX(COMPOSICAO!$H:$H,MATCH($C166,COMPOSICAO!$A:$A,0)),""
)))))))),""))</f>
        <v>29.55</v>
      </c>
      <c r="H166" s="144">
        <f t="shared" si="23"/>
        <v>29.55</v>
      </c>
    </row>
    <row r="168" spans="1:9" s="135" customFormat="1" ht="20.100000000000001" customHeight="1">
      <c r="A168" s="186" t="s">
        <v>1020</v>
      </c>
      <c r="B168" s="405" t="s">
        <v>1022</v>
      </c>
      <c r="C168" s="406"/>
      <c r="D168" s="406"/>
      <c r="E168" s="406"/>
      <c r="F168" s="407"/>
      <c r="G168" s="133" t="s">
        <v>19692</v>
      </c>
      <c r="H168" s="134" t="s">
        <v>19678</v>
      </c>
      <c r="I168" s="263"/>
    </row>
    <row r="169" spans="1:9" ht="45" customHeight="1">
      <c r="A169" s="136">
        <f>COUNTIF($A$4:$A168,$A$4)</f>
        <v>15</v>
      </c>
      <c r="B169" s="408" t="s">
        <v>29126</v>
      </c>
      <c r="C169" s="409"/>
      <c r="D169" s="409"/>
      <c r="E169" s="409"/>
      <c r="F169" s="410"/>
      <c r="G169" s="137" t="s">
        <v>19692</v>
      </c>
      <c r="H169" s="211">
        <f>SUM(H171:H178)</f>
        <v>7070.6699999999983</v>
      </c>
    </row>
    <row r="170" spans="1:9" ht="30" customHeight="1">
      <c r="A170" s="139" t="s">
        <v>1026</v>
      </c>
      <c r="B170" s="139" t="s">
        <v>1027</v>
      </c>
      <c r="C170" s="139" t="s">
        <v>31</v>
      </c>
      <c r="D170" s="139" t="s">
        <v>1023</v>
      </c>
      <c r="E170" s="139" t="s">
        <v>32</v>
      </c>
      <c r="F170" s="183" t="s">
        <v>2343</v>
      </c>
      <c r="G170" s="140" t="s">
        <v>19676</v>
      </c>
      <c r="H170" s="140" t="s">
        <v>19677</v>
      </c>
    </row>
    <row r="171" spans="1:9">
      <c r="A171" s="141" t="s">
        <v>26621</v>
      </c>
      <c r="B171" s="141" t="s">
        <v>1019</v>
      </c>
      <c r="C171" s="141">
        <v>863</v>
      </c>
      <c r="D171" s="142" t="str">
        <f>PROPER(IFERROR(
IF(C171="","",
IF(CONCATENATE($A171,$B171)="IDER-ES",INDEX('IDER-ES'!$B:$B,MATCH($C171,'IDER-ES'!$A:$A,0)),
IF(CONCATENATE($A171,$B171)="CDER-ES",INDEX('CDER-ES'!$B:$B,MATCH($C171,'CDER-ES'!$A:$A,0)),
IF(CONCATENATE($A171,$B171)="ISINAPI",INDEX(ISINAPI!$B:$B,MATCH($C171,ISINAPI!$A:$A,0)),
IF(CONCATENATE($A171,$B171)="CSINAPI",INDEX(CSINAPI!$B:$B,MATCH($C171,CSINAPI!$A:$A,0)),
IF(CONCATENATE($A171,$B171)="CCESAN",INDEX(CCESAN!$B:$B,MATCH($C171,CCESAN!$A:$A,0)),
IF(CONCATENATE($A171,$B171)="CSCORIO",INDEX(CSCORIO!#REF!,MATCH($C171,CSCORIO!#REF!,0)),
IF(CONCATENATE($A171,$B171)="MERC",INDEX(MERCADO!$B:$B,MATCH($C171,MERCADO!$A:$A,0)),
IF(CONCATENATE($A171,$B171)="CCOMP",INDEX(COMPOSICAO!$B:$B,MATCH($C171,COMPOSICAO!$A:$A,0)),""
))))))))),"*Verificar código*"))</f>
        <v xml:space="preserve">Cabo De Cobre Nu 35 Mm2 Meio-Duro                                                                                                                                                                                                                                                                                                                                                                                                                                                                         </v>
      </c>
      <c r="E171" s="143" t="str">
        <f>LOWER(IFERROR(
IF(CONCATENATE($A171,$B171)="IDER-ES",INDEX('IDER-ES'!$C:$C,MATCH($C171,'IDER-ES'!$A:$A,0)),
IF(CONCATENATE($A171,$B171)="CIOPES",INDEX('CDER-ES'!$C:$C,MATCH($C171,'CDER-ES'!$A:$A,0)),
IF(CONCATENATE($A171,$B171)="ISINAPI",INDEX(ISINAPI!$C:$C,MATCH($C171,ISINAPI!$A:$A,0)),
IF(CONCATENATE($A171,$B171)="CSINAPI",INDEX(CSINAPI!$C:$C,MATCH($C171,CSINAPI!$A:$A,0)),
IF(CONCATENATE($A171,$B171)="CCESAN",INDEX(CCESAN!$C:$C,MATCH($C171,CCESAN!$A:$A,0)),
IF(CONCATENATE($A171,$B171)="CSCORIO",INDEX(CSCORIO!$A:$A,MATCH($C171,CSCORIO!#REF!,0)),
IF(CONCATENATE($A171,$B171)="MERC",INDEX(MERCADO!$D:$D,MATCH($C171,MERCADO!$A:$A,0)),
IF(CONCATENATE($A171,$B171)="CCOMP",INDEX(COMPOSICAO!$H:$H,MATCH($C171,COMPOSICAO!$A:$A,0)),""
)))))))),""))</f>
        <v xml:space="preserve">m     </v>
      </c>
      <c r="F171" s="182">
        <v>10</v>
      </c>
      <c r="G171" s="284">
        <f>(IFERROR(
IF(CONCATENATE($A171,$B171)="IDER-ES",INDEX('IDER-ES'!$D:$D,MATCH($C171,'IDER-ES'!$A:$A,0)),
IF(CONCATENATE($A171,$B171)="CIOPES",INDEX('CDER-ES'!$D:$D,MATCH($C171,'CDER-ES'!$A:$A,0)),
IF(CONCATENATE($A171,$B171)="ISINAPI",INDEX(ISINAPI!$E:$E,MATCH($C171,ISINAPI!$A:$A,0)),
IF(CONCATENATE($A171,$B171)="CSINAPI",INDEX(CSINAPI!$D:$D,MATCH($C171,CSINAPI!$A:$A,0)),
IF(CONCATENATE($A171,$B171)="CCESAN",INDEX(CCESAN!$D:$D,MATCH($C171,CCESAN!$A:$A,0)),
IF(CONCATENATE($A171,$B171)="CSCORIO",INDEX(CSCORIO!$B:$B,MATCH($C171,CSCORIO!#REF!,0)),
IF(CONCATENATE($A171,$B171)="MERC",INDEX(MERCADO!$E:$E,MATCH($C171,MERCADO!$A:$A,0)),
IF(CONCATENATE($A171,$B171)="CCOMP",INDEX(COMPOSICAO!$H:$H,MATCH($C171,COMPOSICAO!$A:$A,0)),""
)))))))),""))</f>
        <v>35.57</v>
      </c>
      <c r="H171" s="144">
        <f t="shared" ref="H171:H178" si="27">IF(B171="","",ROUND(G171*F171,2))</f>
        <v>355.7</v>
      </c>
    </row>
    <row r="172" spans="1:9" ht="38.25">
      <c r="A172" s="141" t="s">
        <v>26621</v>
      </c>
      <c r="B172" s="141" t="s">
        <v>1019</v>
      </c>
      <c r="C172" s="141">
        <v>42249</v>
      </c>
      <c r="D172" s="142" t="str">
        <f>PROPER(IFERROR(
IF(C172="","",
IF(CONCATENATE($A172,$B172)="IDER-ES",INDEX('IDER-ES'!$B:$B,MATCH($C172,'IDER-ES'!$A:$A,0)),
IF(CONCATENATE($A172,$B172)="CDER-ES",INDEX('CDER-ES'!$B:$B,MATCH($C172,'CDER-ES'!$A:$A,0)),
IF(CONCATENATE($A172,$B172)="ISINAPI",INDEX(ISINAPI!$B:$B,MATCH($C172,ISINAPI!$A:$A,0)),
IF(CONCATENATE($A172,$B172)="CSINAPI",INDEX(CSINAPI!$B:$B,MATCH($C172,CSINAPI!$A:$A,0)),
IF(CONCATENATE($A172,$B172)="CCESAN",INDEX(CCESAN!$B:$B,MATCH($C172,CCESAN!$A:$A,0)),
IF(CONCATENATE($A172,$B172)="CSCORIO",INDEX(CSCORIO!#REF!,MATCH($C172,CSCORIO!#REF!,0)),
IF(CONCATENATE($A172,$B172)="MERC",INDEX(MERCADO!$B:$B,MATCH($C172,MERCADO!$A:$A,0)),
IF(CONCATENATE($A172,$B172)="CCOMP",INDEX(COMPOSICAO!$B:$B,MATCH($C172,COMPOSICAO!$A:$A,0)),""
))))))))),"*Verificar código*"))</f>
        <v xml:space="preserve">Luminaria De Led Para Iluminacao Publica, De 240 W Ate 350 W, Involucro Em Aluminio Ou Aco Inox                                                                                                                                                                                                                                                                                                                                                                                                           </v>
      </c>
      <c r="E172" s="143" t="str">
        <f>LOWER(IFERROR(
IF(CONCATENATE($A172,$B172)="IDER-ES",INDEX('IDER-ES'!$C:$C,MATCH($C172,'IDER-ES'!$A:$A,0)),
IF(CONCATENATE($A172,$B172)="CIOPES",INDEX('CDER-ES'!$C:$C,MATCH($C172,'CDER-ES'!$A:$A,0)),
IF(CONCATENATE($A172,$B172)="ISINAPI",INDEX(ISINAPI!$C:$C,MATCH($C172,ISINAPI!$A:$A,0)),
IF(CONCATENATE($A172,$B172)="CSINAPI",INDEX(CSINAPI!$C:$C,MATCH($C172,CSINAPI!$A:$A,0)),
IF(CONCATENATE($A172,$B172)="CCESAN",INDEX(CCESAN!$C:$C,MATCH($C172,CCESAN!$A:$A,0)),
IF(CONCATENATE($A172,$B172)="CSCORIO",INDEX(CSCORIO!$A:$A,MATCH($C172,CSCORIO!#REF!,0)),
IF(CONCATENATE($A172,$B172)="MERC",INDEX(MERCADO!$D:$D,MATCH($C172,MERCADO!$A:$A,0)),
IF(CONCATENATE($A172,$B172)="CCOMP",INDEX(COMPOSICAO!$H:$H,MATCH($C172,COMPOSICAO!$A:$A,0)),""
)))))))),""))</f>
        <v xml:space="preserve">un    </v>
      </c>
      <c r="F172" s="182">
        <v>2</v>
      </c>
      <c r="G172" s="144">
        <f>(IFERROR(
IF(CONCATENATE($A172,$B172)="IDER-ES",INDEX('IDER-ES'!$D:$D,MATCH($C172,'IDER-ES'!$A:$A,0)),
IF(CONCATENATE($A172,$B172)="CIOPES",INDEX('CDER-ES'!$D:$D,MATCH($C172,'CDER-ES'!$A:$A,0)),
IF(CONCATENATE($A172,$B172)="ISINAPI",INDEX(ISINAPI!$E:$E,MATCH($C172,ISINAPI!$A:$A,0)),
IF(CONCATENATE($A172,$B172)="CSINAPI",INDEX(CSINAPI!$D:$D,MATCH($C172,CSINAPI!$A:$A,0)),
IF(CONCATENATE($A172,$B172)="CCESAN",INDEX(CCESAN!$D:$D,MATCH($C172,CCESAN!$A:$A,0)),
IF(CONCATENATE($A172,$B172)="CSCORIO",INDEX(CSCORIO!$B:$B,MATCH($C172,CSCORIO!#REF!,0)),
IF(CONCATENATE($A172,$B172)="MERC",INDEX(MERCADO!$E:$E,MATCH($C172,MERCADO!$A:$A,0)),
IF(CONCATENATE($A172,$B172)="CCOMP",INDEX(COMPOSICAO!$H:$H,MATCH($C172,COMPOSICAO!$A:$A,0)),""
)))))))),""))</f>
        <v>1485.07</v>
      </c>
      <c r="H172" s="144">
        <f t="shared" si="27"/>
        <v>2970.14</v>
      </c>
    </row>
    <row r="173" spans="1:9" ht="51">
      <c r="A173" s="141" t="s">
        <v>26621</v>
      </c>
      <c r="B173" s="141" t="s">
        <v>1019</v>
      </c>
      <c r="C173" s="141">
        <v>14163</v>
      </c>
      <c r="D173" s="142" t="str">
        <f>PROPER(IFERROR(
IF(C173="","",
IF(CONCATENATE($A173,$B173)="IDER-ES",INDEX('IDER-ES'!$B:$B,MATCH($C173,'IDER-ES'!$A:$A,0)),
IF(CONCATENATE($A173,$B173)="CDER-ES",INDEX('CDER-ES'!$B:$B,MATCH($C173,'CDER-ES'!$A:$A,0)),
IF(CONCATENATE($A173,$B173)="ISINAPI",INDEX(ISINAPI!$B:$B,MATCH($C173,ISINAPI!$A:$A,0)),
IF(CONCATENATE($A173,$B173)="CSINAPI",INDEX(CSINAPI!$B:$B,MATCH($C173,CSINAPI!$A:$A,0)),
IF(CONCATENATE($A173,$B173)="CCESAN",INDEX(CCESAN!$B:$B,MATCH($C173,CCESAN!$A:$A,0)),
IF(CONCATENATE($A173,$B173)="CSCORIO",INDEX(CSCORIO!#REF!,MATCH($C173,CSCORIO!#REF!,0)),
IF(CONCATENATE($A173,$B173)="MERC",INDEX(MERCADO!$B:$B,MATCH($C173,MERCADO!$A:$A,0)),
IF(CONCATENATE($A173,$B173)="CCOMP",INDEX(COMPOSICAO!$B:$B,MATCH($C173,COMPOSICAO!$A:$A,0)),""
))))))))),"*Verificar código*"))</f>
        <v xml:space="preserve">Poste Conico Continuo Em Aco Galvanizado, Curvo, Braco Duplo, Flangeado,  H = 9 M, Diametro Inferior = *135* Mm                                                                                                                                                                                                                                                                                                                                                                                           </v>
      </c>
      <c r="E173" s="143" t="str">
        <f>LOWER(IFERROR(
IF(CONCATENATE($A173,$B173)="IDER-ES",INDEX('IDER-ES'!$C:$C,MATCH($C173,'IDER-ES'!$A:$A,0)),
IF(CONCATENATE($A173,$B173)="CIOPES",INDEX('CDER-ES'!$C:$C,MATCH($C173,'CDER-ES'!$A:$A,0)),
IF(CONCATENATE($A173,$B173)="ISINAPI",INDEX(ISINAPI!$C:$C,MATCH($C173,ISINAPI!$A:$A,0)),
IF(CONCATENATE($A173,$B173)="CSINAPI",INDEX(CSINAPI!$C:$C,MATCH($C173,CSINAPI!$A:$A,0)),
IF(CONCATENATE($A173,$B173)="CCESAN",INDEX(CCESAN!$C:$C,MATCH($C173,CCESAN!$A:$A,0)),
IF(CONCATENATE($A173,$B173)="CSCORIO",INDEX(CSCORIO!$A:$A,MATCH($C173,CSCORIO!#REF!,0)),
IF(CONCATENATE($A173,$B173)="MERC",INDEX(MERCADO!$D:$D,MATCH($C173,MERCADO!$A:$A,0)),
IF(CONCATENATE($A173,$B173)="CCOMP",INDEX(COMPOSICAO!$H:$H,MATCH($C173,COMPOSICAO!$A:$A,0)),""
)))))))),""))</f>
        <v xml:space="preserve">un    </v>
      </c>
      <c r="F173" s="182">
        <v>1</v>
      </c>
      <c r="G173" s="144">
        <f>(IFERROR(
IF(CONCATENATE($A173,$B173)="IDER-ES",INDEX('IDER-ES'!$D:$D,MATCH($C173,'IDER-ES'!$A:$A,0)),
IF(CONCATENATE($A173,$B173)="CIOPES",INDEX('CDER-ES'!$D:$D,MATCH($C173,'CDER-ES'!$A:$A,0)),
IF(CONCATENATE($A173,$B173)="ISINAPI",INDEX(ISINAPI!$E:$E,MATCH($C173,ISINAPI!$A:$A,0)),
IF(CONCATENATE($A173,$B173)="CSINAPI",INDEX(CSINAPI!$D:$D,MATCH($C173,CSINAPI!$A:$A,0)),
IF(CONCATENATE($A173,$B173)="CCESAN",INDEX(CCESAN!$D:$D,MATCH($C173,CCESAN!$A:$A,0)),
IF(CONCATENATE($A173,$B173)="CSCORIO",INDEX(CSCORIO!$B:$B,MATCH($C173,CSCORIO!#REF!,0)),
IF(CONCATENATE($A173,$B173)="MERC",INDEX(MERCADO!$E:$E,MATCH($C173,MERCADO!$A:$A,0)),
IF(CONCATENATE($A173,$B173)="CCOMP",INDEX(COMPOSICAO!$H:$H,MATCH($C173,COMPOSICAO!$A:$A,0)),""
)))))))),""))</f>
        <v>2773.56</v>
      </c>
      <c r="H173" s="144">
        <f t="shared" ref="H173:H175" si="28">IF(B173="","",ROUND(G173*F173,2))</f>
        <v>2773.56</v>
      </c>
    </row>
    <row r="174" spans="1:9" ht="38.25">
      <c r="A174" s="141" t="s">
        <v>26621</v>
      </c>
      <c r="B174" s="141" t="s">
        <v>1019</v>
      </c>
      <c r="C174" s="141">
        <v>39746</v>
      </c>
      <c r="D174" s="142" t="str">
        <f>PROPER(IFERROR(
IF(C174="","",
IF(CONCATENATE($A174,$B174)="IDER-ES",INDEX('IDER-ES'!$B:$B,MATCH($C174,'IDER-ES'!$A:$A,0)),
IF(CONCATENATE($A174,$B174)="CDER-ES",INDEX('CDER-ES'!$B:$B,MATCH($C174,'CDER-ES'!$A:$A,0)),
IF(CONCATENATE($A174,$B174)="ISINAPI",INDEX(ISINAPI!$B:$B,MATCH($C174,ISINAPI!$A:$A,0)),
IF(CONCATENATE($A174,$B174)="CSINAPI",INDEX(CSINAPI!$B:$B,MATCH($C174,CSINAPI!$A:$A,0)),
IF(CONCATENATE($A174,$B174)="CCESAN",INDEX(CCESAN!$B:$B,MATCH($C174,CCESAN!$A:$A,0)),
IF(CONCATENATE($A174,$B174)="CSCORIO",INDEX(CSCORIO!#REF!,MATCH($C174,CSCORIO!#REF!,0)),
IF(CONCATENATE($A174,$B174)="MERC",INDEX(MERCADO!$B:$B,MATCH($C174,MERCADO!$A:$A,0)),
IF(CONCATENATE($A174,$B174)="CCOMP",INDEX(COMPOSICAO!$B:$B,MATCH($C174,COMPOSICAO!$A:$A,0)),""
))))))))),"*Verificar código*"))</f>
        <v xml:space="preserve">Chumbador De Aco, 1" X 600 Mm, Para Postes De Aco Com Base, Incluso Porca E Arruela                                                                                                                                                                                                                                                                                                                                                                                                                       </v>
      </c>
      <c r="E174" s="143" t="str">
        <f>LOWER(IFERROR(
IF(CONCATENATE($A174,$B174)="IDER-ES",INDEX('IDER-ES'!$C:$C,MATCH($C174,'IDER-ES'!$A:$A,0)),
IF(CONCATENATE($A174,$B174)="CIOPES",INDEX('CDER-ES'!$C:$C,MATCH($C174,'CDER-ES'!$A:$A,0)),
IF(CONCATENATE($A174,$B174)="ISINAPI",INDEX(ISINAPI!$C:$C,MATCH($C174,ISINAPI!$A:$A,0)),
IF(CONCATENATE($A174,$B174)="CSINAPI",INDEX(CSINAPI!$C:$C,MATCH($C174,CSINAPI!$A:$A,0)),
IF(CONCATENATE($A174,$B174)="CCESAN",INDEX(CCESAN!$C:$C,MATCH($C174,CCESAN!$A:$A,0)),
IF(CONCATENATE($A174,$B174)="CSCORIO",INDEX(CSCORIO!$A:$A,MATCH($C174,CSCORIO!#REF!,0)),
IF(CONCATENATE($A174,$B174)="MERC",INDEX(MERCADO!$D:$D,MATCH($C174,MERCADO!$A:$A,0)),
IF(CONCATENATE($A174,$B174)="CCOMP",INDEX(COMPOSICAO!$H:$H,MATCH($C174,COMPOSICAO!$A:$A,0)),""
)))))))),""))</f>
        <v xml:space="preserve">un    </v>
      </c>
      <c r="F174" s="182">
        <v>1</v>
      </c>
      <c r="G174" s="144">
        <f>(IFERROR(
IF(CONCATENATE($A174,$B174)="IDER-ES",INDEX('IDER-ES'!$D:$D,MATCH($C174,'IDER-ES'!$A:$A,0)),
IF(CONCATENATE($A174,$B174)="CIOPES",INDEX('CDER-ES'!$D:$D,MATCH($C174,'CDER-ES'!$A:$A,0)),
IF(CONCATENATE($A174,$B174)="ISINAPI",INDEX(ISINAPI!$E:$E,MATCH($C174,ISINAPI!$A:$A,0)),
IF(CONCATENATE($A174,$B174)="CSINAPI",INDEX(CSINAPI!$D:$D,MATCH($C174,CSINAPI!$A:$A,0)),
IF(CONCATENATE($A174,$B174)="CCESAN",INDEX(CCESAN!$D:$D,MATCH($C174,CCESAN!$A:$A,0)),
IF(CONCATENATE($A174,$B174)="CSCORIO",INDEX(CSCORIO!$B:$B,MATCH($C174,CSCORIO!#REF!,0)),
IF(CONCATENATE($A174,$B174)="MERC",INDEX(MERCADO!$E:$E,MATCH($C174,MERCADO!$A:$A,0)),
IF(CONCATENATE($A174,$B174)="CCOMP",INDEX(COMPOSICAO!$H:$H,MATCH($C174,COMPOSICAO!$A:$A,0)),""
)))))))),""))</f>
        <v>247.73</v>
      </c>
      <c r="H174" s="144">
        <f t="shared" ref="H174" si="29">IF(B174="","",ROUND(G174*F174,2))</f>
        <v>247.73</v>
      </c>
    </row>
    <row r="175" spans="1:9" ht="89.25">
      <c r="A175" s="141" t="s">
        <v>21960</v>
      </c>
      <c r="B175" s="141" t="s">
        <v>1019</v>
      </c>
      <c r="C175" s="141">
        <v>5928</v>
      </c>
      <c r="D175" s="142" t="str">
        <f>PROPER(IFERROR(
IF(C175="","",
IF(CONCATENATE($A175,$B175)="IDER-ES",INDEX('IDER-ES'!$B:$B,MATCH($C175,'IDER-ES'!$A:$A,0)),
IF(CONCATENATE($A175,$B175)="CDER-ES",INDEX('CDER-ES'!$B:$B,MATCH($C175,'CDER-ES'!$A:$A,0)),
IF(CONCATENATE($A175,$B175)="ISINAPI",INDEX(ISINAPI!$B:$B,MATCH($C175,ISINAPI!$A:$A,0)),
IF(CONCATENATE($A175,$B175)="CSINAPI",INDEX(CSINAPI!$B:$B,MATCH($C175,CSINAPI!$A:$A,0)),
IF(CONCATENATE($A175,$B175)="CCESAN",INDEX(CCESAN!$B:$B,MATCH($C175,CCESAN!$A:$A,0)),
IF(CONCATENATE($A175,$B175)="CSCORIO",INDEX(CSCORIO!#REF!,MATCH($C175,CSCORIO!#REF!,0)),
IF(CONCATENATE($A175,$B175)="MERC",INDEX(MERCADO!$B:$B,MATCH($C175,MERCADO!$A:$A,0)),
IF(CONCATENATE($A175,$B175)="CCOMP",INDEX(COMPOSICAO!$B:$B,MATCH($C175,COMPOSICAO!$A:$A,0)),""
))))))))),"*Verificar código*"))</f>
        <v>Guindauto Hidráulico, Capacidade Máxima De Carga 6200 Kg, Momento Máximo De Carga 11,7 Tm, Alcance Máximo Horizontal 9,70 M, Inclusive Caminhão Toco Pbt 16.000 Kg, Potência De 189 Cv - Chp Diurno. Af_06/2014</v>
      </c>
      <c r="E175" s="143" t="str">
        <f>LOWER(IFERROR(
IF(CONCATENATE($A175,$B175)="IDER-ES",INDEX('IDER-ES'!$C:$C,MATCH($C175,'IDER-ES'!$A:$A,0)),
IF(CONCATENATE($A175,$B175)="CIOPES",INDEX('CDER-ES'!$C:$C,MATCH($C175,'CDER-ES'!$A:$A,0)),
IF(CONCATENATE($A175,$B175)="ISINAPI",INDEX(ISINAPI!$C:$C,MATCH($C175,ISINAPI!$A:$A,0)),
IF(CONCATENATE($A175,$B175)="CSINAPI",INDEX(CSINAPI!$C:$C,MATCH($C175,CSINAPI!$A:$A,0)),
IF(CONCATENATE($A175,$B175)="CCESAN",INDEX(CCESAN!$C:$C,MATCH($C175,CCESAN!$A:$A,0)),
IF(CONCATENATE($A175,$B175)="CSCORIO",INDEX(CSCORIO!$A:$A,MATCH($C175,CSCORIO!#REF!,0)),
IF(CONCATENATE($A175,$B175)="MERC",INDEX(MERCADO!$D:$D,MATCH($C175,MERCADO!$A:$A,0)),
IF(CONCATENATE($A175,$B175)="CCOMP",INDEX(COMPOSICAO!$H:$H,MATCH($C175,COMPOSICAO!$A:$A,0)),""
)))))))),""))</f>
        <v>chp</v>
      </c>
      <c r="F175" s="182">
        <v>0.18</v>
      </c>
      <c r="G175" s="144">
        <f>(IFERROR(
IF(CONCATENATE($A175,$B175)="IDER-ES",INDEX('IDER-ES'!$D:$D,MATCH($C175,'IDER-ES'!$A:$A,0)),
IF(CONCATENATE($A175,$B175)="CIOPES",INDEX('CDER-ES'!$D:$D,MATCH($C175,'CDER-ES'!$A:$A,0)),
IF(CONCATENATE($A175,$B175)="ISINAPI",INDEX(ISINAPI!$E:$E,MATCH($C175,ISINAPI!$A:$A,0)),
IF(CONCATENATE($A175,$B175)="CSINAPI",INDEX(CSINAPI!$D:$D,MATCH($C175,CSINAPI!$A:$A,0)),
IF(CONCATENATE($A175,$B175)="CCESAN",INDEX(CCESAN!$D:$D,MATCH($C175,CCESAN!$A:$A,0)),
IF(CONCATENATE($A175,$B175)="CSCORIO",INDEX(CSCORIO!$B:$B,MATCH($C175,CSCORIO!#REF!,0)),
IF(CONCATENATE($A175,$B175)="MERC",INDEX(MERCADO!$E:$E,MATCH($C175,MERCADO!$A:$A,0)),
IF(CONCATENATE($A175,$B175)="CCOMP",INDEX(COMPOSICAO!$H:$H,MATCH($C175,COMPOSICAO!$A:$A,0)),""
)))))))),""))</f>
        <v>218.29</v>
      </c>
      <c r="H175" s="144">
        <f t="shared" si="28"/>
        <v>39.29</v>
      </c>
    </row>
    <row r="176" spans="1:9" ht="25.5">
      <c r="A176" s="141" t="s">
        <v>21960</v>
      </c>
      <c r="B176" s="141" t="s">
        <v>1019</v>
      </c>
      <c r="C176" s="141">
        <v>88247</v>
      </c>
      <c r="D176" s="142" t="str">
        <f>PROPER(IFERROR(
IF(C176="","",
IF(CONCATENATE($A176,$B176)="IDER-ES",INDEX('IDER-ES'!$B:$B,MATCH($C176,'IDER-ES'!$A:$A,0)),
IF(CONCATENATE($A176,$B176)="CDER-ES",INDEX('CDER-ES'!$B:$B,MATCH($C176,'CDER-ES'!$A:$A,0)),
IF(CONCATENATE($A176,$B176)="ISINAPI",INDEX(ISINAPI!$B:$B,MATCH($C176,ISINAPI!$A:$A,0)),
IF(CONCATENATE($A176,$B176)="CSINAPI",INDEX(CSINAPI!$B:$B,MATCH($C176,CSINAPI!$A:$A,0)),
IF(CONCATENATE($A176,$B176)="CCESAN",INDEX(CCESAN!$B:$B,MATCH($C176,CCESAN!$A:$A,0)),
IF(CONCATENATE($A176,$B176)="CSCORIO",INDEX(CSCORIO!#REF!,MATCH($C176,CSCORIO!#REF!,0)),
IF(CONCATENATE($A176,$B176)="MERC",INDEX(MERCADO!$B:$B,MATCH($C176,MERCADO!$A:$A,0)),
IF(CONCATENATE($A176,$B176)="CCOMP",INDEX(COMPOSICAO!$B:$B,MATCH($C176,COMPOSICAO!$A:$A,0)),""
))))))))),"*Verificar código*"))</f>
        <v>Auxiliar De Eletricista Com Encargos Complementares</v>
      </c>
      <c r="E176" s="143" t="str">
        <f>LOWER(IFERROR(
IF(CONCATENATE($A176,$B176)="IDER-ES",INDEX('IDER-ES'!$C:$C,MATCH($C176,'IDER-ES'!$A:$A,0)),
IF(CONCATENATE($A176,$B176)="CIOPES",INDEX('CDER-ES'!$C:$C,MATCH($C176,'CDER-ES'!$A:$A,0)),
IF(CONCATENATE($A176,$B176)="ISINAPI",INDEX(ISINAPI!$C:$C,MATCH($C176,ISINAPI!$A:$A,0)),
IF(CONCATENATE($A176,$B176)="CSINAPI",INDEX(CSINAPI!$C:$C,MATCH($C176,CSINAPI!$A:$A,0)),
IF(CONCATENATE($A176,$B176)="CCESAN",INDEX(CCESAN!$C:$C,MATCH($C176,CCESAN!$A:$A,0)),
IF(CONCATENATE($A176,$B176)="CSCORIO",INDEX(CSCORIO!$A:$A,MATCH($C176,CSCORIO!#REF!,0)),
IF(CONCATENATE($A176,$B176)="MERC",INDEX(MERCADO!$D:$D,MATCH($C176,MERCADO!$A:$A,0)),
IF(CONCATENATE($A176,$B176)="CCOMP",INDEX(COMPOSICAO!$H:$H,MATCH($C176,COMPOSICAO!$A:$A,0)),""
)))))))),""))</f>
        <v>h</v>
      </c>
      <c r="F176" s="182">
        <v>0.93100000000000005</v>
      </c>
      <c r="G176" s="144">
        <f>(IFERROR(
IF(CONCATENATE($A176,$B176)="IDER-ES",INDEX('IDER-ES'!$D:$D,MATCH($C176,'IDER-ES'!$A:$A,0)),
IF(CONCATENATE($A176,$B176)="CIOPES",INDEX('CDER-ES'!$D:$D,MATCH($C176,'CDER-ES'!$A:$A,0)),
IF(CONCATENATE($A176,$B176)="ISINAPI",INDEX(ISINAPI!$E:$E,MATCH($C176,ISINAPI!$A:$A,0)),
IF(CONCATENATE($A176,$B176)="CSINAPI",INDEX(CSINAPI!$D:$D,MATCH($C176,CSINAPI!$A:$A,0)),
IF(CONCATENATE($A176,$B176)="CCESAN",INDEX(CCESAN!$D:$D,MATCH($C176,CCESAN!$A:$A,0)),
IF(CONCATENATE($A176,$B176)="CSCORIO",INDEX(CSCORIO!$B:$B,MATCH($C176,CSCORIO!#REF!,0)),
IF(CONCATENATE($A176,$B176)="MERC",INDEX(MERCADO!$E:$E,MATCH($C176,MERCADO!$A:$A,0)),
IF(CONCATENATE($A176,$B176)="CCOMP",INDEX(COMPOSICAO!$H:$H,MATCH($C176,COMPOSICAO!$A:$A,0)),""
)))))))),""))</f>
        <v>20.65</v>
      </c>
      <c r="H176" s="144">
        <f t="shared" si="27"/>
        <v>19.23</v>
      </c>
    </row>
    <row r="177" spans="1:9" ht="25.5">
      <c r="A177" s="141" t="s">
        <v>21960</v>
      </c>
      <c r="B177" s="141" t="s">
        <v>1019</v>
      </c>
      <c r="C177" s="141">
        <v>88264</v>
      </c>
      <c r="D177" s="142" t="str">
        <f>PROPER(IFERROR(
IF(C177="","",
IF(CONCATENATE($A177,$B177)="IDER-ES",INDEX('IDER-ES'!$B:$B,MATCH($C177,'IDER-ES'!$A:$A,0)),
IF(CONCATENATE($A177,$B177)="CDER-ES",INDEX('CDER-ES'!$B:$B,MATCH($C177,'CDER-ES'!$A:$A,0)),
IF(CONCATENATE($A177,$B177)="ISINAPI",INDEX(ISINAPI!$B:$B,MATCH($C177,ISINAPI!$A:$A,0)),
IF(CONCATENATE($A177,$B177)="CSINAPI",INDEX(CSINAPI!$B:$B,MATCH($C177,CSINAPI!$A:$A,0)),
IF(CONCATENATE($A177,$B177)="CCESAN",INDEX(CCESAN!$B:$B,MATCH($C177,CCESAN!$A:$A,0)),
IF(CONCATENATE($A177,$B177)="CSCORIO",INDEX(CSCORIO!#REF!,MATCH($C177,CSCORIO!#REF!,0)),
IF(CONCATENATE($A177,$B177)="MERC",INDEX(MERCADO!$B:$B,MATCH($C177,MERCADO!$A:$A,0)),
IF(CONCATENATE($A177,$B177)="CCOMP",INDEX(COMPOSICAO!$B:$B,MATCH($C177,COMPOSICAO!$A:$A,0)),""
))))))))),"*Verificar código*"))</f>
        <v>Eletricista Com Encargos Complementares</v>
      </c>
      <c r="E177" s="143" t="str">
        <f>LOWER(IFERROR(
IF(CONCATENATE($A177,$B177)="IDER-ES",INDEX('IDER-ES'!$C:$C,MATCH($C177,'IDER-ES'!$A:$A,0)),
IF(CONCATENATE($A177,$B177)="CIOPES",INDEX('CDER-ES'!$C:$C,MATCH($C177,'CDER-ES'!$A:$A,0)),
IF(CONCATENATE($A177,$B177)="ISINAPI",INDEX(ISINAPI!$C:$C,MATCH($C177,ISINAPI!$A:$A,0)),
IF(CONCATENATE($A177,$B177)="CSINAPI",INDEX(CSINAPI!$C:$C,MATCH($C177,CSINAPI!$A:$A,0)),
IF(CONCATENATE($A177,$B177)="CCESAN",INDEX(CCESAN!$C:$C,MATCH($C177,CCESAN!$A:$A,0)),
IF(CONCATENATE($A177,$B177)="CSCORIO",INDEX(CSCORIO!$A:$A,MATCH($C177,CSCORIO!#REF!,0)),
IF(CONCATENATE($A177,$B177)="MERC",INDEX(MERCADO!$D:$D,MATCH($C177,MERCADO!$A:$A,0)),
IF(CONCATENATE($A177,$B177)="CCOMP",INDEX(COMPOSICAO!$H:$H,MATCH($C177,COMPOSICAO!$A:$A,0)),""
)))))))),""))</f>
        <v>h</v>
      </c>
      <c r="F177" s="182">
        <v>3.0249999999999999</v>
      </c>
      <c r="G177" s="144">
        <f>(IFERROR(
IF(CONCATENATE($A177,$B177)="IDER-ES",INDEX('IDER-ES'!$D:$D,MATCH($C177,'IDER-ES'!$A:$A,0)),
IF(CONCATENATE($A177,$B177)="CIOPES",INDEX('CDER-ES'!$D:$D,MATCH($C177,'CDER-ES'!$A:$A,0)),
IF(CONCATENATE($A177,$B177)="ISINAPI",INDEX(ISINAPI!$E:$E,MATCH($C177,ISINAPI!$A:$A,0)),
IF(CONCATENATE($A177,$B177)="CSINAPI",INDEX(CSINAPI!$D:$D,MATCH($C177,CSINAPI!$A:$A,0)),
IF(CONCATENATE($A177,$B177)="CCESAN",INDEX(CCESAN!$D:$D,MATCH($C177,CCESAN!$A:$A,0)),
IF(CONCATENATE($A177,$B177)="CSCORIO",INDEX(CSCORIO!$B:$B,MATCH($C177,CSCORIO!#REF!,0)),
IF(CONCATENATE($A177,$B177)="MERC",INDEX(MERCADO!$E:$E,MATCH($C177,MERCADO!$A:$A,0)),
IF(CONCATENATE($A177,$B177)="CCOMP",INDEX(COMPOSICAO!$H:$H,MATCH($C177,COMPOSICAO!$A:$A,0)),""
)))))))),""))</f>
        <v>26.73</v>
      </c>
      <c r="H177" s="144">
        <f t="shared" ref="H177" si="30">IF(B177="","",ROUND(G177*F177,2))</f>
        <v>80.86</v>
      </c>
    </row>
    <row r="178" spans="1:9" ht="38.25">
      <c r="A178" s="141" t="s">
        <v>21960</v>
      </c>
      <c r="B178" s="141" t="s">
        <v>26583</v>
      </c>
      <c r="C178" s="141">
        <v>40237</v>
      </c>
      <c r="D178" s="142" t="str">
        <f>PROPER(IFERROR(
IF(C178="","",
IF(CONCATENATE($A178,$B178)="IDER-ES",INDEX('IDER-ES'!$B:$B,MATCH($C178,'IDER-ES'!$A:$A,0)),
IF(CONCATENATE($A178,$B178)="CDER-ES",INDEX('CDER-ES'!$B:$B,MATCH($C178,'CDER-ES'!$A:$A,0)),
IF(CONCATENATE($A178,$B178)="ISINAPI",INDEX(ISINAPI!$B:$B,MATCH($C178,ISINAPI!$A:$A,0)),
IF(CONCATENATE($A178,$B178)="CSINAPI",INDEX(CSINAPI!$B:$B,MATCH($C178,CSINAPI!$A:$A,0)),
IF(CONCATENATE($A178,$B178)="CCESAN",INDEX(CCESAN!$B:$B,MATCH($C178,CCESAN!$A:$A,0)),
IF(CONCATENATE($A178,$B178)="CSCORIO",INDEX(CSCORIO!#REF!,MATCH($C178,CSCORIO!#REF!,0)),
IF(CONCATENATE($A178,$B178)="MERC",INDEX(MERCADO!$B:$B,MATCH($C178,MERCADO!$A:$A,0)),
IF(CONCATENATE($A178,$B178)="CCOMP",INDEX(COMPOSICAO!$B:$B,MATCH($C178,COMPOSICAO!$A:$A,0)),""
))))))))),"*Verificar código*"))</f>
        <v>Fornecimento, Preparo E Aplicação De Concreto Fck=25 Mpa (Brita 1 E 2) - (5% De Perdas Já Incluído No Custo)</v>
      </c>
      <c r="E178" s="143" t="str">
        <f>LOWER(IFERROR(
IF(CONCATENATE($A178,$B178)="IDER-ES",INDEX('IDER-ES'!$C:$C,MATCH($C178,'IDER-ES'!$A:$A,0)),
IF(CONCATENATE($A178,$B178)="CDER-ES",INDEX('CDER-ES'!$C:$C,MATCH($C178,'CDER-ES'!$A:$A,0)),
IF(CONCATENATE($A178,$B178)="ISINAPI",INDEX(ISINAPI!$C:$C,MATCH($C178,ISINAPI!$A:$A,0)),
IF(CONCATENATE($A178,$B178)="CSINAPI",INDEX(CSINAPI!$C:$C,MATCH($C178,CSINAPI!$A:$A,0)),
IF(CONCATENATE($A178,$B178)="CCESAN",INDEX(CCESAN!$C:$C,MATCH($C178,CCESAN!$A:$A,0)),
IF(CONCATENATE($A178,$B178)="CSCORIO",INDEX(CSCORIO!$A:$A,MATCH($C178,CSCORIO!#REF!,0)),
IF(CONCATENATE($A178,$B178)="MERC",INDEX(MERCADO!$D:$D,MATCH($C178,MERCADO!$A:$A,0)),
IF(CONCATENATE($A178,$B178)="CCOMP",INDEX(COMPOSICAO!$H:$H,MATCH($C178,COMPOSICAO!$A:$A,0)),""
)))))))),""))</f>
        <v>m³</v>
      </c>
      <c r="F178" s="182">
        <v>1</v>
      </c>
      <c r="G178" s="144">
        <f>(IFERROR(
IF(CONCATENATE($A178,$B178)="IDER-ES",INDEX('IDER-ES'!$D:$D,MATCH($C178,'IDER-ES'!$A:$A,0)),
IF(CONCATENATE($A178,$B178)="CDER-ES",INDEX('CDER-ES'!$D:$D,MATCH($C178,'CDER-ES'!$A:$A,0)),
IF(CONCATENATE($A178,$B178)="ISINAPI",INDEX(ISINAPI!$E:$E,MATCH($C178,ISINAPI!$A:$A,0)),
IF(CONCATENATE($A178,$B178)="CSINAPI",INDEX(CSINAPI!$D:$D,MATCH($C178,CSINAPI!$A:$A,0)),
IF(CONCATENATE($A178,$B178)="CCESAN",INDEX(CCESAN!$D:$D,MATCH($C178,CCESAN!$A:$A,0)),
IF(CONCATENATE($A178,$B178)="CSCORIO",INDEX(CSCORIO!$B:$B,MATCH($C178,CSCORIO!#REF!,0)),
IF(CONCATENATE($A178,$B178)="MERC",INDEX(MERCADO!$E:$E,MATCH($C178,MERCADO!$A:$A,0)),
IF(CONCATENATE($A178,$B178)="CCOMP",INDEX(COMPOSICAO!$H:$H,MATCH($C178,COMPOSICAO!$A:$A,0)),""
)))))))),""))</f>
        <v>584.16</v>
      </c>
      <c r="H178" s="144">
        <f t="shared" si="27"/>
        <v>584.16</v>
      </c>
    </row>
    <row r="180" spans="1:9" s="135" customFormat="1" ht="20.100000000000001" customHeight="1">
      <c r="A180" s="186" t="s">
        <v>1020</v>
      </c>
      <c r="B180" s="405" t="s">
        <v>1022</v>
      </c>
      <c r="C180" s="406"/>
      <c r="D180" s="406"/>
      <c r="E180" s="406"/>
      <c r="F180" s="407"/>
      <c r="G180" s="133" t="s">
        <v>19692</v>
      </c>
      <c r="H180" s="134" t="s">
        <v>19678</v>
      </c>
      <c r="I180" s="263"/>
    </row>
    <row r="181" spans="1:9" ht="45" customHeight="1">
      <c r="A181" s="136">
        <f>COUNTIF($A$4:$A180,$A$4)</f>
        <v>16</v>
      </c>
      <c r="B181" s="408" t="s">
        <v>29127</v>
      </c>
      <c r="C181" s="409"/>
      <c r="D181" s="409"/>
      <c r="E181" s="409"/>
      <c r="F181" s="410"/>
      <c r="G181" s="137" t="s">
        <v>19692</v>
      </c>
      <c r="H181" s="211">
        <f>SUM(H183:H187)</f>
        <v>2308.5800000000004</v>
      </c>
    </row>
    <row r="182" spans="1:9" ht="30" customHeight="1">
      <c r="A182" s="139" t="s">
        <v>1026</v>
      </c>
      <c r="B182" s="139" t="s">
        <v>1027</v>
      </c>
      <c r="C182" s="139" t="s">
        <v>31</v>
      </c>
      <c r="D182" s="139" t="s">
        <v>1023</v>
      </c>
      <c r="E182" s="139" t="s">
        <v>32</v>
      </c>
      <c r="F182" s="183" t="s">
        <v>2343</v>
      </c>
      <c r="G182" s="140" t="s">
        <v>19676</v>
      </c>
      <c r="H182" s="140" t="s">
        <v>19677</v>
      </c>
    </row>
    <row r="183" spans="1:9" ht="51">
      <c r="A183" s="141"/>
      <c r="B183" s="141" t="s">
        <v>1021</v>
      </c>
      <c r="C183" s="141">
        <v>2</v>
      </c>
      <c r="D183" s="142" t="str">
        <f>PROPER(IFERROR(
IF(C183="","",
IF(CONCATENATE($A183,$B183)="IDER-ES",INDEX('IDER-ES'!$B:$B,MATCH($C183,'IDER-ES'!$A:$A,0)),
IF(CONCATENATE($A183,$B183)="CDER-ES",INDEX('CDER-ES'!$B:$B,MATCH($C183,'CDER-ES'!$A:$A,0)),
IF(CONCATENATE($A183,$B183)="ISINAPI",INDEX(ISINAPI!$B:$B,MATCH($C183,ISINAPI!$A:$A,0)),
IF(CONCATENATE($A183,$B183)="CSINAPI",INDEX(CSINAPI!$B:$B,MATCH($C183,CSINAPI!$A:$A,0)),
IF(CONCATENATE($A183,$B183)="CCESAN",INDEX(CCESAN!$B:$B,MATCH($C183,CCESAN!$A:$A,0)),
IF(CONCATENATE($A183,$B183)="CSCORIO",INDEX(CSCORIO!#REF!,MATCH($C183,CSCORIO!#REF!,0)),
IF(CONCATENATE($A183,$B183)="MERC",INDEX(MERCADO!$B:$B,MATCH($C183,MERCADO!$A:$A,0)),
IF(CONCATENATE($A183,$B183)="CCOMP",INDEX(COMPOSICAO!$B:$B,MATCH($C183,COMPOSICAO!$A:$A,0)),""
))))))))),"*Verificar código*"))</f>
        <v>Poste De Aço, Tipo Ornamental, Modelo Colonial, Com Dois Braços, 2,25 Metros De Altura, Flangeado, Inclusive Luminária</v>
      </c>
      <c r="E183" s="143" t="str">
        <f>LOWER(IFERROR(
IF(CONCATENATE($A183,$B183)="IDER-ES",INDEX('IDER-ES'!$C:$C,MATCH($C183,'IDER-ES'!$A:$A,0)),
IF(CONCATENATE($A183,$B183)="CIOPES",INDEX('CDER-ES'!$C:$C,MATCH($C183,'CDER-ES'!$A:$A,0)),
IF(CONCATENATE($A183,$B183)="ISINAPI",INDEX(ISINAPI!$C:$C,MATCH($C183,ISINAPI!$A:$A,0)),
IF(CONCATENATE($A183,$B183)="CSINAPI",INDEX(CSINAPI!$C:$C,MATCH($C183,CSINAPI!$A:$A,0)),
IF(CONCATENATE($A183,$B183)="CCESAN",INDEX(CCESAN!$C:$C,MATCH($C183,CCESAN!$A:$A,0)),
IF(CONCATENATE($A183,$B183)="CSCORIO",INDEX(CSCORIO!$A:$A,MATCH($C183,CSCORIO!#REF!,0)),
IF(CONCATENATE($A183,$B183)="MERC",INDEX(MERCADO!$D:$D,MATCH($C183,MERCADO!$A:$A,0)),
IF(CONCATENATE($A183,$B183)="CCOMP",INDEX(COMPOSICAO!$H:$H,MATCH($C183,COMPOSICAO!$A:$A,0)),""
)))))))),""))</f>
        <v>und</v>
      </c>
      <c r="F183" s="182">
        <v>1</v>
      </c>
      <c r="G183" s="284">
        <f>(IFERROR(
IF(CONCATENATE($A183,$B183)="IDER-ES",INDEX('IDER-ES'!$D:$D,MATCH($C183,'IDER-ES'!$A:$A,0)),
IF(CONCATENATE($A183,$B183)="CIOPES",INDEX('CDER-ES'!$D:$D,MATCH($C183,'CDER-ES'!$A:$A,0)),
IF(CONCATENATE($A183,$B183)="ISINAPI",INDEX(ISINAPI!$E:$E,MATCH($C183,ISINAPI!$A:$A,0)),
IF(CONCATENATE($A183,$B183)="CSINAPI",INDEX(CSINAPI!$D:$D,MATCH($C183,CSINAPI!$A:$A,0)),
IF(CONCATENATE($A183,$B183)="CCESAN",INDEX(CCESAN!$D:$D,MATCH($C183,CCESAN!$A:$A,0)),
IF(CONCATENATE($A183,$B183)="CSCORIO",INDEX(CSCORIO!$B:$B,MATCH($C183,CSCORIO!#REF!,0)),
IF(CONCATENATE($A183,$B183)="MERC",INDEX(MERCADO!$E:$E,MATCH($C183,MERCADO!$A:$A,0)),
IF(CONCATENATE($A183,$B183)="CCOMP",INDEX(COMPOSICAO!$H:$H,MATCH($C183,COMPOSICAO!$A:$A,0)),""
)))))))),""))</f>
        <v>2032.9</v>
      </c>
      <c r="H183" s="144">
        <f t="shared" ref="H183:H187" si="31">IF(B183="","",ROUND(G183*F183,2))</f>
        <v>2032.9</v>
      </c>
    </row>
    <row r="184" spans="1:9" ht="25.5">
      <c r="A184" s="141" t="s">
        <v>26621</v>
      </c>
      <c r="B184" s="141" t="s">
        <v>1019</v>
      </c>
      <c r="C184" s="141">
        <v>38194</v>
      </c>
      <c r="D184" s="142" t="str">
        <f>PROPER(IFERROR(
IF(C184="","",
IF(CONCATENATE($A184,$B184)="IDER-ES",INDEX('IDER-ES'!$B:$B,MATCH($C184,'IDER-ES'!$A:$A,0)),
IF(CONCATENATE($A184,$B184)="CDER-ES",INDEX('CDER-ES'!$B:$B,MATCH($C184,'CDER-ES'!$A:$A,0)),
IF(CONCATENATE($A184,$B184)="ISINAPI",INDEX(ISINAPI!$B:$B,MATCH($C184,ISINAPI!$A:$A,0)),
IF(CONCATENATE($A184,$B184)="CSINAPI",INDEX(CSINAPI!$B:$B,MATCH($C184,CSINAPI!$A:$A,0)),
IF(CONCATENATE($A184,$B184)="CCESAN",INDEX(CCESAN!$B:$B,MATCH($C184,CCESAN!$A:$A,0)),
IF(CONCATENATE($A184,$B184)="CSCORIO",INDEX(CSCORIO!#REF!,MATCH($C184,CSCORIO!#REF!,0)),
IF(CONCATENATE($A184,$B184)="MERC",INDEX(MERCADO!$B:$B,MATCH($C184,MERCADO!$A:$A,0)),
IF(CONCATENATE($A184,$B184)="CCOMP",INDEX(COMPOSICAO!$B:$B,MATCH($C184,COMPOSICAO!$A:$A,0)),""
))))))))),"*Verificar código*"))</f>
        <v xml:space="preserve">Lampada Led 10 W Bivolt Branca, Formato Tradicional (Base E27)                                                                                                                                                                                                                                                                                                                                                                                                                                            </v>
      </c>
      <c r="E184" s="143" t="str">
        <f>LOWER(IFERROR(
IF(CONCATENATE($A184,$B184)="IDER-ES",INDEX('IDER-ES'!$C:$C,MATCH($C184,'IDER-ES'!$A:$A,0)),
IF(CONCATENATE($A184,$B184)="CIOPES",INDEX('CDER-ES'!$C:$C,MATCH($C184,'CDER-ES'!$A:$A,0)),
IF(CONCATENATE($A184,$B184)="ISINAPI",INDEX(ISINAPI!$C:$C,MATCH($C184,ISINAPI!$A:$A,0)),
IF(CONCATENATE($A184,$B184)="CSINAPI",INDEX(CSINAPI!$C:$C,MATCH($C184,CSINAPI!$A:$A,0)),
IF(CONCATENATE($A184,$B184)="CCESAN",INDEX(CCESAN!$C:$C,MATCH($C184,CCESAN!$A:$A,0)),
IF(CONCATENATE($A184,$B184)="CSCORIO",INDEX(CSCORIO!$A:$A,MATCH($C184,CSCORIO!#REF!,0)),
IF(CONCATENATE($A184,$B184)="MERC",INDEX(MERCADO!$D:$D,MATCH($C184,MERCADO!$A:$A,0)),
IF(CONCATENATE($A184,$B184)="CCOMP",INDEX(COMPOSICAO!$H:$H,MATCH($C184,COMPOSICAO!$A:$A,0)),""
)))))))),""))</f>
        <v xml:space="preserve">un    </v>
      </c>
      <c r="F184" s="182">
        <v>2</v>
      </c>
      <c r="G184" s="144">
        <f>(IFERROR(
IF(CONCATENATE($A184,$B184)="IDER-ES",INDEX('IDER-ES'!$D:$D,MATCH($C184,'IDER-ES'!$A:$A,0)),
IF(CONCATENATE($A184,$B184)="CIOPES",INDEX('CDER-ES'!$D:$D,MATCH($C184,'CDER-ES'!$A:$A,0)),
IF(CONCATENATE($A184,$B184)="ISINAPI",INDEX(ISINAPI!$E:$E,MATCH($C184,ISINAPI!$A:$A,0)),
IF(CONCATENATE($A184,$B184)="CSINAPI",INDEX(CSINAPI!$D:$D,MATCH($C184,CSINAPI!$A:$A,0)),
IF(CONCATENATE($A184,$B184)="CCESAN",INDEX(CCESAN!$D:$D,MATCH($C184,CCESAN!$A:$A,0)),
IF(CONCATENATE($A184,$B184)="CSCORIO",INDEX(CSCORIO!$B:$B,MATCH($C184,CSCORIO!#REF!,0)),
IF(CONCATENATE($A184,$B184)="MERC",INDEX(MERCADO!$E:$E,MATCH($C184,MERCADO!$A:$A,0)),
IF(CONCATENATE($A184,$B184)="CCOMP",INDEX(COMPOSICAO!$H:$H,MATCH($C184,COMPOSICAO!$A:$A,0)),""
)))))))),""))</f>
        <v>9</v>
      </c>
      <c r="H184" s="144">
        <f t="shared" si="31"/>
        <v>18</v>
      </c>
    </row>
    <row r="185" spans="1:9" ht="25.5">
      <c r="A185" s="141" t="s">
        <v>21960</v>
      </c>
      <c r="B185" s="141" t="s">
        <v>1019</v>
      </c>
      <c r="C185" s="141">
        <v>88247</v>
      </c>
      <c r="D185" s="142" t="str">
        <f>PROPER(IFERROR(
IF(C185="","",
IF(CONCATENATE($A185,$B185)="IDER-ES",INDEX('IDER-ES'!$B:$B,MATCH($C185,'IDER-ES'!$A:$A,0)),
IF(CONCATENATE($A185,$B185)="CDER-ES",INDEX('CDER-ES'!$B:$B,MATCH($C185,'CDER-ES'!$A:$A,0)),
IF(CONCATENATE($A185,$B185)="ISINAPI",INDEX(ISINAPI!$B:$B,MATCH($C185,ISINAPI!$A:$A,0)),
IF(CONCATENATE($A185,$B185)="CSINAPI",INDEX(CSINAPI!$B:$B,MATCH($C185,CSINAPI!$A:$A,0)),
IF(CONCATENATE($A185,$B185)="CCESAN",INDEX(CCESAN!$B:$B,MATCH($C185,CCESAN!$A:$A,0)),
IF(CONCATENATE($A185,$B185)="CSCORIO",INDEX(CSCORIO!#REF!,MATCH($C185,CSCORIO!#REF!,0)),
IF(CONCATENATE($A185,$B185)="MERC",INDEX(MERCADO!$B:$B,MATCH($C185,MERCADO!$A:$A,0)),
IF(CONCATENATE($A185,$B185)="CCOMP",INDEX(COMPOSICAO!$B:$B,MATCH($C185,COMPOSICAO!$A:$A,0)),""
))))))))),"*Verificar código*"))</f>
        <v>Auxiliar De Eletricista Com Encargos Complementares</v>
      </c>
      <c r="E185" s="143" t="str">
        <f>LOWER(IFERROR(
IF(CONCATENATE($A185,$B185)="IDER-ES",INDEX('IDER-ES'!$C:$C,MATCH($C185,'IDER-ES'!$A:$A,0)),
IF(CONCATENATE($A185,$B185)="CIOPES",INDEX('CDER-ES'!$C:$C,MATCH($C185,'CDER-ES'!$A:$A,0)),
IF(CONCATENATE($A185,$B185)="ISINAPI",INDEX(ISINAPI!$C:$C,MATCH($C185,ISINAPI!$A:$A,0)),
IF(CONCATENATE($A185,$B185)="CSINAPI",INDEX(CSINAPI!$C:$C,MATCH($C185,CSINAPI!$A:$A,0)),
IF(CONCATENATE($A185,$B185)="CCESAN",INDEX(CCESAN!$C:$C,MATCH($C185,CCESAN!$A:$A,0)),
IF(CONCATENATE($A185,$B185)="CSCORIO",INDEX(CSCORIO!$A:$A,MATCH($C185,CSCORIO!#REF!,0)),
IF(CONCATENATE($A185,$B185)="MERC",INDEX(MERCADO!$D:$D,MATCH($C185,MERCADO!$A:$A,0)),
IF(CONCATENATE($A185,$B185)="CCOMP",INDEX(COMPOSICAO!$H:$H,MATCH($C185,COMPOSICAO!$A:$A,0)),""
)))))))),""))</f>
        <v>h</v>
      </c>
      <c r="F185" s="182">
        <v>1</v>
      </c>
      <c r="G185" s="144">
        <f>(IFERROR(
IF(CONCATENATE($A185,$B185)="IDER-ES",INDEX('IDER-ES'!$D:$D,MATCH($C185,'IDER-ES'!$A:$A,0)),
IF(CONCATENATE($A185,$B185)="CIOPES",INDEX('CDER-ES'!$D:$D,MATCH($C185,'CDER-ES'!$A:$A,0)),
IF(CONCATENATE($A185,$B185)="ISINAPI",INDEX(ISINAPI!$E:$E,MATCH($C185,ISINAPI!$A:$A,0)),
IF(CONCATENATE($A185,$B185)="CSINAPI",INDEX(CSINAPI!$D:$D,MATCH($C185,CSINAPI!$A:$A,0)),
IF(CONCATENATE($A185,$B185)="CCESAN",INDEX(CCESAN!$D:$D,MATCH($C185,CCESAN!$A:$A,0)),
IF(CONCATENATE($A185,$B185)="CSCORIO",INDEX(CSCORIO!$B:$B,MATCH($C185,CSCORIO!#REF!,0)),
IF(CONCATENATE($A185,$B185)="MERC",INDEX(MERCADO!$E:$E,MATCH($C185,MERCADO!$A:$A,0)),
IF(CONCATENATE($A185,$B185)="CCOMP",INDEX(COMPOSICAO!$H:$H,MATCH($C185,COMPOSICAO!$A:$A,0)),""
)))))))),""))</f>
        <v>20.65</v>
      </c>
      <c r="H185" s="144">
        <f t="shared" si="31"/>
        <v>20.65</v>
      </c>
    </row>
    <row r="186" spans="1:9" ht="25.5">
      <c r="A186" s="141" t="s">
        <v>21960</v>
      </c>
      <c r="B186" s="141" t="s">
        <v>1019</v>
      </c>
      <c r="C186" s="141">
        <v>88264</v>
      </c>
      <c r="D186" s="142" t="str">
        <f>PROPER(IFERROR(
IF(C186="","",
IF(CONCATENATE($A186,$B186)="IDER-ES",INDEX('IDER-ES'!$B:$B,MATCH($C186,'IDER-ES'!$A:$A,0)),
IF(CONCATENATE($A186,$B186)="CDER-ES",INDEX('CDER-ES'!$B:$B,MATCH($C186,'CDER-ES'!$A:$A,0)),
IF(CONCATENATE($A186,$B186)="ISINAPI",INDEX(ISINAPI!$B:$B,MATCH($C186,ISINAPI!$A:$A,0)),
IF(CONCATENATE($A186,$B186)="CSINAPI",INDEX(CSINAPI!$B:$B,MATCH($C186,CSINAPI!$A:$A,0)),
IF(CONCATENATE($A186,$B186)="CCESAN",INDEX(CCESAN!$B:$B,MATCH($C186,CCESAN!$A:$A,0)),
IF(CONCATENATE($A186,$B186)="CSCORIO",INDEX(CSCORIO!#REF!,MATCH($C186,CSCORIO!#REF!,0)),
IF(CONCATENATE($A186,$B186)="MERC",INDEX(MERCADO!$B:$B,MATCH($C186,MERCADO!$A:$A,0)),
IF(CONCATENATE($A186,$B186)="CCOMP",INDEX(COMPOSICAO!$B:$B,MATCH($C186,COMPOSICAO!$A:$A,0)),""
))))))))),"*Verificar código*"))</f>
        <v>Eletricista Com Encargos Complementares</v>
      </c>
      <c r="E186" s="143" t="str">
        <f>LOWER(IFERROR(
IF(CONCATENATE($A186,$B186)="IDER-ES",INDEX('IDER-ES'!$C:$C,MATCH($C186,'IDER-ES'!$A:$A,0)),
IF(CONCATENATE($A186,$B186)="CIOPES",INDEX('CDER-ES'!$C:$C,MATCH($C186,'CDER-ES'!$A:$A,0)),
IF(CONCATENATE($A186,$B186)="ISINAPI",INDEX(ISINAPI!$C:$C,MATCH($C186,ISINAPI!$A:$A,0)),
IF(CONCATENATE($A186,$B186)="CSINAPI",INDEX(CSINAPI!$C:$C,MATCH($C186,CSINAPI!$A:$A,0)),
IF(CONCATENATE($A186,$B186)="CCESAN",INDEX(CCESAN!$C:$C,MATCH($C186,CCESAN!$A:$A,0)),
IF(CONCATENATE($A186,$B186)="CSCORIO",INDEX(CSCORIO!$A:$A,MATCH($C186,CSCORIO!#REF!,0)),
IF(CONCATENATE($A186,$B186)="MERC",INDEX(MERCADO!$D:$D,MATCH($C186,MERCADO!$A:$A,0)),
IF(CONCATENATE($A186,$B186)="CCOMP",INDEX(COMPOSICAO!$H:$H,MATCH($C186,COMPOSICAO!$A:$A,0)),""
)))))))),""))</f>
        <v>h</v>
      </c>
      <c r="F186" s="182">
        <v>1</v>
      </c>
      <c r="G186" s="144">
        <f>(IFERROR(
IF(CONCATENATE($A186,$B186)="IDER-ES",INDEX('IDER-ES'!$D:$D,MATCH($C186,'IDER-ES'!$A:$A,0)),
IF(CONCATENATE($A186,$B186)="CIOPES",INDEX('CDER-ES'!$D:$D,MATCH($C186,'CDER-ES'!$A:$A,0)),
IF(CONCATENATE($A186,$B186)="ISINAPI",INDEX(ISINAPI!$E:$E,MATCH($C186,ISINAPI!$A:$A,0)),
IF(CONCATENATE($A186,$B186)="CSINAPI",INDEX(CSINAPI!$D:$D,MATCH($C186,CSINAPI!$A:$A,0)),
IF(CONCATENATE($A186,$B186)="CCESAN",INDEX(CCESAN!$D:$D,MATCH($C186,CCESAN!$A:$A,0)),
IF(CONCATENATE($A186,$B186)="CSCORIO",INDEX(CSCORIO!$B:$B,MATCH($C186,CSCORIO!#REF!,0)),
IF(CONCATENATE($A186,$B186)="MERC",INDEX(MERCADO!$E:$E,MATCH($C186,MERCADO!$A:$A,0)),
IF(CONCATENATE($A186,$B186)="CCOMP",INDEX(COMPOSICAO!$H:$H,MATCH($C186,COMPOSICAO!$A:$A,0)),""
)))))))),""))</f>
        <v>26.73</v>
      </c>
      <c r="H186" s="144">
        <f t="shared" ref="H186" si="32">IF(B186="","",ROUND(G186*F186,2))</f>
        <v>26.73</v>
      </c>
    </row>
    <row r="187" spans="1:9" ht="38.25">
      <c r="A187" s="141" t="s">
        <v>21960</v>
      </c>
      <c r="B187" s="141" t="s">
        <v>26583</v>
      </c>
      <c r="C187" s="141">
        <v>40237</v>
      </c>
      <c r="D187" s="142" t="str">
        <f>PROPER(IFERROR(
IF(C187="","",
IF(CONCATENATE($A187,$B187)="IDER-ES",INDEX('IDER-ES'!$B:$B,MATCH($C187,'IDER-ES'!$A:$A,0)),
IF(CONCATENATE($A187,$B187)="CDER-ES",INDEX('CDER-ES'!$B:$B,MATCH($C187,'CDER-ES'!$A:$A,0)),
IF(CONCATENATE($A187,$B187)="ISINAPI",INDEX(ISINAPI!$B:$B,MATCH($C187,ISINAPI!$A:$A,0)),
IF(CONCATENATE($A187,$B187)="CSINAPI",INDEX(CSINAPI!$B:$B,MATCH($C187,CSINAPI!$A:$A,0)),
IF(CONCATENATE($A187,$B187)="CCESAN",INDEX(CCESAN!$B:$B,MATCH($C187,CCESAN!$A:$A,0)),
IF(CONCATENATE($A187,$B187)="CSCORIO",INDEX(CSCORIO!#REF!,MATCH($C187,CSCORIO!#REF!,0)),
IF(CONCATENATE($A187,$B187)="MERC",INDEX(MERCADO!$B:$B,MATCH($C187,MERCADO!$A:$A,0)),
IF(CONCATENATE($A187,$B187)="CCOMP",INDEX(COMPOSICAO!$B:$B,MATCH($C187,COMPOSICAO!$A:$A,0)),""
))))))))),"*Verificar código*"))</f>
        <v>Fornecimento, Preparo E Aplicação De Concreto Fck=25 Mpa (Brita 1 E 2) - (5% De Perdas Já Incluído No Custo)</v>
      </c>
      <c r="E187" s="143" t="str">
        <f>LOWER(IFERROR(
IF(CONCATENATE($A187,$B187)="IDER-ES",INDEX('IDER-ES'!$C:$C,MATCH($C187,'IDER-ES'!$A:$A,0)),
IF(CONCATENATE($A187,$B187)="CDER-ES",INDEX('CDER-ES'!$C:$C,MATCH($C187,'CDER-ES'!$A:$A,0)),
IF(CONCATENATE($A187,$B187)="ISINAPI",INDEX(ISINAPI!$C:$C,MATCH($C187,ISINAPI!$A:$A,0)),
IF(CONCATENATE($A187,$B187)="CSINAPI",INDEX(CSINAPI!$C:$C,MATCH($C187,CSINAPI!$A:$A,0)),
IF(CONCATENATE($A187,$B187)="CCESAN",INDEX(CCESAN!$C:$C,MATCH($C187,CCESAN!$A:$A,0)),
IF(CONCATENATE($A187,$B187)="CSCORIO",INDEX(CSCORIO!$A:$A,MATCH($C187,CSCORIO!#REF!,0)),
IF(CONCATENATE($A187,$B187)="MERC",INDEX(MERCADO!$D:$D,MATCH($C187,MERCADO!$A:$A,0)),
IF(CONCATENATE($A187,$B187)="CCOMP",INDEX(COMPOSICAO!$H:$H,MATCH($C187,COMPOSICAO!$A:$A,0)),""
)))))))),""))</f>
        <v>m³</v>
      </c>
      <c r="F187" s="182">
        <f>0.6*0.6</f>
        <v>0.36</v>
      </c>
      <c r="G187" s="144">
        <f>(IFERROR(
IF(CONCATENATE($A187,$B187)="IDER-ES",INDEX('IDER-ES'!$D:$D,MATCH($C187,'IDER-ES'!$A:$A,0)),
IF(CONCATENATE($A187,$B187)="CDER-ES",INDEX('CDER-ES'!$D:$D,MATCH($C187,'CDER-ES'!$A:$A,0)),
IF(CONCATENATE($A187,$B187)="ISINAPI",INDEX(ISINAPI!$E:$E,MATCH($C187,ISINAPI!$A:$A,0)),
IF(CONCATENATE($A187,$B187)="CSINAPI",INDEX(CSINAPI!$D:$D,MATCH($C187,CSINAPI!$A:$A,0)),
IF(CONCATENATE($A187,$B187)="CCESAN",INDEX(CCESAN!$D:$D,MATCH($C187,CCESAN!$A:$A,0)),
IF(CONCATENATE($A187,$B187)="CSCORIO",INDEX(CSCORIO!$B:$B,MATCH($C187,CSCORIO!#REF!,0)),
IF(CONCATENATE($A187,$B187)="MERC",INDEX(MERCADO!$E:$E,MATCH($C187,MERCADO!$A:$A,0)),
IF(CONCATENATE($A187,$B187)="CCOMP",INDEX(COMPOSICAO!$H:$H,MATCH($C187,COMPOSICAO!$A:$A,0)),""
)))))))),""))</f>
        <v>584.16</v>
      </c>
      <c r="H187" s="144">
        <f t="shared" si="31"/>
        <v>210.3</v>
      </c>
    </row>
    <row r="189" spans="1:9" s="135" customFormat="1" ht="20.100000000000001" customHeight="1">
      <c r="A189" s="186" t="s">
        <v>1020</v>
      </c>
      <c r="B189" s="405" t="s">
        <v>1022</v>
      </c>
      <c r="C189" s="406"/>
      <c r="D189" s="406"/>
      <c r="E189" s="406"/>
      <c r="F189" s="407"/>
      <c r="G189" s="133" t="s">
        <v>19692</v>
      </c>
      <c r="H189" s="134" t="s">
        <v>19678</v>
      </c>
      <c r="I189" s="263"/>
    </row>
    <row r="190" spans="1:9" ht="15" customHeight="1">
      <c r="A190" s="136">
        <f>COUNTIF($A$4:$A189,$A$4)</f>
        <v>17</v>
      </c>
      <c r="B190" s="408" t="s">
        <v>28757</v>
      </c>
      <c r="C190" s="409"/>
      <c r="D190" s="409"/>
      <c r="E190" s="409"/>
      <c r="F190" s="410"/>
      <c r="G190" s="137" t="s">
        <v>6</v>
      </c>
      <c r="H190" s="211">
        <f>SUM(H192:H195)</f>
        <v>159.90999999999997</v>
      </c>
    </row>
    <row r="191" spans="1:9" ht="30" customHeight="1">
      <c r="A191" s="139" t="s">
        <v>1026</v>
      </c>
      <c r="B191" s="139" t="s">
        <v>1027</v>
      </c>
      <c r="C191" s="139" t="s">
        <v>31</v>
      </c>
      <c r="D191" s="139" t="s">
        <v>1023</v>
      </c>
      <c r="E191" s="139" t="s">
        <v>32</v>
      </c>
      <c r="F191" s="183" t="s">
        <v>2343</v>
      </c>
      <c r="G191" s="140" t="s">
        <v>19676</v>
      </c>
      <c r="H191" s="140" t="s">
        <v>19677</v>
      </c>
    </row>
    <row r="192" spans="1:9" ht="25.5">
      <c r="A192" s="141"/>
      <c r="B192" s="141" t="s">
        <v>1021</v>
      </c>
      <c r="C192" s="141">
        <v>3</v>
      </c>
      <c r="D192" s="142" t="str">
        <f>PROPER(IFERROR(
IF(C192="","",
IF(CONCATENATE($A192,$B192)="IDER-ES",INDEX('IDER-ES'!$B:$B,MATCH($C192,'IDER-ES'!$A:$A,0)),
IF(CONCATENATE($A192,$B192)="CDER-ES",INDEX('CDER-ES'!$B:$B,MATCH($C192,'CDER-ES'!$A:$A,0)),
IF(CONCATENATE($A192,$B192)="ISINAPI",INDEX(ISINAPI!$B:$B,MATCH($C192,ISINAPI!$A:$A,0)),
IF(CONCATENATE($A192,$B192)="CSINAPI",INDEX(CSINAPI!$B:$B,MATCH($C192,CSINAPI!$A:$A,0)),
IF(CONCATENATE($A192,$B192)="CCESAN",INDEX(CCESAN!$B:$B,MATCH($C192,CCESAN!$A:$A,0)),
IF(CONCATENATE($A192,$B192)="CSCORIO",INDEX(CSCORIO!#REF!,MATCH($C192,CSCORIO!#REF!,0)),
IF(CONCATENATE($A192,$B192)="MERC",INDEX(MERCADO!$B:$B,MATCH($C192,MERCADO!$A:$A,0)),
IF(CONCATENATE($A192,$B192)="CCOMP",INDEX(COMPOSICAO!$B:$B,MATCH($C192,COMPOSICAO!$A:$A,0)),""
))))))))),"*Verificar código*"))</f>
        <v>Trilho Eletrificado Preto Com 3 Spots Led 10 W Luz Quente</v>
      </c>
      <c r="E192" s="143" t="str">
        <f>LOWER(IFERROR(
IF(CONCATENATE($A192,$B192)="IDER-ES",INDEX('IDER-ES'!$C:$C,MATCH($C192,'IDER-ES'!$A:$A,0)),
IF(CONCATENATE($A192,$B192)="CIOPES",INDEX('CDER-ES'!$C:$C,MATCH($C192,'CDER-ES'!$A:$A,0)),
IF(CONCATENATE($A192,$B192)="ISINAPI",INDEX(ISINAPI!$C:$C,MATCH($C192,ISINAPI!$A:$A,0)),
IF(CONCATENATE($A192,$B192)="CSINAPI",INDEX(CSINAPI!$C:$C,MATCH($C192,CSINAPI!$A:$A,0)),
IF(CONCATENATE($A192,$B192)="CCESAN",INDEX(CCESAN!$C:$C,MATCH($C192,CCESAN!$A:$A,0)),
IF(CONCATENATE($A192,$B192)="CSCORIO",INDEX(CSCORIO!$A:$A,MATCH($C192,CSCORIO!#REF!,0)),
IF(CONCATENATE($A192,$B192)="MERC",INDEX(MERCADO!$D:$D,MATCH($C192,MERCADO!$A:$A,0)),
IF(CONCATENATE($A192,$B192)="CCOMP",INDEX(COMPOSICAO!$H:$H,MATCH($C192,COMPOSICAO!$A:$A,0)),""
)))))))),""))</f>
        <v>m</v>
      </c>
      <c r="F192" s="182">
        <v>1</v>
      </c>
      <c r="G192" s="284">
        <f>(IFERROR(
IF(CONCATENATE($A192,$B192)="IDER-ES",INDEX('IDER-ES'!$D:$D,MATCH($C192,'IDER-ES'!$A:$A,0)),
IF(CONCATENATE($A192,$B192)="CIOPES",INDEX('CDER-ES'!$D:$D,MATCH($C192,'CDER-ES'!$A:$A,0)),
IF(CONCATENATE($A192,$B192)="ISINAPI",INDEX(ISINAPI!$E:$E,MATCH($C192,ISINAPI!$A:$A,0)),
IF(CONCATENATE($A192,$B192)="CSINAPI",INDEX(CSINAPI!$D:$D,MATCH($C192,CSINAPI!$A:$A,0)),
IF(CONCATENATE($A192,$B192)="CCESAN",INDEX(CCESAN!$D:$D,MATCH($C192,CCESAN!$A:$A,0)),
IF(CONCATENATE($A192,$B192)="CSCORIO",INDEX(CSCORIO!$B:$B,MATCH($C192,CSCORIO!#REF!,0)),
IF(CONCATENATE($A192,$B192)="MERC",INDEX(MERCADO!$E:$E,MATCH($C192,MERCADO!$A:$A,0)),
IF(CONCATENATE($A192,$B192)="CCOMP",INDEX(COMPOSICAO!$H:$H,MATCH($C192,COMPOSICAO!$A:$A,0)),""
)))))))),""))</f>
        <v>144.44999999999999</v>
      </c>
      <c r="H192" s="144">
        <f t="shared" ref="H192:H195" si="33">IF(B192="","",ROUND(G192*F192,2))</f>
        <v>144.44999999999999</v>
      </c>
    </row>
    <row r="193" spans="1:9" ht="45" customHeight="1">
      <c r="A193" s="141" t="s">
        <v>26621</v>
      </c>
      <c r="B193" s="141" t="s">
        <v>1019</v>
      </c>
      <c r="C193" s="141">
        <v>11948</v>
      </c>
      <c r="D193" s="142" t="str">
        <f>PROPER(IFERROR(
IF(C193="","",
IF(CONCATENATE($A193,$B193)="IDER-ES",INDEX('IDER-ES'!$B:$B,MATCH($C193,'IDER-ES'!$A:$A,0)),
IF(CONCATENATE($A193,$B193)="CDER-ES",INDEX('CDER-ES'!$B:$B,MATCH($C193,'CDER-ES'!$A:$A,0)),
IF(CONCATENATE($A193,$B193)="ISINAPI",INDEX(ISINAPI!$B:$B,MATCH($C193,ISINAPI!$A:$A,0)),
IF(CONCATENATE($A193,$B193)="CSINAPI",INDEX(CSINAPI!$B:$B,MATCH($C193,CSINAPI!$A:$A,0)),
IF(CONCATENATE($A193,$B193)="CCESAN",INDEX(CCESAN!$B:$B,MATCH($C193,CCESAN!$A:$A,0)),
IF(CONCATENATE($A193,$B193)="CSCORIO",INDEX(CSCORIO!#REF!,MATCH($C193,CSCORIO!#REF!,0)),
IF(CONCATENATE($A193,$B193)="MERC",INDEX(MERCADO!$B:$B,MATCH($C193,MERCADO!$A:$A,0)),
IF(CONCATENATE($A193,$B193)="CCOMP",INDEX(COMPOSICAO!$B:$B,MATCH($C193,COMPOSICAO!$A:$A,0)),""
))))))))),"*Verificar código*"))</f>
        <v xml:space="preserve">Parafuso Zincado, Sextavado, Com Rosca Soberba, Diametro 5/16", Comprimento 40 Mm                                                                                                                                                                                                                                                                                                                                                                                                                         </v>
      </c>
      <c r="E193" s="143" t="str">
        <f>LOWER(IFERROR(
IF(CONCATENATE($A193,$B193)="IDER-ES",INDEX('IDER-ES'!$C:$C,MATCH($C193,'IDER-ES'!$A:$A,0)),
IF(CONCATENATE($A193,$B193)="CIOPES",INDEX('CDER-ES'!$C:$C,MATCH($C193,'CDER-ES'!$A:$A,0)),
IF(CONCATENATE($A193,$B193)="ISINAPI",INDEX(ISINAPI!$C:$C,MATCH($C193,ISINAPI!$A:$A,0)),
IF(CONCATENATE($A193,$B193)="CSINAPI",INDEX(CSINAPI!$C:$C,MATCH($C193,CSINAPI!$A:$A,0)),
IF(CONCATENATE($A193,$B193)="CCESAN",INDEX(CCESAN!$C:$C,MATCH($C193,CCESAN!$A:$A,0)),
IF(CONCATENATE($A193,$B193)="CSCORIO",INDEX(CSCORIO!$A:$A,MATCH($C193,CSCORIO!#REF!,0)),
IF(CONCATENATE($A193,$B193)="MERC",INDEX(MERCADO!$D:$D,MATCH($C193,MERCADO!$A:$A,0)),
IF(CONCATENATE($A193,$B193)="CCOMP",INDEX(COMPOSICAO!$H:$H,MATCH($C193,COMPOSICAO!$A:$A,0)),""
)))))))),""))</f>
        <v xml:space="preserve">un    </v>
      </c>
      <c r="F193" s="182">
        <v>4</v>
      </c>
      <c r="G193" s="144">
        <f>(IFERROR(
IF(CONCATENATE($A193,$B193)="IDER-ES",INDEX('IDER-ES'!$D:$D,MATCH($C193,'IDER-ES'!$A:$A,0)),
IF(CONCATENATE($A193,$B193)="CIOPES",INDEX('CDER-ES'!$D:$D,MATCH($C193,'CDER-ES'!$A:$A,0)),
IF(CONCATENATE($A193,$B193)="ISINAPI",INDEX(ISINAPI!$E:$E,MATCH($C193,ISINAPI!$A:$A,0)),
IF(CONCATENATE($A193,$B193)="CSINAPI",INDEX(CSINAPI!$D:$D,MATCH($C193,CSINAPI!$A:$A,0)),
IF(CONCATENATE($A193,$B193)="CCESAN",INDEX(CCESAN!$D:$D,MATCH($C193,CCESAN!$A:$A,0)),
IF(CONCATENATE($A193,$B193)="CSCORIO",INDEX(CSCORIO!$B:$B,MATCH($C193,CSCORIO!#REF!,0)),
IF(CONCATENATE($A193,$B193)="MERC",INDEX(MERCADO!$E:$E,MATCH($C193,MERCADO!$A:$A,0)),
IF(CONCATENATE($A193,$B193)="CCOMP",INDEX(COMPOSICAO!$H:$H,MATCH($C193,COMPOSICAO!$A:$A,0)),""
)))))))),""))</f>
        <v>0.64</v>
      </c>
      <c r="H193" s="144">
        <f t="shared" si="33"/>
        <v>2.56</v>
      </c>
    </row>
    <row r="194" spans="1:9" ht="25.5">
      <c r="A194" s="141" t="s">
        <v>21960</v>
      </c>
      <c r="B194" s="141" t="s">
        <v>1019</v>
      </c>
      <c r="C194" s="141">
        <v>88247</v>
      </c>
      <c r="D194" s="142" t="str">
        <f>PROPER(IFERROR(
IF(C194="","",
IF(CONCATENATE($A194,$B194)="IDER-ES",INDEX('IDER-ES'!$B:$B,MATCH($C194,'IDER-ES'!$A:$A,0)),
IF(CONCATENATE($A194,$B194)="CDER-ES",INDEX('CDER-ES'!$B:$B,MATCH($C194,'CDER-ES'!$A:$A,0)),
IF(CONCATENATE($A194,$B194)="ISINAPI",INDEX(ISINAPI!$B:$B,MATCH($C194,ISINAPI!$A:$A,0)),
IF(CONCATENATE($A194,$B194)="CSINAPI",INDEX(CSINAPI!$B:$B,MATCH($C194,CSINAPI!$A:$A,0)),
IF(CONCATENATE($A194,$B194)="CCESAN",INDEX(CCESAN!$B:$B,MATCH($C194,CCESAN!$A:$A,0)),
IF(CONCATENATE($A194,$B194)="CSCORIO",INDEX(CSCORIO!#REF!,MATCH($C194,CSCORIO!#REF!,0)),
IF(CONCATENATE($A194,$B194)="MERC",INDEX(MERCADO!$B:$B,MATCH($C194,MERCADO!$A:$A,0)),
IF(CONCATENATE($A194,$B194)="CCOMP",INDEX(COMPOSICAO!$B:$B,MATCH($C194,COMPOSICAO!$A:$A,0)),""
))))))))),"*Verificar código*"))</f>
        <v>Auxiliar De Eletricista Com Encargos Complementares</v>
      </c>
      <c r="E194" s="143" t="str">
        <f>LOWER(IFERROR(
IF(CONCATENATE($A194,$B194)="IDER-ES",INDEX('IDER-ES'!$C:$C,MATCH($C194,'IDER-ES'!$A:$A,0)),
IF(CONCATENATE($A194,$B194)="CIOPES",INDEX('CDER-ES'!$C:$C,MATCH($C194,'CDER-ES'!$A:$A,0)),
IF(CONCATENATE($A194,$B194)="ISINAPI",INDEX(ISINAPI!$C:$C,MATCH($C194,ISINAPI!$A:$A,0)),
IF(CONCATENATE($A194,$B194)="CSINAPI",INDEX(CSINAPI!$C:$C,MATCH($C194,CSINAPI!$A:$A,0)),
IF(CONCATENATE($A194,$B194)="CCESAN",INDEX(CCESAN!$C:$C,MATCH($C194,CCESAN!$A:$A,0)),
IF(CONCATENATE($A194,$B194)="CSCORIO",INDEX(CSCORIO!$A:$A,MATCH($C194,CSCORIO!#REF!,0)),
IF(CONCATENATE($A194,$B194)="MERC",INDEX(MERCADO!$D:$D,MATCH($C194,MERCADO!$A:$A,0)),
IF(CONCATENATE($A194,$B194)="CCOMP",INDEX(COMPOSICAO!$H:$H,MATCH($C194,COMPOSICAO!$A:$A,0)),""
)))))))),""))</f>
        <v>h</v>
      </c>
      <c r="F194" s="182">
        <v>0.152</v>
      </c>
      <c r="G194" s="144">
        <f>(IFERROR(
IF(CONCATENATE($A194,$B194)="IDER-ES",INDEX('IDER-ES'!$D:$D,MATCH($C194,'IDER-ES'!$A:$A,0)),
IF(CONCATENATE($A194,$B194)="CIOPES",INDEX('CDER-ES'!$D:$D,MATCH($C194,'CDER-ES'!$A:$A,0)),
IF(CONCATENATE($A194,$B194)="ISINAPI",INDEX(ISINAPI!$E:$E,MATCH($C194,ISINAPI!$A:$A,0)),
IF(CONCATENATE($A194,$B194)="CSINAPI",INDEX(CSINAPI!$D:$D,MATCH($C194,CSINAPI!$A:$A,0)),
IF(CONCATENATE($A194,$B194)="CCESAN",INDEX(CCESAN!$D:$D,MATCH($C194,CCESAN!$A:$A,0)),
IF(CONCATENATE($A194,$B194)="CSCORIO",INDEX(CSCORIO!$B:$B,MATCH($C194,CSCORIO!#REF!,0)),
IF(CONCATENATE($A194,$B194)="MERC",INDEX(MERCADO!$E:$E,MATCH($C194,MERCADO!$A:$A,0)),
IF(CONCATENATE($A194,$B194)="CCOMP",INDEX(COMPOSICAO!$H:$H,MATCH($C194,COMPOSICAO!$A:$A,0)),""
)))))))),""))</f>
        <v>20.65</v>
      </c>
      <c r="H194" s="144">
        <f t="shared" si="33"/>
        <v>3.14</v>
      </c>
    </row>
    <row r="195" spans="1:9" ht="25.5">
      <c r="A195" s="141" t="s">
        <v>21960</v>
      </c>
      <c r="B195" s="141" t="s">
        <v>1019</v>
      </c>
      <c r="C195" s="141">
        <v>88264</v>
      </c>
      <c r="D195" s="142" t="str">
        <f>PROPER(IFERROR(
IF(C195="","",
IF(CONCATENATE($A195,$B195)="IDER-ES",INDEX('IDER-ES'!$B:$B,MATCH($C195,'IDER-ES'!$A:$A,0)),
IF(CONCATENATE($A195,$B195)="CDER-ES",INDEX('CDER-ES'!$B:$B,MATCH($C195,'CDER-ES'!$A:$A,0)),
IF(CONCATENATE($A195,$B195)="ISINAPI",INDEX(ISINAPI!$B:$B,MATCH($C195,ISINAPI!$A:$A,0)),
IF(CONCATENATE($A195,$B195)="CSINAPI",INDEX(CSINAPI!$B:$B,MATCH($C195,CSINAPI!$A:$A,0)),
IF(CONCATENATE($A195,$B195)="CCESAN",INDEX(CCESAN!$B:$B,MATCH($C195,CCESAN!$A:$A,0)),
IF(CONCATENATE($A195,$B195)="CSCORIO",INDEX(CSCORIO!#REF!,MATCH($C195,CSCORIO!#REF!,0)),
IF(CONCATENATE($A195,$B195)="MERC",INDEX(MERCADO!$B:$B,MATCH($C195,MERCADO!$A:$A,0)),
IF(CONCATENATE($A195,$B195)="CCOMP",INDEX(COMPOSICAO!$B:$B,MATCH($C195,COMPOSICAO!$A:$A,0)),""
))))))))),"*Verificar código*"))</f>
        <v>Eletricista Com Encargos Complementares</v>
      </c>
      <c r="E195" s="143" t="str">
        <f>LOWER(IFERROR(
IF(CONCATENATE($A195,$B195)="IDER-ES",INDEX('IDER-ES'!$C:$C,MATCH($C195,'IDER-ES'!$A:$A,0)),
IF(CONCATENATE($A195,$B195)="CIOPES",INDEX('CDER-ES'!$C:$C,MATCH($C195,'CDER-ES'!$A:$A,0)),
IF(CONCATENATE($A195,$B195)="ISINAPI",INDEX(ISINAPI!$C:$C,MATCH($C195,ISINAPI!$A:$A,0)),
IF(CONCATENATE($A195,$B195)="CSINAPI",INDEX(CSINAPI!$C:$C,MATCH($C195,CSINAPI!$A:$A,0)),
IF(CONCATENATE($A195,$B195)="CCESAN",INDEX(CCESAN!$C:$C,MATCH($C195,CCESAN!$A:$A,0)),
IF(CONCATENATE($A195,$B195)="CSCORIO",INDEX(CSCORIO!$A:$A,MATCH($C195,CSCORIO!#REF!,0)),
IF(CONCATENATE($A195,$B195)="MERC",INDEX(MERCADO!$D:$D,MATCH($C195,MERCADO!$A:$A,0)),
IF(CONCATENATE($A195,$B195)="CCOMP",INDEX(COMPOSICAO!$H:$H,MATCH($C195,COMPOSICAO!$A:$A,0)),""
)))))))),""))</f>
        <v>h</v>
      </c>
      <c r="F195" s="182">
        <v>0.36499999999999999</v>
      </c>
      <c r="G195" s="144">
        <f>(IFERROR(
IF(CONCATENATE($A195,$B195)="IDER-ES",INDEX('IDER-ES'!$D:$D,MATCH($C195,'IDER-ES'!$A:$A,0)),
IF(CONCATENATE($A195,$B195)="CIOPES",INDEX('CDER-ES'!$D:$D,MATCH($C195,'CDER-ES'!$A:$A,0)),
IF(CONCATENATE($A195,$B195)="ISINAPI",INDEX(ISINAPI!$E:$E,MATCH($C195,ISINAPI!$A:$A,0)),
IF(CONCATENATE($A195,$B195)="CSINAPI",INDEX(CSINAPI!$D:$D,MATCH($C195,CSINAPI!$A:$A,0)),
IF(CONCATENATE($A195,$B195)="CCESAN",INDEX(CCESAN!$D:$D,MATCH($C195,CCESAN!$A:$A,0)),
IF(CONCATENATE($A195,$B195)="CSCORIO",INDEX(CSCORIO!$B:$B,MATCH($C195,CSCORIO!#REF!,0)),
IF(CONCATENATE($A195,$B195)="MERC",INDEX(MERCADO!$E:$E,MATCH($C195,MERCADO!$A:$A,0)),
IF(CONCATENATE($A195,$B195)="CCOMP",INDEX(COMPOSICAO!$H:$H,MATCH($C195,COMPOSICAO!$A:$A,0)),""
)))))))),""))</f>
        <v>26.73</v>
      </c>
      <c r="H195" s="144">
        <f t="shared" si="33"/>
        <v>9.76</v>
      </c>
    </row>
    <row r="197" spans="1:9" s="135" customFormat="1" ht="19.5" customHeight="1">
      <c r="A197" s="186" t="s">
        <v>1020</v>
      </c>
      <c r="B197" s="405" t="s">
        <v>1022</v>
      </c>
      <c r="C197" s="406"/>
      <c r="D197" s="406"/>
      <c r="E197" s="406"/>
      <c r="F197" s="407"/>
      <c r="G197" s="133" t="s">
        <v>19692</v>
      </c>
      <c r="H197" s="134" t="s">
        <v>19678</v>
      </c>
      <c r="I197" s="263"/>
    </row>
    <row r="198" spans="1:9" ht="15" customHeight="1">
      <c r="A198" s="136">
        <f>COUNTIF($A$4:$A197,$A$4)</f>
        <v>18</v>
      </c>
      <c r="B198" s="408" t="s">
        <v>29034</v>
      </c>
      <c r="C198" s="409"/>
      <c r="D198" s="409"/>
      <c r="E198" s="409"/>
      <c r="F198" s="410"/>
      <c r="G198" s="137" t="s">
        <v>19692</v>
      </c>
      <c r="H198" s="211">
        <f>SUM(H200:H203)</f>
        <v>926.57</v>
      </c>
    </row>
    <row r="199" spans="1:9" ht="30" customHeight="1">
      <c r="A199" s="139" t="s">
        <v>1026</v>
      </c>
      <c r="B199" s="139" t="s">
        <v>1027</v>
      </c>
      <c r="C199" s="139" t="s">
        <v>31</v>
      </c>
      <c r="D199" s="139" t="s">
        <v>1023</v>
      </c>
      <c r="E199" s="139" t="s">
        <v>32</v>
      </c>
      <c r="F199" s="183" t="s">
        <v>2343</v>
      </c>
      <c r="G199" s="140" t="s">
        <v>19676</v>
      </c>
      <c r="H199" s="140" t="s">
        <v>19677</v>
      </c>
    </row>
    <row r="200" spans="1:9" ht="25.5">
      <c r="A200" s="141"/>
      <c r="B200" s="141" t="s">
        <v>1021</v>
      </c>
      <c r="C200" s="141">
        <v>8</v>
      </c>
      <c r="D200" s="142" t="str">
        <f>PROPER(IFERROR(
IF(C200="","",
IF(CONCATENATE($A200,$B200)="IDER-ES",INDEX('IDER-ES'!$B:$B,MATCH($C200,'IDER-ES'!$A:$A,0)),
IF(CONCATENATE($A200,$B200)="CDER-ES",INDEX('CDER-ES'!$B:$B,MATCH($C200,'CDER-ES'!$A:$A,0)),
IF(CONCATENATE($A200,$B200)="ISINAPI",INDEX(ISINAPI!$B:$B,MATCH($C200,ISINAPI!$A:$A,0)),
IF(CONCATENATE($A200,$B200)="CSINAPI",INDEX(CSINAPI!$B:$B,MATCH($C200,CSINAPI!$A:$A,0)),
IF(CONCATENATE($A200,$B200)="CCESAN",INDEX(CCESAN!$B:$B,MATCH($C200,CCESAN!$A:$A,0)),
IF(CONCATENATE($A200,$B200)="CSCORIO",INDEX(CSCORIO!#REF!,MATCH($C200,CSCORIO!#REF!,0)),
IF(CONCATENATE($A200,$B200)="MERC",INDEX(MERCADO!$B:$B,MATCH($C200,MERCADO!$A:$A,0)),
IF(CONCATENATE($A200,$B200)="CCOMP",INDEX(COMPOSICAO!$B:$B,MATCH($C200,COMPOSICAO!$A:$A,0)),""
))))))))),"*Verificar código*"))</f>
        <v>Lustre Pendente De Teto Com 6 Bocais Rústicos</v>
      </c>
      <c r="E200" s="143" t="str">
        <f>LOWER(IFERROR(
IF(CONCATENATE($A200,$B200)="IDER-ES",INDEX('IDER-ES'!$C:$C,MATCH($C200,'IDER-ES'!$A:$A,0)),
IF(CONCATENATE($A200,$B200)="CIOPES",INDEX('CDER-ES'!$C:$C,MATCH($C200,'CDER-ES'!$A:$A,0)),
IF(CONCATENATE($A200,$B200)="ISINAPI",INDEX(ISINAPI!$C:$C,MATCH($C200,ISINAPI!$A:$A,0)),
IF(CONCATENATE($A200,$B200)="CSINAPI",INDEX(CSINAPI!$C:$C,MATCH($C200,CSINAPI!$A:$A,0)),
IF(CONCATENATE($A200,$B200)="CCESAN",INDEX(CCESAN!$C:$C,MATCH($C200,CCESAN!$A:$A,0)),
IF(CONCATENATE($A200,$B200)="CSCORIO",INDEX(CSCORIO!$A:$A,MATCH($C200,CSCORIO!#REF!,0)),
IF(CONCATENATE($A200,$B200)="MERC",INDEX(MERCADO!$D:$D,MATCH($C200,MERCADO!$A:$A,0)),
IF(CONCATENATE($A200,$B200)="CCOMP",INDEX(COMPOSICAO!$H:$H,MATCH($C200,COMPOSICAO!$A:$A,0)),""
)))))))),""))</f>
        <v>und</v>
      </c>
      <c r="F200" s="182">
        <v>1</v>
      </c>
      <c r="G200" s="284">
        <f>(IFERROR(
IF(CONCATENATE($A200,$B200)="IDER-ES",INDEX('IDER-ES'!$D:$D,MATCH($C200,'IDER-ES'!$A:$A,0)),
IF(CONCATENATE($A200,$B200)="CIOPES",INDEX('CDER-ES'!$D:$D,MATCH($C200,'CDER-ES'!$A:$A,0)),
IF(CONCATENATE($A200,$B200)="ISINAPI",INDEX(ISINAPI!$E:$E,MATCH($C200,ISINAPI!$A:$A,0)),
IF(CONCATENATE($A200,$B200)="CSINAPI",INDEX(CSINAPI!$D:$D,MATCH($C200,CSINAPI!$A:$A,0)),
IF(CONCATENATE($A200,$B200)="CCESAN",INDEX(CCESAN!$D:$D,MATCH($C200,CCESAN!$A:$A,0)),
IF(CONCATENATE($A200,$B200)="CSCORIO",INDEX(CSCORIO!$B:$B,MATCH($C200,CSCORIO!#REF!,0)),
IF(CONCATENATE($A200,$B200)="MERC",INDEX(MERCADO!$E:$E,MATCH($C200,MERCADO!$A:$A,0)),
IF(CONCATENATE($A200,$B200)="CCOMP",INDEX(COMPOSICAO!$H:$H,MATCH($C200,COMPOSICAO!$A:$A,0)),""
)))))))),""))</f>
        <v>799</v>
      </c>
      <c r="H200" s="144">
        <f t="shared" ref="H200:H203" si="34">IF(B200="","",ROUND(G200*F200,2))</f>
        <v>799</v>
      </c>
    </row>
    <row r="201" spans="1:9" ht="38.25">
      <c r="A201" s="141" t="s">
        <v>21960</v>
      </c>
      <c r="B201" s="141" t="s">
        <v>1019</v>
      </c>
      <c r="C201" s="141">
        <v>97609</v>
      </c>
      <c r="D201" s="142" t="str">
        <f>PROPER(IFERROR(
IF(C201="","",
IF(CONCATENATE($A201,$B201)="IDER-ES",INDEX('IDER-ES'!$B:$B,MATCH($C201,'IDER-ES'!$A:$A,0)),
IF(CONCATENATE($A201,$B201)="CDER-ES",INDEX('CDER-ES'!$B:$B,MATCH($C201,'CDER-ES'!$A:$A,0)),
IF(CONCATENATE($A201,$B201)="ISINAPI",INDEX(ISINAPI!$B:$B,MATCH($C201,ISINAPI!$A:$A,0)),
IF(CONCATENATE($A201,$B201)="CSINAPI",INDEX(CSINAPI!$B:$B,MATCH($C201,CSINAPI!$A:$A,0)),
IF(CONCATENATE($A201,$B201)="CCESAN",INDEX(CCESAN!$B:$B,MATCH($C201,CCESAN!$A:$A,0)),
IF(CONCATENATE($A201,$B201)="CSCORIO",INDEX(CSCORIO!#REF!,MATCH($C201,CSCORIO!#REF!,0)),
IF(CONCATENATE($A201,$B201)="MERC",INDEX(MERCADO!$B:$B,MATCH($C201,MERCADO!$A:$A,0)),
IF(CONCATENATE($A201,$B201)="CCOMP",INDEX(COMPOSICAO!$B:$B,MATCH($C201,COMPOSICAO!$A:$A,0)),""
))))))))),"*Verificar código*"))</f>
        <v>Lâmpada Compacta De Led 6 W, Base E27 - Fornecimento E Instalação. Af_02/2020</v>
      </c>
      <c r="E201" s="143" t="str">
        <f>LOWER(IFERROR(
IF(CONCATENATE($A201,$B201)="IDER-ES",INDEX('IDER-ES'!$C:$C,MATCH($C201,'IDER-ES'!$A:$A,0)),
IF(CONCATENATE($A201,$B201)="CIOPES",INDEX('CDER-ES'!$C:$C,MATCH($C201,'CDER-ES'!$A:$A,0)),
IF(CONCATENATE($A201,$B201)="ISINAPI",INDEX(ISINAPI!$C:$C,MATCH($C201,ISINAPI!$A:$A,0)),
IF(CONCATENATE($A201,$B201)="CSINAPI",INDEX(CSINAPI!$C:$C,MATCH($C201,CSINAPI!$A:$A,0)),
IF(CONCATENATE($A201,$B201)="CCESAN",INDEX(CCESAN!$C:$C,MATCH($C201,CCESAN!$A:$A,0)),
IF(CONCATENATE($A201,$B201)="CSCORIO",INDEX(CSCORIO!$A:$A,MATCH($C201,CSCORIO!#REF!,0)),
IF(CONCATENATE($A201,$B201)="MERC",INDEX(MERCADO!$D:$D,MATCH($C201,MERCADO!$A:$A,0)),
IF(CONCATENATE($A201,$B201)="CCOMP",INDEX(COMPOSICAO!$H:$H,MATCH($C201,COMPOSICAO!$A:$A,0)),""
)))))))),""))</f>
        <v>und</v>
      </c>
      <c r="F201" s="182">
        <v>6</v>
      </c>
      <c r="G201" s="144">
        <f>(IFERROR(
IF(CONCATENATE($A201,$B201)="IDER-ES",INDEX('IDER-ES'!$D:$D,MATCH($C201,'IDER-ES'!$A:$A,0)),
IF(CONCATENATE($A201,$B201)="CIOPES",INDEX('CDER-ES'!$D:$D,MATCH($C201,'CDER-ES'!$A:$A,0)),
IF(CONCATENATE($A201,$B201)="ISINAPI",INDEX(ISINAPI!$E:$E,MATCH($C201,ISINAPI!$A:$A,0)),
IF(CONCATENATE($A201,$B201)="CSINAPI",INDEX(CSINAPI!$D:$D,MATCH($C201,CSINAPI!$A:$A,0)),
IF(CONCATENATE($A201,$B201)="CCESAN",INDEX(CCESAN!$D:$D,MATCH($C201,CCESAN!$A:$A,0)),
IF(CONCATENATE($A201,$B201)="CSCORIO",INDEX(CSCORIO!$B:$B,MATCH($C201,CSCORIO!#REF!,0)),
IF(CONCATENATE($A201,$B201)="MERC",INDEX(MERCADO!$E:$E,MATCH($C201,MERCADO!$A:$A,0)),
IF(CONCATENATE($A201,$B201)="CCOMP",INDEX(COMPOSICAO!$H:$H,MATCH($C201,COMPOSICAO!$A:$A,0)),""
)))))))),""))</f>
        <v>17.11</v>
      </c>
      <c r="H201" s="144">
        <f t="shared" ref="H201" si="35">IF(B201="","",ROUND(G201*F201,2))</f>
        <v>102.66</v>
      </c>
    </row>
    <row r="202" spans="1:9" ht="25.5">
      <c r="A202" s="141" t="s">
        <v>21960</v>
      </c>
      <c r="B202" s="141" t="s">
        <v>1019</v>
      </c>
      <c r="C202" s="141">
        <v>88247</v>
      </c>
      <c r="D202" s="142" t="str">
        <f>PROPER(IFERROR(
IF(C202="","",
IF(CONCATENATE($A202,$B202)="IDER-ES",INDEX('IDER-ES'!$B:$B,MATCH($C202,'IDER-ES'!$A:$A,0)),
IF(CONCATENATE($A202,$B202)="CDER-ES",INDEX('CDER-ES'!$B:$B,MATCH($C202,'CDER-ES'!$A:$A,0)),
IF(CONCATENATE($A202,$B202)="ISINAPI",INDEX(ISINAPI!$B:$B,MATCH($C202,ISINAPI!$A:$A,0)),
IF(CONCATENATE($A202,$B202)="CSINAPI",INDEX(CSINAPI!$B:$B,MATCH($C202,CSINAPI!$A:$A,0)),
IF(CONCATENATE($A202,$B202)="CCESAN",INDEX(CCESAN!$B:$B,MATCH($C202,CCESAN!$A:$A,0)),
IF(CONCATENATE($A202,$B202)="CSCORIO",INDEX(CSCORIO!#REF!,MATCH($C202,CSCORIO!#REF!,0)),
IF(CONCATENATE($A202,$B202)="MERC",INDEX(MERCADO!$B:$B,MATCH($C202,MERCADO!$A:$A,0)),
IF(CONCATENATE($A202,$B202)="CCOMP",INDEX(COMPOSICAO!$B:$B,MATCH($C202,COMPOSICAO!$A:$A,0)),""
))))))))),"*Verificar código*"))</f>
        <v>Auxiliar De Eletricista Com Encargos Complementares</v>
      </c>
      <c r="E202" s="143" t="str">
        <f>LOWER(IFERROR(
IF(CONCATENATE($A202,$B202)="IDER-ES",INDEX('IDER-ES'!$C:$C,MATCH($C202,'IDER-ES'!$A:$A,0)),
IF(CONCATENATE($A202,$B202)="CIOPES",INDEX('CDER-ES'!$C:$C,MATCH($C202,'CDER-ES'!$A:$A,0)),
IF(CONCATENATE($A202,$B202)="ISINAPI",INDEX(ISINAPI!$C:$C,MATCH($C202,ISINAPI!$A:$A,0)),
IF(CONCATENATE($A202,$B202)="CSINAPI",INDEX(CSINAPI!$C:$C,MATCH($C202,CSINAPI!$A:$A,0)),
IF(CONCATENATE($A202,$B202)="CCESAN",INDEX(CCESAN!$C:$C,MATCH($C202,CCESAN!$A:$A,0)),
IF(CONCATENATE($A202,$B202)="CSCORIO",INDEX(CSCORIO!$A:$A,MATCH($C202,CSCORIO!#REF!,0)),
IF(CONCATENATE($A202,$B202)="MERC",INDEX(MERCADO!$D:$D,MATCH($C202,MERCADO!$A:$A,0)),
IF(CONCATENATE($A202,$B202)="CCOMP",INDEX(COMPOSICAO!$H:$H,MATCH($C202,COMPOSICAO!$A:$A,0)),""
)))))))),""))</f>
        <v>h</v>
      </c>
      <c r="F202" s="182">
        <v>0.3</v>
      </c>
      <c r="G202" s="144">
        <f>(IFERROR(
IF(CONCATENATE($A202,$B202)="IDER-ES",INDEX('IDER-ES'!$D:$D,MATCH($C202,'IDER-ES'!$A:$A,0)),
IF(CONCATENATE($A202,$B202)="CIOPES",INDEX('CDER-ES'!$D:$D,MATCH($C202,'CDER-ES'!$A:$A,0)),
IF(CONCATENATE($A202,$B202)="ISINAPI",INDEX(ISINAPI!$E:$E,MATCH($C202,ISINAPI!$A:$A,0)),
IF(CONCATENATE($A202,$B202)="CSINAPI",INDEX(CSINAPI!$D:$D,MATCH($C202,CSINAPI!$A:$A,0)),
IF(CONCATENATE($A202,$B202)="CCESAN",INDEX(CCESAN!$D:$D,MATCH($C202,CCESAN!$A:$A,0)),
IF(CONCATENATE($A202,$B202)="CSCORIO",INDEX(CSCORIO!$B:$B,MATCH($C202,CSCORIO!#REF!,0)),
IF(CONCATENATE($A202,$B202)="MERC",INDEX(MERCADO!$E:$E,MATCH($C202,MERCADO!$A:$A,0)),
IF(CONCATENATE($A202,$B202)="CCOMP",INDEX(COMPOSICAO!$H:$H,MATCH($C202,COMPOSICAO!$A:$A,0)),""
)))))))),""))</f>
        <v>20.65</v>
      </c>
      <c r="H202" s="144">
        <f t="shared" si="34"/>
        <v>6.2</v>
      </c>
    </row>
    <row r="203" spans="1:9" ht="25.5">
      <c r="A203" s="141" t="s">
        <v>21960</v>
      </c>
      <c r="B203" s="141" t="s">
        <v>1019</v>
      </c>
      <c r="C203" s="141">
        <v>88264</v>
      </c>
      <c r="D203" s="142" t="str">
        <f>PROPER(IFERROR(
IF(C203="","",
IF(CONCATENATE($A203,$B203)="IDER-ES",INDEX('IDER-ES'!$B:$B,MATCH($C203,'IDER-ES'!$A:$A,0)),
IF(CONCATENATE($A203,$B203)="CDER-ES",INDEX('CDER-ES'!$B:$B,MATCH($C203,'CDER-ES'!$A:$A,0)),
IF(CONCATENATE($A203,$B203)="ISINAPI",INDEX(ISINAPI!$B:$B,MATCH($C203,ISINAPI!$A:$A,0)),
IF(CONCATENATE($A203,$B203)="CSINAPI",INDEX(CSINAPI!$B:$B,MATCH($C203,CSINAPI!$A:$A,0)),
IF(CONCATENATE($A203,$B203)="CCESAN",INDEX(CCESAN!$B:$B,MATCH($C203,CCESAN!$A:$A,0)),
IF(CONCATENATE($A203,$B203)="CSCORIO",INDEX(CSCORIO!#REF!,MATCH($C203,CSCORIO!#REF!,0)),
IF(CONCATENATE($A203,$B203)="MERC",INDEX(MERCADO!$B:$B,MATCH($C203,MERCADO!$A:$A,0)),
IF(CONCATENATE($A203,$B203)="CCOMP",INDEX(COMPOSICAO!$B:$B,MATCH($C203,COMPOSICAO!$A:$A,0)),""
))))))))),"*Verificar código*"))</f>
        <v>Eletricista Com Encargos Complementares</v>
      </c>
      <c r="E203" s="143" t="str">
        <f>LOWER(IFERROR(
IF(CONCATENATE($A203,$B203)="IDER-ES",INDEX('IDER-ES'!$C:$C,MATCH($C203,'IDER-ES'!$A:$A,0)),
IF(CONCATENATE($A203,$B203)="CIOPES",INDEX('CDER-ES'!$C:$C,MATCH($C203,'CDER-ES'!$A:$A,0)),
IF(CONCATENATE($A203,$B203)="ISINAPI",INDEX(ISINAPI!$C:$C,MATCH($C203,ISINAPI!$A:$A,0)),
IF(CONCATENATE($A203,$B203)="CSINAPI",INDEX(CSINAPI!$C:$C,MATCH($C203,CSINAPI!$A:$A,0)),
IF(CONCATENATE($A203,$B203)="CCESAN",INDEX(CCESAN!$C:$C,MATCH($C203,CCESAN!$A:$A,0)),
IF(CONCATENATE($A203,$B203)="CSCORIO",INDEX(CSCORIO!$A:$A,MATCH($C203,CSCORIO!#REF!,0)),
IF(CONCATENATE($A203,$B203)="MERC",INDEX(MERCADO!$D:$D,MATCH($C203,MERCADO!$A:$A,0)),
IF(CONCATENATE($A203,$B203)="CCOMP",INDEX(COMPOSICAO!$H:$H,MATCH($C203,COMPOSICAO!$A:$A,0)),""
)))))))),""))</f>
        <v>h</v>
      </c>
      <c r="F203" s="182">
        <v>0.7</v>
      </c>
      <c r="G203" s="144">
        <f>(IFERROR(
IF(CONCATENATE($A203,$B203)="IDER-ES",INDEX('IDER-ES'!$D:$D,MATCH($C203,'IDER-ES'!$A:$A,0)),
IF(CONCATENATE($A203,$B203)="CIOPES",INDEX('CDER-ES'!$D:$D,MATCH($C203,'CDER-ES'!$A:$A,0)),
IF(CONCATENATE($A203,$B203)="ISINAPI",INDEX(ISINAPI!$E:$E,MATCH($C203,ISINAPI!$A:$A,0)),
IF(CONCATENATE($A203,$B203)="CSINAPI",INDEX(CSINAPI!$D:$D,MATCH($C203,CSINAPI!$A:$A,0)),
IF(CONCATENATE($A203,$B203)="CCESAN",INDEX(CCESAN!$D:$D,MATCH($C203,CCESAN!$A:$A,0)),
IF(CONCATENATE($A203,$B203)="CSCORIO",INDEX(CSCORIO!$B:$B,MATCH($C203,CSCORIO!#REF!,0)),
IF(CONCATENATE($A203,$B203)="MERC",INDEX(MERCADO!$E:$E,MATCH($C203,MERCADO!$A:$A,0)),
IF(CONCATENATE($A203,$B203)="CCOMP",INDEX(COMPOSICAO!$H:$H,MATCH($C203,COMPOSICAO!$A:$A,0)),""
)))))))),""))</f>
        <v>26.73</v>
      </c>
      <c r="H203" s="144">
        <f t="shared" si="34"/>
        <v>18.71</v>
      </c>
    </row>
    <row r="205" spans="1:9" s="135" customFormat="1" ht="20.100000000000001" customHeight="1">
      <c r="A205" s="186" t="s">
        <v>1020</v>
      </c>
      <c r="B205" s="405" t="s">
        <v>1022</v>
      </c>
      <c r="C205" s="406"/>
      <c r="D205" s="406"/>
      <c r="E205" s="406"/>
      <c r="F205" s="407"/>
      <c r="G205" s="133" t="s">
        <v>19692</v>
      </c>
      <c r="H205" s="134" t="s">
        <v>19678</v>
      </c>
      <c r="I205" s="263"/>
    </row>
    <row r="206" spans="1:9" ht="30" customHeight="1">
      <c r="A206" s="136">
        <f>COUNTIF($A$4:$A205,$A$4)</f>
        <v>19</v>
      </c>
      <c r="B206" s="408" t="s">
        <v>28746</v>
      </c>
      <c r="C206" s="409"/>
      <c r="D206" s="409"/>
      <c r="E206" s="409"/>
      <c r="F206" s="410"/>
      <c r="G206" s="137" t="s">
        <v>19692</v>
      </c>
      <c r="H206" s="211">
        <f>SUM(H208:H211)</f>
        <v>96.279999999999987</v>
      </c>
    </row>
    <row r="207" spans="1:9" ht="30" customHeight="1">
      <c r="A207" s="139" t="s">
        <v>1026</v>
      </c>
      <c r="B207" s="139" t="s">
        <v>1027</v>
      </c>
      <c r="C207" s="139" t="s">
        <v>31</v>
      </c>
      <c r="D207" s="139" t="s">
        <v>1023</v>
      </c>
      <c r="E207" s="139" t="s">
        <v>32</v>
      </c>
      <c r="F207" s="183" t="s">
        <v>2343</v>
      </c>
      <c r="G207" s="140" t="s">
        <v>19676</v>
      </c>
      <c r="H207" s="140" t="s">
        <v>19677</v>
      </c>
    </row>
    <row r="208" spans="1:9" ht="38.25">
      <c r="A208" s="141"/>
      <c r="B208" s="141" t="s">
        <v>1021</v>
      </c>
      <c r="C208" s="141">
        <v>4</v>
      </c>
      <c r="D208" s="142" t="str">
        <f>PROPER(IFERROR(
IF(C208="","",
IF(CONCATENATE($A208,$B208)="IDER-ES",INDEX('IDER-ES'!$B:$B,MATCH($C208,'IDER-ES'!$A:$A,0)),
IF(CONCATENATE($A208,$B208)="CDER-ES",INDEX('CDER-ES'!$B:$B,MATCH($C208,'CDER-ES'!$A:$A,0)),
IF(CONCATENATE($A208,$B208)="ISINAPI",INDEX(ISINAPI!$B:$B,MATCH($C208,ISINAPI!$A:$A,0)),
IF(CONCATENATE($A208,$B208)="CSINAPI",INDEX(CSINAPI!$B:$B,MATCH($C208,CSINAPI!$A:$A,0)),
IF(CONCATENATE($A208,$B208)="CCESAN",INDEX(CCESAN!$B:$B,MATCH($C208,CCESAN!$A:$A,0)),
IF(CONCATENATE($A208,$B208)="CSCORIO",INDEX(CSCORIO!#REF!,MATCH($C208,CSCORIO!#REF!,0)),
IF(CONCATENATE($A208,$B208)="MERC",INDEX(MERCADO!$B:$B,MATCH($C208,MERCADO!$A:$A,0)),
IF(CONCATENATE($A208,$B208)="CCOMP",INDEX(COMPOSICAO!$B:$B,MATCH($C208,COMPOSICAO!$A:$A,0)),""
))))))))),"*Verificar código*"))</f>
        <v>Luminária Pendente, Vintage Colonial, Cor Preto, Dimensões 17 X 10,5 X 10,5 Cm</v>
      </c>
      <c r="E208" s="143" t="str">
        <f>LOWER(IFERROR(
IF(CONCATENATE($A208,$B208)="IDER-ES",INDEX('IDER-ES'!$C:$C,MATCH($C208,'IDER-ES'!$A:$A,0)),
IF(CONCATENATE($A208,$B208)="CIOPES",INDEX('CDER-ES'!$C:$C,MATCH($C208,'CDER-ES'!$A:$A,0)),
IF(CONCATENATE($A208,$B208)="ISINAPI",INDEX(ISINAPI!$C:$C,MATCH($C208,ISINAPI!$A:$A,0)),
IF(CONCATENATE($A208,$B208)="CSINAPI",INDEX(CSINAPI!$C:$C,MATCH($C208,CSINAPI!$A:$A,0)),
IF(CONCATENATE($A208,$B208)="CCESAN",INDEX(CCESAN!$C:$C,MATCH($C208,CCESAN!$A:$A,0)),
IF(CONCATENATE($A208,$B208)="CSCORIO",INDEX(CSCORIO!$A:$A,MATCH($C208,CSCORIO!#REF!,0)),
IF(CONCATENATE($A208,$B208)="MERC",INDEX(MERCADO!$D:$D,MATCH($C208,MERCADO!$A:$A,0)),
IF(CONCATENATE($A208,$B208)="CCOMP",INDEX(COMPOSICAO!$H:$H,MATCH($C208,COMPOSICAO!$A:$A,0)),""
)))))))),""))</f>
        <v>und</v>
      </c>
      <c r="F208" s="182">
        <v>1</v>
      </c>
      <c r="G208" s="284">
        <f>(IFERROR(
IF(CONCATENATE($A208,$B208)="IDER-ES",INDEX('IDER-ES'!$D:$D,MATCH($C208,'IDER-ES'!$A:$A,0)),
IF(CONCATENATE($A208,$B208)="CIOPES",INDEX('CDER-ES'!$D:$D,MATCH($C208,'CDER-ES'!$A:$A,0)),
IF(CONCATENATE($A208,$B208)="ISINAPI",INDEX(ISINAPI!$E:$E,MATCH($C208,ISINAPI!$A:$A,0)),
IF(CONCATENATE($A208,$B208)="CSINAPI",INDEX(CSINAPI!$D:$D,MATCH($C208,CSINAPI!$A:$A,0)),
IF(CONCATENATE($A208,$B208)="CCESAN",INDEX(CCESAN!$D:$D,MATCH($C208,CCESAN!$A:$A,0)),
IF(CONCATENATE($A208,$B208)="CSCORIO",INDEX(CSCORIO!$B:$B,MATCH($C208,CSCORIO!#REF!,0)),
IF(CONCATENATE($A208,$B208)="MERC",INDEX(MERCADO!$E:$E,MATCH($C208,MERCADO!$A:$A,0)),
IF(CONCATENATE($A208,$B208)="CCOMP",INDEX(COMPOSICAO!$H:$H,MATCH($C208,COMPOSICAO!$A:$A,0)),""
)))))))),""))</f>
        <v>68.349999999999994</v>
      </c>
      <c r="H208" s="144">
        <f t="shared" ref="H208:H211" si="36">IF(B208="","",ROUND(G208*F208,2))</f>
        <v>68.349999999999994</v>
      </c>
    </row>
    <row r="209" spans="1:9" ht="25.5">
      <c r="A209" s="141" t="s">
        <v>26621</v>
      </c>
      <c r="B209" s="141" t="s">
        <v>1019</v>
      </c>
      <c r="C209" s="141">
        <v>38194</v>
      </c>
      <c r="D209" s="142" t="str">
        <f>PROPER(IFERROR(
IF(C209="","",
IF(CONCATENATE($A209,$B209)="IDER-ES",INDEX('IDER-ES'!$B:$B,MATCH($C209,'IDER-ES'!$A:$A,0)),
IF(CONCATENATE($A209,$B209)="CDER-ES",INDEX('CDER-ES'!$B:$B,MATCH($C209,'CDER-ES'!$A:$A,0)),
IF(CONCATENATE($A209,$B209)="ISINAPI",INDEX(ISINAPI!$B:$B,MATCH($C209,ISINAPI!$A:$A,0)),
IF(CONCATENATE($A209,$B209)="CSINAPI",INDEX(CSINAPI!$B:$B,MATCH($C209,CSINAPI!$A:$A,0)),
IF(CONCATENATE($A209,$B209)="CCESAN",INDEX(CCESAN!$B:$B,MATCH($C209,CCESAN!$A:$A,0)),
IF(CONCATENATE($A209,$B209)="CSCORIO",INDEX(CSCORIO!#REF!,MATCH($C209,CSCORIO!#REF!,0)),
IF(CONCATENATE($A209,$B209)="MERC",INDEX(MERCADO!$B:$B,MATCH($C209,MERCADO!$A:$A,0)),
IF(CONCATENATE($A209,$B209)="CCOMP",INDEX(COMPOSICAO!$B:$B,MATCH($C209,COMPOSICAO!$A:$A,0)),""
))))))))),"*Verificar código*"))</f>
        <v xml:space="preserve">Lampada Led 10 W Bivolt Branca, Formato Tradicional (Base E27)                                                                                                                                                                                                                                                                                                                                                                                                                                            </v>
      </c>
      <c r="E209" s="143" t="str">
        <f>LOWER(IFERROR(
IF(CONCATENATE($A209,$B209)="IDER-ES",INDEX('IDER-ES'!$C:$C,MATCH($C209,'IDER-ES'!$A:$A,0)),
IF(CONCATENATE($A209,$B209)="CIOPES",INDEX('CDER-ES'!$C:$C,MATCH($C209,'CDER-ES'!$A:$A,0)),
IF(CONCATENATE($A209,$B209)="ISINAPI",INDEX(ISINAPI!$C:$C,MATCH($C209,ISINAPI!$A:$A,0)),
IF(CONCATENATE($A209,$B209)="CSINAPI",INDEX(CSINAPI!$C:$C,MATCH($C209,CSINAPI!$A:$A,0)),
IF(CONCATENATE($A209,$B209)="CCESAN",INDEX(CCESAN!$C:$C,MATCH($C209,CCESAN!$A:$A,0)),
IF(CONCATENATE($A209,$B209)="CSCORIO",INDEX(CSCORIO!$A:$A,MATCH($C209,CSCORIO!#REF!,0)),
IF(CONCATENATE($A209,$B209)="MERC",INDEX(MERCADO!$D:$D,MATCH($C209,MERCADO!$A:$A,0)),
IF(CONCATENATE($A209,$B209)="CCOMP",INDEX(COMPOSICAO!$H:$H,MATCH($C209,COMPOSICAO!$A:$A,0)),""
)))))))),""))</f>
        <v xml:space="preserve">un    </v>
      </c>
      <c r="F209" s="182">
        <v>1</v>
      </c>
      <c r="G209" s="144">
        <f>(IFERROR(
IF(CONCATENATE($A209,$B209)="IDER-ES",INDEX('IDER-ES'!$D:$D,MATCH($C209,'IDER-ES'!$A:$A,0)),
IF(CONCATENATE($A209,$B209)="CIOPES",INDEX('CDER-ES'!$D:$D,MATCH($C209,'CDER-ES'!$A:$A,0)),
IF(CONCATENATE($A209,$B209)="ISINAPI",INDEX(ISINAPI!$E:$E,MATCH($C209,ISINAPI!$A:$A,0)),
IF(CONCATENATE($A209,$B209)="CSINAPI",INDEX(CSINAPI!$D:$D,MATCH($C209,CSINAPI!$A:$A,0)),
IF(CONCATENATE($A209,$B209)="CCESAN",INDEX(CCESAN!$D:$D,MATCH($C209,CCESAN!$A:$A,0)),
IF(CONCATENATE($A209,$B209)="CSCORIO",INDEX(CSCORIO!$B:$B,MATCH($C209,CSCORIO!#REF!,0)),
IF(CONCATENATE($A209,$B209)="MERC",INDEX(MERCADO!$E:$E,MATCH($C209,MERCADO!$A:$A,0)),
IF(CONCATENATE($A209,$B209)="CCOMP",INDEX(COMPOSICAO!$H:$H,MATCH($C209,COMPOSICAO!$A:$A,0)),""
)))))))),""))</f>
        <v>9</v>
      </c>
      <c r="H209" s="144">
        <f t="shared" si="36"/>
        <v>9</v>
      </c>
    </row>
    <row r="210" spans="1:9" ht="25.5">
      <c r="A210" s="141" t="s">
        <v>21960</v>
      </c>
      <c r="B210" s="141" t="s">
        <v>1019</v>
      </c>
      <c r="C210" s="141">
        <v>88247</v>
      </c>
      <c r="D210" s="142" t="str">
        <f>PROPER(IFERROR(
IF(C210="","",
IF(CONCATENATE($A210,$B210)="IDER-ES",INDEX('IDER-ES'!$B:$B,MATCH($C210,'IDER-ES'!$A:$A,0)),
IF(CONCATENATE($A210,$B210)="CDER-ES",INDEX('CDER-ES'!$B:$B,MATCH($C210,'CDER-ES'!$A:$A,0)),
IF(CONCATENATE($A210,$B210)="ISINAPI",INDEX(ISINAPI!$B:$B,MATCH($C210,ISINAPI!$A:$A,0)),
IF(CONCATENATE($A210,$B210)="CSINAPI",INDEX(CSINAPI!$B:$B,MATCH($C210,CSINAPI!$A:$A,0)),
IF(CONCATENATE($A210,$B210)="CCESAN",INDEX(CCESAN!$B:$B,MATCH($C210,CCESAN!$A:$A,0)),
IF(CONCATENATE($A210,$B210)="CSCORIO",INDEX(CSCORIO!#REF!,MATCH($C210,CSCORIO!#REF!,0)),
IF(CONCATENATE($A210,$B210)="MERC",INDEX(MERCADO!$B:$B,MATCH($C210,MERCADO!$A:$A,0)),
IF(CONCATENATE($A210,$B210)="CCOMP",INDEX(COMPOSICAO!$B:$B,MATCH($C210,COMPOSICAO!$A:$A,0)),""
))))))))),"*Verificar código*"))</f>
        <v>Auxiliar De Eletricista Com Encargos Complementares</v>
      </c>
      <c r="E210" s="143" t="str">
        <f>LOWER(IFERROR(
IF(CONCATENATE($A210,$B210)="IDER-ES",INDEX('IDER-ES'!$C:$C,MATCH($C210,'IDER-ES'!$A:$A,0)),
IF(CONCATENATE($A210,$B210)="CIOPES",INDEX('CDER-ES'!$C:$C,MATCH($C210,'CDER-ES'!$A:$A,0)),
IF(CONCATENATE($A210,$B210)="ISINAPI",INDEX(ISINAPI!$C:$C,MATCH($C210,ISINAPI!$A:$A,0)),
IF(CONCATENATE($A210,$B210)="CSINAPI",INDEX(CSINAPI!$C:$C,MATCH($C210,CSINAPI!$A:$A,0)),
IF(CONCATENATE($A210,$B210)="CCESAN",INDEX(CCESAN!$C:$C,MATCH($C210,CCESAN!$A:$A,0)),
IF(CONCATENATE($A210,$B210)="CSCORIO",INDEX(CSCORIO!$A:$A,MATCH($C210,CSCORIO!#REF!,0)),
IF(CONCATENATE($A210,$B210)="MERC",INDEX(MERCADO!$D:$D,MATCH($C210,MERCADO!$A:$A,0)),
IF(CONCATENATE($A210,$B210)="CCOMP",INDEX(COMPOSICAO!$H:$H,MATCH($C210,COMPOSICAO!$A:$A,0)),""
)))))))),""))</f>
        <v>h</v>
      </c>
      <c r="F210" s="182">
        <v>0.223</v>
      </c>
      <c r="G210" s="144">
        <f>(IFERROR(
IF(CONCATENATE($A210,$B210)="IDER-ES",INDEX('IDER-ES'!$D:$D,MATCH($C210,'IDER-ES'!$A:$A,0)),
IF(CONCATENATE($A210,$B210)="CIOPES",INDEX('CDER-ES'!$D:$D,MATCH($C210,'CDER-ES'!$A:$A,0)),
IF(CONCATENATE($A210,$B210)="ISINAPI",INDEX(ISINAPI!$E:$E,MATCH($C210,ISINAPI!$A:$A,0)),
IF(CONCATENATE($A210,$B210)="CSINAPI",INDEX(CSINAPI!$D:$D,MATCH($C210,CSINAPI!$A:$A,0)),
IF(CONCATENATE($A210,$B210)="CCESAN",INDEX(CCESAN!$D:$D,MATCH($C210,CCESAN!$A:$A,0)),
IF(CONCATENATE($A210,$B210)="CSCORIO",INDEX(CSCORIO!$B:$B,MATCH($C210,CSCORIO!#REF!,0)),
IF(CONCATENATE($A210,$B210)="MERC",INDEX(MERCADO!$E:$E,MATCH($C210,MERCADO!$A:$A,0)),
IF(CONCATENATE($A210,$B210)="CCOMP",INDEX(COMPOSICAO!$H:$H,MATCH($C210,COMPOSICAO!$A:$A,0)),""
)))))))),""))</f>
        <v>20.65</v>
      </c>
      <c r="H210" s="144">
        <f t="shared" si="36"/>
        <v>4.5999999999999996</v>
      </c>
    </row>
    <row r="211" spans="1:9" ht="25.5">
      <c r="A211" s="141" t="s">
        <v>21960</v>
      </c>
      <c r="B211" s="141" t="s">
        <v>1019</v>
      </c>
      <c r="C211" s="141">
        <v>88264</v>
      </c>
      <c r="D211" s="142" t="str">
        <f>PROPER(IFERROR(
IF(C211="","",
IF(CONCATENATE($A211,$B211)="IDER-ES",INDEX('IDER-ES'!$B:$B,MATCH($C211,'IDER-ES'!$A:$A,0)),
IF(CONCATENATE($A211,$B211)="CDER-ES",INDEX('CDER-ES'!$B:$B,MATCH($C211,'CDER-ES'!$A:$A,0)),
IF(CONCATENATE($A211,$B211)="ISINAPI",INDEX(ISINAPI!$B:$B,MATCH($C211,ISINAPI!$A:$A,0)),
IF(CONCATENATE($A211,$B211)="CSINAPI",INDEX(CSINAPI!$B:$B,MATCH($C211,CSINAPI!$A:$A,0)),
IF(CONCATENATE($A211,$B211)="CCESAN",INDEX(CCESAN!$B:$B,MATCH($C211,CCESAN!$A:$A,0)),
IF(CONCATENATE($A211,$B211)="CSCORIO",INDEX(CSCORIO!#REF!,MATCH($C211,CSCORIO!#REF!,0)),
IF(CONCATENATE($A211,$B211)="MERC",INDEX(MERCADO!$B:$B,MATCH($C211,MERCADO!$A:$A,0)),
IF(CONCATENATE($A211,$B211)="CCOMP",INDEX(COMPOSICAO!$B:$B,MATCH($C211,COMPOSICAO!$A:$A,0)),""
))))))))),"*Verificar código*"))</f>
        <v>Eletricista Com Encargos Complementares</v>
      </c>
      <c r="E211" s="143" t="str">
        <f>LOWER(IFERROR(
IF(CONCATENATE($A211,$B211)="IDER-ES",INDEX('IDER-ES'!$C:$C,MATCH($C211,'IDER-ES'!$A:$A,0)),
IF(CONCATENATE($A211,$B211)="CIOPES",INDEX('CDER-ES'!$C:$C,MATCH($C211,'CDER-ES'!$A:$A,0)),
IF(CONCATENATE($A211,$B211)="ISINAPI",INDEX(ISINAPI!$C:$C,MATCH($C211,ISINAPI!$A:$A,0)),
IF(CONCATENATE($A211,$B211)="CSINAPI",INDEX(CSINAPI!$C:$C,MATCH($C211,CSINAPI!$A:$A,0)),
IF(CONCATENATE($A211,$B211)="CCESAN",INDEX(CCESAN!$C:$C,MATCH($C211,CCESAN!$A:$A,0)),
IF(CONCATENATE($A211,$B211)="CSCORIO",INDEX(CSCORIO!$A:$A,MATCH($C211,CSCORIO!#REF!,0)),
IF(CONCATENATE($A211,$B211)="MERC",INDEX(MERCADO!$D:$D,MATCH($C211,MERCADO!$A:$A,0)),
IF(CONCATENATE($A211,$B211)="CCOMP",INDEX(COMPOSICAO!$H:$H,MATCH($C211,COMPOSICAO!$A:$A,0)),""
)))))))),""))</f>
        <v>h</v>
      </c>
      <c r="F211" s="182">
        <v>0.53600000000000003</v>
      </c>
      <c r="G211" s="144">
        <f>(IFERROR(
IF(CONCATENATE($A211,$B211)="IDER-ES",INDEX('IDER-ES'!$D:$D,MATCH($C211,'IDER-ES'!$A:$A,0)),
IF(CONCATENATE($A211,$B211)="CIOPES",INDEX('CDER-ES'!$D:$D,MATCH($C211,'CDER-ES'!$A:$A,0)),
IF(CONCATENATE($A211,$B211)="ISINAPI",INDEX(ISINAPI!$E:$E,MATCH($C211,ISINAPI!$A:$A,0)),
IF(CONCATENATE($A211,$B211)="CSINAPI",INDEX(CSINAPI!$D:$D,MATCH($C211,CSINAPI!$A:$A,0)),
IF(CONCATENATE($A211,$B211)="CCESAN",INDEX(CCESAN!$D:$D,MATCH($C211,CCESAN!$A:$A,0)),
IF(CONCATENATE($A211,$B211)="CSCORIO",INDEX(CSCORIO!$B:$B,MATCH($C211,CSCORIO!#REF!,0)),
IF(CONCATENATE($A211,$B211)="MERC",INDEX(MERCADO!$E:$E,MATCH($C211,MERCADO!$A:$A,0)),
IF(CONCATENATE($A211,$B211)="CCOMP",INDEX(COMPOSICAO!$H:$H,MATCH($C211,COMPOSICAO!$A:$A,0)),""
)))))))),""))</f>
        <v>26.73</v>
      </c>
      <c r="H211" s="144">
        <f t="shared" si="36"/>
        <v>14.33</v>
      </c>
    </row>
    <row r="213" spans="1:9" s="135" customFormat="1" ht="20.100000000000001" customHeight="1">
      <c r="A213" s="186" t="s">
        <v>1020</v>
      </c>
      <c r="B213" s="405" t="s">
        <v>1022</v>
      </c>
      <c r="C213" s="406"/>
      <c r="D213" s="406"/>
      <c r="E213" s="406"/>
      <c r="F213" s="407"/>
      <c r="G213" s="133" t="s">
        <v>19692</v>
      </c>
      <c r="H213" s="134" t="s">
        <v>19678</v>
      </c>
      <c r="I213" s="263"/>
    </row>
    <row r="214" spans="1:9" ht="15" customHeight="1">
      <c r="A214" s="136">
        <f>COUNTIF($A$4:$A213,$A$4)</f>
        <v>20</v>
      </c>
      <c r="B214" s="408" t="s">
        <v>29035</v>
      </c>
      <c r="C214" s="409"/>
      <c r="D214" s="409"/>
      <c r="E214" s="409"/>
      <c r="F214" s="410"/>
      <c r="G214" s="137" t="s">
        <v>19692</v>
      </c>
      <c r="H214" s="211">
        <f>SUM(H216:H218)</f>
        <v>78.210000000000008</v>
      </c>
    </row>
    <row r="215" spans="1:9" ht="30" customHeight="1">
      <c r="A215" s="139" t="s">
        <v>1026</v>
      </c>
      <c r="B215" s="139" t="s">
        <v>1027</v>
      </c>
      <c r="C215" s="139" t="s">
        <v>31</v>
      </c>
      <c r="D215" s="139" t="s">
        <v>1023</v>
      </c>
      <c r="E215" s="139" t="s">
        <v>32</v>
      </c>
      <c r="F215" s="183" t="s">
        <v>2343</v>
      </c>
      <c r="G215" s="140" t="s">
        <v>19676</v>
      </c>
      <c r="H215" s="140" t="s">
        <v>19677</v>
      </c>
    </row>
    <row r="216" spans="1:9" ht="25.5">
      <c r="A216" s="141"/>
      <c r="B216" s="141" t="s">
        <v>1021</v>
      </c>
      <c r="C216" s="141">
        <v>7</v>
      </c>
      <c r="D216" s="142" t="str">
        <f>PROPER(IFERROR(
IF(C216="","",
IF(CONCATENATE($A216,$B216)="IDER-ES",INDEX('IDER-ES'!$B:$B,MATCH($C216,'IDER-ES'!$A:$A,0)),
IF(CONCATENATE($A216,$B216)="CDER-ES",INDEX('CDER-ES'!$B:$B,MATCH($C216,'CDER-ES'!$A:$A,0)),
IF(CONCATENATE($A216,$B216)="ISINAPI",INDEX(ISINAPI!$B:$B,MATCH($C216,ISINAPI!$A:$A,0)),
IF(CONCATENATE($A216,$B216)="CSINAPI",INDEX(CSINAPI!$B:$B,MATCH($C216,CSINAPI!$A:$A,0)),
IF(CONCATENATE($A216,$B216)="CCESAN",INDEX(CCESAN!$B:$B,MATCH($C216,CCESAN!$A:$A,0)),
IF(CONCATENATE($A216,$B216)="CSCORIO",INDEX(CSCORIO!#REF!,MATCH($C216,CSCORIO!#REF!,0)),
IF(CONCATENATE($A216,$B216)="MERC",INDEX(MERCADO!$B:$B,MATCH($C216,MERCADO!$A:$A,0)),
IF(CONCATENATE($A216,$B216)="CCOMP",INDEX(COMPOSICAO!$B:$B,MATCH($C216,COMPOSICAO!$A:$A,0)),""
))))))))),"*Verificar código*"))</f>
        <v>Plafon De Led Sobrepor Quadrado 24 W 6500K</v>
      </c>
      <c r="E216" s="143" t="str">
        <f>LOWER(IFERROR(
IF(CONCATENATE($A216,$B216)="IDER-ES",INDEX('IDER-ES'!$C:$C,MATCH($C216,'IDER-ES'!$A:$A,0)),
IF(CONCATENATE($A216,$B216)="CIOPES",INDEX('CDER-ES'!$C:$C,MATCH($C216,'CDER-ES'!$A:$A,0)),
IF(CONCATENATE($A216,$B216)="ISINAPI",INDEX(ISINAPI!$C:$C,MATCH($C216,ISINAPI!$A:$A,0)),
IF(CONCATENATE($A216,$B216)="CSINAPI",INDEX(CSINAPI!$C:$C,MATCH($C216,CSINAPI!$A:$A,0)),
IF(CONCATENATE($A216,$B216)="CCESAN",INDEX(CCESAN!$C:$C,MATCH($C216,CCESAN!$A:$A,0)),
IF(CONCATENATE($A216,$B216)="CSCORIO",INDEX(CSCORIO!$A:$A,MATCH($C216,CSCORIO!#REF!,0)),
IF(CONCATENATE($A216,$B216)="MERC",INDEX(MERCADO!$D:$D,MATCH($C216,MERCADO!$A:$A,0)),
IF(CONCATENATE($A216,$B216)="CCOMP",INDEX(COMPOSICAO!$H:$H,MATCH($C216,COMPOSICAO!$A:$A,0)),""
)))))))),""))</f>
        <v>und</v>
      </c>
      <c r="F216" s="182">
        <v>1</v>
      </c>
      <c r="G216" s="284">
        <f>(IFERROR(
IF(CONCATENATE($A216,$B216)="IDER-ES",INDEX('IDER-ES'!$D:$D,MATCH($C216,'IDER-ES'!$A:$A,0)),
IF(CONCATENATE($A216,$B216)="CIOPES",INDEX('CDER-ES'!$D:$D,MATCH($C216,'CDER-ES'!$A:$A,0)),
IF(CONCATENATE($A216,$B216)="ISINAPI",INDEX(ISINAPI!$E:$E,MATCH($C216,ISINAPI!$A:$A,0)),
IF(CONCATENATE($A216,$B216)="CSINAPI",INDEX(CSINAPI!$D:$D,MATCH($C216,CSINAPI!$A:$A,0)),
IF(CONCATENATE($A216,$B216)="CCESAN",INDEX(CCESAN!$D:$D,MATCH($C216,CCESAN!$A:$A,0)),
IF(CONCATENATE($A216,$B216)="CSCORIO",INDEX(CSCORIO!$B:$B,MATCH($C216,CSCORIO!#REF!,0)),
IF(CONCATENATE($A216,$B216)="MERC",INDEX(MERCADO!$E:$E,MATCH($C216,MERCADO!$A:$A,0)),
IF(CONCATENATE($A216,$B216)="CCOMP",INDEX(COMPOSICAO!$H:$H,MATCH($C216,COMPOSICAO!$A:$A,0)),""
)))))))),""))</f>
        <v>59.5</v>
      </c>
      <c r="H216" s="144">
        <f t="shared" ref="H216:H218" si="37">IF(B216="","",ROUND(G216*F216,2))</f>
        <v>59.5</v>
      </c>
    </row>
    <row r="217" spans="1:9" ht="25.5">
      <c r="A217" s="141" t="s">
        <v>21960</v>
      </c>
      <c r="B217" s="141" t="s">
        <v>1019</v>
      </c>
      <c r="C217" s="141">
        <v>88247</v>
      </c>
      <c r="D217" s="142" t="str">
        <f>PROPER(IFERROR(
IF(C217="","",
IF(CONCATENATE($A217,$B217)="IDER-ES",INDEX('IDER-ES'!$B:$B,MATCH($C217,'IDER-ES'!$A:$A,0)),
IF(CONCATENATE($A217,$B217)="CDER-ES",INDEX('CDER-ES'!$B:$B,MATCH($C217,'CDER-ES'!$A:$A,0)),
IF(CONCATENATE($A217,$B217)="ISINAPI",INDEX(ISINAPI!$B:$B,MATCH($C217,ISINAPI!$A:$A,0)),
IF(CONCATENATE($A217,$B217)="CSINAPI",INDEX(CSINAPI!$B:$B,MATCH($C217,CSINAPI!$A:$A,0)),
IF(CONCATENATE($A217,$B217)="CCESAN",INDEX(CCESAN!$B:$B,MATCH($C217,CCESAN!$A:$A,0)),
IF(CONCATENATE($A217,$B217)="CSCORIO",INDEX(CSCORIO!#REF!,MATCH($C217,CSCORIO!#REF!,0)),
IF(CONCATENATE($A217,$B217)="MERC",INDEX(MERCADO!$B:$B,MATCH($C217,MERCADO!$A:$A,0)),
IF(CONCATENATE($A217,$B217)="CCOMP",INDEX(COMPOSICAO!$B:$B,MATCH($C217,COMPOSICAO!$A:$A,0)),""
))))))))),"*Verificar código*"))</f>
        <v>Auxiliar De Eletricista Com Encargos Complementares</v>
      </c>
      <c r="E217" s="143" t="str">
        <f>LOWER(IFERROR(
IF(CONCATENATE($A217,$B217)="IDER-ES",INDEX('IDER-ES'!$C:$C,MATCH($C217,'IDER-ES'!$A:$A,0)),
IF(CONCATENATE($A217,$B217)="CIOPES",INDEX('CDER-ES'!$C:$C,MATCH($C217,'CDER-ES'!$A:$A,0)),
IF(CONCATENATE($A217,$B217)="ISINAPI",INDEX(ISINAPI!$C:$C,MATCH($C217,ISINAPI!$A:$A,0)),
IF(CONCATENATE($A217,$B217)="CSINAPI",INDEX(CSINAPI!$C:$C,MATCH($C217,CSINAPI!$A:$A,0)),
IF(CONCATENATE($A217,$B217)="CCESAN",INDEX(CCESAN!$C:$C,MATCH($C217,CCESAN!$A:$A,0)),
IF(CONCATENATE($A217,$B217)="CSCORIO",INDEX(CSCORIO!$A:$A,MATCH($C217,CSCORIO!#REF!,0)),
IF(CONCATENATE($A217,$B217)="MERC",INDEX(MERCADO!$D:$D,MATCH($C217,MERCADO!$A:$A,0)),
IF(CONCATENATE($A217,$B217)="CCOMP",INDEX(COMPOSICAO!$H:$H,MATCH($C217,COMPOSICAO!$A:$A,0)),""
)))))))),""))</f>
        <v>h</v>
      </c>
      <c r="F217" s="182">
        <v>0.22</v>
      </c>
      <c r="G217" s="144">
        <f>(IFERROR(
IF(CONCATENATE($A217,$B217)="IDER-ES",INDEX('IDER-ES'!$D:$D,MATCH($C217,'IDER-ES'!$A:$A,0)),
IF(CONCATENATE($A217,$B217)="CIOPES",INDEX('CDER-ES'!$D:$D,MATCH($C217,'CDER-ES'!$A:$A,0)),
IF(CONCATENATE($A217,$B217)="ISINAPI",INDEX(ISINAPI!$E:$E,MATCH($C217,ISINAPI!$A:$A,0)),
IF(CONCATENATE($A217,$B217)="CSINAPI",INDEX(CSINAPI!$D:$D,MATCH($C217,CSINAPI!$A:$A,0)),
IF(CONCATENATE($A217,$B217)="CCESAN",INDEX(CCESAN!$D:$D,MATCH($C217,CCESAN!$A:$A,0)),
IF(CONCATENATE($A217,$B217)="CSCORIO",INDEX(CSCORIO!$B:$B,MATCH($C217,CSCORIO!#REF!,0)),
IF(CONCATENATE($A217,$B217)="MERC",INDEX(MERCADO!$E:$E,MATCH($C217,MERCADO!$A:$A,0)),
IF(CONCATENATE($A217,$B217)="CCOMP",INDEX(COMPOSICAO!$H:$H,MATCH($C217,COMPOSICAO!$A:$A,0)),""
)))))))),""))</f>
        <v>20.65</v>
      </c>
      <c r="H217" s="144">
        <f t="shared" si="37"/>
        <v>4.54</v>
      </c>
    </row>
    <row r="218" spans="1:9" ht="25.5">
      <c r="A218" s="141" t="s">
        <v>21960</v>
      </c>
      <c r="B218" s="141" t="s">
        <v>1019</v>
      </c>
      <c r="C218" s="141">
        <v>88264</v>
      </c>
      <c r="D218" s="142" t="str">
        <f>PROPER(IFERROR(
IF(C218="","",
IF(CONCATENATE($A218,$B218)="IDER-ES",INDEX('IDER-ES'!$B:$B,MATCH($C218,'IDER-ES'!$A:$A,0)),
IF(CONCATENATE($A218,$B218)="CDER-ES",INDEX('CDER-ES'!$B:$B,MATCH($C218,'CDER-ES'!$A:$A,0)),
IF(CONCATENATE($A218,$B218)="ISINAPI",INDEX(ISINAPI!$B:$B,MATCH($C218,ISINAPI!$A:$A,0)),
IF(CONCATENATE($A218,$B218)="CSINAPI",INDEX(CSINAPI!$B:$B,MATCH($C218,CSINAPI!$A:$A,0)),
IF(CONCATENATE($A218,$B218)="CCESAN",INDEX(CCESAN!$B:$B,MATCH($C218,CCESAN!$A:$A,0)),
IF(CONCATENATE($A218,$B218)="CSCORIO",INDEX(CSCORIO!#REF!,MATCH($C218,CSCORIO!#REF!,0)),
IF(CONCATENATE($A218,$B218)="MERC",INDEX(MERCADO!$B:$B,MATCH($C218,MERCADO!$A:$A,0)),
IF(CONCATENATE($A218,$B218)="CCOMP",INDEX(COMPOSICAO!$B:$B,MATCH($C218,COMPOSICAO!$A:$A,0)),""
))))))))),"*Verificar código*"))</f>
        <v>Eletricista Com Encargos Complementares</v>
      </c>
      <c r="E218" s="143" t="str">
        <f>LOWER(IFERROR(
IF(CONCATENATE($A218,$B218)="IDER-ES",INDEX('IDER-ES'!$C:$C,MATCH($C218,'IDER-ES'!$A:$A,0)),
IF(CONCATENATE($A218,$B218)="CIOPES",INDEX('CDER-ES'!$C:$C,MATCH($C218,'CDER-ES'!$A:$A,0)),
IF(CONCATENATE($A218,$B218)="ISINAPI",INDEX(ISINAPI!$C:$C,MATCH($C218,ISINAPI!$A:$A,0)),
IF(CONCATENATE($A218,$B218)="CSINAPI",INDEX(CSINAPI!$C:$C,MATCH($C218,CSINAPI!$A:$A,0)),
IF(CONCATENATE($A218,$B218)="CCESAN",INDEX(CCESAN!$C:$C,MATCH($C218,CCESAN!$A:$A,0)),
IF(CONCATENATE($A218,$B218)="CSCORIO",INDEX(CSCORIO!$A:$A,MATCH($C218,CSCORIO!#REF!,0)),
IF(CONCATENATE($A218,$B218)="MERC",INDEX(MERCADO!$D:$D,MATCH($C218,MERCADO!$A:$A,0)),
IF(CONCATENATE($A218,$B218)="CCOMP",INDEX(COMPOSICAO!$H:$H,MATCH($C218,COMPOSICAO!$A:$A,0)),""
)))))))),""))</f>
        <v>h</v>
      </c>
      <c r="F218" s="182">
        <v>0.53</v>
      </c>
      <c r="G218" s="144">
        <f>(IFERROR(
IF(CONCATENATE($A218,$B218)="IDER-ES",INDEX('IDER-ES'!$D:$D,MATCH($C218,'IDER-ES'!$A:$A,0)),
IF(CONCATENATE($A218,$B218)="CIOPES",INDEX('CDER-ES'!$D:$D,MATCH($C218,'CDER-ES'!$A:$A,0)),
IF(CONCATENATE($A218,$B218)="ISINAPI",INDEX(ISINAPI!$E:$E,MATCH($C218,ISINAPI!$A:$A,0)),
IF(CONCATENATE($A218,$B218)="CSINAPI",INDEX(CSINAPI!$D:$D,MATCH($C218,CSINAPI!$A:$A,0)),
IF(CONCATENATE($A218,$B218)="CCESAN",INDEX(CCESAN!$D:$D,MATCH($C218,CCESAN!$A:$A,0)),
IF(CONCATENATE($A218,$B218)="CSCORIO",INDEX(CSCORIO!$B:$B,MATCH($C218,CSCORIO!#REF!,0)),
IF(CONCATENATE($A218,$B218)="MERC",INDEX(MERCADO!$E:$E,MATCH($C218,MERCADO!$A:$A,0)),
IF(CONCATENATE($A218,$B218)="CCOMP",INDEX(COMPOSICAO!$H:$H,MATCH($C218,COMPOSICAO!$A:$A,0)),""
)))))))),""))</f>
        <v>26.73</v>
      </c>
      <c r="H218" s="144">
        <f t="shared" si="37"/>
        <v>14.17</v>
      </c>
    </row>
    <row r="220" spans="1:9" s="135" customFormat="1" ht="20.100000000000001" customHeight="1">
      <c r="A220" s="186" t="s">
        <v>1020</v>
      </c>
      <c r="B220" s="405" t="s">
        <v>1022</v>
      </c>
      <c r="C220" s="406"/>
      <c r="D220" s="406"/>
      <c r="E220" s="406"/>
      <c r="F220" s="407"/>
      <c r="G220" s="133" t="s">
        <v>19692</v>
      </c>
      <c r="H220" s="134" t="s">
        <v>19678</v>
      </c>
      <c r="I220" s="263"/>
    </row>
    <row r="221" spans="1:9" ht="30" customHeight="1">
      <c r="A221" s="136">
        <f>COUNTIF($A$4:$A220,$A$4)</f>
        <v>21</v>
      </c>
      <c r="B221" s="408" t="s">
        <v>29018</v>
      </c>
      <c r="C221" s="409"/>
      <c r="D221" s="409"/>
      <c r="E221" s="409"/>
      <c r="F221" s="410"/>
      <c r="G221" s="137" t="s">
        <v>19692</v>
      </c>
      <c r="H221" s="211">
        <f>SUM(H223:H225)</f>
        <v>551.07999999999993</v>
      </c>
    </row>
    <row r="222" spans="1:9" ht="30" customHeight="1">
      <c r="A222" s="139" t="s">
        <v>1026</v>
      </c>
      <c r="B222" s="139" t="s">
        <v>1027</v>
      </c>
      <c r="C222" s="139" t="s">
        <v>31</v>
      </c>
      <c r="D222" s="139" t="s">
        <v>1023</v>
      </c>
      <c r="E222" s="139" t="s">
        <v>32</v>
      </c>
      <c r="F222" s="183" t="s">
        <v>2343</v>
      </c>
      <c r="G222" s="140" t="s">
        <v>19676</v>
      </c>
      <c r="H222" s="140" t="s">
        <v>19677</v>
      </c>
    </row>
    <row r="223" spans="1:9" ht="25.5">
      <c r="A223" s="141"/>
      <c r="B223" s="141" t="s">
        <v>1021</v>
      </c>
      <c r="C223" s="141">
        <v>6</v>
      </c>
      <c r="D223" s="142" t="str">
        <f>PROPER(IFERROR(
IF(C223="","",
IF(CONCATENATE($A223,$B223)="IDER-ES",INDEX('IDER-ES'!$B:$B,MATCH($C223,'IDER-ES'!$A:$A,0)),
IF(CONCATENATE($A223,$B223)="CDER-ES",INDEX('CDER-ES'!$B:$B,MATCH($C223,'CDER-ES'!$A:$A,0)),
IF(CONCATENATE($A223,$B223)="ISINAPI",INDEX(ISINAPI!$B:$B,MATCH($C223,ISINAPI!$A:$A,0)),
IF(CONCATENATE($A223,$B223)="CSINAPI",INDEX(CSINAPI!$B:$B,MATCH($C223,CSINAPI!$A:$A,0)),
IF(CONCATENATE($A223,$B223)="CCESAN",INDEX(CCESAN!$B:$B,MATCH($C223,CCESAN!$A:$A,0)),
IF(CONCATENATE($A223,$B223)="CSCORIO",INDEX(CSCORIO!#REF!,MATCH($C223,CSCORIO!#REF!,0)),
IF(CONCATENATE($A223,$B223)="MERC",INDEX(MERCADO!$B:$B,MATCH($C223,MERCADO!$A:$A,0)),
IF(CONCATENATE($A223,$B223)="CCOMP",INDEX(COMPOSICAO!$B:$B,MATCH($C223,COMPOSICAO!$A:$A,0)),""
))))))))),"*Verificar código*"))</f>
        <v>Luminária De Embutir Piso, Led 30 W, Ip67, Bivolt, Dn 100 X 150 Mm - Preto</v>
      </c>
      <c r="E223" s="143" t="str">
        <f>LOWER(IFERROR(
IF(CONCATENATE($A223,$B223)="IDER-ES",INDEX('IDER-ES'!$C:$C,MATCH($C223,'IDER-ES'!$A:$A,0)),
IF(CONCATENATE($A223,$B223)="CIOPES",INDEX('CDER-ES'!$C:$C,MATCH($C223,'CDER-ES'!$A:$A,0)),
IF(CONCATENATE($A223,$B223)="ISINAPI",INDEX(ISINAPI!$C:$C,MATCH($C223,ISINAPI!$A:$A,0)),
IF(CONCATENATE($A223,$B223)="CSINAPI",INDEX(CSINAPI!$C:$C,MATCH($C223,CSINAPI!$A:$A,0)),
IF(CONCATENATE($A223,$B223)="CCESAN",INDEX(CCESAN!$C:$C,MATCH($C223,CCESAN!$A:$A,0)),
IF(CONCATENATE($A223,$B223)="CSCORIO",INDEX(CSCORIO!$A:$A,MATCH($C223,CSCORIO!#REF!,0)),
IF(CONCATENATE($A223,$B223)="MERC",INDEX(MERCADO!$D:$D,MATCH($C223,MERCADO!$A:$A,0)),
IF(CONCATENATE($A223,$B223)="CCOMP",INDEX(COMPOSICAO!$H:$H,MATCH($C223,COMPOSICAO!$A:$A,0)),""
)))))))),""))</f>
        <v>und</v>
      </c>
      <c r="F223" s="182">
        <v>1</v>
      </c>
      <c r="G223" s="284">
        <f>(IFERROR(
IF(CONCATENATE($A223,$B223)="IDER-ES",INDEX('IDER-ES'!$D:$D,MATCH($C223,'IDER-ES'!$A:$A,0)),
IF(CONCATENATE($A223,$B223)="CIOPES",INDEX('CDER-ES'!$D:$D,MATCH($C223,'CDER-ES'!$A:$A,0)),
IF(CONCATENATE($A223,$B223)="ISINAPI",INDEX(ISINAPI!$E:$E,MATCH($C223,ISINAPI!$A:$A,0)),
IF(CONCATENATE($A223,$B223)="CSINAPI",INDEX(CSINAPI!$D:$D,MATCH($C223,CSINAPI!$A:$A,0)),
IF(CONCATENATE($A223,$B223)="CCESAN",INDEX(CCESAN!$D:$D,MATCH($C223,CCESAN!$A:$A,0)),
IF(CONCATENATE($A223,$B223)="CSCORIO",INDEX(CSCORIO!$B:$B,MATCH($C223,CSCORIO!#REF!,0)),
IF(CONCATENATE($A223,$B223)="MERC",INDEX(MERCADO!$E:$E,MATCH($C223,MERCADO!$A:$A,0)),
IF(CONCATENATE($A223,$B223)="CCOMP",INDEX(COMPOSICAO!$H:$H,MATCH($C223,COMPOSICAO!$A:$A,0)),""
)))))))),""))</f>
        <v>513.17999999999995</v>
      </c>
      <c r="H223" s="144">
        <f t="shared" ref="H223:H225" si="38">IF(B223="","",ROUND(G223*F223,2))</f>
        <v>513.17999999999995</v>
      </c>
    </row>
    <row r="224" spans="1:9" ht="25.5">
      <c r="A224" s="141" t="s">
        <v>21960</v>
      </c>
      <c r="B224" s="141" t="s">
        <v>1019</v>
      </c>
      <c r="C224" s="141">
        <v>88247</v>
      </c>
      <c r="D224" s="142" t="str">
        <f>PROPER(IFERROR(
IF(C224="","",
IF(CONCATENATE($A224,$B224)="IDER-ES",INDEX('IDER-ES'!$B:$B,MATCH($C224,'IDER-ES'!$A:$A,0)),
IF(CONCATENATE($A224,$B224)="CDER-ES",INDEX('CDER-ES'!$B:$B,MATCH($C224,'CDER-ES'!$A:$A,0)),
IF(CONCATENATE($A224,$B224)="ISINAPI",INDEX(ISINAPI!$B:$B,MATCH($C224,ISINAPI!$A:$A,0)),
IF(CONCATENATE($A224,$B224)="CSINAPI",INDEX(CSINAPI!$B:$B,MATCH($C224,CSINAPI!$A:$A,0)),
IF(CONCATENATE($A224,$B224)="CCESAN",INDEX(CCESAN!$B:$B,MATCH($C224,CCESAN!$A:$A,0)),
IF(CONCATENATE($A224,$B224)="CSCORIO",INDEX(CSCORIO!#REF!,MATCH($C224,CSCORIO!#REF!,0)),
IF(CONCATENATE($A224,$B224)="MERC",INDEX(MERCADO!$B:$B,MATCH($C224,MERCADO!$A:$A,0)),
IF(CONCATENATE($A224,$B224)="CCOMP",INDEX(COMPOSICAO!$B:$B,MATCH($C224,COMPOSICAO!$A:$A,0)),""
))))))))),"*Verificar código*"))</f>
        <v>Auxiliar De Eletricista Com Encargos Complementares</v>
      </c>
      <c r="E224" s="143" t="str">
        <f>LOWER(IFERROR(
IF(CONCATENATE($A224,$B224)="IDER-ES",INDEX('IDER-ES'!$C:$C,MATCH($C224,'IDER-ES'!$A:$A,0)),
IF(CONCATENATE($A224,$B224)="CIOPES",INDEX('CDER-ES'!$C:$C,MATCH($C224,'CDER-ES'!$A:$A,0)),
IF(CONCATENATE($A224,$B224)="ISINAPI",INDEX(ISINAPI!$C:$C,MATCH($C224,ISINAPI!$A:$A,0)),
IF(CONCATENATE($A224,$B224)="CSINAPI",INDEX(CSINAPI!$C:$C,MATCH($C224,CSINAPI!$A:$A,0)),
IF(CONCATENATE($A224,$B224)="CCESAN",INDEX(CCESAN!$C:$C,MATCH($C224,CCESAN!$A:$A,0)),
IF(CONCATENATE($A224,$B224)="CSCORIO",INDEX(CSCORIO!$A:$A,MATCH($C224,CSCORIO!#REF!,0)),
IF(CONCATENATE($A224,$B224)="MERC",INDEX(MERCADO!$D:$D,MATCH($C224,MERCADO!$A:$A,0)),
IF(CONCATENATE($A224,$B224)="CCOMP",INDEX(COMPOSICAO!$H:$H,MATCH($C224,COMPOSICAO!$A:$A,0)),""
)))))))),""))</f>
        <v>h</v>
      </c>
      <c r="F224" s="182">
        <v>0.8</v>
      </c>
      <c r="G224" s="144">
        <f>(IFERROR(
IF(CONCATENATE($A224,$B224)="IDER-ES",INDEX('IDER-ES'!$D:$D,MATCH($C224,'IDER-ES'!$A:$A,0)),
IF(CONCATENATE($A224,$B224)="CIOPES",INDEX('CDER-ES'!$D:$D,MATCH($C224,'CDER-ES'!$A:$A,0)),
IF(CONCATENATE($A224,$B224)="ISINAPI",INDEX(ISINAPI!$E:$E,MATCH($C224,ISINAPI!$A:$A,0)),
IF(CONCATENATE($A224,$B224)="CSINAPI",INDEX(CSINAPI!$D:$D,MATCH($C224,CSINAPI!$A:$A,0)),
IF(CONCATENATE($A224,$B224)="CCESAN",INDEX(CCESAN!$D:$D,MATCH($C224,CCESAN!$A:$A,0)),
IF(CONCATENATE($A224,$B224)="CSCORIO",INDEX(CSCORIO!$B:$B,MATCH($C224,CSCORIO!#REF!,0)),
IF(CONCATENATE($A224,$B224)="MERC",INDEX(MERCADO!$E:$E,MATCH($C224,MERCADO!$A:$A,0)),
IF(CONCATENATE($A224,$B224)="CCOMP",INDEX(COMPOSICAO!$H:$H,MATCH($C224,COMPOSICAO!$A:$A,0)),""
)))))))),""))</f>
        <v>20.65</v>
      </c>
      <c r="H224" s="144">
        <f t="shared" si="38"/>
        <v>16.52</v>
      </c>
    </row>
    <row r="225" spans="1:11" ht="25.5">
      <c r="A225" s="141" t="s">
        <v>21960</v>
      </c>
      <c r="B225" s="141" t="s">
        <v>1019</v>
      </c>
      <c r="C225" s="141">
        <v>88264</v>
      </c>
      <c r="D225" s="142" t="str">
        <f>PROPER(IFERROR(
IF(C225="","",
IF(CONCATENATE($A225,$B225)="IDER-ES",INDEX('IDER-ES'!$B:$B,MATCH($C225,'IDER-ES'!$A:$A,0)),
IF(CONCATENATE($A225,$B225)="CDER-ES",INDEX('CDER-ES'!$B:$B,MATCH($C225,'CDER-ES'!$A:$A,0)),
IF(CONCATENATE($A225,$B225)="ISINAPI",INDEX(ISINAPI!$B:$B,MATCH($C225,ISINAPI!$A:$A,0)),
IF(CONCATENATE($A225,$B225)="CSINAPI",INDEX(CSINAPI!$B:$B,MATCH($C225,CSINAPI!$A:$A,0)),
IF(CONCATENATE($A225,$B225)="CCESAN",INDEX(CCESAN!$B:$B,MATCH($C225,CCESAN!$A:$A,0)),
IF(CONCATENATE($A225,$B225)="CSCORIO",INDEX(CSCORIO!#REF!,MATCH($C225,CSCORIO!#REF!,0)),
IF(CONCATENATE($A225,$B225)="MERC",INDEX(MERCADO!$B:$B,MATCH($C225,MERCADO!$A:$A,0)),
IF(CONCATENATE($A225,$B225)="CCOMP",INDEX(COMPOSICAO!$B:$B,MATCH($C225,COMPOSICAO!$A:$A,0)),""
))))))))),"*Verificar código*"))</f>
        <v>Eletricista Com Encargos Complementares</v>
      </c>
      <c r="E225" s="143" t="str">
        <f>LOWER(IFERROR(
IF(CONCATENATE($A225,$B225)="IDER-ES",INDEX('IDER-ES'!$C:$C,MATCH($C225,'IDER-ES'!$A:$A,0)),
IF(CONCATENATE($A225,$B225)="CIOPES",INDEX('CDER-ES'!$C:$C,MATCH($C225,'CDER-ES'!$A:$A,0)),
IF(CONCATENATE($A225,$B225)="ISINAPI",INDEX(ISINAPI!$C:$C,MATCH($C225,ISINAPI!$A:$A,0)),
IF(CONCATENATE($A225,$B225)="CSINAPI",INDEX(CSINAPI!$C:$C,MATCH($C225,CSINAPI!$A:$A,0)),
IF(CONCATENATE($A225,$B225)="CCESAN",INDEX(CCESAN!$C:$C,MATCH($C225,CCESAN!$A:$A,0)),
IF(CONCATENATE($A225,$B225)="CSCORIO",INDEX(CSCORIO!$A:$A,MATCH($C225,CSCORIO!#REF!,0)),
IF(CONCATENATE($A225,$B225)="MERC",INDEX(MERCADO!$D:$D,MATCH($C225,MERCADO!$A:$A,0)),
IF(CONCATENATE($A225,$B225)="CCOMP",INDEX(COMPOSICAO!$H:$H,MATCH($C225,COMPOSICAO!$A:$A,0)),""
)))))))),""))</f>
        <v>h</v>
      </c>
      <c r="F225" s="182">
        <v>0.8</v>
      </c>
      <c r="G225" s="144">
        <f>(IFERROR(
IF(CONCATENATE($A225,$B225)="IDER-ES",INDEX('IDER-ES'!$D:$D,MATCH($C225,'IDER-ES'!$A:$A,0)),
IF(CONCATENATE($A225,$B225)="CIOPES",INDEX('CDER-ES'!$D:$D,MATCH($C225,'CDER-ES'!$A:$A,0)),
IF(CONCATENATE($A225,$B225)="ISINAPI",INDEX(ISINAPI!$E:$E,MATCH($C225,ISINAPI!$A:$A,0)),
IF(CONCATENATE($A225,$B225)="CSINAPI",INDEX(CSINAPI!$D:$D,MATCH($C225,CSINAPI!$A:$A,0)),
IF(CONCATENATE($A225,$B225)="CCESAN",INDEX(CCESAN!$D:$D,MATCH($C225,CCESAN!$A:$A,0)),
IF(CONCATENATE($A225,$B225)="CSCORIO",INDEX(CSCORIO!$B:$B,MATCH($C225,CSCORIO!#REF!,0)),
IF(CONCATENATE($A225,$B225)="MERC",INDEX(MERCADO!$E:$E,MATCH($C225,MERCADO!$A:$A,0)),
IF(CONCATENATE($A225,$B225)="CCOMP",INDEX(COMPOSICAO!$H:$H,MATCH($C225,COMPOSICAO!$A:$A,0)),""
)))))))),""))</f>
        <v>26.73</v>
      </c>
      <c r="H225" s="144">
        <f t="shared" si="38"/>
        <v>21.38</v>
      </c>
    </row>
    <row r="227" spans="1:11" s="135" customFormat="1" ht="20.100000000000001" customHeight="1">
      <c r="A227" s="186" t="s">
        <v>1020</v>
      </c>
      <c r="B227" s="405" t="s">
        <v>1022</v>
      </c>
      <c r="C227" s="406"/>
      <c r="D227" s="406"/>
      <c r="E227" s="406"/>
      <c r="F227" s="407"/>
      <c r="G227" s="133" t="s">
        <v>19692</v>
      </c>
      <c r="H227" s="134" t="s">
        <v>19678</v>
      </c>
      <c r="I227" s="263"/>
    </row>
    <row r="228" spans="1:11" ht="60" customHeight="1">
      <c r="A228" s="136">
        <f>COUNTIF($A$4:$A227,$A$4)</f>
        <v>22</v>
      </c>
      <c r="B228" s="408" t="s">
        <v>29132</v>
      </c>
      <c r="C228" s="409"/>
      <c r="D228" s="409"/>
      <c r="E228" s="409"/>
      <c r="F228" s="410"/>
      <c r="G228" s="137" t="s">
        <v>19692</v>
      </c>
      <c r="H228" s="211">
        <f>SUM(H230:H240)</f>
        <v>284.65999999999997</v>
      </c>
    </row>
    <row r="229" spans="1:11" ht="30" customHeight="1">
      <c r="A229" s="139" t="s">
        <v>1026</v>
      </c>
      <c r="B229" s="139" t="s">
        <v>1027</v>
      </c>
      <c r="C229" s="139" t="s">
        <v>31</v>
      </c>
      <c r="D229" s="139" t="s">
        <v>1023</v>
      </c>
      <c r="E229" s="139" t="s">
        <v>32</v>
      </c>
      <c r="F229" s="183" t="s">
        <v>2343</v>
      </c>
      <c r="G229" s="140" t="s">
        <v>19676</v>
      </c>
      <c r="H229" s="140" t="s">
        <v>19677</v>
      </c>
    </row>
    <row r="230" spans="1:11" ht="25.5">
      <c r="A230" s="141" t="s">
        <v>26621</v>
      </c>
      <c r="B230" s="141" t="s">
        <v>1019</v>
      </c>
      <c r="C230" s="141">
        <v>555</v>
      </c>
      <c r="D230" s="142" t="str">
        <f>PROPER(IFERROR(
IF(C230="","",
IF(CONCATENATE($A230,$B230)="IDER-ES",INDEX('IDER-ES'!$B:$B,MATCH($C230,'IDER-ES'!$A:$A,0)),
IF(CONCATENATE($A230,$B230)="CDER-ES",INDEX('CDER-ES'!$B:$B,MATCH($C230,'CDER-ES'!$A:$A,0)),
IF(CONCATENATE($A230,$B230)="ISINAPI",INDEX(ISINAPI!$B:$B,MATCH($C230,ISINAPI!$A:$A,0)),
IF(CONCATENATE($A230,$B230)="CSINAPI",INDEX(CSINAPI!$B:$B,MATCH($C230,CSINAPI!$A:$A,0)),
IF(CONCATENATE($A230,$B230)="CCESAN",INDEX(CCESAN!$B:$B,MATCH($C230,CCESAN!$A:$A,0)),
IF(CONCATENATE($A230,$B230)="CSCORIO",INDEX(CSCORIO!#REF!,MATCH($C230,CSCORIO!#REF!,0)),
IF(CONCATENATE($A230,$B230)="MERC",INDEX(MERCADO!$B:$B,MATCH($C230,MERCADO!$A:$A,0)),
IF(CONCATENATE($A230,$B230)="CCOMP",INDEX(COMPOSICAO!$B:$B,MATCH($C230,COMPOSICAO!$A:$A,0)),""
))))))))),"*Verificar código*"))</f>
        <v xml:space="preserve">Barra De Ferro Chato, Retangular, 25,4 Mm X 6,35 Mm (L X E), 1,2265 Kg/M                                                                                                                                                                                                                                                                                                                                                                                                                                  </v>
      </c>
      <c r="E230" s="143" t="str">
        <f>LOWER(IFERROR(
IF(CONCATENATE($A230,$B230)="IDER-ES",INDEX('IDER-ES'!$C:$C,MATCH($C230,'IDER-ES'!$A:$A,0)),
IF(CONCATENATE($A230,$B230)="CIOPES",INDEX('CDER-ES'!$C:$C,MATCH($C230,'CDER-ES'!$A:$A,0)),
IF(CONCATENATE($A230,$B230)="ISINAPI",INDEX(ISINAPI!$C:$C,MATCH($C230,ISINAPI!$A:$A,0)),
IF(CONCATENATE($A230,$B230)="CSINAPI",INDEX(CSINAPI!$C:$C,MATCH($C230,CSINAPI!$A:$A,0)),
IF(CONCATENATE($A230,$B230)="CCESAN",INDEX(CCESAN!$C:$C,MATCH($C230,CCESAN!$A:$A,0)),
IF(CONCATENATE($A230,$B230)="CSCORIO",INDEX(CSCORIO!$A:$A,MATCH($C230,CSCORIO!#REF!,0)),
IF(CONCATENATE($A230,$B230)="MERC",INDEX(MERCADO!$D:$D,MATCH($C230,MERCADO!$A:$A,0)),
IF(CONCATENATE($A230,$B230)="CCOMP",INDEX(COMPOSICAO!$H:$H,MATCH($C230,COMPOSICAO!$A:$A,0)),""
)))))))),""))</f>
        <v xml:space="preserve">m     </v>
      </c>
      <c r="F230" s="182">
        <f>(1.15+0.4)*2+6*0.1</f>
        <v>3.6999999999999997</v>
      </c>
      <c r="G230" s="144">
        <f>(IFERROR(
IF(CONCATENATE($A230,$B230)="IDER-ES",INDEX('IDER-ES'!$D:$D,MATCH($C230,'IDER-ES'!$A:$A,0)),
IF(CONCATENATE($A230,$B230)="CIOPES",INDEX('CDER-ES'!$D:$D,MATCH($C230,'CDER-ES'!$A:$A,0)),
IF(CONCATENATE($A230,$B230)="ISINAPI",INDEX(ISINAPI!$E:$E,MATCH($C230,ISINAPI!$A:$A,0)),
IF(CONCATENATE($A230,$B230)="CSINAPI",INDEX(CSINAPI!$D:$D,MATCH($C230,CSINAPI!$A:$A,0)),
IF(CONCATENATE($A230,$B230)="CCESAN",INDEX(CCESAN!$D:$D,MATCH($C230,CCESAN!$A:$A,0)),
IF(CONCATENATE($A230,$B230)="CSCORIO",INDEX(CSCORIO!$B:$B,MATCH($C230,CSCORIO!#REF!,0)),
IF(CONCATENATE($A230,$B230)="MERC",INDEX(MERCADO!$E:$E,MATCH($C230,MERCADO!$A:$A,0)),
IF(CONCATENATE($A230,$B230)="CCOMP",INDEX(COMPOSICAO!$H:$H,MATCH($C230,COMPOSICAO!$A:$A,0)),""
)))))))),""))</f>
        <v>15.95</v>
      </c>
      <c r="H230" s="144">
        <f t="shared" ref="H230:H240" si="39">IF(B230="","",ROUND(G230*F230,2))</f>
        <v>59.02</v>
      </c>
      <c r="I230" s="277"/>
      <c r="J230" s="277">
        <f>H230+H231</f>
        <v>120.43</v>
      </c>
    </row>
    <row r="231" spans="1:11" ht="25.5">
      <c r="A231" s="141" t="s">
        <v>26621</v>
      </c>
      <c r="B231" s="141" t="s">
        <v>1019</v>
      </c>
      <c r="C231" s="141">
        <v>546</v>
      </c>
      <c r="D231" s="142" t="str">
        <f>PROPER(IFERROR(
IF(C231="","",
IF(CONCATENATE($A231,$B231)="IDER-ES",INDEX('IDER-ES'!$B:$B,MATCH($C231,'IDER-ES'!$A:$A,0)),
IF(CONCATENATE($A231,$B231)="CDER-ES",INDEX('CDER-ES'!$B:$B,MATCH($C231,'CDER-ES'!$A:$A,0)),
IF(CONCATENATE($A231,$B231)="ISINAPI",INDEX(ISINAPI!$B:$B,MATCH($C231,ISINAPI!$A:$A,0)),
IF(CONCATENATE($A231,$B231)="CSINAPI",INDEX(CSINAPI!$B:$B,MATCH($C231,CSINAPI!$A:$A,0)),
IF(CONCATENATE($A231,$B231)="CCESAN",INDEX(CCESAN!$B:$B,MATCH($C231,CCESAN!$A:$A,0)),
IF(CONCATENATE($A231,$B231)="CSCORIO",INDEX(CSCORIO!#REF!,MATCH($C231,CSCORIO!#REF!,0)),
IF(CONCATENATE($A231,$B231)="MERC",INDEX(MERCADO!$B:$B,MATCH($C231,MERCADO!$A:$A,0)),
IF(CONCATENATE($A231,$B231)="CCOMP",INDEX(COMPOSICAO!$B:$B,MATCH($C231,COMPOSICAO!$A:$A,0)),""
))))))))),"*Verificar código*"))</f>
        <v xml:space="preserve">Barra De Ferro Chata, Retangular (Qualquer Bitola)                                                                                                                                                                                                                                                                                                                                                                                                                                                        </v>
      </c>
      <c r="E231" s="143" t="str">
        <f>LOWER(IFERROR(
IF(CONCATENATE($A231,$B231)="IDER-ES",INDEX('IDER-ES'!$C:$C,MATCH($C231,'IDER-ES'!$A:$A,0)),
IF(CONCATENATE($A231,$B231)="CIOPES",INDEX('CDER-ES'!$C:$C,MATCH($C231,'CDER-ES'!$A:$A,0)),
IF(CONCATENATE($A231,$B231)="ISINAPI",INDEX(ISINAPI!$C:$C,MATCH($C231,ISINAPI!$A:$A,0)),
IF(CONCATENATE($A231,$B231)="CSINAPI",INDEX(CSINAPI!$C:$C,MATCH($C231,CSINAPI!$A:$A,0)),
IF(CONCATENATE($A231,$B231)="CCESAN",INDEX(CCESAN!$C:$C,MATCH($C231,CCESAN!$A:$A,0)),
IF(CONCATENATE($A231,$B231)="CSCORIO",INDEX(CSCORIO!$A:$A,MATCH($C231,CSCORIO!#REF!,0)),
IF(CONCATENATE($A231,$B231)="MERC",INDEX(MERCADO!$D:$D,MATCH($C231,MERCADO!$A:$A,0)),
IF(CONCATENATE($A231,$B231)="CCOMP",INDEX(COMPOSICAO!$H:$H,MATCH($C231,COMPOSICAO!$A:$A,0)),""
)))))))),""))</f>
        <v xml:space="preserve">kg    </v>
      </c>
      <c r="F231" s="182">
        <f>0.59*8</f>
        <v>4.72</v>
      </c>
      <c r="G231" s="144">
        <f>(IFERROR(
IF(CONCATENATE($A231,$B231)="IDER-ES",INDEX('IDER-ES'!$D:$D,MATCH($C231,'IDER-ES'!$A:$A,0)),
IF(CONCATENATE($A231,$B231)="CIOPES",INDEX('CDER-ES'!$D:$D,MATCH($C231,'CDER-ES'!$A:$A,0)),
IF(CONCATENATE($A231,$B231)="ISINAPI",INDEX(ISINAPI!$E:$E,MATCH($C231,ISINAPI!$A:$A,0)),
IF(CONCATENATE($A231,$B231)="CSINAPI",INDEX(CSINAPI!$D:$D,MATCH($C231,CSINAPI!$A:$A,0)),
IF(CONCATENATE($A231,$B231)="CCESAN",INDEX(CCESAN!$D:$D,MATCH($C231,CCESAN!$A:$A,0)),
IF(CONCATENATE($A231,$B231)="CSCORIO",INDEX(CSCORIO!$B:$B,MATCH($C231,CSCORIO!#REF!,0)),
IF(CONCATENATE($A231,$B231)="MERC",INDEX(MERCADO!$E:$E,MATCH($C231,MERCADO!$A:$A,0)),
IF(CONCATENATE($A231,$B231)="CCOMP",INDEX(COMPOSICAO!$H:$H,MATCH($C231,COMPOSICAO!$A:$A,0)),""
)))))))),""))</f>
        <v>13.01</v>
      </c>
      <c r="H231" s="144">
        <f t="shared" si="39"/>
        <v>61.41</v>
      </c>
      <c r="I231" s="278"/>
      <c r="J231" s="138">
        <f>J230*0.512</f>
        <v>61.660160000000005</v>
      </c>
    </row>
    <row r="232" spans="1:11" ht="25.5">
      <c r="A232" s="141" t="s">
        <v>26621</v>
      </c>
      <c r="B232" s="141" t="s">
        <v>1019</v>
      </c>
      <c r="C232" s="141">
        <v>10997</v>
      </c>
      <c r="D232" s="142" t="str">
        <f>PROPER(IFERROR(
IF(C232="","",
IF(CONCATENATE($A232,$B232)="IDER-ES",INDEX('IDER-ES'!$B:$B,MATCH($C232,'IDER-ES'!$A:$A,0)),
IF(CONCATENATE($A232,$B232)="CDER-ES",INDEX('CDER-ES'!$B:$B,MATCH($C232,'CDER-ES'!$A:$A,0)),
IF(CONCATENATE($A232,$B232)="ISINAPI",INDEX(ISINAPI!$B:$B,MATCH($C232,ISINAPI!$A:$A,0)),
IF(CONCATENATE($A232,$B232)="CSINAPI",INDEX(CSINAPI!$B:$B,MATCH($C232,CSINAPI!$A:$A,0)),
IF(CONCATENATE($A232,$B232)="CCESAN",INDEX(CCESAN!$B:$B,MATCH($C232,CCESAN!$A:$A,0)),
IF(CONCATENATE($A232,$B232)="CSCORIO",INDEX(CSCORIO!#REF!,MATCH($C232,CSCORIO!#REF!,0)),
IF(CONCATENATE($A232,$B232)="MERC",INDEX(MERCADO!$B:$B,MATCH($C232,MERCADO!$A:$A,0)),
IF(CONCATENATE($A232,$B232)="CCOMP",INDEX(COMPOSICAO!$B:$B,MATCH($C232,COMPOSICAO!$A:$A,0)),""
))))))))),"*Verificar código*"))</f>
        <v xml:space="preserve">Eletrodo Revestido Aws - E7018, Diametro Igual A 4,00 Mm                                                                                                                                                                                                                                                                                                                                                                                                                                                  </v>
      </c>
      <c r="E232" s="143" t="str">
        <f>LOWER(IFERROR(
IF(CONCATENATE($A232,$B232)="IDER-ES",INDEX('IDER-ES'!$C:$C,MATCH($C232,'IDER-ES'!$A:$A,0)),
IF(CONCATENATE($A232,$B232)="CIOPES",INDEX('CDER-ES'!$C:$C,MATCH($C232,'CDER-ES'!$A:$A,0)),
IF(CONCATENATE($A232,$B232)="ISINAPI",INDEX(ISINAPI!$C:$C,MATCH($C232,ISINAPI!$A:$A,0)),
IF(CONCATENATE($A232,$B232)="CSINAPI",INDEX(CSINAPI!$C:$C,MATCH($C232,CSINAPI!$A:$A,0)),
IF(CONCATENATE($A232,$B232)="CCESAN",INDEX(CCESAN!$C:$C,MATCH($C232,CCESAN!$A:$A,0)),
IF(CONCATENATE($A232,$B232)="CSCORIO",INDEX(CSCORIO!$A:$A,MATCH($C232,CSCORIO!#REF!,0)),
IF(CONCATENATE($A232,$B232)="MERC",INDEX(MERCADO!$D:$D,MATCH($C232,MERCADO!$A:$A,0)),
IF(CONCATENATE($A232,$B232)="CCOMP",INDEX(COMPOSICAO!$H:$H,MATCH($C232,COMPOSICAO!$A:$A,0)),""
)))))))),""))</f>
        <v xml:space="preserve">kg    </v>
      </c>
      <c r="F232" s="182">
        <f>(F230*1.23+F231)*0.01</f>
        <v>9.2709999999999987E-2</v>
      </c>
      <c r="G232" s="144">
        <f>(IFERROR(
IF(CONCATENATE($A232,$B232)="IDER-ES",INDEX('IDER-ES'!$D:$D,MATCH($C232,'IDER-ES'!$A:$A,0)),
IF(CONCATENATE($A232,$B232)="CIOPES",INDEX('CDER-ES'!$D:$D,MATCH($C232,'CDER-ES'!$A:$A,0)),
IF(CONCATENATE($A232,$B232)="ISINAPI",INDEX(ISINAPI!$E:$E,MATCH($C232,ISINAPI!$A:$A,0)),
IF(CONCATENATE($A232,$B232)="CSINAPI",INDEX(CSINAPI!$D:$D,MATCH($C232,CSINAPI!$A:$A,0)),
IF(CONCATENATE($A232,$B232)="CCESAN",INDEX(CCESAN!$D:$D,MATCH($C232,CCESAN!$A:$A,0)),
IF(CONCATENATE($A232,$B232)="CSCORIO",INDEX(CSCORIO!$B:$B,MATCH($C232,CSCORIO!#REF!,0)),
IF(CONCATENATE($A232,$B232)="MERC",INDEX(MERCADO!$E:$E,MATCH($C232,MERCADO!$A:$A,0)),
IF(CONCATENATE($A232,$B232)="CCOMP",INDEX(COMPOSICAO!$H:$H,MATCH($C232,COMPOSICAO!$A:$A,0)),""
)))))))),""))</f>
        <v>30.98</v>
      </c>
      <c r="H232" s="144">
        <f t="shared" si="39"/>
        <v>2.87</v>
      </c>
    </row>
    <row r="233" spans="1:11" ht="38.25">
      <c r="A233" s="141" t="s">
        <v>26621</v>
      </c>
      <c r="B233" s="141" t="s">
        <v>1019</v>
      </c>
      <c r="C233" s="141">
        <v>44495</v>
      </c>
      <c r="D233" s="142" t="str">
        <f>PROPER(IFERROR(
IF(C233="","",
IF(CONCATENATE($A233,$B233)="IDER-ES",INDEX('IDER-ES'!$B:$B,MATCH($C233,'IDER-ES'!$A:$A,0)),
IF(CONCATENATE($A233,$B233)="CDER-ES",INDEX('CDER-ES'!$B:$B,MATCH($C233,'CDER-ES'!$A:$A,0)),
IF(CONCATENATE($A233,$B233)="ISINAPI",INDEX(ISINAPI!$B:$B,MATCH($C233,ISINAPI!$A:$A,0)),
IF(CONCATENATE($A233,$B233)="CSINAPI",INDEX(CSINAPI!$B:$B,MATCH($C233,CSINAPI!$A:$A,0)),
IF(CONCATENATE($A233,$B233)="CCESAN",INDEX(CCESAN!$B:$B,MATCH($C233,CCESAN!$A:$A,0)),
IF(CONCATENATE($A233,$B233)="CSCORIO",INDEX(CSCORIO!#REF!,MATCH($C233,CSCORIO!#REF!,0)),
IF(CONCATENATE($A233,$B233)="MERC",INDEX(MERCADO!$B:$B,MATCH($C233,MERCADO!$A:$A,0)),
IF(CONCATENATE($A233,$B233)="CCOMP",INDEX(COMPOSICAO!$B:$B,MATCH($C233,COMPOSICAO!$A:$A,0)),""
))))))))),"*Verificar código*"))</f>
        <v xml:space="preserve">Disco De Corte Para Metal Com Duas Telas 12 X 1/8 X 3/4 "  (300 X 3,2 X 19,05 Mm)                                                                                                                                                                                                                                                                                                                                                                                                                         </v>
      </c>
      <c r="E233" s="143" t="str">
        <f>LOWER(IFERROR(
IF(CONCATENATE($A233,$B233)="IDER-ES",INDEX('IDER-ES'!$C:$C,MATCH($C233,'IDER-ES'!$A:$A,0)),
IF(CONCATENATE($A233,$B233)="CIOPES",INDEX('CDER-ES'!$C:$C,MATCH($C233,'CDER-ES'!$A:$A,0)),
IF(CONCATENATE($A233,$B233)="ISINAPI",INDEX(ISINAPI!$C:$C,MATCH($C233,ISINAPI!$A:$A,0)),
IF(CONCATENATE($A233,$B233)="CSINAPI",INDEX(CSINAPI!$C:$C,MATCH($C233,CSINAPI!$A:$A,0)),
IF(CONCATENATE($A233,$B233)="CCESAN",INDEX(CCESAN!$C:$C,MATCH($C233,CCESAN!$A:$A,0)),
IF(CONCATENATE($A233,$B233)="CSCORIO",INDEX(CSCORIO!$A:$A,MATCH($C233,CSCORIO!#REF!,0)),
IF(CONCATENATE($A233,$B233)="MERC",INDEX(MERCADO!$D:$D,MATCH($C233,MERCADO!$A:$A,0)),
IF(CONCATENATE($A233,$B233)="CCOMP",INDEX(COMPOSICAO!$H:$H,MATCH($C233,COMPOSICAO!$A:$A,0)),""
)))))))),""))</f>
        <v xml:space="preserve">un    </v>
      </c>
      <c r="F233" s="182">
        <v>0.1</v>
      </c>
      <c r="G233" s="144">
        <f>(IFERROR(
IF(CONCATENATE($A233,$B233)="IDER-ES",INDEX('IDER-ES'!$D:$D,MATCH($C233,'IDER-ES'!$A:$A,0)),
IF(CONCATENATE($A233,$B233)="CIOPES",INDEX('CDER-ES'!$D:$D,MATCH($C233,'CDER-ES'!$A:$A,0)),
IF(CONCATENATE($A233,$B233)="ISINAPI",INDEX(ISINAPI!$E:$E,MATCH($C233,ISINAPI!$A:$A,0)),
IF(CONCATENATE($A233,$B233)="CSINAPI",INDEX(CSINAPI!$D:$D,MATCH($C233,CSINAPI!$A:$A,0)),
IF(CONCATENATE($A233,$B233)="CCESAN",INDEX(CCESAN!$D:$D,MATCH($C233,CCESAN!$A:$A,0)),
IF(CONCATENATE($A233,$B233)="CSCORIO",INDEX(CSCORIO!$B:$B,MATCH($C233,CSCORIO!#REF!,0)),
IF(CONCATENATE($A233,$B233)="MERC",INDEX(MERCADO!$E:$E,MATCH($C233,MERCADO!$A:$A,0)),
IF(CONCATENATE($A233,$B233)="CCOMP",INDEX(COMPOSICAO!$H:$H,MATCH($C233,COMPOSICAO!$A:$A,0)),""
)))))))),""))</f>
        <v>17.45</v>
      </c>
      <c r="H233" s="144">
        <f t="shared" si="39"/>
        <v>1.75</v>
      </c>
    </row>
    <row r="234" spans="1:11" ht="25.5">
      <c r="A234" s="141" t="s">
        <v>21960</v>
      </c>
      <c r="B234" s="141" t="s">
        <v>1019</v>
      </c>
      <c r="C234" s="141">
        <v>88251</v>
      </c>
      <c r="D234" s="142" t="str">
        <f>PROPER(IFERROR(
IF(C234="","",
IF(CONCATENATE($A234,$B234)="IDER-ES",INDEX('IDER-ES'!$B:$B,MATCH($C234,'IDER-ES'!$A:$A,0)),
IF(CONCATENATE($A234,$B234)="CDER-ES",INDEX('CDER-ES'!$B:$B,MATCH($C234,'CDER-ES'!$A:$A,0)),
IF(CONCATENATE($A234,$B234)="ISINAPI",INDEX(ISINAPI!$B:$B,MATCH($C234,ISINAPI!$A:$A,0)),
IF(CONCATENATE($A234,$B234)="CSINAPI",INDEX(CSINAPI!$B:$B,MATCH($C234,CSINAPI!$A:$A,0)),
IF(CONCATENATE($A234,$B234)="CCESAN",INDEX(CCESAN!$B:$B,MATCH($C234,CCESAN!$A:$A,0)),
IF(CONCATENATE($A234,$B234)="CSCORIO",INDEX(CSCORIO!#REF!,MATCH($C234,CSCORIO!#REF!,0)),
IF(CONCATENATE($A234,$B234)="MERC",INDEX(MERCADO!$B:$B,MATCH($C234,MERCADO!$A:$A,0)),
IF(CONCATENATE($A234,$B234)="CCOMP",INDEX(COMPOSICAO!$B:$B,MATCH($C234,COMPOSICAO!$A:$A,0)),""
))))))))),"*Verificar código*"))</f>
        <v>Auxiliar De Serralheiro Com Encargos Complementares</v>
      </c>
      <c r="E234" s="143" t="str">
        <f>LOWER(IFERROR(
IF(CONCATENATE($A234,$B234)="IDER-ES",INDEX('IDER-ES'!$C:$C,MATCH($C234,'IDER-ES'!$A:$A,0)),
IF(CONCATENATE($A234,$B234)="CIOPES",INDEX('CDER-ES'!$C:$C,MATCH($C234,'CDER-ES'!$A:$A,0)),
IF(CONCATENATE($A234,$B234)="ISINAPI",INDEX(ISINAPI!$C:$C,MATCH($C234,ISINAPI!$A:$A,0)),
IF(CONCATENATE($A234,$B234)="CSINAPI",INDEX(CSINAPI!$C:$C,MATCH($C234,CSINAPI!$A:$A,0)),
IF(CONCATENATE($A234,$B234)="CCESAN",INDEX(CCESAN!$C:$C,MATCH($C234,CCESAN!$A:$A,0)),
IF(CONCATENATE($A234,$B234)="CSCORIO",INDEX(CSCORIO!$A:$A,MATCH($C234,CSCORIO!#REF!,0)),
IF(CONCATENATE($A234,$B234)="MERC",INDEX(MERCADO!$D:$D,MATCH($C234,MERCADO!$A:$A,0)),
IF(CONCATENATE($A234,$B234)="CCOMP",INDEX(COMPOSICAO!$H:$H,MATCH($C234,COMPOSICAO!$A:$A,0)),""
)))))))),""))</f>
        <v>h</v>
      </c>
      <c r="F234" s="182">
        <f>1.21+1</f>
        <v>2.21</v>
      </c>
      <c r="G234" s="144">
        <f>(IFERROR(
IF(CONCATENATE($A234,$B234)="IDER-ES",INDEX('IDER-ES'!$D:$D,MATCH($C234,'IDER-ES'!$A:$A,0)),
IF(CONCATENATE($A234,$B234)="CIOPES",INDEX('CDER-ES'!$D:$D,MATCH($C234,'CDER-ES'!$A:$A,0)),
IF(CONCATENATE($A234,$B234)="ISINAPI",INDEX(ISINAPI!$E:$E,MATCH($C234,ISINAPI!$A:$A,0)),
IF(CONCATENATE($A234,$B234)="CSINAPI",INDEX(CSINAPI!$D:$D,MATCH($C234,CSINAPI!$A:$A,0)),
IF(CONCATENATE($A234,$B234)="CCESAN",INDEX(CCESAN!$D:$D,MATCH($C234,CCESAN!$A:$A,0)),
IF(CONCATENATE($A234,$B234)="CSCORIO",INDEX(CSCORIO!$B:$B,MATCH($C234,CSCORIO!#REF!,0)),
IF(CONCATENATE($A234,$B234)="MERC",INDEX(MERCADO!$E:$E,MATCH($C234,MERCADO!$A:$A,0)),
IF(CONCATENATE($A234,$B234)="CCOMP",INDEX(COMPOSICAO!$H:$H,MATCH($C234,COMPOSICAO!$A:$A,0)),""
)))))))),""))</f>
        <v>20.34</v>
      </c>
      <c r="H234" s="144">
        <f t="shared" si="39"/>
        <v>44.95</v>
      </c>
      <c r="J234" s="138">
        <f>J231*0.4</f>
        <v>24.664064000000003</v>
      </c>
      <c r="K234" s="138">
        <f>J234/G234</f>
        <v>1.2125891838741398</v>
      </c>
    </row>
    <row r="235" spans="1:11" ht="25.5">
      <c r="A235" s="141" t="s">
        <v>21960</v>
      </c>
      <c r="B235" s="141" t="s">
        <v>1019</v>
      </c>
      <c r="C235" s="141">
        <v>88315</v>
      </c>
      <c r="D235" s="142" t="str">
        <f>PROPER(IFERROR(
IF(C235="","",
IF(CONCATENATE($A235,$B235)="IDER-ES",INDEX('IDER-ES'!$B:$B,MATCH($C235,'IDER-ES'!$A:$A,0)),
IF(CONCATENATE($A235,$B235)="CDER-ES",INDEX('CDER-ES'!$B:$B,MATCH($C235,'CDER-ES'!$A:$A,0)),
IF(CONCATENATE($A235,$B235)="ISINAPI",INDEX(ISINAPI!$B:$B,MATCH($C235,ISINAPI!$A:$A,0)),
IF(CONCATENATE($A235,$B235)="CSINAPI",INDEX(CSINAPI!$B:$B,MATCH($C235,CSINAPI!$A:$A,0)),
IF(CONCATENATE($A235,$B235)="CCESAN",INDEX(CCESAN!$B:$B,MATCH($C235,CCESAN!$A:$A,0)),
IF(CONCATENATE($A235,$B235)="CSCORIO",INDEX(CSCORIO!#REF!,MATCH($C235,CSCORIO!#REF!,0)),
IF(CONCATENATE($A235,$B235)="MERC",INDEX(MERCADO!$B:$B,MATCH($C235,MERCADO!$A:$A,0)),
IF(CONCATENATE($A235,$B235)="CCOMP",INDEX(COMPOSICAO!$B:$B,MATCH($C235,COMPOSICAO!$A:$A,0)),""
))))))))),"*Verificar código*"))</f>
        <v>Serralheiro Com Encargos Complementares</v>
      </c>
      <c r="E235" s="143" t="str">
        <f>LOWER(IFERROR(
IF(CONCATENATE($A235,$B235)="IDER-ES",INDEX('IDER-ES'!$C:$C,MATCH($C235,'IDER-ES'!$A:$A,0)),
IF(CONCATENATE($A235,$B235)="CIOPES",INDEX('CDER-ES'!$C:$C,MATCH($C235,'CDER-ES'!$A:$A,0)),
IF(CONCATENATE($A235,$B235)="ISINAPI",INDEX(ISINAPI!$C:$C,MATCH($C235,ISINAPI!$A:$A,0)),
IF(CONCATENATE($A235,$B235)="CSINAPI",INDEX(CSINAPI!$C:$C,MATCH($C235,CSINAPI!$A:$A,0)),
IF(CONCATENATE($A235,$B235)="CCESAN",INDEX(CCESAN!$C:$C,MATCH($C235,CCESAN!$A:$A,0)),
IF(CONCATENATE($A235,$B235)="CSCORIO",INDEX(CSCORIO!$A:$A,MATCH($C235,CSCORIO!#REF!,0)),
IF(CONCATENATE($A235,$B235)="MERC",INDEX(MERCADO!$D:$D,MATCH($C235,MERCADO!$A:$A,0)),
IF(CONCATENATE($A235,$B235)="CCOMP",INDEX(COMPOSICAO!$H:$H,MATCH($C235,COMPOSICAO!$A:$A,0)),""
)))))))),""))</f>
        <v>h</v>
      </c>
      <c r="F235" s="182">
        <f>1.47+1.5</f>
        <v>2.9699999999999998</v>
      </c>
      <c r="G235" s="144">
        <f>(IFERROR(
IF(CONCATENATE($A235,$B235)="IDER-ES",INDEX('IDER-ES'!$D:$D,MATCH($C235,'IDER-ES'!$A:$A,0)),
IF(CONCATENATE($A235,$B235)="CIOPES",INDEX('CDER-ES'!$D:$D,MATCH($C235,'CDER-ES'!$A:$A,0)),
IF(CONCATENATE($A235,$B235)="ISINAPI",INDEX(ISINAPI!$E:$E,MATCH($C235,ISINAPI!$A:$A,0)),
IF(CONCATENATE($A235,$B235)="CSINAPI",INDEX(CSINAPI!$D:$D,MATCH($C235,CSINAPI!$A:$A,0)),
IF(CONCATENATE($A235,$B235)="CCESAN",INDEX(CCESAN!$D:$D,MATCH($C235,CCESAN!$A:$A,0)),
IF(CONCATENATE($A235,$B235)="CSCORIO",INDEX(CSCORIO!$B:$B,MATCH($C235,CSCORIO!#REF!,0)),
IF(CONCATENATE($A235,$B235)="MERC",INDEX(MERCADO!$E:$E,MATCH($C235,MERCADO!$A:$A,0)),
IF(CONCATENATE($A235,$B235)="CCOMP",INDEX(COMPOSICAO!$H:$H,MATCH($C235,COMPOSICAO!$A:$A,0)),""
)))))))),""))</f>
        <v>25.1</v>
      </c>
      <c r="H235" s="144">
        <f t="shared" si="39"/>
        <v>74.55</v>
      </c>
      <c r="J235" s="138">
        <f>J231*0.6</f>
        <v>36.996096000000001</v>
      </c>
      <c r="K235" s="138">
        <f>J235/G235</f>
        <v>1.473948047808765</v>
      </c>
    </row>
    <row r="236" spans="1:11" ht="25.5">
      <c r="A236" s="141" t="s">
        <v>21960</v>
      </c>
      <c r="B236" s="141" t="s">
        <v>1019</v>
      </c>
      <c r="C236" s="141">
        <v>100717</v>
      </c>
      <c r="D236" s="142" t="str">
        <f>PROPER(IFERROR(
IF(C236="","",
IF(CONCATENATE($A236,$B236)="IDER-ES",INDEX('IDER-ES'!$B:$B,MATCH($C236,'IDER-ES'!$A:$A,0)),
IF(CONCATENATE($A236,$B236)="CDER-ES",INDEX('CDER-ES'!$B:$B,MATCH($C236,'CDER-ES'!$A:$A,0)),
IF(CONCATENATE($A236,$B236)="ISINAPI",INDEX(ISINAPI!$B:$B,MATCH($C236,ISINAPI!$A:$A,0)),
IF(CONCATENATE($A236,$B236)="CSINAPI",INDEX(CSINAPI!$B:$B,MATCH($C236,CSINAPI!$A:$A,0)),
IF(CONCATENATE($A236,$B236)="CCESAN",INDEX(CCESAN!$B:$B,MATCH($C236,CCESAN!$A:$A,0)),
IF(CONCATENATE($A236,$B236)="CSCORIO",INDEX(CSCORIO!#REF!,MATCH($C236,CSCORIO!#REF!,0)),
IF(CONCATENATE($A236,$B236)="MERC",INDEX(MERCADO!$B:$B,MATCH($C236,MERCADO!$A:$A,0)),
IF(CONCATENATE($A236,$B236)="CCOMP",INDEX(COMPOSICAO!$B:$B,MATCH($C236,COMPOSICAO!$A:$A,0)),""
))))))))),"*Verificar código*"))</f>
        <v>Lixamento Manual Em Superfícies Metálicas Em Obra. Af_01/2020</v>
      </c>
      <c r="E236" s="143" t="str">
        <f>LOWER(IFERROR(
IF(CONCATENATE($A236,$B236)="IDER-ES",INDEX('IDER-ES'!$C:$C,MATCH($C236,'IDER-ES'!$A:$A,0)),
IF(CONCATENATE($A236,$B236)="CIOPES",INDEX('CDER-ES'!$C:$C,MATCH($C236,'CDER-ES'!$A:$A,0)),
IF(CONCATENATE($A236,$B236)="ISINAPI",INDEX(ISINAPI!$C:$C,MATCH($C236,ISINAPI!$A:$A,0)),
IF(CONCATENATE($A236,$B236)="CSINAPI",INDEX(CSINAPI!$C:$C,MATCH($C236,CSINAPI!$A:$A,0)),
IF(CONCATENATE($A236,$B236)="CCESAN",INDEX(CCESAN!$C:$C,MATCH($C236,CCESAN!$A:$A,0)),
IF(CONCATENATE($A236,$B236)="CSCORIO",INDEX(CSCORIO!$A:$A,MATCH($C236,CSCORIO!#REF!,0)),
IF(CONCATENATE($A236,$B236)="MERC",INDEX(MERCADO!$D:$D,MATCH($C236,MERCADO!$A:$A,0)),
IF(CONCATENATE($A236,$B236)="CCOMP",INDEX(COMPOSICAO!$H:$H,MATCH($C236,COMPOSICAO!$A:$A,0)),""
)))))))),""))</f>
        <v>m²</v>
      </c>
      <c r="F236" s="182">
        <f>(F230*0.05)+8*0.025</f>
        <v>0.38500000000000001</v>
      </c>
      <c r="G236" s="144">
        <f>(IFERROR(
IF(CONCATENATE($A236,$B236)="IDER-ES",INDEX('IDER-ES'!$D:$D,MATCH($C236,'IDER-ES'!$A:$A,0)),
IF(CONCATENATE($A236,$B236)="CIOPES",INDEX('CDER-ES'!$D:$D,MATCH($C236,'CDER-ES'!$A:$A,0)),
IF(CONCATENATE($A236,$B236)="ISINAPI",INDEX(ISINAPI!$E:$E,MATCH($C236,ISINAPI!$A:$A,0)),
IF(CONCATENATE($A236,$B236)="CSINAPI",INDEX(CSINAPI!$D:$D,MATCH($C236,CSINAPI!$A:$A,0)),
IF(CONCATENATE($A236,$B236)="CCESAN",INDEX(CCESAN!$D:$D,MATCH($C236,CCESAN!$A:$A,0)),
IF(CONCATENATE($A236,$B236)="CSCORIO",INDEX(CSCORIO!$B:$B,MATCH($C236,CSCORIO!#REF!,0)),
IF(CONCATENATE($A236,$B236)="MERC",INDEX(MERCADO!$E:$E,MATCH($C236,MERCADO!$A:$A,0)),
IF(CONCATENATE($A236,$B236)="CCOMP",INDEX(COMPOSICAO!$H:$H,MATCH($C236,COMPOSICAO!$A:$A,0)),""
)))))))),""))</f>
        <v>9.2899999999999991</v>
      </c>
      <c r="H236" s="144">
        <f t="shared" si="39"/>
        <v>3.58</v>
      </c>
    </row>
    <row r="237" spans="1:11" ht="63.75">
      <c r="A237" s="141" t="s">
        <v>21960</v>
      </c>
      <c r="B237" s="141" t="s">
        <v>26583</v>
      </c>
      <c r="C237" s="141">
        <v>190417</v>
      </c>
      <c r="D237" s="142" t="str">
        <f>PROPER(IFERROR(
IF(C237="","",
IF(CONCATENATE($A237,$B237)="IDER-ES",INDEX('IDER-ES'!$B:$B,MATCH($C237,'IDER-ES'!$A:$A,0)),
IF(CONCATENATE($A237,$B237)="CDER-ES",INDEX('CDER-ES'!$B:$B,MATCH($C237,'CDER-ES'!$A:$A,0)),
IF(CONCATENATE($A237,$B237)="ISINAPI",INDEX(ISINAPI!$B:$B,MATCH($C237,ISINAPI!$A:$A,0)),
IF(CONCATENATE($A237,$B237)="CSINAPI",INDEX(CSINAPI!$B:$B,MATCH($C237,CSINAPI!$A:$A,0)),
IF(CONCATENATE($A237,$B237)="CCESAN",INDEX(CCESAN!$B:$B,MATCH($C237,CCESAN!$A:$A,0)),
IF(CONCATENATE($A237,$B237)="CSCORIO",INDEX(CSCORIO!#REF!,MATCH($C237,CSCORIO!#REF!,0)),
IF(CONCATENATE($A237,$B237)="MERC",INDEX(MERCADO!$B:$B,MATCH($C237,MERCADO!$A:$A,0)),
IF(CONCATENATE($A237,$B237)="CCOMP",INDEX(COMPOSICAO!$B:$B,MATCH($C237,COMPOSICAO!$A:$A,0)),""
))))))))),"*Verificar código*"))</f>
        <v>Pintura Com Tinta Esmalte Sintético, Marcas De Referência Suvinil, Coral Ou Metalatex, A Duas Demãos, Inclusive Fundo Anticorrosivo A Uma Demão, Em Metal</v>
      </c>
      <c r="E237" s="143" t="str">
        <f>LOWER(IFERROR(
IF(CONCATENATE($A237,$B237)="IDER-ES",INDEX('IDER-ES'!$C:$C,MATCH($C237,'IDER-ES'!$A:$A,0)),
IF(CONCATENATE($A237,$B237)="CDER-ES",INDEX('CDER-ES'!$C:$C,MATCH($C237,'CDER-ES'!$A:$A,0)),
IF(CONCATENATE($A237,$B237)="ISINAPI",INDEX(ISINAPI!$C:$C,MATCH($C237,ISINAPI!$A:$A,0)),
IF(CONCATENATE($A237,$B237)="CSINAPI",INDEX(CSINAPI!$C:$C,MATCH($C237,CSINAPI!$A:$A,0)),
IF(CONCATENATE($A237,$B237)="CCESAN",INDEX(CCESAN!$C:$C,MATCH($C237,CCESAN!$A:$A,0)),
IF(CONCATENATE($A237,$B237)="CSCORIO",INDEX(CSCORIO!$A:$A,MATCH($C237,CSCORIO!#REF!,0)),
IF(CONCATENATE($A237,$B237)="MERC",INDEX(MERCADO!$D:$D,MATCH($C237,MERCADO!$A:$A,0)),
IF(CONCATENATE($A237,$B237)="CCOMP",INDEX(COMPOSICAO!$H:$H,MATCH($C237,COMPOSICAO!$A:$A,0)),""
)))))))),""))</f>
        <v>m²</v>
      </c>
      <c r="F237" s="182">
        <f>F236</f>
        <v>0.38500000000000001</v>
      </c>
      <c r="G237" s="144">
        <f>(IFERROR(
IF(CONCATENATE($A237,$B237)="IDER-ES",INDEX('IDER-ES'!$D:$D,MATCH($C237,'IDER-ES'!$A:$A,0)),
IF(CONCATENATE($A237,$B237)="CDER-ES",INDEX('CDER-ES'!$D:$D,MATCH($C237,'CDER-ES'!$A:$A,0)),
IF(CONCATENATE($A237,$B237)="ISINAPI",INDEX(ISINAPI!$E:$E,MATCH($C237,ISINAPI!$A:$A,0)),
IF(CONCATENATE($A237,$B237)="CSINAPI",INDEX(CSINAPI!$D:$D,MATCH($C237,CSINAPI!$A:$A,0)),
IF(CONCATENATE($A237,$B237)="CCESAN",INDEX(CCESAN!$D:$D,MATCH($C237,CCESAN!$A:$A,0)),
IF(CONCATENATE($A237,$B237)="CSCORIO",INDEX(CSCORIO!$B:$B,MATCH($C237,CSCORIO!#REF!,0)),
IF(CONCATENATE($A237,$B237)="MERC",INDEX(MERCADO!$E:$E,MATCH($C237,MERCADO!$A:$A,0)),
IF(CONCATENATE($A237,$B237)="CCOMP",INDEX(COMPOSICAO!$H:$H,MATCH($C237,COMPOSICAO!$A:$A,0)),""
)))))))),""))</f>
        <v>20.010000000000002</v>
      </c>
      <c r="H237" s="144">
        <f t="shared" si="39"/>
        <v>7.7</v>
      </c>
    </row>
    <row r="238" spans="1:11" ht="25.5">
      <c r="A238" s="141" t="s">
        <v>21960</v>
      </c>
      <c r="B238" s="141" t="s">
        <v>1019</v>
      </c>
      <c r="C238" s="141">
        <v>88242</v>
      </c>
      <c r="D238" s="142" t="str">
        <f>PROPER(IFERROR(
IF(C238="","",
IF(CONCATENATE($A238,$B238)="IDER-ES",INDEX('IDER-ES'!$B:$B,MATCH($C238,'IDER-ES'!$A:$A,0)),
IF(CONCATENATE($A238,$B238)="CDER-ES",INDEX('CDER-ES'!$B:$B,MATCH($C238,'CDER-ES'!$A:$A,0)),
IF(CONCATENATE($A238,$B238)="ISINAPI",INDEX(ISINAPI!$B:$B,MATCH($C238,ISINAPI!$A:$A,0)),
IF(CONCATENATE($A238,$B238)="CSINAPI",INDEX(CSINAPI!$B:$B,MATCH($C238,CSINAPI!$A:$A,0)),
IF(CONCATENATE($A238,$B238)="CCESAN",INDEX(CCESAN!$B:$B,MATCH($C238,CCESAN!$A:$A,0)),
IF(CONCATENATE($A238,$B238)="CSCORIO",INDEX(CSCORIO!#REF!,MATCH($C238,CSCORIO!#REF!,0)),
IF(CONCATENATE($A238,$B238)="MERC",INDEX(MERCADO!$B:$B,MATCH($C238,MERCADO!$A:$A,0)),
IF(CONCATENATE($A238,$B238)="CCOMP",INDEX(COMPOSICAO!$B:$B,MATCH($C238,COMPOSICAO!$A:$A,0)),""
))))))))),"*Verificar código*"))</f>
        <v>Ajudante De Pedreiro Com Encargos Complementares</v>
      </c>
      <c r="E238" s="143" t="str">
        <f>LOWER(IFERROR(
IF(CONCATENATE($A238,$B238)="IDER-ES",INDEX('IDER-ES'!$C:$C,MATCH($C238,'IDER-ES'!$A:$A,0)),
IF(CONCATENATE($A238,$B238)="CIOPES",INDEX('CDER-ES'!$C:$C,MATCH($C238,'CDER-ES'!$A:$A,0)),
IF(CONCATENATE($A238,$B238)="ISINAPI",INDEX(ISINAPI!$C:$C,MATCH($C238,ISINAPI!$A:$A,0)),
IF(CONCATENATE($A238,$B238)="CSINAPI",INDEX(CSINAPI!$C:$C,MATCH($C238,CSINAPI!$A:$A,0)),
IF(CONCATENATE($A238,$B238)="CCESAN",INDEX(CCESAN!$C:$C,MATCH($C238,CCESAN!$A:$A,0)),
IF(CONCATENATE($A238,$B238)="CSCORIO",INDEX(CSCORIO!$A:$A,MATCH($C238,CSCORIO!#REF!,0)),
IF(CONCATENATE($A238,$B238)="MERC",INDEX(MERCADO!$D:$D,MATCH($C238,MERCADO!$A:$A,0)),
IF(CONCATENATE($A238,$B238)="CCOMP",INDEX(COMPOSICAO!$H:$H,MATCH($C238,COMPOSICAO!$A:$A,0)),""
)))))))),""))</f>
        <v>h</v>
      </c>
      <c r="F238" s="182">
        <f>0.1*6</f>
        <v>0.60000000000000009</v>
      </c>
      <c r="G238" s="144">
        <f>(IFERROR(
IF(CONCATENATE($A238,$B238)="IDER-ES",INDEX('IDER-ES'!$D:$D,MATCH($C238,'IDER-ES'!$A:$A,0)),
IF(CONCATENATE($A238,$B238)="CIOPES",INDEX('CDER-ES'!$D:$D,MATCH($C238,'CDER-ES'!$A:$A,0)),
IF(CONCATENATE($A238,$B238)="ISINAPI",INDEX(ISINAPI!$E:$E,MATCH($C238,ISINAPI!$A:$A,0)),
IF(CONCATENATE($A238,$B238)="CSINAPI",INDEX(CSINAPI!$D:$D,MATCH($C238,CSINAPI!$A:$A,0)),
IF(CONCATENATE($A238,$B238)="CCESAN",INDEX(CCESAN!$D:$D,MATCH($C238,CCESAN!$A:$A,0)),
IF(CONCATENATE($A238,$B238)="CSCORIO",INDEX(CSCORIO!$B:$B,MATCH($C238,CSCORIO!#REF!,0)),
IF(CONCATENATE($A238,$B238)="MERC",INDEX(MERCADO!$E:$E,MATCH($C238,MERCADO!$A:$A,0)),
IF(CONCATENATE($A238,$B238)="CCOMP",INDEX(COMPOSICAO!$H:$H,MATCH($C238,COMPOSICAO!$A:$A,0)),""
)))))))),""))</f>
        <v>18.010000000000002</v>
      </c>
      <c r="H238" s="144">
        <f t="shared" si="39"/>
        <v>10.81</v>
      </c>
    </row>
    <row r="239" spans="1:11" ht="25.5">
      <c r="A239" s="141" t="s">
        <v>21960</v>
      </c>
      <c r="B239" s="141" t="s">
        <v>1019</v>
      </c>
      <c r="C239" s="141">
        <v>88309</v>
      </c>
      <c r="D239" s="142" t="str">
        <f>PROPER(IFERROR(
IF(C239="","",
IF(CONCATENATE($A239,$B239)="IDER-ES",INDEX('IDER-ES'!$B:$B,MATCH($C239,'IDER-ES'!$A:$A,0)),
IF(CONCATENATE($A239,$B239)="CDER-ES",INDEX('CDER-ES'!$B:$B,MATCH($C239,'CDER-ES'!$A:$A,0)),
IF(CONCATENATE($A239,$B239)="ISINAPI",INDEX(ISINAPI!$B:$B,MATCH($C239,ISINAPI!$A:$A,0)),
IF(CONCATENATE($A239,$B239)="CSINAPI",INDEX(CSINAPI!$B:$B,MATCH($C239,CSINAPI!$A:$A,0)),
IF(CONCATENATE($A239,$B239)="CCESAN",INDEX(CCESAN!$B:$B,MATCH($C239,CCESAN!$A:$A,0)),
IF(CONCATENATE($A239,$B239)="CSCORIO",INDEX(CSCORIO!#REF!,MATCH($C239,CSCORIO!#REF!,0)),
IF(CONCATENATE($A239,$B239)="MERC",INDEX(MERCADO!$B:$B,MATCH($C239,MERCADO!$A:$A,0)),
IF(CONCATENATE($A239,$B239)="CCOMP",INDEX(COMPOSICAO!$B:$B,MATCH($C239,COMPOSICAO!$A:$A,0)),""
))))))))),"*Verificar código*"))</f>
        <v>Pedreiro Com Encargos Complementares</v>
      </c>
      <c r="E239" s="143" t="str">
        <f>LOWER(IFERROR(
IF(CONCATENATE($A239,$B239)="IDER-ES",INDEX('IDER-ES'!$C:$C,MATCH($C239,'IDER-ES'!$A:$A,0)),
IF(CONCATENATE($A239,$B239)="CIOPES",INDEX('CDER-ES'!$C:$C,MATCH($C239,'CDER-ES'!$A:$A,0)),
IF(CONCATENATE($A239,$B239)="ISINAPI",INDEX(ISINAPI!$C:$C,MATCH($C239,ISINAPI!$A:$A,0)),
IF(CONCATENATE($A239,$B239)="CSINAPI",INDEX(CSINAPI!$C:$C,MATCH($C239,CSINAPI!$A:$A,0)),
IF(CONCATENATE($A239,$B239)="CCESAN",INDEX(CCESAN!$C:$C,MATCH($C239,CCESAN!$A:$A,0)),
IF(CONCATENATE($A239,$B239)="CSCORIO",INDEX(CSCORIO!$A:$A,MATCH($C239,CSCORIO!#REF!,0)),
IF(CONCATENATE($A239,$B239)="MERC",INDEX(MERCADO!$D:$D,MATCH($C239,MERCADO!$A:$A,0)),
IF(CONCATENATE($A239,$B239)="CCOMP",INDEX(COMPOSICAO!$H:$H,MATCH($C239,COMPOSICAO!$A:$A,0)),""
)))))))),""))</f>
        <v>h</v>
      </c>
      <c r="F239" s="182">
        <f>0.1*6</f>
        <v>0.60000000000000009</v>
      </c>
      <c r="G239" s="144">
        <f>(IFERROR(
IF(CONCATENATE($A239,$B239)="IDER-ES",INDEX('IDER-ES'!$D:$D,MATCH($C239,'IDER-ES'!$A:$A,0)),
IF(CONCATENATE($A239,$B239)="CIOPES",INDEX('CDER-ES'!$D:$D,MATCH($C239,'CDER-ES'!$A:$A,0)),
IF(CONCATENATE($A239,$B239)="ISINAPI",INDEX(ISINAPI!$E:$E,MATCH($C239,ISINAPI!$A:$A,0)),
IF(CONCATENATE($A239,$B239)="CSINAPI",INDEX(CSINAPI!$D:$D,MATCH($C239,CSINAPI!$A:$A,0)),
IF(CONCATENATE($A239,$B239)="CCESAN",INDEX(CCESAN!$D:$D,MATCH($C239,CCESAN!$A:$A,0)),
IF(CONCATENATE($A239,$B239)="CSCORIO",INDEX(CSCORIO!$B:$B,MATCH($C239,CSCORIO!#REF!,0)),
IF(CONCATENATE($A239,$B239)="MERC",INDEX(MERCADO!$E:$E,MATCH($C239,MERCADO!$A:$A,0)),
IF(CONCATENATE($A239,$B239)="CCOMP",INDEX(COMPOSICAO!$H:$H,MATCH($C239,COMPOSICAO!$A:$A,0)),""
)))))))),""))</f>
        <v>25.25</v>
      </c>
      <c r="H239" s="144">
        <f t="shared" si="39"/>
        <v>15.15</v>
      </c>
    </row>
    <row r="240" spans="1:11" ht="38.25">
      <c r="A240" s="141" t="s">
        <v>21960</v>
      </c>
      <c r="B240" s="141" t="s">
        <v>1019</v>
      </c>
      <c r="C240" s="141">
        <v>88629</v>
      </c>
      <c r="D240" s="142" t="str">
        <f>PROPER(IFERROR(
IF(C240="","",
IF(CONCATENATE($A240,$B240)="IDER-ES",INDEX('IDER-ES'!$B:$B,MATCH($C240,'IDER-ES'!$A:$A,0)),
IF(CONCATENATE($A240,$B240)="CDER-ES",INDEX('CDER-ES'!$B:$B,MATCH($C240,'CDER-ES'!$A:$A,0)),
IF(CONCATENATE($A240,$B240)="ISINAPI",INDEX(ISINAPI!$B:$B,MATCH($C240,ISINAPI!$A:$A,0)),
IF(CONCATENATE($A240,$B240)="CSINAPI",INDEX(CSINAPI!$B:$B,MATCH($C240,CSINAPI!$A:$A,0)),
IF(CONCATENATE($A240,$B240)="CCESAN",INDEX(CCESAN!$B:$B,MATCH($C240,CCESAN!$A:$A,0)),
IF(CONCATENATE($A240,$B240)="CSCORIO",INDEX(CSCORIO!#REF!,MATCH($C240,CSCORIO!#REF!,0)),
IF(CONCATENATE($A240,$B240)="MERC",INDEX(MERCADO!$B:$B,MATCH($C240,MERCADO!$A:$A,0)),
IF(CONCATENATE($A240,$B240)="CCOMP",INDEX(COMPOSICAO!$B:$B,MATCH($C240,COMPOSICAO!$A:$A,0)),""
))))))))),"*Verificar código*"))</f>
        <v>Argamassa Traço 1:3 (Em Volume De Cimento E Areia Média Úmida), Preparo Manual. Af_08/2019</v>
      </c>
      <c r="E240" s="143" t="str">
        <f>LOWER(IFERROR(
IF(CONCATENATE($A240,$B240)="IDER-ES",INDEX('IDER-ES'!$C:$C,MATCH($C240,'IDER-ES'!$A:$A,0)),
IF(CONCATENATE($A240,$B240)="CIOPES",INDEX('CDER-ES'!$C:$C,MATCH($C240,'CDER-ES'!$A:$A,0)),
IF(CONCATENATE($A240,$B240)="ISINAPI",INDEX(ISINAPI!$C:$C,MATCH($C240,ISINAPI!$A:$A,0)),
IF(CONCATENATE($A240,$B240)="CSINAPI",INDEX(CSINAPI!$C:$C,MATCH($C240,CSINAPI!$A:$A,0)),
IF(CONCATENATE($A240,$B240)="CCESAN",INDEX(CCESAN!$C:$C,MATCH($C240,CCESAN!$A:$A,0)),
IF(CONCATENATE($A240,$B240)="CSCORIO",INDEX(CSCORIO!$A:$A,MATCH($C240,CSCORIO!#REF!,0)),
IF(CONCATENATE($A240,$B240)="MERC",INDEX(MERCADO!$D:$D,MATCH($C240,MERCADO!$A:$A,0)),
IF(CONCATENATE($A240,$B240)="CCOMP",INDEX(COMPOSICAO!$H:$H,MATCH($C240,COMPOSICAO!$A:$A,0)),""
)))))))),""))</f>
        <v>m³</v>
      </c>
      <c r="F240" s="182">
        <f>0.1*0.1*0.1*6</f>
        <v>6.0000000000000019E-3</v>
      </c>
      <c r="G240" s="144">
        <f>(IFERROR(
IF(CONCATENATE($A240,$B240)="IDER-ES",INDEX('IDER-ES'!$D:$D,MATCH($C240,'IDER-ES'!$A:$A,0)),
IF(CONCATENATE($A240,$B240)="CIOPES",INDEX('CDER-ES'!$D:$D,MATCH($C240,'CDER-ES'!$A:$A,0)),
IF(CONCATENATE($A240,$B240)="ISINAPI",INDEX(ISINAPI!$E:$E,MATCH($C240,ISINAPI!$A:$A,0)),
IF(CONCATENATE($A240,$B240)="CSINAPI",INDEX(CSINAPI!$D:$D,MATCH($C240,CSINAPI!$A:$A,0)),
IF(CONCATENATE($A240,$B240)="CCESAN",INDEX(CCESAN!$D:$D,MATCH($C240,CCESAN!$A:$A,0)),
IF(CONCATENATE($A240,$B240)="CSCORIO",INDEX(CSCORIO!$B:$B,MATCH($C240,CSCORIO!#REF!,0)),
IF(CONCATENATE($A240,$B240)="MERC",INDEX(MERCADO!$E:$E,MATCH($C240,MERCADO!$A:$A,0)),
IF(CONCATENATE($A240,$B240)="CCOMP",INDEX(COMPOSICAO!$H:$H,MATCH($C240,COMPOSICAO!$A:$A,0)),""
)))))))),""))</f>
        <v>477.89</v>
      </c>
      <c r="H240" s="144">
        <f t="shared" si="39"/>
        <v>2.87</v>
      </c>
    </row>
    <row r="242" spans="1:9" s="135" customFormat="1" ht="19.5" customHeight="1">
      <c r="A242" s="186" t="s">
        <v>1020</v>
      </c>
      <c r="B242" s="405" t="s">
        <v>1022</v>
      </c>
      <c r="C242" s="406"/>
      <c r="D242" s="406"/>
      <c r="E242" s="406"/>
      <c r="F242" s="407"/>
      <c r="G242" s="133" t="s">
        <v>19692</v>
      </c>
      <c r="H242" s="134" t="s">
        <v>19678</v>
      </c>
      <c r="I242" s="263"/>
    </row>
    <row r="243" spans="1:9" ht="45" customHeight="1">
      <c r="A243" s="136">
        <f>COUNTIF($A$4:$A242,$A$4)</f>
        <v>23</v>
      </c>
      <c r="B243" s="408" t="s">
        <v>28617</v>
      </c>
      <c r="C243" s="409"/>
      <c r="D243" s="409"/>
      <c r="E243" s="409"/>
      <c r="F243" s="410"/>
      <c r="G243" s="137" t="s">
        <v>19692</v>
      </c>
      <c r="H243" s="211">
        <f>SUM(H245:H248)</f>
        <v>297.61</v>
      </c>
    </row>
    <row r="244" spans="1:9" ht="30" customHeight="1">
      <c r="A244" s="139" t="s">
        <v>1026</v>
      </c>
      <c r="B244" s="139" t="s">
        <v>1027</v>
      </c>
      <c r="C244" s="139" t="s">
        <v>31</v>
      </c>
      <c r="D244" s="139" t="s">
        <v>1023</v>
      </c>
      <c r="E244" s="139" t="s">
        <v>32</v>
      </c>
      <c r="F244" s="183" t="s">
        <v>2343</v>
      </c>
      <c r="G244" s="140" t="s">
        <v>19676</v>
      </c>
      <c r="H244" s="140" t="s">
        <v>19677</v>
      </c>
    </row>
    <row r="245" spans="1:9" ht="25.5">
      <c r="A245" s="141" t="s">
        <v>21960</v>
      </c>
      <c r="B245" s="141" t="s">
        <v>1019</v>
      </c>
      <c r="C245" s="141">
        <v>100717</v>
      </c>
      <c r="D245" s="142" t="str">
        <f>PROPER(IFERROR(
IF(C245="","",
IF(CONCATENATE($A245,$B245)="IDER-ES",INDEX('IDER-ES'!$B:$B,MATCH($C245,'IDER-ES'!$A:$A,0)),
IF(CONCATENATE($A245,$B245)="CDER-ES",INDEX('CDER-ES'!$B:$B,MATCH($C245,'CDER-ES'!$A:$A,0)),
IF(CONCATENATE($A245,$B245)="ISINAPI",INDEX(ISINAPI!$B:$B,MATCH($C245,ISINAPI!$A:$A,0)),
IF(CONCATENATE($A245,$B245)="CSINAPI",INDEX(CSINAPI!$B:$B,MATCH($C245,CSINAPI!$A:$A,0)),
IF(CONCATENATE($A245,$B245)="CCESAN",INDEX(CCESAN!$B:$B,MATCH($C245,CCESAN!$A:$A,0)),
IF(CONCATENATE($A245,$B245)="CSCORIO",INDEX(CSCORIO!$B:$B,MATCH($C245,CSCORIO!$A:$A,0)),
IF(CONCATENATE($A245,$B245)="MERC",INDEX(MERCADO!$B:$B,MATCH($C245,MERCADO!$A:$A,0)),
IF(CONCATENATE($A245,$B245)="CCOMP",INDEX(COMPOSICAO!$B:$B,MATCH($C245,COMPOSICAO!$A:$A,0)),""
))))))))),"*Verificar código*"))</f>
        <v>Lixamento Manual Em Superfícies Metálicas Em Obra. Af_01/2020</v>
      </c>
      <c r="E245" s="143" t="str">
        <f>LOWER(IFERROR(
IF(CONCATENATE($A245,$B245)="IDER-ES",INDEX('IDER-ES'!$C:$C,MATCH($C245,'IDER-ES'!$A:$A,0)),
IF(CONCATENATE($A245,$B245)="CIOPES",INDEX('CDER-ES'!$C:$C,MATCH($C245,'CDER-ES'!$A:$A,0)),
IF(CONCATENATE($A245,$B245)="ISINAPI",INDEX(ISINAPI!$C:$C,MATCH($C245,ISINAPI!$A:$A,0)),
IF(CONCATENATE($A245,$B245)="CSINAPI",INDEX(CSINAPI!$C:$C,MATCH($C245,CSINAPI!$A:$A,0)),
IF(CONCATENATE($A245,$B245)="CCESAN",INDEX(CCESAN!$C:$C,MATCH($C245,CCESAN!$A:$A,0)),
IF(CONCATENATE($A245,$B245)="CSCORIO",INDEX(CSCORIO!$C:$C,MATCH($C245,CSCORIO!$A:$A,0)),
IF(CONCATENATE($A245,$B245)="MERC",INDEX(MERCADO!$D:$D,MATCH($C245,MERCADO!$A:$A,0)),
IF(CONCATENATE($A245,$B245)="CCOMP",INDEX(COMPOSICAO!$H:$H,MATCH($C245,COMPOSICAO!$A:$A,0)),""
)))))))),""))</f>
        <v>m²</v>
      </c>
      <c r="F245" s="182">
        <f>1.4*1.65*2</f>
        <v>4.6199999999999992</v>
      </c>
      <c r="G245" s="284">
        <f>(IFERROR(
IF(CONCATENATE($A245,$B245)="IDER-ES",INDEX('IDER-ES'!$D:$D,MATCH($C245,'IDER-ES'!$A:$A,0)),
IF(CONCATENATE($A245,$B245)="CIOPES",INDEX('CDER-ES'!$D:$D,MATCH($C245,'CDER-ES'!$A:$A,0)),
IF(CONCATENATE($A245,$B245)="ISINAPI",INDEX(ISINAPI!$E:$E,MATCH($C245,ISINAPI!$A:$A,0)),
IF(CONCATENATE($A245,$B245)="CSINAPI",INDEX(CSINAPI!$D:$D,MATCH($C245,CSINAPI!$A:$A,0)),
IF(CONCATENATE($A245,$B245)="CCESAN",INDEX(CCESAN!$D:$D,MATCH($C245,CCESAN!$A:$A,0)),
IF(CONCATENATE($A245,$B245)="CSCORIO",INDEX(CSCORIO!$D:$D,MATCH($C245,CSCORIO!$A:$A,0)),
IF(CONCATENATE($A245,$B245)="MERC",INDEX(MERCADO!$E:$E,MATCH($C245,MERCADO!$A:$A,0)),
IF(CONCATENATE($A245,$B245)="CCOMP",INDEX(COMPOSICAO!$H:$H,MATCH($C245,COMPOSICAO!$A:$A,0)),""
)))))))),""))</f>
        <v>9.2899999999999991</v>
      </c>
      <c r="H245" s="284">
        <f t="shared" ref="H245:H248" si="40">IF(B245="","",ROUND(G245*F245,2))</f>
        <v>42.92</v>
      </c>
    </row>
    <row r="246" spans="1:9" ht="63.75">
      <c r="A246" s="141" t="s">
        <v>21960</v>
      </c>
      <c r="B246" s="141" t="s">
        <v>26583</v>
      </c>
      <c r="C246" s="141">
        <v>190417</v>
      </c>
      <c r="D246" s="142" t="str">
        <f>PROPER(IFERROR(
IF(C246="","",
IF(CONCATENATE($A246,$B246)="IDER-ES",INDEX('IDER-ES'!$B:$B,MATCH($C246,'IDER-ES'!$A:$A,0)),
IF(CONCATENATE($A246,$B246)="CDER-ES",INDEX('CDER-ES'!$B:$B,MATCH($C246,'CDER-ES'!$A:$A,0)),
IF(CONCATENATE($A246,$B246)="ISINAPI",INDEX(ISINAPI!$B:$B,MATCH($C246,ISINAPI!$A:$A,0)),
IF(CONCATENATE($A246,$B246)="CSINAPI",INDEX(CSINAPI!$B:$B,MATCH($C246,CSINAPI!$A:$A,0)),
IF(CONCATENATE($A246,$B246)="CCESAN",INDEX(CCESAN!$B:$B,MATCH($C246,CCESAN!$A:$A,0)),
IF(CONCATENATE($A246,$B246)="CSCORIO",INDEX(CSCORIO!$B:$B,MATCH($C246,CSCORIO!$A:$A,0)),
IF(CONCATENATE($A246,$B246)="MERC",INDEX(MERCADO!$B:$B,MATCH($C246,MERCADO!$A:$A,0)),
IF(CONCATENATE($A246,$B246)="CCOMP",INDEX(COMPOSICAO!$B:$B,MATCH($C246,COMPOSICAO!$A:$A,0)),""
))))))))),"*Verificar código*"))</f>
        <v>Pintura Com Tinta Esmalte Sintético, Marcas De Referência Suvinil, Coral Ou Metalatex, A Duas Demãos, Inclusive Fundo Anticorrosivo A Uma Demão, Em Metal</v>
      </c>
      <c r="E246" s="143" t="str">
        <f>LOWER(IFERROR(
IF(CONCATENATE($A246,$B246)="IDER-ES",INDEX('IDER-ES'!$C:$C,MATCH($C246,'IDER-ES'!$A:$A,0)),
IF(CONCATENATE($A246,$B246)="CDER-ES",INDEX('CDER-ES'!$C:$C,MATCH($C246,'CDER-ES'!$A:$A,0)),
IF(CONCATENATE($A246,$B246)="ISINAPI",INDEX(ISINAPI!$C:$C,MATCH($C246,ISINAPI!$A:$A,0)),
IF(CONCATENATE($A246,$B246)="CSINAPI",INDEX(CSINAPI!$C:$C,MATCH($C246,CSINAPI!$A:$A,0)),
IF(CONCATENATE($A246,$B246)="CCESAN",INDEX(CCESAN!$C:$C,MATCH($C246,CCESAN!$A:$A,0)),
IF(CONCATENATE($A246,$B246)="CSCORIO",INDEX(CSCORIO!$C:$C,MATCH($C246,CSCORIO!$A:$A,0)),
IF(CONCATENATE($A246,$B246)="MERC",INDEX(MERCADO!$D:$D,MATCH($C246,MERCADO!$A:$A,0)),
IF(CONCATENATE($A246,$B246)="CCOMP",INDEX(COMPOSICAO!$H:$H,MATCH($C246,COMPOSICAO!$A:$A,0)),""
)))))))),""))</f>
        <v>m²</v>
      </c>
      <c r="F246" s="182">
        <f>F245</f>
        <v>4.6199999999999992</v>
      </c>
      <c r="G246" s="284">
        <f>(IFERROR(
IF(CONCATENATE($A246,$B246)="IDER-ES",INDEX('IDER-ES'!$D:$D,MATCH($C246,'IDER-ES'!$A:$A,0)),
IF(CONCATENATE($A246,$B246)="CDER-ES",INDEX('CDER-ES'!$D:$D,MATCH($C246,'CDER-ES'!$A:$A,0)),
IF(CONCATENATE($A246,$B246)="ISINAPI",INDEX(ISINAPI!$E:$E,MATCH($C246,ISINAPI!$A:$A,0)),
IF(CONCATENATE($A246,$B246)="CSINAPI",INDEX(CSINAPI!$D:$D,MATCH($C246,CSINAPI!$A:$A,0)),
IF(CONCATENATE($A246,$B246)="CCESAN",INDEX(CCESAN!$D:$D,MATCH($C246,CCESAN!$A:$A,0)),
IF(CONCATENATE($A246,$B246)="CSCORIO",INDEX(CSCORIO!$D:$D,MATCH($C246,CSCORIO!$A:$A,0)),
IF(CONCATENATE($A246,$B246)="MERC",INDEX(MERCADO!$E:$E,MATCH($C246,MERCADO!$A:$A,0)),
IF(CONCATENATE($A246,$B246)="CCOMP",INDEX(COMPOSICAO!$H:$H,MATCH($C246,COMPOSICAO!$A:$A,0)),""
)))))))),""))</f>
        <v>20.010000000000002</v>
      </c>
      <c r="H246" s="284">
        <f t="shared" ref="H246" si="41">IF(B246="","",ROUND(G246*F246,2))</f>
        <v>92.45</v>
      </c>
    </row>
    <row r="247" spans="1:9" ht="25.5">
      <c r="A247" s="141" t="s">
        <v>21960</v>
      </c>
      <c r="B247" s="141" t="s">
        <v>1019</v>
      </c>
      <c r="C247" s="141">
        <v>88251</v>
      </c>
      <c r="D247" s="142" t="str">
        <f>PROPER(IFERROR(
IF(C247="","",
IF(CONCATENATE($A247,$B247)="IDER-ES",INDEX('IDER-ES'!$B:$B,MATCH($C247,'IDER-ES'!$A:$A,0)),
IF(CONCATENATE($A247,$B247)="CDER-ES",INDEX('CDER-ES'!$B:$B,MATCH($C247,'CDER-ES'!$A:$A,0)),
IF(CONCATENATE($A247,$B247)="ISINAPI",INDEX(ISINAPI!$B:$B,MATCH($C247,ISINAPI!$A:$A,0)),
IF(CONCATENATE($A247,$B247)="CSINAPI",INDEX(CSINAPI!$B:$B,MATCH($C247,CSINAPI!$A:$A,0)),
IF(CONCATENATE($A247,$B247)="CCESAN",INDEX(CCESAN!$B:$B,MATCH($C247,CCESAN!$A:$A,0)),
IF(CONCATENATE($A247,$B247)="CSCORIO",INDEX(CSCORIO!$B:$B,MATCH($C247,CSCORIO!$A:$A,0)),
IF(CONCATENATE($A247,$B247)="MERC",INDEX(MERCADO!$B:$B,MATCH($C247,MERCADO!$A:$A,0)),
IF(CONCATENATE($A247,$B247)="CCOMP",INDEX(COMPOSICAO!$B:$B,MATCH($C247,COMPOSICAO!$A:$A,0)),""
))))))))),"*Verificar código*"))</f>
        <v>Auxiliar De Serralheiro Com Encargos Complementares</v>
      </c>
      <c r="E247" s="143" t="str">
        <f>LOWER(IFERROR(
IF(CONCATENATE($A247,$B247)="IDER-ES",INDEX('IDER-ES'!$C:$C,MATCH($C247,'IDER-ES'!$A:$A,0)),
IF(CONCATENATE($A247,$B247)="CDER-ES",INDEX('CDER-ES'!$C:$C,MATCH($C247,'CDER-ES'!$A:$A,0)),
IF(CONCATENATE($A247,$B247)="ISINAPI",INDEX(ISINAPI!$C:$C,MATCH($C247,ISINAPI!$A:$A,0)),
IF(CONCATENATE($A247,$B247)="CSINAPI",INDEX(CSINAPI!$C:$C,MATCH($C247,CSINAPI!$A:$A,0)),
IF(CONCATENATE($A247,$B247)="CCESAN",INDEX(CCESAN!$C:$C,MATCH($C247,CCESAN!$A:$A,0)),
IF(CONCATENATE($A247,$B247)="CSCORIO",INDEX(CSCORIO!$C:$C,MATCH($C247,CSCORIO!$A:$A,0)),
IF(CONCATENATE($A247,$B247)="MERC",INDEX(MERCADO!$D:$D,MATCH($C247,MERCADO!$A:$A,0)),
IF(CONCATENATE($A247,$B247)="CCOMP",INDEX(COMPOSICAO!$H:$H,MATCH($C247,COMPOSICAO!$A:$A,0)),""
)))))))),""))</f>
        <v>h</v>
      </c>
      <c r="F247" s="182">
        <v>2.2999999999999998</v>
      </c>
      <c r="G247" s="284">
        <f>(IFERROR(
IF(CONCATENATE($A247,$B247)="IDER-ES",INDEX('IDER-ES'!$D:$D,MATCH($C247,'IDER-ES'!$A:$A,0)),
IF(CONCATENATE($A247,$B247)="CDER-ES",INDEX('CDER-ES'!$D:$D,MATCH($C247,'CDER-ES'!$A:$A,0)),
IF(CONCATENATE($A247,$B247)="ISINAPI",INDEX(ISINAPI!$E:$E,MATCH($C247,ISINAPI!$A:$A,0)),
IF(CONCATENATE($A247,$B247)="CSINAPI",INDEX(CSINAPI!$D:$D,MATCH($C247,CSINAPI!$A:$A,0)),
IF(CONCATENATE($A247,$B247)="CCESAN",INDEX(CCESAN!$D:$D,MATCH($C247,CCESAN!$A:$A,0)),
IF(CONCATENATE($A247,$B247)="CSCORIO",INDEX(CSCORIO!$D:$D,MATCH($C247,CSCORIO!$A:$A,0)),
IF(CONCATENATE($A247,$B247)="MERC",INDEX(MERCADO!$E:$E,MATCH($C247,MERCADO!$A:$A,0)),
IF(CONCATENATE($A247,$B247)="CCOMP",INDEX(COMPOSICAO!$H:$H,MATCH($C247,COMPOSICAO!$A:$A,0)),""
)))))))),""))</f>
        <v>20.34</v>
      </c>
      <c r="H247" s="284">
        <f t="shared" si="40"/>
        <v>46.78</v>
      </c>
    </row>
    <row r="248" spans="1:9" ht="25.5">
      <c r="A248" s="141" t="s">
        <v>21960</v>
      </c>
      <c r="B248" s="141" t="s">
        <v>1019</v>
      </c>
      <c r="C248" s="141">
        <v>88315</v>
      </c>
      <c r="D248" s="142" t="str">
        <f>PROPER(IFERROR(
IF(C248="","",
IF(CONCATENATE($A248,$B248)="IDER-ES",INDEX('IDER-ES'!$B:$B,MATCH($C248,'IDER-ES'!$A:$A,0)),
IF(CONCATENATE($A248,$B248)="CDER-ES",INDEX('CDER-ES'!$B:$B,MATCH($C248,'CDER-ES'!$A:$A,0)),
IF(CONCATENATE($A248,$B248)="ISINAPI",INDEX(ISINAPI!$B:$B,MATCH($C248,ISINAPI!$A:$A,0)),
IF(CONCATENATE($A248,$B248)="CSINAPI",INDEX(CSINAPI!$B:$B,MATCH($C248,CSINAPI!$A:$A,0)),
IF(CONCATENATE($A248,$B248)="CCESAN",INDEX(CCESAN!$B:$B,MATCH($C248,CCESAN!$A:$A,0)),
IF(CONCATENATE($A248,$B248)="CSCORIO",INDEX(CSCORIO!$B:$B,MATCH($C248,CSCORIO!$A:$A,0)),
IF(CONCATENATE($A248,$B248)="MERC",INDEX(MERCADO!$B:$B,MATCH($C248,MERCADO!$A:$A,0)),
IF(CONCATENATE($A248,$B248)="CCOMP",INDEX(COMPOSICAO!$B:$B,MATCH($C248,COMPOSICAO!$A:$A,0)),""
))))))))),"*Verificar código*"))</f>
        <v>Serralheiro Com Encargos Complementares</v>
      </c>
      <c r="E248" s="143" t="str">
        <f>LOWER(IFERROR(
IF(CONCATENATE($A248,$B248)="IDER-ES",INDEX('IDER-ES'!$C:$C,MATCH($C248,'IDER-ES'!$A:$A,0)),
IF(CONCATENATE($A248,$B248)="CDER-ES",INDEX('CDER-ES'!$C:$C,MATCH($C248,'CDER-ES'!$A:$A,0)),
IF(CONCATENATE($A248,$B248)="ISINAPI",INDEX(ISINAPI!$C:$C,MATCH($C248,ISINAPI!$A:$A,0)),
IF(CONCATENATE($A248,$B248)="CSINAPI",INDEX(CSINAPI!$C:$C,MATCH($C248,CSINAPI!$A:$A,0)),
IF(CONCATENATE($A248,$B248)="CCESAN",INDEX(CCESAN!$C:$C,MATCH($C248,CCESAN!$A:$A,0)),
IF(CONCATENATE($A248,$B248)="CSCORIO",INDEX(CSCORIO!$C:$C,MATCH($C248,CSCORIO!$A:$A,0)),
IF(CONCATENATE($A248,$B248)="MERC",INDEX(MERCADO!$D:$D,MATCH($C248,MERCADO!$A:$A,0)),
IF(CONCATENATE($A248,$B248)="CCOMP",INDEX(COMPOSICAO!$H:$H,MATCH($C248,COMPOSICAO!$A:$A,0)),""
)))))))),""))</f>
        <v>h</v>
      </c>
      <c r="F248" s="182">
        <v>4.5999999999999996</v>
      </c>
      <c r="G248" s="284">
        <f>(IFERROR(
IF(CONCATENATE($A248,$B248)="IDER-ES",INDEX('IDER-ES'!$D:$D,MATCH($C248,'IDER-ES'!$A:$A,0)),
IF(CONCATENATE($A248,$B248)="CDER-ES",INDEX('CDER-ES'!$D:$D,MATCH($C248,'CDER-ES'!$A:$A,0)),
IF(CONCATENATE($A248,$B248)="ISINAPI",INDEX(ISINAPI!$E:$E,MATCH($C248,ISINAPI!$A:$A,0)),
IF(CONCATENATE($A248,$B248)="CSINAPI",INDEX(CSINAPI!$D:$D,MATCH($C248,CSINAPI!$A:$A,0)),
IF(CONCATENATE($A248,$B248)="CCESAN",INDEX(CCESAN!$D:$D,MATCH($C248,CCESAN!$A:$A,0)),
IF(CONCATENATE($A248,$B248)="CSCORIO",INDEX(CSCORIO!$D:$D,MATCH($C248,CSCORIO!$A:$A,0)),
IF(CONCATENATE($A248,$B248)="MERC",INDEX(MERCADO!$E:$E,MATCH($C248,MERCADO!$A:$A,0)),
IF(CONCATENATE($A248,$B248)="CCOMP",INDEX(COMPOSICAO!$H:$H,MATCH($C248,COMPOSICAO!$A:$A,0)),""
)))))))),""))</f>
        <v>25.1</v>
      </c>
      <c r="H248" s="284">
        <f t="shared" si="40"/>
        <v>115.46</v>
      </c>
    </row>
    <row r="250" spans="1:9" s="135" customFormat="1" ht="20.100000000000001" customHeight="1">
      <c r="A250" s="186" t="s">
        <v>1020</v>
      </c>
      <c r="B250" s="405" t="s">
        <v>1022</v>
      </c>
      <c r="C250" s="406"/>
      <c r="D250" s="406"/>
      <c r="E250" s="406"/>
      <c r="F250" s="407"/>
      <c r="G250" s="133" t="s">
        <v>19692</v>
      </c>
      <c r="H250" s="134" t="s">
        <v>19678</v>
      </c>
      <c r="I250" s="263"/>
    </row>
    <row r="251" spans="1:9" ht="45" customHeight="1">
      <c r="A251" s="136">
        <f>COUNTIF($A$4:$A250,$A$4)</f>
        <v>24</v>
      </c>
      <c r="B251" s="408" t="s">
        <v>28618</v>
      </c>
      <c r="C251" s="409"/>
      <c r="D251" s="409"/>
      <c r="E251" s="409"/>
      <c r="F251" s="410"/>
      <c r="G251" s="137" t="s">
        <v>19692</v>
      </c>
      <c r="H251" s="211">
        <f>SUM(H253:H257)</f>
        <v>2144.87</v>
      </c>
    </row>
    <row r="252" spans="1:9" ht="30" customHeight="1">
      <c r="A252" s="139" t="s">
        <v>1026</v>
      </c>
      <c r="B252" s="139" t="s">
        <v>1027</v>
      </c>
      <c r="C252" s="139" t="s">
        <v>31</v>
      </c>
      <c r="D252" s="139" t="s">
        <v>1023</v>
      </c>
      <c r="E252" s="139" t="s">
        <v>32</v>
      </c>
      <c r="F252" s="183" t="s">
        <v>2343</v>
      </c>
      <c r="G252" s="140" t="s">
        <v>19676</v>
      </c>
      <c r="H252" s="140" t="s">
        <v>19677</v>
      </c>
    </row>
    <row r="253" spans="1:9" ht="38.25">
      <c r="A253" s="141" t="s">
        <v>26621</v>
      </c>
      <c r="B253" s="141" t="s">
        <v>1019</v>
      </c>
      <c r="C253" s="141">
        <v>5031</v>
      </c>
      <c r="D253" s="142" t="str">
        <f>PROPER(IFERROR(
IF(C253="","",
IF(CONCATENATE($A253,$B253)="IDER-ES",INDEX('IDER-ES'!$B:$B,MATCH($C253,'IDER-ES'!$A:$A,0)),
IF(CONCATENATE($A253,$B253)="CDER-ES",INDEX('CDER-ES'!$B:$B,MATCH($C253,'CDER-ES'!$A:$A,0)),
IF(CONCATENATE($A253,$B253)="ISINAPI",INDEX(ISINAPI!$B:$B,MATCH($C253,ISINAPI!$A:$A,0)),
IF(CONCATENATE($A253,$B253)="CSINAPI",INDEX(CSINAPI!$B:$B,MATCH($C253,CSINAPI!$A:$A,0)),
IF(CONCATENATE($A253,$B253)="CCESAN",INDEX(CCESAN!$B:$B,MATCH($C253,CCESAN!$A:$A,0)),
IF(CONCATENATE($A253,$B253)="CSCORIO",INDEX(CSCORIO!#REF!,MATCH($C253,CSCORIO!#REF!,0)),
IF(CONCATENATE($A253,$B253)="MERC",INDEX(MERCADO!$B:$B,MATCH($C253,MERCADO!$A:$A,0)),
IF(CONCATENATE($A253,$B253)="CCOMP",INDEX(COMPOSICAO!$B:$B,MATCH($C253,COMPOSICAO!$A:$A,0)),""
))))))))),"*Verificar código*"))</f>
        <v xml:space="preserve">Vidro Temperado Incolor Para Porta De Abrir, E = 10 Mm (Sem Ferragens E Sem Colocacao)                                                                                                                                                                                                                                                                                                                                                                                                                    </v>
      </c>
      <c r="E253" s="143" t="str">
        <f>LOWER(IFERROR(
IF(CONCATENATE($A253,$B253)="IDER-ES",INDEX('IDER-ES'!$C:$C,MATCH($C253,'IDER-ES'!$A:$A,0)),
IF(CONCATENATE($A253,$B253)="CIOPES",INDEX('CDER-ES'!$C:$C,MATCH($C253,'CDER-ES'!$A:$A,0)),
IF(CONCATENATE($A253,$B253)="ISINAPI",INDEX(ISINAPI!$C:$C,MATCH($C253,ISINAPI!$A:$A,0)),
IF(CONCATENATE($A253,$B253)="CSINAPI",INDEX(CSINAPI!$C:$C,MATCH($C253,CSINAPI!$A:$A,0)),
IF(CONCATENATE($A253,$B253)="CCESAN",INDEX(CCESAN!$C:$C,MATCH($C253,CCESAN!$A:$A,0)),
IF(CONCATENATE($A253,$B253)="CSCORIO",INDEX(CSCORIO!$A:$A,MATCH($C253,CSCORIO!#REF!,0)),
IF(CONCATENATE($A253,$B253)="MERC",INDEX(MERCADO!$D:$D,MATCH($C253,MERCADO!$A:$A,0)),
IF(CONCATENATE($A253,$B253)="CCOMP",INDEX(COMPOSICAO!$H:$H,MATCH($C253,COMPOSICAO!$A:$A,0)),""
)))))))),""))</f>
        <v xml:space="preserve">m²    </v>
      </c>
      <c r="F253" s="182">
        <f>1.4*1.65</f>
        <v>2.3099999999999996</v>
      </c>
      <c r="G253" s="144">
        <f>(IFERROR(
IF(CONCATENATE($A253,$B253)="IDER-ES",INDEX('IDER-ES'!$D:$D,MATCH($C253,'IDER-ES'!$A:$A,0)),
IF(CONCATENATE($A253,$B253)="CIOPES",INDEX('CDER-ES'!$D:$D,MATCH($C253,'CDER-ES'!$A:$A,0)),
IF(CONCATENATE($A253,$B253)="ISINAPI",INDEX(ISINAPI!$E:$E,MATCH($C253,ISINAPI!$A:$A,0)),
IF(CONCATENATE($A253,$B253)="CSINAPI",INDEX(CSINAPI!$D:$D,MATCH($C253,CSINAPI!$A:$A,0)),
IF(CONCATENATE($A253,$B253)="CCESAN",INDEX(CCESAN!$D:$D,MATCH($C253,CCESAN!$A:$A,0)),
IF(CONCATENATE($A253,$B253)="CSCORIO",INDEX(CSCORIO!$B:$B,MATCH($C253,CSCORIO!#REF!,0)),
IF(CONCATENATE($A253,$B253)="MERC",INDEX(MERCADO!$E:$E,MATCH($C253,MERCADO!$A:$A,0)),
IF(CONCATENATE($A253,$B253)="CCOMP",INDEX(COMPOSICAO!$H:$H,MATCH($C253,COMPOSICAO!$A:$A,0)),""
)))))))),""))</f>
        <v>531.41</v>
      </c>
      <c r="H253" s="144">
        <f t="shared" ref="H253:H257" si="42">IF(B253="","",ROUND(G253*F253,2))</f>
        <v>1227.56</v>
      </c>
    </row>
    <row r="254" spans="1:9" ht="38.25">
      <c r="A254" s="141" t="s">
        <v>21960</v>
      </c>
      <c r="B254" s="141" t="s">
        <v>1019</v>
      </c>
      <c r="C254" s="141">
        <v>102181</v>
      </c>
      <c r="D254" s="142" t="str">
        <f>PROPER(IFERROR(
IF(C254="","",
IF(CONCATENATE($A254,$B254)="IDER-ES",INDEX('IDER-ES'!$B:$B,MATCH($C254,'IDER-ES'!$A:$A,0)),
IF(CONCATENATE($A254,$B254)="CDER-ES",INDEX('CDER-ES'!$B:$B,MATCH($C254,'CDER-ES'!$A:$A,0)),
IF(CONCATENATE($A254,$B254)="ISINAPI",INDEX(ISINAPI!$B:$B,MATCH($C254,ISINAPI!$A:$A,0)),
IF(CONCATENATE($A254,$B254)="CSINAPI",INDEX(CSINAPI!$B:$B,MATCH($C254,CSINAPI!$A:$A,0)),
IF(CONCATENATE($A254,$B254)="CCESAN",INDEX(CCESAN!$B:$B,MATCH($C254,CCESAN!$A:$A,0)),
IF(CONCATENATE($A254,$B254)="CSCORIO",INDEX(CSCORIO!#REF!,MATCH($C254,CSCORIO!#REF!,0)),
IF(CONCATENATE($A254,$B254)="MERC",INDEX(MERCADO!$B:$B,MATCH($C254,MERCADO!$A:$A,0)),
IF(CONCATENATE($A254,$B254)="CCOMP",INDEX(COMPOSICAO!$B:$B,MATCH($C254,COMPOSICAO!$A:$A,0)),""
))))))))),"*Verificar código*"))</f>
        <v>Instalação De Vidro Temperado, E = 10 Mm, Encaixado Em Perfil U. Af_01/2021_P</v>
      </c>
      <c r="E254" s="143" t="str">
        <f>LOWER(IFERROR(
IF(CONCATENATE($A254,$B254)="IDER-ES",INDEX('IDER-ES'!$C:$C,MATCH($C254,'IDER-ES'!$A:$A,0)),
IF(CONCATENATE($A254,$B254)="CIOPES",INDEX('CDER-ES'!$C:$C,MATCH($C254,'CDER-ES'!$A:$A,0)),
IF(CONCATENATE($A254,$B254)="ISINAPI",INDEX(ISINAPI!$C:$C,MATCH($C254,ISINAPI!$A:$A,0)),
IF(CONCATENATE($A254,$B254)="CSINAPI",INDEX(CSINAPI!$C:$C,MATCH($C254,CSINAPI!$A:$A,0)),
IF(CONCATENATE($A254,$B254)="CCESAN",INDEX(CCESAN!$C:$C,MATCH($C254,CCESAN!$A:$A,0)),
IF(CONCATENATE($A254,$B254)="CSCORIO",INDEX(CSCORIO!$A:$A,MATCH($C254,CSCORIO!#REF!,0)),
IF(CONCATENATE($A254,$B254)="MERC",INDEX(MERCADO!$D:$D,MATCH($C254,MERCADO!$A:$A,0)),
IF(CONCATENATE($A254,$B254)="CCOMP",INDEX(COMPOSICAO!$H:$H,MATCH($C254,COMPOSICAO!$A:$A,0)),""
)))))))),""))</f>
        <v>m²</v>
      </c>
      <c r="F254" s="182">
        <f>1.4*0.4</f>
        <v>0.55999999999999994</v>
      </c>
      <c r="G254" s="144">
        <f>(IFERROR(
IF(CONCATENATE($A254,$B254)="IDER-ES",INDEX('IDER-ES'!$D:$D,MATCH($C254,'IDER-ES'!$A:$A,0)),
IF(CONCATENATE($A254,$B254)="CIOPES",INDEX('CDER-ES'!$D:$D,MATCH($C254,'CDER-ES'!$A:$A,0)),
IF(CONCATENATE($A254,$B254)="ISINAPI",INDEX(ISINAPI!$E:$E,MATCH($C254,ISINAPI!$A:$A,0)),
IF(CONCATENATE($A254,$B254)="CSINAPI",INDEX(CSINAPI!$D:$D,MATCH($C254,CSINAPI!$A:$A,0)),
IF(CONCATENATE($A254,$B254)="CCESAN",INDEX(CCESAN!$D:$D,MATCH($C254,CCESAN!$A:$A,0)),
IF(CONCATENATE($A254,$B254)="CSCORIO",INDEX(CSCORIO!$B:$B,MATCH($C254,CSCORIO!#REF!,0)),
IF(CONCATENATE($A254,$B254)="MERC",INDEX(MERCADO!$E:$E,MATCH($C254,MERCADO!$A:$A,0)),
IF(CONCATENATE($A254,$B254)="CCOMP",INDEX(COMPOSICAO!$H:$H,MATCH($C254,COMPOSICAO!$A:$A,0)),""
)))))))),""))</f>
        <v>597.07000000000005</v>
      </c>
      <c r="H254" s="144">
        <f t="shared" si="42"/>
        <v>334.36</v>
      </c>
    </row>
    <row r="255" spans="1:9" ht="76.5">
      <c r="A255" s="141" t="s">
        <v>21960</v>
      </c>
      <c r="B255" s="141" t="s">
        <v>1019</v>
      </c>
      <c r="C255" s="141">
        <v>102189</v>
      </c>
      <c r="D255" s="142" t="str">
        <f>PROPER(IFERROR(
IF(C255="","",
IF(CONCATENATE($A255,$B255)="IDER-ES",INDEX('IDER-ES'!$B:$B,MATCH($C255,'IDER-ES'!$A:$A,0)),
IF(CONCATENATE($A255,$B255)="CDER-ES",INDEX('CDER-ES'!$B:$B,MATCH($C255,'CDER-ES'!$A:$A,0)),
IF(CONCATENATE($A255,$B255)="ISINAPI",INDEX(ISINAPI!$B:$B,MATCH($C255,ISINAPI!$A:$A,0)),
IF(CONCATENATE($A255,$B255)="CSINAPI",INDEX(CSINAPI!$B:$B,MATCH($C255,CSINAPI!$A:$A,0)),
IF(CONCATENATE($A255,$B255)="CCESAN",INDEX(CCESAN!$B:$B,MATCH($C255,CCESAN!$A:$A,0)),
IF(CONCATENATE($A255,$B255)="CSCORIO",INDEX(CSCORIO!#REF!,MATCH($C255,CSCORIO!#REF!,0)),
IF(CONCATENATE($A255,$B255)="MERC",INDEX(MERCADO!$B:$B,MATCH($C255,MERCADO!$A:$A,0)),
IF(CONCATENATE($A255,$B255)="CCOMP",INDEX(COMPOSICAO!$B:$B,MATCH($C255,COMPOSICAO!$A:$A,0)),""
))))))))),"*Verificar código*"))</f>
        <v>Jogo De Ferragens Cromadas Para Porta De Vidro Temperado, Uma Folha Composto De Dobradicas Superior E Inferior, Trinco, Fechadura, Contra Fechadura Com Capuchinho Sem Mola E Puxador. Af_01/2021</v>
      </c>
      <c r="E255" s="143" t="str">
        <f>LOWER(IFERROR(
IF(CONCATENATE($A255,$B255)="IDER-ES",INDEX('IDER-ES'!$C:$C,MATCH($C255,'IDER-ES'!$A:$A,0)),
IF(CONCATENATE($A255,$B255)="CIOPES",INDEX('CDER-ES'!$C:$C,MATCH($C255,'CDER-ES'!$A:$A,0)),
IF(CONCATENATE($A255,$B255)="ISINAPI",INDEX(ISINAPI!$C:$C,MATCH($C255,ISINAPI!$A:$A,0)),
IF(CONCATENATE($A255,$B255)="CSINAPI",INDEX(CSINAPI!$C:$C,MATCH($C255,CSINAPI!$A:$A,0)),
IF(CONCATENATE($A255,$B255)="CCESAN",INDEX(CCESAN!$C:$C,MATCH($C255,CCESAN!$A:$A,0)),
IF(CONCATENATE($A255,$B255)="CSCORIO",INDEX(CSCORIO!$A:$A,MATCH($C255,CSCORIO!#REF!,0)),
IF(CONCATENATE($A255,$B255)="MERC",INDEX(MERCADO!$D:$D,MATCH($C255,MERCADO!$A:$A,0)),
IF(CONCATENATE($A255,$B255)="CCOMP",INDEX(COMPOSICAO!$H:$H,MATCH($C255,COMPOSICAO!$A:$A,0)),""
)))))))),""))</f>
        <v>und</v>
      </c>
      <c r="F255" s="182">
        <v>2</v>
      </c>
      <c r="G255" s="144">
        <f>(IFERROR(
IF(CONCATENATE($A255,$B255)="IDER-ES",INDEX('IDER-ES'!$D:$D,MATCH($C255,'IDER-ES'!$A:$A,0)),
IF(CONCATENATE($A255,$B255)="CIOPES",INDEX('CDER-ES'!$D:$D,MATCH($C255,'CDER-ES'!$A:$A,0)),
IF(CONCATENATE($A255,$B255)="ISINAPI",INDEX(ISINAPI!$E:$E,MATCH($C255,ISINAPI!$A:$A,0)),
IF(CONCATENATE($A255,$B255)="CSINAPI",INDEX(CSINAPI!$D:$D,MATCH($C255,CSINAPI!$A:$A,0)),
IF(CONCATENATE($A255,$B255)="CCESAN",INDEX(CCESAN!$D:$D,MATCH($C255,CCESAN!$A:$A,0)),
IF(CONCATENATE($A255,$B255)="CSCORIO",INDEX(CSCORIO!$B:$B,MATCH($C255,CSCORIO!#REF!,0)),
IF(CONCATENATE($A255,$B255)="MERC",INDEX(MERCADO!$E:$E,MATCH($C255,MERCADO!$A:$A,0)),
IF(CONCATENATE($A255,$B255)="CCOMP",INDEX(COMPOSICAO!$H:$H,MATCH($C255,COMPOSICAO!$A:$A,0)),""
)))))))),""))</f>
        <v>208.31</v>
      </c>
      <c r="H255" s="144">
        <f t="shared" si="42"/>
        <v>416.62</v>
      </c>
    </row>
    <row r="256" spans="1:9" ht="25.5">
      <c r="A256" s="141" t="s">
        <v>21960</v>
      </c>
      <c r="B256" s="141" t="s">
        <v>1019</v>
      </c>
      <c r="C256" s="141">
        <v>88316</v>
      </c>
      <c r="D256" s="142" t="str">
        <f>PROPER(IFERROR(
IF(C256="","",
IF(CONCATENATE($A256,$B256)="IDER-ES",INDEX('IDER-ES'!$B:$B,MATCH($C256,'IDER-ES'!$A:$A,0)),
IF(CONCATENATE($A256,$B256)="CDER-ES",INDEX('CDER-ES'!$B:$B,MATCH($C256,'CDER-ES'!$A:$A,0)),
IF(CONCATENATE($A256,$B256)="ISINAPI",INDEX(ISINAPI!$B:$B,MATCH($C256,ISINAPI!$A:$A,0)),
IF(CONCATENATE($A256,$B256)="CSINAPI",INDEX(CSINAPI!$B:$B,MATCH($C256,CSINAPI!$A:$A,0)),
IF(CONCATENATE($A256,$B256)="CCESAN",INDEX(CCESAN!$B:$B,MATCH($C256,CCESAN!$A:$A,0)),
IF(CONCATENATE($A256,$B256)="CSCORIO",INDEX(CSCORIO!#REF!,MATCH($C256,CSCORIO!#REF!,0)),
IF(CONCATENATE($A256,$B256)="MERC",INDEX(MERCADO!$B:$B,MATCH($C256,MERCADO!$A:$A,0)),
IF(CONCATENATE($A256,$B256)="CCOMP",INDEX(COMPOSICAO!$B:$B,MATCH($C256,COMPOSICAO!$A:$A,0)),""
))))))))),"*Verificar código*"))</f>
        <v>Servente Com Encargos Complementares</v>
      </c>
      <c r="E256" s="143" t="str">
        <f>LOWER(IFERROR(
IF(CONCATENATE($A256,$B256)="IDER-ES",INDEX('IDER-ES'!$C:$C,MATCH($C256,'IDER-ES'!$A:$A,0)),
IF(CONCATENATE($A256,$B256)="CIOPES",INDEX('CDER-ES'!$C:$C,MATCH($C256,'CDER-ES'!$A:$A,0)),
IF(CONCATENATE($A256,$B256)="ISINAPI",INDEX(ISINAPI!$C:$C,MATCH($C256,ISINAPI!$A:$A,0)),
IF(CONCATENATE($A256,$B256)="CSINAPI",INDEX(CSINAPI!$C:$C,MATCH($C256,CSINAPI!$A:$A,0)),
IF(CONCATENATE($A256,$B256)="CCESAN",INDEX(CCESAN!$C:$C,MATCH($C256,CCESAN!$A:$A,0)),
IF(CONCATENATE($A256,$B256)="CSCORIO",INDEX(CSCORIO!$A:$A,MATCH($C256,CSCORIO!#REF!,0)),
IF(CONCATENATE($A256,$B256)="MERC",INDEX(MERCADO!$D:$D,MATCH($C256,MERCADO!$A:$A,0)),
IF(CONCATENATE($A256,$B256)="CCOMP",INDEX(COMPOSICAO!$H:$H,MATCH($C256,COMPOSICAO!$A:$A,0)),""
)))))))),""))</f>
        <v>h</v>
      </c>
      <c r="F256" s="182">
        <f>1.67*F253</f>
        <v>3.857699999999999</v>
      </c>
      <c r="G256" s="144">
        <f>(IFERROR(
IF(CONCATENATE($A256,$B256)="IDER-ES",INDEX('IDER-ES'!$D:$D,MATCH($C256,'IDER-ES'!$A:$A,0)),
IF(CONCATENATE($A256,$B256)="CIOPES",INDEX('CDER-ES'!$D:$D,MATCH($C256,'CDER-ES'!$A:$A,0)),
IF(CONCATENATE($A256,$B256)="ISINAPI",INDEX(ISINAPI!$E:$E,MATCH($C256,ISINAPI!$A:$A,0)),
IF(CONCATENATE($A256,$B256)="CSINAPI",INDEX(CSINAPI!$D:$D,MATCH($C256,CSINAPI!$A:$A,0)),
IF(CONCATENATE($A256,$B256)="CCESAN",INDEX(CCESAN!$D:$D,MATCH($C256,CCESAN!$A:$A,0)),
IF(CONCATENATE($A256,$B256)="CSCORIO",INDEX(CSCORIO!$B:$B,MATCH($C256,CSCORIO!#REF!,0)),
IF(CONCATENATE($A256,$B256)="MERC",INDEX(MERCADO!$E:$E,MATCH($C256,MERCADO!$A:$A,0)),
IF(CONCATENATE($A256,$B256)="CCOMP",INDEX(COMPOSICAO!$H:$H,MATCH($C256,COMPOSICAO!$A:$A,0)),""
)))))))),""))</f>
        <v>18.11</v>
      </c>
      <c r="H256" s="144">
        <f t="shared" si="42"/>
        <v>69.86</v>
      </c>
    </row>
    <row r="257" spans="1:9" ht="25.5">
      <c r="A257" s="141" t="s">
        <v>21960</v>
      </c>
      <c r="B257" s="141" t="s">
        <v>1019</v>
      </c>
      <c r="C257" s="141">
        <v>88325</v>
      </c>
      <c r="D257" s="142" t="str">
        <f>PROPER(IFERROR(
IF(C257="","",
IF(CONCATENATE($A257,$B257)="IDER-ES",INDEX('IDER-ES'!$B:$B,MATCH($C257,'IDER-ES'!$A:$A,0)),
IF(CONCATENATE($A257,$B257)="CDER-ES",INDEX('CDER-ES'!$B:$B,MATCH($C257,'CDER-ES'!$A:$A,0)),
IF(CONCATENATE($A257,$B257)="ISINAPI",INDEX(ISINAPI!$B:$B,MATCH($C257,ISINAPI!$A:$A,0)),
IF(CONCATENATE($A257,$B257)="CSINAPI",INDEX(CSINAPI!$B:$B,MATCH($C257,CSINAPI!$A:$A,0)),
IF(CONCATENATE($A257,$B257)="CCESAN",INDEX(CCESAN!$B:$B,MATCH($C257,CCESAN!$A:$A,0)),
IF(CONCATENATE($A257,$B257)="CSCORIO",INDEX(CSCORIO!#REF!,MATCH($C257,CSCORIO!#REF!,0)),
IF(CONCATENATE($A257,$B257)="MERC",INDEX(MERCADO!$B:$B,MATCH($C257,MERCADO!$A:$A,0)),
IF(CONCATENATE($A257,$B257)="CCOMP",INDEX(COMPOSICAO!$B:$B,MATCH($C257,COMPOSICAO!$A:$A,0)),""
))))))))),"*Verificar código*"))</f>
        <v>Vidraceiro Com Encargos Complementares</v>
      </c>
      <c r="E257" s="143" t="str">
        <f>LOWER(IFERROR(
IF(CONCATENATE($A257,$B257)="IDER-ES",INDEX('IDER-ES'!$C:$C,MATCH($C257,'IDER-ES'!$A:$A,0)),
IF(CONCATENATE($A257,$B257)="CIOPES",INDEX('CDER-ES'!$C:$C,MATCH($C257,'CDER-ES'!$A:$A,0)),
IF(CONCATENATE($A257,$B257)="ISINAPI",INDEX(ISINAPI!$C:$C,MATCH($C257,ISINAPI!$A:$A,0)),
IF(CONCATENATE($A257,$B257)="CSINAPI",INDEX(CSINAPI!$C:$C,MATCH($C257,CSINAPI!$A:$A,0)),
IF(CONCATENATE($A257,$B257)="CCESAN",INDEX(CCESAN!$C:$C,MATCH($C257,CCESAN!$A:$A,0)),
IF(CONCATENATE($A257,$B257)="CSCORIO",INDEX(CSCORIO!$A:$A,MATCH($C257,CSCORIO!#REF!,0)),
IF(CONCATENATE($A257,$B257)="MERC",INDEX(MERCADO!$D:$D,MATCH($C257,MERCADO!$A:$A,0)),
IF(CONCATENATE($A257,$B257)="CCOMP",INDEX(COMPOSICAO!$H:$H,MATCH($C257,COMPOSICAO!$A:$A,0)),""
)))))))),""))</f>
        <v>h</v>
      </c>
      <c r="F257" s="182">
        <f>1.72*F253</f>
        <v>3.9731999999999994</v>
      </c>
      <c r="G257" s="144">
        <f>(IFERROR(
IF(CONCATENATE($A257,$B257)="IDER-ES",INDEX('IDER-ES'!$D:$D,MATCH($C257,'IDER-ES'!$A:$A,0)),
IF(CONCATENATE($A257,$B257)="CIOPES",INDEX('CDER-ES'!$D:$D,MATCH($C257,'CDER-ES'!$A:$A,0)),
IF(CONCATENATE($A257,$B257)="ISINAPI",INDEX(ISINAPI!$E:$E,MATCH($C257,ISINAPI!$A:$A,0)),
IF(CONCATENATE($A257,$B257)="CSINAPI",INDEX(CSINAPI!$D:$D,MATCH($C257,CSINAPI!$A:$A,0)),
IF(CONCATENATE($A257,$B257)="CCESAN",INDEX(CCESAN!$D:$D,MATCH($C257,CCESAN!$A:$A,0)),
IF(CONCATENATE($A257,$B257)="CSCORIO",INDEX(CSCORIO!$B:$B,MATCH($C257,CSCORIO!#REF!,0)),
IF(CONCATENATE($A257,$B257)="MERC",INDEX(MERCADO!$E:$E,MATCH($C257,MERCADO!$A:$A,0)),
IF(CONCATENATE($A257,$B257)="CCOMP",INDEX(COMPOSICAO!$H:$H,MATCH($C257,COMPOSICAO!$A:$A,0)),""
)))))))),""))</f>
        <v>24.28</v>
      </c>
      <c r="H257" s="144">
        <f t="shared" si="42"/>
        <v>96.47</v>
      </c>
    </row>
    <row r="259" spans="1:9" s="135" customFormat="1" ht="19.5" customHeight="1">
      <c r="A259" s="186" t="s">
        <v>1020</v>
      </c>
      <c r="B259" s="405" t="s">
        <v>1022</v>
      </c>
      <c r="C259" s="406"/>
      <c r="D259" s="406"/>
      <c r="E259" s="406"/>
      <c r="F259" s="407"/>
      <c r="G259" s="133" t="s">
        <v>19692</v>
      </c>
      <c r="H259" s="134" t="s">
        <v>19678</v>
      </c>
      <c r="I259" s="263"/>
    </row>
    <row r="260" spans="1:9" ht="90" customHeight="1">
      <c r="A260" s="136">
        <f>COUNTIF($A$4:$A259,$A$4)</f>
        <v>25</v>
      </c>
      <c r="B260" s="408" t="s">
        <v>28619</v>
      </c>
      <c r="C260" s="409"/>
      <c r="D260" s="409"/>
      <c r="E260" s="409"/>
      <c r="F260" s="410"/>
      <c r="G260" s="137" t="s">
        <v>19692</v>
      </c>
      <c r="H260" s="211">
        <f>SUM(H262:H268)</f>
        <v>2677.8</v>
      </c>
    </row>
    <row r="261" spans="1:9" ht="30" customHeight="1">
      <c r="A261" s="139" t="s">
        <v>1026</v>
      </c>
      <c r="B261" s="139" t="s">
        <v>1027</v>
      </c>
      <c r="C261" s="139" t="s">
        <v>31</v>
      </c>
      <c r="D261" s="139" t="s">
        <v>1023</v>
      </c>
      <c r="E261" s="139" t="s">
        <v>32</v>
      </c>
      <c r="F261" s="183" t="s">
        <v>2343</v>
      </c>
      <c r="G261" s="140" t="s">
        <v>19676</v>
      </c>
      <c r="H261" s="140" t="s">
        <v>19677</v>
      </c>
    </row>
    <row r="262" spans="1:9" ht="102">
      <c r="A262" s="141" t="s">
        <v>21960</v>
      </c>
      <c r="B262" s="141" t="s">
        <v>2173</v>
      </c>
      <c r="C262" s="141" t="s">
        <v>10508</v>
      </c>
      <c r="D262" s="142" t="str">
        <f>PROPER(IFERROR(
IF(C262="","",
IF(CONCATENATE($A262,$B262)="IDER-ES",INDEX('IDER-ES'!$B:$B,MATCH($C262,'IDER-ES'!$A:$A,0)),
IF(CONCATENATE($A262,$B262)="CDER-ES",INDEX('CDER-ES'!$B:$B,MATCH($C262,'CDER-ES'!$A:$A,0)),
IF(CONCATENATE($A262,$B262)="ISINAPI",INDEX(ISINAPI!$B:$B,MATCH($C262,ISINAPI!$A:$A,0)),
IF(CONCATENATE($A262,$B262)="CSINAPI",INDEX(CSINAPI!$B:$B,MATCH($C262,CSINAPI!$A:$A,0)),
IF(CONCATENATE($A262,$B262)="CCESAN",INDEX(CCESAN!$B:$B,MATCH($C262,CCESAN!$A:$A,0)),
IF(CONCATENATE($A262,$B262)="CSCORIO",INDEX(CSCORIO!$B:$B,MATCH($C262,CSCORIO!$A:$A,0)),
IF(CONCATENATE($A262,$B262)="MERC",INDEX(MERCADO!$B:$B,MATCH($C262,MERCADO!$A:$A,0)),
IF(CONCATENATE($A262,$B262)="CCOMP",INDEX(COMPOSICAO!$B:$B,MATCH($C262,COMPOSICAO!$A:$A,0)),""
))))))))),"*Verificar código*"))</f>
        <v>Janela Veneziana Em Madeira, Medindo: (120 X 150 X 3)Cm, Tipo Vvp, Vidro E Postigo Em 2 Folhas, Inclusive Guarnição Com Marco De (7 X 3)Cm E Alizar (5 X 2)Cm.  Exclusive Fornecimento De Ferragem.  Fornecimento E Instalação.(Desonerado)</v>
      </c>
      <c r="E262" s="143" t="str">
        <f>LOWER(IFERROR(
IF(CONCATENATE($A262,$B262)="IDER-ES",INDEX('IDER-ES'!$C:$C,MATCH($C262,'IDER-ES'!$A:$A,0)),
IF(CONCATENATE($A262,$B262)="CIOPES",INDEX('CDER-ES'!$C:$C,MATCH($C262,'CDER-ES'!$A:$A,0)),
IF(CONCATENATE($A262,$B262)="ISINAPI",INDEX(ISINAPI!$C:$C,MATCH($C262,ISINAPI!$A:$A,0)),
IF(CONCATENATE($A262,$B262)="CSINAPI",INDEX(CSINAPI!$C:$C,MATCH($C262,CSINAPI!$A:$A,0)),
IF(CONCATENATE($A262,$B262)="CCESAN",INDEX(CCESAN!$C:$C,MATCH($C262,CCESAN!$A:$A,0)),
IF(CONCATENATE($A262,$B262)="CSCORIO",INDEX(CSCORIO!$C:$C,MATCH($C262,CSCORIO!$A:$A,0)),
IF(CONCATENATE($A262,$B262)="MERC",INDEX(MERCADO!$D:$D,MATCH($C262,MERCADO!$A:$A,0)),
IF(CONCATENATE($A262,$B262)="CCOMP",INDEX(COMPOSICAO!$H:$H,MATCH($C262,COMPOSICAO!$A:$A,0)),""
)))))))),""))</f>
        <v>un</v>
      </c>
      <c r="F262" s="182">
        <v>1</v>
      </c>
      <c r="G262" s="284">
        <f>(IFERROR(
IF(CONCATENATE($A262,$B262)="IDER-ES",INDEX('IDER-ES'!$D:$D,MATCH($C262,'IDER-ES'!$A:$A,0)),
IF(CONCATENATE($A262,$B262)="CIOPES",INDEX('CDER-ES'!$D:$D,MATCH($C262,'CDER-ES'!$A:$A,0)),
IF(CONCATENATE($A262,$B262)="ISINAPI",INDEX(ISINAPI!$E:$E,MATCH($C262,ISINAPI!$A:$A,0)),
IF(CONCATENATE($A262,$B262)="CSINAPI",INDEX(CSINAPI!$D:$D,MATCH($C262,CSINAPI!$A:$A,0)),
IF(CONCATENATE($A262,$B262)="CCESAN",INDEX(CCESAN!$D:$D,MATCH($C262,CCESAN!$A:$A,0)),
IF(CONCATENATE($A262,$B262)="CSCORIO",INDEX(CSCORIO!$D:$D,MATCH($C262,CSCORIO!$A:$A,0)),
IF(CONCATENATE($A262,$B262)="MERC",INDEX(MERCADO!$E:$E,MATCH($C262,MERCADO!$A:$A,0)),
IF(CONCATENATE($A262,$B262)="CCOMP",INDEX(COMPOSICAO!$H:$H,MATCH($C262,COMPOSICAO!$A:$A,0)),""
)))))))),""))</f>
        <v>1095.2</v>
      </c>
      <c r="H262" s="284">
        <f t="shared" ref="H262:H268" si="43">IF(B262="","",ROUND(G262*F262,2))</f>
        <v>1095.2</v>
      </c>
    </row>
    <row r="263" spans="1:9" ht="76.5">
      <c r="A263" s="141" t="s">
        <v>21960</v>
      </c>
      <c r="B263" s="141" t="s">
        <v>1019</v>
      </c>
      <c r="C263" s="141">
        <v>100668</v>
      </c>
      <c r="D263" s="142" t="str">
        <f>PROPER(IFERROR(
IF(C263="","",
IF(CONCATENATE($A263,$B263)="IDER-ES",INDEX('IDER-ES'!$B:$B,MATCH($C263,'IDER-ES'!$A:$A,0)),
IF(CONCATENATE($A263,$B263)="CDER-ES",INDEX('CDER-ES'!$B:$B,MATCH($C263,'CDER-ES'!$A:$A,0)),
IF(CONCATENATE($A263,$B263)="ISINAPI",INDEX(ISINAPI!$B:$B,MATCH($C263,ISINAPI!$A:$A,0)),
IF(CONCATENATE($A263,$B263)="CSINAPI",INDEX(CSINAPI!$B:$B,MATCH($C263,CSINAPI!$A:$A,0)),
IF(CONCATENATE($A263,$B263)="CCESAN",INDEX(CCESAN!$B:$B,MATCH($C263,CCESAN!$A:$A,0)),
IF(CONCATENATE($A263,$B263)="CSCORIO",INDEX(CSCORIO!$B:$B,MATCH($C263,CSCORIO!$A:$A,0)),
IF(CONCATENATE($A263,$B263)="MERC",INDEX(MERCADO!$B:$B,MATCH($C263,MERCADO!$A:$A,0)),
IF(CONCATENATE($A263,$B263)="CCOMP",INDEX(COMPOSICAO!$B:$B,MATCH($C263,COMPOSICAO!$A:$A,0)),""
))))))))),"*Verificar código*"))</f>
        <v>Janela De Madeira (Cedrinho/Angelim Ou Equiv.) Tipo Maxim-Ar, Para Vidro, Com Batente, Alizar E Ferragens. Exclusive Vidro, Acabamento E Contramarco. Fornecimento E Instalação. Af_12/2019</v>
      </c>
      <c r="E263" s="143" t="str">
        <f>LOWER(IFERROR(
IF(CONCATENATE($A263,$B263)="IDER-ES",INDEX('IDER-ES'!$C:$C,MATCH($C263,'IDER-ES'!$A:$A,0)),
IF(CONCATENATE($A263,$B263)="CIOPES",INDEX('CDER-ES'!$C:$C,MATCH($C263,'CDER-ES'!$A:$A,0)),
IF(CONCATENATE($A263,$B263)="ISINAPI",INDEX(ISINAPI!$C:$C,MATCH($C263,ISINAPI!$A:$A,0)),
IF(CONCATENATE($A263,$B263)="CSINAPI",INDEX(CSINAPI!$C:$C,MATCH($C263,CSINAPI!$A:$A,0)),
IF(CONCATENATE($A263,$B263)="CCESAN",INDEX(CCESAN!$C:$C,MATCH($C263,CCESAN!$A:$A,0)),
IF(CONCATENATE($A263,$B263)="CSCORIO",INDEX(CSCORIO!$C:$C,MATCH($C263,CSCORIO!$A:$A,0)),
IF(CONCATENATE($A263,$B263)="MERC",INDEX(MERCADO!$D:$D,MATCH($C263,MERCADO!$A:$A,0)),
IF(CONCATENATE($A263,$B263)="CCOMP",INDEX(COMPOSICAO!$H:$H,MATCH($C263,COMPOSICAO!$A:$A,0)),""
)))))))),""))</f>
        <v>m²</v>
      </c>
      <c r="F263" s="182">
        <f>1.25*0.5</f>
        <v>0.625</v>
      </c>
      <c r="G263" s="284">
        <f>(IFERROR(
IF(CONCATENATE($A263,$B263)="IDER-ES",INDEX('IDER-ES'!$D:$D,MATCH($C263,'IDER-ES'!$A:$A,0)),
IF(CONCATENATE($A263,$B263)="CIOPES",INDEX('CDER-ES'!$D:$D,MATCH($C263,'CDER-ES'!$A:$A,0)),
IF(CONCATENATE($A263,$B263)="ISINAPI",INDEX(ISINAPI!$E:$E,MATCH($C263,ISINAPI!$A:$A,0)),
IF(CONCATENATE($A263,$B263)="CSINAPI",INDEX(CSINAPI!$D:$D,MATCH($C263,CSINAPI!$A:$A,0)),
IF(CONCATENATE($A263,$B263)="CCESAN",INDEX(CCESAN!$D:$D,MATCH($C263,CCESAN!$A:$A,0)),
IF(CONCATENATE($A263,$B263)="CSCORIO",INDEX(CSCORIO!$D:$D,MATCH($C263,CSCORIO!$A:$A,0)),
IF(CONCATENATE($A263,$B263)="MERC",INDEX(MERCADO!$E:$E,MATCH($C263,MERCADO!$A:$A,0)),
IF(CONCATENATE($A263,$B263)="CCOMP",INDEX(COMPOSICAO!$H:$H,MATCH($C263,COMPOSICAO!$A:$A,0)),""
)))))))),""))</f>
        <v>1291.0899999999999</v>
      </c>
      <c r="H263" s="284">
        <f t="shared" ref="H263" si="44">IF(B263="","",ROUND(G263*F263,2))</f>
        <v>806.93</v>
      </c>
    </row>
    <row r="264" spans="1:9" ht="38.25">
      <c r="A264" s="141" t="s">
        <v>21960</v>
      </c>
      <c r="B264" s="141" t="s">
        <v>1019</v>
      </c>
      <c r="C264" s="141">
        <v>102152</v>
      </c>
      <c r="D264" s="142" t="str">
        <f>PROPER(IFERROR(
IF(C264="","",
IF(CONCATENATE($A264,$B264)="IDER-ES",INDEX('IDER-ES'!$B:$B,MATCH($C264,'IDER-ES'!$A:$A,0)),
IF(CONCATENATE($A264,$B264)="CDER-ES",INDEX('CDER-ES'!$B:$B,MATCH($C264,'CDER-ES'!$A:$A,0)),
IF(CONCATENATE($A264,$B264)="ISINAPI",INDEX(ISINAPI!$B:$B,MATCH($C264,ISINAPI!$A:$A,0)),
IF(CONCATENATE($A264,$B264)="CSINAPI",INDEX(CSINAPI!$B:$B,MATCH($C264,CSINAPI!$A:$A,0)),
IF(CONCATENATE($A264,$B264)="CCESAN",INDEX(CCESAN!$B:$B,MATCH($C264,CCESAN!$A:$A,0)),
IF(CONCATENATE($A264,$B264)="CSCORIO",INDEX(CSCORIO!$B:$B,MATCH($C264,CSCORIO!$A:$A,0)),
IF(CONCATENATE($A264,$B264)="MERC",INDEX(MERCADO!$B:$B,MATCH($C264,MERCADO!$A:$A,0)),
IF(CONCATENATE($A264,$B264)="CCOMP",INDEX(COMPOSICAO!$B:$B,MATCH($C264,COMPOSICAO!$A:$A,0)),""
))))))))),"*Verificar código*"))</f>
        <v>Instalação De Vidro Liso, E = 4 Mm, Em Esquadria De Madeira, Fixado Com Baguete. Af_01/2021</v>
      </c>
      <c r="E264" s="143" t="str">
        <f>LOWER(IFERROR(
IF(CONCATENATE($A264,$B264)="IDER-ES",INDEX('IDER-ES'!$C:$C,MATCH($C264,'IDER-ES'!$A:$A,0)),
IF(CONCATENATE($A264,$B264)="CIOPES",INDEX('CDER-ES'!$C:$C,MATCH($C264,'CDER-ES'!$A:$A,0)),
IF(CONCATENATE($A264,$B264)="ISINAPI",INDEX(ISINAPI!$C:$C,MATCH($C264,ISINAPI!$A:$A,0)),
IF(CONCATENATE($A264,$B264)="CSINAPI",INDEX(CSINAPI!$C:$C,MATCH($C264,CSINAPI!$A:$A,0)),
IF(CONCATENATE($A264,$B264)="CCESAN",INDEX(CCESAN!$C:$C,MATCH($C264,CCESAN!$A:$A,0)),
IF(CONCATENATE($A264,$B264)="CSCORIO",INDEX(CSCORIO!$C:$C,MATCH($C264,CSCORIO!$A:$A,0)),
IF(CONCATENATE($A264,$B264)="MERC",INDEX(MERCADO!$D:$D,MATCH($C264,MERCADO!$A:$A,0)),
IF(CONCATENATE($A264,$B264)="CCOMP",INDEX(COMPOSICAO!$H:$H,MATCH($C264,COMPOSICAO!$A:$A,0)),""
)))))))),""))</f>
        <v>m²</v>
      </c>
      <c r="F264" s="182">
        <f>F263</f>
        <v>0.625</v>
      </c>
      <c r="G264" s="284">
        <f>(IFERROR(
IF(CONCATENATE($A264,$B264)="IDER-ES",INDEX('IDER-ES'!$D:$D,MATCH($C264,'IDER-ES'!$A:$A,0)),
IF(CONCATENATE($A264,$B264)="CIOPES",INDEX('CDER-ES'!$D:$D,MATCH($C264,'CDER-ES'!$A:$A,0)),
IF(CONCATENATE($A264,$B264)="ISINAPI",INDEX(ISINAPI!$E:$E,MATCH($C264,ISINAPI!$A:$A,0)),
IF(CONCATENATE($A264,$B264)="CSINAPI",INDEX(CSINAPI!$D:$D,MATCH($C264,CSINAPI!$A:$A,0)),
IF(CONCATENATE($A264,$B264)="CCESAN",INDEX(CCESAN!$D:$D,MATCH($C264,CCESAN!$A:$A,0)),
IF(CONCATENATE($A264,$B264)="CSCORIO",INDEX(CSCORIO!$D:$D,MATCH($C264,CSCORIO!$A:$A,0)),
IF(CONCATENATE($A264,$B264)="MERC",INDEX(MERCADO!$E:$E,MATCH($C264,MERCADO!$A:$A,0)),
IF(CONCATENATE($A264,$B264)="CCOMP",INDEX(COMPOSICAO!$H:$H,MATCH($C264,COMPOSICAO!$A:$A,0)),""
)))))))),""))</f>
        <v>254.91</v>
      </c>
      <c r="H264" s="284">
        <f t="shared" ref="H264" si="45">IF(B264="","",ROUND(G264*F264,2))</f>
        <v>159.32</v>
      </c>
    </row>
    <row r="265" spans="1:9" ht="51">
      <c r="A265" s="141" t="s">
        <v>26621</v>
      </c>
      <c r="B265" s="141" t="s">
        <v>1019</v>
      </c>
      <c r="C265" s="141">
        <v>2432</v>
      </c>
      <c r="D265" s="142" t="str">
        <f>PROPER(IFERROR(
IF(C265="","",
IF(CONCATENATE($A265,$B265)="IDER-ES",INDEX('IDER-ES'!$B:$B,MATCH($C265,'IDER-ES'!$A:$A,0)),
IF(CONCATENATE($A265,$B265)="CDER-ES",INDEX('CDER-ES'!$B:$B,MATCH($C265,'CDER-ES'!$A:$A,0)),
IF(CONCATENATE($A265,$B265)="ISINAPI",INDEX(ISINAPI!$B:$B,MATCH($C265,ISINAPI!$A:$A,0)),
IF(CONCATENATE($A265,$B265)="CSINAPI",INDEX(CSINAPI!$B:$B,MATCH($C265,CSINAPI!$A:$A,0)),
IF(CONCATENATE($A265,$B265)="CCESAN",INDEX(CCESAN!$B:$B,MATCH($C265,CCESAN!$A:$A,0)),
IF(CONCATENATE($A265,$B265)="CSCORIO",INDEX(CSCORIO!#REF!,MATCH($C265,CSCORIO!#REF!,0)),
IF(CONCATENATE($A265,$B265)="MERC",INDEX(MERCADO!$B:$B,MATCH($C265,MERCADO!$A:$A,0)),
IF(CONCATENATE($A265,$B265)="CCOMP",INDEX(COMPOSICAO!$B:$B,MATCH($C265,COMPOSICAO!$A:$A,0)),""
))))))))),"*Verificar código*"))</f>
        <v xml:space="preserve">Dobradica Em Aco/Ferro, 3 1/2" X  3", E= 1,9  A 2 Mm, Com Anel,  Cromado Ou Zincado, Tampa Bola, Com Parafusos                                                                                                                                                                                                                                                                                                                                                                                            </v>
      </c>
      <c r="E265" s="143" t="str">
        <f>LOWER(IFERROR(
IF(CONCATENATE($A265,$B265)="IDER-ES",INDEX('IDER-ES'!$C:$C,MATCH($C265,'IDER-ES'!$A:$A,0)),
IF(CONCATENATE($A265,$B265)="CIOPES",INDEX('CDER-ES'!$C:$C,MATCH($C265,'CDER-ES'!$A:$A,0)),
IF(CONCATENATE($A265,$B265)="ISINAPI",INDEX(ISINAPI!$C:$C,MATCH($C265,ISINAPI!$A:$A,0)),
IF(CONCATENATE($A265,$B265)="CSINAPI",INDEX(CSINAPI!$C:$C,MATCH($C265,CSINAPI!$A:$A,0)),
IF(CONCATENATE($A265,$B265)="CCESAN",INDEX(CCESAN!$C:$C,MATCH($C265,CCESAN!$A:$A,0)),
IF(CONCATENATE($A265,$B265)="CSCORIO",INDEX(CSCORIO!$A:$A,MATCH($C265,CSCORIO!#REF!,0)),
IF(CONCATENATE($A265,$B265)="MERC",INDEX(MERCADO!$D:$D,MATCH($C265,MERCADO!$A:$A,0)),
IF(CONCATENATE($A265,$B265)="CCOMP",INDEX(COMPOSICAO!$H:$H,MATCH($C265,COMPOSICAO!$A:$A,0)),""
)))))))),""))</f>
        <v xml:space="preserve">un    </v>
      </c>
      <c r="F265" s="182">
        <v>20</v>
      </c>
      <c r="G265" s="144">
        <f>(IFERROR(
IF(CONCATENATE($A265,$B265)="IDER-ES",INDEX('IDER-ES'!$D:$D,MATCH($C265,'IDER-ES'!$A:$A,0)),
IF(CONCATENATE($A265,$B265)="CIOPES",INDEX('CDER-ES'!$D:$D,MATCH($C265,'CDER-ES'!$A:$A,0)),
IF(CONCATENATE($A265,$B265)="ISINAPI",INDEX(ISINAPI!$E:$E,MATCH($C265,ISINAPI!$A:$A,0)),
IF(CONCATENATE($A265,$B265)="CSINAPI",INDEX(CSINAPI!$D:$D,MATCH($C265,CSINAPI!$A:$A,0)),
IF(CONCATENATE($A265,$B265)="CCESAN",INDEX(CCESAN!$D:$D,MATCH($C265,CCESAN!$A:$A,0)),
IF(CONCATENATE($A265,$B265)="CSCORIO",INDEX(CSCORIO!$B:$B,MATCH($C265,CSCORIO!#REF!,0)),
IF(CONCATENATE($A265,$B265)="MERC",INDEX(MERCADO!$E:$E,MATCH($C265,MERCADO!$A:$A,0)),
IF(CONCATENATE($A265,$B265)="CCOMP",INDEX(COMPOSICAO!$H:$H,MATCH($C265,COMPOSICAO!$A:$A,0)),""
)))))))),""))</f>
        <v>17.2</v>
      </c>
      <c r="H265" s="144">
        <f t="shared" si="43"/>
        <v>344</v>
      </c>
    </row>
    <row r="266" spans="1:9" ht="63.75">
      <c r="A266" s="141" t="s">
        <v>26621</v>
      </c>
      <c r="B266" s="141" t="s">
        <v>1019</v>
      </c>
      <c r="C266" s="141">
        <v>3119</v>
      </c>
      <c r="D266" s="142" t="str">
        <f>PROPER(IFERROR(
IF(C266="","",
IF(CONCATENATE($A266,$B266)="IDER-ES",INDEX('IDER-ES'!$B:$B,MATCH($C266,'IDER-ES'!$A:$A,0)),
IF(CONCATENATE($A266,$B266)="CDER-ES",INDEX('CDER-ES'!$B:$B,MATCH($C266,'CDER-ES'!$A:$A,0)),
IF(CONCATENATE($A266,$B266)="ISINAPI",INDEX(ISINAPI!$B:$B,MATCH($C266,ISINAPI!$A:$A,0)),
IF(CONCATENATE($A266,$B266)="CSINAPI",INDEX(CSINAPI!$B:$B,MATCH($C266,CSINAPI!$A:$A,0)),
IF(CONCATENATE($A266,$B266)="CCESAN",INDEX(CCESAN!$B:$B,MATCH($C266,CCESAN!$A:$A,0)),
IF(CONCATENATE($A266,$B266)="CSCORIO",INDEX(CSCORIO!#REF!,MATCH($C266,CSCORIO!#REF!,0)),
IF(CONCATENATE($A266,$B266)="MERC",INDEX(MERCADO!$B:$B,MATCH($C266,MERCADO!$A:$A,0)),
IF(CONCATENATE($A266,$B266)="CCOMP",INDEX(COMPOSICAO!$B:$B,MATCH($C266,COMPOSICAO!$A:$A,0)),""
))))))))),"*Verificar código*"))</f>
        <v xml:space="preserve">Ferrolho Com Fecho / Trinco Redondo, Em Aco Galvanizado / Zincado, De Sobrepor, Com Comprimento De 2" E Espessura Minima Da Chapa De 0,90 Mm, Para Portas E Janelas                                                                                                                                                                                                                                                                                                                                       </v>
      </c>
      <c r="E266" s="143" t="str">
        <f>LOWER(IFERROR(
IF(CONCATENATE($A266,$B266)="IDER-ES",INDEX('IDER-ES'!$C:$C,MATCH($C266,'IDER-ES'!$A:$A,0)),
IF(CONCATENATE($A266,$B266)="CIOPES",INDEX('CDER-ES'!$C:$C,MATCH($C266,'CDER-ES'!$A:$A,0)),
IF(CONCATENATE($A266,$B266)="ISINAPI",INDEX(ISINAPI!$C:$C,MATCH($C266,ISINAPI!$A:$A,0)),
IF(CONCATENATE($A266,$B266)="CSINAPI",INDEX(CSINAPI!$C:$C,MATCH($C266,CSINAPI!$A:$A,0)),
IF(CONCATENATE($A266,$B266)="CCESAN",INDEX(CCESAN!$C:$C,MATCH($C266,CCESAN!$A:$A,0)),
IF(CONCATENATE($A266,$B266)="CSCORIO",INDEX(CSCORIO!$A:$A,MATCH($C266,CSCORIO!#REF!,0)),
IF(CONCATENATE($A266,$B266)="MERC",INDEX(MERCADO!$D:$D,MATCH($C266,MERCADO!$A:$A,0)),
IF(CONCATENATE($A266,$B266)="CCOMP",INDEX(COMPOSICAO!$H:$H,MATCH($C266,COMPOSICAO!$A:$A,0)),""
)))))))),""))</f>
        <v xml:space="preserve">un    </v>
      </c>
      <c r="F266" s="182">
        <v>7</v>
      </c>
      <c r="G266" s="144">
        <f>(IFERROR(
IF(CONCATENATE($A266,$B266)="IDER-ES",INDEX('IDER-ES'!$D:$D,MATCH($C266,'IDER-ES'!$A:$A,0)),
IF(CONCATENATE($A266,$B266)="CIOPES",INDEX('CDER-ES'!$D:$D,MATCH($C266,'CDER-ES'!$A:$A,0)),
IF(CONCATENATE($A266,$B266)="ISINAPI",INDEX(ISINAPI!$E:$E,MATCH($C266,ISINAPI!$A:$A,0)),
IF(CONCATENATE($A266,$B266)="CSINAPI",INDEX(CSINAPI!$D:$D,MATCH($C266,CSINAPI!$A:$A,0)),
IF(CONCATENATE($A266,$B266)="CCESAN",INDEX(CCESAN!$D:$D,MATCH($C266,CCESAN!$A:$A,0)),
IF(CONCATENATE($A266,$B266)="CSCORIO",INDEX(CSCORIO!$B:$B,MATCH($C266,CSCORIO!#REF!,0)),
IF(CONCATENATE($A266,$B266)="MERC",INDEX(MERCADO!$E:$E,MATCH($C266,MERCADO!$A:$A,0)),
IF(CONCATENATE($A266,$B266)="CCOMP",INDEX(COMPOSICAO!$H:$H,MATCH($C266,COMPOSICAO!$A:$A,0)),""
)))))))),""))</f>
        <v>2.37</v>
      </c>
      <c r="H266" s="144">
        <f t="shared" si="43"/>
        <v>16.59</v>
      </c>
    </row>
    <row r="267" spans="1:9" ht="25.5">
      <c r="A267" s="141" t="s">
        <v>21960</v>
      </c>
      <c r="B267" s="141" t="s">
        <v>1019</v>
      </c>
      <c r="C267" s="141">
        <v>102193</v>
      </c>
      <c r="D267" s="142" t="str">
        <f>PROPER(IFERROR(
IF(C267="","",
IF(CONCATENATE($A267,$B267)="IDER-ES",INDEX('IDER-ES'!$B:$B,MATCH($C267,'IDER-ES'!$A:$A,0)),
IF(CONCATENATE($A267,$B267)="CDER-ES",INDEX('CDER-ES'!$B:$B,MATCH($C267,'CDER-ES'!$A:$A,0)),
IF(CONCATENATE($A267,$B267)="ISINAPI",INDEX(ISINAPI!$B:$B,MATCH($C267,ISINAPI!$A:$A,0)),
IF(CONCATENATE($A267,$B267)="CSINAPI",INDEX(CSINAPI!$B:$B,MATCH($C267,CSINAPI!$A:$A,0)),
IF(CONCATENATE($A267,$B267)="CCESAN",INDEX(CCESAN!$B:$B,MATCH($C267,CCESAN!$A:$A,0)),
IF(CONCATENATE($A267,$B267)="CSCORIO",INDEX(CSCORIO!#REF!,MATCH($C267,CSCORIO!#REF!,0)),
IF(CONCATENATE($A267,$B267)="MERC",INDEX(MERCADO!$B:$B,MATCH($C267,MERCADO!$A:$A,0)),
IF(CONCATENATE($A267,$B267)="CCOMP",INDEX(COMPOSICAO!$B:$B,MATCH($C267,COMPOSICAO!$A:$A,0)),""
))))))))),"*Verificar código*"))</f>
        <v>Lixamento De Madeira Para Aplicação De Fundo Ou Pintura. Af_01/2021</v>
      </c>
      <c r="E267" s="143" t="str">
        <f>LOWER(IFERROR(
IF(CONCATENATE($A267,$B267)="IDER-ES",INDEX('IDER-ES'!$C:$C,MATCH($C267,'IDER-ES'!$A:$A,0)),
IF(CONCATENATE($A267,$B267)="CIOPES",INDEX('CDER-ES'!$C:$C,MATCH($C267,'CDER-ES'!$A:$A,0)),
IF(CONCATENATE($A267,$B267)="ISINAPI",INDEX(ISINAPI!$C:$C,MATCH($C267,ISINAPI!$A:$A,0)),
IF(CONCATENATE($A267,$B267)="CSINAPI",INDEX(CSINAPI!$C:$C,MATCH($C267,CSINAPI!$A:$A,0)),
IF(CONCATENATE($A267,$B267)="CCESAN",INDEX(CCESAN!$C:$C,MATCH($C267,CCESAN!$A:$A,0)),
IF(CONCATENATE($A267,$B267)="CSCORIO",INDEX(CSCORIO!$A:$A,MATCH($C267,CSCORIO!#REF!,0)),
IF(CONCATENATE($A267,$B267)="MERC",INDEX(MERCADO!$D:$D,MATCH($C267,MERCADO!$A:$A,0)),
IF(CONCATENATE($A267,$B267)="CCOMP",INDEX(COMPOSICAO!$H:$H,MATCH($C267,COMPOSICAO!$A:$A,0)),""
)))))))),""))</f>
        <v>m²</v>
      </c>
      <c r="F267" s="182">
        <f>(0.8*1.5*4.5)+(0.4*1.5*2.5)+(0.55*1.25*2.5)+(0.4*1.45*3)</f>
        <v>10.358750000000001</v>
      </c>
      <c r="G267" s="144">
        <f>(IFERROR(
IF(CONCATENATE($A267,$B267)="IDER-ES",INDEX('IDER-ES'!$D:$D,MATCH($C267,'IDER-ES'!$A:$A,0)),
IF(CONCATENATE($A267,$B267)="CIOPES",INDEX('CDER-ES'!$D:$D,MATCH($C267,'CDER-ES'!$A:$A,0)),
IF(CONCATENATE($A267,$B267)="ISINAPI",INDEX(ISINAPI!$E:$E,MATCH($C267,ISINAPI!$A:$A,0)),
IF(CONCATENATE($A267,$B267)="CSINAPI",INDEX(CSINAPI!$D:$D,MATCH($C267,CSINAPI!$A:$A,0)),
IF(CONCATENATE($A267,$B267)="CCESAN",INDEX(CCESAN!$D:$D,MATCH($C267,CCESAN!$A:$A,0)),
IF(CONCATENATE($A267,$B267)="CSCORIO",INDEX(CSCORIO!$B:$B,MATCH($C267,CSCORIO!#REF!,0)),
IF(CONCATENATE($A267,$B267)="MERC",INDEX(MERCADO!$E:$E,MATCH($C267,MERCADO!$A:$A,0)),
IF(CONCATENATE($A267,$B267)="CCOMP",INDEX(COMPOSICAO!$H:$H,MATCH($C267,COMPOSICAO!$A:$A,0)),""
)))))))),""))</f>
        <v>2.0499999999999998</v>
      </c>
      <c r="H267" s="144">
        <f t="shared" si="43"/>
        <v>21.24</v>
      </c>
    </row>
    <row r="268" spans="1:9" ht="51">
      <c r="A268" s="141" t="s">
        <v>21960</v>
      </c>
      <c r="B268" s="141" t="s">
        <v>26583</v>
      </c>
      <c r="C268" s="141">
        <v>190302</v>
      </c>
      <c r="D268" s="142" t="str">
        <f>PROPER(IFERROR(
IF(C268="","",
IF(CONCATENATE($A268,$B268)="IDER-ES",INDEX('IDER-ES'!$B:$B,MATCH($C268,'IDER-ES'!$A:$A,0)),
IF(CONCATENATE($A268,$B268)="CDER-ES",INDEX('CDER-ES'!$B:$B,MATCH($C268,'CDER-ES'!$A:$A,0)),
IF(CONCATENATE($A268,$B268)="ISINAPI",INDEX(ISINAPI!$B:$B,MATCH($C268,ISINAPI!$A:$A,0)),
IF(CONCATENATE($A268,$B268)="CSINAPI",INDEX(CSINAPI!$B:$B,MATCH($C268,CSINAPI!$A:$A,0)),
IF(CONCATENATE($A268,$B268)="CCESAN",INDEX(CCESAN!$B:$B,MATCH($C268,CCESAN!$A:$A,0)),
IF(CONCATENATE($A268,$B268)="CSCORIO",INDEX(CSCORIO!$B:$B,MATCH($C268,CSCORIO!$A:$A,0)),
IF(CONCATENATE($A268,$B268)="MERC",INDEX(MERCADO!$B:$B,MATCH($C268,MERCADO!$A:$A,0)),
IF(CONCATENATE($A268,$B268)="CCOMP",INDEX(COMPOSICAO!$B:$B,MATCH($C268,COMPOSICAO!$A:$A,0)),""
))))))))),"*Verificar código*"))</f>
        <v>Pintura Com Tinta Esmalte Sintético, Marcas De Referência Suvinil, Coral Ou Metalatex, Inclusive Fundo Branco Nivelador, Em Madeira, A Duas Demãos</v>
      </c>
      <c r="E268" s="143" t="str">
        <f>LOWER(IFERROR(
IF(CONCATENATE($A268,$B268)="IDER-ES",INDEX('IDER-ES'!$C:$C,MATCH($C268,'IDER-ES'!$A:$A,0)),
IF(CONCATENATE($A268,$B268)="CDER-ES",INDEX('CDER-ES'!$C:$C,MATCH($C268,'CDER-ES'!$A:$A,0)),
IF(CONCATENATE($A268,$B268)="ISINAPI",INDEX(ISINAPI!$C:$C,MATCH($C268,ISINAPI!$A:$A,0)),
IF(CONCATENATE($A268,$B268)="CSINAPI",INDEX(CSINAPI!$C:$C,MATCH($C268,CSINAPI!$A:$A,0)),
IF(CONCATENATE($A268,$B268)="CCESAN",INDEX(CCESAN!$C:$C,MATCH($C268,CCESAN!$A:$A,0)),
IF(CONCATENATE($A268,$B268)="CSCORIO",INDEX(CSCORIO!$A:$A,MATCH($C268,CSCORIO!$A:$A,0)),
IF(CONCATENATE($A268,$B268)="MERC",INDEX(MERCADO!$D:$D,MATCH($C268,MERCADO!$A:$A,0)),
IF(CONCATENATE($A268,$B268)="CCOMP",INDEX(COMPOSICAO!$H:$H,MATCH($C268,COMPOSICAO!$A:$A,0)),""
)))))))),""))</f>
        <v>m²</v>
      </c>
      <c r="F268" s="182">
        <f>F267</f>
        <v>10.358750000000001</v>
      </c>
      <c r="G268" s="144">
        <f>(IFERROR(
IF(CONCATENATE($A268,$B268)="IDER-ES",INDEX('IDER-ES'!$D:$D,MATCH($C268,'IDER-ES'!$A:$A,0)),
IF(CONCATENATE($A268,$B268)="CDER-ES",INDEX('CDER-ES'!$D:$D,MATCH($C268,'CDER-ES'!$A:$A,0)),
IF(CONCATENATE($A268,$B268)="ISINAPI",INDEX(ISINAPI!$E:$E,MATCH($C268,ISINAPI!$A:$A,0)),
IF(CONCATENATE($A268,$B268)="CSINAPI",INDEX(CSINAPI!$D:$D,MATCH($C268,CSINAPI!$A:$A,0)),
IF(CONCATENATE($A268,$B268)="CCESAN",INDEX(CCESAN!$D:$D,MATCH($C268,CCESAN!$A:$A,0)),
IF(CONCATENATE($A268,$B268)="CSCORIO",INDEX(CSCORIO!$B:$B,MATCH($C268,CSCORIO!#REF!,0)),
IF(CONCATENATE($A268,$B268)="MERC",INDEX(MERCADO!$E:$E,MATCH($C268,MERCADO!$A:$A,0)),
IF(CONCATENATE($A268,$B268)="CCOMP",INDEX(COMPOSICAO!$H:$H,MATCH($C268,COMPOSICAO!$A:$A,0)),""
)))))))),""))</f>
        <v>22.64</v>
      </c>
      <c r="H268" s="144">
        <f t="shared" si="43"/>
        <v>234.52</v>
      </c>
    </row>
    <row r="270" spans="1:9" s="135" customFormat="1" ht="19.5" customHeight="1">
      <c r="A270" s="186" t="s">
        <v>1020</v>
      </c>
      <c r="B270" s="405" t="s">
        <v>1022</v>
      </c>
      <c r="C270" s="406"/>
      <c r="D270" s="406"/>
      <c r="E270" s="406"/>
      <c r="F270" s="407"/>
      <c r="G270" s="133" t="s">
        <v>19692</v>
      </c>
      <c r="H270" s="134" t="s">
        <v>19678</v>
      </c>
      <c r="I270" s="263"/>
    </row>
    <row r="271" spans="1:9" ht="60" customHeight="1">
      <c r="A271" s="136">
        <f>COUNTIF($A$4:$A270,$A$4)</f>
        <v>26</v>
      </c>
      <c r="B271" s="408" t="s">
        <v>28621</v>
      </c>
      <c r="C271" s="409"/>
      <c r="D271" s="409"/>
      <c r="E271" s="409"/>
      <c r="F271" s="410"/>
      <c r="G271" s="137" t="s">
        <v>19692</v>
      </c>
      <c r="H271" s="211">
        <f>SUM(H273:H281)</f>
        <v>2044.8499999999995</v>
      </c>
    </row>
    <row r="272" spans="1:9" ht="30" customHeight="1">
      <c r="A272" s="139" t="s">
        <v>1026</v>
      </c>
      <c r="B272" s="139" t="s">
        <v>1027</v>
      </c>
      <c r="C272" s="139" t="s">
        <v>31</v>
      </c>
      <c r="D272" s="139" t="s">
        <v>1023</v>
      </c>
      <c r="E272" s="139" t="s">
        <v>32</v>
      </c>
      <c r="F272" s="183" t="s">
        <v>2343</v>
      </c>
      <c r="G272" s="140" t="s">
        <v>19676</v>
      </c>
      <c r="H272" s="140" t="s">
        <v>19677</v>
      </c>
    </row>
    <row r="273" spans="1:9" ht="38.25">
      <c r="A273" s="141" t="s">
        <v>21960</v>
      </c>
      <c r="B273" s="141" t="s">
        <v>1019</v>
      </c>
      <c r="C273" s="141">
        <v>90801</v>
      </c>
      <c r="D273" s="142" t="str">
        <f>PROPER(IFERROR(
IF(C273="","",
IF(CONCATENATE($A273,$B273)="IDER-ES",INDEX('IDER-ES'!$B:$B,MATCH($C273,'IDER-ES'!$A:$A,0)),
IF(CONCATENATE($A273,$B273)="CDER-ES",INDEX('CDER-ES'!$B:$B,MATCH($C273,'CDER-ES'!$A:$A,0)),
IF(CONCATENATE($A273,$B273)="ISINAPI",INDEX(ISINAPI!$B:$B,MATCH($C273,ISINAPI!$A:$A,0)),
IF(CONCATENATE($A273,$B273)="CSINAPI",INDEX(CSINAPI!$B:$B,MATCH($C273,CSINAPI!$A:$A,0)),
IF(CONCATENATE($A273,$B273)="CCESAN",INDEX(CCESAN!$B:$B,MATCH($C273,CCESAN!$A:$A,0)),
IF(CONCATENATE($A273,$B273)="CSCORIO",INDEX(CSCORIO!$B:$B,MATCH($C273,CSCORIO!$A:$A,0)),
IF(CONCATENATE($A273,$B273)="MERC",INDEX(MERCADO!$B:$B,MATCH($C273,MERCADO!$A:$A,0)),
IF(CONCATENATE($A273,$B273)="CCOMP",INDEX(COMPOSICAO!$B:$B,MATCH($C273,COMPOSICAO!$A:$A,0)),""
))))))))),"*Verificar código*"))</f>
        <v>Batente Para Porta De Madeira, Padrão Médio - Fornecimento E Montagem. Af_12/2019</v>
      </c>
      <c r="E273" s="143" t="str">
        <f>LOWER(IFERROR(
IF(CONCATENATE($A273,$B273)="IDER-ES",INDEX('IDER-ES'!$C:$C,MATCH($C273,'IDER-ES'!$A:$A,0)),
IF(CONCATENATE($A273,$B273)="CIOPES",INDEX('CDER-ES'!$C:$C,MATCH($C273,'CDER-ES'!$A:$A,0)),
IF(CONCATENATE($A273,$B273)="ISINAPI",INDEX(ISINAPI!$C:$C,MATCH($C273,ISINAPI!$A:$A,0)),
IF(CONCATENATE($A273,$B273)="CSINAPI",INDEX(CSINAPI!$C:$C,MATCH($C273,CSINAPI!$A:$A,0)),
IF(CONCATENATE($A273,$B273)="CCESAN",INDEX(CCESAN!$C:$C,MATCH($C273,CCESAN!$A:$A,0)),
IF(CONCATENATE($A273,$B273)="CSCORIO",INDEX(CSCORIO!$C:$C,MATCH($C273,CSCORIO!$A:$A,0)),
IF(CONCATENATE($A273,$B273)="MERC",INDEX(MERCADO!$D:$D,MATCH($C273,MERCADO!$A:$A,0)),
IF(CONCATENATE($A273,$B273)="CCOMP",INDEX(COMPOSICAO!$H:$H,MATCH($C273,COMPOSICAO!$A:$A,0)),""
)))))))),""))</f>
        <v>und</v>
      </c>
      <c r="F273" s="182">
        <v>1</v>
      </c>
      <c r="G273" s="284">
        <f>(IFERROR(
IF(CONCATENATE($A273,$B273)="IDER-ES",INDEX('IDER-ES'!$D:$D,MATCH($C273,'IDER-ES'!$A:$A,0)),
IF(CONCATENATE($A273,$B273)="CIOPES",INDEX('CDER-ES'!$D:$D,MATCH($C273,'CDER-ES'!$A:$A,0)),
IF(CONCATENATE($A273,$B273)="ISINAPI",INDEX(ISINAPI!$E:$E,MATCH($C273,ISINAPI!$A:$A,0)),
IF(CONCATENATE($A273,$B273)="CSINAPI",INDEX(CSINAPI!$D:$D,MATCH($C273,CSINAPI!$A:$A,0)),
IF(CONCATENATE($A273,$B273)="CCESAN",INDEX(CCESAN!$D:$D,MATCH($C273,CCESAN!$A:$A,0)),
IF(CONCATENATE($A273,$B273)="CSCORIO",INDEX(CSCORIO!$D:$D,MATCH($C273,CSCORIO!$A:$A,0)),
IF(CONCATENATE($A273,$B273)="MERC",INDEX(MERCADO!$E:$E,MATCH($C273,MERCADO!$A:$A,0)),
IF(CONCATENATE($A273,$B273)="CCOMP",INDEX(COMPOSICAO!$H:$H,MATCH($C273,COMPOSICAO!$A:$A,0)),""
)))))))),""))</f>
        <v>306.31</v>
      </c>
      <c r="H273" s="284">
        <f t="shared" ref="H273:H281" si="46">IF(B273="","",ROUND(G273*F273,2))</f>
        <v>306.31</v>
      </c>
    </row>
    <row r="274" spans="1:9" ht="63.75">
      <c r="A274" s="141" t="s">
        <v>21960</v>
      </c>
      <c r="B274" s="141" t="s">
        <v>1019</v>
      </c>
      <c r="C274" s="141">
        <v>91299</v>
      </c>
      <c r="D274" s="142" t="str">
        <f>PROPER(IFERROR(
IF(C274="","",
IF(CONCATENATE($A274,$B274)="IDER-ES",INDEX('IDER-ES'!$B:$B,MATCH($C274,'IDER-ES'!$A:$A,0)),
IF(CONCATENATE($A274,$B274)="CDER-ES",INDEX('CDER-ES'!$B:$B,MATCH($C274,'CDER-ES'!$A:$A,0)),
IF(CONCATENATE($A274,$B274)="ISINAPI",INDEX(ISINAPI!$B:$B,MATCH($C274,ISINAPI!$A:$A,0)),
IF(CONCATENATE($A274,$B274)="CSINAPI",INDEX(CSINAPI!$B:$B,MATCH($C274,CSINAPI!$A:$A,0)),
IF(CONCATENATE($A274,$B274)="CCESAN",INDEX(CCESAN!$B:$B,MATCH($C274,CCESAN!$A:$A,0)),
IF(CONCATENATE($A274,$B274)="CSCORIO",INDEX(CSCORIO!$B:$B,MATCH($C274,CSCORIO!$A:$A,0)),
IF(CONCATENATE($A274,$B274)="MERC",INDEX(MERCADO!$B:$B,MATCH($C274,MERCADO!$A:$A,0)),
IF(CONCATENATE($A274,$B274)="CCOMP",INDEX(COMPOSICAO!$B:$B,MATCH($C274,COMPOSICAO!$A:$A,0)),""
))))))))),"*Verificar código*"))</f>
        <v>Porta De Madeira, Tipo Mexicana, Maciça (Pesada Ou Superpesada), 80X210Cm, Espessura De 3,5Cm, Incluso Dobradiças - Fornecimento E Instalação. Af_12/2019</v>
      </c>
      <c r="E274" s="143" t="str">
        <f>LOWER(IFERROR(
IF(CONCATENATE($A274,$B274)="IDER-ES",INDEX('IDER-ES'!$C:$C,MATCH($C274,'IDER-ES'!$A:$A,0)),
IF(CONCATENATE($A274,$B274)="CIOPES",INDEX('CDER-ES'!$C:$C,MATCH($C274,'CDER-ES'!$A:$A,0)),
IF(CONCATENATE($A274,$B274)="ISINAPI",INDEX(ISINAPI!$C:$C,MATCH($C274,ISINAPI!$A:$A,0)),
IF(CONCATENATE($A274,$B274)="CSINAPI",INDEX(CSINAPI!$C:$C,MATCH($C274,CSINAPI!$A:$A,0)),
IF(CONCATENATE($A274,$B274)="CCESAN",INDEX(CCESAN!$C:$C,MATCH($C274,CCESAN!$A:$A,0)),
IF(CONCATENATE($A274,$B274)="CSCORIO",INDEX(CSCORIO!$C:$C,MATCH($C274,CSCORIO!$A:$A,0)),
IF(CONCATENATE($A274,$B274)="MERC",INDEX(MERCADO!$D:$D,MATCH($C274,MERCADO!$A:$A,0)),
IF(CONCATENATE($A274,$B274)="CCOMP",INDEX(COMPOSICAO!$H:$H,MATCH($C274,COMPOSICAO!$A:$A,0)),""
)))))))),""))</f>
        <v>und</v>
      </c>
      <c r="F274" s="182">
        <v>1</v>
      </c>
      <c r="G274" s="284">
        <f>(IFERROR(
IF(CONCATENATE($A274,$B274)="IDER-ES",INDEX('IDER-ES'!$D:$D,MATCH($C274,'IDER-ES'!$A:$A,0)),
IF(CONCATENATE($A274,$B274)="CIOPES",INDEX('CDER-ES'!$D:$D,MATCH($C274,'CDER-ES'!$A:$A,0)),
IF(CONCATENATE($A274,$B274)="ISINAPI",INDEX(ISINAPI!$E:$E,MATCH($C274,ISINAPI!$A:$A,0)),
IF(CONCATENATE($A274,$B274)="CSINAPI",INDEX(CSINAPI!$D:$D,MATCH($C274,CSINAPI!$A:$A,0)),
IF(CONCATENATE($A274,$B274)="CCESAN",INDEX(CCESAN!$D:$D,MATCH($C274,CCESAN!$A:$A,0)),
IF(CONCATENATE($A274,$B274)="CSCORIO",INDEX(CSCORIO!$D:$D,MATCH($C274,CSCORIO!$A:$A,0)),
IF(CONCATENATE($A274,$B274)="MERC",INDEX(MERCADO!$E:$E,MATCH($C274,MERCADO!$A:$A,0)),
IF(CONCATENATE($A274,$B274)="CCOMP",INDEX(COMPOSICAO!$H:$H,MATCH($C274,COMPOSICAO!$A:$A,0)),""
)))))))),""))</f>
        <v>1170.28</v>
      </c>
      <c r="H274" s="284">
        <f t="shared" si="46"/>
        <v>1170.28</v>
      </c>
    </row>
    <row r="275" spans="1:9" ht="38.25">
      <c r="A275" s="141" t="s">
        <v>21960</v>
      </c>
      <c r="B275" s="141" t="s">
        <v>26583</v>
      </c>
      <c r="C275" s="141">
        <v>60113</v>
      </c>
      <c r="D275" s="142" t="str">
        <f>PROPER(IFERROR(
IF(C275="","",
IF(CONCATENATE($A275,$B275)="IDER-ES",INDEX('IDER-ES'!$B:$B,MATCH($C275,'IDER-ES'!$A:$A,0)),
IF(CONCATENATE($A275,$B275)="CDER-ES",INDEX('CDER-ES'!$B:$B,MATCH($C275,'CDER-ES'!$A:$A,0)),
IF(CONCATENATE($A275,$B275)="ISINAPI",INDEX(ISINAPI!$B:$B,MATCH($C275,ISINAPI!$A:$A,0)),
IF(CONCATENATE($A275,$B275)="CSINAPI",INDEX(CSINAPI!$B:$B,MATCH($C275,CSINAPI!$A:$A,0)),
IF(CONCATENATE($A275,$B275)="CCESAN",INDEX(CCESAN!$B:$B,MATCH($C275,CCESAN!$A:$A,0)),
IF(CONCATENATE($A275,$B275)="CSCORIO",INDEX(CSCORIO!$B:$B,MATCH($C275,CSCORIO!$A:$A,0)),
IF(CONCATENATE($A275,$B275)="MERC",INDEX(MERCADO!$B:$B,MATCH($C275,MERCADO!$A:$A,0)),
IF(CONCATENATE($A275,$B275)="CCOMP",INDEX(COMPOSICAO!$B:$B,MATCH($C275,COMPOSICAO!$A:$A,0)),""
))))))))),"*Verificar código*"))</f>
        <v>Alizar De Madeira De Lei De 1ª (Peroba, Ipê, Angelim Pedra Ou Equivalente) 7 X 1,5 Cm</v>
      </c>
      <c r="E275" s="143" t="str">
        <f>LOWER(IFERROR(
IF(CONCATENATE($A275,$B275)="IDER-ES",INDEX('IDER-ES'!$C:$C,MATCH($C275,'IDER-ES'!$A:$A,0)),
IF(CONCATENATE($A275,$B275)="CDER-ES",INDEX('CDER-ES'!$C:$C,MATCH($C275,'CDER-ES'!$A:$A,0)),
IF(CONCATENATE($A275,$B275)="ISINAPI",INDEX(ISINAPI!$C:$C,MATCH($C275,ISINAPI!$A:$A,0)),
IF(CONCATENATE($A275,$B275)="CSINAPI",INDEX(CSINAPI!$C:$C,MATCH($C275,CSINAPI!$A:$A,0)),
IF(CONCATENATE($A275,$B275)="CCESAN",INDEX(CCESAN!$C:$C,MATCH($C275,CCESAN!$A:$A,0)),
IF(CONCATENATE($A275,$B275)="CSCORIO",INDEX(CSCORIO!$C:$C,MATCH($C275,CSCORIO!$A:$A,0)),
IF(CONCATENATE($A275,$B275)="MERC",INDEX(MERCADO!$D:$D,MATCH($C275,MERCADO!$A:$A,0)),
IF(CONCATENATE($A275,$B275)="CCOMP",INDEX(COMPOSICAO!$H:$H,MATCH($C275,COMPOSICAO!$A:$A,0)),""
)))))))),""))</f>
        <v>m</v>
      </c>
      <c r="F275" s="182">
        <f>5*2</f>
        <v>10</v>
      </c>
      <c r="G275" s="284">
        <f>(IFERROR(
IF(CONCATENATE($A275,$B275)="IDER-ES",INDEX('IDER-ES'!$D:$D,MATCH($C275,'IDER-ES'!$A:$A,0)),
IF(CONCATENATE($A275,$B275)="CDER-ES",INDEX('CDER-ES'!$D:$D,MATCH($C275,'CDER-ES'!$A:$A,0)),
IF(CONCATENATE($A275,$B275)="ISINAPI",INDEX(ISINAPI!$E:$E,MATCH($C275,ISINAPI!$A:$A,0)),
IF(CONCATENATE($A275,$B275)="CSINAPI",INDEX(CSINAPI!$D:$D,MATCH($C275,CSINAPI!$A:$A,0)),
IF(CONCATENATE($A275,$B275)="CCESAN",INDEX(CCESAN!$D:$D,MATCH($C275,CCESAN!$A:$A,0)),
IF(CONCATENATE($A275,$B275)="CSCORIO",INDEX(CSCORIO!$D:$D,MATCH($C275,CSCORIO!$A:$A,0)),
IF(CONCATENATE($A275,$B275)="MERC",INDEX(MERCADO!$E:$E,MATCH($C275,MERCADO!$A:$A,0)),
IF(CONCATENATE($A275,$B275)="CCOMP",INDEX(COMPOSICAO!$H:$H,MATCH($C275,COMPOSICAO!$A:$A,0)),""
)))))))),""))</f>
        <v>22.33</v>
      </c>
      <c r="H275" s="284">
        <f t="shared" si="46"/>
        <v>223.3</v>
      </c>
    </row>
    <row r="276" spans="1:9" ht="51">
      <c r="A276" s="141" t="s">
        <v>26621</v>
      </c>
      <c r="B276" s="141" t="s">
        <v>1019</v>
      </c>
      <c r="C276" s="141">
        <v>2432</v>
      </c>
      <c r="D276" s="142" t="str">
        <f>PROPER(IFERROR(
IF(C276="","",
IF(CONCATENATE($A276,$B276)="IDER-ES",INDEX('IDER-ES'!$B:$B,MATCH($C276,'IDER-ES'!$A:$A,0)),
IF(CONCATENATE($A276,$B276)="CDER-ES",INDEX('CDER-ES'!$B:$B,MATCH($C276,'CDER-ES'!$A:$A,0)),
IF(CONCATENATE($A276,$B276)="ISINAPI",INDEX(ISINAPI!$B:$B,MATCH($C276,ISINAPI!$A:$A,0)),
IF(CONCATENATE($A276,$B276)="CSINAPI",INDEX(CSINAPI!$B:$B,MATCH($C276,CSINAPI!$A:$A,0)),
IF(CONCATENATE($A276,$B276)="CCESAN",INDEX(CCESAN!$B:$B,MATCH($C276,CCESAN!$A:$A,0)),
IF(CONCATENATE($A276,$B276)="CSCORIO",INDEX(CSCORIO!$B:$B,MATCH($C276,CSCORIO!$A:$A,0)),
IF(CONCATENATE($A276,$B276)="MERC",INDEX(MERCADO!$B:$B,MATCH($C276,MERCADO!$A:$A,0)),
IF(CONCATENATE($A276,$B276)="CCOMP",INDEX(COMPOSICAO!$B:$B,MATCH($C276,COMPOSICAO!$A:$A,0)),""
))))))))),"*Verificar código*"))</f>
        <v xml:space="preserve">Dobradica Em Aco/Ferro, 3 1/2" X  3", E= 1,9  A 2 Mm, Com Anel,  Cromado Ou Zincado, Tampa Bola, Com Parafusos                                                                                                                                                                                                                                                                                                                                                                                            </v>
      </c>
      <c r="E276" s="143" t="str">
        <f>LOWER(IFERROR(
IF(CONCATENATE($A276,$B276)="IDER-ES",INDEX('IDER-ES'!$C:$C,MATCH($C276,'IDER-ES'!$A:$A,0)),
IF(CONCATENATE($A276,$B276)="CIOPES",INDEX('CDER-ES'!$C:$C,MATCH($C276,'CDER-ES'!$A:$A,0)),
IF(CONCATENATE($A276,$B276)="ISINAPI",INDEX(ISINAPI!$C:$C,MATCH($C276,ISINAPI!$A:$A,0)),
IF(CONCATENATE($A276,$B276)="CSINAPI",INDEX(CSINAPI!$C:$C,MATCH($C276,CSINAPI!$A:$A,0)),
IF(CONCATENATE($A276,$B276)="CCESAN",INDEX(CCESAN!$C:$C,MATCH($C276,CCESAN!$A:$A,0)),
IF(CONCATENATE($A276,$B276)="CSCORIO",INDEX(CSCORIO!$C:$C,MATCH($C276,CSCORIO!$A:$A,0)),
IF(CONCATENATE($A276,$B276)="MERC",INDEX(MERCADO!$D:$D,MATCH($C276,MERCADO!$A:$A,0)),
IF(CONCATENATE($A276,$B276)="CCOMP",INDEX(COMPOSICAO!$H:$H,MATCH($C276,COMPOSICAO!$A:$A,0)),""
)))))))),""))</f>
        <v xml:space="preserve">un    </v>
      </c>
      <c r="F276" s="182">
        <v>3</v>
      </c>
      <c r="G276" s="284">
        <f>(IFERROR(
IF(CONCATENATE($A276,$B276)="IDER-ES",INDEX('IDER-ES'!$D:$D,MATCH($C276,'IDER-ES'!$A:$A,0)),
IF(CONCATENATE($A276,$B276)="CIOPES",INDEX('CDER-ES'!$D:$D,MATCH($C276,'CDER-ES'!$A:$A,0)),
IF(CONCATENATE($A276,$B276)="ISINAPI",INDEX(ISINAPI!$E:$E,MATCH($C276,ISINAPI!$A:$A,0)),
IF(CONCATENATE($A276,$B276)="CSINAPI",INDEX(CSINAPI!$D:$D,MATCH($C276,CSINAPI!$A:$A,0)),
IF(CONCATENATE($A276,$B276)="CCESAN",INDEX(CCESAN!$D:$D,MATCH($C276,CCESAN!$A:$A,0)),
IF(CONCATENATE($A276,$B276)="CSCORIO",INDEX(CSCORIO!$D:$D,MATCH($C276,CSCORIO!$A:$A,0)),
IF(CONCATENATE($A276,$B276)="MERC",INDEX(MERCADO!$E:$E,MATCH($C276,MERCADO!$A:$A,0)),
IF(CONCATENATE($A276,$B276)="CCOMP",INDEX(COMPOSICAO!$H:$H,MATCH($C276,COMPOSICAO!$A:$A,0)),""
)))))))),""))</f>
        <v>17.2</v>
      </c>
      <c r="H276" s="284">
        <f t="shared" si="46"/>
        <v>51.6</v>
      </c>
    </row>
    <row r="277" spans="1:9" ht="38.25">
      <c r="A277" s="141" t="s">
        <v>26621</v>
      </c>
      <c r="B277" s="141" t="s">
        <v>1019</v>
      </c>
      <c r="C277" s="141">
        <v>11055</v>
      </c>
      <c r="D277" s="142" t="str">
        <f>PROPER(IFERROR(
IF(C277="","",
IF(CONCATENATE($A277,$B277)="IDER-ES",INDEX('IDER-ES'!$B:$B,MATCH($C277,'IDER-ES'!$A:$A,0)),
IF(CONCATENATE($A277,$B277)="CDER-ES",INDEX('CDER-ES'!$B:$B,MATCH($C277,'CDER-ES'!$A:$A,0)),
IF(CONCATENATE($A277,$B277)="ISINAPI",INDEX(ISINAPI!$B:$B,MATCH($C277,ISINAPI!$A:$A,0)),
IF(CONCATENATE($A277,$B277)="CSINAPI",INDEX(CSINAPI!$B:$B,MATCH($C277,CSINAPI!$A:$A,0)),
IF(CONCATENATE($A277,$B277)="CCESAN",INDEX(CCESAN!$B:$B,MATCH($C277,CCESAN!$A:$A,0)),
IF(CONCATENATE($A277,$B277)="CSCORIO",INDEX(CSCORIO!$B:$B,MATCH($C277,CSCORIO!$A:$A,0)),
IF(CONCATENATE($A277,$B277)="MERC",INDEX(MERCADO!$B:$B,MATCH($C277,MERCADO!$A:$A,0)),
IF(CONCATENATE($A277,$B277)="CCOMP",INDEX(COMPOSICAO!$B:$B,MATCH($C277,COMPOSICAO!$A:$A,0)),""
))))))))),"*Verificar código*"))</f>
        <v xml:space="preserve">Parafuso Rosca Soberba Zincado Cabeca Chata Fenda Simples 3,5 X 25 Mm (1 ")                                                                                                                                                                                                                                                                                                                                                                                                                               </v>
      </c>
      <c r="E277" s="143" t="str">
        <f>LOWER(IFERROR(
IF(CONCATENATE($A277,$B277)="IDER-ES",INDEX('IDER-ES'!$C:$C,MATCH($C277,'IDER-ES'!$A:$A,0)),
IF(CONCATENATE($A277,$B277)="CIOPES",INDEX('CDER-ES'!$C:$C,MATCH($C277,'CDER-ES'!$A:$A,0)),
IF(CONCATENATE($A277,$B277)="ISINAPI",INDEX(ISINAPI!$C:$C,MATCH($C277,ISINAPI!$A:$A,0)),
IF(CONCATENATE($A277,$B277)="CSINAPI",INDEX(CSINAPI!$C:$C,MATCH($C277,CSINAPI!$A:$A,0)),
IF(CONCATENATE($A277,$B277)="CCESAN",INDEX(CCESAN!$C:$C,MATCH($C277,CCESAN!$A:$A,0)),
IF(CONCATENATE($A277,$B277)="CSCORIO",INDEX(CSCORIO!$C:$C,MATCH($C277,CSCORIO!$A:$A,0)),
IF(CONCATENATE($A277,$B277)="MERC",INDEX(MERCADO!$D:$D,MATCH($C277,MERCADO!$A:$A,0)),
IF(CONCATENATE($A277,$B277)="CCOMP",INDEX(COMPOSICAO!$H:$H,MATCH($C277,COMPOSICAO!$A:$A,0)),""
)))))))),""))</f>
        <v xml:space="preserve">un    </v>
      </c>
      <c r="F277" s="182">
        <f>F276*6</f>
        <v>18</v>
      </c>
      <c r="G277" s="284">
        <f>(IFERROR(
IF(CONCATENATE($A277,$B277)="IDER-ES",INDEX('IDER-ES'!$D:$D,MATCH($C277,'IDER-ES'!$A:$A,0)),
IF(CONCATENATE($A277,$B277)="CIOPES",INDEX('CDER-ES'!$D:$D,MATCH($C277,'CDER-ES'!$A:$A,0)),
IF(CONCATENATE($A277,$B277)="ISINAPI",INDEX(ISINAPI!$E:$E,MATCH($C277,ISINAPI!$A:$A,0)),
IF(CONCATENATE($A277,$B277)="CSINAPI",INDEX(CSINAPI!$D:$D,MATCH($C277,CSINAPI!$A:$A,0)),
IF(CONCATENATE($A277,$B277)="CCESAN",INDEX(CCESAN!$D:$D,MATCH($C277,CCESAN!$A:$A,0)),
IF(CONCATENATE($A277,$B277)="CSCORIO",INDEX(CSCORIO!$D:$D,MATCH($C277,CSCORIO!$A:$A,0)),
IF(CONCATENATE($A277,$B277)="MERC",INDEX(MERCADO!$E:$E,MATCH($C277,MERCADO!$A:$A,0)),
IF(CONCATENATE($A277,$B277)="CCOMP",INDEX(COMPOSICAO!$H:$H,MATCH($C277,COMPOSICAO!$A:$A,0)),""
)))))))),""))</f>
        <v>0.1</v>
      </c>
      <c r="H277" s="284">
        <f t="shared" si="46"/>
        <v>1.8</v>
      </c>
    </row>
    <row r="278" spans="1:9" ht="63.75">
      <c r="A278" s="141" t="s">
        <v>21960</v>
      </c>
      <c r="B278" s="141" t="s">
        <v>1019</v>
      </c>
      <c r="C278" s="141">
        <v>91307</v>
      </c>
      <c r="D278" s="142" t="str">
        <f>PROPER(IFERROR(
IF(C278="","",
IF(CONCATENATE($A278,$B278)="IDER-ES",INDEX('IDER-ES'!$B:$B,MATCH($C278,'IDER-ES'!$A:$A,0)),
IF(CONCATENATE($A278,$B278)="CDER-ES",INDEX('CDER-ES'!$B:$B,MATCH($C278,'CDER-ES'!$A:$A,0)),
IF(CONCATENATE($A278,$B278)="ISINAPI",INDEX(ISINAPI!$B:$B,MATCH($C278,ISINAPI!$A:$A,0)),
IF(CONCATENATE($A278,$B278)="CSINAPI",INDEX(CSINAPI!$B:$B,MATCH($C278,CSINAPI!$A:$A,0)),
IF(CONCATENATE($A278,$B278)="CCESAN",INDEX(CCESAN!$B:$B,MATCH($C278,CCESAN!$A:$A,0)),
IF(CONCATENATE($A278,$B278)="CSCORIO",INDEX(CSCORIO!$B:$B,MATCH($C278,CSCORIO!$A:$A,0)),
IF(CONCATENATE($A278,$B278)="MERC",INDEX(MERCADO!$B:$B,MATCH($C278,MERCADO!$A:$A,0)),
IF(CONCATENATE($A278,$B278)="CCOMP",INDEX(COMPOSICAO!$B:$B,MATCH($C278,COMPOSICAO!$A:$A,0)),""
))))))))),"*Verificar código*"))</f>
        <v>Fechadura De Embutir Para Portas Internas, Completa, Acabamento Padrão Popular, Com Execução De Furo - Fornecimento E Instalação. Af_12/2019</v>
      </c>
      <c r="E278" s="143" t="str">
        <f>LOWER(IFERROR(
IF(CONCATENATE($A278,$B278)="IDER-ES",INDEX('IDER-ES'!$C:$C,MATCH($C278,'IDER-ES'!$A:$A,0)),
IF(CONCATENATE($A278,$B278)="CDER-ES",INDEX('CDER-ES'!$C:$C,MATCH($C278,'CDER-ES'!$A:$A,0)),
IF(CONCATENATE($A278,$B278)="ISINAPI",INDEX(ISINAPI!$C:$C,MATCH($C278,ISINAPI!$A:$A,0)),
IF(CONCATENATE($A278,$B278)="CSINAPI",INDEX(CSINAPI!$C:$C,MATCH($C278,CSINAPI!$A:$A,0)),
IF(CONCATENATE($A278,$B278)="CCESAN",INDEX(CCESAN!$C:$C,MATCH($C278,CCESAN!$A:$A,0)),
IF(CONCATENATE($A278,$B278)="CSCORIO",INDEX(CSCORIO!$C:$C,MATCH($C278,CSCORIO!$A:$A,0)),
IF(CONCATENATE($A278,$B278)="MERC",INDEX(MERCADO!$D:$D,MATCH($C278,MERCADO!$A:$A,0)),
IF(CONCATENATE($A278,$B278)="CCOMP",INDEX(COMPOSICAO!$H:$H,MATCH($C278,COMPOSICAO!$A:$A,0)),""
)))))))),""))</f>
        <v>und</v>
      </c>
      <c r="F278" s="182">
        <v>1</v>
      </c>
      <c r="G278" s="284">
        <f>(IFERROR(
IF(CONCATENATE($A278,$B278)="IDER-ES",INDEX('IDER-ES'!$D:$D,MATCH($C278,'IDER-ES'!$A:$A,0)),
IF(CONCATENATE($A278,$B278)="CDER-ES",INDEX('CDER-ES'!$D:$D,MATCH($C278,'CDER-ES'!$A:$A,0)),
IF(CONCATENATE($A278,$B278)="ISINAPI",INDEX(ISINAPI!$E:$E,MATCH($C278,ISINAPI!$A:$A,0)),
IF(CONCATENATE($A278,$B278)="CSINAPI",INDEX(CSINAPI!$D:$D,MATCH($C278,CSINAPI!$A:$A,0)),
IF(CONCATENATE($A278,$B278)="CCESAN",INDEX(CCESAN!$D:$D,MATCH($C278,CCESAN!$A:$A,0)),
IF(CONCATENATE($A278,$B278)="CSCORIO",INDEX(CSCORIO!$D:$D,MATCH($C278,CSCORIO!$A:$A,0)),
IF(CONCATENATE($A278,$B278)="MERC",INDEX(MERCADO!$E:$E,MATCH($C278,MERCADO!$A:$A,0)),
IF(CONCATENATE($A278,$B278)="CCOMP",INDEX(COMPOSICAO!$H:$H,MATCH($C278,COMPOSICAO!$A:$A,0)),""
)))))))),""))</f>
        <v>71.86</v>
      </c>
      <c r="H278" s="284">
        <f t="shared" ref="H278" si="47">IF(B278="","",ROUND(G278*F278,2))</f>
        <v>71.86</v>
      </c>
    </row>
    <row r="279" spans="1:9" ht="25.5">
      <c r="A279" s="141" t="s">
        <v>21960</v>
      </c>
      <c r="B279" s="141" t="s">
        <v>1019</v>
      </c>
      <c r="C279" s="141">
        <v>102193</v>
      </c>
      <c r="D279" s="142" t="str">
        <f>PROPER(IFERROR(
IF(C279="","",
IF(CONCATENATE($A279,$B279)="IDER-ES",INDEX('IDER-ES'!$B:$B,MATCH($C279,'IDER-ES'!$A:$A,0)),
IF(CONCATENATE($A279,$B279)="CDER-ES",INDEX('CDER-ES'!$B:$B,MATCH($C279,'CDER-ES'!$A:$A,0)),
IF(CONCATENATE($A279,$B279)="ISINAPI",INDEX(ISINAPI!$B:$B,MATCH($C279,ISINAPI!$A:$A,0)),
IF(CONCATENATE($A279,$B279)="CSINAPI",INDEX(CSINAPI!$B:$B,MATCH($C279,CSINAPI!$A:$A,0)),
IF(CONCATENATE($A279,$B279)="CCESAN",INDEX(CCESAN!$B:$B,MATCH($C279,CCESAN!$A:$A,0)),
IF(CONCATENATE($A279,$B279)="CSCORIO",INDEX(CSCORIO!#REF!,MATCH($C279,CSCORIO!#REF!,0)),
IF(CONCATENATE($A279,$B279)="MERC",INDEX(MERCADO!$B:$B,MATCH($C279,MERCADO!$A:$A,0)),
IF(CONCATENATE($A279,$B279)="CCOMP",INDEX(COMPOSICAO!$B:$B,MATCH($C279,COMPOSICAO!$A:$A,0)),""
))))))))),"*Verificar código*"))</f>
        <v>Lixamento De Madeira Para Aplicação De Fundo Ou Pintura. Af_01/2021</v>
      </c>
      <c r="E279" s="143" t="str">
        <f>LOWER(IFERROR(
IF(CONCATENATE($A279,$B279)="IDER-ES",INDEX('IDER-ES'!$C:$C,MATCH($C279,'IDER-ES'!$A:$A,0)),
IF(CONCATENATE($A279,$B279)="CIOPES",INDEX('CDER-ES'!$C:$C,MATCH($C279,'CDER-ES'!$A:$A,0)),
IF(CONCATENATE($A279,$B279)="ISINAPI",INDEX(ISINAPI!$C:$C,MATCH($C279,ISINAPI!$A:$A,0)),
IF(CONCATENATE($A279,$B279)="CSINAPI",INDEX(CSINAPI!$C:$C,MATCH($C279,CSINAPI!$A:$A,0)),
IF(CONCATENATE($A279,$B279)="CCESAN",INDEX(CCESAN!$C:$C,MATCH($C279,CCESAN!$A:$A,0)),
IF(CONCATENATE($A279,$B279)="CSCORIO",INDEX(CSCORIO!$A:$A,MATCH($C279,CSCORIO!#REF!,0)),
IF(CONCATENATE($A279,$B279)="MERC",INDEX(MERCADO!$D:$D,MATCH($C279,MERCADO!$A:$A,0)),
IF(CONCATENATE($A279,$B279)="CCOMP",INDEX(COMPOSICAO!$H:$H,MATCH($C279,COMPOSICAO!$A:$A,0)),""
)))))))),""))</f>
        <v>m²</v>
      </c>
      <c r="F279" s="182">
        <f>0.8*2.1*3</f>
        <v>5.0400000000000009</v>
      </c>
      <c r="G279" s="144">
        <f>(IFERROR(
IF(CONCATENATE($A279,$B279)="IDER-ES",INDEX('IDER-ES'!$D:$D,MATCH($C279,'IDER-ES'!$A:$A,0)),
IF(CONCATENATE($A279,$B279)="CIOPES",INDEX('CDER-ES'!$D:$D,MATCH($C279,'CDER-ES'!$A:$A,0)),
IF(CONCATENATE($A279,$B279)="ISINAPI",INDEX(ISINAPI!$E:$E,MATCH($C279,ISINAPI!$A:$A,0)),
IF(CONCATENATE($A279,$B279)="CSINAPI",INDEX(CSINAPI!$D:$D,MATCH($C279,CSINAPI!$A:$A,0)),
IF(CONCATENATE($A279,$B279)="CCESAN",INDEX(CCESAN!$D:$D,MATCH($C279,CCESAN!$A:$A,0)),
IF(CONCATENATE($A279,$B279)="CSCORIO",INDEX(CSCORIO!$B:$B,MATCH($C279,CSCORIO!#REF!,0)),
IF(CONCATENATE($A279,$B279)="MERC",INDEX(MERCADO!$E:$E,MATCH($C279,MERCADO!$A:$A,0)),
IF(CONCATENATE($A279,$B279)="CCOMP",INDEX(COMPOSICAO!$H:$H,MATCH($C279,COMPOSICAO!$A:$A,0)),""
)))))))),""))</f>
        <v>2.0499999999999998</v>
      </c>
      <c r="H279" s="144">
        <f t="shared" si="46"/>
        <v>10.33</v>
      </c>
    </row>
    <row r="280" spans="1:9" ht="51">
      <c r="A280" s="141" t="s">
        <v>21960</v>
      </c>
      <c r="B280" s="141" t="s">
        <v>26583</v>
      </c>
      <c r="C280" s="141">
        <v>190301</v>
      </c>
      <c r="D280" s="142" t="str">
        <f>PROPER(IFERROR(
IF(C280="","",
IF(CONCATENATE($A280,$B280)="IDER-ES",INDEX('IDER-ES'!$B:$B,MATCH($C280,'IDER-ES'!$A:$A,0)),
IF(CONCATENATE($A280,$B280)="CDER-ES",INDEX('CDER-ES'!$B:$B,MATCH($C280,'CDER-ES'!$A:$A,0)),
IF(CONCATENATE($A280,$B280)="ISINAPI",INDEX(ISINAPI!$B:$B,MATCH($C280,ISINAPI!$A:$A,0)),
IF(CONCATENATE($A280,$B280)="CSINAPI",INDEX(CSINAPI!$B:$B,MATCH($C280,CSINAPI!$A:$A,0)),
IF(CONCATENATE($A280,$B280)="CCESAN",INDEX(CCESAN!$B:$B,MATCH($C280,CCESAN!$A:$A,0)),
IF(CONCATENATE($A280,$B280)="CSCORIO",INDEX(CSCORIO!$B:$B,MATCH($C280,CSCORIO!$A:$A,0)),
IF(CONCATENATE($A280,$B280)="MERC",INDEX(MERCADO!$B:$B,MATCH($C280,MERCADO!$A:$A,0)),
IF(CONCATENATE($A280,$B280)="CCOMP",INDEX(COMPOSICAO!$B:$B,MATCH($C280,COMPOSICAO!$A:$A,0)),""
))))))))),"*Verificar código*"))</f>
        <v>Emassamento De Esquadrias De Madeira, Com Duas Demãos De Massa À Base De Óleo, Marcas De Referência Suvinil, Coral Ou Metalatex</v>
      </c>
      <c r="E280" s="143" t="str">
        <f>LOWER(IFERROR(
IF(CONCATENATE($A280,$B280)="IDER-ES",INDEX('IDER-ES'!$C:$C,MATCH($C280,'IDER-ES'!$A:$A,0)),
IF(CONCATENATE($A280,$B280)="CDER-ES",INDEX('CDER-ES'!$C:$C,MATCH($C280,'CDER-ES'!$A:$A,0)),
IF(CONCATENATE($A280,$B280)="ISINAPI",INDEX(ISINAPI!$C:$C,MATCH($C280,ISINAPI!$A:$A,0)),
IF(CONCATENATE($A280,$B280)="CSINAPI",INDEX(CSINAPI!$C:$C,MATCH($C280,CSINAPI!$A:$A,0)),
IF(CONCATENATE($A280,$B280)="CCESAN",INDEX(CCESAN!$C:$C,MATCH($C280,CCESAN!$A:$A,0)),
IF(CONCATENATE($A280,$B280)="CSCORIO",INDEX(CSCORIO!$A:$A,MATCH($C280,CSCORIO!$A:$A,0)),
IF(CONCATENATE($A280,$B280)="MERC",INDEX(MERCADO!$D:$D,MATCH($C280,MERCADO!$A:$A,0)),
IF(CONCATENATE($A280,$B280)="CCOMP",INDEX(COMPOSICAO!$H:$H,MATCH($C280,COMPOSICAO!$A:$A,0)),""
)))))))),""))</f>
        <v>m²</v>
      </c>
      <c r="F280" s="182">
        <f>F279</f>
        <v>5.0400000000000009</v>
      </c>
      <c r="G280" s="144">
        <f>(IFERROR(
IF(CONCATENATE($A280,$B280)="IDER-ES",INDEX('IDER-ES'!$D:$D,MATCH($C280,'IDER-ES'!$A:$A,0)),
IF(CONCATENATE($A280,$B280)="CDER-ES",INDEX('CDER-ES'!$D:$D,MATCH($C280,'CDER-ES'!$A:$A,0)),
IF(CONCATENATE($A280,$B280)="ISINAPI",INDEX(ISINAPI!$E:$E,MATCH($C280,ISINAPI!$A:$A,0)),
IF(CONCATENATE($A280,$B280)="CSINAPI",INDEX(CSINAPI!$D:$D,MATCH($C280,CSINAPI!$A:$A,0)),
IF(CONCATENATE($A280,$B280)="CCESAN",INDEX(CCESAN!$D:$D,MATCH($C280,CCESAN!$A:$A,0)),
IF(CONCATENATE($A280,$B280)="CSCORIO",INDEX(CSCORIO!$B:$B,MATCH($C280,CSCORIO!#REF!,0)),
IF(CONCATENATE($A280,$B280)="MERC",INDEX(MERCADO!$E:$E,MATCH($C280,MERCADO!$A:$A,0)),
IF(CONCATENATE($A280,$B280)="CCOMP",INDEX(COMPOSICAO!$H:$H,MATCH($C280,COMPOSICAO!$A:$A,0)),""
)))))))),""))</f>
        <v>18.899999999999999</v>
      </c>
      <c r="H280" s="144">
        <f t="shared" ref="H280" si="48">IF(B280="","",ROUND(G280*F280,2))</f>
        <v>95.26</v>
      </c>
    </row>
    <row r="281" spans="1:9" ht="51">
      <c r="A281" s="141" t="s">
        <v>21960</v>
      </c>
      <c r="B281" s="141" t="s">
        <v>26583</v>
      </c>
      <c r="C281" s="141">
        <v>190302</v>
      </c>
      <c r="D281" s="142" t="str">
        <f>PROPER(IFERROR(
IF(C281="","",
IF(CONCATENATE($A281,$B281)="IDER-ES",INDEX('IDER-ES'!$B:$B,MATCH($C281,'IDER-ES'!$A:$A,0)),
IF(CONCATENATE($A281,$B281)="CDER-ES",INDEX('CDER-ES'!$B:$B,MATCH($C281,'CDER-ES'!$A:$A,0)),
IF(CONCATENATE($A281,$B281)="ISINAPI",INDEX(ISINAPI!$B:$B,MATCH($C281,ISINAPI!$A:$A,0)),
IF(CONCATENATE($A281,$B281)="CSINAPI",INDEX(CSINAPI!$B:$B,MATCH($C281,CSINAPI!$A:$A,0)),
IF(CONCATENATE($A281,$B281)="CCESAN",INDEX(CCESAN!$B:$B,MATCH($C281,CCESAN!$A:$A,0)),
IF(CONCATENATE($A281,$B281)="CSCORIO",INDEX(CSCORIO!$B:$B,MATCH($C281,CSCORIO!$A:$A,0)),
IF(CONCATENATE($A281,$B281)="MERC",INDEX(MERCADO!$B:$B,MATCH($C281,MERCADO!$A:$A,0)),
IF(CONCATENATE($A281,$B281)="CCOMP",INDEX(COMPOSICAO!$B:$B,MATCH($C281,COMPOSICAO!$A:$A,0)),""
))))))))),"*Verificar código*"))</f>
        <v>Pintura Com Tinta Esmalte Sintético, Marcas De Referência Suvinil, Coral Ou Metalatex, Inclusive Fundo Branco Nivelador, Em Madeira, A Duas Demãos</v>
      </c>
      <c r="E281" s="143" t="str">
        <f>LOWER(IFERROR(
IF(CONCATENATE($A281,$B281)="IDER-ES",INDEX('IDER-ES'!$C:$C,MATCH($C281,'IDER-ES'!$A:$A,0)),
IF(CONCATENATE($A281,$B281)="CDER-ES",INDEX('CDER-ES'!$C:$C,MATCH($C281,'CDER-ES'!$A:$A,0)),
IF(CONCATENATE($A281,$B281)="ISINAPI",INDEX(ISINAPI!$C:$C,MATCH($C281,ISINAPI!$A:$A,0)),
IF(CONCATENATE($A281,$B281)="CSINAPI",INDEX(CSINAPI!$C:$C,MATCH($C281,CSINAPI!$A:$A,0)),
IF(CONCATENATE($A281,$B281)="CCESAN",INDEX(CCESAN!$C:$C,MATCH($C281,CCESAN!$A:$A,0)),
IF(CONCATENATE($A281,$B281)="CSCORIO",INDEX(CSCORIO!$A:$A,MATCH($C281,CSCORIO!$A:$A,0)),
IF(CONCATENATE($A281,$B281)="MERC",INDEX(MERCADO!$D:$D,MATCH($C281,MERCADO!$A:$A,0)),
IF(CONCATENATE($A281,$B281)="CCOMP",INDEX(COMPOSICAO!$H:$H,MATCH($C281,COMPOSICAO!$A:$A,0)),""
)))))))),""))</f>
        <v>m²</v>
      </c>
      <c r="F281" s="182">
        <f>F279</f>
        <v>5.0400000000000009</v>
      </c>
      <c r="G281" s="144">
        <f>(IFERROR(
IF(CONCATENATE($A281,$B281)="IDER-ES",INDEX('IDER-ES'!$D:$D,MATCH($C281,'IDER-ES'!$A:$A,0)),
IF(CONCATENATE($A281,$B281)="CDER-ES",INDEX('CDER-ES'!$D:$D,MATCH($C281,'CDER-ES'!$A:$A,0)),
IF(CONCATENATE($A281,$B281)="ISINAPI",INDEX(ISINAPI!$E:$E,MATCH($C281,ISINAPI!$A:$A,0)),
IF(CONCATENATE($A281,$B281)="CSINAPI",INDEX(CSINAPI!$D:$D,MATCH($C281,CSINAPI!$A:$A,0)),
IF(CONCATENATE($A281,$B281)="CCESAN",INDEX(CCESAN!$D:$D,MATCH($C281,CCESAN!$A:$A,0)),
IF(CONCATENATE($A281,$B281)="CSCORIO",INDEX(CSCORIO!$B:$B,MATCH($C281,CSCORIO!#REF!,0)),
IF(CONCATENATE($A281,$B281)="MERC",INDEX(MERCADO!$E:$E,MATCH($C281,MERCADO!$A:$A,0)),
IF(CONCATENATE($A281,$B281)="CCOMP",INDEX(COMPOSICAO!$H:$H,MATCH($C281,COMPOSICAO!$A:$A,0)),""
)))))))),""))</f>
        <v>22.64</v>
      </c>
      <c r="H281" s="144">
        <f t="shared" si="46"/>
        <v>114.11</v>
      </c>
    </row>
    <row r="283" spans="1:9" s="135" customFormat="1" ht="19.5" customHeight="1">
      <c r="A283" s="186" t="s">
        <v>1020</v>
      </c>
      <c r="B283" s="405" t="s">
        <v>1022</v>
      </c>
      <c r="C283" s="406"/>
      <c r="D283" s="406"/>
      <c r="E283" s="406"/>
      <c r="F283" s="407"/>
      <c r="G283" s="133" t="s">
        <v>19692</v>
      </c>
      <c r="H283" s="134" t="s">
        <v>19678</v>
      </c>
      <c r="I283" s="263"/>
    </row>
    <row r="284" spans="1:9" ht="90" customHeight="1">
      <c r="A284" s="136">
        <f>COUNTIF($A$4:$A283,$A$4)</f>
        <v>27</v>
      </c>
      <c r="B284" s="408" t="s">
        <v>28620</v>
      </c>
      <c r="C284" s="409"/>
      <c r="D284" s="409"/>
      <c r="E284" s="409"/>
      <c r="F284" s="410"/>
      <c r="G284" s="137" t="s">
        <v>19692</v>
      </c>
      <c r="H284" s="211">
        <f>SUM(H286:H299)</f>
        <v>3354.74</v>
      </c>
    </row>
    <row r="285" spans="1:9" ht="30" customHeight="1">
      <c r="A285" s="139" t="s">
        <v>1026</v>
      </c>
      <c r="B285" s="139" t="s">
        <v>1027</v>
      </c>
      <c r="C285" s="139" t="s">
        <v>31</v>
      </c>
      <c r="D285" s="139" t="s">
        <v>1023</v>
      </c>
      <c r="E285" s="139" t="s">
        <v>32</v>
      </c>
      <c r="F285" s="183" t="s">
        <v>2343</v>
      </c>
      <c r="G285" s="140" t="s">
        <v>19676</v>
      </c>
      <c r="H285" s="140" t="s">
        <v>19677</v>
      </c>
    </row>
    <row r="286" spans="1:9" ht="25.5">
      <c r="A286" s="141" t="s">
        <v>26621</v>
      </c>
      <c r="B286" s="141" t="s">
        <v>26583</v>
      </c>
      <c r="C286" s="141">
        <v>21305</v>
      </c>
      <c r="D286" s="142" t="str">
        <f>PROPER(IFERROR(
IF(C286="","",
IF(CONCATENATE($A286,$B286)="IDER-ES",INDEX('IDER-ES'!$B:$B,MATCH($C286,'IDER-ES'!$A:$A,0)),
IF(CONCATENATE($A286,$B286)="CDER-ES",INDEX('CDER-ES'!$B:$B,MATCH($C286,'CDER-ES'!$A:$A,0)),
IF(CONCATENATE($A286,$B286)="ISINAPI",INDEX(ISINAPI!$B:$B,MATCH($C286,ISINAPI!$A:$A,0)),
IF(CONCATENATE($A286,$B286)="CSINAPI",INDEX(CSINAPI!$B:$B,MATCH($C286,CSINAPI!$A:$A,0)),
IF(CONCATENATE($A286,$B286)="CCESAN",INDEX(CCESAN!$B:$B,MATCH($C286,CCESAN!$A:$A,0)),
IF(CONCATENATE($A286,$B286)="CSCORIO",INDEX(CSCORIO!$B:$B,MATCH($C286,CSCORIO!$A:$A,0)),
IF(CONCATENATE($A286,$B286)="MERC",INDEX(MERCADO!$B:$B,MATCH($C286,MERCADO!$A:$A,0)),
IF(CONCATENATE($A286,$B286)="CCOMP",INDEX(COMPOSICAO!$B:$B,MATCH($C286,COMPOSICAO!$A:$A,0)),""
))))))))),"*Verificar código*"))</f>
        <v>Peca Em Madeira De Lei 7 X 5 Cm (Aparelhada)</v>
      </c>
      <c r="E286" s="143" t="str">
        <f>LOWER(IFERROR(
IF(CONCATENATE($A286,$B286)="IDER-ES",INDEX('IDER-ES'!$C:$C,MATCH($C286,'IDER-ES'!$A:$A,0)),
IF(CONCATENATE($A286,$B286)="CIOPES",INDEX('CDER-ES'!$C:$C,MATCH($C286,'CDER-ES'!$A:$A,0)),
IF(CONCATENATE($A286,$B286)="ISINAPI",INDEX(ISINAPI!$C:$C,MATCH($C286,ISINAPI!$A:$A,0)),
IF(CONCATENATE($A286,$B286)="CSINAPI",INDEX(CSINAPI!$C:$C,MATCH($C286,CSINAPI!$A:$A,0)),
IF(CONCATENATE($A286,$B286)="CCESAN",INDEX(CCESAN!$C:$C,MATCH($C286,CCESAN!$A:$A,0)),
IF(CONCATENATE($A286,$B286)="CSCORIO",INDEX(CSCORIO!$C:$C,MATCH($C286,CSCORIO!$A:$A,0)),
IF(CONCATENATE($A286,$B286)="MERC",INDEX(MERCADO!$D:$D,MATCH($C286,MERCADO!$A:$A,0)),
IF(CONCATENATE($A286,$B286)="CCOMP",INDEX(COMPOSICAO!$H:$H,MATCH($C286,COMPOSICAO!$A:$A,0)),""
)))))))),""))</f>
        <v>m</v>
      </c>
      <c r="F286" s="182">
        <f>1*2+3.05*2</f>
        <v>8.1</v>
      </c>
      <c r="G286" s="284">
        <f>(IFERROR(
IF(CONCATENATE($A286,$B286)="IDER-ES",INDEX('IDER-ES'!$D:$D,MATCH($C286,'IDER-ES'!$A:$A,0)),
IF(CONCATENATE($A286,$B286)="CIOPES",INDEX('CDER-ES'!$D:$D,MATCH($C286,'CDER-ES'!$A:$A,0)),
IF(CONCATENATE($A286,$B286)="ISINAPI",INDEX(ISINAPI!$E:$E,MATCH($C286,ISINAPI!$A:$A,0)),
IF(CONCATENATE($A286,$B286)="CSINAPI",INDEX(CSINAPI!$D:$D,MATCH($C286,CSINAPI!$A:$A,0)),
IF(CONCATENATE($A286,$B286)="CCESAN",INDEX(CCESAN!$D:$D,MATCH($C286,CCESAN!$A:$A,0)),
IF(CONCATENATE($A286,$B286)="CSCORIO",INDEX(CSCORIO!$D:$D,MATCH($C286,CSCORIO!$A:$A,0)),
IF(CONCATENATE($A286,$B286)="MERC",INDEX(MERCADO!$E:$E,MATCH($C286,MERCADO!$A:$A,0)),
IF(CONCATENATE($A286,$B286)="CCOMP",INDEX(COMPOSICAO!$H:$H,MATCH($C286,COMPOSICAO!$A:$A,0)),""
)))))))),""))</f>
        <v>39.21</v>
      </c>
      <c r="H286" s="284">
        <f t="shared" ref="H286:H299" si="49">IF(B286="","",ROUND(G286*F286,2))</f>
        <v>317.60000000000002</v>
      </c>
    </row>
    <row r="287" spans="1:9" ht="25.5">
      <c r="A287" s="141" t="s">
        <v>26621</v>
      </c>
      <c r="B287" s="141" t="s">
        <v>1019</v>
      </c>
      <c r="C287" s="141">
        <v>5075</v>
      </c>
      <c r="D287" s="142" t="str">
        <f>PROPER(IFERROR(
IF(C287="","",
IF(CONCATENATE($A287,$B287)="IDER-ES",INDEX('IDER-ES'!$B:$B,MATCH($C287,'IDER-ES'!$A:$A,0)),
IF(CONCATENATE($A287,$B287)="CDER-ES",INDEX('CDER-ES'!$B:$B,MATCH($C287,'CDER-ES'!$A:$A,0)),
IF(CONCATENATE($A287,$B287)="ISINAPI",INDEX(ISINAPI!$B:$B,MATCH($C287,ISINAPI!$A:$A,0)),
IF(CONCATENATE($A287,$B287)="CSINAPI",INDEX(CSINAPI!$B:$B,MATCH($C287,CSINAPI!$A:$A,0)),
IF(CONCATENATE($A287,$B287)="CCESAN",INDEX(CCESAN!$B:$B,MATCH($C287,CCESAN!$A:$A,0)),
IF(CONCATENATE($A287,$B287)="CSCORIO",INDEX(CSCORIO!$B:$B,MATCH($C287,CSCORIO!$A:$A,0)),
IF(CONCATENATE($A287,$B287)="MERC",INDEX(MERCADO!$B:$B,MATCH($C287,MERCADO!$A:$A,0)),
IF(CONCATENATE($A287,$B287)="CCOMP",INDEX(COMPOSICAO!$B:$B,MATCH($C287,COMPOSICAO!$A:$A,0)),""
))))))))),"*Verificar código*"))</f>
        <v xml:space="preserve">Prego De Aco Polido Com Cabeca 18 X 30 (2 3/4 X 10)                                                                                                                                                                                                                                                                                                                                                                                                                                                       </v>
      </c>
      <c r="E287" s="143" t="str">
        <f>LOWER(IFERROR(
IF(CONCATENATE($A287,$B287)="IDER-ES",INDEX('IDER-ES'!$C:$C,MATCH($C287,'IDER-ES'!$A:$A,0)),
IF(CONCATENATE($A287,$B287)="CIOPES",INDEX('CDER-ES'!$C:$C,MATCH($C287,'CDER-ES'!$A:$A,0)),
IF(CONCATENATE($A287,$B287)="ISINAPI",INDEX(ISINAPI!$C:$C,MATCH($C287,ISINAPI!$A:$A,0)),
IF(CONCATENATE($A287,$B287)="CSINAPI",INDEX(CSINAPI!$C:$C,MATCH($C287,CSINAPI!$A:$A,0)),
IF(CONCATENATE($A287,$B287)="CCESAN",INDEX(CCESAN!$C:$C,MATCH($C287,CCESAN!$A:$A,0)),
IF(CONCATENATE($A287,$B287)="CSCORIO",INDEX(CSCORIO!$C:$C,MATCH($C287,CSCORIO!$A:$A,0)),
IF(CONCATENATE($A287,$B287)="MERC",INDEX(MERCADO!$D:$D,MATCH($C287,MERCADO!$A:$A,0)),
IF(CONCATENATE($A287,$B287)="CCOMP",INDEX(COMPOSICAO!$H:$H,MATCH($C287,COMPOSICAO!$A:$A,0)),""
)))))))),""))</f>
        <v xml:space="preserve">kg    </v>
      </c>
      <c r="F287" s="182">
        <v>2.4E-2</v>
      </c>
      <c r="G287" s="284">
        <f>(IFERROR(
IF(CONCATENATE($A287,$B287)="IDER-ES",INDEX('IDER-ES'!$D:$D,MATCH($C287,'IDER-ES'!$A:$A,0)),
IF(CONCATENATE($A287,$B287)="CIOPES",INDEX('CDER-ES'!$D:$D,MATCH($C287,'CDER-ES'!$A:$A,0)),
IF(CONCATENATE($A287,$B287)="ISINAPI",INDEX(ISINAPI!$E:$E,MATCH($C287,ISINAPI!$A:$A,0)),
IF(CONCATENATE($A287,$B287)="CSINAPI",INDEX(CSINAPI!$D:$D,MATCH($C287,CSINAPI!$A:$A,0)),
IF(CONCATENATE($A287,$B287)="CCESAN",INDEX(CCESAN!$D:$D,MATCH($C287,CCESAN!$A:$A,0)),
IF(CONCATENATE($A287,$B287)="CSCORIO",INDEX(CSCORIO!$D:$D,MATCH($C287,CSCORIO!$A:$A,0)),
IF(CONCATENATE($A287,$B287)="MERC",INDEX(MERCADO!$E:$E,MATCH($C287,MERCADO!$A:$A,0)),
IF(CONCATENATE($A287,$B287)="CCOMP",INDEX(COMPOSICAO!$H:$H,MATCH($C287,COMPOSICAO!$A:$A,0)),""
)))))))),""))</f>
        <v>27.61</v>
      </c>
      <c r="H287" s="284">
        <f t="shared" si="49"/>
        <v>0.66</v>
      </c>
    </row>
    <row r="288" spans="1:9" ht="38.25">
      <c r="A288" s="141" t="s">
        <v>26621</v>
      </c>
      <c r="B288" s="141" t="s">
        <v>1019</v>
      </c>
      <c r="C288" s="141">
        <v>4998</v>
      </c>
      <c r="D288" s="142" t="str">
        <f>PROPER(IFERROR(
IF(C288="","",
IF(CONCATENATE($A288,$B288)="IDER-ES",INDEX('IDER-ES'!$B:$B,MATCH($C288,'IDER-ES'!$A:$A,0)),
IF(CONCATENATE($A288,$B288)="CDER-ES",INDEX('CDER-ES'!$B:$B,MATCH($C288,'CDER-ES'!$A:$A,0)),
IF(CONCATENATE($A288,$B288)="ISINAPI",INDEX(ISINAPI!$B:$B,MATCH($C288,ISINAPI!$A:$A,0)),
IF(CONCATENATE($A288,$B288)="CSINAPI",INDEX(CSINAPI!$B:$B,MATCH($C288,CSINAPI!$A:$A,0)),
IF(CONCATENATE($A288,$B288)="CCESAN",INDEX(CCESAN!$B:$B,MATCH($C288,CCESAN!$A:$A,0)),
IF(CONCATENATE($A288,$B288)="CSCORIO",INDEX(CSCORIO!$B:$B,MATCH($C288,CSCORIO!$A:$A,0)),
IF(CONCATENATE($A288,$B288)="MERC",INDEX(MERCADO!$B:$B,MATCH($C288,MERCADO!$A:$A,0)),
IF(CONCATENATE($A288,$B288)="CCOMP",INDEX(COMPOSICAO!$B:$B,MATCH($C288,COMPOSICAO!$A:$A,0)),""
))))))))),"*Verificar código*"))</f>
        <v xml:space="preserve">Porta De Madeira-De-Lei Tipo Mexicana Sem Emenda (Angelim Ou Equivalente Regional), E = *3,5* Cm                                                                                                                                                                                                                                                                                                                                                                                                          </v>
      </c>
      <c r="E288" s="143" t="str">
        <f>LOWER(IFERROR(
IF(CONCATENATE($A288,$B288)="IDER-ES",INDEX('IDER-ES'!$C:$C,MATCH($C288,'IDER-ES'!$A:$A,0)),
IF(CONCATENATE($A288,$B288)="CIOPES",INDEX('CDER-ES'!$C:$C,MATCH($C288,'CDER-ES'!$A:$A,0)),
IF(CONCATENATE($A288,$B288)="ISINAPI",INDEX(ISINAPI!$C:$C,MATCH($C288,ISINAPI!$A:$A,0)),
IF(CONCATENATE($A288,$B288)="CSINAPI",INDEX(CSINAPI!$C:$C,MATCH($C288,CSINAPI!$A:$A,0)),
IF(CONCATENATE($A288,$B288)="CCESAN",INDEX(CCESAN!$C:$C,MATCH($C288,CCESAN!$A:$A,0)),
IF(CONCATENATE($A288,$B288)="CSCORIO",INDEX(CSCORIO!$C:$C,MATCH($C288,CSCORIO!$A:$A,0)),
IF(CONCATENATE($A288,$B288)="MERC",INDEX(MERCADO!$D:$D,MATCH($C288,MERCADO!$A:$A,0)),
IF(CONCATENATE($A288,$B288)="CCOMP",INDEX(COMPOSICAO!$H:$H,MATCH($C288,COMPOSICAO!$A:$A,0)),""
)))))))),""))</f>
        <v xml:space="preserve">m²    </v>
      </c>
      <c r="F288" s="182">
        <f>1*2.6</f>
        <v>2.6</v>
      </c>
      <c r="G288" s="284">
        <f>(IFERROR(
IF(CONCATENATE($A288,$B288)="IDER-ES",INDEX('IDER-ES'!$D:$D,MATCH($C288,'IDER-ES'!$A:$A,0)),
IF(CONCATENATE($A288,$B288)="CIOPES",INDEX('CDER-ES'!$D:$D,MATCH($C288,'CDER-ES'!$A:$A,0)),
IF(CONCATENATE($A288,$B288)="ISINAPI",INDEX(ISINAPI!$E:$E,MATCH($C288,ISINAPI!$A:$A,0)),
IF(CONCATENATE($A288,$B288)="CSINAPI",INDEX(CSINAPI!$D:$D,MATCH($C288,CSINAPI!$A:$A,0)),
IF(CONCATENATE($A288,$B288)="CCESAN",INDEX(CCESAN!$D:$D,MATCH($C288,CCESAN!$A:$A,0)),
IF(CONCATENATE($A288,$B288)="CSCORIO",INDEX(CSCORIO!$D:$D,MATCH($C288,CSCORIO!$A:$A,0)),
IF(CONCATENATE($A288,$B288)="MERC",INDEX(MERCADO!$E:$E,MATCH($C288,MERCADO!$A:$A,0)),
IF(CONCATENATE($A288,$B288)="CCOMP",INDEX(COMPOSICAO!$H:$H,MATCH($C288,COMPOSICAO!$A:$A,0)),""
)))))))),""))</f>
        <v>624.87</v>
      </c>
      <c r="H288" s="284">
        <f t="shared" ref="H288" si="50">IF(B288="","",ROUND(G288*F288,2))</f>
        <v>1624.66</v>
      </c>
    </row>
    <row r="289" spans="1:9" ht="51">
      <c r="A289" s="141" t="s">
        <v>26621</v>
      </c>
      <c r="B289" s="141" t="s">
        <v>1019</v>
      </c>
      <c r="C289" s="141">
        <v>2432</v>
      </c>
      <c r="D289" s="142" t="str">
        <f>PROPER(IFERROR(
IF(C289="","",
IF(CONCATENATE($A289,$B289)="IDER-ES",INDEX('IDER-ES'!$B:$B,MATCH($C289,'IDER-ES'!$A:$A,0)),
IF(CONCATENATE($A289,$B289)="CDER-ES",INDEX('CDER-ES'!$B:$B,MATCH($C289,'CDER-ES'!$A:$A,0)),
IF(CONCATENATE($A289,$B289)="ISINAPI",INDEX(ISINAPI!$B:$B,MATCH($C289,ISINAPI!$A:$A,0)),
IF(CONCATENATE($A289,$B289)="CSINAPI",INDEX(CSINAPI!$B:$B,MATCH($C289,CSINAPI!$A:$A,0)),
IF(CONCATENATE($A289,$B289)="CCESAN",INDEX(CCESAN!$B:$B,MATCH($C289,CCESAN!$A:$A,0)),
IF(CONCATENATE($A289,$B289)="CSCORIO",INDEX(CSCORIO!$B:$B,MATCH($C289,CSCORIO!$A:$A,0)),
IF(CONCATENATE($A289,$B289)="MERC",INDEX(MERCADO!$B:$B,MATCH($C289,MERCADO!$A:$A,0)),
IF(CONCATENATE($A289,$B289)="CCOMP",INDEX(COMPOSICAO!$B:$B,MATCH($C289,COMPOSICAO!$A:$A,0)),""
))))))))),"*Verificar código*"))</f>
        <v xml:space="preserve">Dobradica Em Aco/Ferro, 3 1/2" X  3", E= 1,9  A 2 Mm, Com Anel,  Cromado Ou Zincado, Tampa Bola, Com Parafusos                                                                                                                                                                                                                                                                                                                                                                                            </v>
      </c>
      <c r="E289" s="143" t="str">
        <f>LOWER(IFERROR(
IF(CONCATENATE($A289,$B289)="IDER-ES",INDEX('IDER-ES'!$C:$C,MATCH($C289,'IDER-ES'!$A:$A,0)),
IF(CONCATENATE($A289,$B289)="CIOPES",INDEX('CDER-ES'!$C:$C,MATCH($C289,'CDER-ES'!$A:$A,0)),
IF(CONCATENATE($A289,$B289)="ISINAPI",INDEX(ISINAPI!$C:$C,MATCH($C289,ISINAPI!$A:$A,0)),
IF(CONCATENATE($A289,$B289)="CSINAPI",INDEX(CSINAPI!$C:$C,MATCH($C289,CSINAPI!$A:$A,0)),
IF(CONCATENATE($A289,$B289)="CCESAN",INDEX(CCESAN!$C:$C,MATCH($C289,CCESAN!$A:$A,0)),
IF(CONCATENATE($A289,$B289)="CSCORIO",INDEX(CSCORIO!$C:$C,MATCH($C289,CSCORIO!$A:$A,0)),
IF(CONCATENATE($A289,$B289)="MERC",INDEX(MERCADO!$D:$D,MATCH($C289,MERCADO!$A:$A,0)),
IF(CONCATENATE($A289,$B289)="CCOMP",INDEX(COMPOSICAO!$H:$H,MATCH($C289,COMPOSICAO!$A:$A,0)),""
)))))))),""))</f>
        <v xml:space="preserve">un    </v>
      </c>
      <c r="F289" s="182">
        <v>10</v>
      </c>
      <c r="G289" s="284">
        <f>(IFERROR(
IF(CONCATENATE($A289,$B289)="IDER-ES",INDEX('IDER-ES'!$D:$D,MATCH($C289,'IDER-ES'!$A:$A,0)),
IF(CONCATENATE($A289,$B289)="CIOPES",INDEX('CDER-ES'!$D:$D,MATCH($C289,'CDER-ES'!$A:$A,0)),
IF(CONCATENATE($A289,$B289)="ISINAPI",INDEX(ISINAPI!$E:$E,MATCH($C289,ISINAPI!$A:$A,0)),
IF(CONCATENATE($A289,$B289)="CSINAPI",INDEX(CSINAPI!$D:$D,MATCH($C289,CSINAPI!$A:$A,0)),
IF(CONCATENATE($A289,$B289)="CCESAN",INDEX(CCESAN!$D:$D,MATCH($C289,CCESAN!$A:$A,0)),
IF(CONCATENATE($A289,$B289)="CSCORIO",INDEX(CSCORIO!$D:$D,MATCH($C289,CSCORIO!$A:$A,0)),
IF(CONCATENATE($A289,$B289)="MERC",INDEX(MERCADO!$E:$E,MATCH($C289,MERCADO!$A:$A,0)),
IF(CONCATENATE($A289,$B289)="CCOMP",INDEX(COMPOSICAO!$H:$H,MATCH($C289,COMPOSICAO!$A:$A,0)),""
)))))))),""))</f>
        <v>17.2</v>
      </c>
      <c r="H289" s="284">
        <f t="shared" si="49"/>
        <v>172</v>
      </c>
    </row>
    <row r="290" spans="1:9" ht="38.25">
      <c r="A290" s="141" t="s">
        <v>26621</v>
      </c>
      <c r="B290" s="141" t="s">
        <v>1019</v>
      </c>
      <c r="C290" s="141">
        <v>11055</v>
      </c>
      <c r="D290" s="142" t="str">
        <f>PROPER(IFERROR(
IF(C290="","",
IF(CONCATENATE($A290,$B290)="IDER-ES",INDEX('IDER-ES'!$B:$B,MATCH($C290,'IDER-ES'!$A:$A,0)),
IF(CONCATENATE($A290,$B290)="CDER-ES",INDEX('CDER-ES'!$B:$B,MATCH($C290,'CDER-ES'!$A:$A,0)),
IF(CONCATENATE($A290,$B290)="ISINAPI",INDEX(ISINAPI!$B:$B,MATCH($C290,ISINAPI!$A:$A,0)),
IF(CONCATENATE($A290,$B290)="CSINAPI",INDEX(CSINAPI!$B:$B,MATCH($C290,CSINAPI!$A:$A,0)),
IF(CONCATENATE($A290,$B290)="CCESAN",INDEX(CCESAN!$B:$B,MATCH($C290,CCESAN!$A:$A,0)),
IF(CONCATENATE($A290,$B290)="CSCORIO",INDEX(CSCORIO!$B:$B,MATCH($C290,CSCORIO!$A:$A,0)),
IF(CONCATENATE($A290,$B290)="MERC",INDEX(MERCADO!$B:$B,MATCH($C290,MERCADO!$A:$A,0)),
IF(CONCATENATE($A290,$B290)="CCOMP",INDEX(COMPOSICAO!$B:$B,MATCH($C290,COMPOSICAO!$A:$A,0)),""
))))))))),"*Verificar código*"))</f>
        <v xml:space="preserve">Parafuso Rosca Soberba Zincado Cabeca Chata Fenda Simples 3,5 X 25 Mm (1 ")                                                                                                                                                                                                                                                                                                                                                                                                                               </v>
      </c>
      <c r="E290" s="143" t="str">
        <f>LOWER(IFERROR(
IF(CONCATENATE($A290,$B290)="IDER-ES",INDEX('IDER-ES'!$C:$C,MATCH($C290,'IDER-ES'!$A:$A,0)),
IF(CONCATENATE($A290,$B290)="CIOPES",INDEX('CDER-ES'!$C:$C,MATCH($C290,'CDER-ES'!$A:$A,0)),
IF(CONCATENATE($A290,$B290)="ISINAPI",INDEX(ISINAPI!$C:$C,MATCH($C290,ISINAPI!$A:$A,0)),
IF(CONCATENATE($A290,$B290)="CSINAPI",INDEX(CSINAPI!$C:$C,MATCH($C290,CSINAPI!$A:$A,0)),
IF(CONCATENATE($A290,$B290)="CCESAN",INDEX(CCESAN!$C:$C,MATCH($C290,CCESAN!$A:$A,0)),
IF(CONCATENATE($A290,$B290)="CSCORIO",INDEX(CSCORIO!$C:$C,MATCH($C290,CSCORIO!$A:$A,0)),
IF(CONCATENATE($A290,$B290)="MERC",INDEX(MERCADO!$D:$D,MATCH($C290,MERCADO!$A:$A,0)),
IF(CONCATENATE($A290,$B290)="CCOMP",INDEX(COMPOSICAO!$H:$H,MATCH($C290,COMPOSICAO!$A:$A,0)),""
)))))))),""))</f>
        <v xml:space="preserve">un    </v>
      </c>
      <c r="F290" s="182">
        <f>F289*6</f>
        <v>60</v>
      </c>
      <c r="G290" s="284">
        <f>(IFERROR(
IF(CONCATENATE($A290,$B290)="IDER-ES",INDEX('IDER-ES'!$D:$D,MATCH($C290,'IDER-ES'!$A:$A,0)),
IF(CONCATENATE($A290,$B290)="CIOPES",INDEX('CDER-ES'!$D:$D,MATCH($C290,'CDER-ES'!$A:$A,0)),
IF(CONCATENATE($A290,$B290)="ISINAPI",INDEX(ISINAPI!$E:$E,MATCH($C290,ISINAPI!$A:$A,0)),
IF(CONCATENATE($A290,$B290)="CSINAPI",INDEX(CSINAPI!$D:$D,MATCH($C290,CSINAPI!$A:$A,0)),
IF(CONCATENATE($A290,$B290)="CCESAN",INDEX(CCESAN!$D:$D,MATCH($C290,CCESAN!$A:$A,0)),
IF(CONCATENATE($A290,$B290)="CSCORIO",INDEX(CSCORIO!$D:$D,MATCH($C290,CSCORIO!$A:$A,0)),
IF(CONCATENATE($A290,$B290)="MERC",INDEX(MERCADO!$E:$E,MATCH($C290,MERCADO!$A:$A,0)),
IF(CONCATENATE($A290,$B290)="CCOMP",INDEX(COMPOSICAO!$H:$H,MATCH($C290,COMPOSICAO!$A:$A,0)),""
)))))))),""))</f>
        <v>0.1</v>
      </c>
      <c r="H290" s="284">
        <f t="shared" ref="H290:H292" si="51">IF(B290="","",ROUND(G290*F290,2))</f>
        <v>6</v>
      </c>
    </row>
    <row r="291" spans="1:9" ht="25.5">
      <c r="A291" s="141" t="s">
        <v>21960</v>
      </c>
      <c r="B291" s="141" t="s">
        <v>1019</v>
      </c>
      <c r="C291" s="141">
        <v>88261</v>
      </c>
      <c r="D291" s="142" t="str">
        <f>PROPER(IFERROR(
IF(C291="","",
IF(CONCATENATE($A291,$B291)="IDER-ES",INDEX('IDER-ES'!$B:$B,MATCH($C291,'IDER-ES'!$A:$A,0)),
IF(CONCATENATE($A291,$B291)="CDER-ES",INDEX('CDER-ES'!$B:$B,MATCH($C291,'CDER-ES'!$A:$A,0)),
IF(CONCATENATE($A291,$B291)="ISINAPI",INDEX(ISINAPI!$B:$B,MATCH($C291,ISINAPI!$A:$A,0)),
IF(CONCATENATE($A291,$B291)="CSINAPI",INDEX(CSINAPI!$B:$B,MATCH($C291,CSINAPI!$A:$A,0)),
IF(CONCATENATE($A291,$B291)="CCESAN",INDEX(CCESAN!$B:$B,MATCH($C291,CCESAN!$A:$A,0)),
IF(CONCATENATE($A291,$B291)="CSCORIO",INDEX(CSCORIO!$B:$B,MATCH($C291,CSCORIO!$A:$A,0)),
IF(CONCATENATE($A291,$B291)="MERC",INDEX(MERCADO!$B:$B,MATCH($C291,MERCADO!$A:$A,0)),
IF(CONCATENATE($A291,$B291)="CCOMP",INDEX(COMPOSICAO!$B:$B,MATCH($C291,COMPOSICAO!$A:$A,0)),""
))))))))),"*Verificar código*"))</f>
        <v>Carpinteiro De Esquadria Com Encargos Complementares</v>
      </c>
      <c r="E291" s="143" t="str">
        <f>LOWER(IFERROR(
IF(CONCATENATE($A291,$B291)="IDER-ES",INDEX('IDER-ES'!$C:$C,MATCH($C291,'IDER-ES'!$A:$A,0)),
IF(CONCATENATE($A291,$B291)="CDER-ES",INDEX('CDER-ES'!$C:$C,MATCH($C291,'CDER-ES'!$A:$A,0)),
IF(CONCATENATE($A291,$B291)="ISINAPI",INDEX(ISINAPI!$C:$C,MATCH($C291,ISINAPI!$A:$A,0)),
IF(CONCATENATE($A291,$B291)="CSINAPI",INDEX(CSINAPI!$C:$C,MATCH($C291,CSINAPI!$A:$A,0)),
IF(CONCATENATE($A291,$B291)="CCESAN",INDEX(CCESAN!$C:$C,MATCH($C291,CCESAN!$A:$A,0)),
IF(CONCATENATE($A291,$B291)="CSCORIO",INDEX(CSCORIO!$C:$C,MATCH($C291,CSCORIO!$A:$A,0)),
IF(CONCATENATE($A291,$B291)="MERC",INDEX(MERCADO!$D:$D,MATCH($C291,MERCADO!$A:$A,0)),
IF(CONCATENATE($A291,$B291)="CCOMP",INDEX(COMPOSICAO!$H:$H,MATCH($C291,COMPOSICAO!$A:$A,0)),""
)))))))),""))</f>
        <v>h</v>
      </c>
      <c r="F291" s="182">
        <f>2.741+1.28*F288</f>
        <v>6.0690000000000008</v>
      </c>
      <c r="G291" s="284">
        <f>(IFERROR(
IF(CONCATENATE($A291,$B291)="IDER-ES",INDEX('IDER-ES'!$D:$D,MATCH($C291,'IDER-ES'!$A:$A,0)),
IF(CONCATENATE($A291,$B291)="CDER-ES",INDEX('CDER-ES'!$D:$D,MATCH($C291,'CDER-ES'!$A:$A,0)),
IF(CONCATENATE($A291,$B291)="ISINAPI",INDEX(ISINAPI!$E:$E,MATCH($C291,ISINAPI!$A:$A,0)),
IF(CONCATENATE($A291,$B291)="CSINAPI",INDEX(CSINAPI!$D:$D,MATCH($C291,CSINAPI!$A:$A,0)),
IF(CONCATENATE($A291,$B291)="CCESAN",INDEX(CCESAN!$D:$D,MATCH($C291,CCESAN!$A:$A,0)),
IF(CONCATENATE($A291,$B291)="CSCORIO",INDEX(CSCORIO!$D:$D,MATCH($C291,CSCORIO!$A:$A,0)),
IF(CONCATENATE($A291,$B291)="MERC",INDEX(MERCADO!$E:$E,MATCH($C291,MERCADO!$A:$A,0)),
IF(CONCATENATE($A291,$B291)="CCOMP",INDEX(COMPOSICAO!$H:$H,MATCH($C291,COMPOSICAO!$A:$A,0)),""
)))))))),""))</f>
        <v>22.14</v>
      </c>
      <c r="H291" s="284">
        <f t="shared" si="51"/>
        <v>134.37</v>
      </c>
    </row>
    <row r="292" spans="1:9" ht="25.5">
      <c r="A292" s="141" t="s">
        <v>21960</v>
      </c>
      <c r="B292" s="141" t="s">
        <v>1019</v>
      </c>
      <c r="C292" s="141">
        <v>88316</v>
      </c>
      <c r="D292" s="142" t="str">
        <f>PROPER(IFERROR(
IF(C292="","",
IF(CONCATENATE($A292,$B292)="IDER-ES",INDEX('IDER-ES'!$B:$B,MATCH($C292,'IDER-ES'!$A:$A,0)),
IF(CONCATENATE($A292,$B292)="CDER-ES",INDEX('CDER-ES'!$B:$B,MATCH($C292,'CDER-ES'!$A:$A,0)),
IF(CONCATENATE($A292,$B292)="ISINAPI",INDEX(ISINAPI!$B:$B,MATCH($C292,ISINAPI!$A:$A,0)),
IF(CONCATENATE($A292,$B292)="CSINAPI",INDEX(CSINAPI!$B:$B,MATCH($C292,CSINAPI!$A:$A,0)),
IF(CONCATENATE($A292,$B292)="CCESAN",INDEX(CCESAN!$B:$B,MATCH($C292,CCESAN!$A:$A,0)),
IF(CONCATENATE($A292,$B292)="CSCORIO",INDEX(CSCORIO!$B:$B,MATCH($C292,CSCORIO!$A:$A,0)),
IF(CONCATENATE($A292,$B292)="MERC",INDEX(MERCADO!$B:$B,MATCH($C292,MERCADO!$A:$A,0)),
IF(CONCATENATE($A292,$B292)="CCOMP",INDEX(COMPOSICAO!$B:$B,MATCH($C292,COMPOSICAO!$A:$A,0)),""
))))))))),"*Verificar código*"))</f>
        <v>Servente Com Encargos Complementares</v>
      </c>
      <c r="E292" s="143" t="str">
        <f>LOWER(IFERROR(
IF(CONCATENATE($A292,$B292)="IDER-ES",INDEX('IDER-ES'!$C:$C,MATCH($C292,'IDER-ES'!$A:$A,0)),
IF(CONCATENATE($A292,$B292)="CDER-ES",INDEX('CDER-ES'!$C:$C,MATCH($C292,'CDER-ES'!$A:$A,0)),
IF(CONCATENATE($A292,$B292)="ISINAPI",INDEX(ISINAPI!$C:$C,MATCH($C292,ISINAPI!$A:$A,0)),
IF(CONCATENATE($A292,$B292)="CSINAPI",INDEX(CSINAPI!$C:$C,MATCH($C292,CSINAPI!$A:$A,0)),
IF(CONCATENATE($A292,$B292)="CCESAN",INDEX(CCESAN!$C:$C,MATCH($C292,CCESAN!$A:$A,0)),
IF(CONCATENATE($A292,$B292)="CSCORIO",INDEX(CSCORIO!$C:$C,MATCH($C292,CSCORIO!$A:$A,0)),
IF(CONCATENATE($A292,$B292)="MERC",INDEX(MERCADO!$D:$D,MATCH($C292,MERCADO!$A:$A,0)),
IF(CONCATENATE($A292,$B292)="CCOMP",INDEX(COMPOSICAO!$H:$H,MATCH($C292,COMPOSICAO!$A:$A,0)),""
)))))))),""))</f>
        <v>h</v>
      </c>
      <c r="F292" s="182">
        <f>1.357+0.64*F288</f>
        <v>3.0209999999999999</v>
      </c>
      <c r="G292" s="284">
        <f>(IFERROR(
IF(CONCATENATE($A292,$B292)="IDER-ES",INDEX('IDER-ES'!$D:$D,MATCH($C292,'IDER-ES'!$A:$A,0)),
IF(CONCATENATE($A292,$B292)="CDER-ES",INDEX('CDER-ES'!$D:$D,MATCH($C292,'CDER-ES'!$A:$A,0)),
IF(CONCATENATE($A292,$B292)="ISINAPI",INDEX(ISINAPI!$E:$E,MATCH($C292,ISINAPI!$A:$A,0)),
IF(CONCATENATE($A292,$B292)="CSINAPI",INDEX(CSINAPI!$D:$D,MATCH($C292,CSINAPI!$A:$A,0)),
IF(CONCATENATE($A292,$B292)="CCESAN",INDEX(CCESAN!$D:$D,MATCH($C292,CCESAN!$A:$A,0)),
IF(CONCATENATE($A292,$B292)="CSCORIO",INDEX(CSCORIO!$D:$D,MATCH($C292,CSCORIO!$A:$A,0)),
IF(CONCATENATE($A292,$B292)="MERC",INDEX(MERCADO!$E:$E,MATCH($C292,MERCADO!$A:$A,0)),
IF(CONCATENATE($A292,$B292)="CCOMP",INDEX(COMPOSICAO!$H:$H,MATCH($C292,COMPOSICAO!$A:$A,0)),""
)))))))),""))</f>
        <v>18.11</v>
      </c>
      <c r="H292" s="284">
        <f t="shared" si="51"/>
        <v>54.71</v>
      </c>
    </row>
    <row r="293" spans="1:9" ht="63.75">
      <c r="A293" s="141" t="s">
        <v>21960</v>
      </c>
      <c r="B293" s="141" t="s">
        <v>1019</v>
      </c>
      <c r="C293" s="141">
        <v>91307</v>
      </c>
      <c r="D293" s="142" t="str">
        <f>PROPER(IFERROR(
IF(C293="","",
IF(CONCATENATE($A293,$B293)="IDER-ES",INDEX('IDER-ES'!$B:$B,MATCH($C293,'IDER-ES'!$A:$A,0)),
IF(CONCATENATE($A293,$B293)="CDER-ES",INDEX('CDER-ES'!$B:$B,MATCH($C293,'CDER-ES'!$A:$A,0)),
IF(CONCATENATE($A293,$B293)="ISINAPI",INDEX(ISINAPI!$B:$B,MATCH($C293,ISINAPI!$A:$A,0)),
IF(CONCATENATE($A293,$B293)="CSINAPI",INDEX(CSINAPI!$B:$B,MATCH($C293,CSINAPI!$A:$A,0)),
IF(CONCATENATE($A293,$B293)="CCESAN",INDEX(CCESAN!$B:$B,MATCH($C293,CCESAN!$A:$A,0)),
IF(CONCATENATE($A293,$B293)="CSCORIO",INDEX(CSCORIO!$B:$B,MATCH($C293,CSCORIO!$A:$A,0)),
IF(CONCATENATE($A293,$B293)="MERC",INDEX(MERCADO!$B:$B,MATCH($C293,MERCADO!$A:$A,0)),
IF(CONCATENATE($A293,$B293)="CCOMP",INDEX(COMPOSICAO!$B:$B,MATCH($C293,COMPOSICAO!$A:$A,0)),""
))))))))),"*Verificar código*"))</f>
        <v>Fechadura De Embutir Para Portas Internas, Completa, Acabamento Padrão Popular, Com Execução De Furo - Fornecimento E Instalação. Af_12/2019</v>
      </c>
      <c r="E293" s="143" t="str">
        <f>LOWER(IFERROR(
IF(CONCATENATE($A293,$B293)="IDER-ES",INDEX('IDER-ES'!$C:$C,MATCH($C293,'IDER-ES'!$A:$A,0)),
IF(CONCATENATE($A293,$B293)="CDER-ES",INDEX('CDER-ES'!$C:$C,MATCH($C293,'CDER-ES'!$A:$A,0)),
IF(CONCATENATE($A293,$B293)="ISINAPI",INDEX(ISINAPI!$C:$C,MATCH($C293,ISINAPI!$A:$A,0)),
IF(CONCATENATE($A293,$B293)="CSINAPI",INDEX(CSINAPI!$C:$C,MATCH($C293,CSINAPI!$A:$A,0)),
IF(CONCATENATE($A293,$B293)="CCESAN",INDEX(CCESAN!$C:$C,MATCH($C293,CCESAN!$A:$A,0)),
IF(CONCATENATE($A293,$B293)="CSCORIO",INDEX(CSCORIO!$C:$C,MATCH($C293,CSCORIO!$A:$A,0)),
IF(CONCATENATE($A293,$B293)="MERC",INDEX(MERCADO!$D:$D,MATCH($C293,MERCADO!$A:$A,0)),
IF(CONCATENATE($A293,$B293)="CCOMP",INDEX(COMPOSICAO!$H:$H,MATCH($C293,COMPOSICAO!$A:$A,0)),""
)))))))),""))</f>
        <v>und</v>
      </c>
      <c r="F293" s="182">
        <v>2</v>
      </c>
      <c r="G293" s="284">
        <f>(IFERROR(
IF(CONCATENATE($A293,$B293)="IDER-ES",INDEX('IDER-ES'!$D:$D,MATCH($C293,'IDER-ES'!$A:$A,0)),
IF(CONCATENATE($A293,$B293)="CDER-ES",INDEX('CDER-ES'!$D:$D,MATCH($C293,'CDER-ES'!$A:$A,0)),
IF(CONCATENATE($A293,$B293)="ISINAPI",INDEX(ISINAPI!$E:$E,MATCH($C293,ISINAPI!$A:$A,0)),
IF(CONCATENATE($A293,$B293)="CSINAPI",INDEX(CSINAPI!$D:$D,MATCH($C293,CSINAPI!$A:$A,0)),
IF(CONCATENATE($A293,$B293)="CCESAN",INDEX(CCESAN!$D:$D,MATCH($C293,CCESAN!$A:$A,0)),
IF(CONCATENATE($A293,$B293)="CSCORIO",INDEX(CSCORIO!$D:$D,MATCH($C293,CSCORIO!$A:$A,0)),
IF(CONCATENATE($A293,$B293)="MERC",INDEX(MERCADO!$E:$E,MATCH($C293,MERCADO!$A:$A,0)),
IF(CONCATENATE($A293,$B293)="CCOMP",INDEX(COMPOSICAO!$H:$H,MATCH($C293,COMPOSICAO!$A:$A,0)),""
)))))))),""))</f>
        <v>71.86</v>
      </c>
      <c r="H293" s="284">
        <f t="shared" si="49"/>
        <v>143.72</v>
      </c>
    </row>
    <row r="294" spans="1:9" ht="76.5">
      <c r="A294" s="141" t="s">
        <v>21960</v>
      </c>
      <c r="B294" s="141" t="s">
        <v>1019</v>
      </c>
      <c r="C294" s="141">
        <v>100668</v>
      </c>
      <c r="D294" s="142" t="str">
        <f>PROPER(IFERROR(
IF(C294="","",
IF(CONCATENATE($A294,$B294)="IDER-ES",INDEX('IDER-ES'!$B:$B,MATCH($C294,'IDER-ES'!$A:$A,0)),
IF(CONCATENATE($A294,$B294)="CDER-ES",INDEX('CDER-ES'!$B:$B,MATCH($C294,'CDER-ES'!$A:$A,0)),
IF(CONCATENATE($A294,$B294)="ISINAPI",INDEX(ISINAPI!$B:$B,MATCH($C294,ISINAPI!$A:$A,0)),
IF(CONCATENATE($A294,$B294)="CSINAPI",INDEX(CSINAPI!$B:$B,MATCH($C294,CSINAPI!$A:$A,0)),
IF(CONCATENATE($A294,$B294)="CCESAN",INDEX(CCESAN!$B:$B,MATCH($C294,CCESAN!$A:$A,0)),
IF(CONCATENATE($A294,$B294)="CSCORIO",INDEX(CSCORIO!$B:$B,MATCH($C294,CSCORIO!$A:$A,0)),
IF(CONCATENATE($A294,$B294)="MERC",INDEX(MERCADO!$B:$B,MATCH($C294,MERCADO!$A:$A,0)),
IF(CONCATENATE($A294,$B294)="CCOMP",INDEX(COMPOSICAO!$B:$B,MATCH($C294,COMPOSICAO!$A:$A,0)),""
))))))))),"*Verificar código*"))</f>
        <v>Janela De Madeira (Cedrinho/Angelim Ou Equiv.) Tipo Maxim-Ar, Para Vidro, Com Batente, Alizar E Ferragens. Exclusive Vidro, Acabamento E Contramarco. Fornecimento E Instalação. Af_12/2019</v>
      </c>
      <c r="E294" s="143" t="str">
        <f>LOWER(IFERROR(
IF(CONCATENATE($A294,$B294)="IDER-ES",INDEX('IDER-ES'!$C:$C,MATCH($C294,'IDER-ES'!$A:$A,0)),
IF(CONCATENATE($A294,$B294)="CIOPES",INDEX('CDER-ES'!$C:$C,MATCH($C294,'CDER-ES'!$A:$A,0)),
IF(CONCATENATE($A294,$B294)="ISINAPI",INDEX(ISINAPI!$C:$C,MATCH($C294,ISINAPI!$A:$A,0)),
IF(CONCATENATE($A294,$B294)="CSINAPI",INDEX(CSINAPI!$C:$C,MATCH($C294,CSINAPI!$A:$A,0)),
IF(CONCATENATE($A294,$B294)="CCESAN",INDEX(CCESAN!$C:$C,MATCH($C294,CCESAN!$A:$A,0)),
IF(CONCATENATE($A294,$B294)="CSCORIO",INDEX(CSCORIO!$C:$C,MATCH($C294,CSCORIO!$A:$A,0)),
IF(CONCATENATE($A294,$B294)="MERC",INDEX(MERCADO!$D:$D,MATCH($C294,MERCADO!$A:$A,0)),
IF(CONCATENATE($A294,$B294)="CCOMP",INDEX(COMPOSICAO!$H:$H,MATCH($C294,COMPOSICAO!$A:$A,0)),""
)))))))),""))</f>
        <v>m²</v>
      </c>
      <c r="F294" s="182">
        <f>0.35*1</f>
        <v>0.35</v>
      </c>
      <c r="G294" s="284">
        <f>(IFERROR(
IF(CONCATENATE($A294,$B294)="IDER-ES",INDEX('IDER-ES'!$D:$D,MATCH($C294,'IDER-ES'!$A:$A,0)),
IF(CONCATENATE($A294,$B294)="CIOPES",INDEX('CDER-ES'!$D:$D,MATCH($C294,'CDER-ES'!$A:$A,0)),
IF(CONCATENATE($A294,$B294)="ISINAPI",INDEX(ISINAPI!$E:$E,MATCH($C294,ISINAPI!$A:$A,0)),
IF(CONCATENATE($A294,$B294)="CSINAPI",INDEX(CSINAPI!$D:$D,MATCH($C294,CSINAPI!$A:$A,0)),
IF(CONCATENATE($A294,$B294)="CCESAN",INDEX(CCESAN!$D:$D,MATCH($C294,CCESAN!$A:$A,0)),
IF(CONCATENATE($A294,$B294)="CSCORIO",INDEX(CSCORIO!$D:$D,MATCH($C294,CSCORIO!$A:$A,0)),
IF(CONCATENATE($A294,$B294)="MERC",INDEX(MERCADO!$E:$E,MATCH($C294,MERCADO!$A:$A,0)),
IF(CONCATENATE($A294,$B294)="CCOMP",INDEX(COMPOSICAO!$H:$H,MATCH($C294,COMPOSICAO!$A:$A,0)),""
)))))))),""))</f>
        <v>1291.0899999999999</v>
      </c>
      <c r="H294" s="284">
        <f t="shared" si="49"/>
        <v>451.88</v>
      </c>
    </row>
    <row r="295" spans="1:9" ht="38.25">
      <c r="A295" s="141" t="s">
        <v>21960</v>
      </c>
      <c r="B295" s="141" t="s">
        <v>1019</v>
      </c>
      <c r="C295" s="141">
        <v>102152</v>
      </c>
      <c r="D295" s="142" t="str">
        <f>PROPER(IFERROR(
IF(C295="","",
IF(CONCATENATE($A295,$B295)="IDER-ES",INDEX('IDER-ES'!$B:$B,MATCH($C295,'IDER-ES'!$A:$A,0)),
IF(CONCATENATE($A295,$B295)="CDER-ES",INDEX('CDER-ES'!$B:$B,MATCH($C295,'CDER-ES'!$A:$A,0)),
IF(CONCATENATE($A295,$B295)="ISINAPI",INDEX(ISINAPI!$B:$B,MATCH($C295,ISINAPI!$A:$A,0)),
IF(CONCATENATE($A295,$B295)="CSINAPI",INDEX(CSINAPI!$B:$B,MATCH($C295,CSINAPI!$A:$A,0)),
IF(CONCATENATE($A295,$B295)="CCESAN",INDEX(CCESAN!$B:$B,MATCH($C295,CCESAN!$A:$A,0)),
IF(CONCATENATE($A295,$B295)="CSCORIO",INDEX(CSCORIO!$B:$B,MATCH($C295,CSCORIO!$A:$A,0)),
IF(CONCATENATE($A295,$B295)="MERC",INDEX(MERCADO!$B:$B,MATCH($C295,MERCADO!$A:$A,0)),
IF(CONCATENATE($A295,$B295)="CCOMP",INDEX(COMPOSICAO!$B:$B,MATCH($C295,COMPOSICAO!$A:$A,0)),""
))))))))),"*Verificar código*"))</f>
        <v>Instalação De Vidro Liso, E = 4 Mm, Em Esquadria De Madeira, Fixado Com Baguete. Af_01/2021</v>
      </c>
      <c r="E295" s="143" t="str">
        <f>LOWER(IFERROR(
IF(CONCATENATE($A295,$B295)="IDER-ES",INDEX('IDER-ES'!$C:$C,MATCH($C295,'IDER-ES'!$A:$A,0)),
IF(CONCATENATE($A295,$B295)="CIOPES",INDEX('CDER-ES'!$C:$C,MATCH($C295,'CDER-ES'!$A:$A,0)),
IF(CONCATENATE($A295,$B295)="ISINAPI",INDEX(ISINAPI!$C:$C,MATCH($C295,ISINAPI!$A:$A,0)),
IF(CONCATENATE($A295,$B295)="CSINAPI",INDEX(CSINAPI!$C:$C,MATCH($C295,CSINAPI!$A:$A,0)),
IF(CONCATENATE($A295,$B295)="CCESAN",INDEX(CCESAN!$C:$C,MATCH($C295,CCESAN!$A:$A,0)),
IF(CONCATENATE($A295,$B295)="CSCORIO",INDEX(CSCORIO!$C:$C,MATCH($C295,CSCORIO!$A:$A,0)),
IF(CONCATENATE($A295,$B295)="MERC",INDEX(MERCADO!$D:$D,MATCH($C295,MERCADO!$A:$A,0)),
IF(CONCATENATE($A295,$B295)="CCOMP",INDEX(COMPOSICAO!$H:$H,MATCH($C295,COMPOSICAO!$A:$A,0)),""
)))))))),""))</f>
        <v>m²</v>
      </c>
      <c r="F295" s="182">
        <f>0.3*0.3*2</f>
        <v>0.18</v>
      </c>
      <c r="G295" s="284">
        <f>(IFERROR(
IF(CONCATENATE($A295,$B295)="IDER-ES",INDEX('IDER-ES'!$D:$D,MATCH($C295,'IDER-ES'!$A:$A,0)),
IF(CONCATENATE($A295,$B295)="CIOPES",INDEX('CDER-ES'!$D:$D,MATCH($C295,'CDER-ES'!$A:$A,0)),
IF(CONCATENATE($A295,$B295)="ISINAPI",INDEX(ISINAPI!$E:$E,MATCH($C295,ISINAPI!$A:$A,0)),
IF(CONCATENATE($A295,$B295)="CSINAPI",INDEX(CSINAPI!$D:$D,MATCH($C295,CSINAPI!$A:$A,0)),
IF(CONCATENATE($A295,$B295)="CCESAN",INDEX(CCESAN!$D:$D,MATCH($C295,CCESAN!$A:$A,0)),
IF(CONCATENATE($A295,$B295)="CSCORIO",INDEX(CSCORIO!$D:$D,MATCH($C295,CSCORIO!$A:$A,0)),
IF(CONCATENATE($A295,$B295)="MERC",INDEX(MERCADO!$E:$E,MATCH($C295,MERCADO!$A:$A,0)),
IF(CONCATENATE($A295,$B295)="CCOMP",INDEX(COMPOSICAO!$H:$H,MATCH($C295,COMPOSICAO!$A:$A,0)),""
)))))))),""))</f>
        <v>254.91</v>
      </c>
      <c r="H295" s="284">
        <f t="shared" si="49"/>
        <v>45.88</v>
      </c>
    </row>
    <row r="296" spans="1:9" ht="63.75">
      <c r="A296" s="141" t="s">
        <v>26621</v>
      </c>
      <c r="B296" s="141" t="s">
        <v>1019</v>
      </c>
      <c r="C296" s="141">
        <v>3119</v>
      </c>
      <c r="D296" s="142" t="str">
        <f>PROPER(IFERROR(
IF(C296="","",
IF(CONCATENATE($A296,$B296)="IDER-ES",INDEX('IDER-ES'!$B:$B,MATCH($C296,'IDER-ES'!$A:$A,0)),
IF(CONCATENATE($A296,$B296)="CDER-ES",INDEX('CDER-ES'!$B:$B,MATCH($C296,'CDER-ES'!$A:$A,0)),
IF(CONCATENATE($A296,$B296)="ISINAPI",INDEX(ISINAPI!$B:$B,MATCH($C296,ISINAPI!$A:$A,0)),
IF(CONCATENATE($A296,$B296)="CSINAPI",INDEX(CSINAPI!$B:$B,MATCH($C296,CSINAPI!$A:$A,0)),
IF(CONCATENATE($A296,$B296)="CCESAN",INDEX(CCESAN!$B:$B,MATCH($C296,CCESAN!$A:$A,0)),
IF(CONCATENATE($A296,$B296)="CSCORIO",INDEX(CSCORIO!#REF!,MATCH($C296,CSCORIO!#REF!,0)),
IF(CONCATENATE($A296,$B296)="MERC",INDEX(MERCADO!$B:$B,MATCH($C296,MERCADO!$A:$A,0)),
IF(CONCATENATE($A296,$B296)="CCOMP",INDEX(COMPOSICAO!$B:$B,MATCH($C296,COMPOSICAO!$A:$A,0)),""
))))))))),"*Verificar código*"))</f>
        <v xml:space="preserve">Ferrolho Com Fecho / Trinco Redondo, Em Aco Galvanizado / Zincado, De Sobrepor, Com Comprimento De 2" E Espessura Minima Da Chapa De 0,90 Mm, Para Portas E Janelas                                                                                                                                                                                                                                                                                                                                       </v>
      </c>
      <c r="E296" s="143" t="str">
        <f>LOWER(IFERROR(
IF(CONCATENATE($A296,$B296)="IDER-ES",INDEX('IDER-ES'!$C:$C,MATCH($C296,'IDER-ES'!$A:$A,0)),
IF(CONCATENATE($A296,$B296)="CIOPES",INDEX('CDER-ES'!$C:$C,MATCH($C296,'CDER-ES'!$A:$A,0)),
IF(CONCATENATE($A296,$B296)="ISINAPI",INDEX(ISINAPI!$C:$C,MATCH($C296,ISINAPI!$A:$A,0)),
IF(CONCATENATE($A296,$B296)="CSINAPI",INDEX(CSINAPI!$C:$C,MATCH($C296,CSINAPI!$A:$A,0)),
IF(CONCATENATE($A296,$B296)="CCESAN",INDEX(CCESAN!$C:$C,MATCH($C296,CCESAN!$A:$A,0)),
IF(CONCATENATE($A296,$B296)="CSCORIO",INDEX(CSCORIO!$A:$A,MATCH($C296,CSCORIO!#REF!,0)),
IF(CONCATENATE($A296,$B296)="MERC",INDEX(MERCADO!$D:$D,MATCH($C296,MERCADO!$A:$A,0)),
IF(CONCATENATE($A296,$B296)="CCOMP",INDEX(COMPOSICAO!$H:$H,MATCH($C296,COMPOSICAO!$A:$A,0)),""
)))))))),""))</f>
        <v xml:space="preserve">un    </v>
      </c>
      <c r="F296" s="182">
        <v>6</v>
      </c>
      <c r="G296" s="144">
        <f>(IFERROR(
IF(CONCATENATE($A296,$B296)="IDER-ES",INDEX('IDER-ES'!$D:$D,MATCH($C296,'IDER-ES'!$A:$A,0)),
IF(CONCATENATE($A296,$B296)="CIOPES",INDEX('CDER-ES'!$D:$D,MATCH($C296,'CDER-ES'!$A:$A,0)),
IF(CONCATENATE($A296,$B296)="ISINAPI",INDEX(ISINAPI!$E:$E,MATCH($C296,ISINAPI!$A:$A,0)),
IF(CONCATENATE($A296,$B296)="CSINAPI",INDEX(CSINAPI!$D:$D,MATCH($C296,CSINAPI!$A:$A,0)),
IF(CONCATENATE($A296,$B296)="CCESAN",INDEX(CCESAN!$D:$D,MATCH($C296,CCESAN!$A:$A,0)),
IF(CONCATENATE($A296,$B296)="CSCORIO",INDEX(CSCORIO!$B:$B,MATCH($C296,CSCORIO!#REF!,0)),
IF(CONCATENATE($A296,$B296)="MERC",INDEX(MERCADO!$E:$E,MATCH($C296,MERCADO!$A:$A,0)),
IF(CONCATENATE($A296,$B296)="CCOMP",INDEX(COMPOSICAO!$H:$H,MATCH($C296,COMPOSICAO!$A:$A,0)),""
)))))))),""))</f>
        <v>2.37</v>
      </c>
      <c r="H296" s="144">
        <f t="shared" si="49"/>
        <v>14.22</v>
      </c>
    </row>
    <row r="297" spans="1:9" ht="25.5">
      <c r="A297" s="141" t="s">
        <v>21960</v>
      </c>
      <c r="B297" s="141" t="s">
        <v>1019</v>
      </c>
      <c r="C297" s="141">
        <v>102193</v>
      </c>
      <c r="D297" s="142" t="str">
        <f>PROPER(IFERROR(
IF(C297="","",
IF(CONCATENATE($A297,$B297)="IDER-ES",INDEX('IDER-ES'!$B:$B,MATCH($C297,'IDER-ES'!$A:$A,0)),
IF(CONCATENATE($A297,$B297)="CDER-ES",INDEX('CDER-ES'!$B:$B,MATCH($C297,'CDER-ES'!$A:$A,0)),
IF(CONCATENATE($A297,$B297)="ISINAPI",INDEX(ISINAPI!$B:$B,MATCH($C297,ISINAPI!$A:$A,0)),
IF(CONCATENATE($A297,$B297)="CSINAPI",INDEX(CSINAPI!$B:$B,MATCH($C297,CSINAPI!$A:$A,0)),
IF(CONCATENATE($A297,$B297)="CCESAN",INDEX(CCESAN!$B:$B,MATCH($C297,CCESAN!$A:$A,0)),
IF(CONCATENATE($A297,$B297)="CSCORIO",INDEX(CSCORIO!#REF!,MATCH($C297,CSCORIO!#REF!,0)),
IF(CONCATENATE($A297,$B297)="MERC",INDEX(MERCADO!$B:$B,MATCH($C297,MERCADO!$A:$A,0)),
IF(CONCATENATE($A297,$B297)="CCOMP",INDEX(COMPOSICAO!$B:$B,MATCH($C297,COMPOSICAO!$A:$A,0)),""
))))))))),"*Verificar código*"))</f>
        <v>Lixamento De Madeira Para Aplicação De Fundo Ou Pintura. Af_01/2021</v>
      </c>
      <c r="E297" s="143" t="str">
        <f>LOWER(IFERROR(
IF(CONCATENATE($A297,$B297)="IDER-ES",INDEX('IDER-ES'!$C:$C,MATCH($C297,'IDER-ES'!$A:$A,0)),
IF(CONCATENATE($A297,$B297)="CIOPES",INDEX('CDER-ES'!$C:$C,MATCH($C297,'CDER-ES'!$A:$A,0)),
IF(CONCATENATE($A297,$B297)="ISINAPI",INDEX(ISINAPI!$C:$C,MATCH($C297,ISINAPI!$A:$A,0)),
IF(CONCATENATE($A297,$B297)="CSINAPI",INDEX(CSINAPI!$C:$C,MATCH($C297,CSINAPI!$A:$A,0)),
IF(CONCATENATE($A297,$B297)="CCESAN",INDEX(CCESAN!$C:$C,MATCH($C297,CCESAN!$A:$A,0)),
IF(CONCATENATE($A297,$B297)="CSCORIO",INDEX(CSCORIO!$A:$A,MATCH($C297,CSCORIO!#REF!,0)),
IF(CONCATENATE($A297,$B297)="MERC",INDEX(MERCADO!$D:$D,MATCH($C297,MERCADO!$A:$A,0)),
IF(CONCATENATE($A297,$B297)="CCOMP",INDEX(COMPOSICAO!$H:$H,MATCH($C297,COMPOSICAO!$A:$A,0)),""
)))))))),""))</f>
        <v>m²</v>
      </c>
      <c r="F297" s="182">
        <f>(2.6*3)+(0.45*2.5)</f>
        <v>8.9250000000000007</v>
      </c>
      <c r="G297" s="144">
        <f>(IFERROR(
IF(CONCATENATE($A297,$B297)="IDER-ES",INDEX('IDER-ES'!$D:$D,MATCH($C297,'IDER-ES'!$A:$A,0)),
IF(CONCATENATE($A297,$B297)="CIOPES",INDEX('CDER-ES'!$D:$D,MATCH($C297,'CDER-ES'!$A:$A,0)),
IF(CONCATENATE($A297,$B297)="ISINAPI",INDEX(ISINAPI!$E:$E,MATCH($C297,ISINAPI!$A:$A,0)),
IF(CONCATENATE($A297,$B297)="CSINAPI",INDEX(CSINAPI!$D:$D,MATCH($C297,CSINAPI!$A:$A,0)),
IF(CONCATENATE($A297,$B297)="CCESAN",INDEX(CCESAN!$D:$D,MATCH($C297,CCESAN!$A:$A,0)),
IF(CONCATENATE($A297,$B297)="CSCORIO",INDEX(CSCORIO!$B:$B,MATCH($C297,CSCORIO!#REF!,0)),
IF(CONCATENATE($A297,$B297)="MERC",INDEX(MERCADO!$E:$E,MATCH($C297,MERCADO!$A:$A,0)),
IF(CONCATENATE($A297,$B297)="CCOMP",INDEX(COMPOSICAO!$H:$H,MATCH($C297,COMPOSICAO!$A:$A,0)),""
)))))))),""))</f>
        <v>2.0499999999999998</v>
      </c>
      <c r="H297" s="144">
        <f t="shared" si="49"/>
        <v>18.3</v>
      </c>
    </row>
    <row r="298" spans="1:9" ht="51">
      <c r="A298" s="141" t="s">
        <v>21960</v>
      </c>
      <c r="B298" s="141" t="s">
        <v>26583</v>
      </c>
      <c r="C298" s="141">
        <v>190301</v>
      </c>
      <c r="D298" s="142" t="str">
        <f>PROPER(IFERROR(
IF(C298="","",
IF(CONCATENATE($A298,$B298)="IDER-ES",INDEX('IDER-ES'!$B:$B,MATCH($C298,'IDER-ES'!$A:$A,0)),
IF(CONCATENATE($A298,$B298)="CDER-ES",INDEX('CDER-ES'!$B:$B,MATCH($C298,'CDER-ES'!$A:$A,0)),
IF(CONCATENATE($A298,$B298)="ISINAPI",INDEX(ISINAPI!$B:$B,MATCH($C298,ISINAPI!$A:$A,0)),
IF(CONCATENATE($A298,$B298)="CSINAPI",INDEX(CSINAPI!$B:$B,MATCH($C298,CSINAPI!$A:$A,0)),
IF(CONCATENATE($A298,$B298)="CCESAN",INDEX(CCESAN!$B:$B,MATCH($C298,CCESAN!$A:$A,0)),
IF(CONCATENATE($A298,$B298)="CSCORIO",INDEX(CSCORIO!$B:$B,MATCH($C298,CSCORIO!$A:$A,0)),
IF(CONCATENATE($A298,$B298)="MERC",INDEX(MERCADO!$B:$B,MATCH($C298,MERCADO!$A:$A,0)),
IF(CONCATENATE($A298,$B298)="CCOMP",INDEX(COMPOSICAO!$B:$B,MATCH($C298,COMPOSICAO!$A:$A,0)),""
))))))))),"*Verificar código*"))</f>
        <v>Emassamento De Esquadrias De Madeira, Com Duas Demãos De Massa À Base De Óleo, Marcas De Referência Suvinil, Coral Ou Metalatex</v>
      </c>
      <c r="E298" s="143" t="str">
        <f>LOWER(IFERROR(
IF(CONCATENATE($A298,$B298)="IDER-ES",INDEX('IDER-ES'!$C:$C,MATCH($C298,'IDER-ES'!$A:$A,0)),
IF(CONCATENATE($A298,$B298)="CDER-ES",INDEX('CDER-ES'!$C:$C,MATCH($C298,'CDER-ES'!$A:$A,0)),
IF(CONCATENATE($A298,$B298)="ISINAPI",INDEX(ISINAPI!$C:$C,MATCH($C298,ISINAPI!$A:$A,0)),
IF(CONCATENATE($A298,$B298)="CSINAPI",INDEX(CSINAPI!$C:$C,MATCH($C298,CSINAPI!$A:$A,0)),
IF(CONCATENATE($A298,$B298)="CCESAN",INDEX(CCESAN!$C:$C,MATCH($C298,CCESAN!$A:$A,0)),
IF(CONCATENATE($A298,$B298)="CSCORIO",INDEX(CSCORIO!$A:$A,MATCH($C298,CSCORIO!$A:$A,0)),
IF(CONCATENATE($A298,$B298)="MERC",INDEX(MERCADO!$D:$D,MATCH($C298,MERCADO!$A:$A,0)),
IF(CONCATENATE($A298,$B298)="CCOMP",INDEX(COMPOSICAO!$H:$H,MATCH($C298,COMPOSICAO!$A:$A,0)),""
)))))))),""))</f>
        <v>m²</v>
      </c>
      <c r="F298" s="182">
        <f>F297</f>
        <v>8.9250000000000007</v>
      </c>
      <c r="G298" s="144">
        <f>(IFERROR(
IF(CONCATENATE($A298,$B298)="IDER-ES",INDEX('IDER-ES'!$D:$D,MATCH($C298,'IDER-ES'!$A:$A,0)),
IF(CONCATENATE($A298,$B298)="CDER-ES",INDEX('CDER-ES'!$D:$D,MATCH($C298,'CDER-ES'!$A:$A,0)),
IF(CONCATENATE($A298,$B298)="ISINAPI",INDEX(ISINAPI!$E:$E,MATCH($C298,ISINAPI!$A:$A,0)),
IF(CONCATENATE($A298,$B298)="CSINAPI",INDEX(CSINAPI!$D:$D,MATCH($C298,CSINAPI!$A:$A,0)),
IF(CONCATENATE($A298,$B298)="CCESAN",INDEX(CCESAN!$D:$D,MATCH($C298,CCESAN!$A:$A,0)),
IF(CONCATENATE($A298,$B298)="CSCORIO",INDEX(CSCORIO!$B:$B,MATCH($C298,CSCORIO!#REF!,0)),
IF(CONCATENATE($A298,$B298)="MERC",INDEX(MERCADO!$E:$E,MATCH($C298,MERCADO!$A:$A,0)),
IF(CONCATENATE($A298,$B298)="CCOMP",INDEX(COMPOSICAO!$H:$H,MATCH($C298,COMPOSICAO!$A:$A,0)),""
)))))))),""))</f>
        <v>18.899999999999999</v>
      </c>
      <c r="H298" s="144">
        <f t="shared" si="49"/>
        <v>168.68</v>
      </c>
    </row>
    <row r="299" spans="1:9" ht="51">
      <c r="A299" s="141" t="s">
        <v>21960</v>
      </c>
      <c r="B299" s="141" t="s">
        <v>26583</v>
      </c>
      <c r="C299" s="141">
        <v>190302</v>
      </c>
      <c r="D299" s="142" t="str">
        <f>PROPER(IFERROR(
IF(C299="","",
IF(CONCATENATE($A299,$B299)="IDER-ES",INDEX('IDER-ES'!$B:$B,MATCH($C299,'IDER-ES'!$A:$A,0)),
IF(CONCATENATE($A299,$B299)="CDER-ES",INDEX('CDER-ES'!$B:$B,MATCH($C299,'CDER-ES'!$A:$A,0)),
IF(CONCATENATE($A299,$B299)="ISINAPI",INDEX(ISINAPI!$B:$B,MATCH($C299,ISINAPI!$A:$A,0)),
IF(CONCATENATE($A299,$B299)="CSINAPI",INDEX(CSINAPI!$B:$B,MATCH($C299,CSINAPI!$A:$A,0)),
IF(CONCATENATE($A299,$B299)="CCESAN",INDEX(CCESAN!$B:$B,MATCH($C299,CCESAN!$A:$A,0)),
IF(CONCATENATE($A299,$B299)="CSCORIO",INDEX(CSCORIO!$B:$B,MATCH($C299,CSCORIO!$A:$A,0)),
IF(CONCATENATE($A299,$B299)="MERC",INDEX(MERCADO!$B:$B,MATCH($C299,MERCADO!$A:$A,0)),
IF(CONCATENATE($A299,$B299)="CCOMP",INDEX(COMPOSICAO!$B:$B,MATCH($C299,COMPOSICAO!$A:$A,0)),""
))))))))),"*Verificar código*"))</f>
        <v>Pintura Com Tinta Esmalte Sintético, Marcas De Referência Suvinil, Coral Ou Metalatex, Inclusive Fundo Branco Nivelador, Em Madeira, A Duas Demãos</v>
      </c>
      <c r="E299" s="143" t="str">
        <f>LOWER(IFERROR(
IF(CONCATENATE($A299,$B299)="IDER-ES",INDEX('IDER-ES'!$C:$C,MATCH($C299,'IDER-ES'!$A:$A,0)),
IF(CONCATENATE($A299,$B299)="CDER-ES",INDEX('CDER-ES'!$C:$C,MATCH($C299,'CDER-ES'!$A:$A,0)),
IF(CONCATENATE($A299,$B299)="ISINAPI",INDEX(ISINAPI!$C:$C,MATCH($C299,ISINAPI!$A:$A,0)),
IF(CONCATENATE($A299,$B299)="CSINAPI",INDEX(CSINAPI!$C:$C,MATCH($C299,CSINAPI!$A:$A,0)),
IF(CONCATENATE($A299,$B299)="CCESAN",INDEX(CCESAN!$C:$C,MATCH($C299,CCESAN!$A:$A,0)),
IF(CONCATENATE($A299,$B299)="CSCORIO",INDEX(CSCORIO!$A:$A,MATCH($C299,CSCORIO!$A:$A,0)),
IF(CONCATENATE($A299,$B299)="MERC",INDEX(MERCADO!$D:$D,MATCH($C299,MERCADO!$A:$A,0)),
IF(CONCATENATE($A299,$B299)="CCOMP",INDEX(COMPOSICAO!$H:$H,MATCH($C299,COMPOSICAO!$A:$A,0)),""
)))))))),""))</f>
        <v>m²</v>
      </c>
      <c r="F299" s="182">
        <f>F297</f>
        <v>8.9250000000000007</v>
      </c>
      <c r="G299" s="144">
        <f>(IFERROR(
IF(CONCATENATE($A299,$B299)="IDER-ES",INDEX('IDER-ES'!$D:$D,MATCH($C299,'IDER-ES'!$A:$A,0)),
IF(CONCATENATE($A299,$B299)="CDER-ES",INDEX('CDER-ES'!$D:$D,MATCH($C299,'CDER-ES'!$A:$A,0)),
IF(CONCATENATE($A299,$B299)="ISINAPI",INDEX(ISINAPI!$E:$E,MATCH($C299,ISINAPI!$A:$A,0)),
IF(CONCATENATE($A299,$B299)="CSINAPI",INDEX(CSINAPI!$D:$D,MATCH($C299,CSINAPI!$A:$A,0)),
IF(CONCATENATE($A299,$B299)="CCESAN",INDEX(CCESAN!$D:$D,MATCH($C299,CCESAN!$A:$A,0)),
IF(CONCATENATE($A299,$B299)="CSCORIO",INDEX(CSCORIO!$B:$B,MATCH($C299,CSCORIO!#REF!,0)),
IF(CONCATENATE($A299,$B299)="MERC",INDEX(MERCADO!$E:$E,MATCH($C299,MERCADO!$A:$A,0)),
IF(CONCATENATE($A299,$B299)="CCOMP",INDEX(COMPOSICAO!$H:$H,MATCH($C299,COMPOSICAO!$A:$A,0)),""
)))))))),""))</f>
        <v>22.64</v>
      </c>
      <c r="H299" s="144">
        <f t="shared" si="49"/>
        <v>202.06</v>
      </c>
    </row>
    <row r="301" spans="1:9" s="135" customFormat="1" ht="19.5" customHeight="1">
      <c r="A301" s="186" t="s">
        <v>1020</v>
      </c>
      <c r="B301" s="405" t="s">
        <v>1022</v>
      </c>
      <c r="C301" s="406"/>
      <c r="D301" s="406"/>
      <c r="E301" s="406"/>
      <c r="F301" s="407"/>
      <c r="G301" s="133" t="s">
        <v>19692</v>
      </c>
      <c r="H301" s="134" t="s">
        <v>19678</v>
      </c>
      <c r="I301" s="263"/>
    </row>
    <row r="302" spans="1:9" ht="105" customHeight="1">
      <c r="A302" s="136">
        <f>COUNTIF($A$4:$A301,$A$4)</f>
        <v>28</v>
      </c>
      <c r="B302" s="408" t="s">
        <v>28623</v>
      </c>
      <c r="C302" s="409"/>
      <c r="D302" s="409"/>
      <c r="E302" s="409"/>
      <c r="F302" s="410"/>
      <c r="G302" s="137" t="s">
        <v>19692</v>
      </c>
      <c r="H302" s="211">
        <f>SUM(H304:H318)</f>
        <v>6024.4299999999994</v>
      </c>
    </row>
    <row r="303" spans="1:9" ht="30" customHeight="1">
      <c r="A303" s="139" t="s">
        <v>1026</v>
      </c>
      <c r="B303" s="139" t="s">
        <v>1027</v>
      </c>
      <c r="C303" s="139" t="s">
        <v>31</v>
      </c>
      <c r="D303" s="139" t="s">
        <v>1023</v>
      </c>
      <c r="E303" s="139" t="s">
        <v>32</v>
      </c>
      <c r="F303" s="183" t="s">
        <v>2343</v>
      </c>
      <c r="G303" s="140" t="s">
        <v>19676</v>
      </c>
      <c r="H303" s="140" t="s">
        <v>19677</v>
      </c>
    </row>
    <row r="304" spans="1:9" ht="25.5">
      <c r="A304" s="141" t="s">
        <v>26621</v>
      </c>
      <c r="B304" s="141" t="s">
        <v>26583</v>
      </c>
      <c r="C304" s="141">
        <v>21305</v>
      </c>
      <c r="D304" s="142" t="str">
        <f>PROPER(IFERROR(
IF(C304="","",
IF(CONCATENATE($A304,$B304)="IDER-ES",INDEX('IDER-ES'!$B:$B,MATCH($C304,'IDER-ES'!$A:$A,0)),
IF(CONCATENATE($A304,$B304)="CDER-ES",INDEX('CDER-ES'!$B:$B,MATCH($C304,'CDER-ES'!$A:$A,0)),
IF(CONCATENATE($A304,$B304)="ISINAPI",INDEX(ISINAPI!$B:$B,MATCH($C304,ISINAPI!$A:$A,0)),
IF(CONCATENATE($A304,$B304)="CSINAPI",INDEX(CSINAPI!$B:$B,MATCH($C304,CSINAPI!$A:$A,0)),
IF(CONCATENATE($A304,$B304)="CCESAN",INDEX(CCESAN!$B:$B,MATCH($C304,CCESAN!$A:$A,0)),
IF(CONCATENATE($A304,$B304)="CSCORIO",INDEX(CSCORIO!$B:$B,MATCH($C304,CSCORIO!$A:$A,0)),
IF(CONCATENATE($A304,$B304)="MERC",INDEX(MERCADO!$B:$B,MATCH($C304,MERCADO!$A:$A,0)),
IF(CONCATENATE($A304,$B304)="CCOMP",INDEX(COMPOSICAO!$B:$B,MATCH($C304,COMPOSICAO!$A:$A,0)),""
))))))))),"*Verificar código*"))</f>
        <v>Peca Em Madeira De Lei 7 X 5 Cm (Aparelhada)</v>
      </c>
      <c r="E304" s="143" t="str">
        <f>LOWER(IFERROR(
IF(CONCATENATE($A304,$B304)="IDER-ES",INDEX('IDER-ES'!$C:$C,MATCH($C304,'IDER-ES'!$A:$A,0)),
IF(CONCATENATE($A304,$B304)="CIOPES",INDEX('CDER-ES'!$C:$C,MATCH($C304,'CDER-ES'!$A:$A,0)),
IF(CONCATENATE($A304,$B304)="ISINAPI",INDEX(ISINAPI!$C:$C,MATCH($C304,ISINAPI!$A:$A,0)),
IF(CONCATENATE($A304,$B304)="CSINAPI",INDEX(CSINAPI!$C:$C,MATCH($C304,CSINAPI!$A:$A,0)),
IF(CONCATENATE($A304,$B304)="CCESAN",INDEX(CCESAN!$C:$C,MATCH($C304,CCESAN!$A:$A,0)),
IF(CONCATENATE($A304,$B304)="CSCORIO",INDEX(CSCORIO!$C:$C,MATCH($C304,CSCORIO!$A:$A,0)),
IF(CONCATENATE($A304,$B304)="MERC",INDEX(MERCADO!$D:$D,MATCH($C304,MERCADO!$A:$A,0)),
IF(CONCATENATE($A304,$B304)="CCOMP",INDEX(COMPOSICAO!$H:$H,MATCH($C304,COMPOSICAO!$A:$A,0)),""
)))))))),""))</f>
        <v>m</v>
      </c>
      <c r="F304" s="182">
        <f>1.4*2+3.05*2</f>
        <v>8.8999999999999986</v>
      </c>
      <c r="G304" s="284">
        <f>(IFERROR(
IF(CONCATENATE($A304,$B304)="IDER-ES",INDEX('IDER-ES'!$D:$D,MATCH($C304,'IDER-ES'!$A:$A,0)),
IF(CONCATENATE($A304,$B304)="CIOPES",INDEX('CDER-ES'!$D:$D,MATCH($C304,'CDER-ES'!$A:$A,0)),
IF(CONCATENATE($A304,$B304)="ISINAPI",INDEX(ISINAPI!$E:$E,MATCH($C304,ISINAPI!$A:$A,0)),
IF(CONCATENATE($A304,$B304)="CSINAPI",INDEX(CSINAPI!$D:$D,MATCH($C304,CSINAPI!$A:$A,0)),
IF(CONCATENATE($A304,$B304)="CCESAN",INDEX(CCESAN!$D:$D,MATCH($C304,CCESAN!$A:$A,0)),
IF(CONCATENATE($A304,$B304)="CSCORIO",INDEX(CSCORIO!$D:$D,MATCH($C304,CSCORIO!$A:$A,0)),
IF(CONCATENATE($A304,$B304)="MERC",INDEX(MERCADO!$E:$E,MATCH($C304,MERCADO!$A:$A,0)),
IF(CONCATENATE($A304,$B304)="CCOMP",INDEX(COMPOSICAO!$H:$H,MATCH($C304,COMPOSICAO!$A:$A,0)),""
)))))))),""))</f>
        <v>39.21</v>
      </c>
      <c r="H304" s="284">
        <f t="shared" ref="H304:H318" si="52">IF(B304="","",ROUND(G304*F304,2))</f>
        <v>348.97</v>
      </c>
    </row>
    <row r="305" spans="1:9" ht="25.5">
      <c r="A305" s="141" t="s">
        <v>26621</v>
      </c>
      <c r="B305" s="141" t="s">
        <v>1019</v>
      </c>
      <c r="C305" s="141">
        <v>5075</v>
      </c>
      <c r="D305" s="142" t="str">
        <f>PROPER(IFERROR(
IF(C305="","",
IF(CONCATENATE($A305,$B305)="IDER-ES",INDEX('IDER-ES'!$B:$B,MATCH($C305,'IDER-ES'!$A:$A,0)),
IF(CONCATENATE($A305,$B305)="CDER-ES",INDEX('CDER-ES'!$B:$B,MATCH($C305,'CDER-ES'!$A:$A,0)),
IF(CONCATENATE($A305,$B305)="ISINAPI",INDEX(ISINAPI!$B:$B,MATCH($C305,ISINAPI!$A:$A,0)),
IF(CONCATENATE($A305,$B305)="CSINAPI",INDEX(CSINAPI!$B:$B,MATCH($C305,CSINAPI!$A:$A,0)),
IF(CONCATENATE($A305,$B305)="CCESAN",INDEX(CCESAN!$B:$B,MATCH($C305,CCESAN!$A:$A,0)),
IF(CONCATENATE($A305,$B305)="CSCORIO",INDEX(CSCORIO!$B:$B,MATCH($C305,CSCORIO!$A:$A,0)),
IF(CONCATENATE($A305,$B305)="MERC",INDEX(MERCADO!$B:$B,MATCH($C305,MERCADO!$A:$A,0)),
IF(CONCATENATE($A305,$B305)="CCOMP",INDEX(COMPOSICAO!$B:$B,MATCH($C305,COMPOSICAO!$A:$A,0)),""
))))))))),"*Verificar código*"))</f>
        <v xml:space="preserve">Prego De Aco Polido Com Cabeca 18 X 30 (2 3/4 X 10)                                                                                                                                                                                                                                                                                                                                                                                                                                                       </v>
      </c>
      <c r="E305" s="143" t="str">
        <f>LOWER(IFERROR(
IF(CONCATENATE($A305,$B305)="IDER-ES",INDEX('IDER-ES'!$C:$C,MATCH($C305,'IDER-ES'!$A:$A,0)),
IF(CONCATENATE($A305,$B305)="CIOPES",INDEX('CDER-ES'!$C:$C,MATCH($C305,'CDER-ES'!$A:$A,0)),
IF(CONCATENATE($A305,$B305)="ISINAPI",INDEX(ISINAPI!$C:$C,MATCH($C305,ISINAPI!$A:$A,0)),
IF(CONCATENATE($A305,$B305)="CSINAPI",INDEX(CSINAPI!$C:$C,MATCH($C305,CSINAPI!$A:$A,0)),
IF(CONCATENATE($A305,$B305)="CCESAN",INDEX(CCESAN!$C:$C,MATCH($C305,CCESAN!$A:$A,0)),
IF(CONCATENATE($A305,$B305)="CSCORIO",INDEX(CSCORIO!$C:$C,MATCH($C305,CSCORIO!$A:$A,0)),
IF(CONCATENATE($A305,$B305)="MERC",INDEX(MERCADO!$D:$D,MATCH($C305,MERCADO!$A:$A,0)),
IF(CONCATENATE($A305,$B305)="CCOMP",INDEX(COMPOSICAO!$H:$H,MATCH($C305,COMPOSICAO!$A:$A,0)),""
)))))))),""))</f>
        <v xml:space="preserve">kg    </v>
      </c>
      <c r="F305" s="182">
        <v>2.4E-2</v>
      </c>
      <c r="G305" s="284">
        <f>(IFERROR(
IF(CONCATENATE($A305,$B305)="IDER-ES",INDEX('IDER-ES'!$D:$D,MATCH($C305,'IDER-ES'!$A:$A,0)),
IF(CONCATENATE($A305,$B305)="CIOPES",INDEX('CDER-ES'!$D:$D,MATCH($C305,'CDER-ES'!$A:$A,0)),
IF(CONCATENATE($A305,$B305)="ISINAPI",INDEX(ISINAPI!$E:$E,MATCH($C305,ISINAPI!$A:$A,0)),
IF(CONCATENATE($A305,$B305)="CSINAPI",INDEX(CSINAPI!$D:$D,MATCH($C305,CSINAPI!$A:$A,0)),
IF(CONCATENATE($A305,$B305)="CCESAN",INDEX(CCESAN!$D:$D,MATCH($C305,CCESAN!$A:$A,0)),
IF(CONCATENATE($A305,$B305)="CSCORIO",INDEX(CSCORIO!$D:$D,MATCH($C305,CSCORIO!$A:$A,0)),
IF(CONCATENATE($A305,$B305)="MERC",INDEX(MERCADO!$E:$E,MATCH($C305,MERCADO!$A:$A,0)),
IF(CONCATENATE($A305,$B305)="CCOMP",INDEX(COMPOSICAO!$H:$H,MATCH($C305,COMPOSICAO!$A:$A,0)),""
)))))))),""))</f>
        <v>27.61</v>
      </c>
      <c r="H305" s="284">
        <f t="shared" si="52"/>
        <v>0.66</v>
      </c>
    </row>
    <row r="306" spans="1:9" ht="38.25">
      <c r="A306" s="141" t="s">
        <v>26621</v>
      </c>
      <c r="B306" s="141" t="s">
        <v>1019</v>
      </c>
      <c r="C306" s="141">
        <v>4998</v>
      </c>
      <c r="D306" s="142" t="str">
        <f>PROPER(IFERROR(
IF(C306="","",
IF(CONCATENATE($A306,$B306)="IDER-ES",INDEX('IDER-ES'!$B:$B,MATCH($C306,'IDER-ES'!$A:$A,0)),
IF(CONCATENATE($A306,$B306)="CDER-ES",INDEX('CDER-ES'!$B:$B,MATCH($C306,'CDER-ES'!$A:$A,0)),
IF(CONCATENATE($A306,$B306)="ISINAPI",INDEX(ISINAPI!$B:$B,MATCH($C306,ISINAPI!$A:$A,0)),
IF(CONCATENATE($A306,$B306)="CSINAPI",INDEX(CSINAPI!$B:$B,MATCH($C306,CSINAPI!$A:$A,0)),
IF(CONCATENATE($A306,$B306)="CCESAN",INDEX(CCESAN!$B:$B,MATCH($C306,CCESAN!$A:$A,0)),
IF(CONCATENATE($A306,$B306)="CSCORIO",INDEX(CSCORIO!$B:$B,MATCH($C306,CSCORIO!$A:$A,0)),
IF(CONCATENATE($A306,$B306)="MERC",INDEX(MERCADO!$B:$B,MATCH($C306,MERCADO!$A:$A,0)),
IF(CONCATENATE($A306,$B306)="CCOMP",INDEX(COMPOSICAO!$B:$B,MATCH($C306,COMPOSICAO!$A:$A,0)),""
))))))))),"*Verificar código*"))</f>
        <v xml:space="preserve">Porta De Madeira-De-Lei Tipo Mexicana Sem Emenda (Angelim Ou Equivalente Regional), E = *3,5* Cm                                                                                                                                                                                                                                                                                                                                                                                                          </v>
      </c>
      <c r="E306" s="143" t="str">
        <f>LOWER(IFERROR(
IF(CONCATENATE($A306,$B306)="IDER-ES",INDEX('IDER-ES'!$C:$C,MATCH($C306,'IDER-ES'!$A:$A,0)),
IF(CONCATENATE($A306,$B306)="CIOPES",INDEX('CDER-ES'!$C:$C,MATCH($C306,'CDER-ES'!$A:$A,0)),
IF(CONCATENATE($A306,$B306)="ISINAPI",INDEX(ISINAPI!$C:$C,MATCH($C306,ISINAPI!$A:$A,0)),
IF(CONCATENATE($A306,$B306)="CSINAPI",INDEX(CSINAPI!$C:$C,MATCH($C306,CSINAPI!$A:$A,0)),
IF(CONCATENATE($A306,$B306)="CCESAN",INDEX(CCESAN!$C:$C,MATCH($C306,CCESAN!$A:$A,0)),
IF(CONCATENATE($A306,$B306)="CSCORIO",INDEX(CSCORIO!$C:$C,MATCH($C306,CSCORIO!$A:$A,0)),
IF(CONCATENATE($A306,$B306)="MERC",INDEX(MERCADO!$D:$D,MATCH($C306,MERCADO!$A:$A,0)),
IF(CONCATENATE($A306,$B306)="CCOMP",INDEX(COMPOSICAO!$H:$H,MATCH($C306,COMPOSICAO!$A:$A,0)),""
)))))))),""))</f>
        <v xml:space="preserve">m²    </v>
      </c>
      <c r="F306" s="182">
        <f>1.4*1.3+0.25*1.35*4</f>
        <v>3.17</v>
      </c>
      <c r="G306" s="284">
        <f>(IFERROR(
IF(CONCATENATE($A306,$B306)="IDER-ES",INDEX('IDER-ES'!$D:$D,MATCH($C306,'IDER-ES'!$A:$A,0)),
IF(CONCATENATE($A306,$B306)="CIOPES",INDEX('CDER-ES'!$D:$D,MATCH($C306,'CDER-ES'!$A:$A,0)),
IF(CONCATENATE($A306,$B306)="ISINAPI",INDEX(ISINAPI!$E:$E,MATCH($C306,ISINAPI!$A:$A,0)),
IF(CONCATENATE($A306,$B306)="CSINAPI",INDEX(CSINAPI!$D:$D,MATCH($C306,CSINAPI!$A:$A,0)),
IF(CONCATENATE($A306,$B306)="CCESAN",INDEX(CCESAN!$D:$D,MATCH($C306,CCESAN!$A:$A,0)),
IF(CONCATENATE($A306,$B306)="CSCORIO",INDEX(CSCORIO!$D:$D,MATCH($C306,CSCORIO!$A:$A,0)),
IF(CONCATENATE($A306,$B306)="MERC",INDEX(MERCADO!$E:$E,MATCH($C306,MERCADO!$A:$A,0)),
IF(CONCATENATE($A306,$B306)="CCOMP",INDEX(COMPOSICAO!$H:$H,MATCH($C306,COMPOSICAO!$A:$A,0)),""
)))))))),""))</f>
        <v>624.87</v>
      </c>
      <c r="H306" s="284">
        <f t="shared" si="52"/>
        <v>1980.84</v>
      </c>
    </row>
    <row r="307" spans="1:9" ht="38.25">
      <c r="A307" s="141" t="s">
        <v>26621</v>
      </c>
      <c r="B307" s="141" t="s">
        <v>1019</v>
      </c>
      <c r="C307" s="141">
        <v>5028</v>
      </c>
      <c r="D307" s="142" t="str">
        <f>PROPER(IFERROR(
IF(C307="","",
IF(CONCATENATE($A307,$B307)="IDER-ES",INDEX('IDER-ES'!$B:$B,MATCH($C307,'IDER-ES'!$A:$A,0)),
IF(CONCATENATE($A307,$B307)="CDER-ES",INDEX('CDER-ES'!$B:$B,MATCH($C307,'CDER-ES'!$A:$A,0)),
IF(CONCATENATE($A307,$B307)="ISINAPI",INDEX(ISINAPI!$B:$B,MATCH($C307,ISINAPI!$A:$A,0)),
IF(CONCATENATE($A307,$B307)="CSINAPI",INDEX(CSINAPI!$B:$B,MATCH($C307,CSINAPI!$A:$A,0)),
IF(CONCATENATE($A307,$B307)="CCESAN",INDEX(CCESAN!$B:$B,MATCH($C307,CCESAN!$A:$A,0)),
IF(CONCATENATE($A307,$B307)="CSCORIO",INDEX(CSCORIO!$B:$B,MATCH($C307,CSCORIO!$A:$A,0)),
IF(CONCATENATE($A307,$B307)="MERC",INDEX(MERCADO!$B:$B,MATCH($C307,MERCADO!$A:$A,0)),
IF(CONCATENATE($A307,$B307)="CCOMP",INDEX(COMPOSICAO!$B:$B,MATCH($C307,COMPOSICAO!$A:$A,0)),""
))))))))),"*Verificar código*"))</f>
        <v xml:space="preserve">Porta De Madeira-De-Lei Quadriculada Para Vidro, De Correr (Angelim Ou Equivalente Regional), E = *3,5* Cm                                                                                                                                                                                                                                                                                                                                                                                                </v>
      </c>
      <c r="E307" s="143" t="str">
        <f>LOWER(IFERROR(
IF(CONCATENATE($A307,$B307)="IDER-ES",INDEX('IDER-ES'!$C:$C,MATCH($C307,'IDER-ES'!$A:$A,0)),
IF(CONCATENATE($A307,$B307)="CIOPES",INDEX('CDER-ES'!$C:$C,MATCH($C307,'CDER-ES'!$A:$A,0)),
IF(CONCATENATE($A307,$B307)="ISINAPI",INDEX(ISINAPI!$C:$C,MATCH($C307,ISINAPI!$A:$A,0)),
IF(CONCATENATE($A307,$B307)="CSINAPI",INDEX(CSINAPI!$C:$C,MATCH($C307,CSINAPI!$A:$A,0)),
IF(CONCATENATE($A307,$B307)="CCESAN",INDEX(CCESAN!$C:$C,MATCH($C307,CCESAN!$A:$A,0)),
IF(CONCATENATE($A307,$B307)="CSCORIO",INDEX(CSCORIO!$C:$C,MATCH($C307,CSCORIO!$A:$A,0)),
IF(CONCATENATE($A307,$B307)="MERC",INDEX(MERCADO!$D:$D,MATCH($C307,MERCADO!$A:$A,0)),
IF(CONCATENATE($A307,$B307)="CCOMP",INDEX(COMPOSICAO!$H:$H,MATCH($C307,COMPOSICAO!$A:$A,0)),""
)))))))),""))</f>
        <v xml:space="preserve">m²    </v>
      </c>
      <c r="F307" s="182">
        <f>0.7*1.4</f>
        <v>0.97999999999999987</v>
      </c>
      <c r="G307" s="284">
        <f>(IFERROR(
IF(CONCATENATE($A307,$B307)="IDER-ES",INDEX('IDER-ES'!$D:$D,MATCH($C307,'IDER-ES'!$A:$A,0)),
IF(CONCATENATE($A307,$B307)="CIOPES",INDEX('CDER-ES'!$D:$D,MATCH($C307,'CDER-ES'!$A:$A,0)),
IF(CONCATENATE($A307,$B307)="ISINAPI",INDEX(ISINAPI!$E:$E,MATCH($C307,ISINAPI!$A:$A,0)),
IF(CONCATENATE($A307,$B307)="CSINAPI",INDEX(CSINAPI!$D:$D,MATCH($C307,CSINAPI!$A:$A,0)),
IF(CONCATENATE($A307,$B307)="CCESAN",INDEX(CCESAN!$D:$D,MATCH($C307,CCESAN!$A:$A,0)),
IF(CONCATENATE($A307,$B307)="CSCORIO",INDEX(CSCORIO!$D:$D,MATCH($C307,CSCORIO!$A:$A,0)),
IF(CONCATENATE($A307,$B307)="MERC",INDEX(MERCADO!$E:$E,MATCH($C307,MERCADO!$A:$A,0)),
IF(CONCATENATE($A307,$B307)="CCOMP",INDEX(COMPOSICAO!$H:$H,MATCH($C307,COMPOSICAO!$A:$A,0)),""
)))))))),""))</f>
        <v>752.39</v>
      </c>
      <c r="H307" s="284">
        <f t="shared" ref="H307" si="53">IF(B307="","",ROUND(G307*F307,2))</f>
        <v>737.34</v>
      </c>
    </row>
    <row r="308" spans="1:9" ht="38.25">
      <c r="A308" s="141" t="s">
        <v>26621</v>
      </c>
      <c r="B308" s="141" t="s">
        <v>1019</v>
      </c>
      <c r="C308" s="141">
        <v>4969</v>
      </c>
      <c r="D308" s="142" t="str">
        <f>PROPER(IFERROR(
IF(C308="","",
IF(CONCATENATE($A308,$B308)="IDER-ES",INDEX('IDER-ES'!$B:$B,MATCH($C308,'IDER-ES'!$A:$A,0)),
IF(CONCATENATE($A308,$B308)="CDER-ES",INDEX('CDER-ES'!$B:$B,MATCH($C308,'CDER-ES'!$A:$A,0)),
IF(CONCATENATE($A308,$B308)="ISINAPI",INDEX(ISINAPI!$B:$B,MATCH($C308,ISINAPI!$A:$A,0)),
IF(CONCATENATE($A308,$B308)="CSINAPI",INDEX(CSINAPI!$B:$B,MATCH($C308,CSINAPI!$A:$A,0)),
IF(CONCATENATE($A308,$B308)="CCESAN",INDEX(CCESAN!$B:$B,MATCH($C308,CCESAN!$A:$A,0)),
IF(CONCATENATE($A308,$B308)="CSCORIO",INDEX(CSCORIO!$B:$B,MATCH($C308,CSCORIO!$A:$A,0)),
IF(CONCATENATE($A308,$B308)="MERC",INDEX(MERCADO!$B:$B,MATCH($C308,MERCADO!$A:$A,0)),
IF(CONCATENATE($A308,$B308)="CCOMP",INDEX(COMPOSICAO!$B:$B,MATCH($C308,COMPOSICAO!$A:$A,0)),""
))))))))),"*Verificar código*"))</f>
        <v xml:space="preserve">Porta De Madeira-De-Lei Tipo Veneziana (Angelim Ou Equivalente Regional), E = *3,5* Cm                                                                                                                                                                                                                                                                                                                                                                                                                    </v>
      </c>
      <c r="E308" s="143" t="str">
        <f>LOWER(IFERROR(
IF(CONCATENATE($A308,$B308)="IDER-ES",INDEX('IDER-ES'!$C:$C,MATCH($C308,'IDER-ES'!$A:$A,0)),
IF(CONCATENATE($A308,$B308)="CIOPES",INDEX('CDER-ES'!$C:$C,MATCH($C308,'CDER-ES'!$A:$A,0)),
IF(CONCATENATE($A308,$B308)="ISINAPI",INDEX(ISINAPI!$C:$C,MATCH($C308,ISINAPI!$A:$A,0)),
IF(CONCATENATE($A308,$B308)="CSINAPI",INDEX(CSINAPI!$C:$C,MATCH($C308,CSINAPI!$A:$A,0)),
IF(CONCATENATE($A308,$B308)="CCESAN",INDEX(CCESAN!$C:$C,MATCH($C308,CCESAN!$A:$A,0)),
IF(CONCATENATE($A308,$B308)="CSCORIO",INDEX(CSCORIO!$C:$C,MATCH($C308,CSCORIO!$A:$A,0)),
IF(CONCATENATE($A308,$B308)="MERC",INDEX(MERCADO!$D:$D,MATCH($C308,MERCADO!$A:$A,0)),
IF(CONCATENATE($A308,$B308)="CCOMP",INDEX(COMPOSICAO!$H:$H,MATCH($C308,COMPOSICAO!$A:$A,0)),""
)))))))),""))</f>
        <v xml:space="preserve">m²    </v>
      </c>
      <c r="F308" s="182">
        <f>F307</f>
        <v>0.97999999999999987</v>
      </c>
      <c r="G308" s="284">
        <f>(IFERROR(
IF(CONCATENATE($A308,$B308)="IDER-ES",INDEX('IDER-ES'!$D:$D,MATCH($C308,'IDER-ES'!$A:$A,0)),
IF(CONCATENATE($A308,$B308)="CIOPES",INDEX('CDER-ES'!$D:$D,MATCH($C308,'CDER-ES'!$A:$A,0)),
IF(CONCATENATE($A308,$B308)="ISINAPI",INDEX(ISINAPI!$E:$E,MATCH($C308,ISINAPI!$A:$A,0)),
IF(CONCATENATE($A308,$B308)="CSINAPI",INDEX(CSINAPI!$D:$D,MATCH($C308,CSINAPI!$A:$A,0)),
IF(CONCATENATE($A308,$B308)="CCESAN",INDEX(CCESAN!$D:$D,MATCH($C308,CCESAN!$A:$A,0)),
IF(CONCATENATE($A308,$B308)="CSCORIO",INDEX(CSCORIO!$D:$D,MATCH($C308,CSCORIO!$A:$A,0)),
IF(CONCATENATE($A308,$B308)="MERC",INDEX(MERCADO!$E:$E,MATCH($C308,MERCADO!$A:$A,0)),
IF(CONCATENATE($A308,$B308)="CCOMP",INDEX(COMPOSICAO!$H:$H,MATCH($C308,COMPOSICAO!$A:$A,0)),""
)))))))),""))</f>
        <v>434.89</v>
      </c>
      <c r="H308" s="284">
        <f t="shared" ref="H308" si="54">IF(B308="","",ROUND(G308*F308,2))</f>
        <v>426.19</v>
      </c>
    </row>
    <row r="309" spans="1:9" ht="51">
      <c r="A309" s="141" t="s">
        <v>26621</v>
      </c>
      <c r="B309" s="141" t="s">
        <v>1019</v>
      </c>
      <c r="C309" s="141">
        <v>2432</v>
      </c>
      <c r="D309" s="142" t="str">
        <f>PROPER(IFERROR(
IF(C309="","",
IF(CONCATENATE($A309,$B309)="IDER-ES",INDEX('IDER-ES'!$B:$B,MATCH($C309,'IDER-ES'!$A:$A,0)),
IF(CONCATENATE($A309,$B309)="CDER-ES",INDEX('CDER-ES'!$B:$B,MATCH($C309,'CDER-ES'!$A:$A,0)),
IF(CONCATENATE($A309,$B309)="ISINAPI",INDEX(ISINAPI!$B:$B,MATCH($C309,ISINAPI!$A:$A,0)),
IF(CONCATENATE($A309,$B309)="CSINAPI",INDEX(CSINAPI!$B:$B,MATCH($C309,CSINAPI!$A:$A,0)),
IF(CONCATENATE($A309,$B309)="CCESAN",INDEX(CCESAN!$B:$B,MATCH($C309,CCESAN!$A:$A,0)),
IF(CONCATENATE($A309,$B309)="CSCORIO",INDEX(CSCORIO!$B:$B,MATCH($C309,CSCORIO!$A:$A,0)),
IF(CONCATENATE($A309,$B309)="MERC",INDEX(MERCADO!$B:$B,MATCH($C309,MERCADO!$A:$A,0)),
IF(CONCATENATE($A309,$B309)="CCOMP",INDEX(COMPOSICAO!$B:$B,MATCH($C309,COMPOSICAO!$A:$A,0)),""
))))))))),"*Verificar código*"))</f>
        <v xml:space="preserve">Dobradica Em Aco/Ferro, 3 1/2" X  3", E= 1,9  A 2 Mm, Com Anel,  Cromado Ou Zincado, Tampa Bola, Com Parafusos                                                                                                                                                                                                                                                                                                                                                                                            </v>
      </c>
      <c r="E309" s="143" t="str">
        <f>LOWER(IFERROR(
IF(CONCATENATE($A309,$B309)="IDER-ES",INDEX('IDER-ES'!$C:$C,MATCH($C309,'IDER-ES'!$A:$A,0)),
IF(CONCATENATE($A309,$B309)="CIOPES",INDEX('CDER-ES'!$C:$C,MATCH($C309,'CDER-ES'!$A:$A,0)),
IF(CONCATENATE($A309,$B309)="ISINAPI",INDEX(ISINAPI!$C:$C,MATCH($C309,ISINAPI!$A:$A,0)),
IF(CONCATENATE($A309,$B309)="CSINAPI",INDEX(CSINAPI!$C:$C,MATCH($C309,CSINAPI!$A:$A,0)),
IF(CONCATENATE($A309,$B309)="CCESAN",INDEX(CCESAN!$C:$C,MATCH($C309,CCESAN!$A:$A,0)),
IF(CONCATENATE($A309,$B309)="CSCORIO",INDEX(CSCORIO!$C:$C,MATCH($C309,CSCORIO!$A:$A,0)),
IF(CONCATENATE($A309,$B309)="MERC",INDEX(MERCADO!$D:$D,MATCH($C309,MERCADO!$A:$A,0)),
IF(CONCATENATE($A309,$B309)="CCOMP",INDEX(COMPOSICAO!$H:$H,MATCH($C309,COMPOSICAO!$A:$A,0)),""
)))))))),""))</f>
        <v xml:space="preserve">un    </v>
      </c>
      <c r="F309" s="182">
        <f>4*4+3*4+2</f>
        <v>30</v>
      </c>
      <c r="G309" s="284">
        <f>(IFERROR(
IF(CONCATENATE($A309,$B309)="IDER-ES",INDEX('IDER-ES'!$D:$D,MATCH($C309,'IDER-ES'!$A:$A,0)),
IF(CONCATENATE($A309,$B309)="CIOPES",INDEX('CDER-ES'!$D:$D,MATCH($C309,'CDER-ES'!$A:$A,0)),
IF(CONCATENATE($A309,$B309)="ISINAPI",INDEX(ISINAPI!$E:$E,MATCH($C309,ISINAPI!$A:$A,0)),
IF(CONCATENATE($A309,$B309)="CSINAPI",INDEX(CSINAPI!$D:$D,MATCH($C309,CSINAPI!$A:$A,0)),
IF(CONCATENATE($A309,$B309)="CCESAN",INDEX(CCESAN!$D:$D,MATCH($C309,CCESAN!$A:$A,0)),
IF(CONCATENATE($A309,$B309)="CSCORIO",INDEX(CSCORIO!$D:$D,MATCH($C309,CSCORIO!$A:$A,0)),
IF(CONCATENATE($A309,$B309)="MERC",INDEX(MERCADO!$E:$E,MATCH($C309,MERCADO!$A:$A,0)),
IF(CONCATENATE($A309,$B309)="CCOMP",INDEX(COMPOSICAO!$H:$H,MATCH($C309,COMPOSICAO!$A:$A,0)),""
)))))))),""))</f>
        <v>17.2</v>
      </c>
      <c r="H309" s="284">
        <f t="shared" si="52"/>
        <v>516</v>
      </c>
    </row>
    <row r="310" spans="1:9" ht="38.25">
      <c r="A310" s="141" t="s">
        <v>26621</v>
      </c>
      <c r="B310" s="141" t="s">
        <v>1019</v>
      </c>
      <c r="C310" s="141">
        <v>11055</v>
      </c>
      <c r="D310" s="142" t="str">
        <f>PROPER(IFERROR(
IF(C310="","",
IF(CONCATENATE($A310,$B310)="IDER-ES",INDEX('IDER-ES'!$B:$B,MATCH($C310,'IDER-ES'!$A:$A,0)),
IF(CONCATENATE($A310,$B310)="CDER-ES",INDEX('CDER-ES'!$B:$B,MATCH($C310,'CDER-ES'!$A:$A,0)),
IF(CONCATENATE($A310,$B310)="ISINAPI",INDEX(ISINAPI!$B:$B,MATCH($C310,ISINAPI!$A:$A,0)),
IF(CONCATENATE($A310,$B310)="CSINAPI",INDEX(CSINAPI!$B:$B,MATCH($C310,CSINAPI!$A:$A,0)),
IF(CONCATENATE($A310,$B310)="CCESAN",INDEX(CCESAN!$B:$B,MATCH($C310,CCESAN!$A:$A,0)),
IF(CONCATENATE($A310,$B310)="CSCORIO",INDEX(CSCORIO!$B:$B,MATCH($C310,CSCORIO!$A:$A,0)),
IF(CONCATENATE($A310,$B310)="MERC",INDEX(MERCADO!$B:$B,MATCH($C310,MERCADO!$A:$A,0)),
IF(CONCATENATE($A310,$B310)="CCOMP",INDEX(COMPOSICAO!$B:$B,MATCH($C310,COMPOSICAO!$A:$A,0)),""
))))))))),"*Verificar código*"))</f>
        <v xml:space="preserve">Parafuso Rosca Soberba Zincado Cabeca Chata Fenda Simples 3,5 X 25 Mm (1 ")                                                                                                                                                                                                                                                                                                                                                                                                                               </v>
      </c>
      <c r="E310" s="143" t="str">
        <f>LOWER(IFERROR(
IF(CONCATENATE($A310,$B310)="IDER-ES",INDEX('IDER-ES'!$C:$C,MATCH($C310,'IDER-ES'!$A:$A,0)),
IF(CONCATENATE($A310,$B310)="CIOPES",INDEX('CDER-ES'!$C:$C,MATCH($C310,'CDER-ES'!$A:$A,0)),
IF(CONCATENATE($A310,$B310)="ISINAPI",INDEX(ISINAPI!$C:$C,MATCH($C310,ISINAPI!$A:$A,0)),
IF(CONCATENATE($A310,$B310)="CSINAPI",INDEX(CSINAPI!$C:$C,MATCH($C310,CSINAPI!$A:$A,0)),
IF(CONCATENATE($A310,$B310)="CCESAN",INDEX(CCESAN!$C:$C,MATCH($C310,CCESAN!$A:$A,0)),
IF(CONCATENATE($A310,$B310)="CSCORIO",INDEX(CSCORIO!$C:$C,MATCH($C310,CSCORIO!$A:$A,0)),
IF(CONCATENATE($A310,$B310)="MERC",INDEX(MERCADO!$D:$D,MATCH($C310,MERCADO!$A:$A,0)),
IF(CONCATENATE($A310,$B310)="CCOMP",INDEX(COMPOSICAO!$H:$H,MATCH($C310,COMPOSICAO!$A:$A,0)),""
)))))))),""))</f>
        <v xml:space="preserve">un    </v>
      </c>
      <c r="F310" s="182">
        <f>F309*6</f>
        <v>180</v>
      </c>
      <c r="G310" s="284">
        <f>(IFERROR(
IF(CONCATENATE($A310,$B310)="IDER-ES",INDEX('IDER-ES'!$D:$D,MATCH($C310,'IDER-ES'!$A:$A,0)),
IF(CONCATENATE($A310,$B310)="CIOPES",INDEX('CDER-ES'!$D:$D,MATCH($C310,'CDER-ES'!$A:$A,0)),
IF(CONCATENATE($A310,$B310)="ISINAPI",INDEX(ISINAPI!$E:$E,MATCH($C310,ISINAPI!$A:$A,0)),
IF(CONCATENATE($A310,$B310)="CSINAPI",INDEX(CSINAPI!$D:$D,MATCH($C310,CSINAPI!$A:$A,0)),
IF(CONCATENATE($A310,$B310)="CCESAN",INDEX(CCESAN!$D:$D,MATCH($C310,CCESAN!$A:$A,0)),
IF(CONCATENATE($A310,$B310)="CSCORIO",INDEX(CSCORIO!$D:$D,MATCH($C310,CSCORIO!$A:$A,0)),
IF(CONCATENATE($A310,$B310)="MERC",INDEX(MERCADO!$E:$E,MATCH($C310,MERCADO!$A:$A,0)),
IF(CONCATENATE($A310,$B310)="CCOMP",INDEX(COMPOSICAO!$H:$H,MATCH($C310,COMPOSICAO!$A:$A,0)),""
)))))))),""))</f>
        <v>0.1</v>
      </c>
      <c r="H310" s="284">
        <f t="shared" si="52"/>
        <v>18</v>
      </c>
    </row>
    <row r="311" spans="1:9" ht="25.5">
      <c r="A311" s="141" t="s">
        <v>21960</v>
      </c>
      <c r="B311" s="141" t="s">
        <v>1019</v>
      </c>
      <c r="C311" s="141">
        <v>88261</v>
      </c>
      <c r="D311" s="142" t="str">
        <f>PROPER(IFERROR(
IF(C311="","",
IF(CONCATENATE($A311,$B311)="IDER-ES",INDEX('IDER-ES'!$B:$B,MATCH($C311,'IDER-ES'!$A:$A,0)),
IF(CONCATENATE($A311,$B311)="CDER-ES",INDEX('CDER-ES'!$B:$B,MATCH($C311,'CDER-ES'!$A:$A,0)),
IF(CONCATENATE($A311,$B311)="ISINAPI",INDEX(ISINAPI!$B:$B,MATCH($C311,ISINAPI!$A:$A,0)),
IF(CONCATENATE($A311,$B311)="CSINAPI",INDEX(CSINAPI!$B:$B,MATCH($C311,CSINAPI!$A:$A,0)),
IF(CONCATENATE($A311,$B311)="CCESAN",INDEX(CCESAN!$B:$B,MATCH($C311,CCESAN!$A:$A,0)),
IF(CONCATENATE($A311,$B311)="CSCORIO",INDEX(CSCORIO!$B:$B,MATCH($C311,CSCORIO!$A:$A,0)),
IF(CONCATENATE($A311,$B311)="MERC",INDEX(MERCADO!$B:$B,MATCH($C311,MERCADO!$A:$A,0)),
IF(CONCATENATE($A311,$B311)="CCOMP",INDEX(COMPOSICAO!$B:$B,MATCH($C311,COMPOSICAO!$A:$A,0)),""
))))))))),"*Verificar código*"))</f>
        <v>Carpinteiro De Esquadria Com Encargos Complementares</v>
      </c>
      <c r="E311" s="143" t="str">
        <f>LOWER(IFERROR(
IF(CONCATENATE($A311,$B311)="IDER-ES",INDEX('IDER-ES'!$C:$C,MATCH($C311,'IDER-ES'!$A:$A,0)),
IF(CONCATENATE($A311,$B311)="CDER-ES",INDEX('CDER-ES'!$C:$C,MATCH($C311,'CDER-ES'!$A:$A,0)),
IF(CONCATENATE($A311,$B311)="ISINAPI",INDEX(ISINAPI!$C:$C,MATCH($C311,ISINAPI!$A:$A,0)),
IF(CONCATENATE($A311,$B311)="CSINAPI",INDEX(CSINAPI!$C:$C,MATCH($C311,CSINAPI!$A:$A,0)),
IF(CONCATENATE($A311,$B311)="CCESAN",INDEX(CCESAN!$C:$C,MATCH($C311,CCESAN!$A:$A,0)),
IF(CONCATENATE($A311,$B311)="CSCORIO",INDEX(CSCORIO!$C:$C,MATCH($C311,CSCORIO!$A:$A,0)),
IF(CONCATENATE($A311,$B311)="MERC",INDEX(MERCADO!$D:$D,MATCH($C311,MERCADO!$A:$A,0)),
IF(CONCATENATE($A311,$B311)="CCOMP",INDEX(COMPOSICAO!$H:$H,MATCH($C311,COMPOSICAO!$A:$A,0)),""
)))))))),""))</f>
        <v>h</v>
      </c>
      <c r="F311" s="182">
        <f>2.741+1.28*1.4*2.55</f>
        <v>7.3105999999999991</v>
      </c>
      <c r="G311" s="284">
        <f>(IFERROR(
IF(CONCATENATE($A311,$B311)="IDER-ES",INDEX('IDER-ES'!$D:$D,MATCH($C311,'IDER-ES'!$A:$A,0)),
IF(CONCATENATE($A311,$B311)="CDER-ES",INDEX('CDER-ES'!$D:$D,MATCH($C311,'CDER-ES'!$A:$A,0)),
IF(CONCATENATE($A311,$B311)="ISINAPI",INDEX(ISINAPI!$E:$E,MATCH($C311,ISINAPI!$A:$A,0)),
IF(CONCATENATE($A311,$B311)="CSINAPI",INDEX(CSINAPI!$D:$D,MATCH($C311,CSINAPI!$A:$A,0)),
IF(CONCATENATE($A311,$B311)="CCESAN",INDEX(CCESAN!$D:$D,MATCH($C311,CCESAN!$A:$A,0)),
IF(CONCATENATE($A311,$B311)="CSCORIO",INDEX(CSCORIO!$D:$D,MATCH($C311,CSCORIO!$A:$A,0)),
IF(CONCATENATE($A311,$B311)="MERC",INDEX(MERCADO!$E:$E,MATCH($C311,MERCADO!$A:$A,0)),
IF(CONCATENATE($A311,$B311)="CCOMP",INDEX(COMPOSICAO!$H:$H,MATCH($C311,COMPOSICAO!$A:$A,0)),""
)))))))),""))</f>
        <v>22.14</v>
      </c>
      <c r="H311" s="284">
        <f t="shared" si="52"/>
        <v>161.86000000000001</v>
      </c>
    </row>
    <row r="312" spans="1:9" ht="25.5">
      <c r="A312" s="141" t="s">
        <v>21960</v>
      </c>
      <c r="B312" s="141" t="s">
        <v>1019</v>
      </c>
      <c r="C312" s="141">
        <v>88316</v>
      </c>
      <c r="D312" s="142" t="str">
        <f>PROPER(IFERROR(
IF(C312="","",
IF(CONCATENATE($A312,$B312)="IDER-ES",INDEX('IDER-ES'!$B:$B,MATCH($C312,'IDER-ES'!$A:$A,0)),
IF(CONCATENATE($A312,$B312)="CDER-ES",INDEX('CDER-ES'!$B:$B,MATCH($C312,'CDER-ES'!$A:$A,0)),
IF(CONCATENATE($A312,$B312)="ISINAPI",INDEX(ISINAPI!$B:$B,MATCH($C312,ISINAPI!$A:$A,0)),
IF(CONCATENATE($A312,$B312)="CSINAPI",INDEX(CSINAPI!$B:$B,MATCH($C312,CSINAPI!$A:$A,0)),
IF(CONCATENATE($A312,$B312)="CCESAN",INDEX(CCESAN!$B:$B,MATCH($C312,CCESAN!$A:$A,0)),
IF(CONCATENATE($A312,$B312)="CSCORIO",INDEX(CSCORIO!$B:$B,MATCH($C312,CSCORIO!$A:$A,0)),
IF(CONCATENATE($A312,$B312)="MERC",INDEX(MERCADO!$B:$B,MATCH($C312,MERCADO!$A:$A,0)),
IF(CONCATENATE($A312,$B312)="CCOMP",INDEX(COMPOSICAO!$B:$B,MATCH($C312,COMPOSICAO!$A:$A,0)),""
))))))))),"*Verificar código*"))</f>
        <v>Servente Com Encargos Complementares</v>
      </c>
      <c r="E312" s="143" t="str">
        <f>LOWER(IFERROR(
IF(CONCATENATE($A312,$B312)="IDER-ES",INDEX('IDER-ES'!$C:$C,MATCH($C312,'IDER-ES'!$A:$A,0)),
IF(CONCATENATE($A312,$B312)="CDER-ES",INDEX('CDER-ES'!$C:$C,MATCH($C312,'CDER-ES'!$A:$A,0)),
IF(CONCATENATE($A312,$B312)="ISINAPI",INDEX(ISINAPI!$C:$C,MATCH($C312,ISINAPI!$A:$A,0)),
IF(CONCATENATE($A312,$B312)="CSINAPI",INDEX(CSINAPI!$C:$C,MATCH($C312,CSINAPI!$A:$A,0)),
IF(CONCATENATE($A312,$B312)="CCESAN",INDEX(CCESAN!$C:$C,MATCH($C312,CCESAN!$A:$A,0)),
IF(CONCATENATE($A312,$B312)="CSCORIO",INDEX(CSCORIO!$C:$C,MATCH($C312,CSCORIO!$A:$A,0)),
IF(CONCATENATE($A312,$B312)="MERC",INDEX(MERCADO!$D:$D,MATCH($C312,MERCADO!$A:$A,0)),
IF(CONCATENATE($A312,$B312)="CCOMP",INDEX(COMPOSICAO!$H:$H,MATCH($C312,COMPOSICAO!$A:$A,0)),""
)))))))),""))</f>
        <v>h</v>
      </c>
      <c r="F312" s="182">
        <f>1.357+0.64*1.4*2.55</f>
        <v>3.6417999999999999</v>
      </c>
      <c r="G312" s="284">
        <f>(IFERROR(
IF(CONCATENATE($A312,$B312)="IDER-ES",INDEX('IDER-ES'!$D:$D,MATCH($C312,'IDER-ES'!$A:$A,0)),
IF(CONCATENATE($A312,$B312)="CDER-ES",INDEX('CDER-ES'!$D:$D,MATCH($C312,'CDER-ES'!$A:$A,0)),
IF(CONCATENATE($A312,$B312)="ISINAPI",INDEX(ISINAPI!$E:$E,MATCH($C312,ISINAPI!$A:$A,0)),
IF(CONCATENATE($A312,$B312)="CSINAPI",INDEX(CSINAPI!$D:$D,MATCH($C312,CSINAPI!$A:$A,0)),
IF(CONCATENATE($A312,$B312)="CCESAN",INDEX(CCESAN!$D:$D,MATCH($C312,CCESAN!$A:$A,0)),
IF(CONCATENATE($A312,$B312)="CSCORIO",INDEX(CSCORIO!$D:$D,MATCH($C312,CSCORIO!$A:$A,0)),
IF(CONCATENATE($A312,$B312)="MERC",INDEX(MERCADO!$E:$E,MATCH($C312,MERCADO!$A:$A,0)),
IF(CONCATENATE($A312,$B312)="CCOMP",INDEX(COMPOSICAO!$H:$H,MATCH($C312,COMPOSICAO!$A:$A,0)),""
)))))))),""))</f>
        <v>18.11</v>
      </c>
      <c r="H312" s="284">
        <f t="shared" si="52"/>
        <v>65.95</v>
      </c>
    </row>
    <row r="313" spans="1:9" ht="76.5">
      <c r="A313" s="141" t="s">
        <v>21960</v>
      </c>
      <c r="B313" s="141" t="s">
        <v>1019</v>
      </c>
      <c r="C313" s="141">
        <v>100668</v>
      </c>
      <c r="D313" s="142" t="str">
        <f>PROPER(IFERROR(
IF(C313="","",
IF(CONCATENATE($A313,$B313)="IDER-ES",INDEX('IDER-ES'!$B:$B,MATCH($C313,'IDER-ES'!$A:$A,0)),
IF(CONCATENATE($A313,$B313)="CDER-ES",INDEX('CDER-ES'!$B:$B,MATCH($C313,'CDER-ES'!$A:$A,0)),
IF(CONCATENATE($A313,$B313)="ISINAPI",INDEX(ISINAPI!$B:$B,MATCH($C313,ISINAPI!$A:$A,0)),
IF(CONCATENATE($A313,$B313)="CSINAPI",INDEX(CSINAPI!$B:$B,MATCH($C313,CSINAPI!$A:$A,0)),
IF(CONCATENATE($A313,$B313)="CCESAN",INDEX(CCESAN!$B:$B,MATCH($C313,CCESAN!$A:$A,0)),
IF(CONCATENATE($A313,$B313)="CSCORIO",INDEX(CSCORIO!$B:$B,MATCH($C313,CSCORIO!$A:$A,0)),
IF(CONCATENATE($A313,$B313)="MERC",INDEX(MERCADO!$B:$B,MATCH($C313,MERCADO!$A:$A,0)),
IF(CONCATENATE($A313,$B313)="CCOMP",INDEX(COMPOSICAO!$B:$B,MATCH($C313,COMPOSICAO!$A:$A,0)),""
))))))))),"*Verificar código*"))</f>
        <v>Janela De Madeira (Cedrinho/Angelim Ou Equiv.) Tipo Maxim-Ar, Para Vidro, Com Batente, Alizar E Ferragens. Exclusive Vidro, Acabamento E Contramarco. Fornecimento E Instalação. Af_12/2019</v>
      </c>
      <c r="E313" s="143" t="str">
        <f>LOWER(IFERROR(
IF(CONCATENATE($A313,$B313)="IDER-ES",INDEX('IDER-ES'!$C:$C,MATCH($C313,'IDER-ES'!$A:$A,0)),
IF(CONCATENATE($A313,$B313)="CIOPES",INDEX('CDER-ES'!$C:$C,MATCH($C313,'CDER-ES'!$A:$A,0)),
IF(CONCATENATE($A313,$B313)="ISINAPI",INDEX(ISINAPI!$C:$C,MATCH($C313,ISINAPI!$A:$A,0)),
IF(CONCATENATE($A313,$B313)="CSINAPI",INDEX(CSINAPI!$C:$C,MATCH($C313,CSINAPI!$A:$A,0)),
IF(CONCATENATE($A313,$B313)="CCESAN",INDEX(CCESAN!$C:$C,MATCH($C313,CCESAN!$A:$A,0)),
IF(CONCATENATE($A313,$B313)="CSCORIO",INDEX(CSCORIO!$C:$C,MATCH($C313,CSCORIO!$A:$A,0)),
IF(CONCATENATE($A313,$B313)="MERC",INDEX(MERCADO!$D:$D,MATCH($C313,MERCADO!$A:$A,0)),
IF(CONCATENATE($A313,$B313)="CCOMP",INDEX(COMPOSICAO!$H:$H,MATCH($C313,COMPOSICAO!$A:$A,0)),""
)))))))),""))</f>
        <v>m²</v>
      </c>
      <c r="F313" s="182">
        <f>1.4*0.35</f>
        <v>0.48999999999999994</v>
      </c>
      <c r="G313" s="284">
        <f>(IFERROR(
IF(CONCATENATE($A313,$B313)="IDER-ES",INDEX('IDER-ES'!$D:$D,MATCH($C313,'IDER-ES'!$A:$A,0)),
IF(CONCATENATE($A313,$B313)="CIOPES",INDEX('CDER-ES'!$D:$D,MATCH($C313,'CDER-ES'!$A:$A,0)),
IF(CONCATENATE($A313,$B313)="ISINAPI",INDEX(ISINAPI!$E:$E,MATCH($C313,ISINAPI!$A:$A,0)),
IF(CONCATENATE($A313,$B313)="CSINAPI",INDEX(CSINAPI!$D:$D,MATCH($C313,CSINAPI!$A:$A,0)),
IF(CONCATENATE($A313,$B313)="CCESAN",INDEX(CCESAN!$D:$D,MATCH($C313,CCESAN!$A:$A,0)),
IF(CONCATENATE($A313,$B313)="CSCORIO",INDEX(CSCORIO!$D:$D,MATCH($C313,CSCORIO!$A:$A,0)),
IF(CONCATENATE($A313,$B313)="MERC",INDEX(MERCADO!$E:$E,MATCH($C313,MERCADO!$A:$A,0)),
IF(CONCATENATE($A313,$B313)="CCOMP",INDEX(COMPOSICAO!$H:$H,MATCH($C313,COMPOSICAO!$A:$A,0)),""
)))))))),""))</f>
        <v>1291.0899999999999</v>
      </c>
      <c r="H313" s="284">
        <f t="shared" si="52"/>
        <v>632.63</v>
      </c>
    </row>
    <row r="314" spans="1:9" ht="38.25">
      <c r="A314" s="141" t="s">
        <v>21960</v>
      </c>
      <c r="B314" s="141" t="s">
        <v>1019</v>
      </c>
      <c r="C314" s="141">
        <v>102152</v>
      </c>
      <c r="D314" s="142" t="str">
        <f>PROPER(IFERROR(
IF(C314="","",
IF(CONCATENATE($A314,$B314)="IDER-ES",INDEX('IDER-ES'!$B:$B,MATCH($C314,'IDER-ES'!$A:$A,0)),
IF(CONCATENATE($A314,$B314)="CDER-ES",INDEX('CDER-ES'!$B:$B,MATCH($C314,'CDER-ES'!$A:$A,0)),
IF(CONCATENATE($A314,$B314)="ISINAPI",INDEX(ISINAPI!$B:$B,MATCH($C314,ISINAPI!$A:$A,0)),
IF(CONCATENATE($A314,$B314)="CSINAPI",INDEX(CSINAPI!$B:$B,MATCH($C314,CSINAPI!$A:$A,0)),
IF(CONCATENATE($A314,$B314)="CCESAN",INDEX(CCESAN!$B:$B,MATCH($C314,CCESAN!$A:$A,0)),
IF(CONCATENATE($A314,$B314)="CSCORIO",INDEX(CSCORIO!$B:$B,MATCH($C314,CSCORIO!$A:$A,0)),
IF(CONCATENATE($A314,$B314)="MERC",INDEX(MERCADO!$B:$B,MATCH($C314,MERCADO!$A:$A,0)),
IF(CONCATENATE($A314,$B314)="CCOMP",INDEX(COMPOSICAO!$B:$B,MATCH($C314,COMPOSICAO!$A:$A,0)),""
))))))))),"*Verificar código*"))</f>
        <v>Instalação De Vidro Liso, E = 4 Mm, Em Esquadria De Madeira, Fixado Com Baguete. Af_01/2021</v>
      </c>
      <c r="E314" s="143" t="str">
        <f>LOWER(IFERROR(
IF(CONCATENATE($A314,$B314)="IDER-ES",INDEX('IDER-ES'!$C:$C,MATCH($C314,'IDER-ES'!$A:$A,0)),
IF(CONCATENATE($A314,$B314)="CIOPES",INDEX('CDER-ES'!$C:$C,MATCH($C314,'CDER-ES'!$A:$A,0)),
IF(CONCATENATE($A314,$B314)="ISINAPI",INDEX(ISINAPI!$C:$C,MATCH($C314,ISINAPI!$A:$A,0)),
IF(CONCATENATE($A314,$B314)="CSINAPI",INDEX(CSINAPI!$C:$C,MATCH($C314,CSINAPI!$A:$A,0)),
IF(CONCATENATE($A314,$B314)="CCESAN",INDEX(CCESAN!$C:$C,MATCH($C314,CCESAN!$A:$A,0)),
IF(CONCATENATE($A314,$B314)="CSCORIO",INDEX(CSCORIO!$C:$C,MATCH($C314,CSCORIO!$A:$A,0)),
IF(CONCATENATE($A314,$B314)="MERC",INDEX(MERCADO!$D:$D,MATCH($C314,MERCADO!$A:$A,0)),
IF(CONCATENATE($A314,$B314)="CCOMP",INDEX(COMPOSICAO!$H:$H,MATCH($C314,COMPOSICAO!$A:$A,0)),""
)))))))),""))</f>
        <v>m²</v>
      </c>
      <c r="F314" s="182">
        <f>0.55*0.25*2+F307</f>
        <v>1.2549999999999999</v>
      </c>
      <c r="G314" s="284">
        <f>(IFERROR(
IF(CONCATENATE($A314,$B314)="IDER-ES",INDEX('IDER-ES'!$D:$D,MATCH($C314,'IDER-ES'!$A:$A,0)),
IF(CONCATENATE($A314,$B314)="CIOPES",INDEX('CDER-ES'!$D:$D,MATCH($C314,'CDER-ES'!$A:$A,0)),
IF(CONCATENATE($A314,$B314)="ISINAPI",INDEX(ISINAPI!$E:$E,MATCH($C314,ISINAPI!$A:$A,0)),
IF(CONCATENATE($A314,$B314)="CSINAPI",INDEX(CSINAPI!$D:$D,MATCH($C314,CSINAPI!$A:$A,0)),
IF(CONCATENATE($A314,$B314)="CCESAN",INDEX(CCESAN!$D:$D,MATCH($C314,CCESAN!$A:$A,0)),
IF(CONCATENATE($A314,$B314)="CSCORIO",INDEX(CSCORIO!$D:$D,MATCH($C314,CSCORIO!$A:$A,0)),
IF(CONCATENATE($A314,$B314)="MERC",INDEX(MERCADO!$E:$E,MATCH($C314,MERCADO!$A:$A,0)),
IF(CONCATENATE($A314,$B314)="CCOMP",INDEX(COMPOSICAO!$H:$H,MATCH($C314,COMPOSICAO!$A:$A,0)),""
)))))))),""))</f>
        <v>254.91</v>
      </c>
      <c r="H314" s="284">
        <f t="shared" si="52"/>
        <v>319.91000000000003</v>
      </c>
    </row>
    <row r="315" spans="1:9" ht="63.75">
      <c r="A315" s="141" t="s">
        <v>26621</v>
      </c>
      <c r="B315" s="141" t="s">
        <v>1019</v>
      </c>
      <c r="C315" s="141">
        <v>3119</v>
      </c>
      <c r="D315" s="142" t="str">
        <f>PROPER(IFERROR(
IF(C315="","",
IF(CONCATENATE($A315,$B315)="IDER-ES",INDEX('IDER-ES'!$B:$B,MATCH($C315,'IDER-ES'!$A:$A,0)),
IF(CONCATENATE($A315,$B315)="CDER-ES",INDEX('CDER-ES'!$B:$B,MATCH($C315,'CDER-ES'!$A:$A,0)),
IF(CONCATENATE($A315,$B315)="ISINAPI",INDEX(ISINAPI!$B:$B,MATCH($C315,ISINAPI!$A:$A,0)),
IF(CONCATENATE($A315,$B315)="CSINAPI",INDEX(CSINAPI!$B:$B,MATCH($C315,CSINAPI!$A:$A,0)),
IF(CONCATENATE($A315,$B315)="CCESAN",INDEX(CCESAN!$B:$B,MATCH($C315,CCESAN!$A:$A,0)),
IF(CONCATENATE($A315,$B315)="CSCORIO",INDEX(CSCORIO!#REF!,MATCH($C315,CSCORIO!#REF!,0)),
IF(CONCATENATE($A315,$B315)="MERC",INDEX(MERCADO!$B:$B,MATCH($C315,MERCADO!$A:$A,0)),
IF(CONCATENATE($A315,$B315)="CCOMP",INDEX(COMPOSICAO!$B:$B,MATCH($C315,COMPOSICAO!$A:$A,0)),""
))))))))),"*Verificar código*"))</f>
        <v xml:space="preserve">Ferrolho Com Fecho / Trinco Redondo, Em Aco Galvanizado / Zincado, De Sobrepor, Com Comprimento De 2" E Espessura Minima Da Chapa De 0,90 Mm, Para Portas E Janelas                                                                                                                                                                                                                                                                                                                                       </v>
      </c>
      <c r="E315" s="143" t="str">
        <f>LOWER(IFERROR(
IF(CONCATENATE($A315,$B315)="IDER-ES",INDEX('IDER-ES'!$C:$C,MATCH($C315,'IDER-ES'!$A:$A,0)),
IF(CONCATENATE($A315,$B315)="CIOPES",INDEX('CDER-ES'!$C:$C,MATCH($C315,'CDER-ES'!$A:$A,0)),
IF(CONCATENATE($A315,$B315)="ISINAPI",INDEX(ISINAPI!$C:$C,MATCH($C315,ISINAPI!$A:$A,0)),
IF(CONCATENATE($A315,$B315)="CSINAPI",INDEX(CSINAPI!$C:$C,MATCH($C315,CSINAPI!$A:$A,0)),
IF(CONCATENATE($A315,$B315)="CCESAN",INDEX(CCESAN!$C:$C,MATCH($C315,CCESAN!$A:$A,0)),
IF(CONCATENATE($A315,$B315)="CSCORIO",INDEX(CSCORIO!$A:$A,MATCH($C315,CSCORIO!#REF!,0)),
IF(CONCATENATE($A315,$B315)="MERC",INDEX(MERCADO!$D:$D,MATCH($C315,MERCADO!$A:$A,0)),
IF(CONCATENATE($A315,$B315)="CCOMP",INDEX(COMPOSICAO!$H:$H,MATCH($C315,COMPOSICAO!$A:$A,0)),""
)))))))),""))</f>
        <v xml:space="preserve">un    </v>
      </c>
      <c r="F315" s="182">
        <f>4*2+4+1</f>
        <v>13</v>
      </c>
      <c r="G315" s="144">
        <f>(IFERROR(
IF(CONCATENATE($A315,$B315)="IDER-ES",INDEX('IDER-ES'!$D:$D,MATCH($C315,'IDER-ES'!$A:$A,0)),
IF(CONCATENATE($A315,$B315)="CIOPES",INDEX('CDER-ES'!$D:$D,MATCH($C315,'CDER-ES'!$A:$A,0)),
IF(CONCATENATE($A315,$B315)="ISINAPI",INDEX(ISINAPI!$E:$E,MATCH($C315,ISINAPI!$A:$A,0)),
IF(CONCATENATE($A315,$B315)="CSINAPI",INDEX(CSINAPI!$D:$D,MATCH($C315,CSINAPI!$A:$A,0)),
IF(CONCATENATE($A315,$B315)="CCESAN",INDEX(CCESAN!$D:$D,MATCH($C315,CCESAN!$A:$A,0)),
IF(CONCATENATE($A315,$B315)="CSCORIO",INDEX(CSCORIO!$B:$B,MATCH($C315,CSCORIO!#REF!,0)),
IF(CONCATENATE($A315,$B315)="MERC",INDEX(MERCADO!$E:$E,MATCH($C315,MERCADO!$A:$A,0)),
IF(CONCATENATE($A315,$B315)="CCOMP",INDEX(COMPOSICAO!$H:$H,MATCH($C315,COMPOSICAO!$A:$A,0)),""
)))))))),""))</f>
        <v>2.37</v>
      </c>
      <c r="H315" s="144">
        <f t="shared" si="52"/>
        <v>30.81</v>
      </c>
    </row>
    <row r="316" spans="1:9" ht="25.5">
      <c r="A316" s="141" t="s">
        <v>21960</v>
      </c>
      <c r="B316" s="141" t="s">
        <v>1019</v>
      </c>
      <c r="C316" s="141">
        <v>102193</v>
      </c>
      <c r="D316" s="142" t="str">
        <f>PROPER(IFERROR(
IF(C316="","",
IF(CONCATENATE($A316,$B316)="IDER-ES",INDEX('IDER-ES'!$B:$B,MATCH($C316,'IDER-ES'!$A:$A,0)),
IF(CONCATENATE($A316,$B316)="CDER-ES",INDEX('CDER-ES'!$B:$B,MATCH($C316,'CDER-ES'!$A:$A,0)),
IF(CONCATENATE($A316,$B316)="ISINAPI",INDEX(ISINAPI!$B:$B,MATCH($C316,ISINAPI!$A:$A,0)),
IF(CONCATENATE($A316,$B316)="CSINAPI",INDEX(CSINAPI!$B:$B,MATCH($C316,CSINAPI!$A:$A,0)),
IF(CONCATENATE($A316,$B316)="CCESAN",INDEX(CCESAN!$B:$B,MATCH($C316,CCESAN!$A:$A,0)),
IF(CONCATENATE($A316,$B316)="CSCORIO",INDEX(CSCORIO!#REF!,MATCH($C316,CSCORIO!#REF!,0)),
IF(CONCATENATE($A316,$B316)="MERC",INDEX(MERCADO!$B:$B,MATCH($C316,MERCADO!$A:$A,0)),
IF(CONCATENATE($A316,$B316)="CCOMP",INDEX(COMPOSICAO!$B:$B,MATCH($C316,COMPOSICAO!$A:$A,0)),""
))))))))),"*Verificar código*"))</f>
        <v>Lixamento De Madeira Para Aplicação De Fundo Ou Pintura. Af_01/2021</v>
      </c>
      <c r="E316" s="143" t="str">
        <f>LOWER(IFERROR(
IF(CONCATENATE($A316,$B316)="IDER-ES",INDEX('IDER-ES'!$C:$C,MATCH($C316,'IDER-ES'!$A:$A,0)),
IF(CONCATENATE($A316,$B316)="CIOPES",INDEX('CDER-ES'!$C:$C,MATCH($C316,'CDER-ES'!$A:$A,0)),
IF(CONCATENATE($A316,$B316)="ISINAPI",INDEX(ISINAPI!$C:$C,MATCH($C316,ISINAPI!$A:$A,0)),
IF(CONCATENATE($A316,$B316)="CSINAPI",INDEX(CSINAPI!$C:$C,MATCH($C316,CSINAPI!$A:$A,0)),
IF(CONCATENATE($A316,$B316)="CCESAN",INDEX(CCESAN!$C:$C,MATCH($C316,CCESAN!$A:$A,0)),
IF(CONCATENATE($A316,$B316)="CSCORIO",INDEX(CSCORIO!$A:$A,MATCH($C316,CSCORIO!#REF!,0)),
IF(CONCATENATE($A316,$B316)="MERC",INDEX(MERCADO!$D:$D,MATCH($C316,MERCADO!$A:$A,0)),
IF(CONCATENATE($A316,$B316)="CCOMP",INDEX(COMPOSICAO!$H:$H,MATCH($C316,COMPOSICAO!$A:$A,0)),""
)))))))),""))</f>
        <v>m²</v>
      </c>
      <c r="F316" s="182">
        <f>(1.4*1.4*3)+(0.25*1.35*4*3)+F307*2.5+F308*4.5+F313*2.5</f>
        <v>18.015000000000001</v>
      </c>
      <c r="G316" s="144">
        <f>(IFERROR(
IF(CONCATENATE($A316,$B316)="IDER-ES",INDEX('IDER-ES'!$D:$D,MATCH($C316,'IDER-ES'!$A:$A,0)),
IF(CONCATENATE($A316,$B316)="CIOPES",INDEX('CDER-ES'!$D:$D,MATCH($C316,'CDER-ES'!$A:$A,0)),
IF(CONCATENATE($A316,$B316)="ISINAPI",INDEX(ISINAPI!$E:$E,MATCH($C316,ISINAPI!$A:$A,0)),
IF(CONCATENATE($A316,$B316)="CSINAPI",INDEX(CSINAPI!$D:$D,MATCH($C316,CSINAPI!$A:$A,0)),
IF(CONCATENATE($A316,$B316)="CCESAN",INDEX(CCESAN!$D:$D,MATCH($C316,CCESAN!$A:$A,0)),
IF(CONCATENATE($A316,$B316)="CSCORIO",INDEX(CSCORIO!$B:$B,MATCH($C316,CSCORIO!#REF!,0)),
IF(CONCATENATE($A316,$B316)="MERC",INDEX(MERCADO!$E:$E,MATCH($C316,MERCADO!$A:$A,0)),
IF(CONCATENATE($A316,$B316)="CCOMP",INDEX(COMPOSICAO!$H:$H,MATCH($C316,COMPOSICAO!$A:$A,0)),""
)))))))),""))</f>
        <v>2.0499999999999998</v>
      </c>
      <c r="H316" s="144">
        <f t="shared" si="52"/>
        <v>36.93</v>
      </c>
    </row>
    <row r="317" spans="1:9" ht="51">
      <c r="A317" s="141" t="s">
        <v>21960</v>
      </c>
      <c r="B317" s="141" t="s">
        <v>26583</v>
      </c>
      <c r="C317" s="141">
        <v>190301</v>
      </c>
      <c r="D317" s="142" t="str">
        <f>PROPER(IFERROR(
IF(C317="","",
IF(CONCATENATE($A317,$B317)="IDER-ES",INDEX('IDER-ES'!$B:$B,MATCH($C317,'IDER-ES'!$A:$A,0)),
IF(CONCATENATE($A317,$B317)="CDER-ES",INDEX('CDER-ES'!$B:$B,MATCH($C317,'CDER-ES'!$A:$A,0)),
IF(CONCATENATE($A317,$B317)="ISINAPI",INDEX(ISINAPI!$B:$B,MATCH($C317,ISINAPI!$A:$A,0)),
IF(CONCATENATE($A317,$B317)="CSINAPI",INDEX(CSINAPI!$B:$B,MATCH($C317,CSINAPI!$A:$A,0)),
IF(CONCATENATE($A317,$B317)="CCESAN",INDEX(CCESAN!$B:$B,MATCH($C317,CCESAN!$A:$A,0)),
IF(CONCATENATE($A317,$B317)="CSCORIO",INDEX(CSCORIO!$B:$B,MATCH($C317,CSCORIO!$A:$A,0)),
IF(CONCATENATE($A317,$B317)="MERC",INDEX(MERCADO!$B:$B,MATCH($C317,MERCADO!$A:$A,0)),
IF(CONCATENATE($A317,$B317)="CCOMP",INDEX(COMPOSICAO!$B:$B,MATCH($C317,COMPOSICAO!$A:$A,0)),""
))))))))),"*Verificar código*"))</f>
        <v>Emassamento De Esquadrias De Madeira, Com Duas Demãos De Massa À Base De Óleo, Marcas De Referência Suvinil, Coral Ou Metalatex</v>
      </c>
      <c r="E317" s="143" t="str">
        <f>LOWER(IFERROR(
IF(CONCATENATE($A317,$B317)="IDER-ES",INDEX('IDER-ES'!$C:$C,MATCH($C317,'IDER-ES'!$A:$A,0)),
IF(CONCATENATE($A317,$B317)="CDER-ES",INDEX('CDER-ES'!$C:$C,MATCH($C317,'CDER-ES'!$A:$A,0)),
IF(CONCATENATE($A317,$B317)="ISINAPI",INDEX(ISINAPI!$C:$C,MATCH($C317,ISINAPI!$A:$A,0)),
IF(CONCATENATE($A317,$B317)="CSINAPI",INDEX(CSINAPI!$C:$C,MATCH($C317,CSINAPI!$A:$A,0)),
IF(CONCATENATE($A317,$B317)="CCESAN",INDEX(CCESAN!$C:$C,MATCH($C317,CCESAN!$A:$A,0)),
IF(CONCATENATE($A317,$B317)="CSCORIO",INDEX(CSCORIO!$A:$A,MATCH($C317,CSCORIO!$A:$A,0)),
IF(CONCATENATE($A317,$B317)="MERC",INDEX(MERCADO!$D:$D,MATCH($C317,MERCADO!$A:$A,0)),
IF(CONCATENATE($A317,$B317)="CCOMP",INDEX(COMPOSICAO!$H:$H,MATCH($C317,COMPOSICAO!$A:$A,0)),""
)))))))),""))</f>
        <v>m²</v>
      </c>
      <c r="F317" s="182">
        <f>F316</f>
        <v>18.015000000000001</v>
      </c>
      <c r="G317" s="144">
        <f>(IFERROR(
IF(CONCATENATE($A317,$B317)="IDER-ES",INDEX('IDER-ES'!$D:$D,MATCH($C317,'IDER-ES'!$A:$A,0)),
IF(CONCATENATE($A317,$B317)="CDER-ES",INDEX('CDER-ES'!$D:$D,MATCH($C317,'CDER-ES'!$A:$A,0)),
IF(CONCATENATE($A317,$B317)="ISINAPI",INDEX(ISINAPI!$E:$E,MATCH($C317,ISINAPI!$A:$A,0)),
IF(CONCATENATE($A317,$B317)="CSINAPI",INDEX(CSINAPI!$D:$D,MATCH($C317,CSINAPI!$A:$A,0)),
IF(CONCATENATE($A317,$B317)="CCESAN",INDEX(CCESAN!$D:$D,MATCH($C317,CCESAN!$A:$A,0)),
IF(CONCATENATE($A317,$B317)="CSCORIO",INDEX(CSCORIO!$B:$B,MATCH($C317,CSCORIO!#REF!,0)),
IF(CONCATENATE($A317,$B317)="MERC",INDEX(MERCADO!$E:$E,MATCH($C317,MERCADO!$A:$A,0)),
IF(CONCATENATE($A317,$B317)="CCOMP",INDEX(COMPOSICAO!$H:$H,MATCH($C317,COMPOSICAO!$A:$A,0)),""
)))))))),""))</f>
        <v>18.899999999999999</v>
      </c>
      <c r="H317" s="144">
        <f t="shared" si="52"/>
        <v>340.48</v>
      </c>
    </row>
    <row r="318" spans="1:9" ht="51">
      <c r="A318" s="141" t="s">
        <v>21960</v>
      </c>
      <c r="B318" s="141" t="s">
        <v>26583</v>
      </c>
      <c r="C318" s="141">
        <v>190302</v>
      </c>
      <c r="D318" s="142" t="str">
        <f>PROPER(IFERROR(
IF(C318="","",
IF(CONCATENATE($A318,$B318)="IDER-ES",INDEX('IDER-ES'!$B:$B,MATCH($C318,'IDER-ES'!$A:$A,0)),
IF(CONCATENATE($A318,$B318)="CDER-ES",INDEX('CDER-ES'!$B:$B,MATCH($C318,'CDER-ES'!$A:$A,0)),
IF(CONCATENATE($A318,$B318)="ISINAPI",INDEX(ISINAPI!$B:$B,MATCH($C318,ISINAPI!$A:$A,0)),
IF(CONCATENATE($A318,$B318)="CSINAPI",INDEX(CSINAPI!$B:$B,MATCH($C318,CSINAPI!$A:$A,0)),
IF(CONCATENATE($A318,$B318)="CCESAN",INDEX(CCESAN!$B:$B,MATCH($C318,CCESAN!$A:$A,0)),
IF(CONCATENATE($A318,$B318)="CSCORIO",INDEX(CSCORIO!$B:$B,MATCH($C318,CSCORIO!$A:$A,0)),
IF(CONCATENATE($A318,$B318)="MERC",INDEX(MERCADO!$B:$B,MATCH($C318,MERCADO!$A:$A,0)),
IF(CONCATENATE($A318,$B318)="CCOMP",INDEX(COMPOSICAO!$B:$B,MATCH($C318,COMPOSICAO!$A:$A,0)),""
))))))))),"*Verificar código*"))</f>
        <v>Pintura Com Tinta Esmalte Sintético, Marcas De Referência Suvinil, Coral Ou Metalatex, Inclusive Fundo Branco Nivelador, Em Madeira, A Duas Demãos</v>
      </c>
      <c r="E318" s="143" t="str">
        <f>LOWER(IFERROR(
IF(CONCATENATE($A318,$B318)="IDER-ES",INDEX('IDER-ES'!$C:$C,MATCH($C318,'IDER-ES'!$A:$A,0)),
IF(CONCATENATE($A318,$B318)="CDER-ES",INDEX('CDER-ES'!$C:$C,MATCH($C318,'CDER-ES'!$A:$A,0)),
IF(CONCATENATE($A318,$B318)="ISINAPI",INDEX(ISINAPI!$C:$C,MATCH($C318,ISINAPI!$A:$A,0)),
IF(CONCATENATE($A318,$B318)="CSINAPI",INDEX(CSINAPI!$C:$C,MATCH($C318,CSINAPI!$A:$A,0)),
IF(CONCATENATE($A318,$B318)="CCESAN",INDEX(CCESAN!$C:$C,MATCH($C318,CCESAN!$A:$A,0)),
IF(CONCATENATE($A318,$B318)="CSCORIO",INDEX(CSCORIO!$A:$A,MATCH($C318,CSCORIO!$A:$A,0)),
IF(CONCATENATE($A318,$B318)="MERC",INDEX(MERCADO!$D:$D,MATCH($C318,MERCADO!$A:$A,0)),
IF(CONCATENATE($A318,$B318)="CCOMP",INDEX(COMPOSICAO!$H:$H,MATCH($C318,COMPOSICAO!$A:$A,0)),""
)))))))),""))</f>
        <v>m²</v>
      </c>
      <c r="F318" s="182">
        <f>F316</f>
        <v>18.015000000000001</v>
      </c>
      <c r="G318" s="144">
        <f>(IFERROR(
IF(CONCATENATE($A318,$B318)="IDER-ES",INDEX('IDER-ES'!$D:$D,MATCH($C318,'IDER-ES'!$A:$A,0)),
IF(CONCATENATE($A318,$B318)="CDER-ES",INDEX('CDER-ES'!$D:$D,MATCH($C318,'CDER-ES'!$A:$A,0)),
IF(CONCATENATE($A318,$B318)="ISINAPI",INDEX(ISINAPI!$E:$E,MATCH($C318,ISINAPI!$A:$A,0)),
IF(CONCATENATE($A318,$B318)="CSINAPI",INDEX(CSINAPI!$D:$D,MATCH($C318,CSINAPI!$A:$A,0)),
IF(CONCATENATE($A318,$B318)="CCESAN",INDEX(CCESAN!$D:$D,MATCH($C318,CCESAN!$A:$A,0)),
IF(CONCATENATE($A318,$B318)="CSCORIO",INDEX(CSCORIO!$B:$B,MATCH($C318,CSCORIO!#REF!,0)),
IF(CONCATENATE($A318,$B318)="MERC",INDEX(MERCADO!$E:$E,MATCH($C318,MERCADO!$A:$A,0)),
IF(CONCATENATE($A318,$B318)="CCOMP",INDEX(COMPOSICAO!$H:$H,MATCH($C318,COMPOSICAO!$A:$A,0)),""
)))))))),""))</f>
        <v>22.64</v>
      </c>
      <c r="H318" s="144">
        <f t="shared" si="52"/>
        <v>407.86</v>
      </c>
    </row>
    <row r="320" spans="1:9" s="135" customFormat="1" ht="19.5" customHeight="1">
      <c r="A320" s="186" t="s">
        <v>1020</v>
      </c>
      <c r="B320" s="405" t="s">
        <v>1022</v>
      </c>
      <c r="C320" s="406"/>
      <c r="D320" s="406"/>
      <c r="E320" s="406"/>
      <c r="F320" s="407"/>
      <c r="G320" s="133" t="s">
        <v>19692</v>
      </c>
      <c r="H320" s="134" t="s">
        <v>19678</v>
      </c>
      <c r="I320" s="263"/>
    </row>
    <row r="321" spans="1:8" ht="75" customHeight="1">
      <c r="A321" s="136">
        <f>COUNTIF($A$4:$A320,$A$4)</f>
        <v>29</v>
      </c>
      <c r="B321" s="408" t="s">
        <v>29130</v>
      </c>
      <c r="C321" s="409"/>
      <c r="D321" s="409"/>
      <c r="E321" s="409"/>
      <c r="F321" s="410"/>
      <c r="G321" s="137" t="s">
        <v>19692</v>
      </c>
      <c r="H321" s="211">
        <f>SUM(H323:H335)</f>
        <v>5130.880000000001</v>
      </c>
    </row>
    <row r="322" spans="1:8" ht="30" customHeight="1">
      <c r="A322" s="139" t="s">
        <v>1026</v>
      </c>
      <c r="B322" s="139" t="s">
        <v>1027</v>
      </c>
      <c r="C322" s="139" t="s">
        <v>31</v>
      </c>
      <c r="D322" s="139" t="s">
        <v>1023</v>
      </c>
      <c r="E322" s="139" t="s">
        <v>32</v>
      </c>
      <c r="F322" s="183" t="s">
        <v>2343</v>
      </c>
      <c r="G322" s="140" t="s">
        <v>19676</v>
      </c>
      <c r="H322" s="140" t="s">
        <v>19677</v>
      </c>
    </row>
    <row r="323" spans="1:8" ht="25.5">
      <c r="A323" s="141" t="s">
        <v>26621</v>
      </c>
      <c r="B323" s="141" t="s">
        <v>26583</v>
      </c>
      <c r="C323" s="141">
        <v>21305</v>
      </c>
      <c r="D323" s="142" t="str">
        <f>PROPER(IFERROR(
IF(C323="","",
IF(CONCATENATE($A323,$B323)="IDER-ES",INDEX('IDER-ES'!$B:$B,MATCH($C323,'IDER-ES'!$A:$A,0)),
IF(CONCATENATE($A323,$B323)="CDER-ES",INDEX('CDER-ES'!$B:$B,MATCH($C323,'CDER-ES'!$A:$A,0)),
IF(CONCATENATE($A323,$B323)="ISINAPI",INDEX(ISINAPI!$B:$B,MATCH($C323,ISINAPI!$A:$A,0)),
IF(CONCATENATE($A323,$B323)="CSINAPI",INDEX(CSINAPI!$B:$B,MATCH($C323,CSINAPI!$A:$A,0)),
IF(CONCATENATE($A323,$B323)="CCESAN",INDEX(CCESAN!$B:$B,MATCH($C323,CCESAN!$A:$A,0)),
IF(CONCATENATE($A323,$B323)="CSCORIO",INDEX(CSCORIO!$B:$B,MATCH($C323,CSCORIO!$A:$A,0)),
IF(CONCATENATE($A323,$B323)="MERC",INDEX(MERCADO!$B:$B,MATCH($C323,MERCADO!$A:$A,0)),
IF(CONCATENATE($A323,$B323)="CCOMP",INDEX(COMPOSICAO!$B:$B,MATCH($C323,COMPOSICAO!$A:$A,0)),""
))))))))),"*Verificar código*"))</f>
        <v>Peca Em Madeira De Lei 7 X 5 Cm (Aparelhada)</v>
      </c>
      <c r="E323" s="143" t="str">
        <f>LOWER(IFERROR(
IF(CONCATENATE($A323,$B323)="IDER-ES",INDEX('IDER-ES'!$C:$C,MATCH($C323,'IDER-ES'!$A:$A,0)),
IF(CONCATENATE($A323,$B323)="CIOPES",INDEX('CDER-ES'!$C:$C,MATCH($C323,'CDER-ES'!$A:$A,0)),
IF(CONCATENATE($A323,$B323)="ISINAPI",INDEX(ISINAPI!$C:$C,MATCH($C323,ISINAPI!$A:$A,0)),
IF(CONCATENATE($A323,$B323)="CSINAPI",INDEX(CSINAPI!$C:$C,MATCH($C323,CSINAPI!$A:$A,0)),
IF(CONCATENATE($A323,$B323)="CCESAN",INDEX(CCESAN!$C:$C,MATCH($C323,CCESAN!$A:$A,0)),
IF(CONCATENATE($A323,$B323)="CSCORIO",INDEX(CSCORIO!$C:$C,MATCH($C323,CSCORIO!$A:$A,0)),
IF(CONCATENATE($A323,$B323)="MERC",INDEX(MERCADO!$D:$D,MATCH($C323,MERCADO!$A:$A,0)),
IF(CONCATENATE($A323,$B323)="CCOMP",INDEX(COMPOSICAO!$H:$H,MATCH($C323,COMPOSICAO!$A:$A,0)),""
)))))))),""))</f>
        <v>m</v>
      </c>
      <c r="F323" s="182">
        <f>1.7*2+3.05*2</f>
        <v>9.5</v>
      </c>
      <c r="G323" s="284">
        <f>(IFERROR(
IF(CONCATENATE($A323,$B323)="IDER-ES",INDEX('IDER-ES'!$D:$D,MATCH($C323,'IDER-ES'!$A:$A,0)),
IF(CONCATENATE($A323,$B323)="CIOPES",INDEX('CDER-ES'!$D:$D,MATCH($C323,'CDER-ES'!$A:$A,0)),
IF(CONCATENATE($A323,$B323)="ISINAPI",INDEX(ISINAPI!$E:$E,MATCH($C323,ISINAPI!$A:$A,0)),
IF(CONCATENATE($A323,$B323)="CSINAPI",INDEX(CSINAPI!$D:$D,MATCH($C323,CSINAPI!$A:$A,0)),
IF(CONCATENATE($A323,$B323)="CCESAN",INDEX(CCESAN!$D:$D,MATCH($C323,CCESAN!$A:$A,0)),
IF(CONCATENATE($A323,$B323)="CSCORIO",INDEX(CSCORIO!$D:$D,MATCH($C323,CSCORIO!$A:$A,0)),
IF(CONCATENATE($A323,$B323)="MERC",INDEX(MERCADO!$E:$E,MATCH($C323,MERCADO!$A:$A,0)),
IF(CONCATENATE($A323,$B323)="CCOMP",INDEX(COMPOSICAO!$H:$H,MATCH($C323,COMPOSICAO!$A:$A,0)),""
)))))))),""))</f>
        <v>39.21</v>
      </c>
      <c r="H323" s="284">
        <f t="shared" ref="H323:H335" si="55">IF(B323="","",ROUND(G323*F323,2))</f>
        <v>372.5</v>
      </c>
    </row>
    <row r="324" spans="1:8" ht="25.5">
      <c r="A324" s="141" t="s">
        <v>26621</v>
      </c>
      <c r="B324" s="141" t="s">
        <v>1019</v>
      </c>
      <c r="C324" s="141">
        <v>5075</v>
      </c>
      <c r="D324" s="142" t="str">
        <f>PROPER(IFERROR(
IF(C324="","",
IF(CONCATENATE($A324,$B324)="IDER-ES",INDEX('IDER-ES'!$B:$B,MATCH($C324,'IDER-ES'!$A:$A,0)),
IF(CONCATENATE($A324,$B324)="CDER-ES",INDEX('CDER-ES'!$B:$B,MATCH($C324,'CDER-ES'!$A:$A,0)),
IF(CONCATENATE($A324,$B324)="ISINAPI",INDEX(ISINAPI!$B:$B,MATCH($C324,ISINAPI!$A:$A,0)),
IF(CONCATENATE($A324,$B324)="CSINAPI",INDEX(CSINAPI!$B:$B,MATCH($C324,CSINAPI!$A:$A,0)),
IF(CONCATENATE($A324,$B324)="CCESAN",INDEX(CCESAN!$B:$B,MATCH($C324,CCESAN!$A:$A,0)),
IF(CONCATENATE($A324,$B324)="CSCORIO",INDEX(CSCORIO!$B:$B,MATCH($C324,CSCORIO!$A:$A,0)),
IF(CONCATENATE($A324,$B324)="MERC",INDEX(MERCADO!$B:$B,MATCH($C324,MERCADO!$A:$A,0)),
IF(CONCATENATE($A324,$B324)="CCOMP",INDEX(COMPOSICAO!$B:$B,MATCH($C324,COMPOSICAO!$A:$A,0)),""
))))))))),"*Verificar código*"))</f>
        <v xml:space="preserve">Prego De Aco Polido Com Cabeca 18 X 30 (2 3/4 X 10)                                                                                                                                                                                                                                                                                                                                                                                                                                                       </v>
      </c>
      <c r="E324" s="143" t="str">
        <f>LOWER(IFERROR(
IF(CONCATENATE($A324,$B324)="IDER-ES",INDEX('IDER-ES'!$C:$C,MATCH($C324,'IDER-ES'!$A:$A,0)),
IF(CONCATENATE($A324,$B324)="CIOPES",INDEX('CDER-ES'!$C:$C,MATCH($C324,'CDER-ES'!$A:$A,0)),
IF(CONCATENATE($A324,$B324)="ISINAPI",INDEX(ISINAPI!$C:$C,MATCH($C324,ISINAPI!$A:$A,0)),
IF(CONCATENATE($A324,$B324)="CSINAPI",INDEX(CSINAPI!$C:$C,MATCH($C324,CSINAPI!$A:$A,0)),
IF(CONCATENATE($A324,$B324)="CCESAN",INDEX(CCESAN!$C:$C,MATCH($C324,CCESAN!$A:$A,0)),
IF(CONCATENATE($A324,$B324)="CSCORIO",INDEX(CSCORIO!$C:$C,MATCH($C324,CSCORIO!$A:$A,0)),
IF(CONCATENATE($A324,$B324)="MERC",INDEX(MERCADO!$D:$D,MATCH($C324,MERCADO!$A:$A,0)),
IF(CONCATENATE($A324,$B324)="CCOMP",INDEX(COMPOSICAO!$H:$H,MATCH($C324,COMPOSICAO!$A:$A,0)),""
)))))))),""))</f>
        <v xml:space="preserve">kg    </v>
      </c>
      <c r="F324" s="182">
        <f>0.024*2</f>
        <v>4.8000000000000001E-2</v>
      </c>
      <c r="G324" s="284">
        <f>(IFERROR(
IF(CONCATENATE($A324,$B324)="IDER-ES",INDEX('IDER-ES'!$D:$D,MATCH($C324,'IDER-ES'!$A:$A,0)),
IF(CONCATENATE($A324,$B324)="CIOPES",INDEX('CDER-ES'!$D:$D,MATCH($C324,'CDER-ES'!$A:$A,0)),
IF(CONCATENATE($A324,$B324)="ISINAPI",INDEX(ISINAPI!$E:$E,MATCH($C324,ISINAPI!$A:$A,0)),
IF(CONCATENATE($A324,$B324)="CSINAPI",INDEX(CSINAPI!$D:$D,MATCH($C324,CSINAPI!$A:$A,0)),
IF(CONCATENATE($A324,$B324)="CCESAN",INDEX(CCESAN!$D:$D,MATCH($C324,CCESAN!$A:$A,0)),
IF(CONCATENATE($A324,$B324)="CSCORIO",INDEX(CSCORIO!$D:$D,MATCH($C324,CSCORIO!$A:$A,0)),
IF(CONCATENATE($A324,$B324)="MERC",INDEX(MERCADO!$E:$E,MATCH($C324,MERCADO!$A:$A,0)),
IF(CONCATENATE($A324,$B324)="CCOMP",INDEX(COMPOSICAO!$H:$H,MATCH($C324,COMPOSICAO!$A:$A,0)),""
)))))))),""))</f>
        <v>27.61</v>
      </c>
      <c r="H324" s="284">
        <f t="shared" si="55"/>
        <v>1.33</v>
      </c>
    </row>
    <row r="325" spans="1:8" ht="38.25">
      <c r="A325" s="141" t="s">
        <v>26621</v>
      </c>
      <c r="B325" s="141" t="s">
        <v>1019</v>
      </c>
      <c r="C325" s="141">
        <v>4998</v>
      </c>
      <c r="D325" s="142" t="str">
        <f>PROPER(IFERROR(
IF(C325="","",
IF(CONCATENATE($A325,$B325)="IDER-ES",INDEX('IDER-ES'!$B:$B,MATCH($C325,'IDER-ES'!$A:$A,0)),
IF(CONCATENATE($A325,$B325)="CDER-ES",INDEX('CDER-ES'!$B:$B,MATCH($C325,'CDER-ES'!$A:$A,0)),
IF(CONCATENATE($A325,$B325)="ISINAPI",INDEX(ISINAPI!$B:$B,MATCH($C325,ISINAPI!$A:$A,0)),
IF(CONCATENATE($A325,$B325)="CSINAPI",INDEX(CSINAPI!$B:$B,MATCH($C325,CSINAPI!$A:$A,0)),
IF(CONCATENATE($A325,$B325)="CCESAN",INDEX(CCESAN!$B:$B,MATCH($C325,CCESAN!$A:$A,0)),
IF(CONCATENATE($A325,$B325)="CSCORIO",INDEX(CSCORIO!$B:$B,MATCH($C325,CSCORIO!$A:$A,0)),
IF(CONCATENATE($A325,$B325)="MERC",INDEX(MERCADO!$B:$B,MATCH($C325,MERCADO!$A:$A,0)),
IF(CONCATENATE($A325,$B325)="CCOMP",INDEX(COMPOSICAO!$B:$B,MATCH($C325,COMPOSICAO!$A:$A,0)),""
))))))))),"*Verificar código*"))</f>
        <v xml:space="preserve">Porta De Madeira-De-Lei Tipo Mexicana Sem Emenda (Angelim Ou Equivalente Regional), E = *3,5* Cm                                                                                                                                                                                                                                                                                                                                                                                                          </v>
      </c>
      <c r="E325" s="143" t="str">
        <f>LOWER(IFERROR(
IF(CONCATENATE($A325,$B325)="IDER-ES",INDEX('IDER-ES'!$C:$C,MATCH($C325,'IDER-ES'!$A:$A,0)),
IF(CONCATENATE($A325,$B325)="CIOPES",INDEX('CDER-ES'!$C:$C,MATCH($C325,'CDER-ES'!$A:$A,0)),
IF(CONCATENATE($A325,$B325)="ISINAPI",INDEX(ISINAPI!$C:$C,MATCH($C325,ISINAPI!$A:$A,0)),
IF(CONCATENATE($A325,$B325)="CSINAPI",INDEX(CSINAPI!$C:$C,MATCH($C325,CSINAPI!$A:$A,0)),
IF(CONCATENATE($A325,$B325)="CCESAN",INDEX(CCESAN!$C:$C,MATCH($C325,CCESAN!$A:$A,0)),
IF(CONCATENATE($A325,$B325)="CSCORIO",INDEX(CSCORIO!$C:$C,MATCH($C325,CSCORIO!$A:$A,0)),
IF(CONCATENATE($A325,$B325)="MERC",INDEX(MERCADO!$D:$D,MATCH($C325,MERCADO!$A:$A,0)),
IF(CONCATENATE($A325,$B325)="CCOMP",INDEX(COMPOSICAO!$H:$H,MATCH($C325,COMPOSICAO!$A:$A,0)),""
)))))))),""))</f>
        <v xml:space="preserve">m²    </v>
      </c>
      <c r="F325" s="182">
        <f>1.7*2.5</f>
        <v>4.25</v>
      </c>
      <c r="G325" s="284">
        <f>(IFERROR(
IF(CONCATENATE($A325,$B325)="IDER-ES",INDEX('IDER-ES'!$D:$D,MATCH($C325,'IDER-ES'!$A:$A,0)),
IF(CONCATENATE($A325,$B325)="CIOPES",INDEX('CDER-ES'!$D:$D,MATCH($C325,'CDER-ES'!$A:$A,0)),
IF(CONCATENATE($A325,$B325)="ISINAPI",INDEX(ISINAPI!$E:$E,MATCH($C325,ISINAPI!$A:$A,0)),
IF(CONCATENATE($A325,$B325)="CSINAPI",INDEX(CSINAPI!$D:$D,MATCH($C325,CSINAPI!$A:$A,0)),
IF(CONCATENATE($A325,$B325)="CCESAN",INDEX(CCESAN!$D:$D,MATCH($C325,CCESAN!$A:$A,0)),
IF(CONCATENATE($A325,$B325)="CSCORIO",INDEX(CSCORIO!$D:$D,MATCH($C325,CSCORIO!$A:$A,0)),
IF(CONCATENATE($A325,$B325)="MERC",INDEX(MERCADO!$E:$E,MATCH($C325,MERCADO!$A:$A,0)),
IF(CONCATENATE($A325,$B325)="CCOMP",INDEX(COMPOSICAO!$H:$H,MATCH($C325,COMPOSICAO!$A:$A,0)),""
)))))))),""))</f>
        <v>624.87</v>
      </c>
      <c r="H325" s="284">
        <f t="shared" si="55"/>
        <v>2655.7</v>
      </c>
    </row>
    <row r="326" spans="1:8" ht="51">
      <c r="A326" s="141" t="s">
        <v>26621</v>
      </c>
      <c r="B326" s="141" t="s">
        <v>1019</v>
      </c>
      <c r="C326" s="141">
        <v>2432</v>
      </c>
      <c r="D326" s="142" t="str">
        <f>PROPER(IFERROR(
IF(C326="","",
IF(CONCATENATE($A326,$B326)="IDER-ES",INDEX('IDER-ES'!$B:$B,MATCH($C326,'IDER-ES'!$A:$A,0)),
IF(CONCATENATE($A326,$B326)="CDER-ES",INDEX('CDER-ES'!$B:$B,MATCH($C326,'CDER-ES'!$A:$A,0)),
IF(CONCATENATE($A326,$B326)="ISINAPI",INDEX(ISINAPI!$B:$B,MATCH($C326,ISINAPI!$A:$A,0)),
IF(CONCATENATE($A326,$B326)="CSINAPI",INDEX(CSINAPI!$B:$B,MATCH($C326,CSINAPI!$A:$A,0)),
IF(CONCATENATE($A326,$B326)="CCESAN",INDEX(CCESAN!$B:$B,MATCH($C326,CCESAN!$A:$A,0)),
IF(CONCATENATE($A326,$B326)="CSCORIO",INDEX(CSCORIO!$B:$B,MATCH($C326,CSCORIO!$A:$A,0)),
IF(CONCATENATE($A326,$B326)="MERC",INDEX(MERCADO!$B:$B,MATCH($C326,MERCADO!$A:$A,0)),
IF(CONCATENATE($A326,$B326)="CCOMP",INDEX(COMPOSICAO!$B:$B,MATCH($C326,COMPOSICAO!$A:$A,0)),""
))))))))),"*Verificar código*"))</f>
        <v xml:space="preserve">Dobradica Em Aco/Ferro, 3 1/2" X  3", E= 1,9  A 2 Mm, Com Anel,  Cromado Ou Zincado, Tampa Bola, Com Parafusos                                                                                                                                                                                                                                                                                                                                                                                            </v>
      </c>
      <c r="E326" s="143" t="str">
        <f>LOWER(IFERROR(
IF(CONCATENATE($A326,$B326)="IDER-ES",INDEX('IDER-ES'!$C:$C,MATCH($C326,'IDER-ES'!$A:$A,0)),
IF(CONCATENATE($A326,$B326)="CIOPES",INDEX('CDER-ES'!$C:$C,MATCH($C326,'CDER-ES'!$A:$A,0)),
IF(CONCATENATE($A326,$B326)="ISINAPI",INDEX(ISINAPI!$C:$C,MATCH($C326,ISINAPI!$A:$A,0)),
IF(CONCATENATE($A326,$B326)="CSINAPI",INDEX(CSINAPI!$C:$C,MATCH($C326,CSINAPI!$A:$A,0)),
IF(CONCATENATE($A326,$B326)="CCESAN",INDEX(CCESAN!$C:$C,MATCH($C326,CCESAN!$A:$A,0)),
IF(CONCATENATE($A326,$B326)="CSCORIO",INDEX(CSCORIO!$C:$C,MATCH($C326,CSCORIO!$A:$A,0)),
IF(CONCATENATE($A326,$B326)="MERC",INDEX(MERCADO!$D:$D,MATCH($C326,MERCADO!$A:$A,0)),
IF(CONCATENATE($A326,$B326)="CCOMP",INDEX(COMPOSICAO!$H:$H,MATCH($C326,COMPOSICAO!$A:$A,0)),""
)))))))),""))</f>
        <v xml:space="preserve">un    </v>
      </c>
      <c r="F326" s="182">
        <f>4*4+2</f>
        <v>18</v>
      </c>
      <c r="G326" s="284">
        <f>(IFERROR(
IF(CONCATENATE($A326,$B326)="IDER-ES",INDEX('IDER-ES'!$D:$D,MATCH($C326,'IDER-ES'!$A:$A,0)),
IF(CONCATENATE($A326,$B326)="CIOPES",INDEX('CDER-ES'!$D:$D,MATCH($C326,'CDER-ES'!$A:$A,0)),
IF(CONCATENATE($A326,$B326)="ISINAPI",INDEX(ISINAPI!$E:$E,MATCH($C326,ISINAPI!$A:$A,0)),
IF(CONCATENATE($A326,$B326)="CSINAPI",INDEX(CSINAPI!$D:$D,MATCH($C326,CSINAPI!$A:$A,0)),
IF(CONCATENATE($A326,$B326)="CCESAN",INDEX(CCESAN!$D:$D,MATCH($C326,CCESAN!$A:$A,0)),
IF(CONCATENATE($A326,$B326)="CSCORIO",INDEX(CSCORIO!$D:$D,MATCH($C326,CSCORIO!$A:$A,0)),
IF(CONCATENATE($A326,$B326)="MERC",INDEX(MERCADO!$E:$E,MATCH($C326,MERCADO!$A:$A,0)),
IF(CONCATENATE($A326,$B326)="CCOMP",INDEX(COMPOSICAO!$H:$H,MATCH($C326,COMPOSICAO!$A:$A,0)),""
)))))))),""))</f>
        <v>17.2</v>
      </c>
      <c r="H326" s="284">
        <f t="shared" si="55"/>
        <v>309.60000000000002</v>
      </c>
    </row>
    <row r="327" spans="1:8" ht="38.25">
      <c r="A327" s="141" t="s">
        <v>26621</v>
      </c>
      <c r="B327" s="141" t="s">
        <v>1019</v>
      </c>
      <c r="C327" s="141">
        <v>11055</v>
      </c>
      <c r="D327" s="142" t="str">
        <f>PROPER(IFERROR(
IF(C327="","",
IF(CONCATENATE($A327,$B327)="IDER-ES",INDEX('IDER-ES'!$B:$B,MATCH($C327,'IDER-ES'!$A:$A,0)),
IF(CONCATENATE($A327,$B327)="CDER-ES",INDEX('CDER-ES'!$B:$B,MATCH($C327,'CDER-ES'!$A:$A,0)),
IF(CONCATENATE($A327,$B327)="ISINAPI",INDEX(ISINAPI!$B:$B,MATCH($C327,ISINAPI!$A:$A,0)),
IF(CONCATENATE($A327,$B327)="CSINAPI",INDEX(CSINAPI!$B:$B,MATCH($C327,CSINAPI!$A:$A,0)),
IF(CONCATENATE($A327,$B327)="CCESAN",INDEX(CCESAN!$B:$B,MATCH($C327,CCESAN!$A:$A,0)),
IF(CONCATENATE($A327,$B327)="CSCORIO",INDEX(CSCORIO!$B:$B,MATCH($C327,CSCORIO!$A:$A,0)),
IF(CONCATENATE($A327,$B327)="MERC",INDEX(MERCADO!$B:$B,MATCH($C327,MERCADO!$A:$A,0)),
IF(CONCATENATE($A327,$B327)="CCOMP",INDEX(COMPOSICAO!$B:$B,MATCH($C327,COMPOSICAO!$A:$A,0)),""
))))))))),"*Verificar código*"))</f>
        <v xml:space="preserve">Parafuso Rosca Soberba Zincado Cabeca Chata Fenda Simples 3,5 X 25 Mm (1 ")                                                                                                                                                                                                                                                                                                                                                                                                                               </v>
      </c>
      <c r="E327" s="143" t="str">
        <f>LOWER(IFERROR(
IF(CONCATENATE($A327,$B327)="IDER-ES",INDEX('IDER-ES'!$C:$C,MATCH($C327,'IDER-ES'!$A:$A,0)),
IF(CONCATENATE($A327,$B327)="CIOPES",INDEX('CDER-ES'!$C:$C,MATCH($C327,'CDER-ES'!$A:$A,0)),
IF(CONCATENATE($A327,$B327)="ISINAPI",INDEX(ISINAPI!$C:$C,MATCH($C327,ISINAPI!$A:$A,0)),
IF(CONCATENATE($A327,$B327)="CSINAPI",INDEX(CSINAPI!$C:$C,MATCH($C327,CSINAPI!$A:$A,0)),
IF(CONCATENATE($A327,$B327)="CCESAN",INDEX(CCESAN!$C:$C,MATCH($C327,CCESAN!$A:$A,0)),
IF(CONCATENATE($A327,$B327)="CSCORIO",INDEX(CSCORIO!$C:$C,MATCH($C327,CSCORIO!$A:$A,0)),
IF(CONCATENATE($A327,$B327)="MERC",INDEX(MERCADO!$D:$D,MATCH($C327,MERCADO!$A:$A,0)),
IF(CONCATENATE($A327,$B327)="CCOMP",INDEX(COMPOSICAO!$H:$H,MATCH($C327,COMPOSICAO!$A:$A,0)),""
)))))))),""))</f>
        <v xml:space="preserve">un    </v>
      </c>
      <c r="F327" s="182">
        <f>F326*6</f>
        <v>108</v>
      </c>
      <c r="G327" s="284">
        <f>(IFERROR(
IF(CONCATENATE($A327,$B327)="IDER-ES",INDEX('IDER-ES'!$D:$D,MATCH($C327,'IDER-ES'!$A:$A,0)),
IF(CONCATENATE($A327,$B327)="CIOPES",INDEX('CDER-ES'!$D:$D,MATCH($C327,'CDER-ES'!$A:$A,0)),
IF(CONCATENATE($A327,$B327)="ISINAPI",INDEX(ISINAPI!$E:$E,MATCH($C327,ISINAPI!$A:$A,0)),
IF(CONCATENATE($A327,$B327)="CSINAPI",INDEX(CSINAPI!$D:$D,MATCH($C327,CSINAPI!$A:$A,0)),
IF(CONCATENATE($A327,$B327)="CCESAN",INDEX(CCESAN!$D:$D,MATCH($C327,CCESAN!$A:$A,0)),
IF(CONCATENATE($A327,$B327)="CSCORIO",INDEX(CSCORIO!$D:$D,MATCH($C327,CSCORIO!$A:$A,0)),
IF(CONCATENATE($A327,$B327)="MERC",INDEX(MERCADO!$E:$E,MATCH($C327,MERCADO!$A:$A,0)),
IF(CONCATENATE($A327,$B327)="CCOMP",INDEX(COMPOSICAO!$H:$H,MATCH($C327,COMPOSICAO!$A:$A,0)),""
)))))))),""))</f>
        <v>0.1</v>
      </c>
      <c r="H327" s="284">
        <f t="shared" si="55"/>
        <v>10.8</v>
      </c>
    </row>
    <row r="328" spans="1:8" ht="25.5">
      <c r="A328" s="141" t="s">
        <v>21960</v>
      </c>
      <c r="B328" s="141" t="s">
        <v>1019</v>
      </c>
      <c r="C328" s="141">
        <v>88261</v>
      </c>
      <c r="D328" s="142" t="str">
        <f>PROPER(IFERROR(
IF(C328="","",
IF(CONCATENATE($A328,$B328)="IDER-ES",INDEX('IDER-ES'!$B:$B,MATCH($C328,'IDER-ES'!$A:$A,0)),
IF(CONCATENATE($A328,$B328)="CDER-ES",INDEX('CDER-ES'!$B:$B,MATCH($C328,'CDER-ES'!$A:$A,0)),
IF(CONCATENATE($A328,$B328)="ISINAPI",INDEX(ISINAPI!$B:$B,MATCH($C328,ISINAPI!$A:$A,0)),
IF(CONCATENATE($A328,$B328)="CSINAPI",INDEX(CSINAPI!$B:$B,MATCH($C328,CSINAPI!$A:$A,0)),
IF(CONCATENATE($A328,$B328)="CCESAN",INDEX(CCESAN!$B:$B,MATCH($C328,CCESAN!$A:$A,0)),
IF(CONCATENATE($A328,$B328)="CSCORIO",INDEX(CSCORIO!$B:$B,MATCH($C328,CSCORIO!$A:$A,0)),
IF(CONCATENATE($A328,$B328)="MERC",INDEX(MERCADO!$B:$B,MATCH($C328,MERCADO!$A:$A,0)),
IF(CONCATENATE($A328,$B328)="CCOMP",INDEX(COMPOSICAO!$B:$B,MATCH($C328,COMPOSICAO!$A:$A,0)),""
))))))))),"*Verificar código*"))</f>
        <v>Carpinteiro De Esquadria Com Encargos Complementares</v>
      </c>
      <c r="E328" s="143" t="str">
        <f>LOWER(IFERROR(
IF(CONCATENATE($A328,$B328)="IDER-ES",INDEX('IDER-ES'!$C:$C,MATCH($C328,'IDER-ES'!$A:$A,0)),
IF(CONCATENATE($A328,$B328)="CDER-ES",INDEX('CDER-ES'!$C:$C,MATCH($C328,'CDER-ES'!$A:$A,0)),
IF(CONCATENATE($A328,$B328)="ISINAPI",INDEX(ISINAPI!$C:$C,MATCH($C328,ISINAPI!$A:$A,0)),
IF(CONCATENATE($A328,$B328)="CSINAPI",INDEX(CSINAPI!$C:$C,MATCH($C328,CSINAPI!$A:$A,0)),
IF(CONCATENATE($A328,$B328)="CCESAN",INDEX(CCESAN!$C:$C,MATCH($C328,CCESAN!$A:$A,0)),
IF(CONCATENATE($A328,$B328)="CSCORIO",INDEX(CSCORIO!$C:$C,MATCH($C328,CSCORIO!$A:$A,0)),
IF(CONCATENATE($A328,$B328)="MERC",INDEX(MERCADO!$D:$D,MATCH($C328,MERCADO!$A:$A,0)),
IF(CONCATENATE($A328,$B328)="CCOMP",INDEX(COMPOSICAO!$H:$H,MATCH($C328,COMPOSICAO!$A:$A,0)),""
)))))))),""))</f>
        <v>h</v>
      </c>
      <c r="F328" s="182">
        <f>2.741+1.28*1.7*2.55</f>
        <v>8.2897999999999996</v>
      </c>
      <c r="G328" s="284">
        <f>(IFERROR(
IF(CONCATENATE($A328,$B328)="IDER-ES",INDEX('IDER-ES'!$D:$D,MATCH($C328,'IDER-ES'!$A:$A,0)),
IF(CONCATENATE($A328,$B328)="CDER-ES",INDEX('CDER-ES'!$D:$D,MATCH($C328,'CDER-ES'!$A:$A,0)),
IF(CONCATENATE($A328,$B328)="ISINAPI",INDEX(ISINAPI!$E:$E,MATCH($C328,ISINAPI!$A:$A,0)),
IF(CONCATENATE($A328,$B328)="CSINAPI",INDEX(CSINAPI!$D:$D,MATCH($C328,CSINAPI!$A:$A,0)),
IF(CONCATENATE($A328,$B328)="CCESAN",INDEX(CCESAN!$D:$D,MATCH($C328,CCESAN!$A:$A,0)),
IF(CONCATENATE($A328,$B328)="CSCORIO",INDEX(CSCORIO!$D:$D,MATCH($C328,CSCORIO!$A:$A,0)),
IF(CONCATENATE($A328,$B328)="MERC",INDEX(MERCADO!$E:$E,MATCH($C328,MERCADO!$A:$A,0)),
IF(CONCATENATE($A328,$B328)="CCOMP",INDEX(COMPOSICAO!$H:$H,MATCH($C328,COMPOSICAO!$A:$A,0)),""
)))))))),""))</f>
        <v>22.14</v>
      </c>
      <c r="H328" s="284">
        <f t="shared" si="55"/>
        <v>183.54</v>
      </c>
    </row>
    <row r="329" spans="1:8" ht="25.5">
      <c r="A329" s="141" t="s">
        <v>21960</v>
      </c>
      <c r="B329" s="141" t="s">
        <v>1019</v>
      </c>
      <c r="C329" s="141">
        <v>88316</v>
      </c>
      <c r="D329" s="142" t="str">
        <f>PROPER(IFERROR(
IF(C329="","",
IF(CONCATENATE($A329,$B329)="IDER-ES",INDEX('IDER-ES'!$B:$B,MATCH($C329,'IDER-ES'!$A:$A,0)),
IF(CONCATENATE($A329,$B329)="CDER-ES",INDEX('CDER-ES'!$B:$B,MATCH($C329,'CDER-ES'!$A:$A,0)),
IF(CONCATENATE($A329,$B329)="ISINAPI",INDEX(ISINAPI!$B:$B,MATCH($C329,ISINAPI!$A:$A,0)),
IF(CONCATENATE($A329,$B329)="CSINAPI",INDEX(CSINAPI!$B:$B,MATCH($C329,CSINAPI!$A:$A,0)),
IF(CONCATENATE($A329,$B329)="CCESAN",INDEX(CCESAN!$B:$B,MATCH($C329,CCESAN!$A:$A,0)),
IF(CONCATENATE($A329,$B329)="CSCORIO",INDEX(CSCORIO!$B:$B,MATCH($C329,CSCORIO!$A:$A,0)),
IF(CONCATENATE($A329,$B329)="MERC",INDEX(MERCADO!$B:$B,MATCH($C329,MERCADO!$A:$A,0)),
IF(CONCATENATE($A329,$B329)="CCOMP",INDEX(COMPOSICAO!$B:$B,MATCH($C329,COMPOSICAO!$A:$A,0)),""
))))))))),"*Verificar código*"))</f>
        <v>Servente Com Encargos Complementares</v>
      </c>
      <c r="E329" s="143" t="str">
        <f>LOWER(IFERROR(
IF(CONCATENATE($A329,$B329)="IDER-ES",INDEX('IDER-ES'!$C:$C,MATCH($C329,'IDER-ES'!$A:$A,0)),
IF(CONCATENATE($A329,$B329)="CDER-ES",INDEX('CDER-ES'!$C:$C,MATCH($C329,'CDER-ES'!$A:$A,0)),
IF(CONCATENATE($A329,$B329)="ISINAPI",INDEX(ISINAPI!$C:$C,MATCH($C329,ISINAPI!$A:$A,0)),
IF(CONCATENATE($A329,$B329)="CSINAPI",INDEX(CSINAPI!$C:$C,MATCH($C329,CSINAPI!$A:$A,0)),
IF(CONCATENATE($A329,$B329)="CCESAN",INDEX(CCESAN!$C:$C,MATCH($C329,CCESAN!$A:$A,0)),
IF(CONCATENATE($A329,$B329)="CSCORIO",INDEX(CSCORIO!$C:$C,MATCH($C329,CSCORIO!$A:$A,0)),
IF(CONCATENATE($A329,$B329)="MERC",INDEX(MERCADO!$D:$D,MATCH($C329,MERCADO!$A:$A,0)),
IF(CONCATENATE($A329,$B329)="CCOMP",INDEX(COMPOSICAO!$H:$H,MATCH($C329,COMPOSICAO!$A:$A,0)),""
)))))))),""))</f>
        <v>h</v>
      </c>
      <c r="F329" s="182">
        <f>1.357+0.64*1.7*2.55</f>
        <v>4.1314000000000002</v>
      </c>
      <c r="G329" s="284">
        <f>(IFERROR(
IF(CONCATENATE($A329,$B329)="IDER-ES",INDEX('IDER-ES'!$D:$D,MATCH($C329,'IDER-ES'!$A:$A,0)),
IF(CONCATENATE($A329,$B329)="CDER-ES",INDEX('CDER-ES'!$D:$D,MATCH($C329,'CDER-ES'!$A:$A,0)),
IF(CONCATENATE($A329,$B329)="ISINAPI",INDEX(ISINAPI!$E:$E,MATCH($C329,ISINAPI!$A:$A,0)),
IF(CONCATENATE($A329,$B329)="CSINAPI",INDEX(CSINAPI!$D:$D,MATCH($C329,CSINAPI!$A:$A,0)),
IF(CONCATENATE($A329,$B329)="CCESAN",INDEX(CCESAN!$D:$D,MATCH($C329,CCESAN!$A:$A,0)),
IF(CONCATENATE($A329,$B329)="CSCORIO",INDEX(CSCORIO!$D:$D,MATCH($C329,CSCORIO!$A:$A,0)),
IF(CONCATENATE($A329,$B329)="MERC",INDEX(MERCADO!$E:$E,MATCH($C329,MERCADO!$A:$A,0)),
IF(CONCATENATE($A329,$B329)="CCOMP",INDEX(COMPOSICAO!$H:$H,MATCH($C329,COMPOSICAO!$A:$A,0)),""
)))))))),""))</f>
        <v>18.11</v>
      </c>
      <c r="H329" s="284">
        <f t="shared" si="55"/>
        <v>74.819999999999993</v>
      </c>
    </row>
    <row r="330" spans="1:8" ht="76.5">
      <c r="A330" s="141" t="s">
        <v>21960</v>
      </c>
      <c r="B330" s="141" t="s">
        <v>1019</v>
      </c>
      <c r="C330" s="141">
        <v>100668</v>
      </c>
      <c r="D330" s="142" t="str">
        <f>PROPER(IFERROR(
IF(C330="","",
IF(CONCATENATE($A330,$B330)="IDER-ES",INDEX('IDER-ES'!$B:$B,MATCH($C330,'IDER-ES'!$A:$A,0)),
IF(CONCATENATE($A330,$B330)="CDER-ES",INDEX('CDER-ES'!$B:$B,MATCH($C330,'CDER-ES'!$A:$A,0)),
IF(CONCATENATE($A330,$B330)="ISINAPI",INDEX(ISINAPI!$B:$B,MATCH($C330,ISINAPI!$A:$A,0)),
IF(CONCATENATE($A330,$B330)="CSINAPI",INDEX(CSINAPI!$B:$B,MATCH($C330,CSINAPI!$A:$A,0)),
IF(CONCATENATE($A330,$B330)="CCESAN",INDEX(CCESAN!$B:$B,MATCH($C330,CCESAN!$A:$A,0)),
IF(CONCATENATE($A330,$B330)="CSCORIO",INDEX(CSCORIO!$B:$B,MATCH($C330,CSCORIO!$A:$A,0)),
IF(CONCATENATE($A330,$B330)="MERC",INDEX(MERCADO!$B:$B,MATCH($C330,MERCADO!$A:$A,0)),
IF(CONCATENATE($A330,$B330)="CCOMP",INDEX(COMPOSICAO!$B:$B,MATCH($C330,COMPOSICAO!$A:$A,0)),""
))))))))),"*Verificar código*"))</f>
        <v>Janela De Madeira (Cedrinho/Angelim Ou Equiv.) Tipo Maxim-Ar, Para Vidro, Com Batente, Alizar E Ferragens. Exclusive Vidro, Acabamento E Contramarco. Fornecimento E Instalação. Af_12/2019</v>
      </c>
      <c r="E330" s="143" t="str">
        <f>LOWER(IFERROR(
IF(CONCATENATE($A330,$B330)="IDER-ES",INDEX('IDER-ES'!$C:$C,MATCH($C330,'IDER-ES'!$A:$A,0)),
IF(CONCATENATE($A330,$B330)="CIOPES",INDEX('CDER-ES'!$C:$C,MATCH($C330,'CDER-ES'!$A:$A,0)),
IF(CONCATENATE($A330,$B330)="ISINAPI",INDEX(ISINAPI!$C:$C,MATCH($C330,ISINAPI!$A:$A,0)),
IF(CONCATENATE($A330,$B330)="CSINAPI",INDEX(CSINAPI!$C:$C,MATCH($C330,CSINAPI!$A:$A,0)),
IF(CONCATENATE($A330,$B330)="CCESAN",INDEX(CCESAN!$C:$C,MATCH($C330,CCESAN!$A:$A,0)),
IF(CONCATENATE($A330,$B330)="CSCORIO",INDEX(CSCORIO!$C:$C,MATCH($C330,CSCORIO!$A:$A,0)),
IF(CONCATENATE($A330,$B330)="MERC",INDEX(MERCADO!$D:$D,MATCH($C330,MERCADO!$A:$A,0)),
IF(CONCATENATE($A330,$B330)="CCOMP",INDEX(COMPOSICAO!$H:$H,MATCH($C330,COMPOSICAO!$A:$A,0)),""
)))))))),""))</f>
        <v>m²</v>
      </c>
      <c r="F330" s="182">
        <f>0.35*1.7</f>
        <v>0.59499999999999997</v>
      </c>
      <c r="G330" s="284">
        <f>(IFERROR(
IF(CONCATENATE($A330,$B330)="IDER-ES",INDEX('IDER-ES'!$D:$D,MATCH($C330,'IDER-ES'!$A:$A,0)),
IF(CONCATENATE($A330,$B330)="CIOPES",INDEX('CDER-ES'!$D:$D,MATCH($C330,'CDER-ES'!$A:$A,0)),
IF(CONCATENATE($A330,$B330)="ISINAPI",INDEX(ISINAPI!$E:$E,MATCH($C330,ISINAPI!$A:$A,0)),
IF(CONCATENATE($A330,$B330)="CSINAPI",INDEX(CSINAPI!$D:$D,MATCH($C330,CSINAPI!$A:$A,0)),
IF(CONCATENATE($A330,$B330)="CCESAN",INDEX(CCESAN!$D:$D,MATCH($C330,CCESAN!$A:$A,0)),
IF(CONCATENATE($A330,$B330)="CSCORIO",INDEX(CSCORIO!$D:$D,MATCH($C330,CSCORIO!$A:$A,0)),
IF(CONCATENATE($A330,$B330)="MERC",INDEX(MERCADO!$E:$E,MATCH($C330,MERCADO!$A:$A,0)),
IF(CONCATENATE($A330,$B330)="CCOMP",INDEX(COMPOSICAO!$H:$H,MATCH($C330,COMPOSICAO!$A:$A,0)),""
)))))))),""))</f>
        <v>1291.0899999999999</v>
      </c>
      <c r="H330" s="284">
        <f t="shared" si="55"/>
        <v>768.2</v>
      </c>
    </row>
    <row r="331" spans="1:8" ht="38.25">
      <c r="A331" s="141" t="s">
        <v>21960</v>
      </c>
      <c r="B331" s="141" t="s">
        <v>1019</v>
      </c>
      <c r="C331" s="141">
        <v>102152</v>
      </c>
      <c r="D331" s="142" t="str">
        <f>PROPER(IFERROR(
IF(C331="","",
IF(CONCATENATE($A331,$B331)="IDER-ES",INDEX('IDER-ES'!$B:$B,MATCH($C331,'IDER-ES'!$A:$A,0)),
IF(CONCATENATE($A331,$B331)="CDER-ES",INDEX('CDER-ES'!$B:$B,MATCH($C331,'CDER-ES'!$A:$A,0)),
IF(CONCATENATE($A331,$B331)="ISINAPI",INDEX(ISINAPI!$B:$B,MATCH($C331,ISINAPI!$A:$A,0)),
IF(CONCATENATE($A331,$B331)="CSINAPI",INDEX(CSINAPI!$B:$B,MATCH($C331,CSINAPI!$A:$A,0)),
IF(CONCATENATE($A331,$B331)="CCESAN",INDEX(CCESAN!$B:$B,MATCH($C331,CCESAN!$A:$A,0)),
IF(CONCATENATE($A331,$B331)="CSCORIO",INDEX(CSCORIO!$B:$B,MATCH($C331,CSCORIO!$A:$A,0)),
IF(CONCATENATE($A331,$B331)="MERC",INDEX(MERCADO!$B:$B,MATCH($C331,MERCADO!$A:$A,0)),
IF(CONCATENATE($A331,$B331)="CCOMP",INDEX(COMPOSICAO!$B:$B,MATCH($C331,COMPOSICAO!$A:$A,0)),""
))))))))),"*Verificar código*"))</f>
        <v>Instalação De Vidro Liso, E = 4 Mm, Em Esquadria De Madeira, Fixado Com Baguete. Af_01/2021</v>
      </c>
      <c r="E331" s="143" t="str">
        <f>LOWER(IFERROR(
IF(CONCATENATE($A331,$B331)="IDER-ES",INDEX('IDER-ES'!$C:$C,MATCH($C331,'IDER-ES'!$A:$A,0)),
IF(CONCATENATE($A331,$B331)="CIOPES",INDEX('CDER-ES'!$C:$C,MATCH($C331,'CDER-ES'!$A:$A,0)),
IF(CONCATENATE($A331,$B331)="ISINAPI",INDEX(ISINAPI!$C:$C,MATCH($C331,ISINAPI!$A:$A,0)),
IF(CONCATENATE($A331,$B331)="CSINAPI",INDEX(CSINAPI!$C:$C,MATCH($C331,CSINAPI!$A:$A,0)),
IF(CONCATENATE($A331,$B331)="CCESAN",INDEX(CCESAN!$C:$C,MATCH($C331,CCESAN!$A:$A,0)),
IF(CONCATENATE($A331,$B331)="CSCORIO",INDEX(CSCORIO!$C:$C,MATCH($C331,CSCORIO!$A:$A,0)),
IF(CONCATENATE($A331,$B331)="MERC",INDEX(MERCADO!$D:$D,MATCH($C331,MERCADO!$A:$A,0)),
IF(CONCATENATE($A331,$B331)="CCOMP",INDEX(COMPOSICAO!$H:$H,MATCH($C331,COMPOSICAO!$A:$A,0)),""
)))))))),""))</f>
        <v>m²</v>
      </c>
      <c r="F331" s="182">
        <f>0.3*0.3*4</f>
        <v>0.36</v>
      </c>
      <c r="G331" s="284">
        <f>(IFERROR(
IF(CONCATENATE($A331,$B331)="IDER-ES",INDEX('IDER-ES'!$D:$D,MATCH($C331,'IDER-ES'!$A:$A,0)),
IF(CONCATENATE($A331,$B331)="CIOPES",INDEX('CDER-ES'!$D:$D,MATCH($C331,'CDER-ES'!$A:$A,0)),
IF(CONCATENATE($A331,$B331)="ISINAPI",INDEX(ISINAPI!$E:$E,MATCH($C331,ISINAPI!$A:$A,0)),
IF(CONCATENATE($A331,$B331)="CSINAPI",INDEX(CSINAPI!$D:$D,MATCH($C331,CSINAPI!$A:$A,0)),
IF(CONCATENATE($A331,$B331)="CCESAN",INDEX(CCESAN!$D:$D,MATCH($C331,CCESAN!$A:$A,0)),
IF(CONCATENATE($A331,$B331)="CSCORIO",INDEX(CSCORIO!$D:$D,MATCH($C331,CSCORIO!$A:$A,0)),
IF(CONCATENATE($A331,$B331)="MERC",INDEX(MERCADO!$E:$E,MATCH($C331,MERCADO!$A:$A,0)),
IF(CONCATENATE($A331,$B331)="CCOMP",INDEX(COMPOSICAO!$H:$H,MATCH($C331,COMPOSICAO!$A:$A,0)),""
)))))))),""))</f>
        <v>254.91</v>
      </c>
      <c r="H331" s="284">
        <f t="shared" si="55"/>
        <v>91.77</v>
      </c>
    </row>
    <row r="332" spans="1:8" ht="63.75">
      <c r="A332" s="141" t="s">
        <v>26621</v>
      </c>
      <c r="B332" s="141" t="s">
        <v>1019</v>
      </c>
      <c r="C332" s="141">
        <v>3119</v>
      </c>
      <c r="D332" s="142" t="str">
        <f>PROPER(IFERROR(
IF(C332="","",
IF(CONCATENATE($A332,$B332)="IDER-ES",INDEX('IDER-ES'!$B:$B,MATCH($C332,'IDER-ES'!$A:$A,0)),
IF(CONCATENATE($A332,$B332)="CDER-ES",INDEX('CDER-ES'!$B:$B,MATCH($C332,'CDER-ES'!$A:$A,0)),
IF(CONCATENATE($A332,$B332)="ISINAPI",INDEX(ISINAPI!$B:$B,MATCH($C332,ISINAPI!$A:$A,0)),
IF(CONCATENATE($A332,$B332)="CSINAPI",INDEX(CSINAPI!$B:$B,MATCH($C332,CSINAPI!$A:$A,0)),
IF(CONCATENATE($A332,$B332)="CCESAN",INDEX(CCESAN!$B:$B,MATCH($C332,CCESAN!$A:$A,0)),
IF(CONCATENATE($A332,$B332)="CSCORIO",INDEX(CSCORIO!#REF!,MATCH($C332,CSCORIO!#REF!,0)),
IF(CONCATENATE($A332,$B332)="MERC",INDEX(MERCADO!$B:$B,MATCH($C332,MERCADO!$A:$A,0)),
IF(CONCATENATE($A332,$B332)="CCOMP",INDEX(COMPOSICAO!$B:$B,MATCH($C332,COMPOSICAO!$A:$A,0)),""
))))))))),"*Verificar código*"))</f>
        <v xml:space="preserve">Ferrolho Com Fecho / Trinco Redondo, Em Aco Galvanizado / Zincado, De Sobrepor, Com Comprimento De 2" E Espessura Minima Da Chapa De 0,90 Mm, Para Portas E Janelas                                                                                                                                                                                                                                                                                                                                       </v>
      </c>
      <c r="E332" s="143" t="str">
        <f>LOWER(IFERROR(
IF(CONCATENATE($A332,$B332)="IDER-ES",INDEX('IDER-ES'!$C:$C,MATCH($C332,'IDER-ES'!$A:$A,0)),
IF(CONCATENATE($A332,$B332)="CIOPES",INDEX('CDER-ES'!$C:$C,MATCH($C332,'CDER-ES'!$A:$A,0)),
IF(CONCATENATE($A332,$B332)="ISINAPI",INDEX(ISINAPI!$C:$C,MATCH($C332,ISINAPI!$A:$A,0)),
IF(CONCATENATE($A332,$B332)="CSINAPI",INDEX(CSINAPI!$C:$C,MATCH($C332,CSINAPI!$A:$A,0)),
IF(CONCATENATE($A332,$B332)="CCESAN",INDEX(CCESAN!$C:$C,MATCH($C332,CCESAN!$A:$A,0)),
IF(CONCATENATE($A332,$B332)="CSCORIO",INDEX(CSCORIO!$A:$A,MATCH($C332,CSCORIO!#REF!,0)),
IF(CONCATENATE($A332,$B332)="MERC",INDEX(MERCADO!$D:$D,MATCH($C332,MERCADO!$A:$A,0)),
IF(CONCATENATE($A332,$B332)="CCOMP",INDEX(COMPOSICAO!$H:$H,MATCH($C332,COMPOSICAO!$A:$A,0)),""
)))))))),""))</f>
        <v xml:space="preserve">un    </v>
      </c>
      <c r="F332" s="182">
        <f>4+2</f>
        <v>6</v>
      </c>
      <c r="G332" s="144">
        <f>(IFERROR(
IF(CONCATENATE($A332,$B332)="IDER-ES",INDEX('IDER-ES'!$D:$D,MATCH($C332,'IDER-ES'!$A:$A,0)),
IF(CONCATENATE($A332,$B332)="CIOPES",INDEX('CDER-ES'!$D:$D,MATCH($C332,'CDER-ES'!$A:$A,0)),
IF(CONCATENATE($A332,$B332)="ISINAPI",INDEX(ISINAPI!$E:$E,MATCH($C332,ISINAPI!$A:$A,0)),
IF(CONCATENATE($A332,$B332)="CSINAPI",INDEX(CSINAPI!$D:$D,MATCH($C332,CSINAPI!$A:$A,0)),
IF(CONCATENATE($A332,$B332)="CCESAN",INDEX(CCESAN!$D:$D,MATCH($C332,CCESAN!$A:$A,0)),
IF(CONCATENATE($A332,$B332)="CSCORIO",INDEX(CSCORIO!$B:$B,MATCH($C332,CSCORIO!#REF!,0)),
IF(CONCATENATE($A332,$B332)="MERC",INDEX(MERCADO!$E:$E,MATCH($C332,MERCADO!$A:$A,0)),
IF(CONCATENATE($A332,$B332)="CCOMP",INDEX(COMPOSICAO!$H:$H,MATCH($C332,COMPOSICAO!$A:$A,0)),""
)))))))),""))</f>
        <v>2.37</v>
      </c>
      <c r="H332" s="144">
        <f t="shared" si="55"/>
        <v>14.22</v>
      </c>
    </row>
    <row r="333" spans="1:8" ht="25.5">
      <c r="A333" s="141" t="s">
        <v>21960</v>
      </c>
      <c r="B333" s="141" t="s">
        <v>1019</v>
      </c>
      <c r="C333" s="141">
        <v>102193</v>
      </c>
      <c r="D333" s="142" t="str">
        <f>PROPER(IFERROR(
IF(C333="","",
IF(CONCATENATE($A333,$B333)="IDER-ES",INDEX('IDER-ES'!$B:$B,MATCH($C333,'IDER-ES'!$A:$A,0)),
IF(CONCATENATE($A333,$B333)="CDER-ES",INDEX('CDER-ES'!$B:$B,MATCH($C333,'CDER-ES'!$A:$A,0)),
IF(CONCATENATE($A333,$B333)="ISINAPI",INDEX(ISINAPI!$B:$B,MATCH($C333,ISINAPI!$A:$A,0)),
IF(CONCATENATE($A333,$B333)="CSINAPI",INDEX(CSINAPI!$B:$B,MATCH($C333,CSINAPI!$A:$A,0)),
IF(CONCATENATE($A333,$B333)="CCESAN",INDEX(CCESAN!$B:$B,MATCH($C333,CCESAN!$A:$A,0)),
IF(CONCATENATE($A333,$B333)="CSCORIO",INDEX(CSCORIO!#REF!,MATCH($C333,CSCORIO!#REF!,0)),
IF(CONCATENATE($A333,$B333)="MERC",INDEX(MERCADO!$B:$B,MATCH($C333,MERCADO!$A:$A,0)),
IF(CONCATENATE($A333,$B333)="CCOMP",INDEX(COMPOSICAO!$B:$B,MATCH($C333,COMPOSICAO!$A:$A,0)),""
))))))))),"*Verificar código*"))</f>
        <v>Lixamento De Madeira Para Aplicação De Fundo Ou Pintura. Af_01/2021</v>
      </c>
      <c r="E333" s="143" t="str">
        <f>LOWER(IFERROR(
IF(CONCATENATE($A333,$B333)="IDER-ES",INDEX('IDER-ES'!$C:$C,MATCH($C333,'IDER-ES'!$A:$A,0)),
IF(CONCATENATE($A333,$B333)="CIOPES",INDEX('CDER-ES'!$C:$C,MATCH($C333,'CDER-ES'!$A:$A,0)),
IF(CONCATENATE($A333,$B333)="ISINAPI",INDEX(ISINAPI!$C:$C,MATCH($C333,ISINAPI!$A:$A,0)),
IF(CONCATENATE($A333,$B333)="CSINAPI",INDEX(CSINAPI!$C:$C,MATCH($C333,CSINAPI!$A:$A,0)),
IF(CONCATENATE($A333,$B333)="CCESAN",INDEX(CCESAN!$C:$C,MATCH($C333,CCESAN!$A:$A,0)),
IF(CONCATENATE($A333,$B333)="CSCORIO",INDEX(CSCORIO!$A:$A,MATCH($C333,CSCORIO!#REF!,0)),
IF(CONCATENATE($A333,$B333)="MERC",INDEX(MERCADO!$D:$D,MATCH($C333,MERCADO!$A:$A,0)),
IF(CONCATENATE($A333,$B333)="CCOMP",INDEX(COMPOSICAO!$H:$H,MATCH($C333,COMPOSICAO!$A:$A,0)),""
)))))))),""))</f>
        <v>m²</v>
      </c>
      <c r="F333" s="182">
        <f>(1.7*2.5*3)+(0.5*1.7*2.5)</f>
        <v>14.875</v>
      </c>
      <c r="G333" s="144">
        <f>(IFERROR(
IF(CONCATENATE($A333,$B333)="IDER-ES",INDEX('IDER-ES'!$D:$D,MATCH($C333,'IDER-ES'!$A:$A,0)),
IF(CONCATENATE($A333,$B333)="CIOPES",INDEX('CDER-ES'!$D:$D,MATCH($C333,'CDER-ES'!$A:$A,0)),
IF(CONCATENATE($A333,$B333)="ISINAPI",INDEX(ISINAPI!$E:$E,MATCH($C333,ISINAPI!$A:$A,0)),
IF(CONCATENATE($A333,$B333)="CSINAPI",INDEX(CSINAPI!$D:$D,MATCH($C333,CSINAPI!$A:$A,0)),
IF(CONCATENATE($A333,$B333)="CCESAN",INDEX(CCESAN!$D:$D,MATCH($C333,CCESAN!$A:$A,0)),
IF(CONCATENATE($A333,$B333)="CSCORIO",INDEX(CSCORIO!$B:$B,MATCH($C333,CSCORIO!#REF!,0)),
IF(CONCATENATE($A333,$B333)="MERC",INDEX(MERCADO!$E:$E,MATCH($C333,MERCADO!$A:$A,0)),
IF(CONCATENATE($A333,$B333)="CCOMP",INDEX(COMPOSICAO!$H:$H,MATCH($C333,COMPOSICAO!$A:$A,0)),""
)))))))),""))</f>
        <v>2.0499999999999998</v>
      </c>
      <c r="H333" s="144">
        <f t="shared" si="55"/>
        <v>30.49</v>
      </c>
    </row>
    <row r="334" spans="1:8" ht="51">
      <c r="A334" s="141" t="s">
        <v>21960</v>
      </c>
      <c r="B334" s="141" t="s">
        <v>26583</v>
      </c>
      <c r="C334" s="141">
        <v>190301</v>
      </c>
      <c r="D334" s="142" t="str">
        <f>PROPER(IFERROR(
IF(C334="","",
IF(CONCATENATE($A334,$B334)="IDER-ES",INDEX('IDER-ES'!$B:$B,MATCH($C334,'IDER-ES'!$A:$A,0)),
IF(CONCATENATE($A334,$B334)="CDER-ES",INDEX('CDER-ES'!$B:$B,MATCH($C334,'CDER-ES'!$A:$A,0)),
IF(CONCATENATE($A334,$B334)="ISINAPI",INDEX(ISINAPI!$B:$B,MATCH($C334,ISINAPI!$A:$A,0)),
IF(CONCATENATE($A334,$B334)="CSINAPI",INDEX(CSINAPI!$B:$B,MATCH($C334,CSINAPI!$A:$A,0)),
IF(CONCATENATE($A334,$B334)="CCESAN",INDEX(CCESAN!$B:$B,MATCH($C334,CCESAN!$A:$A,0)),
IF(CONCATENATE($A334,$B334)="CSCORIO",INDEX(CSCORIO!$B:$B,MATCH($C334,CSCORIO!$A:$A,0)),
IF(CONCATENATE($A334,$B334)="MERC",INDEX(MERCADO!$B:$B,MATCH($C334,MERCADO!$A:$A,0)),
IF(CONCATENATE($A334,$B334)="CCOMP",INDEX(COMPOSICAO!$B:$B,MATCH($C334,COMPOSICAO!$A:$A,0)),""
))))))))),"*Verificar código*"))</f>
        <v>Emassamento De Esquadrias De Madeira, Com Duas Demãos De Massa À Base De Óleo, Marcas De Referência Suvinil, Coral Ou Metalatex</v>
      </c>
      <c r="E334" s="143" t="str">
        <f>LOWER(IFERROR(
IF(CONCATENATE($A334,$B334)="IDER-ES",INDEX('IDER-ES'!$C:$C,MATCH($C334,'IDER-ES'!$A:$A,0)),
IF(CONCATENATE($A334,$B334)="CDER-ES",INDEX('CDER-ES'!$C:$C,MATCH($C334,'CDER-ES'!$A:$A,0)),
IF(CONCATENATE($A334,$B334)="ISINAPI",INDEX(ISINAPI!$C:$C,MATCH($C334,ISINAPI!$A:$A,0)),
IF(CONCATENATE($A334,$B334)="CSINAPI",INDEX(CSINAPI!$C:$C,MATCH($C334,CSINAPI!$A:$A,0)),
IF(CONCATENATE($A334,$B334)="CCESAN",INDEX(CCESAN!$C:$C,MATCH($C334,CCESAN!$A:$A,0)),
IF(CONCATENATE($A334,$B334)="CSCORIO",INDEX(CSCORIO!$A:$A,MATCH($C334,CSCORIO!$A:$A,0)),
IF(CONCATENATE($A334,$B334)="MERC",INDEX(MERCADO!$D:$D,MATCH($C334,MERCADO!$A:$A,0)),
IF(CONCATENATE($A334,$B334)="CCOMP",INDEX(COMPOSICAO!$H:$H,MATCH($C334,COMPOSICAO!$A:$A,0)),""
)))))))),""))</f>
        <v>m²</v>
      </c>
      <c r="F334" s="182">
        <f>F333</f>
        <v>14.875</v>
      </c>
      <c r="G334" s="144">
        <f>(IFERROR(
IF(CONCATENATE($A334,$B334)="IDER-ES",INDEX('IDER-ES'!$D:$D,MATCH($C334,'IDER-ES'!$A:$A,0)),
IF(CONCATENATE($A334,$B334)="CDER-ES",INDEX('CDER-ES'!$D:$D,MATCH($C334,'CDER-ES'!$A:$A,0)),
IF(CONCATENATE($A334,$B334)="ISINAPI",INDEX(ISINAPI!$E:$E,MATCH($C334,ISINAPI!$A:$A,0)),
IF(CONCATENATE($A334,$B334)="CSINAPI",INDEX(CSINAPI!$D:$D,MATCH($C334,CSINAPI!$A:$A,0)),
IF(CONCATENATE($A334,$B334)="CCESAN",INDEX(CCESAN!$D:$D,MATCH($C334,CCESAN!$A:$A,0)),
IF(CONCATENATE($A334,$B334)="CSCORIO",INDEX(CSCORIO!$B:$B,MATCH($C334,CSCORIO!#REF!,0)),
IF(CONCATENATE($A334,$B334)="MERC",INDEX(MERCADO!$E:$E,MATCH($C334,MERCADO!$A:$A,0)),
IF(CONCATENATE($A334,$B334)="CCOMP",INDEX(COMPOSICAO!$H:$H,MATCH($C334,COMPOSICAO!$A:$A,0)),""
)))))))),""))</f>
        <v>18.899999999999999</v>
      </c>
      <c r="H334" s="144">
        <f t="shared" si="55"/>
        <v>281.14</v>
      </c>
    </row>
    <row r="335" spans="1:8" ht="51">
      <c r="A335" s="141" t="s">
        <v>21960</v>
      </c>
      <c r="B335" s="141" t="s">
        <v>26583</v>
      </c>
      <c r="C335" s="141">
        <v>190302</v>
      </c>
      <c r="D335" s="142" t="str">
        <f>PROPER(IFERROR(
IF(C335="","",
IF(CONCATENATE($A335,$B335)="IDER-ES",INDEX('IDER-ES'!$B:$B,MATCH($C335,'IDER-ES'!$A:$A,0)),
IF(CONCATENATE($A335,$B335)="CDER-ES",INDEX('CDER-ES'!$B:$B,MATCH($C335,'CDER-ES'!$A:$A,0)),
IF(CONCATENATE($A335,$B335)="ISINAPI",INDEX(ISINAPI!$B:$B,MATCH($C335,ISINAPI!$A:$A,0)),
IF(CONCATENATE($A335,$B335)="CSINAPI",INDEX(CSINAPI!$B:$B,MATCH($C335,CSINAPI!$A:$A,0)),
IF(CONCATENATE($A335,$B335)="CCESAN",INDEX(CCESAN!$B:$B,MATCH($C335,CCESAN!$A:$A,0)),
IF(CONCATENATE($A335,$B335)="CSCORIO",INDEX(CSCORIO!$B:$B,MATCH($C335,CSCORIO!$A:$A,0)),
IF(CONCATENATE($A335,$B335)="MERC",INDEX(MERCADO!$B:$B,MATCH($C335,MERCADO!$A:$A,0)),
IF(CONCATENATE($A335,$B335)="CCOMP",INDEX(COMPOSICAO!$B:$B,MATCH($C335,COMPOSICAO!$A:$A,0)),""
))))))))),"*Verificar código*"))</f>
        <v>Pintura Com Tinta Esmalte Sintético, Marcas De Referência Suvinil, Coral Ou Metalatex, Inclusive Fundo Branco Nivelador, Em Madeira, A Duas Demãos</v>
      </c>
      <c r="E335" s="143" t="str">
        <f>LOWER(IFERROR(
IF(CONCATENATE($A335,$B335)="IDER-ES",INDEX('IDER-ES'!$C:$C,MATCH($C335,'IDER-ES'!$A:$A,0)),
IF(CONCATENATE($A335,$B335)="CDER-ES",INDEX('CDER-ES'!$C:$C,MATCH($C335,'CDER-ES'!$A:$A,0)),
IF(CONCATENATE($A335,$B335)="ISINAPI",INDEX(ISINAPI!$C:$C,MATCH($C335,ISINAPI!$A:$A,0)),
IF(CONCATENATE($A335,$B335)="CSINAPI",INDEX(CSINAPI!$C:$C,MATCH($C335,CSINAPI!$A:$A,0)),
IF(CONCATENATE($A335,$B335)="CCESAN",INDEX(CCESAN!$C:$C,MATCH($C335,CCESAN!$A:$A,0)),
IF(CONCATENATE($A335,$B335)="CSCORIO",INDEX(CSCORIO!$A:$A,MATCH($C335,CSCORIO!$A:$A,0)),
IF(CONCATENATE($A335,$B335)="MERC",INDEX(MERCADO!$D:$D,MATCH($C335,MERCADO!$A:$A,0)),
IF(CONCATENATE($A335,$B335)="CCOMP",INDEX(COMPOSICAO!$H:$H,MATCH($C335,COMPOSICAO!$A:$A,0)),""
)))))))),""))</f>
        <v>m²</v>
      </c>
      <c r="F335" s="182">
        <f>F333</f>
        <v>14.875</v>
      </c>
      <c r="G335" s="144">
        <f>(IFERROR(
IF(CONCATENATE($A335,$B335)="IDER-ES",INDEX('IDER-ES'!$D:$D,MATCH($C335,'IDER-ES'!$A:$A,0)),
IF(CONCATENATE($A335,$B335)="CDER-ES",INDEX('CDER-ES'!$D:$D,MATCH($C335,'CDER-ES'!$A:$A,0)),
IF(CONCATENATE($A335,$B335)="ISINAPI",INDEX(ISINAPI!$E:$E,MATCH($C335,ISINAPI!$A:$A,0)),
IF(CONCATENATE($A335,$B335)="CSINAPI",INDEX(CSINAPI!$D:$D,MATCH($C335,CSINAPI!$A:$A,0)),
IF(CONCATENATE($A335,$B335)="CCESAN",INDEX(CCESAN!$D:$D,MATCH($C335,CCESAN!$A:$A,0)),
IF(CONCATENATE($A335,$B335)="CSCORIO",INDEX(CSCORIO!$B:$B,MATCH($C335,CSCORIO!#REF!,0)),
IF(CONCATENATE($A335,$B335)="MERC",INDEX(MERCADO!$E:$E,MATCH($C335,MERCADO!$A:$A,0)),
IF(CONCATENATE($A335,$B335)="CCOMP",INDEX(COMPOSICAO!$H:$H,MATCH($C335,COMPOSICAO!$A:$A,0)),""
)))))))),""))</f>
        <v>22.64</v>
      </c>
      <c r="H335" s="144">
        <f t="shared" si="55"/>
        <v>336.77</v>
      </c>
    </row>
    <row r="337" spans="1:11" s="135" customFormat="1" ht="20.100000000000001" customHeight="1">
      <c r="A337" s="186" t="s">
        <v>1020</v>
      </c>
      <c r="B337" s="405" t="s">
        <v>1022</v>
      </c>
      <c r="C337" s="406"/>
      <c r="D337" s="406"/>
      <c r="E337" s="406"/>
      <c r="F337" s="407"/>
      <c r="G337" s="133" t="s">
        <v>19692</v>
      </c>
      <c r="H337" s="134" t="s">
        <v>19678</v>
      </c>
      <c r="I337" s="263"/>
    </row>
    <row r="338" spans="1:11" ht="75" customHeight="1">
      <c r="A338" s="136">
        <f>COUNTIF($A$4:$A337,$A$4)</f>
        <v>30</v>
      </c>
      <c r="B338" s="408" t="s">
        <v>29131</v>
      </c>
      <c r="C338" s="409"/>
      <c r="D338" s="409"/>
      <c r="E338" s="409"/>
      <c r="F338" s="410"/>
      <c r="G338" s="137" t="s">
        <v>19692</v>
      </c>
      <c r="H338" s="211">
        <f>SUM(H340:H350)</f>
        <v>389.5</v>
      </c>
    </row>
    <row r="339" spans="1:11" ht="30" customHeight="1">
      <c r="A339" s="139" t="s">
        <v>1026</v>
      </c>
      <c r="B339" s="139" t="s">
        <v>1027</v>
      </c>
      <c r="C339" s="139" t="s">
        <v>31</v>
      </c>
      <c r="D339" s="139" t="s">
        <v>1023</v>
      </c>
      <c r="E339" s="139" t="s">
        <v>32</v>
      </c>
      <c r="F339" s="183" t="s">
        <v>2343</v>
      </c>
      <c r="G339" s="140" t="s">
        <v>19676</v>
      </c>
      <c r="H339" s="140" t="s">
        <v>19677</v>
      </c>
    </row>
    <row r="340" spans="1:11" ht="25.5">
      <c r="A340" s="141" t="s">
        <v>26621</v>
      </c>
      <c r="B340" s="141" t="s">
        <v>1019</v>
      </c>
      <c r="C340" s="141">
        <v>555</v>
      </c>
      <c r="D340" s="142" t="str">
        <f>PROPER(IFERROR(
IF(C340="","",
IF(CONCATENATE($A340,$B340)="IDER-ES",INDEX('IDER-ES'!$B:$B,MATCH($C340,'IDER-ES'!$A:$A,0)),
IF(CONCATENATE($A340,$B340)="CDER-ES",INDEX('CDER-ES'!$B:$B,MATCH($C340,'CDER-ES'!$A:$A,0)),
IF(CONCATENATE($A340,$B340)="ISINAPI",INDEX(ISINAPI!$B:$B,MATCH($C340,ISINAPI!$A:$A,0)),
IF(CONCATENATE($A340,$B340)="CSINAPI",INDEX(CSINAPI!$B:$B,MATCH($C340,CSINAPI!$A:$A,0)),
IF(CONCATENATE($A340,$B340)="CCESAN",INDEX(CCESAN!$B:$B,MATCH($C340,CCESAN!$A:$A,0)),
IF(CONCATENATE($A340,$B340)="CSCORIO",INDEX(CSCORIO!#REF!,MATCH($C340,CSCORIO!#REF!,0)),
IF(CONCATENATE($A340,$B340)="MERC",INDEX(MERCADO!$B:$B,MATCH($C340,MERCADO!$A:$A,0)),
IF(CONCATENATE($A340,$B340)="CCOMP",INDEX(COMPOSICAO!$B:$B,MATCH($C340,COMPOSICAO!$A:$A,0)),""
))))))))),"*Verificar código*"))</f>
        <v xml:space="preserve">Barra De Ferro Chato, Retangular, 25,4 Mm X 6,35 Mm (L X E), 1,2265 Kg/M                                                                                                                                                                                                                                                                                                                                                                                                                                  </v>
      </c>
      <c r="E340" s="143" t="str">
        <f>LOWER(IFERROR(
IF(CONCATENATE($A340,$B340)="IDER-ES",INDEX('IDER-ES'!$C:$C,MATCH($C340,'IDER-ES'!$A:$A,0)),
IF(CONCATENATE($A340,$B340)="CIOPES",INDEX('CDER-ES'!$C:$C,MATCH($C340,'CDER-ES'!$A:$A,0)),
IF(CONCATENATE($A340,$B340)="ISINAPI",INDEX(ISINAPI!$C:$C,MATCH($C340,ISINAPI!$A:$A,0)),
IF(CONCATENATE($A340,$B340)="CSINAPI",INDEX(CSINAPI!$C:$C,MATCH($C340,CSINAPI!$A:$A,0)),
IF(CONCATENATE($A340,$B340)="CCESAN",INDEX(CCESAN!$C:$C,MATCH($C340,CCESAN!$A:$A,0)),
IF(CONCATENATE($A340,$B340)="CSCORIO",INDEX(CSCORIO!$A:$A,MATCH($C340,CSCORIO!#REF!,0)),
IF(CONCATENATE($A340,$B340)="MERC",INDEX(MERCADO!$D:$D,MATCH($C340,MERCADO!$A:$A,0)),
IF(CONCATENATE($A340,$B340)="CCOMP",INDEX(COMPOSICAO!$H:$H,MATCH($C340,COMPOSICAO!$A:$A,0)),""
)))))))),""))</f>
        <v xml:space="preserve">m     </v>
      </c>
      <c r="F340" s="182">
        <f>(1.4+0.6)*2+10*0.1</f>
        <v>5</v>
      </c>
      <c r="G340" s="144">
        <f>(IFERROR(
IF(CONCATENATE($A340,$B340)="IDER-ES",INDEX('IDER-ES'!$D:$D,MATCH($C340,'IDER-ES'!$A:$A,0)),
IF(CONCATENATE($A340,$B340)="CIOPES",INDEX('CDER-ES'!$D:$D,MATCH($C340,'CDER-ES'!$A:$A,0)),
IF(CONCATENATE($A340,$B340)="ISINAPI",INDEX(ISINAPI!$E:$E,MATCH($C340,ISINAPI!$A:$A,0)),
IF(CONCATENATE($A340,$B340)="CSINAPI",INDEX(CSINAPI!$D:$D,MATCH($C340,CSINAPI!$A:$A,0)),
IF(CONCATENATE($A340,$B340)="CCESAN",INDEX(CCESAN!$D:$D,MATCH($C340,CCESAN!$A:$A,0)),
IF(CONCATENATE($A340,$B340)="CSCORIO",INDEX(CSCORIO!$B:$B,MATCH($C340,CSCORIO!#REF!,0)),
IF(CONCATENATE($A340,$B340)="MERC",INDEX(MERCADO!$E:$E,MATCH($C340,MERCADO!$A:$A,0)),
IF(CONCATENATE($A340,$B340)="CCOMP",INDEX(COMPOSICAO!$H:$H,MATCH($C340,COMPOSICAO!$A:$A,0)),""
)))))))),""))</f>
        <v>15.95</v>
      </c>
      <c r="H340" s="144">
        <f t="shared" ref="H340:H350" si="56">IF(B340="","",ROUND(G340*F340,2))</f>
        <v>79.75</v>
      </c>
      <c r="I340" s="277"/>
      <c r="J340" s="277">
        <f>H340+H341</f>
        <v>171.86</v>
      </c>
    </row>
    <row r="341" spans="1:11" ht="25.5">
      <c r="A341" s="141" t="s">
        <v>26621</v>
      </c>
      <c r="B341" s="141" t="s">
        <v>1019</v>
      </c>
      <c r="C341" s="141">
        <v>546</v>
      </c>
      <c r="D341" s="142" t="str">
        <f>PROPER(IFERROR(
IF(C341="","",
IF(CONCATENATE($A341,$B341)="IDER-ES",INDEX('IDER-ES'!$B:$B,MATCH($C341,'IDER-ES'!$A:$A,0)),
IF(CONCATENATE($A341,$B341)="CDER-ES",INDEX('CDER-ES'!$B:$B,MATCH($C341,'CDER-ES'!$A:$A,0)),
IF(CONCATENATE($A341,$B341)="ISINAPI",INDEX(ISINAPI!$B:$B,MATCH($C341,ISINAPI!$A:$A,0)),
IF(CONCATENATE($A341,$B341)="CSINAPI",INDEX(CSINAPI!$B:$B,MATCH($C341,CSINAPI!$A:$A,0)),
IF(CONCATENATE($A341,$B341)="CCESAN",INDEX(CCESAN!$B:$B,MATCH($C341,CCESAN!$A:$A,0)),
IF(CONCATENATE($A341,$B341)="CSCORIO",INDEX(CSCORIO!#REF!,MATCH($C341,CSCORIO!#REF!,0)),
IF(CONCATENATE($A341,$B341)="MERC",INDEX(MERCADO!$B:$B,MATCH($C341,MERCADO!$A:$A,0)),
IF(CONCATENATE($A341,$B341)="CCOMP",INDEX(COMPOSICAO!$B:$B,MATCH($C341,COMPOSICAO!$A:$A,0)),""
))))))))),"*Verificar código*"))</f>
        <v xml:space="preserve">Barra De Ferro Chata, Retangular (Qualquer Bitola)                                                                                                                                                                                                                                                                                                                                                                                                                                                        </v>
      </c>
      <c r="E341" s="143" t="str">
        <f>LOWER(IFERROR(
IF(CONCATENATE($A341,$B341)="IDER-ES",INDEX('IDER-ES'!$C:$C,MATCH($C341,'IDER-ES'!$A:$A,0)),
IF(CONCATENATE($A341,$B341)="CIOPES",INDEX('CDER-ES'!$C:$C,MATCH($C341,'CDER-ES'!$A:$A,0)),
IF(CONCATENATE($A341,$B341)="ISINAPI",INDEX(ISINAPI!$C:$C,MATCH($C341,ISINAPI!$A:$A,0)),
IF(CONCATENATE($A341,$B341)="CSINAPI",INDEX(CSINAPI!$C:$C,MATCH($C341,CSINAPI!$A:$A,0)),
IF(CONCATENATE($A341,$B341)="CCESAN",INDEX(CCESAN!$C:$C,MATCH($C341,CCESAN!$A:$A,0)),
IF(CONCATENATE($A341,$B341)="CSCORIO",INDEX(CSCORIO!$A:$A,MATCH($C341,CSCORIO!#REF!,0)),
IF(CONCATENATE($A341,$B341)="MERC",INDEX(MERCADO!$D:$D,MATCH($C341,MERCADO!$A:$A,0)),
IF(CONCATENATE($A341,$B341)="CCOMP",INDEX(COMPOSICAO!$H:$H,MATCH($C341,COMPOSICAO!$A:$A,0)),""
)))))))),""))</f>
        <v xml:space="preserve">kg    </v>
      </c>
      <c r="F341" s="182">
        <f>0.59*12</f>
        <v>7.08</v>
      </c>
      <c r="G341" s="144">
        <f>(IFERROR(
IF(CONCATENATE($A341,$B341)="IDER-ES",INDEX('IDER-ES'!$D:$D,MATCH($C341,'IDER-ES'!$A:$A,0)),
IF(CONCATENATE($A341,$B341)="CIOPES",INDEX('CDER-ES'!$D:$D,MATCH($C341,'CDER-ES'!$A:$A,0)),
IF(CONCATENATE($A341,$B341)="ISINAPI",INDEX(ISINAPI!$E:$E,MATCH($C341,ISINAPI!$A:$A,0)),
IF(CONCATENATE($A341,$B341)="CSINAPI",INDEX(CSINAPI!$D:$D,MATCH($C341,CSINAPI!$A:$A,0)),
IF(CONCATENATE($A341,$B341)="CCESAN",INDEX(CCESAN!$D:$D,MATCH($C341,CCESAN!$A:$A,0)),
IF(CONCATENATE($A341,$B341)="CSCORIO",INDEX(CSCORIO!$B:$B,MATCH($C341,CSCORIO!#REF!,0)),
IF(CONCATENATE($A341,$B341)="MERC",INDEX(MERCADO!$E:$E,MATCH($C341,MERCADO!$A:$A,0)),
IF(CONCATENATE($A341,$B341)="CCOMP",INDEX(COMPOSICAO!$H:$H,MATCH($C341,COMPOSICAO!$A:$A,0)),""
)))))))),""))</f>
        <v>13.01</v>
      </c>
      <c r="H341" s="144">
        <f t="shared" si="56"/>
        <v>92.11</v>
      </c>
      <c r="I341" s="278"/>
      <c r="J341" s="138">
        <f>J340*0.512</f>
        <v>87.992320000000007</v>
      </c>
    </row>
    <row r="342" spans="1:11" ht="25.5">
      <c r="A342" s="141" t="s">
        <v>26621</v>
      </c>
      <c r="B342" s="141" t="s">
        <v>1019</v>
      </c>
      <c r="C342" s="141">
        <v>10997</v>
      </c>
      <c r="D342" s="142" t="str">
        <f>PROPER(IFERROR(
IF(C342="","",
IF(CONCATENATE($A342,$B342)="IDER-ES",INDEX('IDER-ES'!$B:$B,MATCH($C342,'IDER-ES'!$A:$A,0)),
IF(CONCATENATE($A342,$B342)="CDER-ES",INDEX('CDER-ES'!$B:$B,MATCH($C342,'CDER-ES'!$A:$A,0)),
IF(CONCATENATE($A342,$B342)="ISINAPI",INDEX(ISINAPI!$B:$B,MATCH($C342,ISINAPI!$A:$A,0)),
IF(CONCATENATE($A342,$B342)="CSINAPI",INDEX(CSINAPI!$B:$B,MATCH($C342,CSINAPI!$A:$A,0)),
IF(CONCATENATE($A342,$B342)="CCESAN",INDEX(CCESAN!$B:$B,MATCH($C342,CCESAN!$A:$A,0)),
IF(CONCATENATE($A342,$B342)="CSCORIO",INDEX(CSCORIO!#REF!,MATCH($C342,CSCORIO!#REF!,0)),
IF(CONCATENATE($A342,$B342)="MERC",INDEX(MERCADO!$B:$B,MATCH($C342,MERCADO!$A:$A,0)),
IF(CONCATENATE($A342,$B342)="CCOMP",INDEX(COMPOSICAO!$B:$B,MATCH($C342,COMPOSICAO!$A:$A,0)),""
))))))))),"*Verificar código*"))</f>
        <v xml:space="preserve">Eletrodo Revestido Aws - E7018, Diametro Igual A 4,00 Mm                                                                                                                                                                                                                                                                                                                                                                                                                                                  </v>
      </c>
      <c r="E342" s="143" t="str">
        <f>LOWER(IFERROR(
IF(CONCATENATE($A342,$B342)="IDER-ES",INDEX('IDER-ES'!$C:$C,MATCH($C342,'IDER-ES'!$A:$A,0)),
IF(CONCATENATE($A342,$B342)="CIOPES",INDEX('CDER-ES'!$C:$C,MATCH($C342,'CDER-ES'!$A:$A,0)),
IF(CONCATENATE($A342,$B342)="ISINAPI",INDEX(ISINAPI!$C:$C,MATCH($C342,ISINAPI!$A:$A,0)),
IF(CONCATENATE($A342,$B342)="CSINAPI",INDEX(CSINAPI!$C:$C,MATCH($C342,CSINAPI!$A:$A,0)),
IF(CONCATENATE($A342,$B342)="CCESAN",INDEX(CCESAN!$C:$C,MATCH($C342,CCESAN!$A:$A,0)),
IF(CONCATENATE($A342,$B342)="CSCORIO",INDEX(CSCORIO!$A:$A,MATCH($C342,CSCORIO!#REF!,0)),
IF(CONCATENATE($A342,$B342)="MERC",INDEX(MERCADO!$D:$D,MATCH($C342,MERCADO!$A:$A,0)),
IF(CONCATENATE($A342,$B342)="CCOMP",INDEX(COMPOSICAO!$H:$H,MATCH($C342,COMPOSICAO!$A:$A,0)),""
)))))))),""))</f>
        <v xml:space="preserve">kg    </v>
      </c>
      <c r="F342" s="182">
        <f>(F340*1.23+F341)*0.01</f>
        <v>0.1323</v>
      </c>
      <c r="G342" s="144">
        <f>(IFERROR(
IF(CONCATENATE($A342,$B342)="IDER-ES",INDEX('IDER-ES'!$D:$D,MATCH($C342,'IDER-ES'!$A:$A,0)),
IF(CONCATENATE($A342,$B342)="CIOPES",INDEX('CDER-ES'!$D:$D,MATCH($C342,'CDER-ES'!$A:$A,0)),
IF(CONCATENATE($A342,$B342)="ISINAPI",INDEX(ISINAPI!$E:$E,MATCH($C342,ISINAPI!$A:$A,0)),
IF(CONCATENATE($A342,$B342)="CSINAPI",INDEX(CSINAPI!$D:$D,MATCH($C342,CSINAPI!$A:$A,0)),
IF(CONCATENATE($A342,$B342)="CCESAN",INDEX(CCESAN!$D:$D,MATCH($C342,CCESAN!$A:$A,0)),
IF(CONCATENATE($A342,$B342)="CSCORIO",INDEX(CSCORIO!$B:$B,MATCH($C342,CSCORIO!#REF!,0)),
IF(CONCATENATE($A342,$B342)="MERC",INDEX(MERCADO!$E:$E,MATCH($C342,MERCADO!$A:$A,0)),
IF(CONCATENATE($A342,$B342)="CCOMP",INDEX(COMPOSICAO!$H:$H,MATCH($C342,COMPOSICAO!$A:$A,0)),""
)))))))),""))</f>
        <v>30.98</v>
      </c>
      <c r="H342" s="144">
        <f t="shared" si="56"/>
        <v>4.0999999999999996</v>
      </c>
    </row>
    <row r="343" spans="1:11" ht="38.25">
      <c r="A343" s="141" t="s">
        <v>26621</v>
      </c>
      <c r="B343" s="141" t="s">
        <v>1019</v>
      </c>
      <c r="C343" s="141">
        <v>44495</v>
      </c>
      <c r="D343" s="142" t="str">
        <f>PROPER(IFERROR(
IF(C343="","",
IF(CONCATENATE($A343,$B343)="IDER-ES",INDEX('IDER-ES'!$B:$B,MATCH($C343,'IDER-ES'!$A:$A,0)),
IF(CONCATENATE($A343,$B343)="CDER-ES",INDEX('CDER-ES'!$B:$B,MATCH($C343,'CDER-ES'!$A:$A,0)),
IF(CONCATENATE($A343,$B343)="ISINAPI",INDEX(ISINAPI!$B:$B,MATCH($C343,ISINAPI!$A:$A,0)),
IF(CONCATENATE($A343,$B343)="CSINAPI",INDEX(CSINAPI!$B:$B,MATCH($C343,CSINAPI!$A:$A,0)),
IF(CONCATENATE($A343,$B343)="CCESAN",INDEX(CCESAN!$B:$B,MATCH($C343,CCESAN!$A:$A,0)),
IF(CONCATENATE($A343,$B343)="CSCORIO",INDEX(CSCORIO!#REF!,MATCH($C343,CSCORIO!#REF!,0)),
IF(CONCATENATE($A343,$B343)="MERC",INDEX(MERCADO!$B:$B,MATCH($C343,MERCADO!$A:$A,0)),
IF(CONCATENATE($A343,$B343)="CCOMP",INDEX(COMPOSICAO!$B:$B,MATCH($C343,COMPOSICAO!$A:$A,0)),""
))))))))),"*Verificar código*"))</f>
        <v xml:space="preserve">Disco De Corte Para Metal Com Duas Telas 12 X 1/8 X 3/4 "  (300 X 3,2 X 19,05 Mm)                                                                                                                                                                                                                                                                                                                                                                                                                         </v>
      </c>
      <c r="E343" s="143" t="str">
        <f>LOWER(IFERROR(
IF(CONCATENATE($A343,$B343)="IDER-ES",INDEX('IDER-ES'!$C:$C,MATCH($C343,'IDER-ES'!$A:$A,0)),
IF(CONCATENATE($A343,$B343)="CIOPES",INDEX('CDER-ES'!$C:$C,MATCH($C343,'CDER-ES'!$A:$A,0)),
IF(CONCATENATE($A343,$B343)="ISINAPI",INDEX(ISINAPI!$C:$C,MATCH($C343,ISINAPI!$A:$A,0)),
IF(CONCATENATE($A343,$B343)="CSINAPI",INDEX(CSINAPI!$C:$C,MATCH($C343,CSINAPI!$A:$A,0)),
IF(CONCATENATE($A343,$B343)="CCESAN",INDEX(CCESAN!$C:$C,MATCH($C343,CCESAN!$A:$A,0)),
IF(CONCATENATE($A343,$B343)="CSCORIO",INDEX(CSCORIO!$A:$A,MATCH($C343,CSCORIO!#REF!,0)),
IF(CONCATENATE($A343,$B343)="MERC",INDEX(MERCADO!$D:$D,MATCH($C343,MERCADO!$A:$A,0)),
IF(CONCATENATE($A343,$B343)="CCOMP",INDEX(COMPOSICAO!$H:$H,MATCH($C343,COMPOSICAO!$A:$A,0)),""
)))))))),""))</f>
        <v xml:space="preserve">un    </v>
      </c>
      <c r="F343" s="182">
        <v>0.2</v>
      </c>
      <c r="G343" s="144">
        <f>(IFERROR(
IF(CONCATENATE($A343,$B343)="IDER-ES",INDEX('IDER-ES'!$D:$D,MATCH($C343,'IDER-ES'!$A:$A,0)),
IF(CONCATENATE($A343,$B343)="CIOPES",INDEX('CDER-ES'!$D:$D,MATCH($C343,'CDER-ES'!$A:$A,0)),
IF(CONCATENATE($A343,$B343)="ISINAPI",INDEX(ISINAPI!$E:$E,MATCH($C343,ISINAPI!$A:$A,0)),
IF(CONCATENATE($A343,$B343)="CSINAPI",INDEX(CSINAPI!$D:$D,MATCH($C343,CSINAPI!$A:$A,0)),
IF(CONCATENATE($A343,$B343)="CCESAN",INDEX(CCESAN!$D:$D,MATCH($C343,CCESAN!$A:$A,0)),
IF(CONCATENATE($A343,$B343)="CSCORIO",INDEX(CSCORIO!$B:$B,MATCH($C343,CSCORIO!#REF!,0)),
IF(CONCATENATE($A343,$B343)="MERC",INDEX(MERCADO!$E:$E,MATCH($C343,MERCADO!$A:$A,0)),
IF(CONCATENATE($A343,$B343)="CCOMP",INDEX(COMPOSICAO!$H:$H,MATCH($C343,COMPOSICAO!$A:$A,0)),""
)))))))),""))</f>
        <v>17.45</v>
      </c>
      <c r="H343" s="144">
        <f t="shared" si="56"/>
        <v>3.49</v>
      </c>
    </row>
    <row r="344" spans="1:11" ht="25.5">
      <c r="A344" s="141" t="s">
        <v>21960</v>
      </c>
      <c r="B344" s="141" t="s">
        <v>1019</v>
      </c>
      <c r="C344" s="141">
        <v>88251</v>
      </c>
      <c r="D344" s="142" t="str">
        <f>PROPER(IFERROR(
IF(C344="","",
IF(CONCATENATE($A344,$B344)="IDER-ES",INDEX('IDER-ES'!$B:$B,MATCH($C344,'IDER-ES'!$A:$A,0)),
IF(CONCATENATE($A344,$B344)="CDER-ES",INDEX('CDER-ES'!$B:$B,MATCH($C344,'CDER-ES'!$A:$A,0)),
IF(CONCATENATE($A344,$B344)="ISINAPI",INDEX(ISINAPI!$B:$B,MATCH($C344,ISINAPI!$A:$A,0)),
IF(CONCATENATE($A344,$B344)="CSINAPI",INDEX(CSINAPI!$B:$B,MATCH($C344,CSINAPI!$A:$A,0)),
IF(CONCATENATE($A344,$B344)="CCESAN",INDEX(CCESAN!$B:$B,MATCH($C344,CCESAN!$A:$A,0)),
IF(CONCATENATE($A344,$B344)="CSCORIO",INDEX(CSCORIO!#REF!,MATCH($C344,CSCORIO!#REF!,0)),
IF(CONCATENATE($A344,$B344)="MERC",INDEX(MERCADO!$B:$B,MATCH($C344,MERCADO!$A:$A,0)),
IF(CONCATENATE($A344,$B344)="CCOMP",INDEX(COMPOSICAO!$B:$B,MATCH($C344,COMPOSICAO!$A:$A,0)),""
))))))))),"*Verificar código*"))</f>
        <v>Auxiliar De Serralheiro Com Encargos Complementares</v>
      </c>
      <c r="E344" s="143" t="str">
        <f>LOWER(IFERROR(
IF(CONCATENATE($A344,$B344)="IDER-ES",INDEX('IDER-ES'!$C:$C,MATCH($C344,'IDER-ES'!$A:$A,0)),
IF(CONCATENATE($A344,$B344)="CIOPES",INDEX('CDER-ES'!$C:$C,MATCH($C344,'CDER-ES'!$A:$A,0)),
IF(CONCATENATE($A344,$B344)="ISINAPI",INDEX(ISINAPI!$C:$C,MATCH($C344,ISINAPI!$A:$A,0)),
IF(CONCATENATE($A344,$B344)="CSINAPI",INDEX(CSINAPI!$C:$C,MATCH($C344,CSINAPI!$A:$A,0)),
IF(CONCATENATE($A344,$B344)="CCESAN",INDEX(CCESAN!$C:$C,MATCH($C344,CCESAN!$A:$A,0)),
IF(CONCATENATE($A344,$B344)="CSCORIO",INDEX(CSCORIO!$A:$A,MATCH($C344,CSCORIO!#REF!,0)),
IF(CONCATENATE($A344,$B344)="MERC",INDEX(MERCADO!$D:$D,MATCH($C344,MERCADO!$A:$A,0)),
IF(CONCATENATE($A344,$B344)="CCOMP",INDEX(COMPOSICAO!$H:$H,MATCH($C344,COMPOSICAO!$A:$A,0)),""
)))))))),""))</f>
        <v>h</v>
      </c>
      <c r="F344" s="182">
        <f>1.73+1</f>
        <v>2.73</v>
      </c>
      <c r="G344" s="144">
        <f>(IFERROR(
IF(CONCATENATE($A344,$B344)="IDER-ES",INDEX('IDER-ES'!$D:$D,MATCH($C344,'IDER-ES'!$A:$A,0)),
IF(CONCATENATE($A344,$B344)="CIOPES",INDEX('CDER-ES'!$D:$D,MATCH($C344,'CDER-ES'!$A:$A,0)),
IF(CONCATENATE($A344,$B344)="ISINAPI",INDEX(ISINAPI!$E:$E,MATCH($C344,ISINAPI!$A:$A,0)),
IF(CONCATENATE($A344,$B344)="CSINAPI",INDEX(CSINAPI!$D:$D,MATCH($C344,CSINAPI!$A:$A,0)),
IF(CONCATENATE($A344,$B344)="CCESAN",INDEX(CCESAN!$D:$D,MATCH($C344,CCESAN!$A:$A,0)),
IF(CONCATENATE($A344,$B344)="CSCORIO",INDEX(CSCORIO!$B:$B,MATCH($C344,CSCORIO!#REF!,0)),
IF(CONCATENATE($A344,$B344)="MERC",INDEX(MERCADO!$E:$E,MATCH($C344,MERCADO!$A:$A,0)),
IF(CONCATENATE($A344,$B344)="CCOMP",INDEX(COMPOSICAO!$H:$H,MATCH($C344,COMPOSICAO!$A:$A,0)),""
)))))))),""))</f>
        <v>20.34</v>
      </c>
      <c r="H344" s="144">
        <f t="shared" si="56"/>
        <v>55.53</v>
      </c>
      <c r="J344" s="138">
        <f>J341*0.4</f>
        <v>35.196928000000007</v>
      </c>
      <c r="K344" s="138">
        <f>J344/G344</f>
        <v>1.7304291052114065</v>
      </c>
    </row>
    <row r="345" spans="1:11" ht="25.5">
      <c r="A345" s="141" t="s">
        <v>21960</v>
      </c>
      <c r="B345" s="141" t="s">
        <v>1019</v>
      </c>
      <c r="C345" s="141">
        <v>88315</v>
      </c>
      <c r="D345" s="142" t="str">
        <f>PROPER(IFERROR(
IF(C345="","",
IF(CONCATENATE($A345,$B345)="IDER-ES",INDEX('IDER-ES'!$B:$B,MATCH($C345,'IDER-ES'!$A:$A,0)),
IF(CONCATENATE($A345,$B345)="CDER-ES",INDEX('CDER-ES'!$B:$B,MATCH($C345,'CDER-ES'!$A:$A,0)),
IF(CONCATENATE($A345,$B345)="ISINAPI",INDEX(ISINAPI!$B:$B,MATCH($C345,ISINAPI!$A:$A,0)),
IF(CONCATENATE($A345,$B345)="CSINAPI",INDEX(CSINAPI!$B:$B,MATCH($C345,CSINAPI!$A:$A,0)),
IF(CONCATENATE($A345,$B345)="CCESAN",INDEX(CCESAN!$B:$B,MATCH($C345,CCESAN!$A:$A,0)),
IF(CONCATENATE($A345,$B345)="CSCORIO",INDEX(CSCORIO!#REF!,MATCH($C345,CSCORIO!#REF!,0)),
IF(CONCATENATE($A345,$B345)="MERC",INDEX(MERCADO!$B:$B,MATCH($C345,MERCADO!$A:$A,0)),
IF(CONCATENATE($A345,$B345)="CCOMP",INDEX(COMPOSICAO!$B:$B,MATCH($C345,COMPOSICAO!$A:$A,0)),""
))))))))),"*Verificar código*"))</f>
        <v>Serralheiro Com Encargos Complementares</v>
      </c>
      <c r="E345" s="143" t="str">
        <f>LOWER(IFERROR(
IF(CONCATENATE($A345,$B345)="IDER-ES",INDEX('IDER-ES'!$C:$C,MATCH($C345,'IDER-ES'!$A:$A,0)),
IF(CONCATENATE($A345,$B345)="CIOPES",INDEX('CDER-ES'!$C:$C,MATCH($C345,'CDER-ES'!$A:$A,0)),
IF(CONCATENATE($A345,$B345)="ISINAPI",INDEX(ISINAPI!$C:$C,MATCH($C345,ISINAPI!$A:$A,0)),
IF(CONCATENATE($A345,$B345)="CSINAPI",INDEX(CSINAPI!$C:$C,MATCH($C345,CSINAPI!$A:$A,0)),
IF(CONCATENATE($A345,$B345)="CCESAN",INDEX(CCESAN!$C:$C,MATCH($C345,CCESAN!$A:$A,0)),
IF(CONCATENATE($A345,$B345)="CSCORIO",INDEX(CSCORIO!$A:$A,MATCH($C345,CSCORIO!#REF!,0)),
IF(CONCATENATE($A345,$B345)="MERC",INDEX(MERCADO!$D:$D,MATCH($C345,MERCADO!$A:$A,0)),
IF(CONCATENATE($A345,$B345)="CCOMP",INDEX(COMPOSICAO!$H:$H,MATCH($C345,COMPOSICAO!$A:$A,0)),""
)))))))),""))</f>
        <v>h</v>
      </c>
      <c r="F345" s="182">
        <f>2.1+1.5</f>
        <v>3.6</v>
      </c>
      <c r="G345" s="144">
        <f>(IFERROR(
IF(CONCATENATE($A345,$B345)="IDER-ES",INDEX('IDER-ES'!$D:$D,MATCH($C345,'IDER-ES'!$A:$A,0)),
IF(CONCATENATE($A345,$B345)="CIOPES",INDEX('CDER-ES'!$D:$D,MATCH($C345,'CDER-ES'!$A:$A,0)),
IF(CONCATENATE($A345,$B345)="ISINAPI",INDEX(ISINAPI!$E:$E,MATCH($C345,ISINAPI!$A:$A,0)),
IF(CONCATENATE($A345,$B345)="CSINAPI",INDEX(CSINAPI!$D:$D,MATCH($C345,CSINAPI!$A:$A,0)),
IF(CONCATENATE($A345,$B345)="CCESAN",INDEX(CCESAN!$D:$D,MATCH($C345,CCESAN!$A:$A,0)),
IF(CONCATENATE($A345,$B345)="CSCORIO",INDEX(CSCORIO!$B:$B,MATCH($C345,CSCORIO!#REF!,0)),
IF(CONCATENATE($A345,$B345)="MERC",INDEX(MERCADO!$E:$E,MATCH($C345,MERCADO!$A:$A,0)),
IF(CONCATENATE($A345,$B345)="CCOMP",INDEX(COMPOSICAO!$H:$H,MATCH($C345,COMPOSICAO!$A:$A,0)),""
)))))))),""))</f>
        <v>25.1</v>
      </c>
      <c r="H345" s="144">
        <f t="shared" si="56"/>
        <v>90.36</v>
      </c>
      <c r="J345" s="138">
        <f>J341*0.6</f>
        <v>52.795392</v>
      </c>
      <c r="K345" s="138">
        <f>J345/G345</f>
        <v>2.1034020717131474</v>
      </c>
    </row>
    <row r="346" spans="1:11" ht="25.5">
      <c r="A346" s="141" t="s">
        <v>21960</v>
      </c>
      <c r="B346" s="141" t="s">
        <v>1019</v>
      </c>
      <c r="C346" s="141">
        <v>100717</v>
      </c>
      <c r="D346" s="142" t="str">
        <f>PROPER(IFERROR(
IF(C346="","",
IF(CONCATENATE($A346,$B346)="IDER-ES",INDEX('IDER-ES'!$B:$B,MATCH($C346,'IDER-ES'!$A:$A,0)),
IF(CONCATENATE($A346,$B346)="CDER-ES",INDEX('CDER-ES'!$B:$B,MATCH($C346,'CDER-ES'!$A:$A,0)),
IF(CONCATENATE($A346,$B346)="ISINAPI",INDEX(ISINAPI!$B:$B,MATCH($C346,ISINAPI!$A:$A,0)),
IF(CONCATENATE($A346,$B346)="CSINAPI",INDEX(CSINAPI!$B:$B,MATCH($C346,CSINAPI!$A:$A,0)),
IF(CONCATENATE($A346,$B346)="CCESAN",INDEX(CCESAN!$B:$B,MATCH($C346,CCESAN!$A:$A,0)),
IF(CONCATENATE($A346,$B346)="CSCORIO",INDEX(CSCORIO!#REF!,MATCH($C346,CSCORIO!#REF!,0)),
IF(CONCATENATE($A346,$B346)="MERC",INDEX(MERCADO!$B:$B,MATCH($C346,MERCADO!$A:$A,0)),
IF(CONCATENATE($A346,$B346)="CCOMP",INDEX(COMPOSICAO!$B:$B,MATCH($C346,COMPOSICAO!$A:$A,0)),""
))))))))),"*Verificar código*"))</f>
        <v>Lixamento Manual Em Superfícies Metálicas Em Obra. Af_01/2020</v>
      </c>
      <c r="E346" s="143" t="str">
        <f>LOWER(IFERROR(
IF(CONCATENATE($A346,$B346)="IDER-ES",INDEX('IDER-ES'!$C:$C,MATCH($C346,'IDER-ES'!$A:$A,0)),
IF(CONCATENATE($A346,$B346)="CIOPES",INDEX('CDER-ES'!$C:$C,MATCH($C346,'CDER-ES'!$A:$A,0)),
IF(CONCATENATE($A346,$B346)="ISINAPI",INDEX(ISINAPI!$C:$C,MATCH($C346,ISINAPI!$A:$A,0)),
IF(CONCATENATE($A346,$B346)="CSINAPI",INDEX(CSINAPI!$C:$C,MATCH($C346,CSINAPI!$A:$A,0)),
IF(CONCATENATE($A346,$B346)="CCESAN",INDEX(CCESAN!$C:$C,MATCH($C346,CCESAN!$A:$A,0)),
IF(CONCATENATE($A346,$B346)="CSCORIO",INDEX(CSCORIO!$A:$A,MATCH($C346,CSCORIO!#REF!,0)),
IF(CONCATENATE($A346,$B346)="MERC",INDEX(MERCADO!$D:$D,MATCH($C346,MERCADO!$A:$A,0)),
IF(CONCATENATE($A346,$B346)="CCOMP",INDEX(COMPOSICAO!$H:$H,MATCH($C346,COMPOSICAO!$A:$A,0)),""
)))))))),""))</f>
        <v>m²</v>
      </c>
      <c r="F346" s="182">
        <f>(F340*0.05)+12*0.025</f>
        <v>0.55000000000000004</v>
      </c>
      <c r="G346" s="144">
        <f>(IFERROR(
IF(CONCATENATE($A346,$B346)="IDER-ES",INDEX('IDER-ES'!$D:$D,MATCH($C346,'IDER-ES'!$A:$A,0)),
IF(CONCATENATE($A346,$B346)="CIOPES",INDEX('CDER-ES'!$D:$D,MATCH($C346,'CDER-ES'!$A:$A,0)),
IF(CONCATENATE($A346,$B346)="ISINAPI",INDEX(ISINAPI!$E:$E,MATCH($C346,ISINAPI!$A:$A,0)),
IF(CONCATENATE($A346,$B346)="CSINAPI",INDEX(CSINAPI!$D:$D,MATCH($C346,CSINAPI!$A:$A,0)),
IF(CONCATENATE($A346,$B346)="CCESAN",INDEX(CCESAN!$D:$D,MATCH($C346,CCESAN!$A:$A,0)),
IF(CONCATENATE($A346,$B346)="CSCORIO",INDEX(CSCORIO!$B:$B,MATCH($C346,CSCORIO!#REF!,0)),
IF(CONCATENATE($A346,$B346)="MERC",INDEX(MERCADO!$E:$E,MATCH($C346,MERCADO!$A:$A,0)),
IF(CONCATENATE($A346,$B346)="CCOMP",INDEX(COMPOSICAO!$H:$H,MATCH($C346,COMPOSICAO!$A:$A,0)),""
)))))))),""))</f>
        <v>9.2899999999999991</v>
      </c>
      <c r="H346" s="144">
        <f t="shared" si="56"/>
        <v>5.1100000000000003</v>
      </c>
    </row>
    <row r="347" spans="1:11" ht="63.75">
      <c r="A347" s="141" t="s">
        <v>21960</v>
      </c>
      <c r="B347" s="141" t="s">
        <v>26583</v>
      </c>
      <c r="C347" s="141">
        <v>190417</v>
      </c>
      <c r="D347" s="142" t="str">
        <f>PROPER(IFERROR(
IF(C347="","",
IF(CONCATENATE($A347,$B347)="IDER-ES",INDEX('IDER-ES'!$B:$B,MATCH($C347,'IDER-ES'!$A:$A,0)),
IF(CONCATENATE($A347,$B347)="CDER-ES",INDEX('CDER-ES'!$B:$B,MATCH($C347,'CDER-ES'!$A:$A,0)),
IF(CONCATENATE($A347,$B347)="ISINAPI",INDEX(ISINAPI!$B:$B,MATCH($C347,ISINAPI!$A:$A,0)),
IF(CONCATENATE($A347,$B347)="CSINAPI",INDEX(CSINAPI!$B:$B,MATCH($C347,CSINAPI!$A:$A,0)),
IF(CONCATENATE($A347,$B347)="CCESAN",INDEX(CCESAN!$B:$B,MATCH($C347,CCESAN!$A:$A,0)),
IF(CONCATENATE($A347,$B347)="CSCORIO",INDEX(CSCORIO!#REF!,MATCH($C347,CSCORIO!#REF!,0)),
IF(CONCATENATE($A347,$B347)="MERC",INDEX(MERCADO!$B:$B,MATCH($C347,MERCADO!$A:$A,0)),
IF(CONCATENATE($A347,$B347)="CCOMP",INDEX(COMPOSICAO!$B:$B,MATCH($C347,COMPOSICAO!$A:$A,0)),""
))))))))),"*Verificar código*"))</f>
        <v>Pintura Com Tinta Esmalte Sintético, Marcas De Referência Suvinil, Coral Ou Metalatex, A Duas Demãos, Inclusive Fundo Anticorrosivo A Uma Demão, Em Metal</v>
      </c>
      <c r="E347" s="143" t="str">
        <f>LOWER(IFERROR(
IF(CONCATENATE($A347,$B347)="IDER-ES",INDEX('IDER-ES'!$C:$C,MATCH($C347,'IDER-ES'!$A:$A,0)),
IF(CONCATENATE($A347,$B347)="CDER-ES",INDEX('CDER-ES'!$C:$C,MATCH($C347,'CDER-ES'!$A:$A,0)),
IF(CONCATENATE($A347,$B347)="ISINAPI",INDEX(ISINAPI!$C:$C,MATCH($C347,ISINAPI!$A:$A,0)),
IF(CONCATENATE($A347,$B347)="CSINAPI",INDEX(CSINAPI!$C:$C,MATCH($C347,CSINAPI!$A:$A,0)),
IF(CONCATENATE($A347,$B347)="CCESAN",INDEX(CCESAN!$C:$C,MATCH($C347,CCESAN!$A:$A,0)),
IF(CONCATENATE($A347,$B347)="CSCORIO",INDEX(CSCORIO!$A:$A,MATCH($C347,CSCORIO!#REF!,0)),
IF(CONCATENATE($A347,$B347)="MERC",INDEX(MERCADO!$D:$D,MATCH($C347,MERCADO!$A:$A,0)),
IF(CONCATENATE($A347,$B347)="CCOMP",INDEX(COMPOSICAO!$H:$H,MATCH($C347,COMPOSICAO!$A:$A,0)),""
)))))))),""))</f>
        <v>m²</v>
      </c>
      <c r="F347" s="182">
        <f>F346</f>
        <v>0.55000000000000004</v>
      </c>
      <c r="G347" s="144">
        <f>(IFERROR(
IF(CONCATENATE($A347,$B347)="IDER-ES",INDEX('IDER-ES'!$D:$D,MATCH($C347,'IDER-ES'!$A:$A,0)),
IF(CONCATENATE($A347,$B347)="CDER-ES",INDEX('CDER-ES'!$D:$D,MATCH($C347,'CDER-ES'!$A:$A,0)),
IF(CONCATENATE($A347,$B347)="ISINAPI",INDEX(ISINAPI!$E:$E,MATCH($C347,ISINAPI!$A:$A,0)),
IF(CONCATENATE($A347,$B347)="CSINAPI",INDEX(CSINAPI!$D:$D,MATCH($C347,CSINAPI!$A:$A,0)),
IF(CONCATENATE($A347,$B347)="CCESAN",INDEX(CCESAN!$D:$D,MATCH($C347,CCESAN!$A:$A,0)),
IF(CONCATENATE($A347,$B347)="CSCORIO",INDEX(CSCORIO!$B:$B,MATCH($C347,CSCORIO!#REF!,0)),
IF(CONCATENATE($A347,$B347)="MERC",INDEX(MERCADO!$E:$E,MATCH($C347,MERCADO!$A:$A,0)),
IF(CONCATENATE($A347,$B347)="CCOMP",INDEX(COMPOSICAO!$H:$H,MATCH($C347,COMPOSICAO!$A:$A,0)),""
)))))))),""))</f>
        <v>20.010000000000002</v>
      </c>
      <c r="H347" s="144">
        <f t="shared" si="56"/>
        <v>11.01</v>
      </c>
    </row>
    <row r="348" spans="1:11" ht="25.5">
      <c r="A348" s="141" t="s">
        <v>21960</v>
      </c>
      <c r="B348" s="141" t="s">
        <v>1019</v>
      </c>
      <c r="C348" s="141">
        <v>88242</v>
      </c>
      <c r="D348" s="142" t="str">
        <f>PROPER(IFERROR(
IF(C348="","",
IF(CONCATENATE($A348,$B348)="IDER-ES",INDEX('IDER-ES'!$B:$B,MATCH($C348,'IDER-ES'!$A:$A,0)),
IF(CONCATENATE($A348,$B348)="CDER-ES",INDEX('CDER-ES'!$B:$B,MATCH($C348,'CDER-ES'!$A:$A,0)),
IF(CONCATENATE($A348,$B348)="ISINAPI",INDEX(ISINAPI!$B:$B,MATCH($C348,ISINAPI!$A:$A,0)),
IF(CONCATENATE($A348,$B348)="CSINAPI",INDEX(CSINAPI!$B:$B,MATCH($C348,CSINAPI!$A:$A,0)),
IF(CONCATENATE($A348,$B348)="CCESAN",INDEX(CCESAN!$B:$B,MATCH($C348,CCESAN!$A:$A,0)),
IF(CONCATENATE($A348,$B348)="CSCORIO",INDEX(CSCORIO!#REF!,MATCH($C348,CSCORIO!#REF!,0)),
IF(CONCATENATE($A348,$B348)="MERC",INDEX(MERCADO!$B:$B,MATCH($C348,MERCADO!$A:$A,0)),
IF(CONCATENATE($A348,$B348)="CCOMP",INDEX(COMPOSICAO!$B:$B,MATCH($C348,COMPOSICAO!$A:$A,0)),""
))))))))),"*Verificar código*"))</f>
        <v>Ajudante De Pedreiro Com Encargos Complementares</v>
      </c>
      <c r="E348" s="143" t="str">
        <f>LOWER(IFERROR(
IF(CONCATENATE($A348,$B348)="IDER-ES",INDEX('IDER-ES'!$C:$C,MATCH($C348,'IDER-ES'!$A:$A,0)),
IF(CONCATENATE($A348,$B348)="CIOPES",INDEX('CDER-ES'!$C:$C,MATCH($C348,'CDER-ES'!$A:$A,0)),
IF(CONCATENATE($A348,$B348)="ISINAPI",INDEX(ISINAPI!$C:$C,MATCH($C348,ISINAPI!$A:$A,0)),
IF(CONCATENATE($A348,$B348)="CSINAPI",INDEX(CSINAPI!$C:$C,MATCH($C348,CSINAPI!$A:$A,0)),
IF(CONCATENATE($A348,$B348)="CCESAN",INDEX(CCESAN!$C:$C,MATCH($C348,CCESAN!$A:$A,0)),
IF(CONCATENATE($A348,$B348)="CSCORIO",INDEX(CSCORIO!$A:$A,MATCH($C348,CSCORIO!#REF!,0)),
IF(CONCATENATE($A348,$B348)="MERC",INDEX(MERCADO!$D:$D,MATCH($C348,MERCADO!$A:$A,0)),
IF(CONCATENATE($A348,$B348)="CCOMP",INDEX(COMPOSICAO!$H:$H,MATCH($C348,COMPOSICAO!$A:$A,0)),""
)))))))),""))</f>
        <v>h</v>
      </c>
      <c r="F348" s="182">
        <f>0.1*10</f>
        <v>1</v>
      </c>
      <c r="G348" s="144">
        <f>(IFERROR(
IF(CONCATENATE($A348,$B348)="IDER-ES",INDEX('IDER-ES'!$D:$D,MATCH($C348,'IDER-ES'!$A:$A,0)),
IF(CONCATENATE($A348,$B348)="CIOPES",INDEX('CDER-ES'!$D:$D,MATCH($C348,'CDER-ES'!$A:$A,0)),
IF(CONCATENATE($A348,$B348)="ISINAPI",INDEX(ISINAPI!$E:$E,MATCH($C348,ISINAPI!$A:$A,0)),
IF(CONCATENATE($A348,$B348)="CSINAPI",INDEX(CSINAPI!$D:$D,MATCH($C348,CSINAPI!$A:$A,0)),
IF(CONCATENATE($A348,$B348)="CCESAN",INDEX(CCESAN!$D:$D,MATCH($C348,CCESAN!$A:$A,0)),
IF(CONCATENATE($A348,$B348)="CSCORIO",INDEX(CSCORIO!$B:$B,MATCH($C348,CSCORIO!#REF!,0)),
IF(CONCATENATE($A348,$B348)="MERC",INDEX(MERCADO!$E:$E,MATCH($C348,MERCADO!$A:$A,0)),
IF(CONCATENATE($A348,$B348)="CCOMP",INDEX(COMPOSICAO!$H:$H,MATCH($C348,COMPOSICAO!$A:$A,0)),""
)))))))),""))</f>
        <v>18.010000000000002</v>
      </c>
      <c r="H348" s="144">
        <f t="shared" si="56"/>
        <v>18.010000000000002</v>
      </c>
    </row>
    <row r="349" spans="1:11" ht="25.5">
      <c r="A349" s="141" t="s">
        <v>21960</v>
      </c>
      <c r="B349" s="141" t="s">
        <v>1019</v>
      </c>
      <c r="C349" s="141">
        <v>88309</v>
      </c>
      <c r="D349" s="142" t="str">
        <f>PROPER(IFERROR(
IF(C349="","",
IF(CONCATENATE($A349,$B349)="IDER-ES",INDEX('IDER-ES'!$B:$B,MATCH($C349,'IDER-ES'!$A:$A,0)),
IF(CONCATENATE($A349,$B349)="CDER-ES",INDEX('CDER-ES'!$B:$B,MATCH($C349,'CDER-ES'!$A:$A,0)),
IF(CONCATENATE($A349,$B349)="ISINAPI",INDEX(ISINAPI!$B:$B,MATCH($C349,ISINAPI!$A:$A,0)),
IF(CONCATENATE($A349,$B349)="CSINAPI",INDEX(CSINAPI!$B:$B,MATCH($C349,CSINAPI!$A:$A,0)),
IF(CONCATENATE($A349,$B349)="CCESAN",INDEX(CCESAN!$B:$B,MATCH($C349,CCESAN!$A:$A,0)),
IF(CONCATENATE($A349,$B349)="CSCORIO",INDEX(CSCORIO!#REF!,MATCH($C349,CSCORIO!#REF!,0)),
IF(CONCATENATE($A349,$B349)="MERC",INDEX(MERCADO!$B:$B,MATCH($C349,MERCADO!$A:$A,0)),
IF(CONCATENATE($A349,$B349)="CCOMP",INDEX(COMPOSICAO!$B:$B,MATCH($C349,COMPOSICAO!$A:$A,0)),""
))))))))),"*Verificar código*"))</f>
        <v>Pedreiro Com Encargos Complementares</v>
      </c>
      <c r="E349" s="143" t="str">
        <f>LOWER(IFERROR(
IF(CONCATENATE($A349,$B349)="IDER-ES",INDEX('IDER-ES'!$C:$C,MATCH($C349,'IDER-ES'!$A:$A,0)),
IF(CONCATENATE($A349,$B349)="CIOPES",INDEX('CDER-ES'!$C:$C,MATCH($C349,'CDER-ES'!$A:$A,0)),
IF(CONCATENATE($A349,$B349)="ISINAPI",INDEX(ISINAPI!$C:$C,MATCH($C349,ISINAPI!$A:$A,0)),
IF(CONCATENATE($A349,$B349)="CSINAPI",INDEX(CSINAPI!$C:$C,MATCH($C349,CSINAPI!$A:$A,0)),
IF(CONCATENATE($A349,$B349)="CCESAN",INDEX(CCESAN!$C:$C,MATCH($C349,CCESAN!$A:$A,0)),
IF(CONCATENATE($A349,$B349)="CSCORIO",INDEX(CSCORIO!$A:$A,MATCH($C349,CSCORIO!#REF!,0)),
IF(CONCATENATE($A349,$B349)="MERC",INDEX(MERCADO!$D:$D,MATCH($C349,MERCADO!$A:$A,0)),
IF(CONCATENATE($A349,$B349)="CCOMP",INDEX(COMPOSICAO!$H:$H,MATCH($C349,COMPOSICAO!$A:$A,0)),""
)))))))),""))</f>
        <v>h</v>
      </c>
      <c r="F349" s="182">
        <f>0.1*10</f>
        <v>1</v>
      </c>
      <c r="G349" s="144">
        <f>(IFERROR(
IF(CONCATENATE($A349,$B349)="IDER-ES",INDEX('IDER-ES'!$D:$D,MATCH($C349,'IDER-ES'!$A:$A,0)),
IF(CONCATENATE($A349,$B349)="CIOPES",INDEX('CDER-ES'!$D:$D,MATCH($C349,'CDER-ES'!$A:$A,0)),
IF(CONCATENATE($A349,$B349)="ISINAPI",INDEX(ISINAPI!$E:$E,MATCH($C349,ISINAPI!$A:$A,0)),
IF(CONCATENATE($A349,$B349)="CSINAPI",INDEX(CSINAPI!$D:$D,MATCH($C349,CSINAPI!$A:$A,0)),
IF(CONCATENATE($A349,$B349)="CCESAN",INDEX(CCESAN!$D:$D,MATCH($C349,CCESAN!$A:$A,0)),
IF(CONCATENATE($A349,$B349)="CSCORIO",INDEX(CSCORIO!$B:$B,MATCH($C349,CSCORIO!#REF!,0)),
IF(CONCATENATE($A349,$B349)="MERC",INDEX(MERCADO!$E:$E,MATCH($C349,MERCADO!$A:$A,0)),
IF(CONCATENATE($A349,$B349)="CCOMP",INDEX(COMPOSICAO!$H:$H,MATCH($C349,COMPOSICAO!$A:$A,0)),""
)))))))),""))</f>
        <v>25.25</v>
      </c>
      <c r="H349" s="144">
        <f t="shared" ref="H349" si="57">IF(B349="","",ROUND(G349*F349,2))</f>
        <v>25.25</v>
      </c>
    </row>
    <row r="350" spans="1:11" ht="38.25">
      <c r="A350" s="141" t="s">
        <v>21960</v>
      </c>
      <c r="B350" s="141" t="s">
        <v>1019</v>
      </c>
      <c r="C350" s="141">
        <v>88629</v>
      </c>
      <c r="D350" s="142" t="str">
        <f>PROPER(IFERROR(
IF(C350="","",
IF(CONCATENATE($A350,$B350)="IDER-ES",INDEX('IDER-ES'!$B:$B,MATCH($C350,'IDER-ES'!$A:$A,0)),
IF(CONCATENATE($A350,$B350)="CDER-ES",INDEX('CDER-ES'!$B:$B,MATCH($C350,'CDER-ES'!$A:$A,0)),
IF(CONCATENATE($A350,$B350)="ISINAPI",INDEX(ISINAPI!$B:$B,MATCH($C350,ISINAPI!$A:$A,0)),
IF(CONCATENATE($A350,$B350)="CSINAPI",INDEX(CSINAPI!$B:$B,MATCH($C350,CSINAPI!$A:$A,0)),
IF(CONCATENATE($A350,$B350)="CCESAN",INDEX(CCESAN!$B:$B,MATCH($C350,CCESAN!$A:$A,0)),
IF(CONCATENATE($A350,$B350)="CSCORIO",INDEX(CSCORIO!#REF!,MATCH($C350,CSCORIO!#REF!,0)),
IF(CONCATENATE($A350,$B350)="MERC",INDEX(MERCADO!$B:$B,MATCH($C350,MERCADO!$A:$A,0)),
IF(CONCATENATE($A350,$B350)="CCOMP",INDEX(COMPOSICAO!$B:$B,MATCH($C350,COMPOSICAO!$A:$A,0)),""
))))))))),"*Verificar código*"))</f>
        <v>Argamassa Traço 1:3 (Em Volume De Cimento E Areia Média Úmida), Preparo Manual. Af_08/2019</v>
      </c>
      <c r="E350" s="143" t="str">
        <f>LOWER(IFERROR(
IF(CONCATENATE($A350,$B350)="IDER-ES",INDEX('IDER-ES'!$C:$C,MATCH($C350,'IDER-ES'!$A:$A,0)),
IF(CONCATENATE($A350,$B350)="CIOPES",INDEX('CDER-ES'!$C:$C,MATCH($C350,'CDER-ES'!$A:$A,0)),
IF(CONCATENATE($A350,$B350)="ISINAPI",INDEX(ISINAPI!$C:$C,MATCH($C350,ISINAPI!$A:$A,0)),
IF(CONCATENATE($A350,$B350)="CSINAPI",INDEX(CSINAPI!$C:$C,MATCH($C350,CSINAPI!$A:$A,0)),
IF(CONCATENATE($A350,$B350)="CCESAN",INDEX(CCESAN!$C:$C,MATCH($C350,CCESAN!$A:$A,0)),
IF(CONCATENATE($A350,$B350)="CSCORIO",INDEX(CSCORIO!$A:$A,MATCH($C350,CSCORIO!#REF!,0)),
IF(CONCATENATE($A350,$B350)="MERC",INDEX(MERCADO!$D:$D,MATCH($C350,MERCADO!$A:$A,0)),
IF(CONCATENATE($A350,$B350)="CCOMP",INDEX(COMPOSICAO!$H:$H,MATCH($C350,COMPOSICAO!$A:$A,0)),""
)))))))),""))</f>
        <v>m³</v>
      </c>
      <c r="F350" s="182">
        <f>0.1*0.1*0.1*10</f>
        <v>1.0000000000000002E-2</v>
      </c>
      <c r="G350" s="144">
        <f>(IFERROR(
IF(CONCATENATE($A350,$B350)="IDER-ES",INDEX('IDER-ES'!$D:$D,MATCH($C350,'IDER-ES'!$A:$A,0)),
IF(CONCATENATE($A350,$B350)="CIOPES",INDEX('CDER-ES'!$D:$D,MATCH($C350,'CDER-ES'!$A:$A,0)),
IF(CONCATENATE($A350,$B350)="ISINAPI",INDEX(ISINAPI!$E:$E,MATCH($C350,ISINAPI!$A:$A,0)),
IF(CONCATENATE($A350,$B350)="CSINAPI",INDEX(CSINAPI!$D:$D,MATCH($C350,CSINAPI!$A:$A,0)),
IF(CONCATENATE($A350,$B350)="CCESAN",INDEX(CCESAN!$D:$D,MATCH($C350,CCESAN!$A:$A,0)),
IF(CONCATENATE($A350,$B350)="CSCORIO",INDEX(CSCORIO!$B:$B,MATCH($C350,CSCORIO!#REF!,0)),
IF(CONCATENATE($A350,$B350)="MERC",INDEX(MERCADO!$E:$E,MATCH($C350,MERCADO!$A:$A,0)),
IF(CONCATENATE($A350,$B350)="CCOMP",INDEX(COMPOSICAO!$H:$H,MATCH($C350,COMPOSICAO!$A:$A,0)),""
)))))))),""))</f>
        <v>477.89</v>
      </c>
      <c r="H350" s="144">
        <f t="shared" si="56"/>
        <v>4.78</v>
      </c>
    </row>
    <row r="352" spans="1:11" s="135" customFormat="1" ht="20.100000000000001" customHeight="1">
      <c r="A352" s="186" t="s">
        <v>1020</v>
      </c>
      <c r="B352" s="405" t="s">
        <v>1022</v>
      </c>
      <c r="C352" s="406"/>
      <c r="D352" s="406"/>
      <c r="E352" s="406"/>
      <c r="F352" s="407"/>
      <c r="G352" s="133" t="s">
        <v>19692</v>
      </c>
      <c r="H352" s="134" t="s">
        <v>19678</v>
      </c>
      <c r="I352" s="263"/>
    </row>
    <row r="353" spans="1:9" ht="30" customHeight="1">
      <c r="A353" s="136">
        <f>COUNTIF($A$4:$A352,$A$4)</f>
        <v>31</v>
      </c>
      <c r="B353" s="408" t="s">
        <v>28691</v>
      </c>
      <c r="C353" s="409"/>
      <c r="D353" s="409"/>
      <c r="E353" s="409"/>
      <c r="F353" s="410"/>
      <c r="G353" s="137" t="s">
        <v>26764</v>
      </c>
      <c r="H353" s="211">
        <f>SUM(H355:H359)</f>
        <v>839.28000000000009</v>
      </c>
    </row>
    <row r="354" spans="1:9" ht="30" customHeight="1">
      <c r="A354" s="139" t="s">
        <v>1026</v>
      </c>
      <c r="B354" s="139" t="s">
        <v>1027</v>
      </c>
      <c r="C354" s="139" t="s">
        <v>31</v>
      </c>
      <c r="D354" s="139" t="s">
        <v>1023</v>
      </c>
      <c r="E354" s="139" t="s">
        <v>32</v>
      </c>
      <c r="F354" s="183" t="s">
        <v>2343</v>
      </c>
      <c r="G354" s="140" t="s">
        <v>19676</v>
      </c>
      <c r="H354" s="140" t="s">
        <v>19677</v>
      </c>
    </row>
    <row r="355" spans="1:9" ht="51">
      <c r="A355" s="141" t="s">
        <v>26621</v>
      </c>
      <c r="B355" s="141" t="s">
        <v>1019</v>
      </c>
      <c r="C355" s="141">
        <v>4911</v>
      </c>
      <c r="D355" s="142" t="str">
        <f>PROPER(IFERROR(
IF(C355="","",
IF(CONCATENATE($A355,$B355)="IDER-ES",INDEX('IDER-ES'!$B:$B,MATCH($C355,'IDER-ES'!$A:$A,0)),
IF(CONCATENATE($A355,$B355)="CDER-ES",INDEX('CDER-ES'!$B:$B,MATCH($C355,'CDER-ES'!$A:$A,0)),
IF(CONCATENATE($A355,$B355)="ISINAPI",INDEX(ISINAPI!$B:$B,MATCH($C355,ISINAPI!$A:$A,0)),
IF(CONCATENATE($A355,$B355)="CSINAPI",INDEX(CSINAPI!$B:$B,MATCH($C355,CSINAPI!$A:$A,0)),
IF(CONCATENATE($A355,$B355)="CCESAN",INDEX(CCESAN!$B:$B,MATCH($C355,CCESAN!$A:$A,0)),
IF(CONCATENATE($A355,$B355)="CSCORIO",INDEX(CSCORIO!#REF!,MATCH($C355,CSCORIO!#REF!,0)),
IF(CONCATENATE($A355,$B355)="MERC",INDEX(MERCADO!$B:$B,MATCH($C355,MERCADO!$A:$A,0)),
IF(CONCATENATE($A355,$B355)="CCOMP",INDEX(COMPOSICAO!$B:$B,MATCH($C355,COMPOSICAO!$A:$A,0)),""
))))))))),"*Verificar código*"))</f>
        <v xml:space="preserve">Porta De Enrolar Manual Completa, Articulada Raiada Larga, Em Aco Galvanizado Natural, Chapa Numero 24 (Sem Instalacao)                                                                                                                                                                                                                                                                                                                                                                                   </v>
      </c>
      <c r="E355" s="143" t="str">
        <f>LOWER(IFERROR(
IF(CONCATENATE($A355,$B355)="IDER-ES",INDEX('IDER-ES'!$C:$C,MATCH($C355,'IDER-ES'!$A:$A,0)),
IF(CONCATENATE($A355,$B355)="CIOPES",INDEX('CDER-ES'!$C:$C,MATCH($C355,'CDER-ES'!$A:$A,0)),
IF(CONCATENATE($A355,$B355)="ISINAPI",INDEX(ISINAPI!$C:$C,MATCH($C355,ISINAPI!$A:$A,0)),
IF(CONCATENATE($A355,$B355)="CSINAPI",INDEX(CSINAPI!$C:$C,MATCH($C355,CSINAPI!$A:$A,0)),
IF(CONCATENATE($A355,$B355)="CCESAN",INDEX(CCESAN!$C:$C,MATCH($C355,CCESAN!$A:$A,0)),
IF(CONCATENATE($A355,$B355)="CSCORIO",INDEX(CSCORIO!$A:$A,MATCH($C355,CSCORIO!#REF!,0)),
IF(CONCATENATE($A355,$B355)="MERC",INDEX(MERCADO!$D:$D,MATCH($C355,MERCADO!$A:$A,0)),
IF(CONCATENATE($A355,$B355)="CCOMP",INDEX(COMPOSICAO!$H:$H,MATCH($C355,COMPOSICAO!$A:$A,0)),""
)))))))),""))</f>
        <v xml:space="preserve">m²    </v>
      </c>
      <c r="F355" s="182">
        <v>1</v>
      </c>
      <c r="G355" s="144">
        <f>(IFERROR(
IF(CONCATENATE($A355,$B355)="IDER-ES",INDEX('IDER-ES'!$D:$D,MATCH($C355,'IDER-ES'!$A:$A,0)),
IF(CONCATENATE($A355,$B355)="CIOPES",INDEX('CDER-ES'!$D:$D,MATCH($C355,'CDER-ES'!$A:$A,0)),
IF(CONCATENATE($A355,$B355)="ISINAPI",INDEX(ISINAPI!$E:$E,MATCH($C355,ISINAPI!$A:$A,0)),
IF(CONCATENATE($A355,$B355)="CSINAPI",INDEX(CSINAPI!$D:$D,MATCH($C355,CSINAPI!$A:$A,0)),
IF(CONCATENATE($A355,$B355)="CCESAN",INDEX(CCESAN!$D:$D,MATCH($C355,CCESAN!$A:$A,0)),
IF(CONCATENATE($A355,$B355)="CSCORIO",INDEX(CSCORIO!$B:$B,MATCH($C355,CSCORIO!#REF!,0)),
IF(CONCATENATE($A355,$B355)="MERC",INDEX(MERCADO!$E:$E,MATCH($C355,MERCADO!$A:$A,0)),
IF(CONCATENATE($A355,$B355)="CCOMP",INDEX(COMPOSICAO!$H:$H,MATCH($C355,COMPOSICAO!$A:$A,0)),""
)))))))),""))</f>
        <v>516.32000000000005</v>
      </c>
      <c r="H355" s="144">
        <f t="shared" ref="H355:H359" si="58">IF(B355="","",ROUND(G355*F355,2))</f>
        <v>516.32000000000005</v>
      </c>
    </row>
    <row r="356" spans="1:9" ht="25.5">
      <c r="A356" s="141" t="s">
        <v>21960</v>
      </c>
      <c r="B356" s="141" t="s">
        <v>1019</v>
      </c>
      <c r="C356" s="141">
        <v>88251</v>
      </c>
      <c r="D356" s="142" t="str">
        <f>PROPER(IFERROR(
IF(C356="","",
IF(CONCATENATE($A356,$B356)="IDER-ES",INDEX('IDER-ES'!$B:$B,MATCH($C356,'IDER-ES'!$A:$A,0)),
IF(CONCATENATE($A356,$B356)="CDER-ES",INDEX('CDER-ES'!$B:$B,MATCH($C356,'CDER-ES'!$A:$A,0)),
IF(CONCATENATE($A356,$B356)="ISINAPI",INDEX(ISINAPI!$B:$B,MATCH($C356,ISINAPI!$A:$A,0)),
IF(CONCATENATE($A356,$B356)="CSINAPI",INDEX(CSINAPI!$B:$B,MATCH($C356,CSINAPI!$A:$A,0)),
IF(CONCATENATE($A356,$B356)="CCESAN",INDEX(CCESAN!$B:$B,MATCH($C356,CCESAN!$A:$A,0)),
IF(CONCATENATE($A356,$B356)="CSCORIO",INDEX(CSCORIO!#REF!,MATCH($C356,CSCORIO!#REF!,0)),
IF(CONCATENATE($A356,$B356)="MERC",INDEX(MERCADO!$B:$B,MATCH($C356,MERCADO!$A:$A,0)),
IF(CONCATENATE($A356,$B356)="CCOMP",INDEX(COMPOSICAO!$B:$B,MATCH($C356,COMPOSICAO!$A:$A,0)),""
))))))))),"*Verificar código*"))</f>
        <v>Auxiliar De Serralheiro Com Encargos Complementares</v>
      </c>
      <c r="E356" s="143" t="str">
        <f>LOWER(IFERROR(
IF(CONCATENATE($A356,$B356)="IDER-ES",INDEX('IDER-ES'!$C:$C,MATCH($C356,'IDER-ES'!$A:$A,0)),
IF(CONCATENATE($A356,$B356)="CIOPES",INDEX('CDER-ES'!$C:$C,MATCH($C356,'CDER-ES'!$A:$A,0)),
IF(CONCATENATE($A356,$B356)="ISINAPI",INDEX(ISINAPI!$C:$C,MATCH($C356,ISINAPI!$A:$A,0)),
IF(CONCATENATE($A356,$B356)="CSINAPI",INDEX(CSINAPI!$C:$C,MATCH($C356,CSINAPI!$A:$A,0)),
IF(CONCATENATE($A356,$B356)="CCESAN",INDEX(CCESAN!$C:$C,MATCH($C356,CCESAN!$A:$A,0)),
IF(CONCATENATE($A356,$B356)="CSCORIO",INDEX(CSCORIO!$A:$A,MATCH($C356,CSCORIO!#REF!,0)),
IF(CONCATENATE($A356,$B356)="MERC",INDEX(MERCADO!$D:$D,MATCH($C356,MERCADO!$A:$A,0)),
IF(CONCATENATE($A356,$B356)="CCOMP",INDEX(COMPOSICAO!$H:$H,MATCH($C356,COMPOSICAO!$A:$A,0)),""
)))))))),""))</f>
        <v>h</v>
      </c>
      <c r="F356" s="182">
        <v>7.798</v>
      </c>
      <c r="G356" s="144">
        <f>(IFERROR(
IF(CONCATENATE($A356,$B356)="IDER-ES",INDEX('IDER-ES'!$D:$D,MATCH($C356,'IDER-ES'!$A:$A,0)),
IF(CONCATENATE($A356,$B356)="CIOPES",INDEX('CDER-ES'!$D:$D,MATCH($C356,'CDER-ES'!$A:$A,0)),
IF(CONCATENATE($A356,$B356)="ISINAPI",INDEX(ISINAPI!$E:$E,MATCH($C356,ISINAPI!$A:$A,0)),
IF(CONCATENATE($A356,$B356)="CSINAPI",INDEX(CSINAPI!$D:$D,MATCH($C356,CSINAPI!$A:$A,0)),
IF(CONCATENATE($A356,$B356)="CCESAN",INDEX(CCESAN!$D:$D,MATCH($C356,CCESAN!$A:$A,0)),
IF(CONCATENATE($A356,$B356)="CSCORIO",INDEX(CSCORIO!$B:$B,MATCH($C356,CSCORIO!#REF!,0)),
IF(CONCATENATE($A356,$B356)="MERC",INDEX(MERCADO!$E:$E,MATCH($C356,MERCADO!$A:$A,0)),
IF(CONCATENATE($A356,$B356)="CCOMP",INDEX(COMPOSICAO!$H:$H,MATCH($C356,COMPOSICAO!$A:$A,0)),""
)))))))),""))</f>
        <v>20.34</v>
      </c>
      <c r="H356" s="144">
        <f t="shared" si="58"/>
        <v>158.61000000000001</v>
      </c>
    </row>
    <row r="357" spans="1:9" ht="25.5">
      <c r="A357" s="141" t="s">
        <v>21960</v>
      </c>
      <c r="B357" s="141" t="s">
        <v>1019</v>
      </c>
      <c r="C357" s="141">
        <v>88315</v>
      </c>
      <c r="D357" s="142" t="str">
        <f>PROPER(IFERROR(
IF(C357="","",
IF(CONCATENATE($A357,$B357)="IDER-ES",INDEX('IDER-ES'!$B:$B,MATCH($C357,'IDER-ES'!$A:$A,0)),
IF(CONCATENATE($A357,$B357)="CDER-ES",INDEX('CDER-ES'!$B:$B,MATCH($C357,'CDER-ES'!$A:$A,0)),
IF(CONCATENATE($A357,$B357)="ISINAPI",INDEX(ISINAPI!$B:$B,MATCH($C357,ISINAPI!$A:$A,0)),
IF(CONCATENATE($A357,$B357)="CSINAPI",INDEX(CSINAPI!$B:$B,MATCH($C357,CSINAPI!$A:$A,0)),
IF(CONCATENATE($A357,$B357)="CCESAN",INDEX(CCESAN!$B:$B,MATCH($C357,CCESAN!$A:$A,0)),
IF(CONCATENATE($A357,$B357)="CSCORIO",INDEX(CSCORIO!#REF!,MATCH($C357,CSCORIO!#REF!,0)),
IF(CONCATENATE($A357,$B357)="MERC",INDEX(MERCADO!$B:$B,MATCH($C357,MERCADO!$A:$A,0)),
IF(CONCATENATE($A357,$B357)="CCOMP",INDEX(COMPOSICAO!$B:$B,MATCH($C357,COMPOSICAO!$A:$A,0)),""
))))))))),"*Verificar código*"))</f>
        <v>Serralheiro Com Encargos Complementares</v>
      </c>
      <c r="E357" s="143" t="str">
        <f>LOWER(IFERROR(
IF(CONCATENATE($A357,$B357)="IDER-ES",INDEX('IDER-ES'!$C:$C,MATCH($C357,'IDER-ES'!$A:$A,0)),
IF(CONCATENATE($A357,$B357)="CIOPES",INDEX('CDER-ES'!$C:$C,MATCH($C357,'CDER-ES'!$A:$A,0)),
IF(CONCATENATE($A357,$B357)="ISINAPI",INDEX(ISINAPI!$C:$C,MATCH($C357,ISINAPI!$A:$A,0)),
IF(CONCATENATE($A357,$B357)="CSINAPI",INDEX(CSINAPI!$C:$C,MATCH($C357,CSINAPI!$A:$A,0)),
IF(CONCATENATE($A357,$B357)="CCESAN",INDEX(CCESAN!$C:$C,MATCH($C357,CCESAN!$A:$A,0)),
IF(CONCATENATE($A357,$B357)="CSCORIO",INDEX(CSCORIO!$A:$A,MATCH($C357,CSCORIO!#REF!,0)),
IF(CONCATENATE($A357,$B357)="MERC",INDEX(MERCADO!$D:$D,MATCH($C357,MERCADO!$A:$A,0)),
IF(CONCATENATE($A357,$B357)="CCOMP",INDEX(COMPOSICAO!$H:$H,MATCH($C357,COMPOSICAO!$A:$A,0)),""
)))))))),""))</f>
        <v>h</v>
      </c>
      <c r="F357" s="182">
        <v>4.2130000000000001</v>
      </c>
      <c r="G357" s="144">
        <f>(IFERROR(
IF(CONCATENATE($A357,$B357)="IDER-ES",INDEX('IDER-ES'!$D:$D,MATCH($C357,'IDER-ES'!$A:$A,0)),
IF(CONCATENATE($A357,$B357)="CIOPES",INDEX('CDER-ES'!$D:$D,MATCH($C357,'CDER-ES'!$A:$A,0)),
IF(CONCATENATE($A357,$B357)="ISINAPI",INDEX(ISINAPI!$E:$E,MATCH($C357,ISINAPI!$A:$A,0)),
IF(CONCATENATE($A357,$B357)="CSINAPI",INDEX(CSINAPI!$D:$D,MATCH($C357,CSINAPI!$A:$A,0)),
IF(CONCATENATE($A357,$B357)="CCESAN",INDEX(CCESAN!$D:$D,MATCH($C357,CCESAN!$A:$A,0)),
IF(CONCATENATE($A357,$B357)="CSCORIO",INDEX(CSCORIO!$B:$B,MATCH($C357,CSCORIO!#REF!,0)),
IF(CONCATENATE($A357,$B357)="MERC",INDEX(MERCADO!$E:$E,MATCH($C357,MERCADO!$A:$A,0)),
IF(CONCATENATE($A357,$B357)="CCOMP",INDEX(COMPOSICAO!$H:$H,MATCH($C357,COMPOSICAO!$A:$A,0)),""
)))))))),""))</f>
        <v>25.1</v>
      </c>
      <c r="H357" s="144">
        <f t="shared" si="58"/>
        <v>105.75</v>
      </c>
    </row>
    <row r="358" spans="1:9" ht="25.5">
      <c r="A358" s="141" t="s">
        <v>21960</v>
      </c>
      <c r="B358" s="141" t="s">
        <v>1019</v>
      </c>
      <c r="C358" s="141">
        <v>100717</v>
      </c>
      <c r="D358" s="142" t="str">
        <f>PROPER(IFERROR(
IF(C358="","",
IF(CONCATENATE($A358,$B358)="IDER-ES",INDEX('IDER-ES'!$B:$B,MATCH($C358,'IDER-ES'!$A:$A,0)),
IF(CONCATENATE($A358,$B358)="CDER-ES",INDEX('CDER-ES'!$B:$B,MATCH($C358,'CDER-ES'!$A:$A,0)),
IF(CONCATENATE($A358,$B358)="ISINAPI",INDEX(ISINAPI!$B:$B,MATCH($C358,ISINAPI!$A:$A,0)),
IF(CONCATENATE($A358,$B358)="CSINAPI",INDEX(CSINAPI!$B:$B,MATCH($C358,CSINAPI!$A:$A,0)),
IF(CONCATENATE($A358,$B358)="CCESAN",INDEX(CCESAN!$B:$B,MATCH($C358,CCESAN!$A:$A,0)),
IF(CONCATENATE($A358,$B358)="CSCORIO",INDEX(CSCORIO!$B:$B,MATCH($C358,CSCORIO!$A:$A,0)),
IF(CONCATENATE($A358,$B358)="MERC",INDEX(MERCADO!$B:$B,MATCH($C358,MERCADO!$A:$A,0)),
IF(CONCATENATE($A358,$B358)="CCOMP",INDEX(COMPOSICAO!$B:$B,MATCH($C358,COMPOSICAO!$A:$A,0)),""
))))))))),"*Verificar código*"))</f>
        <v>Lixamento Manual Em Superfícies Metálicas Em Obra. Af_01/2020</v>
      </c>
      <c r="E358" s="143" t="str">
        <f>LOWER(IFERROR(
IF(CONCATENATE($A358,$B358)="IDER-ES",INDEX('IDER-ES'!$C:$C,MATCH($C358,'IDER-ES'!$A:$A,0)),
IF(CONCATENATE($A358,$B358)="CIOPES",INDEX('CDER-ES'!$C:$C,MATCH($C358,'CDER-ES'!$A:$A,0)),
IF(CONCATENATE($A358,$B358)="ISINAPI",INDEX(ISINAPI!$C:$C,MATCH($C358,ISINAPI!$A:$A,0)),
IF(CONCATENATE($A358,$B358)="CSINAPI",INDEX(CSINAPI!$C:$C,MATCH($C358,CSINAPI!$A:$A,0)),
IF(CONCATENATE($A358,$B358)="CCESAN",INDEX(CCESAN!$C:$C,MATCH($C358,CCESAN!$A:$A,0)),
IF(CONCATENATE($A358,$B358)="CSCORIO",INDEX(CSCORIO!$C:$C,MATCH($C358,CSCORIO!$A:$A,0)),
IF(CONCATENATE($A358,$B358)="MERC",INDEX(MERCADO!$D:$D,MATCH($C358,MERCADO!$A:$A,0)),
IF(CONCATENATE($A358,$B358)="CCOMP",INDEX(COMPOSICAO!$H:$H,MATCH($C358,COMPOSICAO!$A:$A,0)),""
)))))))),""))</f>
        <v>m²</v>
      </c>
      <c r="F358" s="182">
        <v>2</v>
      </c>
      <c r="G358" s="284">
        <f>(IFERROR(
IF(CONCATENATE($A358,$B358)="IDER-ES",INDEX('IDER-ES'!$D:$D,MATCH($C358,'IDER-ES'!$A:$A,0)),
IF(CONCATENATE($A358,$B358)="CIOPES",INDEX('CDER-ES'!$D:$D,MATCH($C358,'CDER-ES'!$A:$A,0)),
IF(CONCATENATE($A358,$B358)="ISINAPI",INDEX(ISINAPI!$E:$E,MATCH($C358,ISINAPI!$A:$A,0)),
IF(CONCATENATE($A358,$B358)="CSINAPI",INDEX(CSINAPI!$D:$D,MATCH($C358,CSINAPI!$A:$A,0)),
IF(CONCATENATE($A358,$B358)="CCESAN",INDEX(CCESAN!$D:$D,MATCH($C358,CCESAN!$A:$A,0)),
IF(CONCATENATE($A358,$B358)="CSCORIO",INDEX(CSCORIO!$D:$D,MATCH($C358,CSCORIO!$A:$A,0)),
IF(CONCATENATE($A358,$B358)="MERC",INDEX(MERCADO!$E:$E,MATCH($C358,MERCADO!$A:$A,0)),
IF(CONCATENATE($A358,$B358)="CCOMP",INDEX(COMPOSICAO!$H:$H,MATCH($C358,COMPOSICAO!$A:$A,0)),""
)))))))),""))</f>
        <v>9.2899999999999991</v>
      </c>
      <c r="H358" s="284">
        <f t="shared" si="58"/>
        <v>18.579999999999998</v>
      </c>
    </row>
    <row r="359" spans="1:9" ht="63.75">
      <c r="A359" s="141" t="s">
        <v>21960</v>
      </c>
      <c r="B359" s="141" t="s">
        <v>26583</v>
      </c>
      <c r="C359" s="141">
        <v>190417</v>
      </c>
      <c r="D359" s="142" t="str">
        <f>PROPER(IFERROR(
IF(C359="","",
IF(CONCATENATE($A359,$B359)="IDER-ES",INDEX('IDER-ES'!$B:$B,MATCH($C359,'IDER-ES'!$A:$A,0)),
IF(CONCATENATE($A359,$B359)="CDER-ES",INDEX('CDER-ES'!$B:$B,MATCH($C359,'CDER-ES'!$A:$A,0)),
IF(CONCATENATE($A359,$B359)="ISINAPI",INDEX(ISINAPI!$B:$B,MATCH($C359,ISINAPI!$A:$A,0)),
IF(CONCATENATE($A359,$B359)="CSINAPI",INDEX(CSINAPI!$B:$B,MATCH($C359,CSINAPI!$A:$A,0)),
IF(CONCATENATE($A359,$B359)="CCESAN",INDEX(CCESAN!$B:$B,MATCH($C359,CCESAN!$A:$A,0)),
IF(CONCATENATE($A359,$B359)="CSCORIO",INDEX(CSCORIO!$B:$B,MATCH($C359,CSCORIO!$A:$A,0)),
IF(CONCATENATE($A359,$B359)="MERC",INDEX(MERCADO!$B:$B,MATCH($C359,MERCADO!$A:$A,0)),
IF(CONCATENATE($A359,$B359)="CCOMP",INDEX(COMPOSICAO!$B:$B,MATCH($C359,COMPOSICAO!$A:$A,0)),""
))))))))),"*Verificar código*"))</f>
        <v>Pintura Com Tinta Esmalte Sintético, Marcas De Referência Suvinil, Coral Ou Metalatex, A Duas Demãos, Inclusive Fundo Anticorrosivo A Uma Demão, Em Metal</v>
      </c>
      <c r="E359" s="143" t="str">
        <f>LOWER(IFERROR(
IF(CONCATENATE($A359,$B359)="IDER-ES",INDEX('IDER-ES'!$C:$C,MATCH($C359,'IDER-ES'!$A:$A,0)),
IF(CONCATENATE($A359,$B359)="CDER-ES",INDEX('CDER-ES'!$C:$C,MATCH($C359,'CDER-ES'!$A:$A,0)),
IF(CONCATENATE($A359,$B359)="ISINAPI",INDEX(ISINAPI!$C:$C,MATCH($C359,ISINAPI!$A:$A,0)),
IF(CONCATENATE($A359,$B359)="CSINAPI",INDEX(CSINAPI!$C:$C,MATCH($C359,CSINAPI!$A:$A,0)),
IF(CONCATENATE($A359,$B359)="CCESAN",INDEX(CCESAN!$C:$C,MATCH($C359,CCESAN!$A:$A,0)),
IF(CONCATENATE($A359,$B359)="CSCORIO",INDEX(CSCORIO!$C:$C,MATCH($C359,CSCORIO!$A:$A,0)),
IF(CONCATENATE($A359,$B359)="MERC",INDEX(MERCADO!$D:$D,MATCH($C359,MERCADO!$A:$A,0)),
IF(CONCATENATE($A359,$B359)="CCOMP",INDEX(COMPOSICAO!$H:$H,MATCH($C359,COMPOSICAO!$A:$A,0)),""
)))))))),""))</f>
        <v>m²</v>
      </c>
      <c r="F359" s="182">
        <f>F358</f>
        <v>2</v>
      </c>
      <c r="G359" s="284">
        <f>(IFERROR(
IF(CONCATENATE($A359,$B359)="IDER-ES",INDEX('IDER-ES'!$D:$D,MATCH($C359,'IDER-ES'!$A:$A,0)),
IF(CONCATENATE($A359,$B359)="CDER-ES",INDEX('CDER-ES'!$D:$D,MATCH($C359,'CDER-ES'!$A:$A,0)),
IF(CONCATENATE($A359,$B359)="ISINAPI",INDEX(ISINAPI!$E:$E,MATCH($C359,ISINAPI!$A:$A,0)),
IF(CONCATENATE($A359,$B359)="CSINAPI",INDEX(CSINAPI!$D:$D,MATCH($C359,CSINAPI!$A:$A,0)),
IF(CONCATENATE($A359,$B359)="CCESAN",INDEX(CCESAN!$D:$D,MATCH($C359,CCESAN!$A:$A,0)),
IF(CONCATENATE($A359,$B359)="CSCORIO",INDEX(CSCORIO!$D:$D,MATCH($C359,CSCORIO!$A:$A,0)),
IF(CONCATENATE($A359,$B359)="MERC",INDEX(MERCADO!$E:$E,MATCH($C359,MERCADO!$A:$A,0)),
IF(CONCATENATE($A359,$B359)="CCOMP",INDEX(COMPOSICAO!$H:$H,MATCH($C359,COMPOSICAO!$A:$A,0)),""
)))))))),""))</f>
        <v>20.010000000000002</v>
      </c>
      <c r="H359" s="284">
        <f t="shared" si="58"/>
        <v>40.020000000000003</v>
      </c>
    </row>
    <row r="361" spans="1:9" s="135" customFormat="1" ht="20.100000000000001" customHeight="1">
      <c r="A361" s="186" t="s">
        <v>1020</v>
      </c>
      <c r="B361" s="405" t="s">
        <v>1022</v>
      </c>
      <c r="C361" s="406"/>
      <c r="D361" s="406"/>
      <c r="E361" s="406"/>
      <c r="F361" s="407"/>
      <c r="G361" s="133" t="s">
        <v>19692</v>
      </c>
      <c r="H361" s="134" t="s">
        <v>19678</v>
      </c>
      <c r="I361" s="263"/>
    </row>
    <row r="362" spans="1:9" ht="60" customHeight="1">
      <c r="A362" s="136">
        <f>COUNTIF($A$4:$A361,$A$4)</f>
        <v>32</v>
      </c>
      <c r="B362" s="408" t="s">
        <v>29133</v>
      </c>
      <c r="C362" s="409"/>
      <c r="D362" s="409"/>
      <c r="E362" s="409"/>
      <c r="F362" s="410"/>
      <c r="G362" s="137" t="s">
        <v>19692</v>
      </c>
      <c r="H362" s="211">
        <f>SUM(H364:H369)</f>
        <v>5088.9599999999991</v>
      </c>
    </row>
    <row r="363" spans="1:9" ht="30" customHeight="1">
      <c r="A363" s="139" t="s">
        <v>1026</v>
      </c>
      <c r="B363" s="139" t="s">
        <v>1027</v>
      </c>
      <c r="C363" s="139" t="s">
        <v>31</v>
      </c>
      <c r="D363" s="139" t="s">
        <v>1023</v>
      </c>
      <c r="E363" s="139" t="s">
        <v>32</v>
      </c>
      <c r="F363" s="183" t="s">
        <v>2343</v>
      </c>
      <c r="G363" s="140" t="s">
        <v>19676</v>
      </c>
      <c r="H363" s="140" t="s">
        <v>19677</v>
      </c>
    </row>
    <row r="364" spans="1:9" ht="38.25">
      <c r="A364" s="141" t="s">
        <v>26621</v>
      </c>
      <c r="B364" s="141" t="s">
        <v>1019</v>
      </c>
      <c r="C364" s="141">
        <v>5031</v>
      </c>
      <c r="D364" s="142" t="str">
        <f>PROPER(IFERROR(
IF(C364="","",
IF(CONCATENATE($A364,$B364)="IDER-ES",INDEX('IDER-ES'!$B:$B,MATCH($C364,'IDER-ES'!$A:$A,0)),
IF(CONCATENATE($A364,$B364)="CDER-ES",INDEX('CDER-ES'!$B:$B,MATCH($C364,'CDER-ES'!$A:$A,0)),
IF(CONCATENATE($A364,$B364)="ISINAPI",INDEX(ISINAPI!$B:$B,MATCH($C364,ISINAPI!$A:$A,0)),
IF(CONCATENATE($A364,$B364)="CSINAPI",INDEX(CSINAPI!$B:$B,MATCH($C364,CSINAPI!$A:$A,0)),
IF(CONCATENATE($A364,$B364)="CCESAN",INDEX(CCESAN!$B:$B,MATCH($C364,CCESAN!$A:$A,0)),
IF(CONCATENATE($A364,$B364)="CSCORIO",INDEX(CSCORIO!#REF!,MATCH($C364,CSCORIO!#REF!,0)),
IF(CONCATENATE($A364,$B364)="MERC",INDEX(MERCADO!$B:$B,MATCH($C364,MERCADO!$A:$A,0)),
IF(CONCATENATE($A364,$B364)="CCOMP",INDEX(COMPOSICAO!$B:$B,MATCH($C364,COMPOSICAO!$A:$A,0)),""
))))))))),"*Verificar código*"))</f>
        <v xml:space="preserve">Vidro Temperado Incolor Para Porta De Abrir, E = 10 Mm (Sem Ferragens E Sem Colocacao)                                                                                                                                                                                                                                                                                                                                                                                                                    </v>
      </c>
      <c r="E364" s="143" t="str">
        <f>LOWER(IFERROR(
IF(CONCATENATE($A364,$B364)="IDER-ES",INDEX('IDER-ES'!$C:$C,MATCH($C364,'IDER-ES'!$A:$A,0)),
IF(CONCATENATE($A364,$B364)="CIOPES",INDEX('CDER-ES'!$C:$C,MATCH($C364,'CDER-ES'!$A:$A,0)),
IF(CONCATENATE($A364,$B364)="ISINAPI",INDEX(ISINAPI!$C:$C,MATCH($C364,ISINAPI!$A:$A,0)),
IF(CONCATENATE($A364,$B364)="CSINAPI",INDEX(CSINAPI!$C:$C,MATCH($C364,CSINAPI!$A:$A,0)),
IF(CONCATENATE($A364,$B364)="CCESAN",INDEX(CCESAN!$C:$C,MATCH($C364,CCESAN!$A:$A,0)),
IF(CONCATENATE($A364,$B364)="CSCORIO",INDEX(CSCORIO!$A:$A,MATCH($C364,CSCORIO!#REF!,0)),
IF(CONCATENATE($A364,$B364)="MERC",INDEX(MERCADO!$D:$D,MATCH($C364,MERCADO!$A:$A,0)),
IF(CONCATENATE($A364,$B364)="CCOMP",INDEX(COMPOSICAO!$H:$H,MATCH($C364,COMPOSICAO!$A:$A,0)),""
)))))))),""))</f>
        <v xml:space="preserve">m²    </v>
      </c>
      <c r="F364" s="182">
        <f>1.9*2.4</f>
        <v>4.5599999999999996</v>
      </c>
      <c r="G364" s="144">
        <f>(IFERROR(
IF(CONCATENATE($A364,$B364)="IDER-ES",INDEX('IDER-ES'!$D:$D,MATCH($C364,'IDER-ES'!$A:$A,0)),
IF(CONCATENATE($A364,$B364)="CIOPES",INDEX('CDER-ES'!$D:$D,MATCH($C364,'CDER-ES'!$A:$A,0)),
IF(CONCATENATE($A364,$B364)="ISINAPI",INDEX(ISINAPI!$E:$E,MATCH($C364,ISINAPI!$A:$A,0)),
IF(CONCATENATE($A364,$B364)="CSINAPI",INDEX(CSINAPI!$D:$D,MATCH($C364,CSINAPI!$A:$A,0)),
IF(CONCATENATE($A364,$B364)="CCESAN",INDEX(CCESAN!$D:$D,MATCH($C364,CCESAN!$A:$A,0)),
IF(CONCATENATE($A364,$B364)="CSCORIO",INDEX(CSCORIO!$B:$B,MATCH($C364,CSCORIO!#REF!,0)),
IF(CONCATENATE($A364,$B364)="MERC",INDEX(MERCADO!$E:$E,MATCH($C364,MERCADO!$A:$A,0)),
IF(CONCATENATE($A364,$B364)="CCOMP",INDEX(COMPOSICAO!$H:$H,MATCH($C364,COMPOSICAO!$A:$A,0)),""
)))))))),""))</f>
        <v>531.41</v>
      </c>
      <c r="H364" s="144">
        <f t="shared" ref="H364:H367" si="59">IF(B364="","",ROUND(G364*F364,2))</f>
        <v>2423.23</v>
      </c>
    </row>
    <row r="365" spans="1:9" ht="38.25">
      <c r="A365" s="141" t="s">
        <v>21960</v>
      </c>
      <c r="B365" s="141" t="s">
        <v>1019</v>
      </c>
      <c r="C365" s="141">
        <v>102181</v>
      </c>
      <c r="D365" s="142" t="str">
        <f>PROPER(IFERROR(
IF(C365="","",
IF(CONCATENATE($A365,$B365)="IDER-ES",INDEX('IDER-ES'!$B:$B,MATCH($C365,'IDER-ES'!$A:$A,0)),
IF(CONCATENATE($A365,$B365)="CDER-ES",INDEX('CDER-ES'!$B:$B,MATCH($C365,'CDER-ES'!$A:$A,0)),
IF(CONCATENATE($A365,$B365)="ISINAPI",INDEX(ISINAPI!$B:$B,MATCH($C365,ISINAPI!$A:$A,0)),
IF(CONCATENATE($A365,$B365)="CSINAPI",INDEX(CSINAPI!$B:$B,MATCH($C365,CSINAPI!$A:$A,0)),
IF(CONCATENATE($A365,$B365)="CCESAN",INDEX(CCESAN!$B:$B,MATCH($C365,CCESAN!$A:$A,0)),
IF(CONCATENATE($A365,$B365)="CSCORIO",INDEX(CSCORIO!#REF!,MATCH($C365,CSCORIO!#REF!,0)),
IF(CONCATENATE($A365,$B365)="MERC",INDEX(MERCADO!$B:$B,MATCH($C365,MERCADO!$A:$A,0)),
IF(CONCATENATE($A365,$B365)="CCOMP",INDEX(COMPOSICAO!$B:$B,MATCH($C365,COMPOSICAO!$A:$A,0)),""
))))))))),"*Verificar código*"))</f>
        <v>Instalação De Vidro Temperado, E = 10 Mm, Encaixado Em Perfil U. Af_01/2021_P</v>
      </c>
      <c r="E365" s="143" t="str">
        <f>LOWER(IFERROR(
IF(CONCATENATE($A365,$B365)="IDER-ES",INDEX('IDER-ES'!$C:$C,MATCH($C365,'IDER-ES'!$A:$A,0)),
IF(CONCATENATE($A365,$B365)="CIOPES",INDEX('CDER-ES'!$C:$C,MATCH($C365,'CDER-ES'!$A:$A,0)),
IF(CONCATENATE($A365,$B365)="ISINAPI",INDEX(ISINAPI!$C:$C,MATCH($C365,ISINAPI!$A:$A,0)),
IF(CONCATENATE($A365,$B365)="CSINAPI",INDEX(CSINAPI!$C:$C,MATCH($C365,CSINAPI!$A:$A,0)),
IF(CONCATENATE($A365,$B365)="CCESAN",INDEX(CCESAN!$C:$C,MATCH($C365,CCESAN!$A:$A,0)),
IF(CONCATENATE($A365,$B365)="CSCORIO",INDEX(CSCORIO!$A:$A,MATCH($C365,CSCORIO!#REF!,0)),
IF(CONCATENATE($A365,$B365)="MERC",INDEX(MERCADO!$D:$D,MATCH($C365,MERCADO!$A:$A,0)),
IF(CONCATENATE($A365,$B365)="CCOMP",INDEX(COMPOSICAO!$H:$H,MATCH($C365,COMPOSICAO!$A:$A,0)),""
)))))))),""))</f>
        <v>m²</v>
      </c>
      <c r="F365" s="182">
        <f>0.6*1.9</f>
        <v>1.1399999999999999</v>
      </c>
      <c r="G365" s="144">
        <f>(IFERROR(
IF(CONCATENATE($A365,$B365)="IDER-ES",INDEX('IDER-ES'!$D:$D,MATCH($C365,'IDER-ES'!$A:$A,0)),
IF(CONCATENATE($A365,$B365)="CIOPES",INDEX('CDER-ES'!$D:$D,MATCH($C365,'CDER-ES'!$A:$A,0)),
IF(CONCATENATE($A365,$B365)="ISINAPI",INDEX(ISINAPI!$E:$E,MATCH($C365,ISINAPI!$A:$A,0)),
IF(CONCATENATE($A365,$B365)="CSINAPI",INDEX(CSINAPI!$D:$D,MATCH($C365,CSINAPI!$A:$A,0)),
IF(CONCATENATE($A365,$B365)="CCESAN",INDEX(CCESAN!$D:$D,MATCH($C365,CCESAN!$A:$A,0)),
IF(CONCATENATE($A365,$B365)="CSCORIO",INDEX(CSCORIO!$B:$B,MATCH($C365,CSCORIO!#REF!,0)),
IF(CONCATENATE($A365,$B365)="MERC",INDEX(MERCADO!$E:$E,MATCH($C365,MERCADO!$A:$A,0)),
IF(CONCATENATE($A365,$B365)="CCOMP",INDEX(COMPOSICAO!$H:$H,MATCH($C365,COMPOSICAO!$A:$A,0)),""
)))))))),""))</f>
        <v>597.07000000000005</v>
      </c>
      <c r="H365" s="144">
        <f t="shared" ref="H365" si="60">IF(B365="","",ROUND(G365*F365,2))</f>
        <v>680.66</v>
      </c>
    </row>
    <row r="366" spans="1:9" ht="25.5">
      <c r="A366" s="141" t="s">
        <v>21960</v>
      </c>
      <c r="B366" s="141" t="s">
        <v>1019</v>
      </c>
      <c r="C366" s="141">
        <v>102188</v>
      </c>
      <c r="D366" s="142" t="str">
        <f>PROPER(IFERROR(
IF(C366="","",
IF(CONCATENATE($A366,$B366)="IDER-ES",INDEX('IDER-ES'!$B:$B,MATCH($C366,'IDER-ES'!$A:$A,0)),
IF(CONCATENATE($A366,$B366)="CDER-ES",INDEX('CDER-ES'!$B:$B,MATCH($C366,'CDER-ES'!$A:$A,0)),
IF(CONCATENATE($A366,$B366)="ISINAPI",INDEX(ISINAPI!$B:$B,MATCH($C366,ISINAPI!$A:$A,0)),
IF(CONCATENATE($A366,$B366)="CSINAPI",INDEX(CSINAPI!$B:$B,MATCH($C366,CSINAPI!$A:$A,0)),
IF(CONCATENATE($A366,$B366)="CCESAN",INDEX(CCESAN!$B:$B,MATCH($C366,CCESAN!$A:$A,0)),
IF(CONCATENATE($A366,$B366)="CSCORIO",INDEX(CSCORIO!#REF!,MATCH($C366,CSCORIO!#REF!,0)),
IF(CONCATENATE($A366,$B366)="MERC",INDEX(MERCADO!$B:$B,MATCH($C366,MERCADO!$A:$A,0)),
IF(CONCATENATE($A366,$B366)="CCOMP",INDEX(COMPOSICAO!$B:$B,MATCH($C366,COMPOSICAO!$A:$A,0)),""
))))))))),"*Verificar código*"))</f>
        <v>Mola Hidraulica De Piso Para Porta De Vidro Temperado. Af_01/2021</v>
      </c>
      <c r="E366" s="143" t="str">
        <f>LOWER(IFERROR(
IF(CONCATENATE($A366,$B366)="IDER-ES",INDEX('IDER-ES'!$C:$C,MATCH($C366,'IDER-ES'!$A:$A,0)),
IF(CONCATENATE($A366,$B366)="CIOPES",INDEX('CDER-ES'!$C:$C,MATCH($C366,'CDER-ES'!$A:$A,0)),
IF(CONCATENATE($A366,$B366)="ISINAPI",INDEX(ISINAPI!$C:$C,MATCH($C366,ISINAPI!$A:$A,0)),
IF(CONCATENATE($A366,$B366)="CSINAPI",INDEX(CSINAPI!$C:$C,MATCH($C366,CSINAPI!$A:$A,0)),
IF(CONCATENATE($A366,$B366)="CCESAN",INDEX(CCESAN!$C:$C,MATCH($C366,CCESAN!$A:$A,0)),
IF(CONCATENATE($A366,$B366)="CSCORIO",INDEX(CSCORIO!$A:$A,MATCH($C366,CSCORIO!#REF!,0)),
IF(CONCATENATE($A366,$B366)="MERC",INDEX(MERCADO!$D:$D,MATCH($C366,MERCADO!$A:$A,0)),
IF(CONCATENATE($A366,$B366)="CCOMP",INDEX(COMPOSICAO!$H:$H,MATCH($C366,COMPOSICAO!$A:$A,0)),""
)))))))),""))</f>
        <v>und</v>
      </c>
      <c r="F366" s="182">
        <v>2</v>
      </c>
      <c r="G366" s="144">
        <f>(IFERROR(
IF(CONCATENATE($A366,$B366)="IDER-ES",INDEX('IDER-ES'!$D:$D,MATCH($C366,'IDER-ES'!$A:$A,0)),
IF(CONCATENATE($A366,$B366)="CIOPES",INDEX('CDER-ES'!$D:$D,MATCH($C366,'CDER-ES'!$A:$A,0)),
IF(CONCATENATE($A366,$B366)="ISINAPI",INDEX(ISINAPI!$E:$E,MATCH($C366,ISINAPI!$A:$A,0)),
IF(CONCATENATE($A366,$B366)="CSINAPI",INDEX(CSINAPI!$D:$D,MATCH($C366,CSINAPI!$A:$A,0)),
IF(CONCATENATE($A366,$B366)="CCESAN",INDEX(CCESAN!$D:$D,MATCH($C366,CCESAN!$A:$A,0)),
IF(CONCATENATE($A366,$B366)="CSCORIO",INDEX(CSCORIO!$B:$B,MATCH($C366,CSCORIO!#REF!,0)),
IF(CONCATENATE($A366,$B366)="MERC",INDEX(MERCADO!$E:$E,MATCH($C366,MERCADO!$A:$A,0)),
IF(CONCATENATE($A366,$B366)="CCOMP",INDEX(COMPOSICAO!$H:$H,MATCH($C366,COMPOSICAO!$A:$A,0)),""
)))))))),""))</f>
        <v>743.15</v>
      </c>
      <c r="H366" s="144">
        <f t="shared" si="59"/>
        <v>1486.3</v>
      </c>
    </row>
    <row r="367" spans="1:9" ht="76.5">
      <c r="A367" s="141" t="s">
        <v>21960</v>
      </c>
      <c r="B367" s="141" t="s">
        <v>1019</v>
      </c>
      <c r="C367" s="141">
        <v>102189</v>
      </c>
      <c r="D367" s="142" t="str">
        <f>PROPER(IFERROR(
IF(C367="","",
IF(CONCATENATE($A367,$B367)="IDER-ES",INDEX('IDER-ES'!$B:$B,MATCH($C367,'IDER-ES'!$A:$A,0)),
IF(CONCATENATE($A367,$B367)="CDER-ES",INDEX('CDER-ES'!$B:$B,MATCH($C367,'CDER-ES'!$A:$A,0)),
IF(CONCATENATE($A367,$B367)="ISINAPI",INDEX(ISINAPI!$B:$B,MATCH($C367,ISINAPI!$A:$A,0)),
IF(CONCATENATE($A367,$B367)="CSINAPI",INDEX(CSINAPI!$B:$B,MATCH($C367,CSINAPI!$A:$A,0)),
IF(CONCATENATE($A367,$B367)="CCESAN",INDEX(CCESAN!$B:$B,MATCH($C367,CCESAN!$A:$A,0)),
IF(CONCATENATE($A367,$B367)="CSCORIO",INDEX(CSCORIO!#REF!,MATCH($C367,CSCORIO!#REF!,0)),
IF(CONCATENATE($A367,$B367)="MERC",INDEX(MERCADO!$B:$B,MATCH($C367,MERCADO!$A:$A,0)),
IF(CONCATENATE($A367,$B367)="CCOMP",INDEX(COMPOSICAO!$B:$B,MATCH($C367,COMPOSICAO!$A:$A,0)),""
))))))))),"*Verificar código*"))</f>
        <v>Jogo De Ferragens Cromadas Para Porta De Vidro Temperado, Uma Folha Composto De Dobradicas Superior E Inferior, Trinco, Fechadura, Contra Fechadura Com Capuchinho Sem Mola E Puxador. Af_01/2021</v>
      </c>
      <c r="E367" s="143" t="str">
        <f>LOWER(IFERROR(
IF(CONCATENATE($A367,$B367)="IDER-ES",INDEX('IDER-ES'!$C:$C,MATCH($C367,'IDER-ES'!$A:$A,0)),
IF(CONCATENATE($A367,$B367)="CIOPES",INDEX('CDER-ES'!$C:$C,MATCH($C367,'CDER-ES'!$A:$A,0)),
IF(CONCATENATE($A367,$B367)="ISINAPI",INDEX(ISINAPI!$C:$C,MATCH($C367,ISINAPI!$A:$A,0)),
IF(CONCATENATE($A367,$B367)="CSINAPI",INDEX(CSINAPI!$C:$C,MATCH($C367,CSINAPI!$A:$A,0)),
IF(CONCATENATE($A367,$B367)="CCESAN",INDEX(CCESAN!$C:$C,MATCH($C367,CCESAN!$A:$A,0)),
IF(CONCATENATE($A367,$B367)="CSCORIO",INDEX(CSCORIO!$A:$A,MATCH($C367,CSCORIO!#REF!,0)),
IF(CONCATENATE($A367,$B367)="MERC",INDEX(MERCADO!$D:$D,MATCH($C367,MERCADO!$A:$A,0)),
IF(CONCATENATE($A367,$B367)="CCOMP",INDEX(COMPOSICAO!$H:$H,MATCH($C367,COMPOSICAO!$A:$A,0)),""
)))))))),""))</f>
        <v>und</v>
      </c>
      <c r="F367" s="182">
        <v>2</v>
      </c>
      <c r="G367" s="144">
        <f>(IFERROR(
IF(CONCATENATE($A367,$B367)="IDER-ES",INDEX('IDER-ES'!$D:$D,MATCH($C367,'IDER-ES'!$A:$A,0)),
IF(CONCATENATE($A367,$B367)="CIOPES",INDEX('CDER-ES'!$D:$D,MATCH($C367,'CDER-ES'!$A:$A,0)),
IF(CONCATENATE($A367,$B367)="ISINAPI",INDEX(ISINAPI!$E:$E,MATCH($C367,ISINAPI!$A:$A,0)),
IF(CONCATENATE($A367,$B367)="CSINAPI",INDEX(CSINAPI!$D:$D,MATCH($C367,CSINAPI!$A:$A,0)),
IF(CONCATENATE($A367,$B367)="CCESAN",INDEX(CCESAN!$D:$D,MATCH($C367,CCESAN!$A:$A,0)),
IF(CONCATENATE($A367,$B367)="CSCORIO",INDEX(CSCORIO!$B:$B,MATCH($C367,CSCORIO!#REF!,0)),
IF(CONCATENATE($A367,$B367)="MERC",INDEX(MERCADO!$E:$E,MATCH($C367,MERCADO!$A:$A,0)),
IF(CONCATENATE($A367,$B367)="CCOMP",INDEX(COMPOSICAO!$H:$H,MATCH($C367,COMPOSICAO!$A:$A,0)),""
)))))))),""))</f>
        <v>208.31</v>
      </c>
      <c r="H367" s="144">
        <f t="shared" si="59"/>
        <v>416.62</v>
      </c>
    </row>
    <row r="368" spans="1:9" ht="25.5">
      <c r="A368" s="141" t="s">
        <v>21960</v>
      </c>
      <c r="B368" s="141" t="s">
        <v>1019</v>
      </c>
      <c r="C368" s="141">
        <v>88316</v>
      </c>
      <c r="D368" s="142" t="str">
        <f>PROPER(IFERROR(
IF(C368="","",
IF(CONCATENATE($A368,$B368)="IDER-ES",INDEX('IDER-ES'!$B:$B,MATCH($C368,'IDER-ES'!$A:$A,0)),
IF(CONCATENATE($A368,$B368)="CDER-ES",INDEX('CDER-ES'!$B:$B,MATCH($C368,'CDER-ES'!$A:$A,0)),
IF(CONCATENATE($A368,$B368)="ISINAPI",INDEX(ISINAPI!$B:$B,MATCH($C368,ISINAPI!$A:$A,0)),
IF(CONCATENATE($A368,$B368)="CSINAPI",INDEX(CSINAPI!$B:$B,MATCH($C368,CSINAPI!$A:$A,0)),
IF(CONCATENATE($A368,$B368)="CCESAN",INDEX(CCESAN!$B:$B,MATCH($C368,CCESAN!$A:$A,0)),
IF(CONCATENATE($A368,$B368)="CSCORIO",INDEX(CSCORIO!#REF!,MATCH($C368,CSCORIO!#REF!,0)),
IF(CONCATENATE($A368,$B368)="MERC",INDEX(MERCADO!$B:$B,MATCH($C368,MERCADO!$A:$A,0)),
IF(CONCATENATE($A368,$B368)="CCOMP",INDEX(COMPOSICAO!$B:$B,MATCH($C368,COMPOSICAO!$A:$A,0)),""
))))))))),"*Verificar código*"))</f>
        <v>Servente Com Encargos Complementares</v>
      </c>
      <c r="E368" s="143" t="str">
        <f>LOWER(IFERROR(
IF(CONCATENATE($A368,$B368)="IDER-ES",INDEX('IDER-ES'!$C:$C,MATCH($C368,'IDER-ES'!$A:$A,0)),
IF(CONCATENATE($A368,$B368)="CIOPES",INDEX('CDER-ES'!$C:$C,MATCH($C368,'CDER-ES'!$A:$A,0)),
IF(CONCATENATE($A368,$B368)="ISINAPI",INDEX(ISINAPI!$C:$C,MATCH($C368,ISINAPI!$A:$A,0)),
IF(CONCATENATE($A368,$B368)="CSINAPI",INDEX(CSINAPI!$C:$C,MATCH($C368,CSINAPI!$A:$A,0)),
IF(CONCATENATE($A368,$B368)="CCESAN",INDEX(CCESAN!$C:$C,MATCH($C368,CCESAN!$A:$A,0)),
IF(CONCATENATE($A368,$B368)="CSCORIO",INDEX(CSCORIO!$A:$A,MATCH($C368,CSCORIO!#REF!,0)),
IF(CONCATENATE($A368,$B368)="MERC",INDEX(MERCADO!$D:$D,MATCH($C368,MERCADO!$A:$A,0)),
IF(CONCATENATE($A368,$B368)="CCOMP",INDEX(COMPOSICAO!$H:$H,MATCH($C368,COMPOSICAO!$A:$A,0)),""
)))))))),""))</f>
        <v>h</v>
      </c>
      <c r="F368" s="182">
        <f>1.673*F365</f>
        <v>1.9072199999999999</v>
      </c>
      <c r="G368" s="144">
        <f>(IFERROR(
IF(CONCATENATE($A368,$B368)="IDER-ES",INDEX('IDER-ES'!$D:$D,MATCH($C368,'IDER-ES'!$A:$A,0)),
IF(CONCATENATE($A368,$B368)="CIOPES",INDEX('CDER-ES'!$D:$D,MATCH($C368,'CDER-ES'!$A:$A,0)),
IF(CONCATENATE($A368,$B368)="ISINAPI",INDEX(ISINAPI!$E:$E,MATCH($C368,ISINAPI!$A:$A,0)),
IF(CONCATENATE($A368,$B368)="CSINAPI",INDEX(CSINAPI!$D:$D,MATCH($C368,CSINAPI!$A:$A,0)),
IF(CONCATENATE($A368,$B368)="CCESAN",INDEX(CCESAN!$D:$D,MATCH($C368,CCESAN!$A:$A,0)),
IF(CONCATENATE($A368,$B368)="CSCORIO",INDEX(CSCORIO!$B:$B,MATCH($C368,CSCORIO!#REF!,0)),
IF(CONCATENATE($A368,$B368)="MERC",INDEX(MERCADO!$E:$E,MATCH($C368,MERCADO!$A:$A,0)),
IF(CONCATENATE($A368,$B368)="CCOMP",INDEX(COMPOSICAO!$H:$H,MATCH($C368,COMPOSICAO!$A:$A,0)),""
)))))))),""))</f>
        <v>18.11</v>
      </c>
      <c r="H368" s="144">
        <f t="shared" ref="H368:H369" si="61">IF(B368="","",ROUND(G368*F368,2))</f>
        <v>34.54</v>
      </c>
    </row>
    <row r="369" spans="1:9" ht="25.5">
      <c r="A369" s="141" t="s">
        <v>21960</v>
      </c>
      <c r="B369" s="141" t="s">
        <v>1019</v>
      </c>
      <c r="C369" s="141">
        <v>88325</v>
      </c>
      <c r="D369" s="142" t="str">
        <f>PROPER(IFERROR(
IF(C369="","",
IF(CONCATENATE($A369,$B369)="IDER-ES",INDEX('IDER-ES'!$B:$B,MATCH($C369,'IDER-ES'!$A:$A,0)),
IF(CONCATENATE($A369,$B369)="CDER-ES",INDEX('CDER-ES'!$B:$B,MATCH($C369,'CDER-ES'!$A:$A,0)),
IF(CONCATENATE($A369,$B369)="ISINAPI",INDEX(ISINAPI!$B:$B,MATCH($C369,ISINAPI!$A:$A,0)),
IF(CONCATENATE($A369,$B369)="CSINAPI",INDEX(CSINAPI!$B:$B,MATCH($C369,CSINAPI!$A:$A,0)),
IF(CONCATENATE($A369,$B369)="CCESAN",INDEX(CCESAN!$B:$B,MATCH($C369,CCESAN!$A:$A,0)),
IF(CONCATENATE($A369,$B369)="CSCORIO",INDEX(CSCORIO!#REF!,MATCH($C369,CSCORIO!#REF!,0)),
IF(CONCATENATE($A369,$B369)="MERC",INDEX(MERCADO!$B:$B,MATCH($C369,MERCADO!$A:$A,0)),
IF(CONCATENATE($A369,$B369)="CCOMP",INDEX(COMPOSICAO!$B:$B,MATCH($C369,COMPOSICAO!$A:$A,0)),""
))))))))),"*Verificar código*"))</f>
        <v>Vidraceiro Com Encargos Complementares</v>
      </c>
      <c r="E369" s="143" t="str">
        <f>LOWER(IFERROR(
IF(CONCATENATE($A369,$B369)="IDER-ES",INDEX('IDER-ES'!$C:$C,MATCH($C369,'IDER-ES'!$A:$A,0)),
IF(CONCATENATE($A369,$B369)="CIOPES",INDEX('CDER-ES'!$C:$C,MATCH($C369,'CDER-ES'!$A:$A,0)),
IF(CONCATENATE($A369,$B369)="ISINAPI",INDEX(ISINAPI!$C:$C,MATCH($C369,ISINAPI!$A:$A,0)),
IF(CONCATENATE($A369,$B369)="CSINAPI",INDEX(CSINAPI!$C:$C,MATCH($C369,CSINAPI!$A:$A,0)),
IF(CONCATENATE($A369,$B369)="CCESAN",INDEX(CCESAN!$C:$C,MATCH($C369,CCESAN!$A:$A,0)),
IF(CONCATENATE($A369,$B369)="CSCORIO",INDEX(CSCORIO!$A:$A,MATCH($C369,CSCORIO!#REF!,0)),
IF(CONCATENATE($A369,$B369)="MERC",INDEX(MERCADO!$D:$D,MATCH($C369,MERCADO!$A:$A,0)),
IF(CONCATENATE($A369,$B369)="CCOMP",INDEX(COMPOSICAO!$H:$H,MATCH($C369,COMPOSICAO!$A:$A,0)),""
)))))))),""))</f>
        <v>h</v>
      </c>
      <c r="F369" s="182">
        <f>1.72*F365</f>
        <v>1.9607999999999999</v>
      </c>
      <c r="G369" s="144">
        <f>(IFERROR(
IF(CONCATENATE($A369,$B369)="IDER-ES",INDEX('IDER-ES'!$D:$D,MATCH($C369,'IDER-ES'!$A:$A,0)),
IF(CONCATENATE($A369,$B369)="CIOPES",INDEX('CDER-ES'!$D:$D,MATCH($C369,'CDER-ES'!$A:$A,0)),
IF(CONCATENATE($A369,$B369)="ISINAPI",INDEX(ISINAPI!$E:$E,MATCH($C369,ISINAPI!$A:$A,0)),
IF(CONCATENATE($A369,$B369)="CSINAPI",INDEX(CSINAPI!$D:$D,MATCH($C369,CSINAPI!$A:$A,0)),
IF(CONCATENATE($A369,$B369)="CCESAN",INDEX(CCESAN!$D:$D,MATCH($C369,CCESAN!$A:$A,0)),
IF(CONCATENATE($A369,$B369)="CSCORIO",INDEX(CSCORIO!$B:$B,MATCH($C369,CSCORIO!#REF!,0)),
IF(CONCATENATE($A369,$B369)="MERC",INDEX(MERCADO!$E:$E,MATCH($C369,MERCADO!$A:$A,0)),
IF(CONCATENATE($A369,$B369)="CCOMP",INDEX(COMPOSICAO!$H:$H,MATCH($C369,COMPOSICAO!$A:$A,0)),""
)))))))),""))</f>
        <v>24.28</v>
      </c>
      <c r="H369" s="144">
        <f t="shared" si="61"/>
        <v>47.61</v>
      </c>
    </row>
    <row r="371" spans="1:9" s="135" customFormat="1" ht="20.100000000000001" customHeight="1">
      <c r="A371" s="186" t="s">
        <v>1020</v>
      </c>
      <c r="B371" s="405" t="s">
        <v>1022</v>
      </c>
      <c r="C371" s="406"/>
      <c r="D371" s="406"/>
      <c r="E371" s="406"/>
      <c r="F371" s="407"/>
      <c r="G371" s="133" t="s">
        <v>19692</v>
      </c>
      <c r="H371" s="134" t="s">
        <v>19678</v>
      </c>
      <c r="I371" s="263"/>
    </row>
    <row r="372" spans="1:9" ht="60" customHeight="1">
      <c r="A372" s="136">
        <f>COUNTIF($A$4:$A371,$A$4)</f>
        <v>33</v>
      </c>
      <c r="B372" s="408" t="s">
        <v>28629</v>
      </c>
      <c r="C372" s="409"/>
      <c r="D372" s="409"/>
      <c r="E372" s="409"/>
      <c r="F372" s="410"/>
      <c r="G372" s="137" t="s">
        <v>19692</v>
      </c>
      <c r="H372" s="211">
        <f>SUM(H374:H379)</f>
        <v>5592.01</v>
      </c>
    </row>
    <row r="373" spans="1:9" ht="30" customHeight="1">
      <c r="A373" s="139" t="s">
        <v>1026</v>
      </c>
      <c r="B373" s="139" t="s">
        <v>1027</v>
      </c>
      <c r="C373" s="139" t="s">
        <v>31</v>
      </c>
      <c r="D373" s="139" t="s">
        <v>1023</v>
      </c>
      <c r="E373" s="139" t="s">
        <v>32</v>
      </c>
      <c r="F373" s="183" t="s">
        <v>2343</v>
      </c>
      <c r="G373" s="140" t="s">
        <v>19676</v>
      </c>
      <c r="H373" s="140" t="s">
        <v>19677</v>
      </c>
    </row>
    <row r="374" spans="1:9" ht="38.25">
      <c r="A374" s="141" t="s">
        <v>26621</v>
      </c>
      <c r="B374" s="141" t="s">
        <v>1019</v>
      </c>
      <c r="C374" s="141">
        <v>5031</v>
      </c>
      <c r="D374" s="142" t="str">
        <f>PROPER(IFERROR(
IF(C374="","",
IF(CONCATENATE($A374,$B374)="IDER-ES",INDEX('IDER-ES'!$B:$B,MATCH($C374,'IDER-ES'!$A:$A,0)),
IF(CONCATENATE($A374,$B374)="CDER-ES",INDEX('CDER-ES'!$B:$B,MATCH($C374,'CDER-ES'!$A:$A,0)),
IF(CONCATENATE($A374,$B374)="ISINAPI",INDEX(ISINAPI!$B:$B,MATCH($C374,ISINAPI!$A:$A,0)),
IF(CONCATENATE($A374,$B374)="CSINAPI",INDEX(CSINAPI!$B:$B,MATCH($C374,CSINAPI!$A:$A,0)),
IF(CONCATENATE($A374,$B374)="CCESAN",INDEX(CCESAN!$B:$B,MATCH($C374,CCESAN!$A:$A,0)),
IF(CONCATENATE($A374,$B374)="CSCORIO",INDEX(CSCORIO!#REF!,MATCH($C374,CSCORIO!#REF!,0)),
IF(CONCATENATE($A374,$B374)="MERC",INDEX(MERCADO!$B:$B,MATCH($C374,MERCADO!$A:$A,0)),
IF(CONCATENATE($A374,$B374)="CCOMP",INDEX(COMPOSICAO!$B:$B,MATCH($C374,COMPOSICAO!$A:$A,0)),""
))))))))),"*Verificar código*"))</f>
        <v xml:space="preserve">Vidro Temperado Incolor Para Porta De Abrir, E = 10 Mm (Sem Ferragens E Sem Colocacao)                                                                                                                                                                                                                                                                                                                                                                                                                    </v>
      </c>
      <c r="E374" s="143" t="str">
        <f>LOWER(IFERROR(
IF(CONCATENATE($A374,$B374)="IDER-ES",INDEX('IDER-ES'!$C:$C,MATCH($C374,'IDER-ES'!$A:$A,0)),
IF(CONCATENATE($A374,$B374)="CIOPES",INDEX('CDER-ES'!$C:$C,MATCH($C374,'CDER-ES'!$A:$A,0)),
IF(CONCATENATE($A374,$B374)="ISINAPI",INDEX(ISINAPI!$C:$C,MATCH($C374,ISINAPI!$A:$A,0)),
IF(CONCATENATE($A374,$B374)="CSINAPI",INDEX(CSINAPI!$C:$C,MATCH($C374,CSINAPI!$A:$A,0)),
IF(CONCATENATE($A374,$B374)="CCESAN",INDEX(CCESAN!$C:$C,MATCH($C374,CCESAN!$A:$A,0)),
IF(CONCATENATE($A374,$B374)="CSCORIO",INDEX(CSCORIO!$A:$A,MATCH($C374,CSCORIO!#REF!,0)),
IF(CONCATENATE($A374,$B374)="MERC",INDEX(MERCADO!$D:$D,MATCH($C374,MERCADO!$A:$A,0)),
IF(CONCATENATE($A374,$B374)="CCOMP",INDEX(COMPOSICAO!$H:$H,MATCH($C374,COMPOSICAO!$A:$A,0)),""
)))))))),""))</f>
        <v xml:space="preserve">m²    </v>
      </c>
      <c r="F374" s="182">
        <f>2.4*2.2</f>
        <v>5.28</v>
      </c>
      <c r="G374" s="144">
        <f>(IFERROR(
IF(CONCATENATE($A374,$B374)="IDER-ES",INDEX('IDER-ES'!$D:$D,MATCH($C374,'IDER-ES'!$A:$A,0)),
IF(CONCATENATE($A374,$B374)="CIOPES",INDEX('CDER-ES'!$D:$D,MATCH($C374,'CDER-ES'!$A:$A,0)),
IF(CONCATENATE($A374,$B374)="ISINAPI",INDEX(ISINAPI!$E:$E,MATCH($C374,ISINAPI!$A:$A,0)),
IF(CONCATENATE($A374,$B374)="CSINAPI",INDEX(CSINAPI!$D:$D,MATCH($C374,CSINAPI!$A:$A,0)),
IF(CONCATENATE($A374,$B374)="CCESAN",INDEX(CCESAN!$D:$D,MATCH($C374,CCESAN!$A:$A,0)),
IF(CONCATENATE($A374,$B374)="CSCORIO",INDEX(CSCORIO!$B:$B,MATCH($C374,CSCORIO!#REF!,0)),
IF(CONCATENATE($A374,$B374)="MERC",INDEX(MERCADO!$E:$E,MATCH($C374,MERCADO!$A:$A,0)),
IF(CONCATENATE($A374,$B374)="CCOMP",INDEX(COMPOSICAO!$H:$H,MATCH($C374,COMPOSICAO!$A:$A,0)),""
)))))))),""))</f>
        <v>531.41</v>
      </c>
      <c r="H374" s="144">
        <f t="shared" ref="H374:H379" si="62">IF(B374="","",ROUND(G374*F374,2))</f>
        <v>2805.84</v>
      </c>
    </row>
    <row r="375" spans="1:9" ht="38.25">
      <c r="A375" s="141" t="s">
        <v>21960</v>
      </c>
      <c r="B375" s="141" t="s">
        <v>1019</v>
      </c>
      <c r="C375" s="141">
        <v>102181</v>
      </c>
      <c r="D375" s="142" t="str">
        <f>PROPER(IFERROR(
IF(C375="","",
IF(CONCATENATE($A375,$B375)="IDER-ES",INDEX('IDER-ES'!$B:$B,MATCH($C375,'IDER-ES'!$A:$A,0)),
IF(CONCATENATE($A375,$B375)="CDER-ES",INDEX('CDER-ES'!$B:$B,MATCH($C375,'CDER-ES'!$A:$A,0)),
IF(CONCATENATE($A375,$B375)="ISINAPI",INDEX(ISINAPI!$B:$B,MATCH($C375,ISINAPI!$A:$A,0)),
IF(CONCATENATE($A375,$B375)="CSINAPI",INDEX(CSINAPI!$B:$B,MATCH($C375,CSINAPI!$A:$A,0)),
IF(CONCATENATE($A375,$B375)="CCESAN",INDEX(CCESAN!$B:$B,MATCH($C375,CCESAN!$A:$A,0)),
IF(CONCATENATE($A375,$B375)="CSCORIO",INDEX(CSCORIO!#REF!,MATCH($C375,CSCORIO!#REF!,0)),
IF(CONCATENATE($A375,$B375)="MERC",INDEX(MERCADO!$B:$B,MATCH($C375,MERCADO!$A:$A,0)),
IF(CONCATENATE($A375,$B375)="CCOMP",INDEX(COMPOSICAO!$B:$B,MATCH($C375,COMPOSICAO!$A:$A,0)),""
))))))))),"*Verificar código*"))</f>
        <v>Instalação De Vidro Temperado, E = 10 Mm, Encaixado Em Perfil U. Af_01/2021_P</v>
      </c>
      <c r="E375" s="143" t="str">
        <f>LOWER(IFERROR(
IF(CONCATENATE($A375,$B375)="IDER-ES",INDEX('IDER-ES'!$C:$C,MATCH($C375,'IDER-ES'!$A:$A,0)),
IF(CONCATENATE($A375,$B375)="CIOPES",INDEX('CDER-ES'!$C:$C,MATCH($C375,'CDER-ES'!$A:$A,0)),
IF(CONCATENATE($A375,$B375)="ISINAPI",INDEX(ISINAPI!$C:$C,MATCH($C375,ISINAPI!$A:$A,0)),
IF(CONCATENATE($A375,$B375)="CSINAPI",INDEX(CSINAPI!$C:$C,MATCH($C375,CSINAPI!$A:$A,0)),
IF(CONCATENATE($A375,$B375)="CCESAN",INDEX(CCESAN!$C:$C,MATCH($C375,CCESAN!$A:$A,0)),
IF(CONCATENATE($A375,$B375)="CSCORIO",INDEX(CSCORIO!$A:$A,MATCH($C375,CSCORIO!#REF!,0)),
IF(CONCATENATE($A375,$B375)="MERC",INDEX(MERCADO!$D:$D,MATCH($C375,MERCADO!$A:$A,0)),
IF(CONCATENATE($A375,$B375)="CCOMP",INDEX(COMPOSICAO!$H:$H,MATCH($C375,COMPOSICAO!$A:$A,0)),""
)))))))),""))</f>
        <v>m²</v>
      </c>
      <c r="F375" s="182">
        <f>0.6*2.2</f>
        <v>1.32</v>
      </c>
      <c r="G375" s="144">
        <f>(IFERROR(
IF(CONCATENATE($A375,$B375)="IDER-ES",INDEX('IDER-ES'!$D:$D,MATCH($C375,'IDER-ES'!$A:$A,0)),
IF(CONCATENATE($A375,$B375)="CIOPES",INDEX('CDER-ES'!$D:$D,MATCH($C375,'CDER-ES'!$A:$A,0)),
IF(CONCATENATE($A375,$B375)="ISINAPI",INDEX(ISINAPI!$E:$E,MATCH($C375,ISINAPI!$A:$A,0)),
IF(CONCATENATE($A375,$B375)="CSINAPI",INDEX(CSINAPI!$D:$D,MATCH($C375,CSINAPI!$A:$A,0)),
IF(CONCATENATE($A375,$B375)="CCESAN",INDEX(CCESAN!$D:$D,MATCH($C375,CCESAN!$A:$A,0)),
IF(CONCATENATE($A375,$B375)="CSCORIO",INDEX(CSCORIO!$B:$B,MATCH($C375,CSCORIO!#REF!,0)),
IF(CONCATENATE($A375,$B375)="MERC",INDEX(MERCADO!$E:$E,MATCH($C375,MERCADO!$A:$A,0)),
IF(CONCATENATE($A375,$B375)="CCOMP",INDEX(COMPOSICAO!$H:$H,MATCH($C375,COMPOSICAO!$A:$A,0)),""
)))))))),""))</f>
        <v>597.07000000000005</v>
      </c>
      <c r="H375" s="144">
        <f t="shared" si="62"/>
        <v>788.13</v>
      </c>
    </row>
    <row r="376" spans="1:9" ht="25.5">
      <c r="A376" s="141" t="s">
        <v>21960</v>
      </c>
      <c r="B376" s="141" t="s">
        <v>1019</v>
      </c>
      <c r="C376" s="141">
        <v>102188</v>
      </c>
      <c r="D376" s="142" t="str">
        <f>PROPER(IFERROR(
IF(C376="","",
IF(CONCATENATE($A376,$B376)="IDER-ES",INDEX('IDER-ES'!$B:$B,MATCH($C376,'IDER-ES'!$A:$A,0)),
IF(CONCATENATE($A376,$B376)="CDER-ES",INDEX('CDER-ES'!$B:$B,MATCH($C376,'CDER-ES'!$A:$A,0)),
IF(CONCATENATE($A376,$B376)="ISINAPI",INDEX(ISINAPI!$B:$B,MATCH($C376,ISINAPI!$A:$A,0)),
IF(CONCATENATE($A376,$B376)="CSINAPI",INDEX(CSINAPI!$B:$B,MATCH($C376,CSINAPI!$A:$A,0)),
IF(CONCATENATE($A376,$B376)="CCESAN",INDEX(CCESAN!$B:$B,MATCH($C376,CCESAN!$A:$A,0)),
IF(CONCATENATE($A376,$B376)="CSCORIO",INDEX(CSCORIO!#REF!,MATCH($C376,CSCORIO!#REF!,0)),
IF(CONCATENATE($A376,$B376)="MERC",INDEX(MERCADO!$B:$B,MATCH($C376,MERCADO!$A:$A,0)),
IF(CONCATENATE($A376,$B376)="CCOMP",INDEX(COMPOSICAO!$B:$B,MATCH($C376,COMPOSICAO!$A:$A,0)),""
))))))))),"*Verificar código*"))</f>
        <v>Mola Hidraulica De Piso Para Porta De Vidro Temperado. Af_01/2021</v>
      </c>
      <c r="E376" s="143" t="str">
        <f>LOWER(IFERROR(
IF(CONCATENATE($A376,$B376)="IDER-ES",INDEX('IDER-ES'!$C:$C,MATCH($C376,'IDER-ES'!$A:$A,0)),
IF(CONCATENATE($A376,$B376)="CIOPES",INDEX('CDER-ES'!$C:$C,MATCH($C376,'CDER-ES'!$A:$A,0)),
IF(CONCATENATE($A376,$B376)="ISINAPI",INDEX(ISINAPI!$C:$C,MATCH($C376,ISINAPI!$A:$A,0)),
IF(CONCATENATE($A376,$B376)="CSINAPI",INDEX(CSINAPI!$C:$C,MATCH($C376,CSINAPI!$A:$A,0)),
IF(CONCATENATE($A376,$B376)="CCESAN",INDEX(CCESAN!$C:$C,MATCH($C376,CCESAN!$A:$A,0)),
IF(CONCATENATE($A376,$B376)="CSCORIO",INDEX(CSCORIO!$A:$A,MATCH($C376,CSCORIO!#REF!,0)),
IF(CONCATENATE($A376,$B376)="MERC",INDEX(MERCADO!$D:$D,MATCH($C376,MERCADO!$A:$A,0)),
IF(CONCATENATE($A376,$B376)="CCOMP",INDEX(COMPOSICAO!$H:$H,MATCH($C376,COMPOSICAO!$A:$A,0)),""
)))))))),""))</f>
        <v>und</v>
      </c>
      <c r="F376" s="182">
        <v>2</v>
      </c>
      <c r="G376" s="144">
        <f>(IFERROR(
IF(CONCATENATE($A376,$B376)="IDER-ES",INDEX('IDER-ES'!$D:$D,MATCH($C376,'IDER-ES'!$A:$A,0)),
IF(CONCATENATE($A376,$B376)="CIOPES",INDEX('CDER-ES'!$D:$D,MATCH($C376,'CDER-ES'!$A:$A,0)),
IF(CONCATENATE($A376,$B376)="ISINAPI",INDEX(ISINAPI!$E:$E,MATCH($C376,ISINAPI!$A:$A,0)),
IF(CONCATENATE($A376,$B376)="CSINAPI",INDEX(CSINAPI!$D:$D,MATCH($C376,CSINAPI!$A:$A,0)),
IF(CONCATENATE($A376,$B376)="CCESAN",INDEX(CCESAN!$D:$D,MATCH($C376,CCESAN!$A:$A,0)),
IF(CONCATENATE($A376,$B376)="CSCORIO",INDEX(CSCORIO!$B:$B,MATCH($C376,CSCORIO!#REF!,0)),
IF(CONCATENATE($A376,$B376)="MERC",INDEX(MERCADO!$E:$E,MATCH($C376,MERCADO!$A:$A,0)),
IF(CONCATENATE($A376,$B376)="CCOMP",INDEX(COMPOSICAO!$H:$H,MATCH($C376,COMPOSICAO!$A:$A,0)),""
)))))))),""))</f>
        <v>743.15</v>
      </c>
      <c r="H376" s="144">
        <f t="shared" si="62"/>
        <v>1486.3</v>
      </c>
    </row>
    <row r="377" spans="1:9" ht="76.5">
      <c r="A377" s="141" t="s">
        <v>21960</v>
      </c>
      <c r="B377" s="141" t="s">
        <v>1019</v>
      </c>
      <c r="C377" s="141">
        <v>102189</v>
      </c>
      <c r="D377" s="142" t="str">
        <f>PROPER(IFERROR(
IF(C377="","",
IF(CONCATENATE($A377,$B377)="IDER-ES",INDEX('IDER-ES'!$B:$B,MATCH($C377,'IDER-ES'!$A:$A,0)),
IF(CONCATENATE($A377,$B377)="CDER-ES",INDEX('CDER-ES'!$B:$B,MATCH($C377,'CDER-ES'!$A:$A,0)),
IF(CONCATENATE($A377,$B377)="ISINAPI",INDEX(ISINAPI!$B:$B,MATCH($C377,ISINAPI!$A:$A,0)),
IF(CONCATENATE($A377,$B377)="CSINAPI",INDEX(CSINAPI!$B:$B,MATCH($C377,CSINAPI!$A:$A,0)),
IF(CONCATENATE($A377,$B377)="CCESAN",INDEX(CCESAN!$B:$B,MATCH($C377,CCESAN!$A:$A,0)),
IF(CONCATENATE($A377,$B377)="CSCORIO",INDEX(CSCORIO!#REF!,MATCH($C377,CSCORIO!#REF!,0)),
IF(CONCATENATE($A377,$B377)="MERC",INDEX(MERCADO!$B:$B,MATCH($C377,MERCADO!$A:$A,0)),
IF(CONCATENATE($A377,$B377)="CCOMP",INDEX(COMPOSICAO!$B:$B,MATCH($C377,COMPOSICAO!$A:$A,0)),""
))))))))),"*Verificar código*"))</f>
        <v>Jogo De Ferragens Cromadas Para Porta De Vidro Temperado, Uma Folha Composto De Dobradicas Superior E Inferior, Trinco, Fechadura, Contra Fechadura Com Capuchinho Sem Mola E Puxador. Af_01/2021</v>
      </c>
      <c r="E377" s="143" t="str">
        <f>LOWER(IFERROR(
IF(CONCATENATE($A377,$B377)="IDER-ES",INDEX('IDER-ES'!$C:$C,MATCH($C377,'IDER-ES'!$A:$A,0)),
IF(CONCATENATE($A377,$B377)="CIOPES",INDEX('CDER-ES'!$C:$C,MATCH($C377,'CDER-ES'!$A:$A,0)),
IF(CONCATENATE($A377,$B377)="ISINAPI",INDEX(ISINAPI!$C:$C,MATCH($C377,ISINAPI!$A:$A,0)),
IF(CONCATENATE($A377,$B377)="CSINAPI",INDEX(CSINAPI!$C:$C,MATCH($C377,CSINAPI!$A:$A,0)),
IF(CONCATENATE($A377,$B377)="CCESAN",INDEX(CCESAN!$C:$C,MATCH($C377,CCESAN!$A:$A,0)),
IF(CONCATENATE($A377,$B377)="CSCORIO",INDEX(CSCORIO!$A:$A,MATCH($C377,CSCORIO!#REF!,0)),
IF(CONCATENATE($A377,$B377)="MERC",INDEX(MERCADO!$D:$D,MATCH($C377,MERCADO!$A:$A,0)),
IF(CONCATENATE($A377,$B377)="CCOMP",INDEX(COMPOSICAO!$H:$H,MATCH($C377,COMPOSICAO!$A:$A,0)),""
)))))))),""))</f>
        <v>und</v>
      </c>
      <c r="F377" s="182">
        <v>2</v>
      </c>
      <c r="G377" s="144">
        <f>(IFERROR(
IF(CONCATENATE($A377,$B377)="IDER-ES",INDEX('IDER-ES'!$D:$D,MATCH($C377,'IDER-ES'!$A:$A,0)),
IF(CONCATENATE($A377,$B377)="CIOPES",INDEX('CDER-ES'!$D:$D,MATCH($C377,'CDER-ES'!$A:$A,0)),
IF(CONCATENATE($A377,$B377)="ISINAPI",INDEX(ISINAPI!$E:$E,MATCH($C377,ISINAPI!$A:$A,0)),
IF(CONCATENATE($A377,$B377)="CSINAPI",INDEX(CSINAPI!$D:$D,MATCH($C377,CSINAPI!$A:$A,0)),
IF(CONCATENATE($A377,$B377)="CCESAN",INDEX(CCESAN!$D:$D,MATCH($C377,CCESAN!$A:$A,0)),
IF(CONCATENATE($A377,$B377)="CSCORIO",INDEX(CSCORIO!$B:$B,MATCH($C377,CSCORIO!#REF!,0)),
IF(CONCATENATE($A377,$B377)="MERC",INDEX(MERCADO!$E:$E,MATCH($C377,MERCADO!$A:$A,0)),
IF(CONCATENATE($A377,$B377)="CCOMP",INDEX(COMPOSICAO!$H:$H,MATCH($C377,COMPOSICAO!$A:$A,0)),""
)))))))),""))</f>
        <v>208.31</v>
      </c>
      <c r="H377" s="144">
        <f t="shared" si="62"/>
        <v>416.62</v>
      </c>
    </row>
    <row r="378" spans="1:9" ht="25.5">
      <c r="A378" s="141" t="s">
        <v>21960</v>
      </c>
      <c r="B378" s="141" t="s">
        <v>1019</v>
      </c>
      <c r="C378" s="141">
        <v>88316</v>
      </c>
      <c r="D378" s="142" t="str">
        <f>PROPER(IFERROR(
IF(C378="","",
IF(CONCATENATE($A378,$B378)="IDER-ES",INDEX('IDER-ES'!$B:$B,MATCH($C378,'IDER-ES'!$A:$A,0)),
IF(CONCATENATE($A378,$B378)="CDER-ES",INDEX('CDER-ES'!$B:$B,MATCH($C378,'CDER-ES'!$A:$A,0)),
IF(CONCATENATE($A378,$B378)="ISINAPI",INDEX(ISINAPI!$B:$B,MATCH($C378,ISINAPI!$A:$A,0)),
IF(CONCATENATE($A378,$B378)="CSINAPI",INDEX(CSINAPI!$B:$B,MATCH($C378,CSINAPI!$A:$A,0)),
IF(CONCATENATE($A378,$B378)="CCESAN",INDEX(CCESAN!$B:$B,MATCH($C378,CCESAN!$A:$A,0)),
IF(CONCATENATE($A378,$B378)="CSCORIO",INDEX(CSCORIO!#REF!,MATCH($C378,CSCORIO!#REF!,0)),
IF(CONCATENATE($A378,$B378)="MERC",INDEX(MERCADO!$B:$B,MATCH($C378,MERCADO!$A:$A,0)),
IF(CONCATENATE($A378,$B378)="CCOMP",INDEX(COMPOSICAO!$B:$B,MATCH($C378,COMPOSICAO!$A:$A,0)),""
))))))))),"*Verificar código*"))</f>
        <v>Servente Com Encargos Complementares</v>
      </c>
      <c r="E378" s="143" t="str">
        <f>LOWER(IFERROR(
IF(CONCATENATE($A378,$B378)="IDER-ES",INDEX('IDER-ES'!$C:$C,MATCH($C378,'IDER-ES'!$A:$A,0)),
IF(CONCATENATE($A378,$B378)="CIOPES",INDEX('CDER-ES'!$C:$C,MATCH($C378,'CDER-ES'!$A:$A,0)),
IF(CONCATENATE($A378,$B378)="ISINAPI",INDEX(ISINAPI!$C:$C,MATCH($C378,ISINAPI!$A:$A,0)),
IF(CONCATENATE($A378,$B378)="CSINAPI",INDEX(CSINAPI!$C:$C,MATCH($C378,CSINAPI!$A:$A,0)),
IF(CONCATENATE($A378,$B378)="CCESAN",INDEX(CCESAN!$C:$C,MATCH($C378,CCESAN!$A:$A,0)),
IF(CONCATENATE($A378,$B378)="CSCORIO",INDEX(CSCORIO!$A:$A,MATCH($C378,CSCORIO!#REF!,0)),
IF(CONCATENATE($A378,$B378)="MERC",INDEX(MERCADO!$D:$D,MATCH($C378,MERCADO!$A:$A,0)),
IF(CONCATENATE($A378,$B378)="CCOMP",INDEX(COMPOSICAO!$H:$H,MATCH($C378,COMPOSICAO!$A:$A,0)),""
)))))))),""))</f>
        <v>h</v>
      </c>
      <c r="F378" s="182">
        <f>1.673*F375</f>
        <v>2.2083600000000003</v>
      </c>
      <c r="G378" s="144">
        <f>(IFERROR(
IF(CONCATENATE($A378,$B378)="IDER-ES",INDEX('IDER-ES'!$D:$D,MATCH($C378,'IDER-ES'!$A:$A,0)),
IF(CONCATENATE($A378,$B378)="CIOPES",INDEX('CDER-ES'!$D:$D,MATCH($C378,'CDER-ES'!$A:$A,0)),
IF(CONCATENATE($A378,$B378)="ISINAPI",INDEX(ISINAPI!$E:$E,MATCH($C378,ISINAPI!$A:$A,0)),
IF(CONCATENATE($A378,$B378)="CSINAPI",INDEX(CSINAPI!$D:$D,MATCH($C378,CSINAPI!$A:$A,0)),
IF(CONCATENATE($A378,$B378)="CCESAN",INDEX(CCESAN!$D:$D,MATCH($C378,CCESAN!$A:$A,0)),
IF(CONCATENATE($A378,$B378)="CSCORIO",INDEX(CSCORIO!$B:$B,MATCH($C378,CSCORIO!#REF!,0)),
IF(CONCATENATE($A378,$B378)="MERC",INDEX(MERCADO!$E:$E,MATCH($C378,MERCADO!$A:$A,0)),
IF(CONCATENATE($A378,$B378)="CCOMP",INDEX(COMPOSICAO!$H:$H,MATCH($C378,COMPOSICAO!$A:$A,0)),""
)))))))),""))</f>
        <v>18.11</v>
      </c>
      <c r="H378" s="144">
        <f t="shared" si="62"/>
        <v>39.99</v>
      </c>
    </row>
    <row r="379" spans="1:9" ht="25.5">
      <c r="A379" s="141" t="s">
        <v>21960</v>
      </c>
      <c r="B379" s="141" t="s">
        <v>1019</v>
      </c>
      <c r="C379" s="141">
        <v>88325</v>
      </c>
      <c r="D379" s="142" t="str">
        <f>PROPER(IFERROR(
IF(C379="","",
IF(CONCATENATE($A379,$B379)="IDER-ES",INDEX('IDER-ES'!$B:$B,MATCH($C379,'IDER-ES'!$A:$A,0)),
IF(CONCATENATE($A379,$B379)="CDER-ES",INDEX('CDER-ES'!$B:$B,MATCH($C379,'CDER-ES'!$A:$A,0)),
IF(CONCATENATE($A379,$B379)="ISINAPI",INDEX(ISINAPI!$B:$B,MATCH($C379,ISINAPI!$A:$A,0)),
IF(CONCATENATE($A379,$B379)="CSINAPI",INDEX(CSINAPI!$B:$B,MATCH($C379,CSINAPI!$A:$A,0)),
IF(CONCATENATE($A379,$B379)="CCESAN",INDEX(CCESAN!$B:$B,MATCH($C379,CCESAN!$A:$A,0)),
IF(CONCATENATE($A379,$B379)="CSCORIO",INDEX(CSCORIO!#REF!,MATCH($C379,CSCORIO!#REF!,0)),
IF(CONCATENATE($A379,$B379)="MERC",INDEX(MERCADO!$B:$B,MATCH($C379,MERCADO!$A:$A,0)),
IF(CONCATENATE($A379,$B379)="CCOMP",INDEX(COMPOSICAO!$B:$B,MATCH($C379,COMPOSICAO!$A:$A,0)),""
))))))))),"*Verificar código*"))</f>
        <v>Vidraceiro Com Encargos Complementares</v>
      </c>
      <c r="E379" s="143" t="str">
        <f>LOWER(IFERROR(
IF(CONCATENATE($A379,$B379)="IDER-ES",INDEX('IDER-ES'!$C:$C,MATCH($C379,'IDER-ES'!$A:$A,0)),
IF(CONCATENATE($A379,$B379)="CIOPES",INDEX('CDER-ES'!$C:$C,MATCH($C379,'CDER-ES'!$A:$A,0)),
IF(CONCATENATE($A379,$B379)="ISINAPI",INDEX(ISINAPI!$C:$C,MATCH($C379,ISINAPI!$A:$A,0)),
IF(CONCATENATE($A379,$B379)="CSINAPI",INDEX(CSINAPI!$C:$C,MATCH($C379,CSINAPI!$A:$A,0)),
IF(CONCATENATE($A379,$B379)="CCESAN",INDEX(CCESAN!$C:$C,MATCH($C379,CCESAN!$A:$A,0)),
IF(CONCATENATE($A379,$B379)="CSCORIO",INDEX(CSCORIO!$A:$A,MATCH($C379,CSCORIO!#REF!,0)),
IF(CONCATENATE($A379,$B379)="MERC",INDEX(MERCADO!$D:$D,MATCH($C379,MERCADO!$A:$A,0)),
IF(CONCATENATE($A379,$B379)="CCOMP",INDEX(COMPOSICAO!$H:$H,MATCH($C379,COMPOSICAO!$A:$A,0)),""
)))))))),""))</f>
        <v>h</v>
      </c>
      <c r="F379" s="182">
        <f>1.72*F375</f>
        <v>2.2704</v>
      </c>
      <c r="G379" s="144">
        <f>(IFERROR(
IF(CONCATENATE($A379,$B379)="IDER-ES",INDEX('IDER-ES'!$D:$D,MATCH($C379,'IDER-ES'!$A:$A,0)),
IF(CONCATENATE($A379,$B379)="CIOPES",INDEX('CDER-ES'!$D:$D,MATCH($C379,'CDER-ES'!$A:$A,0)),
IF(CONCATENATE($A379,$B379)="ISINAPI",INDEX(ISINAPI!$E:$E,MATCH($C379,ISINAPI!$A:$A,0)),
IF(CONCATENATE($A379,$B379)="CSINAPI",INDEX(CSINAPI!$D:$D,MATCH($C379,CSINAPI!$A:$A,0)),
IF(CONCATENATE($A379,$B379)="CCESAN",INDEX(CCESAN!$D:$D,MATCH($C379,CCESAN!$A:$A,0)),
IF(CONCATENATE($A379,$B379)="CSCORIO",INDEX(CSCORIO!$B:$B,MATCH($C379,CSCORIO!#REF!,0)),
IF(CONCATENATE($A379,$B379)="MERC",INDEX(MERCADO!$E:$E,MATCH($C379,MERCADO!$A:$A,0)),
IF(CONCATENATE($A379,$B379)="CCOMP",INDEX(COMPOSICAO!$H:$H,MATCH($C379,COMPOSICAO!$A:$A,0)),""
)))))))),""))</f>
        <v>24.28</v>
      </c>
      <c r="H379" s="144">
        <f t="shared" si="62"/>
        <v>55.13</v>
      </c>
    </row>
    <row r="381" spans="1:9" s="135" customFormat="1" ht="20.100000000000001" customHeight="1">
      <c r="A381" s="186" t="s">
        <v>1020</v>
      </c>
      <c r="B381" s="405" t="s">
        <v>1022</v>
      </c>
      <c r="C381" s="406"/>
      <c r="D381" s="406"/>
      <c r="E381" s="406"/>
      <c r="F381" s="407"/>
      <c r="G381" s="133" t="s">
        <v>19692</v>
      </c>
      <c r="H381" s="134" t="s">
        <v>19678</v>
      </c>
      <c r="I381" s="263"/>
    </row>
    <row r="382" spans="1:9" ht="60" customHeight="1">
      <c r="A382" s="136">
        <f>COUNTIF($A$4:$A381,$A$4)</f>
        <v>34</v>
      </c>
      <c r="B382" s="408" t="s">
        <v>28630</v>
      </c>
      <c r="C382" s="409"/>
      <c r="D382" s="409"/>
      <c r="E382" s="409"/>
      <c r="F382" s="410"/>
      <c r="G382" s="137" t="s">
        <v>19692</v>
      </c>
      <c r="H382" s="211">
        <f>SUM(H384:H389)</f>
        <v>6095.08</v>
      </c>
    </row>
    <row r="383" spans="1:9" ht="30" customHeight="1">
      <c r="A383" s="139" t="s">
        <v>1026</v>
      </c>
      <c r="B383" s="139" t="s">
        <v>1027</v>
      </c>
      <c r="C383" s="139" t="s">
        <v>31</v>
      </c>
      <c r="D383" s="139" t="s">
        <v>1023</v>
      </c>
      <c r="E383" s="139" t="s">
        <v>32</v>
      </c>
      <c r="F383" s="183" t="s">
        <v>2343</v>
      </c>
      <c r="G383" s="140" t="s">
        <v>19676</v>
      </c>
      <c r="H383" s="140" t="s">
        <v>19677</v>
      </c>
    </row>
    <row r="384" spans="1:9" ht="38.25">
      <c r="A384" s="141" t="s">
        <v>26621</v>
      </c>
      <c r="B384" s="141" t="s">
        <v>1019</v>
      </c>
      <c r="C384" s="141">
        <v>5031</v>
      </c>
      <c r="D384" s="142" t="str">
        <f>PROPER(IFERROR(
IF(C384="","",
IF(CONCATENATE($A384,$B384)="IDER-ES",INDEX('IDER-ES'!$B:$B,MATCH($C384,'IDER-ES'!$A:$A,0)),
IF(CONCATENATE($A384,$B384)="CDER-ES",INDEX('CDER-ES'!$B:$B,MATCH($C384,'CDER-ES'!$A:$A,0)),
IF(CONCATENATE($A384,$B384)="ISINAPI",INDEX(ISINAPI!$B:$B,MATCH($C384,ISINAPI!$A:$A,0)),
IF(CONCATENATE($A384,$B384)="CSINAPI",INDEX(CSINAPI!$B:$B,MATCH($C384,CSINAPI!$A:$A,0)),
IF(CONCATENATE($A384,$B384)="CCESAN",INDEX(CCESAN!$B:$B,MATCH($C384,CCESAN!$A:$A,0)),
IF(CONCATENATE($A384,$B384)="CSCORIO",INDEX(CSCORIO!#REF!,MATCH($C384,CSCORIO!#REF!,0)),
IF(CONCATENATE($A384,$B384)="MERC",INDEX(MERCADO!$B:$B,MATCH($C384,MERCADO!$A:$A,0)),
IF(CONCATENATE($A384,$B384)="CCOMP",INDEX(COMPOSICAO!$B:$B,MATCH($C384,COMPOSICAO!$A:$A,0)),""
))))))))),"*Verificar código*"))</f>
        <v xml:space="preserve">Vidro Temperado Incolor Para Porta De Abrir, E = 10 Mm (Sem Ferragens E Sem Colocacao)                                                                                                                                                                                                                                                                                                                                                                                                                    </v>
      </c>
      <c r="E384" s="143" t="str">
        <f>LOWER(IFERROR(
IF(CONCATENATE($A384,$B384)="IDER-ES",INDEX('IDER-ES'!$C:$C,MATCH($C384,'IDER-ES'!$A:$A,0)),
IF(CONCATENATE($A384,$B384)="CIOPES",INDEX('CDER-ES'!$C:$C,MATCH($C384,'CDER-ES'!$A:$A,0)),
IF(CONCATENATE($A384,$B384)="ISINAPI",INDEX(ISINAPI!$C:$C,MATCH($C384,ISINAPI!$A:$A,0)),
IF(CONCATENATE($A384,$B384)="CSINAPI",INDEX(CSINAPI!$C:$C,MATCH($C384,CSINAPI!$A:$A,0)),
IF(CONCATENATE($A384,$B384)="CCESAN",INDEX(CCESAN!$C:$C,MATCH($C384,CCESAN!$A:$A,0)),
IF(CONCATENATE($A384,$B384)="CSCORIO",INDEX(CSCORIO!$A:$A,MATCH($C384,CSCORIO!#REF!,0)),
IF(CONCATENATE($A384,$B384)="MERC",INDEX(MERCADO!$D:$D,MATCH($C384,MERCADO!$A:$A,0)),
IF(CONCATENATE($A384,$B384)="CCOMP",INDEX(COMPOSICAO!$H:$H,MATCH($C384,COMPOSICAO!$A:$A,0)),""
)))))))),""))</f>
        <v xml:space="preserve">m²    </v>
      </c>
      <c r="F384" s="182">
        <f>2.4*2.5</f>
        <v>6</v>
      </c>
      <c r="G384" s="144">
        <f>(IFERROR(
IF(CONCATENATE($A384,$B384)="IDER-ES",INDEX('IDER-ES'!$D:$D,MATCH($C384,'IDER-ES'!$A:$A,0)),
IF(CONCATENATE($A384,$B384)="CIOPES",INDEX('CDER-ES'!$D:$D,MATCH($C384,'CDER-ES'!$A:$A,0)),
IF(CONCATENATE($A384,$B384)="ISINAPI",INDEX(ISINAPI!$E:$E,MATCH($C384,ISINAPI!$A:$A,0)),
IF(CONCATENATE($A384,$B384)="CSINAPI",INDEX(CSINAPI!$D:$D,MATCH($C384,CSINAPI!$A:$A,0)),
IF(CONCATENATE($A384,$B384)="CCESAN",INDEX(CCESAN!$D:$D,MATCH($C384,CCESAN!$A:$A,0)),
IF(CONCATENATE($A384,$B384)="CSCORIO",INDEX(CSCORIO!$B:$B,MATCH($C384,CSCORIO!#REF!,0)),
IF(CONCATENATE($A384,$B384)="MERC",INDEX(MERCADO!$E:$E,MATCH($C384,MERCADO!$A:$A,0)),
IF(CONCATENATE($A384,$B384)="CCOMP",INDEX(COMPOSICAO!$H:$H,MATCH($C384,COMPOSICAO!$A:$A,0)),""
)))))))),""))</f>
        <v>531.41</v>
      </c>
      <c r="H384" s="144">
        <f t="shared" ref="H384:H389" si="63">IF(B384="","",ROUND(G384*F384,2))</f>
        <v>3188.46</v>
      </c>
    </row>
    <row r="385" spans="1:9" ht="38.25">
      <c r="A385" s="141" t="s">
        <v>21960</v>
      </c>
      <c r="B385" s="141" t="s">
        <v>1019</v>
      </c>
      <c r="C385" s="141">
        <v>102181</v>
      </c>
      <c r="D385" s="142" t="str">
        <f>PROPER(IFERROR(
IF(C385="","",
IF(CONCATENATE($A385,$B385)="IDER-ES",INDEX('IDER-ES'!$B:$B,MATCH($C385,'IDER-ES'!$A:$A,0)),
IF(CONCATENATE($A385,$B385)="CDER-ES",INDEX('CDER-ES'!$B:$B,MATCH($C385,'CDER-ES'!$A:$A,0)),
IF(CONCATENATE($A385,$B385)="ISINAPI",INDEX(ISINAPI!$B:$B,MATCH($C385,ISINAPI!$A:$A,0)),
IF(CONCATENATE($A385,$B385)="CSINAPI",INDEX(CSINAPI!$B:$B,MATCH($C385,CSINAPI!$A:$A,0)),
IF(CONCATENATE($A385,$B385)="CCESAN",INDEX(CCESAN!$B:$B,MATCH($C385,CCESAN!$A:$A,0)),
IF(CONCATENATE($A385,$B385)="CSCORIO",INDEX(CSCORIO!#REF!,MATCH($C385,CSCORIO!#REF!,0)),
IF(CONCATENATE($A385,$B385)="MERC",INDEX(MERCADO!$B:$B,MATCH($C385,MERCADO!$A:$A,0)),
IF(CONCATENATE($A385,$B385)="CCOMP",INDEX(COMPOSICAO!$B:$B,MATCH($C385,COMPOSICAO!$A:$A,0)),""
))))))))),"*Verificar código*"))</f>
        <v>Instalação De Vidro Temperado, E = 10 Mm, Encaixado Em Perfil U. Af_01/2021_P</v>
      </c>
      <c r="E385" s="143" t="str">
        <f>LOWER(IFERROR(
IF(CONCATENATE($A385,$B385)="IDER-ES",INDEX('IDER-ES'!$C:$C,MATCH($C385,'IDER-ES'!$A:$A,0)),
IF(CONCATENATE($A385,$B385)="CIOPES",INDEX('CDER-ES'!$C:$C,MATCH($C385,'CDER-ES'!$A:$A,0)),
IF(CONCATENATE($A385,$B385)="ISINAPI",INDEX(ISINAPI!$C:$C,MATCH($C385,ISINAPI!$A:$A,0)),
IF(CONCATENATE($A385,$B385)="CSINAPI",INDEX(CSINAPI!$C:$C,MATCH($C385,CSINAPI!$A:$A,0)),
IF(CONCATENATE($A385,$B385)="CCESAN",INDEX(CCESAN!$C:$C,MATCH($C385,CCESAN!$A:$A,0)),
IF(CONCATENATE($A385,$B385)="CSCORIO",INDEX(CSCORIO!$A:$A,MATCH($C385,CSCORIO!#REF!,0)),
IF(CONCATENATE($A385,$B385)="MERC",INDEX(MERCADO!$D:$D,MATCH($C385,MERCADO!$A:$A,0)),
IF(CONCATENATE($A385,$B385)="CCOMP",INDEX(COMPOSICAO!$H:$H,MATCH($C385,COMPOSICAO!$A:$A,0)),""
)))))))),""))</f>
        <v>m²</v>
      </c>
      <c r="F385" s="182">
        <f>0.6*2.5</f>
        <v>1.5</v>
      </c>
      <c r="G385" s="144">
        <f>(IFERROR(
IF(CONCATENATE($A385,$B385)="IDER-ES",INDEX('IDER-ES'!$D:$D,MATCH($C385,'IDER-ES'!$A:$A,0)),
IF(CONCATENATE($A385,$B385)="CIOPES",INDEX('CDER-ES'!$D:$D,MATCH($C385,'CDER-ES'!$A:$A,0)),
IF(CONCATENATE($A385,$B385)="ISINAPI",INDEX(ISINAPI!$E:$E,MATCH($C385,ISINAPI!$A:$A,0)),
IF(CONCATENATE($A385,$B385)="CSINAPI",INDEX(CSINAPI!$D:$D,MATCH($C385,CSINAPI!$A:$A,0)),
IF(CONCATENATE($A385,$B385)="CCESAN",INDEX(CCESAN!$D:$D,MATCH($C385,CCESAN!$A:$A,0)),
IF(CONCATENATE($A385,$B385)="CSCORIO",INDEX(CSCORIO!$B:$B,MATCH($C385,CSCORIO!#REF!,0)),
IF(CONCATENATE($A385,$B385)="MERC",INDEX(MERCADO!$E:$E,MATCH($C385,MERCADO!$A:$A,0)),
IF(CONCATENATE($A385,$B385)="CCOMP",INDEX(COMPOSICAO!$H:$H,MATCH($C385,COMPOSICAO!$A:$A,0)),""
)))))))),""))</f>
        <v>597.07000000000005</v>
      </c>
      <c r="H385" s="144">
        <f t="shared" si="63"/>
        <v>895.61</v>
      </c>
    </row>
    <row r="386" spans="1:9" ht="25.5">
      <c r="A386" s="141" t="s">
        <v>21960</v>
      </c>
      <c r="B386" s="141" t="s">
        <v>1019</v>
      </c>
      <c r="C386" s="141">
        <v>102188</v>
      </c>
      <c r="D386" s="142" t="str">
        <f>PROPER(IFERROR(
IF(C386="","",
IF(CONCATENATE($A386,$B386)="IDER-ES",INDEX('IDER-ES'!$B:$B,MATCH($C386,'IDER-ES'!$A:$A,0)),
IF(CONCATENATE($A386,$B386)="CDER-ES",INDEX('CDER-ES'!$B:$B,MATCH($C386,'CDER-ES'!$A:$A,0)),
IF(CONCATENATE($A386,$B386)="ISINAPI",INDEX(ISINAPI!$B:$B,MATCH($C386,ISINAPI!$A:$A,0)),
IF(CONCATENATE($A386,$B386)="CSINAPI",INDEX(CSINAPI!$B:$B,MATCH($C386,CSINAPI!$A:$A,0)),
IF(CONCATENATE($A386,$B386)="CCESAN",INDEX(CCESAN!$B:$B,MATCH($C386,CCESAN!$A:$A,0)),
IF(CONCATENATE($A386,$B386)="CSCORIO",INDEX(CSCORIO!#REF!,MATCH($C386,CSCORIO!#REF!,0)),
IF(CONCATENATE($A386,$B386)="MERC",INDEX(MERCADO!$B:$B,MATCH($C386,MERCADO!$A:$A,0)),
IF(CONCATENATE($A386,$B386)="CCOMP",INDEX(COMPOSICAO!$B:$B,MATCH($C386,COMPOSICAO!$A:$A,0)),""
))))))))),"*Verificar código*"))</f>
        <v>Mola Hidraulica De Piso Para Porta De Vidro Temperado. Af_01/2021</v>
      </c>
      <c r="E386" s="143" t="str">
        <f>LOWER(IFERROR(
IF(CONCATENATE($A386,$B386)="IDER-ES",INDEX('IDER-ES'!$C:$C,MATCH($C386,'IDER-ES'!$A:$A,0)),
IF(CONCATENATE($A386,$B386)="CIOPES",INDEX('CDER-ES'!$C:$C,MATCH($C386,'CDER-ES'!$A:$A,0)),
IF(CONCATENATE($A386,$B386)="ISINAPI",INDEX(ISINAPI!$C:$C,MATCH($C386,ISINAPI!$A:$A,0)),
IF(CONCATENATE($A386,$B386)="CSINAPI",INDEX(CSINAPI!$C:$C,MATCH($C386,CSINAPI!$A:$A,0)),
IF(CONCATENATE($A386,$B386)="CCESAN",INDEX(CCESAN!$C:$C,MATCH($C386,CCESAN!$A:$A,0)),
IF(CONCATENATE($A386,$B386)="CSCORIO",INDEX(CSCORIO!$A:$A,MATCH($C386,CSCORIO!#REF!,0)),
IF(CONCATENATE($A386,$B386)="MERC",INDEX(MERCADO!$D:$D,MATCH($C386,MERCADO!$A:$A,0)),
IF(CONCATENATE($A386,$B386)="CCOMP",INDEX(COMPOSICAO!$H:$H,MATCH($C386,COMPOSICAO!$A:$A,0)),""
)))))))),""))</f>
        <v>und</v>
      </c>
      <c r="F386" s="182">
        <v>2</v>
      </c>
      <c r="G386" s="144">
        <f>(IFERROR(
IF(CONCATENATE($A386,$B386)="IDER-ES",INDEX('IDER-ES'!$D:$D,MATCH($C386,'IDER-ES'!$A:$A,0)),
IF(CONCATENATE($A386,$B386)="CIOPES",INDEX('CDER-ES'!$D:$D,MATCH($C386,'CDER-ES'!$A:$A,0)),
IF(CONCATENATE($A386,$B386)="ISINAPI",INDEX(ISINAPI!$E:$E,MATCH($C386,ISINAPI!$A:$A,0)),
IF(CONCATENATE($A386,$B386)="CSINAPI",INDEX(CSINAPI!$D:$D,MATCH($C386,CSINAPI!$A:$A,0)),
IF(CONCATENATE($A386,$B386)="CCESAN",INDEX(CCESAN!$D:$D,MATCH($C386,CCESAN!$A:$A,0)),
IF(CONCATENATE($A386,$B386)="CSCORIO",INDEX(CSCORIO!$B:$B,MATCH($C386,CSCORIO!#REF!,0)),
IF(CONCATENATE($A386,$B386)="MERC",INDEX(MERCADO!$E:$E,MATCH($C386,MERCADO!$A:$A,0)),
IF(CONCATENATE($A386,$B386)="CCOMP",INDEX(COMPOSICAO!$H:$H,MATCH($C386,COMPOSICAO!$A:$A,0)),""
)))))))),""))</f>
        <v>743.15</v>
      </c>
      <c r="H386" s="144">
        <f t="shared" si="63"/>
        <v>1486.3</v>
      </c>
    </row>
    <row r="387" spans="1:9" ht="76.5">
      <c r="A387" s="141" t="s">
        <v>21960</v>
      </c>
      <c r="B387" s="141" t="s">
        <v>1019</v>
      </c>
      <c r="C387" s="141">
        <v>102189</v>
      </c>
      <c r="D387" s="142" t="str">
        <f>PROPER(IFERROR(
IF(C387="","",
IF(CONCATENATE($A387,$B387)="IDER-ES",INDEX('IDER-ES'!$B:$B,MATCH($C387,'IDER-ES'!$A:$A,0)),
IF(CONCATENATE($A387,$B387)="CDER-ES",INDEX('CDER-ES'!$B:$B,MATCH($C387,'CDER-ES'!$A:$A,0)),
IF(CONCATENATE($A387,$B387)="ISINAPI",INDEX(ISINAPI!$B:$B,MATCH($C387,ISINAPI!$A:$A,0)),
IF(CONCATENATE($A387,$B387)="CSINAPI",INDEX(CSINAPI!$B:$B,MATCH($C387,CSINAPI!$A:$A,0)),
IF(CONCATENATE($A387,$B387)="CCESAN",INDEX(CCESAN!$B:$B,MATCH($C387,CCESAN!$A:$A,0)),
IF(CONCATENATE($A387,$B387)="CSCORIO",INDEX(CSCORIO!#REF!,MATCH($C387,CSCORIO!#REF!,0)),
IF(CONCATENATE($A387,$B387)="MERC",INDEX(MERCADO!$B:$B,MATCH($C387,MERCADO!$A:$A,0)),
IF(CONCATENATE($A387,$B387)="CCOMP",INDEX(COMPOSICAO!$B:$B,MATCH($C387,COMPOSICAO!$A:$A,0)),""
))))))))),"*Verificar código*"))</f>
        <v>Jogo De Ferragens Cromadas Para Porta De Vidro Temperado, Uma Folha Composto De Dobradicas Superior E Inferior, Trinco, Fechadura, Contra Fechadura Com Capuchinho Sem Mola E Puxador. Af_01/2021</v>
      </c>
      <c r="E387" s="143" t="str">
        <f>LOWER(IFERROR(
IF(CONCATENATE($A387,$B387)="IDER-ES",INDEX('IDER-ES'!$C:$C,MATCH($C387,'IDER-ES'!$A:$A,0)),
IF(CONCATENATE($A387,$B387)="CIOPES",INDEX('CDER-ES'!$C:$C,MATCH($C387,'CDER-ES'!$A:$A,0)),
IF(CONCATENATE($A387,$B387)="ISINAPI",INDEX(ISINAPI!$C:$C,MATCH($C387,ISINAPI!$A:$A,0)),
IF(CONCATENATE($A387,$B387)="CSINAPI",INDEX(CSINAPI!$C:$C,MATCH($C387,CSINAPI!$A:$A,0)),
IF(CONCATENATE($A387,$B387)="CCESAN",INDEX(CCESAN!$C:$C,MATCH($C387,CCESAN!$A:$A,0)),
IF(CONCATENATE($A387,$B387)="CSCORIO",INDEX(CSCORIO!$A:$A,MATCH($C387,CSCORIO!#REF!,0)),
IF(CONCATENATE($A387,$B387)="MERC",INDEX(MERCADO!$D:$D,MATCH($C387,MERCADO!$A:$A,0)),
IF(CONCATENATE($A387,$B387)="CCOMP",INDEX(COMPOSICAO!$H:$H,MATCH($C387,COMPOSICAO!$A:$A,0)),""
)))))))),""))</f>
        <v>und</v>
      </c>
      <c r="F387" s="182">
        <v>2</v>
      </c>
      <c r="G387" s="144">
        <f>(IFERROR(
IF(CONCATENATE($A387,$B387)="IDER-ES",INDEX('IDER-ES'!$D:$D,MATCH($C387,'IDER-ES'!$A:$A,0)),
IF(CONCATENATE($A387,$B387)="CIOPES",INDEX('CDER-ES'!$D:$D,MATCH($C387,'CDER-ES'!$A:$A,0)),
IF(CONCATENATE($A387,$B387)="ISINAPI",INDEX(ISINAPI!$E:$E,MATCH($C387,ISINAPI!$A:$A,0)),
IF(CONCATENATE($A387,$B387)="CSINAPI",INDEX(CSINAPI!$D:$D,MATCH($C387,CSINAPI!$A:$A,0)),
IF(CONCATENATE($A387,$B387)="CCESAN",INDEX(CCESAN!$D:$D,MATCH($C387,CCESAN!$A:$A,0)),
IF(CONCATENATE($A387,$B387)="CSCORIO",INDEX(CSCORIO!$B:$B,MATCH($C387,CSCORIO!#REF!,0)),
IF(CONCATENATE($A387,$B387)="MERC",INDEX(MERCADO!$E:$E,MATCH($C387,MERCADO!$A:$A,0)),
IF(CONCATENATE($A387,$B387)="CCOMP",INDEX(COMPOSICAO!$H:$H,MATCH($C387,COMPOSICAO!$A:$A,0)),""
)))))))),""))</f>
        <v>208.31</v>
      </c>
      <c r="H387" s="144">
        <f t="shared" si="63"/>
        <v>416.62</v>
      </c>
    </row>
    <row r="388" spans="1:9" ht="25.5">
      <c r="A388" s="141" t="s">
        <v>21960</v>
      </c>
      <c r="B388" s="141" t="s">
        <v>1019</v>
      </c>
      <c r="C388" s="141">
        <v>88316</v>
      </c>
      <c r="D388" s="142" t="str">
        <f>PROPER(IFERROR(
IF(C388="","",
IF(CONCATENATE($A388,$B388)="IDER-ES",INDEX('IDER-ES'!$B:$B,MATCH($C388,'IDER-ES'!$A:$A,0)),
IF(CONCATENATE($A388,$B388)="CDER-ES",INDEX('CDER-ES'!$B:$B,MATCH($C388,'CDER-ES'!$A:$A,0)),
IF(CONCATENATE($A388,$B388)="ISINAPI",INDEX(ISINAPI!$B:$B,MATCH($C388,ISINAPI!$A:$A,0)),
IF(CONCATENATE($A388,$B388)="CSINAPI",INDEX(CSINAPI!$B:$B,MATCH($C388,CSINAPI!$A:$A,0)),
IF(CONCATENATE($A388,$B388)="CCESAN",INDEX(CCESAN!$B:$B,MATCH($C388,CCESAN!$A:$A,0)),
IF(CONCATENATE($A388,$B388)="CSCORIO",INDEX(CSCORIO!#REF!,MATCH($C388,CSCORIO!#REF!,0)),
IF(CONCATENATE($A388,$B388)="MERC",INDEX(MERCADO!$B:$B,MATCH($C388,MERCADO!$A:$A,0)),
IF(CONCATENATE($A388,$B388)="CCOMP",INDEX(COMPOSICAO!$B:$B,MATCH($C388,COMPOSICAO!$A:$A,0)),""
))))))))),"*Verificar código*"))</f>
        <v>Servente Com Encargos Complementares</v>
      </c>
      <c r="E388" s="143" t="str">
        <f>LOWER(IFERROR(
IF(CONCATENATE($A388,$B388)="IDER-ES",INDEX('IDER-ES'!$C:$C,MATCH($C388,'IDER-ES'!$A:$A,0)),
IF(CONCATENATE($A388,$B388)="CIOPES",INDEX('CDER-ES'!$C:$C,MATCH($C388,'CDER-ES'!$A:$A,0)),
IF(CONCATENATE($A388,$B388)="ISINAPI",INDEX(ISINAPI!$C:$C,MATCH($C388,ISINAPI!$A:$A,0)),
IF(CONCATENATE($A388,$B388)="CSINAPI",INDEX(CSINAPI!$C:$C,MATCH($C388,CSINAPI!$A:$A,0)),
IF(CONCATENATE($A388,$B388)="CCESAN",INDEX(CCESAN!$C:$C,MATCH($C388,CCESAN!$A:$A,0)),
IF(CONCATENATE($A388,$B388)="CSCORIO",INDEX(CSCORIO!$A:$A,MATCH($C388,CSCORIO!#REF!,0)),
IF(CONCATENATE($A388,$B388)="MERC",INDEX(MERCADO!$D:$D,MATCH($C388,MERCADO!$A:$A,0)),
IF(CONCATENATE($A388,$B388)="CCOMP",INDEX(COMPOSICAO!$H:$H,MATCH($C388,COMPOSICAO!$A:$A,0)),""
)))))))),""))</f>
        <v>h</v>
      </c>
      <c r="F388" s="182">
        <f>1.673*F385</f>
        <v>2.5095000000000001</v>
      </c>
      <c r="G388" s="144">
        <f>(IFERROR(
IF(CONCATENATE($A388,$B388)="IDER-ES",INDEX('IDER-ES'!$D:$D,MATCH($C388,'IDER-ES'!$A:$A,0)),
IF(CONCATENATE($A388,$B388)="CIOPES",INDEX('CDER-ES'!$D:$D,MATCH($C388,'CDER-ES'!$A:$A,0)),
IF(CONCATENATE($A388,$B388)="ISINAPI",INDEX(ISINAPI!$E:$E,MATCH($C388,ISINAPI!$A:$A,0)),
IF(CONCATENATE($A388,$B388)="CSINAPI",INDEX(CSINAPI!$D:$D,MATCH($C388,CSINAPI!$A:$A,0)),
IF(CONCATENATE($A388,$B388)="CCESAN",INDEX(CCESAN!$D:$D,MATCH($C388,CCESAN!$A:$A,0)),
IF(CONCATENATE($A388,$B388)="CSCORIO",INDEX(CSCORIO!$B:$B,MATCH($C388,CSCORIO!#REF!,0)),
IF(CONCATENATE($A388,$B388)="MERC",INDEX(MERCADO!$E:$E,MATCH($C388,MERCADO!$A:$A,0)),
IF(CONCATENATE($A388,$B388)="CCOMP",INDEX(COMPOSICAO!$H:$H,MATCH($C388,COMPOSICAO!$A:$A,0)),""
)))))))),""))</f>
        <v>18.11</v>
      </c>
      <c r="H388" s="144">
        <f t="shared" si="63"/>
        <v>45.45</v>
      </c>
    </row>
    <row r="389" spans="1:9" ht="25.5">
      <c r="A389" s="141" t="s">
        <v>21960</v>
      </c>
      <c r="B389" s="141" t="s">
        <v>1019</v>
      </c>
      <c r="C389" s="141">
        <v>88325</v>
      </c>
      <c r="D389" s="142" t="str">
        <f>PROPER(IFERROR(
IF(C389="","",
IF(CONCATENATE($A389,$B389)="IDER-ES",INDEX('IDER-ES'!$B:$B,MATCH($C389,'IDER-ES'!$A:$A,0)),
IF(CONCATENATE($A389,$B389)="CDER-ES",INDEX('CDER-ES'!$B:$B,MATCH($C389,'CDER-ES'!$A:$A,0)),
IF(CONCATENATE($A389,$B389)="ISINAPI",INDEX(ISINAPI!$B:$B,MATCH($C389,ISINAPI!$A:$A,0)),
IF(CONCATENATE($A389,$B389)="CSINAPI",INDEX(CSINAPI!$B:$B,MATCH($C389,CSINAPI!$A:$A,0)),
IF(CONCATENATE($A389,$B389)="CCESAN",INDEX(CCESAN!$B:$B,MATCH($C389,CCESAN!$A:$A,0)),
IF(CONCATENATE($A389,$B389)="CSCORIO",INDEX(CSCORIO!#REF!,MATCH($C389,CSCORIO!#REF!,0)),
IF(CONCATENATE($A389,$B389)="MERC",INDEX(MERCADO!$B:$B,MATCH($C389,MERCADO!$A:$A,0)),
IF(CONCATENATE($A389,$B389)="CCOMP",INDEX(COMPOSICAO!$B:$B,MATCH($C389,COMPOSICAO!$A:$A,0)),""
))))))))),"*Verificar código*"))</f>
        <v>Vidraceiro Com Encargos Complementares</v>
      </c>
      <c r="E389" s="143" t="str">
        <f>LOWER(IFERROR(
IF(CONCATENATE($A389,$B389)="IDER-ES",INDEX('IDER-ES'!$C:$C,MATCH($C389,'IDER-ES'!$A:$A,0)),
IF(CONCATENATE($A389,$B389)="CIOPES",INDEX('CDER-ES'!$C:$C,MATCH($C389,'CDER-ES'!$A:$A,0)),
IF(CONCATENATE($A389,$B389)="ISINAPI",INDEX(ISINAPI!$C:$C,MATCH($C389,ISINAPI!$A:$A,0)),
IF(CONCATENATE($A389,$B389)="CSINAPI",INDEX(CSINAPI!$C:$C,MATCH($C389,CSINAPI!$A:$A,0)),
IF(CONCATENATE($A389,$B389)="CCESAN",INDEX(CCESAN!$C:$C,MATCH($C389,CCESAN!$A:$A,0)),
IF(CONCATENATE($A389,$B389)="CSCORIO",INDEX(CSCORIO!$A:$A,MATCH($C389,CSCORIO!#REF!,0)),
IF(CONCATENATE($A389,$B389)="MERC",INDEX(MERCADO!$D:$D,MATCH($C389,MERCADO!$A:$A,0)),
IF(CONCATENATE($A389,$B389)="CCOMP",INDEX(COMPOSICAO!$H:$H,MATCH($C389,COMPOSICAO!$A:$A,0)),""
)))))))),""))</f>
        <v>h</v>
      </c>
      <c r="F389" s="182">
        <f>1.72*F385</f>
        <v>2.58</v>
      </c>
      <c r="G389" s="144">
        <f>(IFERROR(
IF(CONCATENATE($A389,$B389)="IDER-ES",INDEX('IDER-ES'!$D:$D,MATCH($C389,'IDER-ES'!$A:$A,0)),
IF(CONCATENATE($A389,$B389)="CIOPES",INDEX('CDER-ES'!$D:$D,MATCH($C389,'CDER-ES'!$A:$A,0)),
IF(CONCATENATE($A389,$B389)="ISINAPI",INDEX(ISINAPI!$E:$E,MATCH($C389,ISINAPI!$A:$A,0)),
IF(CONCATENATE($A389,$B389)="CSINAPI",INDEX(CSINAPI!$D:$D,MATCH($C389,CSINAPI!$A:$A,0)),
IF(CONCATENATE($A389,$B389)="CCESAN",INDEX(CCESAN!$D:$D,MATCH($C389,CCESAN!$A:$A,0)),
IF(CONCATENATE($A389,$B389)="CSCORIO",INDEX(CSCORIO!$B:$B,MATCH($C389,CSCORIO!#REF!,0)),
IF(CONCATENATE($A389,$B389)="MERC",INDEX(MERCADO!$E:$E,MATCH($C389,MERCADO!$A:$A,0)),
IF(CONCATENATE($A389,$B389)="CCOMP",INDEX(COMPOSICAO!$H:$H,MATCH($C389,COMPOSICAO!$A:$A,0)),""
)))))))),""))</f>
        <v>24.28</v>
      </c>
      <c r="H389" s="144">
        <f t="shared" si="63"/>
        <v>62.64</v>
      </c>
    </row>
    <row r="391" spans="1:9" s="135" customFormat="1" ht="20.100000000000001" customHeight="1">
      <c r="A391" s="186" t="s">
        <v>1020</v>
      </c>
      <c r="B391" s="405" t="s">
        <v>1022</v>
      </c>
      <c r="C391" s="406"/>
      <c r="D391" s="406"/>
      <c r="E391" s="406"/>
      <c r="F391" s="407"/>
      <c r="G391" s="133" t="s">
        <v>19692</v>
      </c>
      <c r="H391" s="134" t="s">
        <v>19678</v>
      </c>
      <c r="I391" s="263"/>
    </row>
    <row r="392" spans="1:9" ht="45" customHeight="1">
      <c r="A392" s="136">
        <f>COUNTIF($A$4:$A391,$A$4)</f>
        <v>35</v>
      </c>
      <c r="B392" s="408" t="s">
        <v>26765</v>
      </c>
      <c r="C392" s="409"/>
      <c r="D392" s="409"/>
      <c r="E392" s="409"/>
      <c r="F392" s="410"/>
      <c r="G392" s="137" t="s">
        <v>26764</v>
      </c>
      <c r="H392" s="211">
        <f>SUM(H394:H399)</f>
        <v>396.46999999999997</v>
      </c>
    </row>
    <row r="393" spans="1:9" ht="30" customHeight="1">
      <c r="A393" s="139" t="s">
        <v>1026</v>
      </c>
      <c r="B393" s="139" t="s">
        <v>1027</v>
      </c>
      <c r="C393" s="139" t="s">
        <v>31</v>
      </c>
      <c r="D393" s="139" t="s">
        <v>1023</v>
      </c>
      <c r="E393" s="139" t="s">
        <v>32</v>
      </c>
      <c r="F393" s="183" t="s">
        <v>2343</v>
      </c>
      <c r="G393" s="140" t="s">
        <v>19676</v>
      </c>
      <c r="H393" s="140" t="s">
        <v>19677</v>
      </c>
    </row>
    <row r="394" spans="1:9">
      <c r="A394" s="141" t="s">
        <v>26621</v>
      </c>
      <c r="B394" s="141" t="s">
        <v>1019</v>
      </c>
      <c r="C394" s="141">
        <v>4823</v>
      </c>
      <c r="D394" s="142" t="str">
        <f>PROPER(IFERROR(
IF(C394="","",
IF(CONCATENATE($A394,$B394)="IDER-ES",INDEX('IDER-ES'!$B:$B,MATCH($C394,'IDER-ES'!$A:$A,0)),
IF(CONCATENATE($A394,$B394)="CDER-ES",INDEX('CDER-ES'!$B:$B,MATCH($C394,'CDER-ES'!$A:$A,0)),
IF(CONCATENATE($A394,$B394)="ISINAPI",INDEX(ISINAPI!$B:$B,MATCH($C394,ISINAPI!$A:$A,0)),
IF(CONCATENATE($A394,$B394)="CSINAPI",INDEX(CSINAPI!$B:$B,MATCH($C394,CSINAPI!$A:$A,0)),
IF(CONCATENATE($A394,$B394)="CCESAN",INDEX(CCESAN!$B:$B,MATCH($C394,CCESAN!$A:$A,0)),
IF(CONCATENATE($A394,$B394)="CSCORIO",INDEX(CSCORIO!#REF!,MATCH($C394,CSCORIO!#REF!,0)),
IF(CONCATENATE($A394,$B394)="MERC",INDEX(MERCADO!$B:$B,MATCH($C394,MERCADO!$A:$A,0)),
IF(CONCATENATE($A394,$B394)="CCOMP",INDEX(COMPOSICAO!$B:$B,MATCH($C394,COMPOSICAO!$A:$A,0)),""
))))))))),"*Verificar código*"))</f>
        <v xml:space="preserve">Massa Plastica Para Marmore/Granito                                                                                                                                                                                                                                                                                                                                                                                                                                                                       </v>
      </c>
      <c r="E394" s="143" t="str">
        <f>LOWER(IFERROR(
IF(CONCATENATE($A394,$B394)="IDER-ES",INDEX('IDER-ES'!$C:$C,MATCH($C394,'IDER-ES'!$A:$A,0)),
IF(CONCATENATE($A394,$B394)="CIOPES",INDEX('CDER-ES'!$C:$C,MATCH($C394,'CDER-ES'!$A:$A,0)),
IF(CONCATENATE($A394,$B394)="ISINAPI",INDEX(ISINAPI!$C:$C,MATCH($C394,ISINAPI!$A:$A,0)),
IF(CONCATENATE($A394,$B394)="CSINAPI",INDEX(CSINAPI!$C:$C,MATCH($C394,CSINAPI!$A:$A,0)),
IF(CONCATENATE($A394,$B394)="CCESAN",INDEX(CCESAN!$C:$C,MATCH($C394,CCESAN!$A:$A,0)),
IF(CONCATENATE($A394,$B394)="CSCORIO",INDEX(CSCORIO!$A:$A,MATCH($C394,CSCORIO!#REF!,0)),
IF(CONCATENATE($A394,$B394)="MERC",INDEX(MERCADO!$D:$D,MATCH($C394,MERCADO!$A:$A,0)),
IF(CONCATENATE($A394,$B394)="CCOMP",INDEX(COMPOSICAO!$H:$H,MATCH($C394,COMPOSICAO!$A:$A,0)),""
)))))))),""))</f>
        <v xml:space="preserve">kg    </v>
      </c>
      <c r="F394" s="182">
        <f>0.5228/0.9</f>
        <v>0.5808888888888889</v>
      </c>
      <c r="G394" s="144">
        <f>(IFERROR(
IF(CONCATENATE($A394,$B394)="IDER-ES",INDEX('IDER-ES'!$D:$D,MATCH($C394,'IDER-ES'!$A:$A,0)),
IF(CONCATENATE($A394,$B394)="CIOPES",INDEX('CDER-ES'!$D:$D,MATCH($C394,'CDER-ES'!$A:$A,0)),
IF(CONCATENATE($A394,$B394)="ISINAPI",INDEX(ISINAPI!$E:$E,MATCH($C394,ISINAPI!$A:$A,0)),
IF(CONCATENATE($A394,$B394)="CSINAPI",INDEX(CSINAPI!$D:$D,MATCH($C394,CSINAPI!$A:$A,0)),
IF(CONCATENATE($A394,$B394)="CCESAN",INDEX(CCESAN!$D:$D,MATCH($C394,CCESAN!$A:$A,0)),
IF(CONCATENATE($A394,$B394)="CSCORIO",INDEX(CSCORIO!$B:$B,MATCH($C394,CSCORIO!#REF!,0)),
IF(CONCATENATE($A394,$B394)="MERC",INDEX(MERCADO!$E:$E,MATCH($C394,MERCADO!$A:$A,0)),
IF(CONCATENATE($A394,$B394)="CCOMP",INDEX(COMPOSICAO!$H:$H,MATCH($C394,COMPOSICAO!$A:$A,0)),""
)))))))),""))</f>
        <v>33.97</v>
      </c>
      <c r="H394" s="144">
        <f t="shared" ref="H394:H399" si="64">IF(B394="","",ROUND(G394*F394,2))</f>
        <v>19.73</v>
      </c>
    </row>
    <row r="395" spans="1:9" ht="25.5">
      <c r="A395" s="141" t="s">
        <v>26621</v>
      </c>
      <c r="B395" s="141" t="s">
        <v>1019</v>
      </c>
      <c r="C395" s="141">
        <v>4777</v>
      </c>
      <c r="D395" s="142" t="str">
        <f>PROPER(IFERROR(
IF(C395="","",
IF(CONCATENATE($A395,$B395)="IDER-ES",INDEX('IDER-ES'!$B:$B,MATCH($C395,'IDER-ES'!$A:$A,0)),
IF(CONCATENATE($A395,$B395)="CDER-ES",INDEX('CDER-ES'!$B:$B,MATCH($C395,'CDER-ES'!$A:$A,0)),
IF(CONCATENATE($A395,$B395)="ISINAPI",INDEX(ISINAPI!$B:$B,MATCH($C395,ISINAPI!$A:$A,0)),
IF(CONCATENATE($A395,$B395)="CSINAPI",INDEX(CSINAPI!$B:$B,MATCH($C395,CSINAPI!$A:$A,0)),
IF(CONCATENATE($A395,$B395)="CCESAN",INDEX(CCESAN!$B:$B,MATCH($C395,CCESAN!$A:$A,0)),
IF(CONCATENATE($A395,$B395)="CSCORIO",INDEX(CSCORIO!#REF!,MATCH($C395,CSCORIO!#REF!,0)),
IF(CONCATENATE($A395,$B395)="MERC",INDEX(MERCADO!$B:$B,MATCH($C395,MERCADO!$A:$A,0)),
IF(CONCATENATE($A395,$B395)="CCOMP",INDEX(COMPOSICAO!$B:$B,MATCH($C395,COMPOSICAO!$A:$A,0)),""
))))))))),"*Verificar código*"))</f>
        <v xml:space="preserve">Cantoneira Aco Abas Iguais (Qualquer Bitola), Espessura Entre 1/8" E 1/4"                                                                                                                                                                                                                                                                                                                                                                                                                                 </v>
      </c>
      <c r="E395" s="143" t="str">
        <f>LOWER(IFERROR(
IF(CONCATENATE($A395,$B395)="IDER-ES",INDEX('IDER-ES'!$C:$C,MATCH($C395,'IDER-ES'!$A:$A,0)),
IF(CONCATENATE($A395,$B395)="CIOPES",INDEX('CDER-ES'!$C:$C,MATCH($C395,'CDER-ES'!$A:$A,0)),
IF(CONCATENATE($A395,$B395)="ISINAPI",INDEX(ISINAPI!$C:$C,MATCH($C395,ISINAPI!$A:$A,0)),
IF(CONCATENATE($A395,$B395)="CSINAPI",INDEX(CSINAPI!$C:$C,MATCH($C395,CSINAPI!$A:$A,0)),
IF(CONCATENATE($A395,$B395)="CCESAN",INDEX(CCESAN!$C:$C,MATCH($C395,CCESAN!$A:$A,0)),
IF(CONCATENATE($A395,$B395)="CSCORIO",INDEX(CSCORIO!$A:$A,MATCH($C395,CSCORIO!#REF!,0)),
IF(CONCATENATE($A395,$B395)="MERC",INDEX(MERCADO!$D:$D,MATCH($C395,MERCADO!$A:$A,0)),
IF(CONCATENATE($A395,$B395)="CCOMP",INDEX(COMPOSICAO!$H:$H,MATCH($C395,COMPOSICAO!$A:$A,0)),""
)))))))),""))</f>
        <v xml:space="preserve">kg    </v>
      </c>
      <c r="F395" s="182">
        <f>0.5*3*2.7</f>
        <v>4.0500000000000007</v>
      </c>
      <c r="G395" s="144">
        <f>(IFERROR(
IF(CONCATENATE($A395,$B395)="IDER-ES",INDEX('IDER-ES'!$D:$D,MATCH($C395,'IDER-ES'!$A:$A,0)),
IF(CONCATENATE($A395,$B395)="CIOPES",INDEX('CDER-ES'!$D:$D,MATCH($C395,'CDER-ES'!$A:$A,0)),
IF(CONCATENATE($A395,$B395)="ISINAPI",INDEX(ISINAPI!$E:$E,MATCH($C395,ISINAPI!$A:$A,0)),
IF(CONCATENATE($A395,$B395)="CSINAPI",INDEX(CSINAPI!$D:$D,MATCH($C395,CSINAPI!$A:$A,0)),
IF(CONCATENATE($A395,$B395)="CCESAN",INDEX(CCESAN!$D:$D,MATCH($C395,CCESAN!$A:$A,0)),
IF(CONCATENATE($A395,$B395)="CSCORIO",INDEX(CSCORIO!$B:$B,MATCH($C395,CSCORIO!#REF!,0)),
IF(CONCATENATE($A395,$B395)="MERC",INDEX(MERCADO!$E:$E,MATCH($C395,MERCADO!$A:$A,0)),
IF(CONCATENATE($A395,$B395)="CCOMP",INDEX(COMPOSICAO!$H:$H,MATCH($C395,COMPOSICAO!$A:$A,0)),""
)))))))),""))</f>
        <v>11.83</v>
      </c>
      <c r="H395" s="144">
        <f t="shared" ref="H395:H396" si="65">IF(B395="","",ROUND(G395*F395,2))</f>
        <v>47.91</v>
      </c>
    </row>
    <row r="396" spans="1:9" ht="51">
      <c r="A396" s="141" t="s">
        <v>26621</v>
      </c>
      <c r="B396" s="141" t="s">
        <v>1019</v>
      </c>
      <c r="C396" s="141">
        <v>11795</v>
      </c>
      <c r="D396" s="142" t="str">
        <f>PROPER(IFERROR(
IF(C396="","",
IF(CONCATENATE($A396,$B396)="IDER-ES",INDEX('IDER-ES'!$B:$B,MATCH($C396,'IDER-ES'!$A:$A,0)),
IF(CONCATENATE($A396,$B396)="CDER-ES",INDEX('CDER-ES'!$B:$B,MATCH($C396,'CDER-ES'!$A:$A,0)),
IF(CONCATENATE($A396,$B396)="ISINAPI",INDEX(ISINAPI!$B:$B,MATCH($C396,ISINAPI!$A:$A,0)),
IF(CONCATENATE($A396,$B396)="CSINAPI",INDEX(CSINAPI!$B:$B,MATCH($C396,CSINAPI!$A:$A,0)),
IF(CONCATENATE($A396,$B396)="CCESAN",INDEX(CCESAN!$B:$B,MATCH($C396,CCESAN!$A:$A,0)),
IF(CONCATENATE($A396,$B396)="CSCORIO",INDEX(CSCORIO!#REF!,MATCH($C396,CSCORIO!#REF!,0)),
IF(CONCATENATE($A396,$B396)="MERC",INDEX(MERCADO!$B:$B,MATCH($C396,MERCADO!$A:$A,0)),
IF(CONCATENATE($A396,$B396)="CCOMP",INDEX(COMPOSICAO!$B:$B,MATCH($C396,COMPOSICAO!$A:$A,0)),""
))))))))),"*Verificar código*"))</f>
        <v xml:space="preserve">Granito Para Bancada, Polido, Tipo Andorinha/ Quartz/ Castelo/ Corumba Ou Outros Equivalentes Da Regiao, E=  *2,5* Cm                                                                                                                                                                                                                                                                                                                                                                                     </v>
      </c>
      <c r="E396" s="143" t="str">
        <f>LOWER(IFERROR(
IF(CONCATENATE($A396,$B396)="IDER-ES",INDEX('IDER-ES'!$C:$C,MATCH($C396,'IDER-ES'!$A:$A,0)),
IF(CONCATENATE($A396,$B396)="CIOPES",INDEX('CDER-ES'!$C:$C,MATCH($C396,'CDER-ES'!$A:$A,0)),
IF(CONCATENATE($A396,$B396)="ISINAPI",INDEX(ISINAPI!$C:$C,MATCH($C396,ISINAPI!$A:$A,0)),
IF(CONCATENATE($A396,$B396)="CSINAPI",INDEX(CSINAPI!$C:$C,MATCH($C396,CSINAPI!$A:$A,0)),
IF(CONCATENATE($A396,$B396)="CCESAN",INDEX(CCESAN!$C:$C,MATCH($C396,CCESAN!$A:$A,0)),
IF(CONCATENATE($A396,$B396)="CSCORIO",INDEX(CSCORIO!$A:$A,MATCH($C396,CSCORIO!#REF!,0)),
IF(CONCATENATE($A396,$B396)="MERC",INDEX(MERCADO!$D:$D,MATCH($C396,MERCADO!$A:$A,0)),
IF(CONCATENATE($A396,$B396)="CCOMP",INDEX(COMPOSICAO!$H:$H,MATCH($C396,COMPOSICAO!$A:$A,0)),""
)))))))),""))</f>
        <v xml:space="preserve">m²    </v>
      </c>
      <c r="F396" s="182">
        <v>1</v>
      </c>
      <c r="G396" s="144">
        <f>(IFERROR(
IF(CONCATENATE($A396,$B396)="IDER-ES",INDEX('IDER-ES'!$D:$D,MATCH($C396,'IDER-ES'!$A:$A,0)),
IF(CONCATENATE($A396,$B396)="CIOPES",INDEX('CDER-ES'!$D:$D,MATCH($C396,'CDER-ES'!$A:$A,0)),
IF(CONCATENATE($A396,$B396)="ISINAPI",INDEX(ISINAPI!$E:$E,MATCH($C396,ISINAPI!$A:$A,0)),
IF(CONCATENATE($A396,$B396)="CSINAPI",INDEX(CSINAPI!$D:$D,MATCH($C396,CSINAPI!$A:$A,0)),
IF(CONCATENATE($A396,$B396)="CCESAN",INDEX(CCESAN!$D:$D,MATCH($C396,CCESAN!$A:$A,0)),
IF(CONCATENATE($A396,$B396)="CSCORIO",INDEX(CSCORIO!$B:$B,MATCH($C396,CSCORIO!#REF!,0)),
IF(CONCATENATE($A396,$B396)="MERC",INDEX(MERCADO!$E:$E,MATCH($C396,MERCADO!$A:$A,0)),
IF(CONCATENATE($A396,$B396)="CCOMP",INDEX(COMPOSICAO!$H:$H,MATCH($C396,COMPOSICAO!$A:$A,0)),""
)))))))),""))</f>
        <v>264.14999999999998</v>
      </c>
      <c r="H396" s="144">
        <f t="shared" si="65"/>
        <v>264.14999999999998</v>
      </c>
    </row>
    <row r="397" spans="1:9">
      <c r="A397" s="141" t="s">
        <v>26621</v>
      </c>
      <c r="B397" s="141" t="s">
        <v>1019</v>
      </c>
      <c r="C397" s="141">
        <v>37329</v>
      </c>
      <c r="D397" s="142" t="str">
        <f>PROPER(IFERROR(
IF(C397="","",
IF(CONCATENATE($A397,$B397)="IDER-ES",INDEX('IDER-ES'!$B:$B,MATCH($C397,'IDER-ES'!$A:$A,0)),
IF(CONCATENATE($A397,$B397)="CDER-ES",INDEX('CDER-ES'!$B:$B,MATCH($C397,'CDER-ES'!$A:$A,0)),
IF(CONCATENATE($A397,$B397)="ISINAPI",INDEX(ISINAPI!$B:$B,MATCH($C397,ISINAPI!$A:$A,0)),
IF(CONCATENATE($A397,$B397)="CSINAPI",INDEX(CSINAPI!$B:$B,MATCH($C397,CSINAPI!$A:$A,0)),
IF(CONCATENATE($A397,$B397)="CCESAN",INDEX(CCESAN!$B:$B,MATCH($C397,CCESAN!$A:$A,0)),
IF(CONCATENATE($A397,$B397)="CSCORIO",INDEX(CSCORIO!#REF!,MATCH($C397,CSCORIO!#REF!,0)),
IF(CONCATENATE($A397,$B397)="MERC",INDEX(MERCADO!$B:$B,MATCH($C397,MERCADO!$A:$A,0)),
IF(CONCATENATE($A397,$B397)="CCOMP",INDEX(COMPOSICAO!$B:$B,MATCH($C397,COMPOSICAO!$A:$A,0)),""
))))))))),"*Verificar código*"))</f>
        <v xml:space="preserve">Rejunte Epoxi, Qualquer Cor                                                                                                                                                                                                                                                                                                                                                                                                                                                                               </v>
      </c>
      <c r="E397" s="143" t="str">
        <f>LOWER(IFERROR(
IF(CONCATENATE($A397,$B397)="IDER-ES",INDEX('IDER-ES'!$C:$C,MATCH($C397,'IDER-ES'!$A:$A,0)),
IF(CONCATENATE($A397,$B397)="CIOPES",INDEX('CDER-ES'!$C:$C,MATCH($C397,'CDER-ES'!$A:$A,0)),
IF(CONCATENATE($A397,$B397)="ISINAPI",INDEX(ISINAPI!$C:$C,MATCH($C397,ISINAPI!$A:$A,0)),
IF(CONCATENATE($A397,$B397)="CSINAPI",INDEX(CSINAPI!$C:$C,MATCH($C397,CSINAPI!$A:$A,0)),
IF(CONCATENATE($A397,$B397)="CCESAN",INDEX(CCESAN!$C:$C,MATCH($C397,CCESAN!$A:$A,0)),
IF(CONCATENATE($A397,$B397)="CSCORIO",INDEX(CSCORIO!$A:$A,MATCH($C397,CSCORIO!#REF!,0)),
IF(CONCATENATE($A397,$B397)="MERC",INDEX(MERCADO!$D:$D,MATCH($C397,MERCADO!$A:$A,0)),
IF(CONCATENATE($A397,$B397)="CCOMP",INDEX(COMPOSICAO!$H:$H,MATCH($C397,COMPOSICAO!$A:$A,0)),""
)))))))),""))</f>
        <v xml:space="preserve">kg    </v>
      </c>
      <c r="F397" s="182">
        <f>0.0211/0.9</f>
        <v>2.3444444444444445E-2</v>
      </c>
      <c r="G397" s="144">
        <f>(IFERROR(
IF(CONCATENATE($A397,$B397)="IDER-ES",INDEX('IDER-ES'!$D:$D,MATCH($C397,'IDER-ES'!$A:$A,0)),
IF(CONCATENATE($A397,$B397)="CIOPES",INDEX('CDER-ES'!$D:$D,MATCH($C397,'CDER-ES'!$A:$A,0)),
IF(CONCATENATE($A397,$B397)="ISINAPI",INDEX(ISINAPI!$E:$E,MATCH($C397,ISINAPI!$A:$A,0)),
IF(CONCATENATE($A397,$B397)="CSINAPI",INDEX(CSINAPI!$D:$D,MATCH($C397,CSINAPI!$A:$A,0)),
IF(CONCATENATE($A397,$B397)="CCESAN",INDEX(CCESAN!$D:$D,MATCH($C397,CCESAN!$A:$A,0)),
IF(CONCATENATE($A397,$B397)="CSCORIO",INDEX(CSCORIO!$B:$B,MATCH($C397,CSCORIO!#REF!,0)),
IF(CONCATENATE($A397,$B397)="MERC",INDEX(MERCADO!$E:$E,MATCH($C397,MERCADO!$A:$A,0)),
IF(CONCATENATE($A397,$B397)="CCOMP",INDEX(COMPOSICAO!$H:$H,MATCH($C397,COMPOSICAO!$A:$A,0)),""
)))))))),""))</f>
        <v>66.78</v>
      </c>
      <c r="H397" s="144">
        <f t="shared" ref="H397" si="66">IF(B397="","",ROUND(G397*F397,2))</f>
        <v>1.57</v>
      </c>
    </row>
    <row r="398" spans="1:9" ht="25.5">
      <c r="A398" s="141" t="s">
        <v>21960</v>
      </c>
      <c r="B398" s="141" t="s">
        <v>1019</v>
      </c>
      <c r="C398" s="141">
        <v>88274</v>
      </c>
      <c r="D398" s="142" t="str">
        <f>PROPER(IFERROR(
IF(C398="","",
IF(CONCATENATE($A398,$B398)="IDER-ES",INDEX('IDER-ES'!$B:$B,MATCH($C398,'IDER-ES'!$A:$A,0)),
IF(CONCATENATE($A398,$B398)="CDER-ES",INDEX('CDER-ES'!$B:$B,MATCH($C398,'CDER-ES'!$A:$A,0)),
IF(CONCATENATE($A398,$B398)="ISINAPI",INDEX(ISINAPI!$B:$B,MATCH($C398,ISINAPI!$A:$A,0)),
IF(CONCATENATE($A398,$B398)="CSINAPI",INDEX(CSINAPI!$B:$B,MATCH($C398,CSINAPI!$A:$A,0)),
IF(CONCATENATE($A398,$B398)="CCESAN",INDEX(CCESAN!$B:$B,MATCH($C398,CCESAN!$A:$A,0)),
IF(CONCATENATE($A398,$B398)="CSCORIO",INDEX(CSCORIO!#REF!,MATCH($C398,CSCORIO!#REF!,0)),
IF(CONCATENATE($A398,$B398)="MERC",INDEX(MERCADO!$B:$B,MATCH($C398,MERCADO!$A:$A,0)),
IF(CONCATENATE($A398,$B398)="CCOMP",INDEX(COMPOSICAO!$B:$B,MATCH($C398,COMPOSICAO!$A:$A,0)),""
))))))))),"*Verificar código*"))</f>
        <v>Marmorista/Graniteiro Com Encargos Complementares</v>
      </c>
      <c r="E398" s="143" t="str">
        <f>LOWER(IFERROR(
IF(CONCATENATE($A398,$B398)="IDER-ES",INDEX('IDER-ES'!$C:$C,MATCH($C398,'IDER-ES'!$A:$A,0)),
IF(CONCATENATE($A398,$B398)="CIOPES",INDEX('CDER-ES'!$C:$C,MATCH($C398,'CDER-ES'!$A:$A,0)),
IF(CONCATENATE($A398,$B398)="ISINAPI",INDEX(ISINAPI!$C:$C,MATCH($C398,ISINAPI!$A:$A,0)),
IF(CONCATENATE($A398,$B398)="CSINAPI",INDEX(CSINAPI!$C:$C,MATCH($C398,CSINAPI!$A:$A,0)),
IF(CONCATENATE($A398,$B398)="CCESAN",INDEX(CCESAN!$C:$C,MATCH($C398,CCESAN!$A:$A,0)),
IF(CONCATENATE($A398,$B398)="CSCORIO",INDEX(CSCORIO!$A:$A,MATCH($C398,CSCORIO!#REF!,0)),
IF(CONCATENATE($A398,$B398)="MERC",INDEX(MERCADO!$D:$D,MATCH($C398,MERCADO!$A:$A,0)),
IF(CONCATENATE($A398,$B398)="CCOMP",INDEX(COMPOSICAO!$H:$H,MATCH($C398,COMPOSICAO!$A:$A,0)),""
)))))))),""))</f>
        <v>h</v>
      </c>
      <c r="F398" s="182">
        <f>1.4944/0.9</f>
        <v>1.6604444444444444</v>
      </c>
      <c r="G398" s="144">
        <f>(IFERROR(
IF(CONCATENATE($A398,$B398)="IDER-ES",INDEX('IDER-ES'!$D:$D,MATCH($C398,'IDER-ES'!$A:$A,0)),
IF(CONCATENATE($A398,$B398)="CIOPES",INDEX('CDER-ES'!$D:$D,MATCH($C398,'CDER-ES'!$A:$A,0)),
IF(CONCATENATE($A398,$B398)="ISINAPI",INDEX(ISINAPI!$E:$E,MATCH($C398,ISINAPI!$A:$A,0)),
IF(CONCATENATE($A398,$B398)="CSINAPI",INDEX(CSINAPI!$D:$D,MATCH($C398,CSINAPI!$A:$A,0)),
IF(CONCATENATE($A398,$B398)="CCESAN",INDEX(CCESAN!$D:$D,MATCH($C398,CCESAN!$A:$A,0)),
IF(CONCATENATE($A398,$B398)="CSCORIO",INDEX(CSCORIO!$B:$B,MATCH($C398,CSCORIO!#REF!,0)),
IF(CONCATENATE($A398,$B398)="MERC",INDEX(MERCADO!$E:$E,MATCH($C398,MERCADO!$A:$A,0)),
IF(CONCATENATE($A398,$B398)="CCOMP",INDEX(COMPOSICAO!$H:$H,MATCH($C398,COMPOSICAO!$A:$A,0)),""
)))))))),""))</f>
        <v>26.09</v>
      </c>
      <c r="H398" s="144">
        <f t="shared" ref="H398" si="67">IF(B398="","",ROUND(G398*F398,2))</f>
        <v>43.32</v>
      </c>
    </row>
    <row r="399" spans="1:9" ht="25.5">
      <c r="A399" s="141" t="s">
        <v>21960</v>
      </c>
      <c r="B399" s="141" t="s">
        <v>1019</v>
      </c>
      <c r="C399" s="141">
        <v>88316</v>
      </c>
      <c r="D399" s="142" t="str">
        <f>PROPER(IFERROR(
IF(C399="","",
IF(CONCATENATE($A399,$B399)="IDER-ES",INDEX('IDER-ES'!$B:$B,MATCH($C399,'IDER-ES'!$A:$A,0)),
IF(CONCATENATE($A399,$B399)="CDER-ES",INDEX('CDER-ES'!$B:$B,MATCH($C399,'CDER-ES'!$A:$A,0)),
IF(CONCATENATE($A399,$B399)="ISINAPI",INDEX(ISINAPI!$B:$B,MATCH($C399,ISINAPI!$A:$A,0)),
IF(CONCATENATE($A399,$B399)="CSINAPI",INDEX(CSINAPI!$B:$B,MATCH($C399,CSINAPI!$A:$A,0)),
IF(CONCATENATE($A399,$B399)="CCESAN",INDEX(CCESAN!$B:$B,MATCH($C399,CCESAN!$A:$A,0)),
IF(CONCATENATE($A399,$B399)="CSCORIO",INDEX(CSCORIO!#REF!,MATCH($C399,CSCORIO!#REF!,0)),
IF(CONCATENATE($A399,$B399)="MERC",INDEX(MERCADO!$B:$B,MATCH($C399,MERCADO!$A:$A,0)),
IF(CONCATENATE($A399,$B399)="CCOMP",INDEX(COMPOSICAO!$B:$B,MATCH($C399,COMPOSICAO!$A:$A,0)),""
))))))))),"*Verificar código*"))</f>
        <v>Servente Com Encargos Complementares</v>
      </c>
      <c r="E399" s="143" t="str">
        <f>LOWER(IFERROR(
IF(CONCATENATE($A399,$B399)="IDER-ES",INDEX('IDER-ES'!$C:$C,MATCH($C399,'IDER-ES'!$A:$A,0)),
IF(CONCATENATE($A399,$B399)="CIOPES",INDEX('CDER-ES'!$C:$C,MATCH($C399,'CDER-ES'!$A:$A,0)),
IF(CONCATENATE($A399,$B399)="ISINAPI",INDEX(ISINAPI!$C:$C,MATCH($C399,ISINAPI!$A:$A,0)),
IF(CONCATENATE($A399,$B399)="CSINAPI",INDEX(CSINAPI!$C:$C,MATCH($C399,CSINAPI!$A:$A,0)),
IF(CONCATENATE($A399,$B399)="CCESAN",INDEX(CCESAN!$C:$C,MATCH($C399,CCESAN!$A:$A,0)),
IF(CONCATENATE($A399,$B399)="CSCORIO",INDEX(CSCORIO!$A:$A,MATCH($C399,CSCORIO!#REF!,0)),
IF(CONCATENATE($A399,$B399)="MERC",INDEX(MERCADO!$D:$D,MATCH($C399,MERCADO!$A:$A,0)),
IF(CONCATENATE($A399,$B399)="CCOMP",INDEX(COMPOSICAO!$H:$H,MATCH($C399,COMPOSICAO!$A:$A,0)),""
)))))))),""))</f>
        <v>h</v>
      </c>
      <c r="F399" s="182">
        <f>0.9834/0.9</f>
        <v>1.0926666666666667</v>
      </c>
      <c r="G399" s="144">
        <f>(IFERROR(
IF(CONCATENATE($A399,$B399)="IDER-ES",INDEX('IDER-ES'!$D:$D,MATCH($C399,'IDER-ES'!$A:$A,0)),
IF(CONCATENATE($A399,$B399)="CIOPES",INDEX('CDER-ES'!$D:$D,MATCH($C399,'CDER-ES'!$A:$A,0)),
IF(CONCATENATE($A399,$B399)="ISINAPI",INDEX(ISINAPI!$E:$E,MATCH($C399,ISINAPI!$A:$A,0)),
IF(CONCATENATE($A399,$B399)="CSINAPI",INDEX(CSINAPI!$D:$D,MATCH($C399,CSINAPI!$A:$A,0)),
IF(CONCATENATE($A399,$B399)="CCESAN",INDEX(CCESAN!$D:$D,MATCH($C399,CCESAN!$A:$A,0)),
IF(CONCATENATE($A399,$B399)="CSCORIO",INDEX(CSCORIO!$B:$B,MATCH($C399,CSCORIO!#REF!,0)),
IF(CONCATENATE($A399,$B399)="MERC",INDEX(MERCADO!$E:$E,MATCH($C399,MERCADO!$A:$A,0)),
IF(CONCATENATE($A399,$B399)="CCOMP",INDEX(COMPOSICAO!$H:$H,MATCH($C399,COMPOSICAO!$A:$A,0)),""
)))))))),""))</f>
        <v>18.11</v>
      </c>
      <c r="H399" s="144">
        <f t="shared" si="64"/>
        <v>19.79</v>
      </c>
    </row>
    <row r="400" spans="1:9" ht="30" customHeight="1">
      <c r="A400" s="404" t="s">
        <v>26766</v>
      </c>
      <c r="B400" s="404"/>
      <c r="C400" s="404"/>
      <c r="D400" s="404"/>
      <c r="E400" s="404"/>
      <c r="F400" s="404"/>
      <c r="G400" s="404"/>
      <c r="H400" s="404"/>
    </row>
    <row r="402" spans="1:9" s="135" customFormat="1" ht="20.100000000000001" customHeight="1">
      <c r="A402" s="186" t="s">
        <v>1020</v>
      </c>
      <c r="B402" s="405" t="s">
        <v>1022</v>
      </c>
      <c r="C402" s="406"/>
      <c r="D402" s="406"/>
      <c r="E402" s="406"/>
      <c r="F402" s="407"/>
      <c r="G402" s="133" t="s">
        <v>19692</v>
      </c>
      <c r="H402" s="134" t="s">
        <v>19678</v>
      </c>
      <c r="I402" s="263"/>
    </row>
    <row r="403" spans="1:9" ht="30" customHeight="1">
      <c r="A403" s="136">
        <f>COUNTIF($A$4:$A402,$A$4)</f>
        <v>36</v>
      </c>
      <c r="B403" s="408" t="s">
        <v>26769</v>
      </c>
      <c r="C403" s="409"/>
      <c r="D403" s="409"/>
      <c r="E403" s="409"/>
      <c r="F403" s="410"/>
      <c r="G403" s="137" t="s">
        <v>6</v>
      </c>
      <c r="H403" s="211">
        <f>SUM(H405:H410)</f>
        <v>48.379999999999995</v>
      </c>
    </row>
    <row r="404" spans="1:9" ht="30" customHeight="1">
      <c r="A404" s="139" t="s">
        <v>1026</v>
      </c>
      <c r="B404" s="139" t="s">
        <v>1027</v>
      </c>
      <c r="C404" s="139" t="s">
        <v>31</v>
      </c>
      <c r="D404" s="139" t="s">
        <v>1023</v>
      </c>
      <c r="E404" s="139" t="s">
        <v>32</v>
      </c>
      <c r="F404" s="183" t="s">
        <v>2343</v>
      </c>
      <c r="G404" s="140" t="s">
        <v>19676</v>
      </c>
      <c r="H404" s="140" t="s">
        <v>19677</v>
      </c>
    </row>
    <row r="405" spans="1:9" ht="51">
      <c r="A405" s="141" t="s">
        <v>26621</v>
      </c>
      <c r="B405" s="141" t="s">
        <v>1019</v>
      </c>
      <c r="C405" s="141">
        <v>20231</v>
      </c>
      <c r="D405" s="142" t="str">
        <f>PROPER(IFERROR(
IF(C405="","",
IF(CONCATENATE($A405,$B405)="IDER-ES",INDEX('IDER-ES'!$B:$B,MATCH($C405,'IDER-ES'!$A:$A,0)),
IF(CONCATENATE($A405,$B405)="CDER-ES",INDEX('CDER-ES'!$B:$B,MATCH($C405,'CDER-ES'!$A:$A,0)),
IF(CONCATENATE($A405,$B405)="ISINAPI",INDEX(ISINAPI!$B:$B,MATCH($C405,ISINAPI!$A:$A,0)),
IF(CONCATENATE($A405,$B405)="CSINAPI",INDEX(CSINAPI!$B:$B,MATCH($C405,CSINAPI!$A:$A,0)),
IF(CONCATENATE($A405,$B405)="CCESAN",INDEX(CCESAN!$B:$B,MATCH($C405,CCESAN!$A:$A,0)),
IF(CONCATENATE($A405,$B405)="CSCORIO",INDEX(CSCORIO!#REF!,MATCH($C405,CSCORIO!#REF!,0)),
IF(CONCATENATE($A405,$B405)="MERC",INDEX(MERCADO!$B:$B,MATCH($C405,MERCADO!$A:$A,0)),
IF(CONCATENATE($A405,$B405)="CCOMP",INDEX(COMPOSICAO!$B:$B,MATCH($C405,COMPOSICAO!$A:$A,0)),""
))))))))),"*Verificar código*"))</f>
        <v xml:space="preserve">Rodape Ou Rodabancada Em Granito, Polido, Tipo Andorinha/ Quartz/ Castelo/ Corumba Ou Outros Equivalentes Da Regiao, H= 10 Cm, E=  *2,0* Cm                                                                                                                                                                                                                                                                                                                                                               </v>
      </c>
      <c r="E405" s="143" t="str">
        <f>LOWER(IFERROR(
IF(CONCATENATE($A405,$B405)="IDER-ES",INDEX('IDER-ES'!$C:$C,MATCH($C405,'IDER-ES'!$A:$A,0)),
IF(CONCATENATE($A405,$B405)="CIOPES",INDEX('CDER-ES'!$C:$C,MATCH($C405,'CDER-ES'!$A:$A,0)),
IF(CONCATENATE($A405,$B405)="ISINAPI",INDEX(ISINAPI!$C:$C,MATCH($C405,ISINAPI!$A:$A,0)),
IF(CONCATENATE($A405,$B405)="CSINAPI",INDEX(CSINAPI!$C:$C,MATCH($C405,CSINAPI!$A:$A,0)),
IF(CONCATENATE($A405,$B405)="CCESAN",INDEX(CCESAN!$C:$C,MATCH($C405,CCESAN!$A:$A,0)),
IF(CONCATENATE($A405,$B405)="CSCORIO",INDEX(CSCORIO!$A:$A,MATCH($C405,CSCORIO!#REF!,0)),
IF(CONCATENATE($A405,$B405)="MERC",INDEX(MERCADO!$D:$D,MATCH($C405,MERCADO!$A:$A,0)),
IF(CONCATENATE($A405,$B405)="CCOMP",INDEX(COMPOSICAO!$H:$H,MATCH($C405,COMPOSICAO!$A:$A,0)),""
)))))))),""))</f>
        <v xml:space="preserve">m     </v>
      </c>
      <c r="F405" s="182">
        <v>1</v>
      </c>
      <c r="G405" s="144">
        <f>(IFERROR(
IF(CONCATENATE($A405,$B405)="IDER-ES",INDEX('IDER-ES'!$D:$D,MATCH($C405,'IDER-ES'!$A:$A,0)),
IF(CONCATENATE($A405,$B405)="CIOPES",INDEX('CDER-ES'!$D:$D,MATCH($C405,'CDER-ES'!$A:$A,0)),
IF(CONCATENATE($A405,$B405)="ISINAPI",INDEX(ISINAPI!$E:$E,MATCH($C405,ISINAPI!$A:$A,0)),
IF(CONCATENATE($A405,$B405)="CSINAPI",INDEX(CSINAPI!$D:$D,MATCH($C405,CSINAPI!$A:$A,0)),
IF(CONCATENATE($A405,$B405)="CCESAN",INDEX(CCESAN!$D:$D,MATCH($C405,CCESAN!$A:$A,0)),
IF(CONCATENATE($A405,$B405)="CSCORIO",INDEX(CSCORIO!$B:$B,MATCH($C405,CSCORIO!#REF!,0)),
IF(CONCATENATE($A405,$B405)="MERC",INDEX(MERCADO!$E:$E,MATCH($C405,MERCADO!$A:$A,0)),
IF(CONCATENATE($A405,$B405)="CCOMP",INDEX(COMPOSICAO!$H:$H,MATCH($C405,COMPOSICAO!$A:$A,0)),""
)))))))),""))</f>
        <v>26.04</v>
      </c>
      <c r="H405" s="144">
        <f t="shared" ref="H405:H410" si="68">IF(B405="","",ROUND(G405*F405,2))</f>
        <v>26.04</v>
      </c>
    </row>
    <row r="406" spans="1:9">
      <c r="A406" s="141" t="s">
        <v>26621</v>
      </c>
      <c r="B406" s="141" t="s">
        <v>1019</v>
      </c>
      <c r="C406" s="141">
        <v>37329</v>
      </c>
      <c r="D406" s="142" t="str">
        <f>PROPER(IFERROR(
IF(C406="","",
IF(CONCATENATE($A406,$B406)="IDER-ES",INDEX('IDER-ES'!$B:$B,MATCH($C406,'IDER-ES'!$A:$A,0)),
IF(CONCATENATE($A406,$B406)="CDER-ES",INDEX('CDER-ES'!$B:$B,MATCH($C406,'CDER-ES'!$A:$A,0)),
IF(CONCATENATE($A406,$B406)="ISINAPI",INDEX(ISINAPI!$B:$B,MATCH($C406,ISINAPI!$A:$A,0)),
IF(CONCATENATE($A406,$B406)="CSINAPI",INDEX(CSINAPI!$B:$B,MATCH($C406,CSINAPI!$A:$A,0)),
IF(CONCATENATE($A406,$B406)="CCESAN",INDEX(CCESAN!$B:$B,MATCH($C406,CCESAN!$A:$A,0)),
IF(CONCATENATE($A406,$B406)="CSCORIO",INDEX(CSCORIO!#REF!,MATCH($C406,CSCORIO!#REF!,0)),
IF(CONCATENATE($A406,$B406)="MERC",INDEX(MERCADO!$B:$B,MATCH($C406,MERCADO!$A:$A,0)),
IF(CONCATENATE($A406,$B406)="CCOMP",INDEX(COMPOSICAO!$B:$B,MATCH($C406,COMPOSICAO!$A:$A,0)),""
))))))))),"*Verificar código*"))</f>
        <v xml:space="preserve">Rejunte Epoxi, Qualquer Cor                                                                                                                                                                                                                                                                                                                                                                                                                                                                               </v>
      </c>
      <c r="E406" s="143" t="str">
        <f>LOWER(IFERROR(
IF(CONCATENATE($A406,$B406)="IDER-ES",INDEX('IDER-ES'!$C:$C,MATCH($C406,'IDER-ES'!$A:$A,0)),
IF(CONCATENATE($A406,$B406)="CIOPES",INDEX('CDER-ES'!$C:$C,MATCH($C406,'CDER-ES'!$A:$A,0)),
IF(CONCATENATE($A406,$B406)="ISINAPI",INDEX(ISINAPI!$C:$C,MATCH($C406,ISINAPI!$A:$A,0)),
IF(CONCATENATE($A406,$B406)="CSINAPI",INDEX(CSINAPI!$C:$C,MATCH($C406,CSINAPI!$A:$A,0)),
IF(CONCATENATE($A406,$B406)="CCESAN",INDEX(CCESAN!$C:$C,MATCH($C406,CCESAN!$A:$A,0)),
IF(CONCATENATE($A406,$B406)="CSCORIO",INDEX(CSCORIO!$A:$A,MATCH($C406,CSCORIO!#REF!,0)),
IF(CONCATENATE($A406,$B406)="MERC",INDEX(MERCADO!$D:$D,MATCH($C406,MERCADO!$A:$A,0)),
IF(CONCATENATE($A406,$B406)="CCOMP",INDEX(COMPOSICAO!$H:$H,MATCH($C406,COMPOSICAO!$A:$A,0)),""
)))))))),""))</f>
        <v xml:space="preserve">kg    </v>
      </c>
      <c r="F406" s="182">
        <v>0.12</v>
      </c>
      <c r="G406" s="144">
        <f>(IFERROR(
IF(CONCATENATE($A406,$B406)="IDER-ES",INDEX('IDER-ES'!$D:$D,MATCH($C406,'IDER-ES'!$A:$A,0)),
IF(CONCATENATE($A406,$B406)="CIOPES",INDEX('CDER-ES'!$D:$D,MATCH($C406,'CDER-ES'!$A:$A,0)),
IF(CONCATENATE($A406,$B406)="ISINAPI",INDEX(ISINAPI!$E:$E,MATCH($C406,ISINAPI!$A:$A,0)),
IF(CONCATENATE($A406,$B406)="CSINAPI",INDEX(CSINAPI!$D:$D,MATCH($C406,CSINAPI!$A:$A,0)),
IF(CONCATENATE($A406,$B406)="CCESAN",INDEX(CCESAN!$D:$D,MATCH($C406,CCESAN!$A:$A,0)),
IF(CONCATENATE($A406,$B406)="CSCORIO",INDEX(CSCORIO!$B:$B,MATCH($C406,CSCORIO!#REF!,0)),
IF(CONCATENATE($A406,$B406)="MERC",INDEX(MERCADO!$E:$E,MATCH($C406,MERCADO!$A:$A,0)),
IF(CONCATENATE($A406,$B406)="CCOMP",INDEX(COMPOSICAO!$H:$H,MATCH($C406,COMPOSICAO!$A:$A,0)),""
)))))))),""))</f>
        <v>66.78</v>
      </c>
      <c r="H406" s="144">
        <f t="shared" ref="H406:H407" si="69">IF(B406="","",ROUND(G406*F406,2))</f>
        <v>8.01</v>
      </c>
    </row>
    <row r="407" spans="1:9">
      <c r="A407" s="141" t="s">
        <v>26621</v>
      </c>
      <c r="B407" s="141" t="s">
        <v>1019</v>
      </c>
      <c r="C407" s="141">
        <v>37595</v>
      </c>
      <c r="D407" s="142" t="str">
        <f>PROPER(IFERROR(
IF(C407="","",
IF(CONCATENATE($A407,$B407)="IDER-ES",INDEX('IDER-ES'!$B:$B,MATCH($C407,'IDER-ES'!$A:$A,0)),
IF(CONCATENATE($A407,$B407)="CDER-ES",INDEX('CDER-ES'!$B:$B,MATCH($C407,'CDER-ES'!$A:$A,0)),
IF(CONCATENATE($A407,$B407)="ISINAPI",INDEX(ISINAPI!$B:$B,MATCH($C407,ISINAPI!$A:$A,0)),
IF(CONCATENATE($A407,$B407)="CSINAPI",INDEX(CSINAPI!$B:$B,MATCH($C407,CSINAPI!$A:$A,0)),
IF(CONCATENATE($A407,$B407)="CCESAN",INDEX(CCESAN!$B:$B,MATCH($C407,CCESAN!$A:$A,0)),
IF(CONCATENATE($A407,$B407)="CSCORIO",INDEX(CSCORIO!#REF!,MATCH($C407,CSCORIO!#REF!,0)),
IF(CONCATENATE($A407,$B407)="MERC",INDEX(MERCADO!$B:$B,MATCH($C407,MERCADO!$A:$A,0)),
IF(CONCATENATE($A407,$B407)="CCOMP",INDEX(COMPOSICAO!$B:$B,MATCH($C407,COMPOSICAO!$A:$A,0)),""
))))))))),"*Verificar código*"))</f>
        <v xml:space="preserve">Argamassa Colante Tipo Ac Iii                                                                                                                                                                                                                                                                                                                                                                                                                                                                             </v>
      </c>
      <c r="E407" s="143" t="str">
        <f>LOWER(IFERROR(
IF(CONCATENATE($A407,$B407)="IDER-ES",INDEX('IDER-ES'!$C:$C,MATCH($C407,'IDER-ES'!$A:$A,0)),
IF(CONCATENATE($A407,$B407)="CIOPES",INDEX('CDER-ES'!$C:$C,MATCH($C407,'CDER-ES'!$A:$A,0)),
IF(CONCATENATE($A407,$B407)="ISINAPI",INDEX(ISINAPI!$C:$C,MATCH($C407,ISINAPI!$A:$A,0)),
IF(CONCATENATE($A407,$B407)="CSINAPI",INDEX(CSINAPI!$C:$C,MATCH($C407,CSINAPI!$A:$A,0)),
IF(CONCATENATE($A407,$B407)="CCESAN",INDEX(CCESAN!$C:$C,MATCH($C407,CCESAN!$A:$A,0)),
IF(CONCATENATE($A407,$B407)="CSCORIO",INDEX(CSCORIO!$A:$A,MATCH($C407,CSCORIO!#REF!,0)),
IF(CONCATENATE($A407,$B407)="MERC",INDEX(MERCADO!$D:$D,MATCH($C407,MERCADO!$A:$A,0)),
IF(CONCATENATE($A407,$B407)="CCOMP",INDEX(COMPOSICAO!$H:$H,MATCH($C407,COMPOSICAO!$A:$A,0)),""
)))))))),""))</f>
        <v xml:space="preserve">kg    </v>
      </c>
      <c r="F407" s="182">
        <v>0.86140000000000005</v>
      </c>
      <c r="G407" s="144">
        <f>(IFERROR(
IF(CONCATENATE($A407,$B407)="IDER-ES",INDEX('IDER-ES'!$D:$D,MATCH($C407,'IDER-ES'!$A:$A,0)),
IF(CONCATENATE($A407,$B407)="CIOPES",INDEX('CDER-ES'!$D:$D,MATCH($C407,'CDER-ES'!$A:$A,0)),
IF(CONCATENATE($A407,$B407)="ISINAPI",INDEX(ISINAPI!$E:$E,MATCH($C407,ISINAPI!$A:$A,0)),
IF(CONCATENATE($A407,$B407)="CSINAPI",INDEX(CSINAPI!$D:$D,MATCH($C407,CSINAPI!$A:$A,0)),
IF(CONCATENATE($A407,$B407)="CCESAN",INDEX(CCESAN!$D:$D,MATCH($C407,CCESAN!$A:$A,0)),
IF(CONCATENATE($A407,$B407)="CSCORIO",INDEX(CSCORIO!$B:$B,MATCH($C407,CSCORIO!#REF!,0)),
IF(CONCATENATE($A407,$B407)="MERC",INDEX(MERCADO!$E:$E,MATCH($C407,MERCADO!$A:$A,0)),
IF(CONCATENATE($A407,$B407)="CCOMP",INDEX(COMPOSICAO!$H:$H,MATCH($C407,COMPOSICAO!$A:$A,0)),""
)))))))),""))</f>
        <v>1.66</v>
      </c>
      <c r="H407" s="144">
        <f t="shared" si="69"/>
        <v>1.43</v>
      </c>
    </row>
    <row r="408" spans="1:9">
      <c r="A408" s="141" t="s">
        <v>26621</v>
      </c>
      <c r="B408" s="141" t="s">
        <v>1019</v>
      </c>
      <c r="C408" s="141">
        <v>4823</v>
      </c>
      <c r="D408" s="142" t="str">
        <f>PROPER(IFERROR(
IF(C408="","",
IF(CONCATENATE($A408,$B408)="IDER-ES",INDEX('IDER-ES'!$B:$B,MATCH($C408,'IDER-ES'!$A:$A,0)),
IF(CONCATENATE($A408,$B408)="CDER-ES",INDEX('CDER-ES'!$B:$B,MATCH($C408,'CDER-ES'!$A:$A,0)),
IF(CONCATENATE($A408,$B408)="ISINAPI",INDEX(ISINAPI!$B:$B,MATCH($C408,ISINAPI!$A:$A,0)),
IF(CONCATENATE($A408,$B408)="CSINAPI",INDEX(CSINAPI!$B:$B,MATCH($C408,CSINAPI!$A:$A,0)),
IF(CONCATENATE($A408,$B408)="CCESAN",INDEX(CCESAN!$B:$B,MATCH($C408,CCESAN!$A:$A,0)),
IF(CONCATENATE($A408,$B408)="CSCORIO",INDEX(CSCORIO!#REF!,MATCH($C408,CSCORIO!#REF!,0)),
IF(CONCATENATE($A408,$B408)="MERC",INDEX(MERCADO!$B:$B,MATCH($C408,MERCADO!$A:$A,0)),
IF(CONCATENATE($A408,$B408)="CCOMP",INDEX(COMPOSICAO!$B:$B,MATCH($C408,COMPOSICAO!$A:$A,0)),""
))))))))),"*Verificar código*"))</f>
        <v xml:space="preserve">Massa Plastica Para Marmore/Granito                                                                                                                                                                                                                                                                                                                                                                                                                                                                       </v>
      </c>
      <c r="E408" s="143" t="str">
        <f>LOWER(IFERROR(
IF(CONCATENATE($A408,$B408)="IDER-ES",INDEX('IDER-ES'!$C:$C,MATCH($C408,'IDER-ES'!$A:$A,0)),
IF(CONCATENATE($A408,$B408)="CIOPES",INDEX('CDER-ES'!$C:$C,MATCH($C408,'CDER-ES'!$A:$A,0)),
IF(CONCATENATE($A408,$B408)="ISINAPI",INDEX(ISINAPI!$C:$C,MATCH($C408,ISINAPI!$A:$A,0)),
IF(CONCATENATE($A408,$B408)="CSINAPI",INDEX(CSINAPI!$C:$C,MATCH($C408,CSINAPI!$A:$A,0)),
IF(CONCATENATE($A408,$B408)="CCESAN",INDEX(CCESAN!$C:$C,MATCH($C408,CCESAN!$A:$A,0)),
IF(CONCATENATE($A408,$B408)="CSCORIO",INDEX(CSCORIO!$A:$A,MATCH($C408,CSCORIO!#REF!,0)),
IF(CONCATENATE($A408,$B408)="MERC",INDEX(MERCADO!$D:$D,MATCH($C408,MERCADO!$A:$A,0)),
IF(CONCATENATE($A408,$B408)="CCOMP",INDEX(COMPOSICAO!$H:$H,MATCH($C408,COMPOSICAO!$A:$A,0)),""
)))))))),""))</f>
        <v xml:space="preserve">kg    </v>
      </c>
      <c r="F408" s="182">
        <v>7.0000000000000007E-2</v>
      </c>
      <c r="G408" s="144">
        <f>(IFERROR(
IF(CONCATENATE($A408,$B408)="IDER-ES",INDEX('IDER-ES'!$D:$D,MATCH($C408,'IDER-ES'!$A:$A,0)),
IF(CONCATENATE($A408,$B408)="CIOPES",INDEX('CDER-ES'!$D:$D,MATCH($C408,'CDER-ES'!$A:$A,0)),
IF(CONCATENATE($A408,$B408)="ISINAPI",INDEX(ISINAPI!$E:$E,MATCH($C408,ISINAPI!$A:$A,0)),
IF(CONCATENATE($A408,$B408)="CSINAPI",INDEX(CSINAPI!$D:$D,MATCH($C408,CSINAPI!$A:$A,0)),
IF(CONCATENATE($A408,$B408)="CCESAN",INDEX(CCESAN!$D:$D,MATCH($C408,CCESAN!$A:$A,0)),
IF(CONCATENATE($A408,$B408)="CSCORIO",INDEX(CSCORIO!$B:$B,MATCH($C408,CSCORIO!#REF!,0)),
IF(CONCATENATE($A408,$B408)="MERC",INDEX(MERCADO!$E:$E,MATCH($C408,MERCADO!$A:$A,0)),
IF(CONCATENATE($A408,$B408)="CCOMP",INDEX(COMPOSICAO!$H:$H,MATCH($C408,COMPOSICAO!$A:$A,0)),""
)))))))),""))</f>
        <v>33.97</v>
      </c>
      <c r="H408" s="144">
        <f t="shared" si="68"/>
        <v>2.38</v>
      </c>
    </row>
    <row r="409" spans="1:9" ht="25.5">
      <c r="A409" s="141" t="s">
        <v>21960</v>
      </c>
      <c r="B409" s="141" t="s">
        <v>1019</v>
      </c>
      <c r="C409" s="141">
        <v>88274</v>
      </c>
      <c r="D409" s="142" t="str">
        <f>PROPER(IFERROR(
IF(C409="","",
IF(CONCATENATE($A409,$B409)="IDER-ES",INDEX('IDER-ES'!$B:$B,MATCH($C409,'IDER-ES'!$A:$A,0)),
IF(CONCATENATE($A409,$B409)="CDER-ES",INDEX('CDER-ES'!$B:$B,MATCH($C409,'CDER-ES'!$A:$A,0)),
IF(CONCATENATE($A409,$B409)="ISINAPI",INDEX(ISINAPI!$B:$B,MATCH($C409,ISINAPI!$A:$A,0)),
IF(CONCATENATE($A409,$B409)="CSINAPI",INDEX(CSINAPI!$B:$B,MATCH($C409,CSINAPI!$A:$A,0)),
IF(CONCATENATE($A409,$B409)="CCESAN",INDEX(CCESAN!$B:$B,MATCH($C409,CCESAN!$A:$A,0)),
IF(CONCATENATE($A409,$B409)="CSCORIO",INDEX(CSCORIO!#REF!,MATCH($C409,CSCORIO!#REF!,0)),
IF(CONCATENATE($A409,$B409)="MERC",INDEX(MERCADO!$B:$B,MATCH($C409,MERCADO!$A:$A,0)),
IF(CONCATENATE($A409,$B409)="CCOMP",INDEX(COMPOSICAO!$B:$B,MATCH($C409,COMPOSICAO!$A:$A,0)),""
))))))))),"*Verificar código*"))</f>
        <v>Marmorista/Graniteiro Com Encargos Complementares</v>
      </c>
      <c r="E409" s="143" t="str">
        <f>LOWER(IFERROR(
IF(CONCATENATE($A409,$B409)="IDER-ES",INDEX('IDER-ES'!$C:$C,MATCH($C409,'IDER-ES'!$A:$A,0)),
IF(CONCATENATE($A409,$B409)="CIOPES",INDEX('CDER-ES'!$C:$C,MATCH($C409,'CDER-ES'!$A:$A,0)),
IF(CONCATENATE($A409,$B409)="ISINAPI",INDEX(ISINAPI!$C:$C,MATCH($C409,ISINAPI!$A:$A,0)),
IF(CONCATENATE($A409,$B409)="CSINAPI",INDEX(CSINAPI!$C:$C,MATCH($C409,CSINAPI!$A:$A,0)),
IF(CONCATENATE($A409,$B409)="CCESAN",INDEX(CCESAN!$C:$C,MATCH($C409,CCESAN!$A:$A,0)),
IF(CONCATENATE($A409,$B409)="CSCORIO",INDEX(CSCORIO!$A:$A,MATCH($C409,CSCORIO!#REF!,0)),
IF(CONCATENATE($A409,$B409)="MERC",INDEX(MERCADO!$D:$D,MATCH($C409,MERCADO!$A:$A,0)),
IF(CONCATENATE($A409,$B409)="CCOMP",INDEX(COMPOSICAO!$H:$H,MATCH($C409,COMPOSICAO!$A:$A,0)),""
)))))))),""))</f>
        <v>h</v>
      </c>
      <c r="F409" s="182">
        <v>0.29899999999999999</v>
      </c>
      <c r="G409" s="144">
        <f>(IFERROR(
IF(CONCATENATE($A409,$B409)="IDER-ES",INDEX('IDER-ES'!$D:$D,MATCH($C409,'IDER-ES'!$A:$A,0)),
IF(CONCATENATE($A409,$B409)="CIOPES",INDEX('CDER-ES'!$D:$D,MATCH($C409,'CDER-ES'!$A:$A,0)),
IF(CONCATENATE($A409,$B409)="ISINAPI",INDEX(ISINAPI!$E:$E,MATCH($C409,ISINAPI!$A:$A,0)),
IF(CONCATENATE($A409,$B409)="CSINAPI",INDEX(CSINAPI!$D:$D,MATCH($C409,CSINAPI!$A:$A,0)),
IF(CONCATENATE($A409,$B409)="CCESAN",INDEX(CCESAN!$D:$D,MATCH($C409,CCESAN!$A:$A,0)),
IF(CONCATENATE($A409,$B409)="CSCORIO",INDEX(CSCORIO!$B:$B,MATCH($C409,CSCORIO!#REF!,0)),
IF(CONCATENATE($A409,$B409)="MERC",INDEX(MERCADO!$E:$E,MATCH($C409,MERCADO!$A:$A,0)),
IF(CONCATENATE($A409,$B409)="CCOMP",INDEX(COMPOSICAO!$H:$H,MATCH($C409,COMPOSICAO!$A:$A,0)),""
)))))))),""))</f>
        <v>26.09</v>
      </c>
      <c r="H409" s="144">
        <f t="shared" si="68"/>
        <v>7.8</v>
      </c>
    </row>
    <row r="410" spans="1:9" ht="25.5">
      <c r="A410" s="141" t="s">
        <v>21960</v>
      </c>
      <c r="B410" s="141" t="s">
        <v>1019</v>
      </c>
      <c r="C410" s="141">
        <v>88316</v>
      </c>
      <c r="D410" s="142" t="str">
        <f>PROPER(IFERROR(
IF(C410="","",
IF(CONCATENATE($A410,$B410)="IDER-ES",INDEX('IDER-ES'!$B:$B,MATCH($C410,'IDER-ES'!$A:$A,0)),
IF(CONCATENATE($A410,$B410)="CDER-ES",INDEX('CDER-ES'!$B:$B,MATCH($C410,'CDER-ES'!$A:$A,0)),
IF(CONCATENATE($A410,$B410)="ISINAPI",INDEX(ISINAPI!$B:$B,MATCH($C410,ISINAPI!$A:$A,0)),
IF(CONCATENATE($A410,$B410)="CSINAPI",INDEX(CSINAPI!$B:$B,MATCH($C410,CSINAPI!$A:$A,0)),
IF(CONCATENATE($A410,$B410)="CCESAN",INDEX(CCESAN!$B:$B,MATCH($C410,CCESAN!$A:$A,0)),
IF(CONCATENATE($A410,$B410)="CSCORIO",INDEX(CSCORIO!#REF!,MATCH($C410,CSCORIO!#REF!,0)),
IF(CONCATENATE($A410,$B410)="MERC",INDEX(MERCADO!$B:$B,MATCH($C410,MERCADO!$A:$A,0)),
IF(CONCATENATE($A410,$B410)="CCOMP",INDEX(COMPOSICAO!$B:$B,MATCH($C410,COMPOSICAO!$A:$A,0)),""
))))))))),"*Verificar código*"))</f>
        <v>Servente Com Encargos Complementares</v>
      </c>
      <c r="E410" s="143" t="str">
        <f>LOWER(IFERROR(
IF(CONCATENATE($A410,$B410)="IDER-ES",INDEX('IDER-ES'!$C:$C,MATCH($C410,'IDER-ES'!$A:$A,0)),
IF(CONCATENATE($A410,$B410)="CIOPES",INDEX('CDER-ES'!$C:$C,MATCH($C410,'CDER-ES'!$A:$A,0)),
IF(CONCATENATE($A410,$B410)="ISINAPI",INDEX(ISINAPI!$C:$C,MATCH($C410,ISINAPI!$A:$A,0)),
IF(CONCATENATE($A410,$B410)="CSINAPI",INDEX(CSINAPI!$C:$C,MATCH($C410,CSINAPI!$A:$A,0)),
IF(CONCATENATE($A410,$B410)="CCESAN",INDEX(CCESAN!$C:$C,MATCH($C410,CCESAN!$A:$A,0)),
IF(CONCATENATE($A410,$B410)="CSCORIO",INDEX(CSCORIO!$A:$A,MATCH($C410,CSCORIO!#REF!,0)),
IF(CONCATENATE($A410,$B410)="MERC",INDEX(MERCADO!$D:$D,MATCH($C410,MERCADO!$A:$A,0)),
IF(CONCATENATE($A410,$B410)="CCOMP",INDEX(COMPOSICAO!$H:$H,MATCH($C410,COMPOSICAO!$A:$A,0)),""
)))))))),""))</f>
        <v>h</v>
      </c>
      <c r="F410" s="182">
        <v>0.15</v>
      </c>
      <c r="G410" s="144">
        <f>(IFERROR(
IF(CONCATENATE($A410,$B410)="IDER-ES",INDEX('IDER-ES'!$D:$D,MATCH($C410,'IDER-ES'!$A:$A,0)),
IF(CONCATENATE($A410,$B410)="CIOPES",INDEX('CDER-ES'!$D:$D,MATCH($C410,'CDER-ES'!$A:$A,0)),
IF(CONCATENATE($A410,$B410)="ISINAPI",INDEX(ISINAPI!$E:$E,MATCH($C410,ISINAPI!$A:$A,0)),
IF(CONCATENATE($A410,$B410)="CSINAPI",INDEX(CSINAPI!$D:$D,MATCH($C410,CSINAPI!$A:$A,0)),
IF(CONCATENATE($A410,$B410)="CCESAN",INDEX(CCESAN!$D:$D,MATCH($C410,CCESAN!$A:$A,0)),
IF(CONCATENATE($A410,$B410)="CSCORIO",INDEX(CSCORIO!$B:$B,MATCH($C410,CSCORIO!#REF!,0)),
IF(CONCATENATE($A410,$B410)="MERC",INDEX(MERCADO!$E:$E,MATCH($C410,MERCADO!$A:$A,0)),
IF(CONCATENATE($A410,$B410)="CCOMP",INDEX(COMPOSICAO!$H:$H,MATCH($C410,COMPOSICAO!$A:$A,0)),""
)))))))),""))</f>
        <v>18.11</v>
      </c>
      <c r="H410" s="144">
        <f t="shared" si="68"/>
        <v>2.72</v>
      </c>
    </row>
    <row r="411" spans="1:9" ht="15" customHeight="1">
      <c r="A411" s="404" t="s">
        <v>26768</v>
      </c>
      <c r="B411" s="404"/>
      <c r="C411" s="404"/>
      <c r="D411" s="404"/>
      <c r="E411" s="404"/>
      <c r="F411" s="404"/>
      <c r="G411" s="404"/>
      <c r="H411" s="404"/>
    </row>
    <row r="413" spans="1:9" s="135" customFormat="1" ht="20.100000000000001" customHeight="1">
      <c r="A413" s="186" t="s">
        <v>1020</v>
      </c>
      <c r="B413" s="405" t="s">
        <v>1022</v>
      </c>
      <c r="C413" s="406"/>
      <c r="D413" s="406"/>
      <c r="E413" s="406"/>
      <c r="F413" s="407"/>
      <c r="G413" s="133" t="s">
        <v>19692</v>
      </c>
      <c r="H413" s="134" t="s">
        <v>19678</v>
      </c>
      <c r="I413" s="263"/>
    </row>
    <row r="414" spans="1:9" ht="30" customHeight="1">
      <c r="A414" s="136">
        <f>COUNTIF($A$4:$A413,$A$4)</f>
        <v>37</v>
      </c>
      <c r="B414" s="408" t="s">
        <v>26767</v>
      </c>
      <c r="C414" s="409"/>
      <c r="D414" s="409"/>
      <c r="E414" s="409"/>
      <c r="F414" s="410"/>
      <c r="G414" s="137" t="s">
        <v>6</v>
      </c>
      <c r="H414" s="211">
        <f>SUM(H416:H420)</f>
        <v>39.409999999999997</v>
      </c>
    </row>
    <row r="415" spans="1:9" ht="30" customHeight="1">
      <c r="A415" s="139" t="s">
        <v>1026</v>
      </c>
      <c r="B415" s="139" t="s">
        <v>1027</v>
      </c>
      <c r="C415" s="139" t="s">
        <v>31</v>
      </c>
      <c r="D415" s="139" t="s">
        <v>1023</v>
      </c>
      <c r="E415" s="139" t="s">
        <v>32</v>
      </c>
      <c r="F415" s="183" t="s">
        <v>2343</v>
      </c>
      <c r="G415" s="140" t="s">
        <v>19676</v>
      </c>
      <c r="H415" s="140" t="s">
        <v>19677</v>
      </c>
    </row>
    <row r="416" spans="1:9" ht="51">
      <c r="A416" s="141" t="s">
        <v>26621</v>
      </c>
      <c r="B416" s="141" t="s">
        <v>1019</v>
      </c>
      <c r="C416" s="141">
        <v>20231</v>
      </c>
      <c r="D416" s="142" t="str">
        <f>PROPER(IFERROR(
IF(C416="","",
IF(CONCATENATE($A416,$B416)="IDER-ES",INDEX('IDER-ES'!$B:$B,MATCH($C416,'IDER-ES'!$A:$A,0)),
IF(CONCATENATE($A416,$B416)="CDER-ES",INDEX('CDER-ES'!$B:$B,MATCH($C416,'CDER-ES'!$A:$A,0)),
IF(CONCATENATE($A416,$B416)="ISINAPI",INDEX(ISINAPI!$B:$B,MATCH($C416,ISINAPI!$A:$A,0)),
IF(CONCATENATE($A416,$B416)="CSINAPI",INDEX(CSINAPI!$B:$B,MATCH($C416,CSINAPI!$A:$A,0)),
IF(CONCATENATE($A416,$B416)="CCESAN",INDEX(CCESAN!$B:$B,MATCH($C416,CCESAN!$A:$A,0)),
IF(CONCATENATE($A416,$B416)="CSCORIO",INDEX(CSCORIO!#REF!,MATCH($C416,CSCORIO!#REF!,0)),
IF(CONCATENATE($A416,$B416)="MERC",INDEX(MERCADO!$B:$B,MATCH($C416,MERCADO!$A:$A,0)),
IF(CONCATENATE($A416,$B416)="CCOMP",INDEX(COMPOSICAO!$B:$B,MATCH($C416,COMPOSICAO!$A:$A,0)),""
))))))))),"*Verificar código*"))</f>
        <v xml:space="preserve">Rodape Ou Rodabancada Em Granito, Polido, Tipo Andorinha/ Quartz/ Castelo/ Corumba Ou Outros Equivalentes Da Regiao, H= 10 Cm, E=  *2,0* Cm                                                                                                                                                                                                                                                                                                                                                               </v>
      </c>
      <c r="E416" s="143" t="str">
        <f>LOWER(IFERROR(
IF(CONCATENATE($A416,$B416)="IDER-ES",INDEX('IDER-ES'!$C:$C,MATCH($C416,'IDER-ES'!$A:$A,0)),
IF(CONCATENATE($A416,$B416)="CIOPES",INDEX('CDER-ES'!$C:$C,MATCH($C416,'CDER-ES'!$A:$A,0)),
IF(CONCATENATE($A416,$B416)="ISINAPI",INDEX(ISINAPI!$C:$C,MATCH($C416,ISINAPI!$A:$A,0)),
IF(CONCATENATE($A416,$B416)="CSINAPI",INDEX(CSINAPI!$C:$C,MATCH($C416,CSINAPI!$A:$A,0)),
IF(CONCATENATE($A416,$B416)="CCESAN",INDEX(CCESAN!$C:$C,MATCH($C416,CCESAN!$A:$A,0)),
IF(CONCATENATE($A416,$B416)="CSCORIO",INDEX(CSCORIO!$A:$A,MATCH($C416,CSCORIO!#REF!,0)),
IF(CONCATENATE($A416,$B416)="MERC",INDEX(MERCADO!$D:$D,MATCH($C416,MERCADO!$A:$A,0)),
IF(CONCATENATE($A416,$B416)="CCOMP",INDEX(COMPOSICAO!$H:$H,MATCH($C416,COMPOSICAO!$A:$A,0)),""
)))))))),""))</f>
        <v xml:space="preserve">m     </v>
      </c>
      <c r="F416" s="182">
        <v>1.04</v>
      </c>
      <c r="G416" s="144">
        <f>(IFERROR(
IF(CONCATENATE($A416,$B416)="IDER-ES",INDEX('IDER-ES'!$D:$D,MATCH($C416,'IDER-ES'!$A:$A,0)),
IF(CONCATENATE($A416,$B416)="CIOPES",INDEX('CDER-ES'!$D:$D,MATCH($C416,'CDER-ES'!$A:$A,0)),
IF(CONCATENATE($A416,$B416)="ISINAPI",INDEX(ISINAPI!$E:$E,MATCH($C416,ISINAPI!$A:$A,0)),
IF(CONCATENATE($A416,$B416)="CSINAPI",INDEX(CSINAPI!$D:$D,MATCH($C416,CSINAPI!$A:$A,0)),
IF(CONCATENATE($A416,$B416)="CCESAN",INDEX(CCESAN!$D:$D,MATCH($C416,CCESAN!$A:$A,0)),
IF(CONCATENATE($A416,$B416)="CSCORIO",INDEX(CSCORIO!$B:$B,MATCH($C416,CSCORIO!#REF!,0)),
IF(CONCATENATE($A416,$B416)="MERC",INDEX(MERCADO!$E:$E,MATCH($C416,MERCADO!$A:$A,0)),
IF(CONCATENATE($A416,$B416)="CCOMP",INDEX(COMPOSICAO!$H:$H,MATCH($C416,COMPOSICAO!$A:$A,0)),""
)))))))),""))</f>
        <v>26.04</v>
      </c>
      <c r="H416" s="144">
        <f t="shared" ref="H416:H420" si="70">IF(B416="","",ROUND(G416*F416,2))</f>
        <v>27.08</v>
      </c>
    </row>
    <row r="417" spans="1:9">
      <c r="A417" s="141" t="s">
        <v>26621</v>
      </c>
      <c r="B417" s="141" t="s">
        <v>1019</v>
      </c>
      <c r="C417" s="141">
        <v>34357</v>
      </c>
      <c r="D417" s="142" t="str">
        <f>PROPER(IFERROR(
IF(C417="","",
IF(CONCATENATE($A417,$B417)="IDER-ES",INDEX('IDER-ES'!$B:$B,MATCH($C417,'IDER-ES'!$A:$A,0)),
IF(CONCATENATE($A417,$B417)="CDER-ES",INDEX('CDER-ES'!$B:$B,MATCH($C417,'CDER-ES'!$A:$A,0)),
IF(CONCATENATE($A417,$B417)="ISINAPI",INDEX(ISINAPI!$B:$B,MATCH($C417,ISINAPI!$A:$A,0)),
IF(CONCATENATE($A417,$B417)="CSINAPI",INDEX(CSINAPI!$B:$B,MATCH($C417,CSINAPI!$A:$A,0)),
IF(CONCATENATE($A417,$B417)="CCESAN",INDEX(CCESAN!$B:$B,MATCH($C417,CCESAN!$A:$A,0)),
IF(CONCATENATE($A417,$B417)="CSCORIO",INDEX(CSCORIO!#REF!,MATCH($C417,CSCORIO!#REF!,0)),
IF(CONCATENATE($A417,$B417)="MERC",INDEX(MERCADO!$B:$B,MATCH($C417,MERCADO!$A:$A,0)),
IF(CONCATENATE($A417,$B417)="CCOMP",INDEX(COMPOSICAO!$B:$B,MATCH($C417,COMPOSICAO!$A:$A,0)),""
))))))))),"*Verificar código*"))</f>
        <v xml:space="preserve">Rejunte Cimenticio, Qualquer Cor                                                                                                                                                                                                                                                                                                                                                                                                                                                                          </v>
      </c>
      <c r="E417" s="143" t="str">
        <f>LOWER(IFERROR(
IF(CONCATENATE($A417,$B417)="IDER-ES",INDEX('IDER-ES'!$C:$C,MATCH($C417,'IDER-ES'!$A:$A,0)),
IF(CONCATENATE($A417,$B417)="CIOPES",INDEX('CDER-ES'!$C:$C,MATCH($C417,'CDER-ES'!$A:$A,0)),
IF(CONCATENATE($A417,$B417)="ISINAPI",INDEX(ISINAPI!$C:$C,MATCH($C417,ISINAPI!$A:$A,0)),
IF(CONCATENATE($A417,$B417)="CSINAPI",INDEX(CSINAPI!$C:$C,MATCH($C417,CSINAPI!$A:$A,0)),
IF(CONCATENATE($A417,$B417)="CCESAN",INDEX(CCESAN!$C:$C,MATCH($C417,CCESAN!$A:$A,0)),
IF(CONCATENATE($A417,$B417)="CSCORIO",INDEX(CSCORIO!$A:$A,MATCH($C417,CSCORIO!#REF!,0)),
IF(CONCATENATE($A417,$B417)="MERC",INDEX(MERCADO!$D:$D,MATCH($C417,MERCADO!$A:$A,0)),
IF(CONCATENATE($A417,$B417)="CCOMP",INDEX(COMPOSICAO!$H:$H,MATCH($C417,COMPOSICAO!$A:$A,0)),""
)))))))),""))</f>
        <v xml:space="preserve">kg    </v>
      </c>
      <c r="F417" s="182">
        <v>0.12</v>
      </c>
      <c r="G417" s="144">
        <f>(IFERROR(
IF(CONCATENATE($A417,$B417)="IDER-ES",INDEX('IDER-ES'!$D:$D,MATCH($C417,'IDER-ES'!$A:$A,0)),
IF(CONCATENATE($A417,$B417)="CIOPES",INDEX('CDER-ES'!$D:$D,MATCH($C417,'CDER-ES'!$A:$A,0)),
IF(CONCATENATE($A417,$B417)="ISINAPI",INDEX(ISINAPI!$E:$E,MATCH($C417,ISINAPI!$A:$A,0)),
IF(CONCATENATE($A417,$B417)="CSINAPI",INDEX(CSINAPI!$D:$D,MATCH($C417,CSINAPI!$A:$A,0)),
IF(CONCATENATE($A417,$B417)="CCESAN",INDEX(CCESAN!$D:$D,MATCH($C417,CCESAN!$A:$A,0)),
IF(CONCATENATE($A417,$B417)="CSCORIO",INDEX(CSCORIO!$B:$B,MATCH($C417,CSCORIO!#REF!,0)),
IF(CONCATENATE($A417,$B417)="MERC",INDEX(MERCADO!$E:$E,MATCH($C417,MERCADO!$A:$A,0)),
IF(CONCATENATE($A417,$B417)="CCOMP",INDEX(COMPOSICAO!$H:$H,MATCH($C417,COMPOSICAO!$A:$A,0)),""
)))))))),""))</f>
        <v>3.17</v>
      </c>
      <c r="H417" s="144">
        <f t="shared" si="70"/>
        <v>0.38</v>
      </c>
    </row>
    <row r="418" spans="1:9">
      <c r="A418" s="141" t="s">
        <v>26621</v>
      </c>
      <c r="B418" s="141" t="s">
        <v>1019</v>
      </c>
      <c r="C418" s="141">
        <v>37595</v>
      </c>
      <c r="D418" s="142" t="str">
        <f>PROPER(IFERROR(
IF(C418="","",
IF(CONCATENATE($A418,$B418)="IDER-ES",INDEX('IDER-ES'!$B:$B,MATCH($C418,'IDER-ES'!$A:$A,0)),
IF(CONCATENATE($A418,$B418)="CDER-ES",INDEX('CDER-ES'!$B:$B,MATCH($C418,'CDER-ES'!$A:$A,0)),
IF(CONCATENATE($A418,$B418)="ISINAPI",INDEX(ISINAPI!$B:$B,MATCH($C418,ISINAPI!$A:$A,0)),
IF(CONCATENATE($A418,$B418)="CSINAPI",INDEX(CSINAPI!$B:$B,MATCH($C418,CSINAPI!$A:$A,0)),
IF(CONCATENATE($A418,$B418)="CCESAN",INDEX(CCESAN!$B:$B,MATCH($C418,CCESAN!$A:$A,0)),
IF(CONCATENATE($A418,$B418)="CSCORIO",INDEX(CSCORIO!#REF!,MATCH($C418,CSCORIO!#REF!,0)),
IF(CONCATENATE($A418,$B418)="MERC",INDEX(MERCADO!$B:$B,MATCH($C418,MERCADO!$A:$A,0)),
IF(CONCATENATE($A418,$B418)="CCOMP",INDEX(COMPOSICAO!$B:$B,MATCH($C418,COMPOSICAO!$A:$A,0)),""
))))))))),"*Verificar código*"))</f>
        <v xml:space="preserve">Argamassa Colante Tipo Ac Iii                                                                                                                                                                                                                                                                                                                                                                                                                                                                             </v>
      </c>
      <c r="E418" s="143" t="str">
        <f>LOWER(IFERROR(
IF(CONCATENATE($A418,$B418)="IDER-ES",INDEX('IDER-ES'!$C:$C,MATCH($C418,'IDER-ES'!$A:$A,0)),
IF(CONCATENATE($A418,$B418)="CIOPES",INDEX('CDER-ES'!$C:$C,MATCH($C418,'CDER-ES'!$A:$A,0)),
IF(CONCATENATE($A418,$B418)="ISINAPI",INDEX(ISINAPI!$C:$C,MATCH($C418,ISINAPI!$A:$A,0)),
IF(CONCATENATE($A418,$B418)="CSINAPI",INDEX(CSINAPI!$C:$C,MATCH($C418,CSINAPI!$A:$A,0)),
IF(CONCATENATE($A418,$B418)="CCESAN",INDEX(CCESAN!$C:$C,MATCH($C418,CCESAN!$A:$A,0)),
IF(CONCATENATE($A418,$B418)="CSCORIO",INDEX(CSCORIO!$A:$A,MATCH($C418,CSCORIO!#REF!,0)),
IF(CONCATENATE($A418,$B418)="MERC",INDEX(MERCADO!$D:$D,MATCH($C418,MERCADO!$A:$A,0)),
IF(CONCATENATE($A418,$B418)="CCOMP",INDEX(COMPOSICAO!$H:$H,MATCH($C418,COMPOSICAO!$A:$A,0)),""
)))))))),""))</f>
        <v xml:space="preserve">kg    </v>
      </c>
      <c r="F418" s="182">
        <v>0.86140000000000005</v>
      </c>
      <c r="G418" s="144">
        <f>(IFERROR(
IF(CONCATENATE($A418,$B418)="IDER-ES",INDEX('IDER-ES'!$D:$D,MATCH($C418,'IDER-ES'!$A:$A,0)),
IF(CONCATENATE($A418,$B418)="CIOPES",INDEX('CDER-ES'!$D:$D,MATCH($C418,'CDER-ES'!$A:$A,0)),
IF(CONCATENATE($A418,$B418)="ISINAPI",INDEX(ISINAPI!$E:$E,MATCH($C418,ISINAPI!$A:$A,0)),
IF(CONCATENATE($A418,$B418)="CSINAPI",INDEX(CSINAPI!$D:$D,MATCH($C418,CSINAPI!$A:$A,0)),
IF(CONCATENATE($A418,$B418)="CCESAN",INDEX(CCESAN!$D:$D,MATCH($C418,CCESAN!$A:$A,0)),
IF(CONCATENATE($A418,$B418)="CSCORIO",INDEX(CSCORIO!$B:$B,MATCH($C418,CSCORIO!#REF!,0)),
IF(CONCATENATE($A418,$B418)="MERC",INDEX(MERCADO!$E:$E,MATCH($C418,MERCADO!$A:$A,0)),
IF(CONCATENATE($A418,$B418)="CCOMP",INDEX(COMPOSICAO!$H:$H,MATCH($C418,COMPOSICAO!$A:$A,0)),""
)))))))),""))</f>
        <v>1.66</v>
      </c>
      <c r="H418" s="144">
        <f t="shared" si="70"/>
        <v>1.43</v>
      </c>
    </row>
    <row r="419" spans="1:9" ht="25.5">
      <c r="A419" s="141" t="s">
        <v>21960</v>
      </c>
      <c r="B419" s="141" t="s">
        <v>1019</v>
      </c>
      <c r="C419" s="141">
        <v>88274</v>
      </c>
      <c r="D419" s="142" t="str">
        <f>PROPER(IFERROR(
IF(C419="","",
IF(CONCATENATE($A419,$B419)="IDER-ES",INDEX('IDER-ES'!$B:$B,MATCH($C419,'IDER-ES'!$A:$A,0)),
IF(CONCATENATE($A419,$B419)="CDER-ES",INDEX('CDER-ES'!$B:$B,MATCH($C419,'CDER-ES'!$A:$A,0)),
IF(CONCATENATE($A419,$B419)="ISINAPI",INDEX(ISINAPI!$B:$B,MATCH($C419,ISINAPI!$A:$A,0)),
IF(CONCATENATE($A419,$B419)="CSINAPI",INDEX(CSINAPI!$B:$B,MATCH($C419,CSINAPI!$A:$A,0)),
IF(CONCATENATE($A419,$B419)="CCESAN",INDEX(CCESAN!$B:$B,MATCH($C419,CCESAN!$A:$A,0)),
IF(CONCATENATE($A419,$B419)="CSCORIO",INDEX(CSCORIO!#REF!,MATCH($C419,CSCORIO!#REF!,0)),
IF(CONCATENATE($A419,$B419)="MERC",INDEX(MERCADO!$B:$B,MATCH($C419,MERCADO!$A:$A,0)),
IF(CONCATENATE($A419,$B419)="CCOMP",INDEX(COMPOSICAO!$B:$B,MATCH($C419,COMPOSICAO!$A:$A,0)),""
))))))))),"*Verificar código*"))</f>
        <v>Marmorista/Graniteiro Com Encargos Complementares</v>
      </c>
      <c r="E419" s="143" t="str">
        <f>LOWER(IFERROR(
IF(CONCATENATE($A419,$B419)="IDER-ES",INDEX('IDER-ES'!$C:$C,MATCH($C419,'IDER-ES'!$A:$A,0)),
IF(CONCATENATE($A419,$B419)="CIOPES",INDEX('CDER-ES'!$C:$C,MATCH($C419,'CDER-ES'!$A:$A,0)),
IF(CONCATENATE($A419,$B419)="ISINAPI",INDEX(ISINAPI!$C:$C,MATCH($C419,ISINAPI!$A:$A,0)),
IF(CONCATENATE($A419,$B419)="CSINAPI",INDEX(CSINAPI!$C:$C,MATCH($C419,CSINAPI!$A:$A,0)),
IF(CONCATENATE($A419,$B419)="CCESAN",INDEX(CCESAN!$C:$C,MATCH($C419,CCESAN!$A:$A,0)),
IF(CONCATENATE($A419,$B419)="CSCORIO",INDEX(CSCORIO!$A:$A,MATCH($C419,CSCORIO!#REF!,0)),
IF(CONCATENATE($A419,$B419)="MERC",INDEX(MERCADO!$D:$D,MATCH($C419,MERCADO!$A:$A,0)),
IF(CONCATENATE($A419,$B419)="CCOMP",INDEX(COMPOSICAO!$H:$H,MATCH($C419,COMPOSICAO!$A:$A,0)),""
)))))))),""))</f>
        <v>h</v>
      </c>
      <c r="F419" s="182">
        <v>0.29899999999999999</v>
      </c>
      <c r="G419" s="144">
        <f>(IFERROR(
IF(CONCATENATE($A419,$B419)="IDER-ES",INDEX('IDER-ES'!$D:$D,MATCH($C419,'IDER-ES'!$A:$A,0)),
IF(CONCATENATE($A419,$B419)="CIOPES",INDEX('CDER-ES'!$D:$D,MATCH($C419,'CDER-ES'!$A:$A,0)),
IF(CONCATENATE($A419,$B419)="ISINAPI",INDEX(ISINAPI!$E:$E,MATCH($C419,ISINAPI!$A:$A,0)),
IF(CONCATENATE($A419,$B419)="CSINAPI",INDEX(CSINAPI!$D:$D,MATCH($C419,CSINAPI!$A:$A,0)),
IF(CONCATENATE($A419,$B419)="CCESAN",INDEX(CCESAN!$D:$D,MATCH($C419,CCESAN!$A:$A,0)),
IF(CONCATENATE($A419,$B419)="CSCORIO",INDEX(CSCORIO!$B:$B,MATCH($C419,CSCORIO!#REF!,0)),
IF(CONCATENATE($A419,$B419)="MERC",INDEX(MERCADO!$E:$E,MATCH($C419,MERCADO!$A:$A,0)),
IF(CONCATENATE($A419,$B419)="CCOMP",INDEX(COMPOSICAO!$H:$H,MATCH($C419,COMPOSICAO!$A:$A,0)),""
)))))))),""))</f>
        <v>26.09</v>
      </c>
      <c r="H419" s="144">
        <f t="shared" si="70"/>
        <v>7.8</v>
      </c>
    </row>
    <row r="420" spans="1:9" ht="25.5">
      <c r="A420" s="141" t="s">
        <v>21960</v>
      </c>
      <c r="B420" s="141" t="s">
        <v>1019</v>
      </c>
      <c r="C420" s="141">
        <v>88316</v>
      </c>
      <c r="D420" s="142" t="str">
        <f>PROPER(IFERROR(
IF(C420="","",
IF(CONCATENATE($A420,$B420)="IDER-ES",INDEX('IDER-ES'!$B:$B,MATCH($C420,'IDER-ES'!$A:$A,0)),
IF(CONCATENATE($A420,$B420)="CDER-ES",INDEX('CDER-ES'!$B:$B,MATCH($C420,'CDER-ES'!$A:$A,0)),
IF(CONCATENATE($A420,$B420)="ISINAPI",INDEX(ISINAPI!$B:$B,MATCH($C420,ISINAPI!$A:$A,0)),
IF(CONCATENATE($A420,$B420)="CSINAPI",INDEX(CSINAPI!$B:$B,MATCH($C420,CSINAPI!$A:$A,0)),
IF(CONCATENATE($A420,$B420)="CCESAN",INDEX(CCESAN!$B:$B,MATCH($C420,CCESAN!$A:$A,0)),
IF(CONCATENATE($A420,$B420)="CSCORIO",INDEX(CSCORIO!#REF!,MATCH($C420,CSCORIO!#REF!,0)),
IF(CONCATENATE($A420,$B420)="MERC",INDEX(MERCADO!$B:$B,MATCH($C420,MERCADO!$A:$A,0)),
IF(CONCATENATE($A420,$B420)="CCOMP",INDEX(COMPOSICAO!$B:$B,MATCH($C420,COMPOSICAO!$A:$A,0)),""
))))))))),"*Verificar código*"))</f>
        <v>Servente Com Encargos Complementares</v>
      </c>
      <c r="E420" s="143" t="str">
        <f>LOWER(IFERROR(
IF(CONCATENATE($A420,$B420)="IDER-ES",INDEX('IDER-ES'!$C:$C,MATCH($C420,'IDER-ES'!$A:$A,0)),
IF(CONCATENATE($A420,$B420)="CIOPES",INDEX('CDER-ES'!$C:$C,MATCH($C420,'CDER-ES'!$A:$A,0)),
IF(CONCATENATE($A420,$B420)="ISINAPI",INDEX(ISINAPI!$C:$C,MATCH($C420,ISINAPI!$A:$A,0)),
IF(CONCATENATE($A420,$B420)="CSINAPI",INDEX(CSINAPI!$C:$C,MATCH($C420,CSINAPI!$A:$A,0)),
IF(CONCATENATE($A420,$B420)="CCESAN",INDEX(CCESAN!$C:$C,MATCH($C420,CCESAN!$A:$A,0)),
IF(CONCATENATE($A420,$B420)="CSCORIO",INDEX(CSCORIO!$A:$A,MATCH($C420,CSCORIO!#REF!,0)),
IF(CONCATENATE($A420,$B420)="MERC",INDEX(MERCADO!$D:$D,MATCH($C420,MERCADO!$A:$A,0)),
IF(CONCATENATE($A420,$B420)="CCOMP",INDEX(COMPOSICAO!$H:$H,MATCH($C420,COMPOSICAO!$A:$A,0)),""
)))))))),""))</f>
        <v>h</v>
      </c>
      <c r="F420" s="182">
        <v>0.15</v>
      </c>
      <c r="G420" s="144">
        <f>(IFERROR(
IF(CONCATENATE($A420,$B420)="IDER-ES",INDEX('IDER-ES'!$D:$D,MATCH($C420,'IDER-ES'!$A:$A,0)),
IF(CONCATENATE($A420,$B420)="CIOPES",INDEX('CDER-ES'!$D:$D,MATCH($C420,'CDER-ES'!$A:$A,0)),
IF(CONCATENATE($A420,$B420)="ISINAPI",INDEX(ISINAPI!$E:$E,MATCH($C420,ISINAPI!$A:$A,0)),
IF(CONCATENATE($A420,$B420)="CSINAPI",INDEX(CSINAPI!$D:$D,MATCH($C420,CSINAPI!$A:$A,0)),
IF(CONCATENATE($A420,$B420)="CCESAN",INDEX(CCESAN!$D:$D,MATCH($C420,CCESAN!$A:$A,0)),
IF(CONCATENATE($A420,$B420)="CSCORIO",INDEX(CSCORIO!$B:$B,MATCH($C420,CSCORIO!#REF!,0)),
IF(CONCATENATE($A420,$B420)="MERC",INDEX(MERCADO!$E:$E,MATCH($C420,MERCADO!$A:$A,0)),
IF(CONCATENATE($A420,$B420)="CCOMP",INDEX(COMPOSICAO!$H:$H,MATCH($C420,COMPOSICAO!$A:$A,0)),""
)))))))),""))</f>
        <v>18.11</v>
      </c>
      <c r="H420" s="144">
        <f t="shared" si="70"/>
        <v>2.72</v>
      </c>
    </row>
    <row r="421" spans="1:9" ht="15" customHeight="1">
      <c r="A421" s="404" t="s">
        <v>26768</v>
      </c>
      <c r="B421" s="404"/>
      <c r="C421" s="404"/>
      <c r="D421" s="404"/>
      <c r="E421" s="404"/>
      <c r="F421" s="404"/>
      <c r="G421" s="404"/>
      <c r="H421" s="404"/>
    </row>
    <row r="423" spans="1:9" s="135" customFormat="1" ht="20.100000000000001" customHeight="1">
      <c r="A423" s="186" t="s">
        <v>1020</v>
      </c>
      <c r="B423" s="405" t="s">
        <v>1022</v>
      </c>
      <c r="C423" s="406"/>
      <c r="D423" s="406"/>
      <c r="E423" s="406"/>
      <c r="F423" s="407"/>
      <c r="G423" s="133" t="s">
        <v>19692</v>
      </c>
      <c r="H423" s="134" t="s">
        <v>19678</v>
      </c>
      <c r="I423" s="263"/>
    </row>
    <row r="424" spans="1:9" ht="15" customHeight="1">
      <c r="A424" s="136">
        <f>COUNTIF($A$4:$A423,$A$4)</f>
        <v>38</v>
      </c>
      <c r="B424" s="408" t="s">
        <v>28723</v>
      </c>
      <c r="C424" s="409"/>
      <c r="D424" s="409"/>
      <c r="E424" s="409"/>
      <c r="F424" s="410"/>
      <c r="G424" s="137" t="s">
        <v>19692</v>
      </c>
      <c r="H424" s="211">
        <f>SUM(H426:H428)</f>
        <v>81.509999999999991</v>
      </c>
    </row>
    <row r="425" spans="1:9" ht="30" customHeight="1">
      <c r="A425" s="139" t="s">
        <v>1026</v>
      </c>
      <c r="B425" s="139" t="s">
        <v>1027</v>
      </c>
      <c r="C425" s="139" t="s">
        <v>31</v>
      </c>
      <c r="D425" s="139" t="s">
        <v>1023</v>
      </c>
      <c r="E425" s="139" t="s">
        <v>32</v>
      </c>
      <c r="F425" s="183" t="s">
        <v>2343</v>
      </c>
      <c r="G425" s="140" t="s">
        <v>19676</v>
      </c>
      <c r="H425" s="140" t="s">
        <v>19677</v>
      </c>
    </row>
    <row r="426" spans="1:9" ht="25.5">
      <c r="A426" s="141" t="s">
        <v>26621</v>
      </c>
      <c r="B426" s="141" t="s">
        <v>1019</v>
      </c>
      <c r="C426" s="141">
        <v>37401</v>
      </c>
      <c r="D426" s="142" t="str">
        <f>PROPER(IFERROR(
IF(C426="","",
IF(CONCATENATE($A426,$B426)="IDER-ES",INDEX('IDER-ES'!$B:$B,MATCH($C426,'IDER-ES'!$A:$A,0)),
IF(CONCATENATE($A426,$B426)="CDER-ES",INDEX('CDER-ES'!$B:$B,MATCH($C426,'CDER-ES'!$A:$A,0)),
IF(CONCATENATE($A426,$B426)="ISINAPI",INDEX(ISINAPI!$B:$B,MATCH($C426,ISINAPI!$A:$A,0)),
IF(CONCATENATE($A426,$B426)="CSINAPI",INDEX(CSINAPI!$B:$B,MATCH($C426,CSINAPI!$A:$A,0)),
IF(CONCATENATE($A426,$B426)="CCESAN",INDEX(CCESAN!$B:$B,MATCH($C426,CCESAN!$A:$A,0)),
IF(CONCATENATE($A426,$B426)="CSCORIO",INDEX(CSCORIO!#REF!,MATCH($C426,CSCORIO!#REF!,0)),
IF(CONCATENATE($A426,$B426)="MERC",INDEX(MERCADO!$B:$B,MATCH($C426,MERCADO!$A:$A,0)),
IF(CONCATENATE($A426,$B426)="CCOMP",INDEX(COMPOSICAO!$B:$B,MATCH($C426,COMPOSICAO!$A:$A,0)),""
))))))))),"*Verificar código*"))</f>
        <v xml:space="preserve">Toalheiro Plastico Tipo Dispenser Para Papel Toalha Interfolhado                                                                                                                                                                                                                                                                                                                                                                                                                                          </v>
      </c>
      <c r="E426" s="143" t="str">
        <f>LOWER(IFERROR(
IF(CONCATENATE($A426,$B426)="IDER-ES",INDEX('IDER-ES'!$C:$C,MATCH($C426,'IDER-ES'!$A:$A,0)),
IF(CONCATENATE($A426,$B426)="CIOPES",INDEX('CDER-ES'!$C:$C,MATCH($C426,'CDER-ES'!$A:$A,0)),
IF(CONCATENATE($A426,$B426)="ISINAPI",INDEX(ISINAPI!$C:$C,MATCH($C426,ISINAPI!$A:$A,0)),
IF(CONCATENATE($A426,$B426)="CSINAPI",INDEX(CSINAPI!$C:$C,MATCH($C426,CSINAPI!$A:$A,0)),
IF(CONCATENATE($A426,$B426)="CCESAN",INDEX(CCESAN!$C:$C,MATCH($C426,CCESAN!$A:$A,0)),
IF(CONCATENATE($A426,$B426)="CSCORIO",INDEX(CSCORIO!$A:$A,MATCH($C426,CSCORIO!#REF!,0)),
IF(CONCATENATE($A426,$B426)="MERC",INDEX(MERCADO!$D:$D,MATCH($C426,MERCADO!$A:$A,0)),
IF(CONCATENATE($A426,$B426)="CCOMP",INDEX(COMPOSICAO!$H:$H,MATCH($C426,COMPOSICAO!$A:$A,0)),""
)))))))),""))</f>
        <v xml:space="preserve">un    </v>
      </c>
      <c r="F426" s="182">
        <v>1</v>
      </c>
      <c r="G426" s="144">
        <f>(IFERROR(
IF(CONCATENATE($A426,$B426)="IDER-ES",INDEX('IDER-ES'!$D:$D,MATCH($C426,'IDER-ES'!$A:$A,0)),
IF(CONCATENATE($A426,$B426)="CIOPES",INDEX('CDER-ES'!$D:$D,MATCH($C426,'CDER-ES'!$A:$A,0)),
IF(CONCATENATE($A426,$B426)="ISINAPI",INDEX(ISINAPI!$E:$E,MATCH($C426,ISINAPI!$A:$A,0)),
IF(CONCATENATE($A426,$B426)="CSINAPI",INDEX(CSINAPI!$D:$D,MATCH($C426,CSINAPI!$A:$A,0)),
IF(CONCATENATE($A426,$B426)="CCESAN",INDEX(CCESAN!$D:$D,MATCH($C426,CCESAN!$A:$A,0)),
IF(CONCATENATE($A426,$B426)="CSCORIO",INDEX(CSCORIO!$B:$B,MATCH($C426,CSCORIO!#REF!,0)),
IF(CONCATENATE($A426,$B426)="MERC",INDEX(MERCADO!$E:$E,MATCH($C426,MERCADO!$A:$A,0)),
IF(CONCATENATE($A426,$B426)="CCOMP",INDEX(COMPOSICAO!$H:$H,MATCH($C426,COMPOSICAO!$A:$A,0)),""
)))))))),""))</f>
        <v>72.77</v>
      </c>
      <c r="H426" s="144">
        <f t="shared" ref="H426:H428" si="71">IF(B426="","",ROUND(G426*F426,2))</f>
        <v>72.77</v>
      </c>
    </row>
    <row r="427" spans="1:9" ht="38.25">
      <c r="A427" s="141" t="s">
        <v>21960</v>
      </c>
      <c r="B427" s="141" t="s">
        <v>1019</v>
      </c>
      <c r="C427" s="141">
        <v>88248</v>
      </c>
      <c r="D427" s="142" t="str">
        <f>PROPER(IFERROR(
IF(C427="","",
IF(CONCATENATE($A427,$B427)="IDER-ES",INDEX('IDER-ES'!$B:$B,MATCH($C427,'IDER-ES'!$A:$A,0)),
IF(CONCATENATE($A427,$B427)="CDER-ES",INDEX('CDER-ES'!$B:$B,MATCH($C427,'CDER-ES'!$A:$A,0)),
IF(CONCATENATE($A427,$B427)="ISINAPI",INDEX(ISINAPI!$B:$B,MATCH($C427,ISINAPI!$A:$A,0)),
IF(CONCATENATE($A427,$B427)="CSINAPI",INDEX(CSINAPI!$B:$B,MATCH($C427,CSINAPI!$A:$A,0)),
IF(CONCATENATE($A427,$B427)="CCESAN",INDEX(CCESAN!$B:$B,MATCH($C427,CCESAN!$A:$A,0)),
IF(CONCATENATE($A427,$B427)="CSCORIO",INDEX(CSCORIO!#REF!,MATCH($C427,CSCORIO!#REF!,0)),
IF(CONCATENATE($A427,$B427)="MERC",INDEX(MERCADO!$B:$B,MATCH($C427,MERCADO!$A:$A,0)),
IF(CONCATENATE($A427,$B427)="CCOMP",INDEX(COMPOSICAO!$B:$B,MATCH($C427,COMPOSICAO!$A:$A,0)),""
))))))))),"*Verificar código*"))</f>
        <v>Auxiliar De Encanador Ou Bombeiro Hidráulico Com Encargos Complementares</v>
      </c>
      <c r="E427" s="143" t="str">
        <f>LOWER(IFERROR(
IF(CONCATENATE($A427,$B427)="IDER-ES",INDEX('IDER-ES'!$C:$C,MATCH($C427,'IDER-ES'!$A:$A,0)),
IF(CONCATENATE($A427,$B427)="CIOPES",INDEX('CDER-ES'!$C:$C,MATCH($C427,'CDER-ES'!$A:$A,0)),
IF(CONCATENATE($A427,$B427)="ISINAPI",INDEX(ISINAPI!$C:$C,MATCH($C427,ISINAPI!$A:$A,0)),
IF(CONCATENATE($A427,$B427)="CSINAPI",INDEX(CSINAPI!$C:$C,MATCH($C427,CSINAPI!$A:$A,0)),
IF(CONCATENATE($A427,$B427)="CCESAN",INDEX(CCESAN!$C:$C,MATCH($C427,CCESAN!$A:$A,0)),
IF(CONCATENATE($A427,$B427)="CSCORIO",INDEX(CSCORIO!$A:$A,MATCH($C427,CSCORIO!#REF!,0)),
IF(CONCATENATE($A427,$B427)="MERC",INDEX(MERCADO!$D:$D,MATCH($C427,MERCADO!$A:$A,0)),
IF(CONCATENATE($A427,$B427)="CCOMP",INDEX(COMPOSICAO!$H:$H,MATCH($C427,COMPOSICAO!$A:$A,0)),""
)))))))),""))</f>
        <v>h</v>
      </c>
      <c r="F427" s="182">
        <v>0.1</v>
      </c>
      <c r="G427" s="144">
        <f>(IFERROR(
IF(CONCATENATE($A427,$B427)="IDER-ES",INDEX('IDER-ES'!$D:$D,MATCH($C427,'IDER-ES'!$A:$A,0)),
IF(CONCATENATE($A427,$B427)="CIOPES",INDEX('CDER-ES'!$D:$D,MATCH($C427,'CDER-ES'!$A:$A,0)),
IF(CONCATENATE($A427,$B427)="ISINAPI",INDEX(ISINAPI!$E:$E,MATCH($C427,ISINAPI!$A:$A,0)),
IF(CONCATENATE($A427,$B427)="CSINAPI",INDEX(CSINAPI!$D:$D,MATCH($C427,CSINAPI!$A:$A,0)),
IF(CONCATENATE($A427,$B427)="CCESAN",INDEX(CCESAN!$D:$D,MATCH($C427,CCESAN!$A:$A,0)),
IF(CONCATENATE($A427,$B427)="CSCORIO",INDEX(CSCORIO!$B:$B,MATCH($C427,CSCORIO!#REF!,0)),
IF(CONCATENATE($A427,$B427)="MERC",INDEX(MERCADO!$E:$E,MATCH($C427,MERCADO!$A:$A,0)),
IF(CONCATENATE($A427,$B427)="CCOMP",INDEX(COMPOSICAO!$H:$H,MATCH($C427,COMPOSICAO!$A:$A,0)),""
)))))))),""))</f>
        <v>17.190000000000001</v>
      </c>
      <c r="H427" s="144">
        <f t="shared" si="71"/>
        <v>1.72</v>
      </c>
    </row>
    <row r="428" spans="1:9" ht="25.5">
      <c r="A428" s="141" t="s">
        <v>21960</v>
      </c>
      <c r="B428" s="141" t="s">
        <v>1019</v>
      </c>
      <c r="C428" s="141">
        <v>88267</v>
      </c>
      <c r="D428" s="142" t="str">
        <f>PROPER(IFERROR(
IF(C428="","",
IF(CONCATENATE($A428,$B428)="IDER-ES",INDEX('IDER-ES'!$B:$B,MATCH($C428,'IDER-ES'!$A:$A,0)),
IF(CONCATENATE($A428,$B428)="CDER-ES",INDEX('CDER-ES'!$B:$B,MATCH($C428,'CDER-ES'!$A:$A,0)),
IF(CONCATENATE($A428,$B428)="ISINAPI",INDEX(ISINAPI!$B:$B,MATCH($C428,ISINAPI!$A:$A,0)),
IF(CONCATENATE($A428,$B428)="CSINAPI",INDEX(CSINAPI!$B:$B,MATCH($C428,CSINAPI!$A:$A,0)),
IF(CONCATENATE($A428,$B428)="CCESAN",INDEX(CCESAN!$B:$B,MATCH($C428,CCESAN!$A:$A,0)),
IF(CONCATENATE($A428,$B428)="CSCORIO",INDEX(CSCORIO!#REF!,MATCH($C428,CSCORIO!#REF!,0)),
IF(CONCATENATE($A428,$B428)="MERC",INDEX(MERCADO!$B:$B,MATCH($C428,MERCADO!$A:$A,0)),
IF(CONCATENATE($A428,$B428)="CCOMP",INDEX(COMPOSICAO!$B:$B,MATCH($C428,COMPOSICAO!$A:$A,0)),""
))))))))),"*Verificar código*"))</f>
        <v>Encanador Ou Bombeiro Hidráulico Com Encargos Complementares</v>
      </c>
      <c r="E428" s="143" t="str">
        <f>LOWER(IFERROR(
IF(CONCATENATE($A428,$B428)="IDER-ES",INDEX('IDER-ES'!$C:$C,MATCH($C428,'IDER-ES'!$A:$A,0)),
IF(CONCATENATE($A428,$B428)="CIOPES",INDEX('CDER-ES'!$C:$C,MATCH($C428,'CDER-ES'!$A:$A,0)),
IF(CONCATENATE($A428,$B428)="ISINAPI",INDEX(ISINAPI!$C:$C,MATCH($C428,ISINAPI!$A:$A,0)),
IF(CONCATENATE($A428,$B428)="CSINAPI",INDEX(CSINAPI!$C:$C,MATCH($C428,CSINAPI!$A:$A,0)),
IF(CONCATENATE($A428,$B428)="CCESAN",INDEX(CCESAN!$C:$C,MATCH($C428,CCESAN!$A:$A,0)),
IF(CONCATENATE($A428,$B428)="CSCORIO",INDEX(CSCORIO!$A:$A,MATCH($C428,CSCORIO!#REF!,0)),
IF(CONCATENATE($A428,$B428)="MERC",INDEX(MERCADO!$D:$D,MATCH($C428,MERCADO!$A:$A,0)),
IF(CONCATENATE($A428,$B428)="CCOMP",INDEX(COMPOSICAO!$H:$H,MATCH($C428,COMPOSICAO!$A:$A,0)),""
)))))))),""))</f>
        <v>h</v>
      </c>
      <c r="F428" s="182">
        <v>0.32</v>
      </c>
      <c r="G428" s="144">
        <f>(IFERROR(
IF(CONCATENATE($A428,$B428)="IDER-ES",INDEX('IDER-ES'!$D:$D,MATCH($C428,'IDER-ES'!$A:$A,0)),
IF(CONCATENATE($A428,$B428)="CIOPES",INDEX('CDER-ES'!$D:$D,MATCH($C428,'CDER-ES'!$A:$A,0)),
IF(CONCATENATE($A428,$B428)="ISINAPI",INDEX(ISINAPI!$E:$E,MATCH($C428,ISINAPI!$A:$A,0)),
IF(CONCATENATE($A428,$B428)="CSINAPI",INDEX(CSINAPI!$D:$D,MATCH($C428,CSINAPI!$A:$A,0)),
IF(CONCATENATE($A428,$B428)="CCESAN",INDEX(CCESAN!$D:$D,MATCH($C428,CCESAN!$A:$A,0)),
IF(CONCATENATE($A428,$B428)="CSCORIO",INDEX(CSCORIO!$B:$B,MATCH($C428,CSCORIO!#REF!,0)),
IF(CONCATENATE($A428,$B428)="MERC",INDEX(MERCADO!$E:$E,MATCH($C428,MERCADO!$A:$A,0)),
IF(CONCATENATE($A428,$B428)="CCOMP",INDEX(COMPOSICAO!$H:$H,MATCH($C428,COMPOSICAO!$A:$A,0)),""
)))))))),""))</f>
        <v>21.94</v>
      </c>
      <c r="H428" s="144">
        <f t="shared" si="71"/>
        <v>7.02</v>
      </c>
    </row>
    <row r="430" spans="1:9" s="135" customFormat="1" ht="20.100000000000001" customHeight="1">
      <c r="A430" s="186" t="s">
        <v>1020</v>
      </c>
      <c r="B430" s="405" t="s">
        <v>1022</v>
      </c>
      <c r="C430" s="406"/>
      <c r="D430" s="406"/>
      <c r="E430" s="406"/>
      <c r="F430" s="407"/>
      <c r="G430" s="133" t="s">
        <v>19692</v>
      </c>
      <c r="H430" s="134" t="s">
        <v>19678</v>
      </c>
      <c r="I430" s="263"/>
    </row>
    <row r="431" spans="1:9" ht="15" customHeight="1">
      <c r="A431" s="136">
        <f>COUNTIF($A$4:$A430,$A$4)</f>
        <v>39</v>
      </c>
      <c r="B431" s="408" t="s">
        <v>28722</v>
      </c>
      <c r="C431" s="409"/>
      <c r="D431" s="409"/>
      <c r="E431" s="409"/>
      <c r="F431" s="410"/>
      <c r="G431" s="137" t="s">
        <v>19692</v>
      </c>
      <c r="H431" s="211">
        <f>SUM(H433:H436)</f>
        <v>108.12</v>
      </c>
    </row>
    <row r="432" spans="1:9" ht="30" customHeight="1">
      <c r="A432" s="139" t="s">
        <v>1026</v>
      </c>
      <c r="B432" s="139" t="s">
        <v>1027</v>
      </c>
      <c r="C432" s="139" t="s">
        <v>31</v>
      </c>
      <c r="D432" s="139" t="s">
        <v>1023</v>
      </c>
      <c r="E432" s="139" t="s">
        <v>32</v>
      </c>
      <c r="F432" s="183" t="s">
        <v>2343</v>
      </c>
      <c r="G432" s="140" t="s">
        <v>19676</v>
      </c>
      <c r="H432" s="140" t="s">
        <v>19677</v>
      </c>
    </row>
    <row r="433" spans="1:9" ht="25.5">
      <c r="A433" s="141" t="s">
        <v>26621</v>
      </c>
      <c r="B433" s="141" t="s">
        <v>1019</v>
      </c>
      <c r="C433" s="141">
        <v>1370</v>
      </c>
      <c r="D433" s="142" t="str">
        <f>PROPER(IFERROR(
IF(C433="","",
IF(CONCATENATE($A433,$B433)="IDER-ES",INDEX('IDER-ES'!$B:$B,MATCH($C433,'IDER-ES'!$A:$A,0)),
IF(CONCATENATE($A433,$B433)="CDER-ES",INDEX('CDER-ES'!$B:$B,MATCH($C433,'CDER-ES'!$A:$A,0)),
IF(CONCATENATE($A433,$B433)="ISINAPI",INDEX(ISINAPI!$B:$B,MATCH($C433,ISINAPI!$A:$A,0)),
IF(CONCATENATE($A433,$B433)="CSINAPI",INDEX(CSINAPI!$B:$B,MATCH($C433,CSINAPI!$A:$A,0)),
IF(CONCATENATE($A433,$B433)="CCESAN",INDEX(CCESAN!$B:$B,MATCH($C433,CCESAN!$A:$A,0)),
IF(CONCATENATE($A433,$B433)="CSCORIO",INDEX(CSCORIO!#REF!,MATCH($C433,CSCORIO!#REF!,0)),
IF(CONCATENATE($A433,$B433)="MERC",INDEX(MERCADO!$B:$B,MATCH($C433,MERCADO!$A:$A,0)),
IF(CONCATENATE($A433,$B433)="CCOMP",INDEX(COMPOSICAO!$B:$B,MATCH($C433,COMPOSICAO!$A:$A,0)),""
))))))))),"*Verificar código*"))</f>
        <v xml:space="preserve">Ducha Higienica Plastica Com Registro Metalico 1/2 "                                                                                                                                                                                                                                                                                                                                                                                                                                                      </v>
      </c>
      <c r="E433" s="143" t="str">
        <f>LOWER(IFERROR(
IF(CONCATENATE($A433,$B433)="IDER-ES",INDEX('IDER-ES'!$C:$C,MATCH($C433,'IDER-ES'!$A:$A,0)),
IF(CONCATENATE($A433,$B433)="CIOPES",INDEX('CDER-ES'!$C:$C,MATCH($C433,'CDER-ES'!$A:$A,0)),
IF(CONCATENATE($A433,$B433)="ISINAPI",INDEX(ISINAPI!$C:$C,MATCH($C433,ISINAPI!$A:$A,0)),
IF(CONCATENATE($A433,$B433)="CSINAPI",INDEX(CSINAPI!$C:$C,MATCH($C433,CSINAPI!$A:$A,0)),
IF(CONCATENATE($A433,$B433)="CCESAN",INDEX(CCESAN!$C:$C,MATCH($C433,CCESAN!$A:$A,0)),
IF(CONCATENATE($A433,$B433)="CSCORIO",INDEX(CSCORIO!$A:$A,MATCH($C433,CSCORIO!#REF!,0)),
IF(CONCATENATE($A433,$B433)="MERC",INDEX(MERCADO!$D:$D,MATCH($C433,MERCADO!$A:$A,0)),
IF(CONCATENATE($A433,$B433)="CCOMP",INDEX(COMPOSICAO!$H:$H,MATCH($C433,COMPOSICAO!$A:$A,0)),""
)))))))),""))</f>
        <v xml:space="preserve">un    </v>
      </c>
      <c r="F433" s="182">
        <v>1</v>
      </c>
      <c r="G433" s="144">
        <f>(IFERROR(
IF(CONCATENATE($A433,$B433)="IDER-ES",INDEX('IDER-ES'!$D:$D,MATCH($C433,'IDER-ES'!$A:$A,0)),
IF(CONCATENATE($A433,$B433)="CIOPES",INDEX('CDER-ES'!$D:$D,MATCH($C433,'CDER-ES'!$A:$A,0)),
IF(CONCATENATE($A433,$B433)="ISINAPI",INDEX(ISINAPI!$E:$E,MATCH($C433,ISINAPI!$A:$A,0)),
IF(CONCATENATE($A433,$B433)="CSINAPI",INDEX(CSINAPI!$D:$D,MATCH($C433,CSINAPI!$A:$A,0)),
IF(CONCATENATE($A433,$B433)="CCESAN",INDEX(CCESAN!$D:$D,MATCH($C433,CCESAN!$A:$A,0)),
IF(CONCATENATE($A433,$B433)="CSCORIO",INDEX(CSCORIO!$B:$B,MATCH($C433,CSCORIO!#REF!,0)),
IF(CONCATENATE($A433,$B433)="MERC",INDEX(MERCADO!$E:$E,MATCH($C433,MERCADO!$A:$A,0)),
IF(CONCATENATE($A433,$B433)="CCOMP",INDEX(COMPOSICAO!$H:$H,MATCH($C433,COMPOSICAO!$A:$A,0)),""
)))))))),""))</f>
        <v>88.51</v>
      </c>
      <c r="H433" s="144">
        <f t="shared" ref="H433:H436" si="72">IF(B433="","",ROUND(G433*F433,2))</f>
        <v>88.51</v>
      </c>
    </row>
    <row r="434" spans="1:9">
      <c r="A434" s="141" t="s">
        <v>26621</v>
      </c>
      <c r="B434" s="141" t="s">
        <v>26583</v>
      </c>
      <c r="C434" s="141">
        <v>69512</v>
      </c>
      <c r="D434" s="142" t="str">
        <f>PROPER(IFERROR(
IF(C434="","",
IF(CONCATENATE($A434,$B434)="IDER-ES",INDEX('IDER-ES'!$B:$B,MATCH($C434,'IDER-ES'!$A:$A,0)),
IF(CONCATENATE($A434,$B434)="CDER-ES",INDEX('CDER-ES'!$B:$B,MATCH($C434,'CDER-ES'!$A:$A,0)),
IF(CONCATENATE($A434,$B434)="ISINAPI",INDEX(ISINAPI!$B:$B,MATCH($C434,ISINAPI!$A:$A,0)),
IF(CONCATENATE($A434,$B434)="CSINAPI",INDEX(CSINAPI!$B:$B,MATCH($C434,CSINAPI!$A:$A,0)),
IF(CONCATENATE($A434,$B434)="CCESAN",INDEX(CCESAN!$B:$B,MATCH($C434,CCESAN!$A:$A,0)),
IF(CONCATENATE($A434,$B434)="CSCORIO",INDEX(CSCORIO!#REF!,MATCH($C434,CSCORIO!#REF!,0)),
IF(CONCATENATE($A434,$B434)="MERC",INDEX(MERCADO!$B:$B,MATCH($C434,MERCADO!$A:$A,0)),
IF(CONCATENATE($A434,$B434)="CCOMP",INDEX(COMPOSICAO!$B:$B,MATCH($C434,COMPOSICAO!$A:$A,0)),""
))))))))),"*Verificar código*"))</f>
        <v>Fita De Vedacao 18Mm X 50M</v>
      </c>
      <c r="E434" s="143" t="str">
        <f>LOWER(IFERROR(
IF(CONCATENATE($A434,$B434)="IDER-ES",INDEX('IDER-ES'!$C:$C,MATCH($C434,'IDER-ES'!$A:$A,0)),
IF(CONCATENATE($A434,$B434)="CIOPES",INDEX('CDER-ES'!$C:$C,MATCH($C434,'CDER-ES'!$A:$A,0)),
IF(CONCATENATE($A434,$B434)="ISINAPI",INDEX(ISINAPI!$C:$C,MATCH($C434,ISINAPI!$A:$A,0)),
IF(CONCATENATE($A434,$B434)="CSINAPI",INDEX(CSINAPI!$C:$C,MATCH($C434,CSINAPI!$A:$A,0)),
IF(CONCATENATE($A434,$B434)="CCESAN",INDEX(CCESAN!$C:$C,MATCH($C434,CCESAN!$A:$A,0)),
IF(CONCATENATE($A434,$B434)="CSCORIO",INDEX(CSCORIO!$A:$A,MATCH($C434,CSCORIO!#REF!,0)),
IF(CONCATENATE($A434,$B434)="MERC",INDEX(MERCADO!$D:$D,MATCH($C434,MERCADO!$A:$A,0)),
IF(CONCATENATE($A434,$B434)="CCOMP",INDEX(COMPOSICAO!$H:$H,MATCH($C434,COMPOSICAO!$A:$A,0)),""
)))))))),""))</f>
        <v>m</v>
      </c>
      <c r="F434" s="182">
        <v>0.28000000000000003</v>
      </c>
      <c r="G434" s="144">
        <f>(IFERROR(
IF(CONCATENATE($A434,$B434)="IDER-ES",INDEX('IDER-ES'!$D:$D,MATCH($C434,'IDER-ES'!$A:$A,0)),
IF(CONCATENATE($A434,$B434)="CIOPES",INDEX('CDER-ES'!$D:$D,MATCH($C434,'CDER-ES'!$A:$A,0)),
IF(CONCATENATE($A434,$B434)="ISINAPI",INDEX(ISINAPI!$E:$E,MATCH($C434,ISINAPI!$A:$A,0)),
IF(CONCATENATE($A434,$B434)="CSINAPI",INDEX(CSINAPI!$D:$D,MATCH($C434,CSINAPI!$A:$A,0)),
IF(CONCATENATE($A434,$B434)="CCESAN",INDEX(CCESAN!$D:$D,MATCH($C434,CCESAN!$A:$A,0)),
IF(CONCATENATE($A434,$B434)="CSCORIO",INDEX(CSCORIO!$B:$B,MATCH($C434,CSCORIO!#REF!,0)),
IF(CONCATENATE($A434,$B434)="MERC",INDEX(MERCADO!$E:$E,MATCH($C434,MERCADO!$A:$A,0)),
IF(CONCATENATE($A434,$B434)="CCOMP",INDEX(COMPOSICAO!$H:$H,MATCH($C434,COMPOSICAO!$A:$A,0)),""
)))))))),""))</f>
        <v>0.13</v>
      </c>
      <c r="H434" s="144">
        <f t="shared" si="72"/>
        <v>0.04</v>
      </c>
    </row>
    <row r="435" spans="1:9" ht="38.25">
      <c r="A435" s="141" t="s">
        <v>21960</v>
      </c>
      <c r="B435" s="141" t="s">
        <v>1019</v>
      </c>
      <c r="C435" s="141">
        <v>88248</v>
      </c>
      <c r="D435" s="142" t="str">
        <f>PROPER(IFERROR(
IF(C435="","",
IF(CONCATENATE($A435,$B435)="IDER-ES",INDEX('IDER-ES'!$B:$B,MATCH($C435,'IDER-ES'!$A:$A,0)),
IF(CONCATENATE($A435,$B435)="CDER-ES",INDEX('CDER-ES'!$B:$B,MATCH($C435,'CDER-ES'!$A:$A,0)),
IF(CONCATENATE($A435,$B435)="ISINAPI",INDEX(ISINAPI!$B:$B,MATCH($C435,ISINAPI!$A:$A,0)),
IF(CONCATENATE($A435,$B435)="CSINAPI",INDEX(CSINAPI!$B:$B,MATCH($C435,CSINAPI!$A:$A,0)),
IF(CONCATENATE($A435,$B435)="CCESAN",INDEX(CCESAN!$B:$B,MATCH($C435,CCESAN!$A:$A,0)),
IF(CONCATENATE($A435,$B435)="CSCORIO",INDEX(CSCORIO!#REF!,MATCH($C435,CSCORIO!#REF!,0)),
IF(CONCATENATE($A435,$B435)="MERC",INDEX(MERCADO!$B:$B,MATCH($C435,MERCADO!$A:$A,0)),
IF(CONCATENATE($A435,$B435)="CCOMP",INDEX(COMPOSICAO!$B:$B,MATCH($C435,COMPOSICAO!$A:$A,0)),""
))))))))),"*Verificar código*"))</f>
        <v>Auxiliar De Encanador Ou Bombeiro Hidráulico Com Encargos Complementares</v>
      </c>
      <c r="E435" s="143" t="str">
        <f>LOWER(IFERROR(
IF(CONCATENATE($A435,$B435)="IDER-ES",INDEX('IDER-ES'!$C:$C,MATCH($C435,'IDER-ES'!$A:$A,0)),
IF(CONCATENATE($A435,$B435)="CIOPES",INDEX('CDER-ES'!$C:$C,MATCH($C435,'CDER-ES'!$A:$A,0)),
IF(CONCATENATE($A435,$B435)="ISINAPI",INDEX(ISINAPI!$C:$C,MATCH($C435,ISINAPI!$A:$A,0)),
IF(CONCATENATE($A435,$B435)="CSINAPI",INDEX(CSINAPI!$C:$C,MATCH($C435,CSINAPI!$A:$A,0)),
IF(CONCATENATE($A435,$B435)="CCESAN",INDEX(CCESAN!$C:$C,MATCH($C435,CCESAN!$A:$A,0)),
IF(CONCATENATE($A435,$B435)="CSCORIO",INDEX(CSCORIO!$A:$A,MATCH($C435,CSCORIO!#REF!,0)),
IF(CONCATENATE($A435,$B435)="MERC",INDEX(MERCADO!$D:$D,MATCH($C435,MERCADO!$A:$A,0)),
IF(CONCATENATE($A435,$B435)="CCOMP",INDEX(COMPOSICAO!$H:$H,MATCH($C435,COMPOSICAO!$A:$A,0)),""
)))))))),""))</f>
        <v>h</v>
      </c>
      <c r="F435" s="182">
        <v>0.5</v>
      </c>
      <c r="G435" s="144">
        <f>(IFERROR(
IF(CONCATENATE($A435,$B435)="IDER-ES",INDEX('IDER-ES'!$D:$D,MATCH($C435,'IDER-ES'!$A:$A,0)),
IF(CONCATENATE($A435,$B435)="CIOPES",INDEX('CDER-ES'!$D:$D,MATCH($C435,'CDER-ES'!$A:$A,0)),
IF(CONCATENATE($A435,$B435)="ISINAPI",INDEX(ISINAPI!$E:$E,MATCH($C435,ISINAPI!$A:$A,0)),
IF(CONCATENATE($A435,$B435)="CSINAPI",INDEX(CSINAPI!$D:$D,MATCH($C435,CSINAPI!$A:$A,0)),
IF(CONCATENATE($A435,$B435)="CCESAN",INDEX(CCESAN!$D:$D,MATCH($C435,CCESAN!$A:$A,0)),
IF(CONCATENATE($A435,$B435)="CSCORIO",INDEX(CSCORIO!$B:$B,MATCH($C435,CSCORIO!#REF!,0)),
IF(CONCATENATE($A435,$B435)="MERC",INDEX(MERCADO!$E:$E,MATCH($C435,MERCADO!$A:$A,0)),
IF(CONCATENATE($A435,$B435)="CCOMP",INDEX(COMPOSICAO!$H:$H,MATCH($C435,COMPOSICAO!$A:$A,0)),""
)))))))),""))</f>
        <v>17.190000000000001</v>
      </c>
      <c r="H435" s="144">
        <f t="shared" si="72"/>
        <v>8.6</v>
      </c>
    </row>
    <row r="436" spans="1:9" ht="25.5">
      <c r="A436" s="141" t="s">
        <v>21960</v>
      </c>
      <c r="B436" s="141" t="s">
        <v>1019</v>
      </c>
      <c r="C436" s="141">
        <v>88267</v>
      </c>
      <c r="D436" s="142" t="str">
        <f>PROPER(IFERROR(
IF(C436="","",
IF(CONCATENATE($A436,$B436)="IDER-ES",INDEX('IDER-ES'!$B:$B,MATCH($C436,'IDER-ES'!$A:$A,0)),
IF(CONCATENATE($A436,$B436)="CDER-ES",INDEX('CDER-ES'!$B:$B,MATCH($C436,'CDER-ES'!$A:$A,0)),
IF(CONCATENATE($A436,$B436)="ISINAPI",INDEX(ISINAPI!$B:$B,MATCH($C436,ISINAPI!$A:$A,0)),
IF(CONCATENATE($A436,$B436)="CSINAPI",INDEX(CSINAPI!$B:$B,MATCH($C436,CSINAPI!$A:$A,0)),
IF(CONCATENATE($A436,$B436)="CCESAN",INDEX(CCESAN!$B:$B,MATCH($C436,CCESAN!$A:$A,0)),
IF(CONCATENATE($A436,$B436)="CSCORIO",INDEX(CSCORIO!#REF!,MATCH($C436,CSCORIO!#REF!,0)),
IF(CONCATENATE($A436,$B436)="MERC",INDEX(MERCADO!$B:$B,MATCH($C436,MERCADO!$A:$A,0)),
IF(CONCATENATE($A436,$B436)="CCOMP",INDEX(COMPOSICAO!$B:$B,MATCH($C436,COMPOSICAO!$A:$A,0)),""
))))))))),"*Verificar código*"))</f>
        <v>Encanador Ou Bombeiro Hidráulico Com Encargos Complementares</v>
      </c>
      <c r="E436" s="143" t="str">
        <f>LOWER(IFERROR(
IF(CONCATENATE($A436,$B436)="IDER-ES",INDEX('IDER-ES'!$C:$C,MATCH($C436,'IDER-ES'!$A:$A,0)),
IF(CONCATENATE($A436,$B436)="CIOPES",INDEX('CDER-ES'!$C:$C,MATCH($C436,'CDER-ES'!$A:$A,0)),
IF(CONCATENATE($A436,$B436)="ISINAPI",INDEX(ISINAPI!$C:$C,MATCH($C436,ISINAPI!$A:$A,0)),
IF(CONCATENATE($A436,$B436)="CSINAPI",INDEX(CSINAPI!$C:$C,MATCH($C436,CSINAPI!$A:$A,0)),
IF(CONCATENATE($A436,$B436)="CCESAN",INDEX(CCESAN!$C:$C,MATCH($C436,CCESAN!$A:$A,0)),
IF(CONCATENATE($A436,$B436)="CSCORIO",INDEX(CSCORIO!$A:$A,MATCH($C436,CSCORIO!#REF!,0)),
IF(CONCATENATE($A436,$B436)="MERC",INDEX(MERCADO!$D:$D,MATCH($C436,MERCADO!$A:$A,0)),
IF(CONCATENATE($A436,$B436)="CCOMP",INDEX(COMPOSICAO!$H:$H,MATCH($C436,COMPOSICAO!$A:$A,0)),""
)))))))),""))</f>
        <v>h</v>
      </c>
      <c r="F436" s="182">
        <v>0.5</v>
      </c>
      <c r="G436" s="144">
        <f>(IFERROR(
IF(CONCATENATE($A436,$B436)="IDER-ES",INDEX('IDER-ES'!$D:$D,MATCH($C436,'IDER-ES'!$A:$A,0)),
IF(CONCATENATE($A436,$B436)="CIOPES",INDEX('CDER-ES'!$D:$D,MATCH($C436,'CDER-ES'!$A:$A,0)),
IF(CONCATENATE($A436,$B436)="ISINAPI",INDEX(ISINAPI!$E:$E,MATCH($C436,ISINAPI!$A:$A,0)),
IF(CONCATENATE($A436,$B436)="CSINAPI",INDEX(CSINAPI!$D:$D,MATCH($C436,CSINAPI!$A:$A,0)),
IF(CONCATENATE($A436,$B436)="CCESAN",INDEX(CCESAN!$D:$D,MATCH($C436,CCESAN!$A:$A,0)),
IF(CONCATENATE($A436,$B436)="CSCORIO",INDEX(CSCORIO!$B:$B,MATCH($C436,CSCORIO!#REF!,0)),
IF(CONCATENATE($A436,$B436)="MERC",INDEX(MERCADO!$E:$E,MATCH($C436,MERCADO!$A:$A,0)),
IF(CONCATENATE($A436,$B436)="CCOMP",INDEX(COMPOSICAO!$H:$H,MATCH($C436,COMPOSICAO!$A:$A,0)),""
)))))))),""))</f>
        <v>21.94</v>
      </c>
      <c r="H436" s="144">
        <f t="shared" si="72"/>
        <v>10.97</v>
      </c>
    </row>
    <row r="438" spans="1:9" s="135" customFormat="1" ht="20.100000000000001" customHeight="1">
      <c r="A438" s="186" t="s">
        <v>1020</v>
      </c>
      <c r="B438" s="405" t="s">
        <v>1022</v>
      </c>
      <c r="C438" s="406"/>
      <c r="D438" s="406"/>
      <c r="E438" s="406"/>
      <c r="F438" s="407"/>
      <c r="G438" s="133" t="s">
        <v>19692</v>
      </c>
      <c r="H438" s="134" t="s">
        <v>19678</v>
      </c>
      <c r="I438" s="263"/>
    </row>
    <row r="439" spans="1:9" ht="15" customHeight="1">
      <c r="A439" s="136">
        <f>COUNTIF($A$4:$A438,$A$4)</f>
        <v>40</v>
      </c>
      <c r="B439" s="408" t="s">
        <v>28726</v>
      </c>
      <c r="C439" s="409"/>
      <c r="D439" s="409"/>
      <c r="E439" s="409"/>
      <c r="F439" s="410"/>
      <c r="G439" s="137" t="s">
        <v>26764</v>
      </c>
      <c r="H439" s="211">
        <f>SUM(H441:H445)</f>
        <v>555.98</v>
      </c>
    </row>
    <row r="440" spans="1:9" ht="30" customHeight="1">
      <c r="A440" s="136">
        <f>COUNTIF($A$4:$A439,$A$4)</f>
        <v>40</v>
      </c>
      <c r="B440" s="139" t="s">
        <v>1027</v>
      </c>
      <c r="C440" s="139" t="s">
        <v>31</v>
      </c>
      <c r="D440" s="139" t="s">
        <v>1023</v>
      </c>
      <c r="E440" s="139" t="s">
        <v>32</v>
      </c>
      <c r="F440" s="183" t="s">
        <v>2343</v>
      </c>
      <c r="G440" s="140" t="s">
        <v>19676</v>
      </c>
      <c r="H440" s="140" t="s">
        <v>19677</v>
      </c>
    </row>
    <row r="441" spans="1:9">
      <c r="A441" s="141" t="s">
        <v>26621</v>
      </c>
      <c r="B441" s="141" t="s">
        <v>26583</v>
      </c>
      <c r="C441" s="141">
        <v>37057</v>
      </c>
      <c r="D441" s="142" t="str">
        <f>PROPER(IFERROR(
IF(C441="","",
IF(CONCATENATE($A441,$B441)="IDER-ES",INDEX('IDER-ES'!$B:$B,MATCH($C441,'IDER-ES'!$A:$A,0)),
IF(CONCATENATE($A441,$B441)="CDER-ES",INDEX('CDER-ES'!$B:$B,MATCH($C441,'CDER-ES'!$A:$A,0)),
IF(CONCATENATE($A441,$B441)="ISINAPI",INDEX(ISINAPI!$B:$B,MATCH($C441,ISINAPI!$A:$A,0)),
IF(CONCATENATE($A441,$B441)="CSINAPI",INDEX(CSINAPI!$B:$B,MATCH($C441,CSINAPI!$A:$A,0)),
IF(CONCATENATE($A441,$B441)="CCESAN",INDEX(CCESAN!$B:$B,MATCH($C441,CCESAN!$A:$A,0)),
IF(CONCATENATE($A441,$B441)="CSCORIO",INDEX(CSCORIO!#REF!,MATCH($C441,CSCORIO!#REF!,0)),
IF(CONCATENATE($A441,$B441)="MERC",INDEX(MERCADO!$B:$B,MATCH($C441,MERCADO!$A:$A,0)),
IF(CONCATENATE($A441,$B441)="CCOMP",INDEX(COMPOSICAO!$B:$B,MATCH($C441,COMPOSICAO!$A:$A,0)),""
))))))))),"*Verificar código*"))</f>
        <v>Espelho Prata Espessura 4 Mm</v>
      </c>
      <c r="E441" s="143" t="str">
        <f>LOWER(IFERROR(
IF(CONCATENATE($A441,$B441)="IDER-ES",INDEX('IDER-ES'!$C:$C,MATCH($C441,'IDER-ES'!$A:$A,0)),
IF(CONCATENATE($A441,$B441)="CIOPES",INDEX('CDER-ES'!$C:$C,MATCH($C441,'CDER-ES'!$A:$A,0)),
IF(CONCATENATE($A441,$B441)="ISINAPI",INDEX(ISINAPI!$C:$C,MATCH($C441,ISINAPI!$A:$A,0)),
IF(CONCATENATE($A441,$B441)="CSINAPI",INDEX(CSINAPI!$C:$C,MATCH($C441,CSINAPI!$A:$A,0)),
IF(CONCATENATE($A441,$B441)="CCESAN",INDEX(CCESAN!$C:$C,MATCH($C441,CCESAN!$A:$A,0)),
IF(CONCATENATE($A441,$B441)="CSCORIO",INDEX(CSCORIO!$A:$A,MATCH($C441,CSCORIO!#REF!,0)),
IF(CONCATENATE($A441,$B441)="MERC",INDEX(MERCADO!$D:$D,MATCH($C441,MERCADO!$A:$A,0)),
IF(CONCATENATE($A441,$B441)="CCOMP",INDEX(COMPOSICAO!$H:$H,MATCH($C441,COMPOSICAO!$A:$A,0)),""
)))))))),""))</f>
        <v>m2</v>
      </c>
      <c r="F441" s="182">
        <v>1</v>
      </c>
      <c r="G441" s="144">
        <f>(IFERROR(
IF(CONCATENATE($A441,$B441)="IDER-ES",INDEX('IDER-ES'!$D:$D,MATCH($C441,'IDER-ES'!$A:$A,0)),
IF(CONCATENATE($A441,$B441)="CIOPES",INDEX('CDER-ES'!$D:$D,MATCH($C441,'CDER-ES'!$A:$A,0)),
IF(CONCATENATE($A441,$B441)="ISINAPI",INDEX(ISINAPI!$E:$E,MATCH($C441,ISINAPI!$A:$A,0)),
IF(CONCATENATE($A441,$B441)="CSINAPI",INDEX(CSINAPI!$D:$D,MATCH($C441,CSINAPI!$A:$A,0)),
IF(CONCATENATE($A441,$B441)="CCESAN",INDEX(CCESAN!$D:$D,MATCH($C441,CCESAN!$A:$A,0)),
IF(CONCATENATE($A441,$B441)="CSCORIO",INDEX(CSCORIO!$B:$B,MATCH($C441,CSCORIO!#REF!,0)),
IF(CONCATENATE($A441,$B441)="MERC",INDEX(MERCADO!$E:$E,MATCH($C441,MERCADO!$A:$A,0)),
IF(CONCATENATE($A441,$B441)="CCOMP",INDEX(COMPOSICAO!$H:$H,MATCH($C441,COMPOSICAO!$A:$A,0)),""
)))))))),""))</f>
        <v>445</v>
      </c>
      <c r="H441" s="144">
        <f t="shared" ref="H441:H445" si="73">IF(B441="","",ROUND(G441*F441,2))</f>
        <v>445</v>
      </c>
    </row>
    <row r="442" spans="1:9">
      <c r="A442" s="141" t="s">
        <v>26621</v>
      </c>
      <c r="B442" s="141" t="s">
        <v>26583</v>
      </c>
      <c r="C442" s="141">
        <v>69512</v>
      </c>
      <c r="D442" s="142" t="str">
        <f>PROPER(IFERROR(
IF(C442="","",
IF(CONCATENATE($A442,$B442)="IDER-ES",INDEX('IDER-ES'!$B:$B,MATCH($C442,'IDER-ES'!$A:$A,0)),
IF(CONCATENATE($A442,$B442)="CDER-ES",INDEX('CDER-ES'!$B:$B,MATCH($C442,'CDER-ES'!$A:$A,0)),
IF(CONCATENATE($A442,$B442)="ISINAPI",INDEX(ISINAPI!$B:$B,MATCH($C442,ISINAPI!$A:$A,0)),
IF(CONCATENATE($A442,$B442)="CSINAPI",INDEX(CSINAPI!$B:$B,MATCH($C442,CSINAPI!$A:$A,0)),
IF(CONCATENATE($A442,$B442)="CCESAN",INDEX(CCESAN!$B:$B,MATCH($C442,CCESAN!$A:$A,0)),
IF(CONCATENATE($A442,$B442)="CSCORIO",INDEX(CSCORIO!#REF!,MATCH($C442,CSCORIO!#REF!,0)),
IF(CONCATENATE($A442,$B442)="MERC",INDEX(MERCADO!$B:$B,MATCH($C442,MERCADO!$A:$A,0)),
IF(CONCATENATE($A442,$B442)="CCOMP",INDEX(COMPOSICAO!$B:$B,MATCH($C442,COMPOSICAO!$A:$A,0)),""
))))))))),"*Verificar código*"))</f>
        <v>Fita De Vedacao 18Mm X 50M</v>
      </c>
      <c r="E442" s="143" t="str">
        <f>LOWER(IFERROR(
IF(CONCATENATE($A442,$B442)="IDER-ES",INDEX('IDER-ES'!$C:$C,MATCH($C442,'IDER-ES'!$A:$A,0)),
IF(CONCATENATE($A442,$B442)="CIOPES",INDEX('CDER-ES'!$C:$C,MATCH($C442,'CDER-ES'!$A:$A,0)),
IF(CONCATENATE($A442,$B442)="ISINAPI",INDEX(ISINAPI!$C:$C,MATCH($C442,ISINAPI!$A:$A,0)),
IF(CONCATENATE($A442,$B442)="CSINAPI",INDEX(CSINAPI!$C:$C,MATCH($C442,CSINAPI!$A:$A,0)),
IF(CONCATENATE($A442,$B442)="CCESAN",INDEX(CCESAN!$C:$C,MATCH($C442,CCESAN!$A:$A,0)),
IF(CONCATENATE($A442,$B442)="CSCORIO",INDEX(CSCORIO!$A:$A,MATCH($C442,CSCORIO!#REF!,0)),
IF(CONCATENATE($A442,$B442)="MERC",INDEX(MERCADO!$D:$D,MATCH($C442,MERCADO!$A:$A,0)),
IF(CONCATENATE($A442,$B442)="CCOMP",INDEX(COMPOSICAO!$H:$H,MATCH($C442,COMPOSICAO!$A:$A,0)),""
)))))))),""))</f>
        <v>m</v>
      </c>
      <c r="F442" s="182">
        <v>8.3339999999999996</v>
      </c>
      <c r="G442" s="144">
        <f>(IFERROR(
IF(CONCATENATE($A442,$B442)="IDER-ES",INDEX('IDER-ES'!$D:$D,MATCH($C442,'IDER-ES'!$A:$A,0)),
IF(CONCATENATE($A442,$B442)="CIOPES",INDEX('CDER-ES'!$D:$D,MATCH($C442,'CDER-ES'!$A:$A,0)),
IF(CONCATENATE($A442,$B442)="ISINAPI",INDEX(ISINAPI!$E:$E,MATCH($C442,ISINAPI!$A:$A,0)),
IF(CONCATENATE($A442,$B442)="CSINAPI",INDEX(CSINAPI!$D:$D,MATCH($C442,CSINAPI!$A:$A,0)),
IF(CONCATENATE($A442,$B442)="CCESAN",INDEX(CCESAN!$D:$D,MATCH($C442,CCESAN!$A:$A,0)),
IF(CONCATENATE($A442,$B442)="CSCORIO",INDEX(CSCORIO!$B:$B,MATCH($C442,CSCORIO!#REF!,0)),
IF(CONCATENATE($A442,$B442)="MERC",INDEX(MERCADO!$E:$E,MATCH($C442,MERCADO!$A:$A,0)),
IF(CONCATENATE($A442,$B442)="CCOMP",INDEX(COMPOSICAO!$H:$H,MATCH($C442,COMPOSICAO!$A:$A,0)),""
)))))))),""))</f>
        <v>0.13</v>
      </c>
      <c r="H442" s="144">
        <f t="shared" si="73"/>
        <v>1.08</v>
      </c>
    </row>
    <row r="443" spans="1:9">
      <c r="A443" s="141" t="s">
        <v>26621</v>
      </c>
      <c r="B443" s="141" t="s">
        <v>26583</v>
      </c>
      <c r="C443" s="141">
        <v>26548</v>
      </c>
      <c r="D443" s="142" t="str">
        <f>PROPER(IFERROR(
IF(C443="","",
IF(CONCATENATE($A443,$B443)="IDER-ES",INDEX('IDER-ES'!$B:$B,MATCH($C443,'IDER-ES'!$A:$A,0)),
IF(CONCATENATE($A443,$B443)="CDER-ES",INDEX('CDER-ES'!$B:$B,MATCH($C443,'CDER-ES'!$A:$A,0)),
IF(CONCATENATE($A443,$B443)="ISINAPI",INDEX(ISINAPI!$B:$B,MATCH($C443,ISINAPI!$A:$A,0)),
IF(CONCATENATE($A443,$B443)="CSINAPI",INDEX(CSINAPI!$B:$B,MATCH($C443,CSINAPI!$A:$A,0)),
IF(CONCATENATE($A443,$B443)="CCESAN",INDEX(CCESAN!$B:$B,MATCH($C443,CCESAN!$A:$A,0)),
IF(CONCATENATE($A443,$B443)="CSCORIO",INDEX(CSCORIO!#REF!,MATCH($C443,CSCORIO!#REF!,0)),
IF(CONCATENATE($A443,$B443)="MERC",INDEX(MERCADO!$B:$B,MATCH($C443,MERCADO!$A:$A,0)),
IF(CONCATENATE($A443,$B443)="CCOMP",INDEX(COMPOSICAO!$B:$B,MATCH($C443,COMPOSICAO!$A:$A,0)),""
))))))))),"*Verificar código*"))</f>
        <v>Bucha Plastica Com Parafuso - 8Mm</v>
      </c>
      <c r="E443" s="143" t="str">
        <f>LOWER(IFERROR(
IF(CONCATENATE($A443,$B443)="IDER-ES",INDEX('IDER-ES'!$C:$C,MATCH($C443,'IDER-ES'!$A:$A,0)),
IF(CONCATENATE($A443,$B443)="CIOPES",INDEX('CDER-ES'!$C:$C,MATCH($C443,'CDER-ES'!$A:$A,0)),
IF(CONCATENATE($A443,$B443)="ISINAPI",INDEX(ISINAPI!$C:$C,MATCH($C443,ISINAPI!$A:$A,0)),
IF(CONCATENATE($A443,$B443)="CSINAPI",INDEX(CSINAPI!$C:$C,MATCH($C443,CSINAPI!$A:$A,0)),
IF(CONCATENATE($A443,$B443)="CCESAN",INDEX(CCESAN!$C:$C,MATCH($C443,CCESAN!$A:$A,0)),
IF(CONCATENATE($A443,$B443)="CSCORIO",INDEX(CSCORIO!$A:$A,MATCH($C443,CSCORIO!#REF!,0)),
IF(CONCATENATE($A443,$B443)="MERC",INDEX(MERCADO!$D:$D,MATCH($C443,MERCADO!$A:$A,0)),
IF(CONCATENATE($A443,$B443)="CCOMP",INDEX(COMPOSICAO!$H:$H,MATCH($C443,COMPOSICAO!$A:$A,0)),""
)))))))),""))</f>
        <v>un</v>
      </c>
      <c r="F443" s="182">
        <v>8.3339999999999996</v>
      </c>
      <c r="G443" s="144">
        <f>(IFERROR(
IF(CONCATENATE($A443,$B443)="IDER-ES",INDEX('IDER-ES'!$D:$D,MATCH($C443,'IDER-ES'!$A:$A,0)),
IF(CONCATENATE($A443,$B443)="CIOPES",INDEX('CDER-ES'!$D:$D,MATCH($C443,'CDER-ES'!$A:$A,0)),
IF(CONCATENATE($A443,$B443)="ISINAPI",INDEX(ISINAPI!$E:$E,MATCH($C443,ISINAPI!$A:$A,0)),
IF(CONCATENATE($A443,$B443)="CSINAPI",INDEX(CSINAPI!$D:$D,MATCH($C443,CSINAPI!$A:$A,0)),
IF(CONCATENATE($A443,$B443)="CCESAN",INDEX(CCESAN!$D:$D,MATCH($C443,CCESAN!$A:$A,0)),
IF(CONCATENATE($A443,$B443)="CSCORIO",INDEX(CSCORIO!$B:$B,MATCH($C443,CSCORIO!#REF!,0)),
IF(CONCATENATE($A443,$B443)="MERC",INDEX(MERCADO!$E:$E,MATCH($C443,MERCADO!$A:$A,0)),
IF(CONCATENATE($A443,$B443)="CCOMP",INDEX(COMPOSICAO!$H:$H,MATCH($C443,COMPOSICAO!$A:$A,0)),""
)))))))),""))</f>
        <v>0.47</v>
      </c>
      <c r="H443" s="144">
        <f t="shared" ref="H443" si="74">IF(B443="","",ROUND(G443*F443,2))</f>
        <v>3.92</v>
      </c>
    </row>
    <row r="444" spans="1:9" ht="25.5">
      <c r="A444" s="141" t="s">
        <v>21960</v>
      </c>
      <c r="B444" s="141" t="s">
        <v>1019</v>
      </c>
      <c r="C444" s="141">
        <v>88316</v>
      </c>
      <c r="D444" s="142" t="str">
        <f>PROPER(IFERROR(
IF(C444="","",
IF(CONCATENATE($A444,$B444)="IDER-ES",INDEX('IDER-ES'!$B:$B,MATCH($C444,'IDER-ES'!$A:$A,0)),
IF(CONCATENATE($A444,$B444)="CDER-ES",INDEX('CDER-ES'!$B:$B,MATCH($C444,'CDER-ES'!$A:$A,0)),
IF(CONCATENATE($A444,$B444)="ISINAPI",INDEX(ISINAPI!$B:$B,MATCH($C444,ISINAPI!$A:$A,0)),
IF(CONCATENATE($A444,$B444)="CSINAPI",INDEX(CSINAPI!$B:$B,MATCH($C444,CSINAPI!$A:$A,0)),
IF(CONCATENATE($A444,$B444)="CCESAN",INDEX(CCESAN!$B:$B,MATCH($C444,CCESAN!$A:$A,0)),
IF(CONCATENATE($A444,$B444)="CSCORIO",INDEX(CSCORIO!#REF!,MATCH($C444,CSCORIO!#REF!,0)),
IF(CONCATENATE($A444,$B444)="MERC",INDEX(MERCADO!$B:$B,MATCH($C444,MERCADO!$A:$A,0)),
IF(CONCATENATE($A444,$B444)="CCOMP",INDEX(COMPOSICAO!$B:$B,MATCH($C444,COMPOSICAO!$A:$A,0)),""
))))))))),"*Verificar código*"))</f>
        <v>Servente Com Encargos Complementares</v>
      </c>
      <c r="E444" s="143" t="str">
        <f>LOWER(IFERROR(
IF(CONCATENATE($A444,$B444)="IDER-ES",INDEX('IDER-ES'!$C:$C,MATCH($C444,'IDER-ES'!$A:$A,0)),
IF(CONCATENATE($A444,$B444)="CIOPES",INDEX('CDER-ES'!$C:$C,MATCH($C444,'CDER-ES'!$A:$A,0)),
IF(CONCATENATE($A444,$B444)="ISINAPI",INDEX(ISINAPI!$C:$C,MATCH($C444,ISINAPI!$A:$A,0)),
IF(CONCATENATE($A444,$B444)="CSINAPI",INDEX(CSINAPI!$C:$C,MATCH($C444,CSINAPI!$A:$A,0)),
IF(CONCATENATE($A444,$B444)="CCESAN",INDEX(CCESAN!$C:$C,MATCH($C444,CCESAN!$A:$A,0)),
IF(CONCATENATE($A444,$B444)="CSCORIO",INDEX(CSCORIO!$A:$A,MATCH($C444,CSCORIO!#REF!,0)),
IF(CONCATENATE($A444,$B444)="MERC",INDEX(MERCADO!$D:$D,MATCH($C444,MERCADO!$A:$A,0)),
IF(CONCATENATE($A444,$B444)="CCOMP",INDEX(COMPOSICAO!$H:$H,MATCH($C444,COMPOSICAO!$A:$A,0)),""
)))))))),""))</f>
        <v>h</v>
      </c>
      <c r="F444" s="182">
        <v>2.5</v>
      </c>
      <c r="G444" s="144">
        <f>(IFERROR(
IF(CONCATENATE($A444,$B444)="IDER-ES",INDEX('IDER-ES'!$D:$D,MATCH($C444,'IDER-ES'!$A:$A,0)),
IF(CONCATENATE($A444,$B444)="CIOPES",INDEX('CDER-ES'!$D:$D,MATCH($C444,'CDER-ES'!$A:$A,0)),
IF(CONCATENATE($A444,$B444)="ISINAPI",INDEX(ISINAPI!$E:$E,MATCH($C444,ISINAPI!$A:$A,0)),
IF(CONCATENATE($A444,$B444)="CSINAPI",INDEX(CSINAPI!$D:$D,MATCH($C444,CSINAPI!$A:$A,0)),
IF(CONCATENATE($A444,$B444)="CCESAN",INDEX(CCESAN!$D:$D,MATCH($C444,CCESAN!$A:$A,0)),
IF(CONCATENATE($A444,$B444)="CSCORIO",INDEX(CSCORIO!$B:$B,MATCH($C444,CSCORIO!#REF!,0)),
IF(CONCATENATE($A444,$B444)="MERC",INDEX(MERCADO!$E:$E,MATCH($C444,MERCADO!$A:$A,0)),
IF(CONCATENATE($A444,$B444)="CCOMP",INDEX(COMPOSICAO!$H:$H,MATCH($C444,COMPOSICAO!$A:$A,0)),""
)))))))),""))</f>
        <v>18.11</v>
      </c>
      <c r="H444" s="144">
        <f t="shared" si="73"/>
        <v>45.28</v>
      </c>
    </row>
    <row r="445" spans="1:9" ht="25.5">
      <c r="A445" s="141" t="s">
        <v>21960</v>
      </c>
      <c r="B445" s="141" t="s">
        <v>1019</v>
      </c>
      <c r="C445" s="141">
        <v>88325</v>
      </c>
      <c r="D445" s="142" t="str">
        <f>PROPER(IFERROR(
IF(C445="","",
IF(CONCATENATE($A445,$B445)="IDER-ES",INDEX('IDER-ES'!$B:$B,MATCH($C445,'IDER-ES'!$A:$A,0)),
IF(CONCATENATE($A445,$B445)="CDER-ES",INDEX('CDER-ES'!$B:$B,MATCH($C445,'CDER-ES'!$A:$A,0)),
IF(CONCATENATE($A445,$B445)="ISINAPI",INDEX(ISINAPI!$B:$B,MATCH($C445,ISINAPI!$A:$A,0)),
IF(CONCATENATE($A445,$B445)="CSINAPI",INDEX(CSINAPI!$B:$B,MATCH($C445,CSINAPI!$A:$A,0)),
IF(CONCATENATE($A445,$B445)="CCESAN",INDEX(CCESAN!$B:$B,MATCH($C445,CCESAN!$A:$A,0)),
IF(CONCATENATE($A445,$B445)="CSCORIO",INDEX(CSCORIO!#REF!,MATCH($C445,CSCORIO!#REF!,0)),
IF(CONCATENATE($A445,$B445)="MERC",INDEX(MERCADO!$B:$B,MATCH($C445,MERCADO!$A:$A,0)),
IF(CONCATENATE($A445,$B445)="CCOMP",INDEX(COMPOSICAO!$B:$B,MATCH($C445,COMPOSICAO!$A:$A,0)),""
))))))))),"*Verificar código*"))</f>
        <v>Vidraceiro Com Encargos Complementares</v>
      </c>
      <c r="E445" s="143" t="str">
        <f>LOWER(IFERROR(
IF(CONCATENATE($A445,$B445)="IDER-ES",INDEX('IDER-ES'!$C:$C,MATCH($C445,'IDER-ES'!$A:$A,0)),
IF(CONCATENATE($A445,$B445)="CIOPES",INDEX('CDER-ES'!$C:$C,MATCH($C445,'CDER-ES'!$A:$A,0)),
IF(CONCATENATE($A445,$B445)="ISINAPI",INDEX(ISINAPI!$C:$C,MATCH($C445,ISINAPI!$A:$A,0)),
IF(CONCATENATE($A445,$B445)="CSINAPI",INDEX(CSINAPI!$C:$C,MATCH($C445,CSINAPI!$A:$A,0)),
IF(CONCATENATE($A445,$B445)="CCESAN",INDEX(CCESAN!$C:$C,MATCH($C445,CCESAN!$A:$A,0)),
IF(CONCATENATE($A445,$B445)="CSCORIO",INDEX(CSCORIO!$A:$A,MATCH($C445,CSCORIO!#REF!,0)),
IF(CONCATENATE($A445,$B445)="MERC",INDEX(MERCADO!$D:$D,MATCH($C445,MERCADO!$A:$A,0)),
IF(CONCATENATE($A445,$B445)="CCOMP",INDEX(COMPOSICAO!$H:$H,MATCH($C445,COMPOSICAO!$A:$A,0)),""
)))))))),""))</f>
        <v>h</v>
      </c>
      <c r="F445" s="182">
        <v>2.5</v>
      </c>
      <c r="G445" s="144">
        <f>(IFERROR(
IF(CONCATENATE($A445,$B445)="IDER-ES",INDEX('IDER-ES'!$D:$D,MATCH($C445,'IDER-ES'!$A:$A,0)),
IF(CONCATENATE($A445,$B445)="CIOPES",INDEX('CDER-ES'!$D:$D,MATCH($C445,'CDER-ES'!$A:$A,0)),
IF(CONCATENATE($A445,$B445)="ISINAPI",INDEX(ISINAPI!$E:$E,MATCH($C445,ISINAPI!$A:$A,0)),
IF(CONCATENATE($A445,$B445)="CSINAPI",INDEX(CSINAPI!$D:$D,MATCH($C445,CSINAPI!$A:$A,0)),
IF(CONCATENATE($A445,$B445)="CCESAN",INDEX(CCESAN!$D:$D,MATCH($C445,CCESAN!$A:$A,0)),
IF(CONCATENATE($A445,$B445)="CSCORIO",INDEX(CSCORIO!$B:$B,MATCH($C445,CSCORIO!#REF!,0)),
IF(CONCATENATE($A445,$B445)="MERC",INDEX(MERCADO!$E:$E,MATCH($C445,MERCADO!$A:$A,0)),
IF(CONCATENATE($A445,$B445)="CCOMP",INDEX(COMPOSICAO!$H:$H,MATCH($C445,COMPOSICAO!$A:$A,0)),""
)))))))),""))</f>
        <v>24.28</v>
      </c>
      <c r="H445" s="144">
        <f t="shared" si="73"/>
        <v>60.7</v>
      </c>
    </row>
    <row r="447" spans="1:9" s="135" customFormat="1" ht="20.100000000000001" customHeight="1">
      <c r="A447" s="186" t="s">
        <v>1020</v>
      </c>
      <c r="B447" s="405" t="s">
        <v>1022</v>
      </c>
      <c r="C447" s="406"/>
      <c r="D447" s="406"/>
      <c r="E447" s="406"/>
      <c r="F447" s="407"/>
      <c r="G447" s="133" t="s">
        <v>19692</v>
      </c>
      <c r="H447" s="134" t="s">
        <v>19678</v>
      </c>
      <c r="I447" s="263"/>
    </row>
    <row r="448" spans="1:9" ht="30" customHeight="1">
      <c r="A448" s="136">
        <f>COUNTIF($A$4:$A447,$A$4)</f>
        <v>41</v>
      </c>
      <c r="B448" s="408" t="s">
        <v>26576</v>
      </c>
      <c r="C448" s="409"/>
      <c r="D448" s="409"/>
      <c r="E448" s="409"/>
      <c r="F448" s="410"/>
      <c r="G448" s="137" t="s">
        <v>19692</v>
      </c>
      <c r="H448" s="211">
        <f>SUM(H450:H453)</f>
        <v>563.64</v>
      </c>
    </row>
    <row r="449" spans="1:9" ht="30" customHeight="1">
      <c r="A449" s="139" t="s">
        <v>1026</v>
      </c>
      <c r="B449" s="139" t="s">
        <v>1027</v>
      </c>
      <c r="C449" s="139" t="s">
        <v>31</v>
      </c>
      <c r="D449" s="139" t="s">
        <v>1023</v>
      </c>
      <c r="E449" s="139" t="s">
        <v>32</v>
      </c>
      <c r="F449" s="183" t="s">
        <v>2343</v>
      </c>
      <c r="G449" s="140" t="s">
        <v>19676</v>
      </c>
      <c r="H449" s="140" t="s">
        <v>19677</v>
      </c>
    </row>
    <row r="450" spans="1:9" ht="25.5">
      <c r="A450" s="141" t="s">
        <v>21960</v>
      </c>
      <c r="B450" s="141" t="s">
        <v>1019</v>
      </c>
      <c r="C450" s="141">
        <v>88261</v>
      </c>
      <c r="D450" s="142" t="str">
        <f>PROPER(IFERROR(
IF(C450="","",
IF(CONCATENATE($A450,$B450)="IDER-ES",INDEX('IDER-ES'!$B:$B,MATCH($C450,'IDER-ES'!$A:$A,0)),
IF(CONCATENATE($A450,$B450)="CDER-ES",INDEX('CDER-ES'!$B:$B,MATCH($C450,'CDER-ES'!$A:$A,0)),
IF(CONCATENATE($A450,$B450)="ISINAPI",INDEX(ISINAPI!$B:$B,MATCH($C450,ISINAPI!$A:$A,0)),
IF(CONCATENATE($A450,$B450)="CSINAPI",INDEX(CSINAPI!$B:$B,MATCH($C450,CSINAPI!$A:$A,0)),
IF(CONCATENATE($A450,$B450)="CCESAN",INDEX(CCESAN!$B:$B,MATCH($C450,CCESAN!$A:$A,0)),
IF(CONCATENATE($A450,$B450)="CSCORIO",INDEX(CSCORIO!#REF!,MATCH($C450,CSCORIO!#REF!,0)),
IF(CONCATENATE($A450,$B450)="MERC",INDEX(MERCADO!$B:$B,MATCH($C450,MERCADO!$A:$A,0)),
IF(CONCATENATE($A450,$B450)="CCOMP",INDEX(COMPOSICAO!$B:$B,MATCH($C450,COMPOSICAO!$A:$A,0)),""
))))))))),"*Verificar código*"))</f>
        <v>Carpinteiro De Esquadria Com Encargos Complementares</v>
      </c>
      <c r="E450" s="143" t="str">
        <f>LOWER(IFERROR(
IF(CONCATENATE($A450,$B450)="IDER-ES",INDEX('IDER-ES'!$C:$C,MATCH($C450,'IDER-ES'!$A:$A,0)),
IF(CONCATENATE($A450,$B450)="CIOPES",INDEX('CDER-ES'!$C:$C,MATCH($C450,'CDER-ES'!$A:$A,0)),
IF(CONCATENATE($A450,$B450)="ISINAPI",INDEX(ISINAPI!$C:$C,MATCH($C450,ISINAPI!$A:$A,0)),
IF(CONCATENATE($A450,$B450)="CSINAPI",INDEX(CSINAPI!$C:$C,MATCH($C450,CSINAPI!$A:$A,0)),
IF(CONCATENATE($A450,$B450)="CCESAN",INDEX(CCESAN!$C:$C,MATCH($C450,CCESAN!$A:$A,0)),
IF(CONCATENATE($A450,$B450)="CSCORIO",INDEX(CSCORIO!$A:$A,MATCH($C450,CSCORIO!#REF!,0)),
IF(CONCATENATE($A450,$B450)="MERC",INDEX(MERCADO!$D:$D,MATCH($C450,MERCADO!$A:$A,0)),
IF(CONCATENATE($A450,$B450)="CCOMP",INDEX(COMPOSICAO!$H:$H,MATCH($C450,COMPOSICAO!$A:$A,0)),""
)))))))),""))</f>
        <v>h</v>
      </c>
      <c r="F450" s="182">
        <v>0.5</v>
      </c>
      <c r="G450" s="144">
        <f>(IFERROR(
IF(CONCATENATE($A450,$B450)="IDER-ES",INDEX('IDER-ES'!$D:$D,MATCH($C450,'IDER-ES'!$A:$A,0)),
IF(CONCATENATE($A450,$B450)="CIOPES",INDEX('CDER-ES'!$D:$D,MATCH($C450,'CDER-ES'!$A:$A,0)),
IF(CONCATENATE($A450,$B450)="ISINAPI",INDEX(ISINAPI!$E:$E,MATCH($C450,ISINAPI!$A:$A,0)),
IF(CONCATENATE($A450,$B450)="CSINAPI",INDEX(CSINAPI!$D:$D,MATCH($C450,CSINAPI!$A:$A,0)),
IF(CONCATENATE($A450,$B450)="CCESAN",INDEX(CCESAN!$D:$D,MATCH($C450,CCESAN!$A:$A,0)),
IF(CONCATENATE($A450,$B450)="CSCORIO",INDEX(CSCORIO!$B:$B,MATCH($C450,CSCORIO!#REF!,0)),
IF(CONCATENATE($A450,$B450)="MERC",INDEX(MERCADO!$E:$E,MATCH($C450,MERCADO!$A:$A,0)),
IF(CONCATENATE($A450,$B450)="CCOMP",INDEX(COMPOSICAO!$H:$H,MATCH($C450,COMPOSICAO!$A:$A,0)),""
)))))))),""))</f>
        <v>22.14</v>
      </c>
      <c r="H450" s="144">
        <f t="shared" ref="H450:H453" si="75">IF(B450="","",ROUND(G450*F450,2))</f>
        <v>11.07</v>
      </c>
    </row>
    <row r="451" spans="1:9" ht="25.5">
      <c r="A451" s="141" t="s">
        <v>21960</v>
      </c>
      <c r="B451" s="141" t="s">
        <v>1019</v>
      </c>
      <c r="C451" s="141">
        <v>88316</v>
      </c>
      <c r="D451" s="142" t="str">
        <f>PROPER(IFERROR(
IF(C451="","",
IF(CONCATENATE($A451,$B451)="IDER-ES",INDEX('IDER-ES'!$B:$B,MATCH($C451,'IDER-ES'!$A:$A,0)),
IF(CONCATENATE($A451,$B451)="CDER-ES",INDEX('CDER-ES'!$B:$B,MATCH($C451,'CDER-ES'!$A:$A,0)),
IF(CONCATENATE($A451,$B451)="ISINAPI",INDEX(ISINAPI!$B:$B,MATCH($C451,ISINAPI!$A:$A,0)),
IF(CONCATENATE($A451,$B451)="CSINAPI",INDEX(CSINAPI!$B:$B,MATCH($C451,CSINAPI!$A:$A,0)),
IF(CONCATENATE($A451,$B451)="CCESAN",INDEX(CCESAN!$B:$B,MATCH($C451,CCESAN!$A:$A,0)),
IF(CONCATENATE($A451,$B451)="CSCORIO",INDEX(CSCORIO!#REF!,MATCH($C451,CSCORIO!#REF!,0)),
IF(CONCATENATE($A451,$B451)="MERC",INDEX(MERCADO!$B:$B,MATCH($C451,MERCADO!$A:$A,0)),
IF(CONCATENATE($A451,$B451)="CCOMP",INDEX(COMPOSICAO!$B:$B,MATCH($C451,COMPOSICAO!$A:$A,0)),""
))))))))),"*Verificar código*"))</f>
        <v>Servente Com Encargos Complementares</v>
      </c>
      <c r="E451" s="143" t="str">
        <f>LOWER(IFERROR(
IF(CONCATENATE($A451,$B451)="IDER-ES",INDEX('IDER-ES'!$C:$C,MATCH($C451,'IDER-ES'!$A:$A,0)),
IF(CONCATENATE($A451,$B451)="CIOPES",INDEX('CDER-ES'!$C:$C,MATCH($C451,'CDER-ES'!$A:$A,0)),
IF(CONCATENATE($A451,$B451)="ISINAPI",INDEX(ISINAPI!$C:$C,MATCH($C451,ISINAPI!$A:$A,0)),
IF(CONCATENATE($A451,$B451)="CSINAPI",INDEX(CSINAPI!$C:$C,MATCH($C451,CSINAPI!$A:$A,0)),
IF(CONCATENATE($A451,$B451)="CCESAN",INDEX(CCESAN!$C:$C,MATCH($C451,CCESAN!$A:$A,0)),
IF(CONCATENATE($A451,$B451)="CSCORIO",INDEX(CSCORIO!$A:$A,MATCH($C451,CSCORIO!#REF!,0)),
IF(CONCATENATE($A451,$B451)="MERC",INDEX(MERCADO!$D:$D,MATCH($C451,MERCADO!$A:$A,0)),
IF(CONCATENATE($A451,$B451)="CCOMP",INDEX(COMPOSICAO!$H:$H,MATCH($C451,COMPOSICAO!$A:$A,0)),""
)))))))),""))</f>
        <v>h</v>
      </c>
      <c r="F451" s="182">
        <v>0.5</v>
      </c>
      <c r="G451" s="144">
        <f>(IFERROR(
IF(CONCATENATE($A451,$B451)="IDER-ES",INDEX('IDER-ES'!$D:$D,MATCH($C451,'IDER-ES'!$A:$A,0)),
IF(CONCATENATE($A451,$B451)="CIOPES",INDEX('CDER-ES'!$D:$D,MATCH($C451,'CDER-ES'!$A:$A,0)),
IF(CONCATENATE($A451,$B451)="ISINAPI",INDEX(ISINAPI!$E:$E,MATCH($C451,ISINAPI!$A:$A,0)),
IF(CONCATENATE($A451,$B451)="CSINAPI",INDEX(CSINAPI!$D:$D,MATCH($C451,CSINAPI!$A:$A,0)),
IF(CONCATENATE($A451,$B451)="CCESAN",INDEX(CCESAN!$D:$D,MATCH($C451,CCESAN!$A:$A,0)),
IF(CONCATENATE($A451,$B451)="CSCORIO",INDEX(CSCORIO!$B:$B,MATCH($C451,CSCORIO!#REF!,0)),
IF(CONCATENATE($A451,$B451)="MERC",INDEX(MERCADO!$E:$E,MATCH($C451,MERCADO!$A:$A,0)),
IF(CONCATENATE($A451,$B451)="CCOMP",INDEX(COMPOSICAO!$H:$H,MATCH($C451,COMPOSICAO!$A:$A,0)),""
)))))))),""))</f>
        <v>18.11</v>
      </c>
      <c r="H451" s="144">
        <f t="shared" si="75"/>
        <v>9.06</v>
      </c>
    </row>
    <row r="452" spans="1:9" ht="38.25">
      <c r="A452" s="141"/>
      <c r="B452" s="141" t="s">
        <v>1021</v>
      </c>
      <c r="C452" s="141">
        <v>1</v>
      </c>
      <c r="D452" s="142" t="str">
        <f>PROPER(IFERROR(
IF(C452="","",
IF(CONCATENATE($A452,$B452)="IDER-ES",INDEX('IDER-ES'!$B:$B,MATCH($C452,'IDER-ES'!$A:$A,0)),
IF(CONCATENATE($A452,$B452)="CDER-ES",INDEX('CDER-ES'!$B:$B,MATCH($C452,'CDER-ES'!$A:$A,0)),
IF(CONCATENATE($A452,$B452)="ISINAPI",INDEX(ISINAPI!$B:$B,MATCH($C452,ISINAPI!$A:$A,0)),
IF(CONCATENATE($A452,$B452)="CSINAPI",INDEX(CSINAPI!$B:$B,MATCH($C452,CSINAPI!$A:$A,0)),
IF(CONCATENATE($A452,$B452)="CCESAN",INDEX(CCESAN!$B:$B,MATCH($C452,CCESAN!$A:$A,0)),
IF(CONCATENATE($A452,$B452)="CSCORIO",INDEX(CSCORIO!#REF!,MATCH($C452,CSCORIO!#REF!,0)),
IF(CONCATENATE($A452,$B452)="MERC",INDEX(MERCADO!$B:$B,MATCH($C452,MERCADO!$A:$A,0)),
IF(CONCATENATE($A452,$B452)="CCOMP",INDEX(COMPOSICAO!$B:$B,MATCH($C452,COMPOSICAO!$A:$A,0)),""
))))))))),"*Verificar código*"))</f>
        <v>Banco De Jardim Ou Praça Estilo Tamanduá De Madeira Maciça - Largura 1,50 M - 3 Lugares</v>
      </c>
      <c r="E452" s="143" t="str">
        <f>LOWER(IFERROR(
IF(CONCATENATE($A452,$B452)="IDER-ES",INDEX('IDER-ES'!$C:$C,MATCH($C452,'IDER-ES'!$A:$A,0)),
IF(CONCATENATE($A452,$B452)="CIOPES",INDEX('CDER-ES'!$C:$C,MATCH($C452,'CDER-ES'!$A:$A,0)),
IF(CONCATENATE($A452,$B452)="ISINAPI",INDEX(ISINAPI!$C:$C,MATCH($C452,ISINAPI!$A:$A,0)),
IF(CONCATENATE($A452,$B452)="CSINAPI",INDEX(CSINAPI!$C:$C,MATCH($C452,CSINAPI!$A:$A,0)),
IF(CONCATENATE($A452,$B452)="CCESAN",INDEX(CCESAN!$C:$C,MATCH($C452,CCESAN!$A:$A,0)),
IF(CONCATENATE($A452,$B452)="CSCORIO",INDEX(CSCORIO!$A:$A,MATCH($C452,CSCORIO!#REF!,0)),
IF(CONCATENATE($A452,$B452)="MERC",INDEX(MERCADO!$D:$D,MATCH($C452,MERCADO!$A:$A,0)),
IF(CONCATENATE($A452,$B452)="CCOMP",INDEX(COMPOSICAO!$H:$H,MATCH($C452,COMPOSICAO!$A:$A,0)),""
)))))))),""))</f>
        <v>und</v>
      </c>
      <c r="F452" s="182">
        <v>1</v>
      </c>
      <c r="G452" s="144">
        <f>(IFERROR(
IF(CONCATENATE($A452,$B452)="IDER-ES",INDEX('IDER-ES'!$D:$D,MATCH($C452,'IDER-ES'!$A:$A,0)),
IF(CONCATENATE($A452,$B452)="CIOPES",INDEX('CDER-ES'!$D:$D,MATCH($C452,'CDER-ES'!$A:$A,0)),
IF(CONCATENATE($A452,$B452)="ISINAPI",INDEX(ISINAPI!$E:$E,MATCH($C452,ISINAPI!$A:$A,0)),
IF(CONCATENATE($A452,$B452)="CSINAPI",INDEX(CSINAPI!$D:$D,MATCH($C452,CSINAPI!$A:$A,0)),
IF(CONCATENATE($A452,$B452)="CCESAN",INDEX(CCESAN!$D:$D,MATCH($C452,CCESAN!$A:$A,0)),
IF(CONCATENATE($A452,$B452)="CSCORIO",INDEX(CSCORIO!$B:$B,MATCH($C452,CSCORIO!#REF!,0)),
IF(CONCATENATE($A452,$B452)="MERC",INDEX(MERCADO!$E:$E,MATCH($C452,MERCADO!$A:$A,0)),
IF(CONCATENATE($A452,$B452)="CCOMP",INDEX(COMPOSICAO!$H:$H,MATCH($C452,COMPOSICAO!$A:$A,0)),""
)))))))),""))</f>
        <v>491.9</v>
      </c>
      <c r="H452" s="144">
        <f t="shared" ref="H452" si="76">IF(B452="","",ROUND(G452*F452,2))</f>
        <v>491.9</v>
      </c>
    </row>
    <row r="453" spans="1:9" ht="38.25">
      <c r="A453" s="141" t="s">
        <v>21960</v>
      </c>
      <c r="B453" s="141" t="s">
        <v>1019</v>
      </c>
      <c r="C453" s="141">
        <v>88629</v>
      </c>
      <c r="D453" s="142" t="str">
        <f>PROPER(IFERROR(
IF(C453="","",
IF(CONCATENATE($A453,$B453)="IDER-ES",INDEX('IDER-ES'!$B:$B,MATCH($C453,'IDER-ES'!$A:$A,0)),
IF(CONCATENATE($A453,$B453)="CDER-ES",INDEX('CDER-ES'!$B:$B,MATCH($C453,'CDER-ES'!$A:$A,0)),
IF(CONCATENATE($A453,$B453)="ISINAPI",INDEX(ISINAPI!$B:$B,MATCH($C453,ISINAPI!$A:$A,0)),
IF(CONCATENATE($A453,$B453)="CSINAPI",INDEX(CSINAPI!$B:$B,MATCH($C453,CSINAPI!$A:$A,0)),
IF(CONCATENATE($A453,$B453)="CCESAN",INDEX(CCESAN!$B:$B,MATCH($C453,CCESAN!$A:$A,0)),
IF(CONCATENATE($A453,$B453)="CSCORIO",INDEX(CSCORIO!#REF!,MATCH($C453,CSCORIO!#REF!,0)),
IF(CONCATENATE($A453,$B453)="MERC",INDEX(MERCADO!$B:$B,MATCH($C453,MERCADO!$A:$A,0)),
IF(CONCATENATE($A453,$B453)="CCOMP",INDEX(COMPOSICAO!$B:$B,MATCH($C453,COMPOSICAO!$A:$A,0)),""
))))))))),"*Verificar código*"))</f>
        <v>Argamassa Traço 1:3 (Em Volume De Cimento E Areia Média Úmida), Preparo Manual. Af_08/2019</v>
      </c>
      <c r="E453" s="143" t="str">
        <f>LOWER(IFERROR(
IF(CONCATENATE($A453,$B453)="IDER-ES",INDEX('IDER-ES'!$C:$C,MATCH($C453,'IDER-ES'!$A:$A,0)),
IF(CONCATENATE($A453,$B453)="CIOPES",INDEX('CDER-ES'!$C:$C,MATCH($C453,'CDER-ES'!$A:$A,0)),
IF(CONCATENATE($A453,$B453)="ISINAPI",INDEX(ISINAPI!$C:$C,MATCH($C453,ISINAPI!$A:$A,0)),
IF(CONCATENATE($A453,$B453)="CSINAPI",INDEX(CSINAPI!$C:$C,MATCH($C453,CSINAPI!$A:$A,0)),
IF(CONCATENATE($A453,$B453)="CCESAN",INDEX(CCESAN!$C:$C,MATCH($C453,CCESAN!$A:$A,0)),
IF(CONCATENATE($A453,$B453)="CSCORIO",INDEX(CSCORIO!$A:$A,MATCH($C453,CSCORIO!#REF!,0)),
IF(CONCATENATE($A453,$B453)="MERC",INDEX(MERCADO!$D:$D,MATCH($C453,MERCADO!$A:$A,0)),
IF(CONCATENATE($A453,$B453)="CCOMP",INDEX(COMPOSICAO!$H:$H,MATCH($C453,COMPOSICAO!$A:$A,0)),""
)))))))),""))</f>
        <v>m³</v>
      </c>
      <c r="F453" s="182">
        <f>0.3*0.3*0.3*4</f>
        <v>0.108</v>
      </c>
      <c r="G453" s="144">
        <f>(IFERROR(
IF(CONCATENATE($A453,$B453)="IDER-ES",INDEX('IDER-ES'!$D:$D,MATCH($C453,'IDER-ES'!$A:$A,0)),
IF(CONCATENATE($A453,$B453)="CIOPES",INDEX('CDER-ES'!$D:$D,MATCH($C453,'CDER-ES'!$A:$A,0)),
IF(CONCATENATE($A453,$B453)="ISINAPI",INDEX(ISINAPI!$E:$E,MATCH($C453,ISINAPI!$A:$A,0)),
IF(CONCATENATE($A453,$B453)="CSINAPI",INDEX(CSINAPI!$D:$D,MATCH($C453,CSINAPI!$A:$A,0)),
IF(CONCATENATE($A453,$B453)="CCESAN",INDEX(CCESAN!$D:$D,MATCH($C453,CCESAN!$A:$A,0)),
IF(CONCATENATE($A453,$B453)="CSCORIO",INDEX(CSCORIO!$B:$B,MATCH($C453,CSCORIO!#REF!,0)),
IF(CONCATENATE($A453,$B453)="MERC",INDEX(MERCADO!$E:$E,MATCH($C453,MERCADO!$A:$A,0)),
IF(CONCATENATE($A453,$B453)="CCOMP",INDEX(COMPOSICAO!$H:$H,MATCH($C453,COMPOSICAO!$A:$A,0)),""
)))))))),""))</f>
        <v>477.89</v>
      </c>
      <c r="H453" s="144">
        <f t="shared" si="75"/>
        <v>51.61</v>
      </c>
    </row>
    <row r="455" spans="1:9" s="135" customFormat="1" ht="20.100000000000001" customHeight="1">
      <c r="A455" s="186" t="s">
        <v>1020</v>
      </c>
      <c r="B455" s="405" t="s">
        <v>1022</v>
      </c>
      <c r="C455" s="406"/>
      <c r="D455" s="406"/>
      <c r="E455" s="406"/>
      <c r="F455" s="407"/>
      <c r="G455" s="133" t="s">
        <v>19692</v>
      </c>
      <c r="H455" s="134" t="s">
        <v>19678</v>
      </c>
      <c r="I455" s="263"/>
    </row>
    <row r="456" spans="1:9" ht="30" customHeight="1">
      <c r="A456" s="136">
        <f>COUNTIF($A$4:$A455,$A$4)</f>
        <v>42</v>
      </c>
      <c r="B456" s="408" t="s">
        <v>26577</v>
      </c>
      <c r="C456" s="409"/>
      <c r="D456" s="409"/>
      <c r="E456" s="409"/>
      <c r="F456" s="410"/>
      <c r="G456" s="137" t="s">
        <v>19692</v>
      </c>
      <c r="H456" s="211">
        <f>SUM(H458:H465)</f>
        <v>552.5100000000001</v>
      </c>
    </row>
    <row r="457" spans="1:9" ht="30" customHeight="1">
      <c r="A457" s="139" t="s">
        <v>1026</v>
      </c>
      <c r="B457" s="139" t="s">
        <v>1027</v>
      </c>
      <c r="C457" s="139" t="s">
        <v>31</v>
      </c>
      <c r="D457" s="139" t="s">
        <v>1023</v>
      </c>
      <c r="E457" s="139" t="s">
        <v>32</v>
      </c>
      <c r="F457" s="183" t="s">
        <v>2343</v>
      </c>
      <c r="G457" s="140" t="s">
        <v>19676</v>
      </c>
      <c r="H457" s="140" t="s">
        <v>19677</v>
      </c>
    </row>
    <row r="458" spans="1:9" ht="25.5">
      <c r="A458" s="141" t="s">
        <v>26621</v>
      </c>
      <c r="B458" s="141" t="s">
        <v>26583</v>
      </c>
      <c r="C458" s="141">
        <v>41106</v>
      </c>
      <c r="D458" s="142" t="str">
        <f>PROPER(IFERROR(
IF(C458="","",
IF(CONCATENATE($A458,$B458)="IDER-ES",INDEX('IDER-ES'!$B:$B,MATCH($C458,'IDER-ES'!$A:$A,0)),
IF(CONCATENATE($A458,$B458)="CDER-ES",INDEX('CDER-ES'!$B:$B,MATCH($C458,'CDER-ES'!$A:$A,0)),
IF(CONCATENATE($A458,$B458)="ISINAPI",INDEX(ISINAPI!$B:$B,MATCH($C458,ISINAPI!$A:$A,0)),
IF(CONCATENATE($A458,$B458)="CSINAPI",INDEX(CSINAPI!$B:$B,MATCH($C458,CSINAPI!$A:$A,0)),
IF(CONCATENATE($A458,$B458)="CCESAN",INDEX(CCESAN!$B:$B,MATCH($C458,CCESAN!$A:$A,0)),
IF(CONCATENATE($A458,$B458)="CSCORIO",INDEX(CSCORIO!#REF!,MATCH($C458,CSCORIO!#REF!,0)),
IF(CONCATENATE($A458,$B458)="MERC",INDEX(MERCADO!$B:$B,MATCH($C458,MERCADO!$A:$A,0)),
IF(CONCATENATE($A458,$B458)="CCOMP",INDEX(COMPOSICAO!$B:$B,MATCH($C458,COMPOSICAO!$A:$A,0)),""
))))))))),"*Verificar código*"))</f>
        <v>Tela Belinox, L=245Mm/E=1,5Mm Inox-Tel-754</v>
      </c>
      <c r="E458" s="143" t="str">
        <f>LOWER(IFERROR(
IF(CONCATENATE($A458,$B458)="IDER-ES",INDEX('IDER-ES'!$C:$C,MATCH($C458,'IDER-ES'!$A:$A,0)),
IF(CONCATENATE($A458,$B458)="CIOPES",INDEX('CDER-ES'!$C:$C,MATCH($C458,'CDER-ES'!$A:$A,0)),
IF(CONCATENATE($A458,$B458)="ISINAPI",INDEX(ISINAPI!$C:$C,MATCH($C458,ISINAPI!$A:$A,0)),
IF(CONCATENATE($A458,$B458)="CSINAPI",INDEX(CSINAPI!$C:$C,MATCH($C458,CSINAPI!$A:$A,0)),
IF(CONCATENATE($A458,$B458)="CCESAN",INDEX(CCESAN!$C:$C,MATCH($C458,CCESAN!$A:$A,0)),
IF(CONCATENATE($A458,$B458)="CSCORIO",INDEX(CSCORIO!$A:$A,MATCH($C458,CSCORIO!#REF!,0)),
IF(CONCATENATE($A458,$B458)="MERC",INDEX(MERCADO!$D:$D,MATCH($C458,MERCADO!$A:$A,0)),
IF(CONCATENATE($A458,$B458)="CCOMP",INDEX(COMPOSICAO!$H:$H,MATCH($C458,COMPOSICAO!$A:$A,0)),""
)))))))),""))</f>
        <v>m</v>
      </c>
      <c r="F458" s="182">
        <v>2</v>
      </c>
      <c r="G458" s="144">
        <f>(IFERROR(
IF(CONCATENATE($A458,$B458)="IDER-ES",INDEX('IDER-ES'!$D:$D,MATCH($C458,'IDER-ES'!$A:$A,0)),
IF(CONCATENATE($A458,$B458)="CIOPES",INDEX('CDER-ES'!$D:$D,MATCH($C458,'CDER-ES'!$A:$A,0)),
IF(CONCATENATE($A458,$B458)="ISINAPI",INDEX(ISINAPI!$E:$E,MATCH($C458,ISINAPI!$A:$A,0)),
IF(CONCATENATE($A458,$B458)="CSINAPI",INDEX(CSINAPI!$D:$D,MATCH($C458,CSINAPI!$A:$A,0)),
IF(CONCATENATE($A458,$B458)="CCESAN",INDEX(CCESAN!$D:$D,MATCH($C458,CCESAN!$A:$A,0)),
IF(CONCATENATE($A458,$B458)="CSCORIO",INDEX(CSCORIO!$B:$B,MATCH($C458,CSCORIO!#REF!,0)),
IF(CONCATENATE($A458,$B458)="MERC",INDEX(MERCADO!$E:$E,MATCH($C458,MERCADO!$A:$A,0)),
IF(CONCATENATE($A458,$B458)="CCOMP",INDEX(COMPOSICAO!$H:$H,MATCH($C458,COMPOSICAO!$A:$A,0)),""
)))))))),""))</f>
        <v>50.73</v>
      </c>
      <c r="H458" s="144">
        <f t="shared" ref="H458:H464" si="77">IF(B458="","",ROUND(G458*F458,2))</f>
        <v>101.46</v>
      </c>
    </row>
    <row r="459" spans="1:9" ht="25.5">
      <c r="A459" s="141" t="s">
        <v>26621</v>
      </c>
      <c r="B459" s="141" t="s">
        <v>26583</v>
      </c>
      <c r="C459" s="141">
        <v>48794</v>
      </c>
      <c r="D459" s="142" t="str">
        <f>PROPER(IFERROR(
IF(C459="","",
IF(CONCATENATE($A459,$B459)="IDER-ES",INDEX('IDER-ES'!$B:$B,MATCH($C459,'IDER-ES'!$A:$A,0)),
IF(CONCATENATE($A459,$B459)="CDER-ES",INDEX('CDER-ES'!$B:$B,MATCH($C459,'CDER-ES'!$A:$A,0)),
IF(CONCATENATE($A459,$B459)="ISINAPI",INDEX(ISINAPI!$B:$B,MATCH($C459,ISINAPI!$A:$A,0)),
IF(CONCATENATE($A459,$B459)="CSINAPI",INDEX(CSINAPI!$B:$B,MATCH($C459,CSINAPI!$A:$A,0)),
IF(CONCATENATE($A459,$B459)="CCESAN",INDEX(CCESAN!$B:$B,MATCH($C459,CCESAN!$A:$A,0)),
IF(CONCATENATE($A459,$B459)="CSCORIO",INDEX(CSCORIO!#REF!,MATCH($C459,CSCORIO!#REF!,0)),
IF(CONCATENATE($A459,$B459)="MERC",INDEX(MERCADO!$B:$B,MATCH($C459,MERCADO!$A:$A,0)),
IF(CONCATENATE($A459,$B459)="CCOMP",INDEX(COMPOSICAO!$B:$B,MATCH($C459,COMPOSICAO!$A:$A,0)),""
))))))))),"*Verificar código*"))</f>
        <v>Barra Chata Aço Galv. Fogo 7/8"X1/8"(3M) Tel-761</v>
      </c>
      <c r="E459" s="143" t="str">
        <f>LOWER(IFERROR(
IF(CONCATENATE($A459,$B459)="IDER-ES",INDEX('IDER-ES'!$C:$C,MATCH($C459,'IDER-ES'!$A:$A,0)),
IF(CONCATENATE($A459,$B459)="CIOPES",INDEX('CDER-ES'!$C:$C,MATCH($C459,'CDER-ES'!$A:$A,0)),
IF(CONCATENATE($A459,$B459)="ISINAPI",INDEX(ISINAPI!$C:$C,MATCH($C459,ISINAPI!$A:$A,0)),
IF(CONCATENATE($A459,$B459)="CSINAPI",INDEX(CSINAPI!$C:$C,MATCH($C459,CSINAPI!$A:$A,0)),
IF(CONCATENATE($A459,$B459)="CCESAN",INDEX(CCESAN!$C:$C,MATCH($C459,CCESAN!$A:$A,0)),
IF(CONCATENATE($A459,$B459)="CSCORIO",INDEX(CSCORIO!$A:$A,MATCH($C459,CSCORIO!#REF!,0)),
IF(CONCATENATE($A459,$B459)="MERC",INDEX(MERCADO!$D:$D,MATCH($C459,MERCADO!$A:$A,0)),
IF(CONCATENATE($A459,$B459)="CCOMP",INDEX(COMPOSICAO!$H:$H,MATCH($C459,COMPOSICAO!$A:$A,0)),""
)))))))),""))</f>
        <v>un</v>
      </c>
      <c r="F459" s="182">
        <v>1</v>
      </c>
      <c r="G459" s="144">
        <f>(IFERROR(
IF(CONCATENATE($A459,$B459)="IDER-ES",INDEX('IDER-ES'!$D:$D,MATCH($C459,'IDER-ES'!$A:$A,0)),
IF(CONCATENATE($A459,$B459)="CIOPES",INDEX('CDER-ES'!$D:$D,MATCH($C459,'CDER-ES'!$A:$A,0)),
IF(CONCATENATE($A459,$B459)="ISINAPI",INDEX(ISINAPI!$E:$E,MATCH($C459,ISINAPI!$A:$A,0)),
IF(CONCATENATE($A459,$B459)="CSINAPI",INDEX(CSINAPI!$D:$D,MATCH($C459,CSINAPI!$A:$A,0)),
IF(CONCATENATE($A459,$B459)="CCESAN",INDEX(CCESAN!$D:$D,MATCH($C459,CCESAN!$A:$A,0)),
IF(CONCATENATE($A459,$B459)="CSCORIO",INDEX(CSCORIO!$B:$B,MATCH($C459,CSCORIO!#REF!,0)),
IF(CONCATENATE($A459,$B459)="MERC",INDEX(MERCADO!$E:$E,MATCH($C459,MERCADO!$A:$A,0)),
IF(CONCATENATE($A459,$B459)="CCOMP",INDEX(COMPOSICAO!$H:$H,MATCH($C459,COMPOSICAO!$A:$A,0)),""
)))))))),""))</f>
        <v>42.06</v>
      </c>
      <c r="H459" s="144">
        <f t="shared" si="77"/>
        <v>42.06</v>
      </c>
    </row>
    <row r="460" spans="1:9" ht="38.25">
      <c r="A460" s="141" t="s">
        <v>26621</v>
      </c>
      <c r="B460" s="141" t="s">
        <v>1019</v>
      </c>
      <c r="C460" s="141">
        <v>21013</v>
      </c>
      <c r="D460" s="142" t="str">
        <f>PROPER(IFERROR(
IF(C460="","",
IF(CONCATENATE($A460,$B460)="IDER-ES",INDEX('IDER-ES'!$B:$B,MATCH($C460,'IDER-ES'!$A:$A,0)),
IF(CONCATENATE($A460,$B460)="CDER-ES",INDEX('CDER-ES'!$B:$B,MATCH($C460,'CDER-ES'!$A:$A,0)),
IF(CONCATENATE($A460,$B460)="ISINAPI",INDEX(ISINAPI!$B:$B,MATCH($C460,ISINAPI!$A:$A,0)),
IF(CONCATENATE($A460,$B460)="CSINAPI",INDEX(CSINAPI!$B:$B,MATCH($C460,CSINAPI!$A:$A,0)),
IF(CONCATENATE($A460,$B460)="CCESAN",INDEX(CCESAN!$B:$B,MATCH($C460,CCESAN!$A:$A,0)),
IF(CONCATENATE($A460,$B460)="CSCORIO",INDEX(CSCORIO!#REF!,MATCH($C460,CSCORIO!#REF!,0)),
IF(CONCATENATE($A460,$B460)="MERC",INDEX(MERCADO!$B:$B,MATCH($C460,MERCADO!$A:$A,0)),
IF(CONCATENATE($A460,$B460)="CCOMP",INDEX(COMPOSICAO!$B:$B,MATCH($C460,COMPOSICAO!$A:$A,0)),""
))))))))),"*Verificar código*"))</f>
        <v xml:space="preserve">Tubo Aco Galvanizado Com Costura, Classe Leve, Dn 50 Mm ( 2"),  E = 3,00 Mm,  *4,40* Kg/M (Nbr 5580)                                                                                                                                                                                                                                                                                                                                                                                                      </v>
      </c>
      <c r="E460" s="143" t="str">
        <f>LOWER(IFERROR(
IF(CONCATENATE($A460,$B460)="IDER-ES",INDEX('IDER-ES'!$C:$C,MATCH($C460,'IDER-ES'!$A:$A,0)),
IF(CONCATENATE($A460,$B460)="CIOPES",INDEX('CDER-ES'!$C:$C,MATCH($C460,'CDER-ES'!$A:$A,0)),
IF(CONCATENATE($A460,$B460)="ISINAPI",INDEX(ISINAPI!$C:$C,MATCH($C460,ISINAPI!$A:$A,0)),
IF(CONCATENATE($A460,$B460)="CSINAPI",INDEX(CSINAPI!$C:$C,MATCH($C460,CSINAPI!$A:$A,0)),
IF(CONCATENATE($A460,$B460)="CCESAN",INDEX(CCESAN!$C:$C,MATCH($C460,CCESAN!$A:$A,0)),
IF(CONCATENATE($A460,$B460)="CSCORIO",INDEX(CSCORIO!$A:$A,MATCH($C460,CSCORIO!#REF!,0)),
IF(CONCATENATE($A460,$B460)="MERC",INDEX(MERCADO!$D:$D,MATCH($C460,MERCADO!$A:$A,0)),
IF(CONCATENATE($A460,$B460)="CCOMP",INDEX(COMPOSICAO!$H:$H,MATCH($C460,COMPOSICAO!$A:$A,0)),""
)))))))),""))</f>
        <v xml:space="preserve">m     </v>
      </c>
      <c r="F460" s="182">
        <v>2</v>
      </c>
      <c r="G460" s="144">
        <f>(IFERROR(
IF(CONCATENATE($A460,$B460)="IDER-ES",INDEX('IDER-ES'!$D:$D,MATCH($C460,'IDER-ES'!$A:$A,0)),
IF(CONCATENATE($A460,$B460)="CIOPES",INDEX('CDER-ES'!$D:$D,MATCH($C460,'CDER-ES'!$A:$A,0)),
IF(CONCATENATE($A460,$B460)="ISINAPI",INDEX(ISINAPI!$E:$E,MATCH($C460,ISINAPI!$A:$A,0)),
IF(CONCATENATE($A460,$B460)="CSINAPI",INDEX(CSINAPI!$D:$D,MATCH($C460,CSINAPI!$A:$A,0)),
IF(CONCATENATE($A460,$B460)="CCESAN",INDEX(CCESAN!$D:$D,MATCH($C460,CCESAN!$A:$A,0)),
IF(CONCATENATE($A460,$B460)="CSCORIO",INDEX(CSCORIO!$B:$B,MATCH($C460,CSCORIO!#REF!,0)),
IF(CONCATENATE($A460,$B460)="MERC",INDEX(MERCADO!$E:$E,MATCH($C460,MERCADO!$A:$A,0)),
IF(CONCATENATE($A460,$B460)="CCOMP",INDEX(COMPOSICAO!$H:$H,MATCH($C460,COMPOSICAO!$A:$A,0)),""
)))))))),""))</f>
        <v>112.11</v>
      </c>
      <c r="H460" s="144">
        <f t="shared" si="77"/>
        <v>224.22</v>
      </c>
    </row>
    <row r="461" spans="1:9" ht="25.5">
      <c r="A461" s="141" t="s">
        <v>21960</v>
      </c>
      <c r="B461" s="141" t="s">
        <v>1019</v>
      </c>
      <c r="C461" s="141">
        <v>88251</v>
      </c>
      <c r="D461" s="142" t="str">
        <f>PROPER(IFERROR(
IF(C461="","",
IF(CONCATENATE($A461,$B461)="IDER-ES",INDEX('IDER-ES'!$B:$B,MATCH($C461,'IDER-ES'!$A:$A,0)),
IF(CONCATENATE($A461,$B461)="CDER-ES",INDEX('CDER-ES'!$B:$B,MATCH($C461,'CDER-ES'!$A:$A,0)),
IF(CONCATENATE($A461,$B461)="ISINAPI",INDEX(ISINAPI!$B:$B,MATCH($C461,ISINAPI!$A:$A,0)),
IF(CONCATENATE($A461,$B461)="CSINAPI",INDEX(CSINAPI!$B:$B,MATCH($C461,CSINAPI!$A:$A,0)),
IF(CONCATENATE($A461,$B461)="CCESAN",INDEX(CCESAN!$B:$B,MATCH($C461,CCESAN!$A:$A,0)),
IF(CONCATENATE($A461,$B461)="CSCORIO",INDEX(CSCORIO!#REF!,MATCH($C461,CSCORIO!#REF!,0)),
IF(CONCATENATE($A461,$B461)="MERC",INDEX(MERCADO!$B:$B,MATCH($C461,MERCADO!$A:$A,0)),
IF(CONCATENATE($A461,$B461)="CCOMP",INDEX(COMPOSICAO!$B:$B,MATCH($C461,COMPOSICAO!$A:$A,0)),""
))))))))),"*Verificar código*"))</f>
        <v>Auxiliar De Serralheiro Com Encargos Complementares</v>
      </c>
      <c r="E461" s="143" t="str">
        <f>LOWER(IFERROR(
IF(CONCATENATE($A461,$B461)="IDER-ES",INDEX('IDER-ES'!$C:$C,MATCH($C461,'IDER-ES'!$A:$A,0)),
IF(CONCATENATE($A461,$B461)="CIOPES",INDEX('CDER-ES'!$C:$C,MATCH($C461,'CDER-ES'!$A:$A,0)),
IF(CONCATENATE($A461,$B461)="ISINAPI",INDEX(ISINAPI!$C:$C,MATCH($C461,ISINAPI!$A:$A,0)),
IF(CONCATENATE($A461,$B461)="CSINAPI",INDEX(CSINAPI!$C:$C,MATCH($C461,CSINAPI!$A:$A,0)),
IF(CONCATENATE($A461,$B461)="CCESAN",INDEX(CCESAN!$C:$C,MATCH($C461,CCESAN!$A:$A,0)),
IF(CONCATENATE($A461,$B461)="CSCORIO",INDEX(CSCORIO!$A:$A,MATCH($C461,CSCORIO!#REF!,0)),
IF(CONCATENATE($A461,$B461)="MERC",INDEX(MERCADO!$D:$D,MATCH($C461,MERCADO!$A:$A,0)),
IF(CONCATENATE($A461,$B461)="CCOMP",INDEX(COMPOSICAO!$H:$H,MATCH($C461,COMPOSICAO!$A:$A,0)),""
)))))))),""))</f>
        <v>h</v>
      </c>
      <c r="F461" s="182">
        <v>2.2599999999999998</v>
      </c>
      <c r="G461" s="144">
        <f>(IFERROR(
IF(CONCATENATE($A461,$B461)="IDER-ES",INDEX('IDER-ES'!$D:$D,MATCH($C461,'IDER-ES'!$A:$A,0)),
IF(CONCATENATE($A461,$B461)="CIOPES",INDEX('CDER-ES'!$D:$D,MATCH($C461,'CDER-ES'!$A:$A,0)),
IF(CONCATENATE($A461,$B461)="ISINAPI",INDEX(ISINAPI!$E:$E,MATCH($C461,ISINAPI!$A:$A,0)),
IF(CONCATENATE($A461,$B461)="CSINAPI",INDEX(CSINAPI!$D:$D,MATCH($C461,CSINAPI!$A:$A,0)),
IF(CONCATENATE($A461,$B461)="CCESAN",INDEX(CCESAN!$D:$D,MATCH($C461,CCESAN!$A:$A,0)),
IF(CONCATENATE($A461,$B461)="CSCORIO",INDEX(CSCORIO!$B:$B,MATCH($C461,CSCORIO!#REF!,0)),
IF(CONCATENATE($A461,$B461)="MERC",INDEX(MERCADO!$E:$E,MATCH($C461,MERCADO!$A:$A,0)),
IF(CONCATENATE($A461,$B461)="CCOMP",INDEX(COMPOSICAO!$H:$H,MATCH($C461,COMPOSICAO!$A:$A,0)),""
)))))))),""))</f>
        <v>20.34</v>
      </c>
      <c r="H461" s="144">
        <f t="shared" ref="H461:H462" si="78">IF(B461="","",ROUND(G461*F461,2))</f>
        <v>45.97</v>
      </c>
    </row>
    <row r="462" spans="1:9" ht="25.5">
      <c r="A462" s="141" t="s">
        <v>21960</v>
      </c>
      <c r="B462" s="141" t="s">
        <v>1019</v>
      </c>
      <c r="C462" s="141">
        <v>88315</v>
      </c>
      <c r="D462" s="142" t="str">
        <f>PROPER(IFERROR(
IF(C462="","",
IF(CONCATENATE($A462,$B462)="IDER-ES",INDEX('IDER-ES'!$B:$B,MATCH($C462,'IDER-ES'!$A:$A,0)),
IF(CONCATENATE($A462,$B462)="CDER-ES",INDEX('CDER-ES'!$B:$B,MATCH($C462,'CDER-ES'!$A:$A,0)),
IF(CONCATENATE($A462,$B462)="ISINAPI",INDEX(ISINAPI!$B:$B,MATCH($C462,ISINAPI!$A:$A,0)),
IF(CONCATENATE($A462,$B462)="CSINAPI",INDEX(CSINAPI!$B:$B,MATCH($C462,CSINAPI!$A:$A,0)),
IF(CONCATENATE($A462,$B462)="CCESAN",INDEX(CCESAN!$B:$B,MATCH($C462,CCESAN!$A:$A,0)),
IF(CONCATENATE($A462,$B462)="CSCORIO",INDEX(CSCORIO!#REF!,MATCH($C462,CSCORIO!#REF!,0)),
IF(CONCATENATE($A462,$B462)="MERC",INDEX(MERCADO!$B:$B,MATCH($C462,MERCADO!$A:$A,0)),
IF(CONCATENATE($A462,$B462)="CCOMP",INDEX(COMPOSICAO!$B:$B,MATCH($C462,COMPOSICAO!$A:$A,0)),""
))))))))),"*Verificar código*"))</f>
        <v>Serralheiro Com Encargos Complementares</v>
      </c>
      <c r="E462" s="143" t="str">
        <f>LOWER(IFERROR(
IF(CONCATENATE($A462,$B462)="IDER-ES",INDEX('IDER-ES'!$C:$C,MATCH($C462,'IDER-ES'!$A:$A,0)),
IF(CONCATENATE($A462,$B462)="CDER-ES",INDEX('CDER-ES'!$C:$C,MATCH($C462,'CDER-ES'!$A:$A,0)),
IF(CONCATENATE($A462,$B462)="ISINAPI",INDEX(ISINAPI!$C:$C,MATCH($C462,ISINAPI!$A:$A,0)),
IF(CONCATENATE($A462,$B462)="CSINAPI",INDEX(CSINAPI!$C:$C,MATCH($C462,CSINAPI!$A:$A,0)),
IF(CONCATENATE($A462,$B462)="CCESAN",INDEX(CCESAN!$C:$C,MATCH($C462,CCESAN!$A:$A,0)),
IF(CONCATENATE($A462,$B462)="CSCORIO",INDEX(CSCORIO!$A:$A,MATCH($C462,CSCORIO!#REF!,0)),
IF(CONCATENATE($A462,$B462)="MERC",INDEX(MERCADO!$D:$D,MATCH($C462,MERCADO!$A:$A,0)),
IF(CONCATENATE($A462,$B462)="CCOMP",INDEX(COMPOSICAO!$H:$H,MATCH($C462,COMPOSICAO!$A:$A,0)),""
)))))))),""))</f>
        <v>h</v>
      </c>
      <c r="F462" s="182">
        <v>2.74</v>
      </c>
      <c r="G462" s="144">
        <f>(IFERROR(
IF(CONCATENATE($A462,$B462)="IDER-ES",INDEX('IDER-ES'!$D:$D,MATCH($C462,'IDER-ES'!$A:$A,0)),
IF(CONCATENATE($A462,$B462)="CDER-ES",INDEX('CDER-ES'!$D:$D,MATCH($C462,'CDER-ES'!$A:$A,0)),
IF(CONCATENATE($A462,$B462)="ISINAPI",INDEX(ISINAPI!$E:$E,MATCH($C462,ISINAPI!$A:$A,0)),
IF(CONCATENATE($A462,$B462)="CSINAPI",INDEX(CSINAPI!$D:$D,MATCH($C462,CSINAPI!$A:$A,0)),
IF(CONCATENATE($A462,$B462)="CCESAN",INDEX(CCESAN!$D:$D,MATCH($C462,CCESAN!$A:$A,0)),
IF(CONCATENATE($A462,$B462)="CSCORIO",INDEX(CSCORIO!$B:$B,MATCH($C462,CSCORIO!#REF!,0)),
IF(CONCATENATE($A462,$B462)="MERC",INDEX(MERCADO!$E:$E,MATCH($C462,MERCADO!$A:$A,0)),
IF(CONCATENATE($A462,$B462)="CCOMP",INDEX(COMPOSICAO!$H:$H,MATCH($C462,COMPOSICAO!$A:$A,0)),""
)))))))),""))</f>
        <v>25.1</v>
      </c>
      <c r="H462" s="144">
        <f t="shared" si="78"/>
        <v>68.77</v>
      </c>
    </row>
    <row r="463" spans="1:9" ht="25.5">
      <c r="A463" s="141" t="s">
        <v>21960</v>
      </c>
      <c r="B463" s="141" t="s">
        <v>1019</v>
      </c>
      <c r="C463" s="141">
        <v>100717</v>
      </c>
      <c r="D463" s="142" t="str">
        <f>PROPER(IFERROR(
IF(C463="","",
IF(CONCATENATE($A463,$B463)="IDER-ES",INDEX('IDER-ES'!$B:$B,MATCH($C463,'IDER-ES'!$A:$A,0)),
IF(CONCATENATE($A463,$B463)="CDER-ES",INDEX('CDER-ES'!$B:$B,MATCH($C463,'CDER-ES'!$A:$A,0)),
IF(CONCATENATE($A463,$B463)="ISINAPI",INDEX(ISINAPI!$B:$B,MATCH($C463,ISINAPI!$A:$A,0)),
IF(CONCATENATE($A463,$B463)="CSINAPI",INDEX(CSINAPI!$B:$B,MATCH($C463,CSINAPI!$A:$A,0)),
IF(CONCATENATE($A463,$B463)="CCESAN",INDEX(CCESAN!$B:$B,MATCH($C463,CCESAN!$A:$A,0)),
IF(CONCATENATE($A463,$B463)="CSCORIO",INDEX(CSCORIO!#REF!,MATCH($C463,CSCORIO!#REF!,0)),
IF(CONCATENATE($A463,$B463)="MERC",INDEX(MERCADO!$B:$B,MATCH($C463,MERCADO!$A:$A,0)),
IF(CONCATENATE($A463,$B463)="CCOMP",INDEX(COMPOSICAO!$B:$B,MATCH($C463,COMPOSICAO!$A:$A,0)),""
))))))))),"*Verificar código*"))</f>
        <v>Lixamento Manual Em Superfícies Metálicas Em Obra. Af_01/2020</v>
      </c>
      <c r="E463" s="143" t="str">
        <f>LOWER(IFERROR(
IF(CONCATENATE($A463,$B463)="IDER-ES",INDEX('IDER-ES'!$C:$C,MATCH($C463,'IDER-ES'!$A:$A,0)),
IF(CONCATENATE($A463,$B463)="CIOPES",INDEX('CDER-ES'!$C:$C,MATCH($C463,'CDER-ES'!$A:$A,0)),
IF(CONCATENATE($A463,$B463)="ISINAPI",INDEX(ISINAPI!$C:$C,MATCH($C463,ISINAPI!$A:$A,0)),
IF(CONCATENATE($A463,$B463)="CSINAPI",INDEX(CSINAPI!$C:$C,MATCH($C463,CSINAPI!$A:$A,0)),
IF(CONCATENATE($A463,$B463)="CCESAN",INDEX(CCESAN!$C:$C,MATCH($C463,CCESAN!$A:$A,0)),
IF(CONCATENATE($A463,$B463)="CSCORIO",INDEX(CSCORIO!$A:$A,MATCH($C463,CSCORIO!#REF!,0)),
IF(CONCATENATE($A463,$B463)="MERC",INDEX(MERCADO!$D:$D,MATCH($C463,MERCADO!$A:$A,0)),
IF(CONCATENATE($A463,$B463)="CCOMP",INDEX(COMPOSICAO!$H:$H,MATCH($C463,COMPOSICAO!$A:$A,0)),""
)))))))),""))</f>
        <v>m²</v>
      </c>
      <c r="F463" s="182">
        <f>0.15*F460+F459*0.05</f>
        <v>0.35</v>
      </c>
      <c r="G463" s="144">
        <f>(IFERROR(
IF(CONCATENATE($A463,$B463)="IDER-ES",INDEX('IDER-ES'!$D:$D,MATCH($C463,'IDER-ES'!$A:$A,0)),
IF(CONCATENATE($A463,$B463)="CIOPES",INDEX('CDER-ES'!$D:$D,MATCH($C463,'CDER-ES'!$A:$A,0)),
IF(CONCATENATE($A463,$B463)="ISINAPI",INDEX(ISINAPI!$E:$E,MATCH($C463,ISINAPI!$A:$A,0)),
IF(CONCATENATE($A463,$B463)="CSINAPI",INDEX(CSINAPI!$D:$D,MATCH($C463,CSINAPI!$A:$A,0)),
IF(CONCATENATE($A463,$B463)="CCESAN",INDEX(CCESAN!$D:$D,MATCH($C463,CCESAN!$A:$A,0)),
IF(CONCATENATE($A463,$B463)="CSCORIO",INDEX(CSCORIO!$B:$B,MATCH($C463,CSCORIO!#REF!,0)),
IF(CONCATENATE($A463,$B463)="MERC",INDEX(MERCADO!$E:$E,MATCH($C463,MERCADO!$A:$A,0)),
IF(CONCATENATE($A463,$B463)="CCOMP",INDEX(COMPOSICAO!$H:$H,MATCH($C463,COMPOSICAO!$A:$A,0)),""
)))))))),""))</f>
        <v>9.2899999999999991</v>
      </c>
      <c r="H463" s="144">
        <f t="shared" si="77"/>
        <v>3.25</v>
      </c>
    </row>
    <row r="464" spans="1:9" ht="63.75">
      <c r="A464" s="141" t="s">
        <v>21960</v>
      </c>
      <c r="B464" s="141" t="s">
        <v>26583</v>
      </c>
      <c r="C464" s="141">
        <v>190417</v>
      </c>
      <c r="D464" s="142" t="str">
        <f>PROPER(IFERROR(
IF(C464="","",
IF(CONCATENATE($A464,$B464)="IDER-ES",INDEX('IDER-ES'!$B:$B,MATCH($C464,'IDER-ES'!$A:$A,0)),
IF(CONCATENATE($A464,$B464)="CDER-ES",INDEX('CDER-ES'!$B:$B,MATCH($C464,'CDER-ES'!$A:$A,0)),
IF(CONCATENATE($A464,$B464)="ISINAPI",INDEX(ISINAPI!$B:$B,MATCH($C464,ISINAPI!$A:$A,0)),
IF(CONCATENATE($A464,$B464)="CSINAPI",INDEX(CSINAPI!$B:$B,MATCH($C464,CSINAPI!$A:$A,0)),
IF(CONCATENATE($A464,$B464)="CCESAN",INDEX(CCESAN!$B:$B,MATCH($C464,CCESAN!$A:$A,0)),
IF(CONCATENATE($A464,$B464)="CSCORIO",INDEX(CSCORIO!#REF!,MATCH($C464,CSCORIO!#REF!,0)),
IF(CONCATENATE($A464,$B464)="MERC",INDEX(MERCADO!$B:$B,MATCH($C464,MERCADO!$A:$A,0)),
IF(CONCATENATE($A464,$B464)="CCOMP",INDEX(COMPOSICAO!$B:$B,MATCH($C464,COMPOSICAO!$A:$A,0)),""
))))))))),"*Verificar código*"))</f>
        <v>Pintura Com Tinta Esmalte Sintético, Marcas De Referência Suvinil, Coral Ou Metalatex, A Duas Demãos, Inclusive Fundo Anticorrosivo A Uma Demão, Em Metal</v>
      </c>
      <c r="E464" s="143" t="str">
        <f>LOWER(IFERROR(
IF(CONCATENATE($A464,$B464)="IDER-ES",INDEX('IDER-ES'!$C:$C,MATCH($C464,'IDER-ES'!$A:$A,0)),
IF(CONCATENATE($A464,$B464)="CDER-ES",INDEX('CDER-ES'!$C:$C,MATCH($C464,'CDER-ES'!$A:$A,0)),
IF(CONCATENATE($A464,$B464)="ISINAPI",INDEX(ISINAPI!$C:$C,MATCH($C464,ISINAPI!$A:$A,0)),
IF(CONCATENATE($A464,$B464)="CSINAPI",INDEX(CSINAPI!$C:$C,MATCH($C464,CSINAPI!$A:$A,0)),
IF(CONCATENATE($A464,$B464)="CCESAN",INDEX(CCESAN!$C:$C,MATCH($C464,CCESAN!$A:$A,0)),
IF(CONCATENATE($A464,$B464)="CSCORIO",INDEX(CSCORIO!$A:$A,MATCH($C464,CSCORIO!#REF!,0)),
IF(CONCATENATE($A464,$B464)="MERC",INDEX(MERCADO!$D:$D,MATCH($C464,MERCADO!$A:$A,0)),
IF(CONCATENATE($A464,$B464)="CCOMP",INDEX(COMPOSICAO!$H:$H,MATCH($C464,COMPOSICAO!$A:$A,0)),""
)))))))),""))</f>
        <v>m²</v>
      </c>
      <c r="F464" s="182">
        <f>F462</f>
        <v>2.74</v>
      </c>
      <c r="G464" s="144">
        <f>(IFERROR(
IF(CONCATENATE($A464,$B464)="IDER-ES",INDEX('IDER-ES'!$D:$D,MATCH($C464,'IDER-ES'!$A:$A,0)),
IF(CONCATENATE($A464,$B464)="CDER-ES",INDEX('CDER-ES'!$D:$D,MATCH($C464,'CDER-ES'!$A:$A,0)),
IF(CONCATENATE($A464,$B464)="ISINAPI",INDEX(ISINAPI!$E:$E,MATCH($C464,ISINAPI!$A:$A,0)),
IF(CONCATENATE($A464,$B464)="CSINAPI",INDEX(CSINAPI!$D:$D,MATCH($C464,CSINAPI!$A:$A,0)),
IF(CONCATENATE($A464,$B464)="CCESAN",INDEX(CCESAN!$D:$D,MATCH($C464,CCESAN!$A:$A,0)),
IF(CONCATENATE($A464,$B464)="CSCORIO",INDEX(CSCORIO!$B:$B,MATCH($C464,CSCORIO!#REF!,0)),
IF(CONCATENATE($A464,$B464)="MERC",INDEX(MERCADO!$E:$E,MATCH($C464,MERCADO!$A:$A,0)),
IF(CONCATENATE($A464,$B464)="CCOMP",INDEX(COMPOSICAO!$H:$H,MATCH($C464,COMPOSICAO!$A:$A,0)),""
)))))))),""))</f>
        <v>20.010000000000002</v>
      </c>
      <c r="H464" s="144">
        <f t="shared" si="77"/>
        <v>54.83</v>
      </c>
    </row>
    <row r="465" spans="1:10" ht="38.25">
      <c r="A465" s="141" t="s">
        <v>21960</v>
      </c>
      <c r="B465" s="141" t="s">
        <v>1019</v>
      </c>
      <c r="C465" s="141">
        <v>88629</v>
      </c>
      <c r="D465" s="142" t="str">
        <f>PROPER(IFERROR(
IF(C465="","",
IF(CONCATENATE($A465,$B465)="IDER-ES",INDEX('IDER-ES'!$B:$B,MATCH($C465,'IDER-ES'!$A:$A,0)),
IF(CONCATENATE($A465,$B465)="CDER-ES",INDEX('CDER-ES'!$B:$B,MATCH($C465,'CDER-ES'!$A:$A,0)),
IF(CONCATENATE($A465,$B465)="ISINAPI",INDEX(ISINAPI!$B:$B,MATCH($C465,ISINAPI!$A:$A,0)),
IF(CONCATENATE($A465,$B465)="CSINAPI",INDEX(CSINAPI!$B:$B,MATCH($C465,CSINAPI!$A:$A,0)),
IF(CONCATENATE($A465,$B465)="CCESAN",INDEX(CCESAN!$B:$B,MATCH($C465,CCESAN!$A:$A,0)),
IF(CONCATENATE($A465,$B465)="CSCORIO",INDEX(CSCORIO!#REF!,MATCH($C465,CSCORIO!#REF!,0)),
IF(CONCATENATE($A465,$B465)="MERC",INDEX(MERCADO!$B:$B,MATCH($C465,MERCADO!$A:$A,0)),
IF(CONCATENATE($A465,$B465)="CCOMP",INDEX(COMPOSICAO!$B:$B,MATCH($C465,COMPOSICAO!$A:$A,0)),""
))))))))),"*Verificar código*"))</f>
        <v>Argamassa Traço 1:3 (Em Volume De Cimento E Areia Média Úmida), Preparo Manual. Af_08/2019</v>
      </c>
      <c r="E465" s="143" t="str">
        <f>LOWER(IFERROR(
IF(CONCATENATE($A465,$B465)="IDER-ES",INDEX('IDER-ES'!$C:$C,MATCH($C465,'IDER-ES'!$A:$A,0)),
IF(CONCATENATE($A465,$B465)="CDER-ES",INDEX('CDER-ES'!$C:$C,MATCH($C465,'CDER-ES'!$A:$A,0)),
IF(CONCATENATE($A465,$B465)="ISINAPI",INDEX(ISINAPI!$C:$C,MATCH($C465,ISINAPI!$A:$A,0)),
IF(CONCATENATE($A465,$B465)="CSINAPI",INDEX(CSINAPI!$C:$C,MATCH($C465,CSINAPI!$A:$A,0)),
IF(CONCATENATE($A465,$B465)="CCESAN",INDEX(CCESAN!$C:$C,MATCH($C465,CCESAN!$A:$A,0)),
IF(CONCATENATE($A465,$B465)="CSCORIO",INDEX(CSCORIO!$A:$A,MATCH($C465,CSCORIO!#REF!,0)),
IF(CONCATENATE($A465,$B465)="MERC",INDEX(MERCADO!$D:$D,MATCH($C465,MERCADO!$A:$A,0)),
IF(CONCATENATE($A465,$B465)="CCOMP",INDEX(COMPOSICAO!$H:$H,MATCH($C465,COMPOSICAO!$A:$A,0)),""
)))))))),""))</f>
        <v>m³</v>
      </c>
      <c r="F465" s="182">
        <f>0.025</f>
        <v>2.5000000000000001E-2</v>
      </c>
      <c r="G465" s="144">
        <f>(IFERROR(
IF(CONCATENATE($A465,$B465)="IDER-ES",INDEX('IDER-ES'!$D:$D,MATCH($C465,'IDER-ES'!$A:$A,0)),
IF(CONCATENATE($A465,$B465)="CDER-ES",INDEX('CDER-ES'!$D:$D,MATCH($C465,'CDER-ES'!$A:$A,0)),
IF(CONCATENATE($A465,$B465)="ISINAPI",INDEX(ISINAPI!$E:$E,MATCH($C465,ISINAPI!$A:$A,0)),
IF(CONCATENATE($A465,$B465)="CSINAPI",INDEX(CSINAPI!$D:$D,MATCH($C465,CSINAPI!$A:$A,0)),
IF(CONCATENATE($A465,$B465)="CCESAN",INDEX(CCESAN!$D:$D,MATCH($C465,CCESAN!$A:$A,0)),
IF(CONCATENATE($A465,$B465)="CSCORIO",INDEX(CSCORIO!$B:$B,MATCH($C465,CSCORIO!#REF!,0)),
IF(CONCATENATE($A465,$B465)="MERC",INDEX(MERCADO!$E:$E,MATCH($C465,MERCADO!$A:$A,0)),
IF(CONCATENATE($A465,$B465)="CCOMP",INDEX(COMPOSICAO!$H:$H,MATCH($C465,COMPOSICAO!$A:$A,0)),""
)))))))),""))</f>
        <v>477.89</v>
      </c>
      <c r="H465" s="144">
        <f t="shared" ref="H465" si="79">IF(B465="","",ROUND(G465*F465,2))</f>
        <v>11.95</v>
      </c>
    </row>
    <row r="467" spans="1:10" s="135" customFormat="1" ht="20.100000000000001" customHeight="1">
      <c r="A467" s="186" t="s">
        <v>1020</v>
      </c>
      <c r="B467" s="405" t="s">
        <v>1022</v>
      </c>
      <c r="C467" s="406"/>
      <c r="D467" s="406"/>
      <c r="E467" s="406"/>
      <c r="F467" s="407"/>
      <c r="G467" s="133" t="s">
        <v>19692</v>
      </c>
      <c r="H467" s="134" t="s">
        <v>19678</v>
      </c>
      <c r="I467" s="263"/>
    </row>
    <row r="468" spans="1:10" ht="60" customHeight="1">
      <c r="A468" s="136">
        <f>COUNTIF($A$4:$A467,$A$4)</f>
        <v>43</v>
      </c>
      <c r="B468" s="408" t="s">
        <v>29136</v>
      </c>
      <c r="C468" s="409"/>
      <c r="D468" s="409"/>
      <c r="E468" s="409"/>
      <c r="F468" s="410"/>
      <c r="G468" s="137" t="s">
        <v>19692</v>
      </c>
      <c r="H468" s="211">
        <f>SUM(H470:H479)</f>
        <v>2785.12</v>
      </c>
    </row>
    <row r="469" spans="1:10" ht="30" customHeight="1">
      <c r="A469" s="139" t="s">
        <v>1026</v>
      </c>
      <c r="B469" s="139" t="s">
        <v>29152</v>
      </c>
      <c r="C469" s="139" t="s">
        <v>31</v>
      </c>
      <c r="D469" s="139" t="s">
        <v>1023</v>
      </c>
      <c r="E469" s="139" t="s">
        <v>32</v>
      </c>
      <c r="F469" s="183" t="s">
        <v>2343</v>
      </c>
      <c r="G469" s="140" t="s">
        <v>19676</v>
      </c>
      <c r="H469" s="140" t="s">
        <v>19677</v>
      </c>
    </row>
    <row r="470" spans="1:10" ht="25.5">
      <c r="A470" s="141" t="s">
        <v>26621</v>
      </c>
      <c r="B470" s="141" t="s">
        <v>26583</v>
      </c>
      <c r="C470" s="141">
        <v>70350</v>
      </c>
      <c r="D470" s="142" t="str">
        <f>PROPER(IFERROR(
IF(C470="","",
IF(CONCATENATE($A470,$B470)="IDER-ES",INDEX('IDER-ES'!$B:$B,MATCH($C470,'IDER-ES'!$A:$A,0)),
IF(CONCATENATE($A470,$B470)="CDER-ES",INDEX('CDER-ES'!$B:$B,MATCH($C470,'CDER-ES'!$A:$A,0)),
IF(CONCATENATE($A470,$B470)="ISINAPI",INDEX(ISINAPI!$B:$B,MATCH($C470,ISINAPI!$A:$A,0)),
IF(CONCATENATE($A470,$B470)="CSINAPI",INDEX(CSINAPI!$B:$B,MATCH($C470,CSINAPI!$A:$A,0)),
IF(CONCATENATE($A470,$B470)="CCESAN",INDEX(CCESAN!$B:$B,MATCH($C470,CCESAN!$A:$A,0)),
IF(CONCATENATE($A470,$B470)="CSCORIO",INDEX(CSCORIO!#REF!,MATCH($C470,CSCORIO!#REF!,0)),
IF(CONCATENATE($A470,$B470)="MERC",INDEX(MERCADO!$B:$B,MATCH($C470,MERCADO!$A:$A,0)),
IF(CONCATENATE($A470,$B470)="CCOMP",INDEX(COMPOSICAO!$B:$B,MATCH($C470,COMPOSICAO!$A:$A,0)),""
))))))))),"*Verificar código*"))</f>
        <v>Tubo Aco Galv. 33,70 X 3,35Mm (1") Din 2440 - Medio</v>
      </c>
      <c r="E470" s="143" t="str">
        <f>LOWER(IFERROR(
IF(CONCATENATE($A470,$B470)="IDER-ES",INDEX('IDER-ES'!$C:$C,MATCH($C470,'IDER-ES'!$A:$A,0)),
IF(CONCATENATE($A470,$B470)="CIOPES",INDEX('CDER-ES'!$C:$C,MATCH($C470,'CDER-ES'!$A:$A,0)),
IF(CONCATENATE($A470,$B470)="ISINAPI",INDEX(ISINAPI!$C:$C,MATCH($C470,ISINAPI!$A:$A,0)),
IF(CONCATENATE($A470,$B470)="CSINAPI",INDEX(CSINAPI!$C:$C,MATCH($C470,CSINAPI!$A:$A,0)),
IF(CONCATENATE($A470,$B470)="CCESAN",INDEX(CCESAN!$C:$C,MATCH($C470,CCESAN!$A:$A,0)),
IF(CONCATENATE($A470,$B470)="CSCORIO",INDEX(CSCORIO!$A:$A,MATCH($C470,CSCORIO!#REF!,0)),
IF(CONCATENATE($A470,$B470)="MERC",INDEX(MERCADO!$D:$D,MATCH($C470,MERCADO!$A:$A,0)),
IF(CONCATENATE($A470,$B470)="CCOMP",INDEX(COMPOSICAO!$H:$H,MATCH($C470,COMPOSICAO!$A:$A,0)),""
)))))))),""))</f>
        <v>m</v>
      </c>
      <c r="F470" s="182">
        <f>7.7*2+0.2*8</f>
        <v>17</v>
      </c>
      <c r="G470" s="144">
        <f>(IFERROR(
IF(CONCATENATE($A470,$B470)="IDER-ES",INDEX('IDER-ES'!$D:$D,MATCH($C470,'IDER-ES'!$A:$A,0)),
IF(CONCATENATE($A470,$B470)="CIOPES",INDEX('CDER-ES'!$D:$D,MATCH($C470,'CDER-ES'!$A:$A,0)),
IF(CONCATENATE($A470,$B470)="ISINAPI",INDEX(ISINAPI!$E:$E,MATCH($C470,ISINAPI!$A:$A,0)),
IF(CONCATENATE($A470,$B470)="CSINAPI",INDEX(CSINAPI!$D:$D,MATCH($C470,CSINAPI!$A:$A,0)),
IF(CONCATENATE($A470,$B470)="CCESAN",INDEX(CCESAN!$D:$D,MATCH($C470,CCESAN!$A:$A,0)),
IF(CONCATENATE($A470,$B470)="CSCORIO",INDEX(CSCORIO!$B:$B,MATCH($C470,CSCORIO!#REF!,0)),
IF(CONCATENATE($A470,$B470)="MERC",INDEX(MERCADO!$E:$E,MATCH($C470,MERCADO!$A:$A,0)),
IF(CONCATENATE($A470,$B470)="CCOMP",INDEX(COMPOSICAO!$H:$H,MATCH($C470,COMPOSICAO!$A:$A,0)),""
)))))))),""))</f>
        <v>44.37</v>
      </c>
      <c r="H470" s="144">
        <f t="shared" ref="H470:H471" si="80">IF(B470="","",ROUND(G470*F470,2))</f>
        <v>754.29</v>
      </c>
      <c r="J470" s="266"/>
    </row>
    <row r="471" spans="1:10" ht="25.5">
      <c r="A471" s="141" t="s">
        <v>26621</v>
      </c>
      <c r="B471" s="141" t="s">
        <v>26583</v>
      </c>
      <c r="C471" s="141">
        <v>71268</v>
      </c>
      <c r="D471" s="142" t="str">
        <f>PROPER(IFERROR(
IF(C471="","",
IF(CONCATENATE($A471,$B471)="IDER-ES",INDEX('IDER-ES'!$B:$B,MATCH($C471,'IDER-ES'!$A:$A,0)),
IF(CONCATENATE($A471,$B471)="CDER-ES",INDEX('CDER-ES'!$B:$B,MATCH($C471,'CDER-ES'!$A:$A,0)),
IF(CONCATENATE($A471,$B471)="ISINAPI",INDEX(ISINAPI!$B:$B,MATCH($C471,ISINAPI!$A:$A,0)),
IF(CONCATENATE($A471,$B471)="CSINAPI",INDEX(CSINAPI!$B:$B,MATCH($C471,CSINAPI!$A:$A,0)),
IF(CONCATENATE($A471,$B471)="CCESAN",INDEX(CCESAN!$B:$B,MATCH($C471,CCESAN!$A:$A,0)),
IF(CONCATENATE($A471,$B471)="CSCORIO",INDEX(CSCORIO!#REF!,MATCH($C471,CSCORIO!#REF!,0)),
IF(CONCATENATE($A471,$B471)="MERC",INDEX(MERCADO!$B:$B,MATCH($C471,MERCADO!$A:$A,0)),
IF(CONCATENATE($A471,$B471)="CCOMP",INDEX(COMPOSICAO!$B:$B,MATCH($C471,COMPOSICAO!$A:$A,0)),""
))))))))),"*Verificar código*"))</f>
        <v>Tubo Aco Galv 26,90 X 2,65Mm (3/4") Din 2440 - Medio</v>
      </c>
      <c r="E471" s="143" t="str">
        <f>LOWER(IFERROR(
IF(CONCATENATE($A471,$B471)="IDER-ES",INDEX('IDER-ES'!$C:$C,MATCH($C471,'IDER-ES'!$A:$A,0)),
IF(CONCATENATE($A471,$B471)="CIOPES",INDEX('CDER-ES'!$C:$C,MATCH($C471,'CDER-ES'!$A:$A,0)),
IF(CONCATENATE($A471,$B471)="ISINAPI",INDEX(ISINAPI!$C:$C,MATCH($C471,ISINAPI!$A:$A,0)),
IF(CONCATENATE($A471,$B471)="CSINAPI",INDEX(CSINAPI!$C:$C,MATCH($C471,CSINAPI!$A:$A,0)),
IF(CONCATENATE($A471,$B471)="CCESAN",INDEX(CCESAN!$C:$C,MATCH($C471,CCESAN!$A:$A,0)),
IF(CONCATENATE($A471,$B471)="CSCORIO",INDEX(CSCORIO!$A:$A,MATCH($C471,CSCORIO!#REF!,0)),
IF(CONCATENATE($A471,$B471)="MERC",INDEX(MERCADO!$D:$D,MATCH($C471,MERCADO!$A:$A,0)),
IF(CONCATENATE($A471,$B471)="CCOMP",INDEX(COMPOSICAO!$H:$H,MATCH($C471,COMPOSICAO!$A:$A,0)),""
)))))))),""))</f>
        <v>m</v>
      </c>
      <c r="F471" s="182">
        <f>0.8*19</f>
        <v>15.200000000000001</v>
      </c>
      <c r="G471" s="144">
        <f>(IFERROR(
IF(CONCATENATE($A471,$B471)="IDER-ES",INDEX('IDER-ES'!$D:$D,MATCH($C471,'IDER-ES'!$A:$A,0)),
IF(CONCATENATE($A471,$B471)="CIOPES",INDEX('CDER-ES'!$D:$D,MATCH($C471,'CDER-ES'!$A:$A,0)),
IF(CONCATENATE($A471,$B471)="ISINAPI",INDEX(ISINAPI!$E:$E,MATCH($C471,ISINAPI!$A:$A,0)),
IF(CONCATENATE($A471,$B471)="CSINAPI",INDEX(CSINAPI!$D:$D,MATCH($C471,CSINAPI!$A:$A,0)),
IF(CONCATENATE($A471,$B471)="CCESAN",INDEX(CCESAN!$D:$D,MATCH($C471,CCESAN!$A:$A,0)),
IF(CONCATENATE($A471,$B471)="CSCORIO",INDEX(CSCORIO!$B:$B,MATCH($C471,CSCORIO!#REF!,0)),
IF(CONCATENATE($A471,$B471)="MERC",INDEX(MERCADO!$E:$E,MATCH($C471,MERCADO!$A:$A,0)),
IF(CONCATENATE($A471,$B471)="CCOMP",INDEX(COMPOSICAO!$H:$H,MATCH($C471,COMPOSICAO!$A:$A,0)),""
)))))))),""))</f>
        <v>31.79</v>
      </c>
      <c r="H471" s="144">
        <f t="shared" si="80"/>
        <v>483.21</v>
      </c>
    </row>
    <row r="472" spans="1:10" ht="25.5">
      <c r="A472" s="141" t="s">
        <v>26621</v>
      </c>
      <c r="B472" s="141" t="s">
        <v>26583</v>
      </c>
      <c r="C472" s="141">
        <v>28068</v>
      </c>
      <c r="D472" s="142" t="str">
        <f>PROPER(IFERROR(
IF(C472="","",
IF(CONCATENATE($A472,$B472)="IDER-ES",INDEX('IDER-ES'!$B:$B,MATCH($C472,'IDER-ES'!$A:$A,0)),
IF(CONCATENATE($A472,$B472)="CDER-ES",INDEX('CDER-ES'!$B:$B,MATCH($C472,'CDER-ES'!$A:$A,0)),
IF(CONCATENATE($A472,$B472)="ISINAPI",INDEX(ISINAPI!$B:$B,MATCH($C472,ISINAPI!$A:$A,0)),
IF(CONCATENATE($A472,$B472)="CSINAPI",INDEX(CSINAPI!$B:$B,MATCH($C472,CSINAPI!$A:$A,0)),
IF(CONCATENATE($A472,$B472)="CCESAN",INDEX(CCESAN!$B:$B,MATCH($C472,CCESAN!$A:$A,0)),
IF(CONCATENATE($A472,$B472)="CSCORIO",INDEX(CSCORIO!#REF!,MATCH($C472,CSCORIO!#REF!,0)),
IF(CONCATENATE($A472,$B472)="MERC",INDEX(MERCADO!$B:$B,MATCH($C472,MERCADO!$A:$A,0)),
IF(CONCATENATE($A472,$B472)="CCOMP",INDEX(COMPOSICAO!$B:$B,MATCH($C472,COMPOSICAO!$A:$A,0)),""
))))))))),"*Verificar código*"))</f>
        <v>Barra Chata De Ferro Astm A-36 3/16" X 1"</v>
      </c>
      <c r="E472" s="143" t="str">
        <f>LOWER(IFERROR(
IF(CONCATENATE($A472,$B472)="IDER-ES",INDEX('IDER-ES'!$C:$C,MATCH($C472,'IDER-ES'!$A:$A,0)),
IF(CONCATENATE($A472,$B472)="CIOPES",INDEX('CDER-ES'!$C:$C,MATCH($C472,'CDER-ES'!$A:$A,0)),
IF(CONCATENATE($A472,$B472)="ISINAPI",INDEX(ISINAPI!$C:$C,MATCH($C472,ISINAPI!$A:$A,0)),
IF(CONCATENATE($A472,$B472)="CSINAPI",INDEX(CSINAPI!$C:$C,MATCH($C472,CSINAPI!$A:$A,0)),
IF(CONCATENATE($A472,$B472)="CCESAN",INDEX(CCESAN!$C:$C,MATCH($C472,CCESAN!$A:$A,0)),
IF(CONCATENATE($A472,$B472)="CSCORIO",INDEX(CSCORIO!$A:$A,MATCH($C472,CSCORIO!#REF!,0)),
IF(CONCATENATE($A472,$B472)="MERC",INDEX(MERCADO!$D:$D,MATCH($C472,MERCADO!$A:$A,0)),
IF(CONCATENATE($A472,$B472)="CCOMP",INDEX(COMPOSICAO!$H:$H,MATCH($C472,COMPOSICAO!$A:$A,0)),""
)))))))),""))</f>
        <v>m</v>
      </c>
      <c r="F472" s="182">
        <f>1.7*12+6.6*5</f>
        <v>53.4</v>
      </c>
      <c r="G472" s="144">
        <f>(IFERROR(
IF(CONCATENATE($A472,$B472)="IDER-ES",INDEX('IDER-ES'!$D:$D,MATCH($C472,'IDER-ES'!$A:$A,0)),
IF(CONCATENATE($A472,$B472)="CIOPES",INDEX('CDER-ES'!$D:$D,MATCH($C472,'CDER-ES'!$A:$A,0)),
IF(CONCATENATE($A472,$B472)="ISINAPI",INDEX(ISINAPI!$E:$E,MATCH($C472,ISINAPI!$A:$A,0)),
IF(CONCATENATE($A472,$B472)="CSINAPI",INDEX(CSINAPI!$D:$D,MATCH($C472,CSINAPI!$A:$A,0)),
IF(CONCATENATE($A472,$B472)="CCESAN",INDEX(CCESAN!$D:$D,MATCH($C472,CCESAN!$A:$A,0)),
IF(CONCATENATE($A472,$B472)="CSCORIO",INDEX(CSCORIO!$B:$B,MATCH($C472,CSCORIO!#REF!,0)),
IF(CONCATENATE($A472,$B472)="MERC",INDEX(MERCADO!$E:$E,MATCH($C472,MERCADO!$A:$A,0)),
IF(CONCATENATE($A472,$B472)="CCOMP",INDEX(COMPOSICAO!$H:$H,MATCH($C472,COMPOSICAO!$A:$A,0)),""
)))))))),""))</f>
        <v>8.99</v>
      </c>
      <c r="H472" s="144">
        <f t="shared" ref="H472:H474" si="81">IF(B472="","",ROUND(G472*F472,2))</f>
        <v>480.07</v>
      </c>
    </row>
    <row r="473" spans="1:10" ht="25.5">
      <c r="A473" s="141" t="s">
        <v>21960</v>
      </c>
      <c r="B473" s="141" t="s">
        <v>1019</v>
      </c>
      <c r="C473" s="141">
        <v>88251</v>
      </c>
      <c r="D473" s="142" t="str">
        <f>PROPER(IFERROR(
IF(C473="","",
IF(CONCATENATE($A473,$B473)="IDER-ES",INDEX('IDER-ES'!$B:$B,MATCH($C473,'IDER-ES'!$A:$A,0)),
IF(CONCATENATE($A473,$B473)="CDER-ES",INDEX('CDER-ES'!$B:$B,MATCH($C473,'CDER-ES'!$A:$A,0)),
IF(CONCATENATE($A473,$B473)="ISINAPI",INDEX(ISINAPI!$B:$B,MATCH($C473,ISINAPI!$A:$A,0)),
IF(CONCATENATE($A473,$B473)="CSINAPI",INDEX(CSINAPI!$B:$B,MATCH($C473,CSINAPI!$A:$A,0)),
IF(CONCATENATE($A473,$B473)="CCESAN",INDEX(CCESAN!$B:$B,MATCH($C473,CCESAN!$A:$A,0)),
IF(CONCATENATE($A473,$B473)="CSCORIO",INDEX(CSCORIO!#REF!,MATCH($C473,CSCORIO!#REF!,0)),
IF(CONCATENATE($A473,$B473)="MERC",INDEX(MERCADO!$B:$B,MATCH($C473,MERCADO!$A:$A,0)),
IF(CONCATENATE($A473,$B473)="CCOMP",INDEX(COMPOSICAO!$B:$B,MATCH($C473,COMPOSICAO!$A:$A,0)),""
))))))))),"*Verificar código*"))</f>
        <v>Auxiliar De Serralheiro Com Encargos Complementares</v>
      </c>
      <c r="E473" s="143" t="str">
        <f>LOWER(IFERROR(
IF(CONCATENATE($A473,$B473)="IDER-ES",INDEX('IDER-ES'!$C:$C,MATCH($C473,'IDER-ES'!$A:$A,0)),
IF(CONCATENATE($A473,$B473)="CIOPES",INDEX('CDER-ES'!$C:$C,MATCH($C473,'CDER-ES'!$A:$A,0)),
IF(CONCATENATE($A473,$B473)="ISINAPI",INDEX(ISINAPI!$C:$C,MATCH($C473,ISINAPI!$A:$A,0)),
IF(CONCATENATE($A473,$B473)="CSINAPI",INDEX(CSINAPI!$C:$C,MATCH($C473,CSINAPI!$A:$A,0)),
IF(CONCATENATE($A473,$B473)="CCESAN",INDEX(CCESAN!$C:$C,MATCH($C473,CCESAN!$A:$A,0)),
IF(CONCATENATE($A473,$B473)="CSCORIO",INDEX(CSCORIO!$A:$A,MATCH($C473,CSCORIO!#REF!,0)),
IF(CONCATENATE($A473,$B473)="MERC",INDEX(MERCADO!$D:$D,MATCH($C473,MERCADO!$A:$A,0)),
IF(CONCATENATE($A473,$B473)="CCOMP",INDEX(COMPOSICAO!$H:$H,MATCH($C473,COMPOSICAO!$A:$A,0)),""
)))))))),""))</f>
        <v>h</v>
      </c>
      <c r="F473" s="182">
        <v>18.3</v>
      </c>
      <c r="G473" s="144">
        <f>(IFERROR(
IF(CONCATENATE($A473,$B473)="IDER-ES",INDEX('IDER-ES'!$D:$D,MATCH($C473,'IDER-ES'!$A:$A,0)),
IF(CONCATENATE($A473,$B473)="CIOPES",INDEX('CDER-ES'!$D:$D,MATCH($C473,'CDER-ES'!$A:$A,0)),
IF(CONCATENATE($A473,$B473)="ISINAPI",INDEX(ISINAPI!$E:$E,MATCH($C473,ISINAPI!$A:$A,0)),
IF(CONCATENATE($A473,$B473)="CSINAPI",INDEX(CSINAPI!$D:$D,MATCH($C473,CSINAPI!$A:$A,0)),
IF(CONCATENATE($A473,$B473)="CCESAN",INDEX(CCESAN!$D:$D,MATCH($C473,CCESAN!$A:$A,0)),
IF(CONCATENATE($A473,$B473)="CSCORIO",INDEX(CSCORIO!$B:$B,MATCH($C473,CSCORIO!#REF!,0)),
IF(CONCATENATE($A473,$B473)="MERC",INDEX(MERCADO!$E:$E,MATCH($C473,MERCADO!$A:$A,0)),
IF(CONCATENATE($A473,$B473)="CCOMP",INDEX(COMPOSICAO!$H:$H,MATCH($C473,COMPOSICAO!$A:$A,0)),""
)))))))),""))</f>
        <v>20.34</v>
      </c>
      <c r="H473" s="144">
        <f t="shared" si="81"/>
        <v>372.22</v>
      </c>
    </row>
    <row r="474" spans="1:10" ht="25.5">
      <c r="A474" s="141" t="s">
        <v>21960</v>
      </c>
      <c r="B474" s="141" t="s">
        <v>1019</v>
      </c>
      <c r="C474" s="141">
        <v>88315</v>
      </c>
      <c r="D474" s="142" t="str">
        <f>PROPER(IFERROR(
IF(C474="","",
IF(CONCATENATE($A474,$B474)="IDER-ES",INDEX('IDER-ES'!$B:$B,MATCH($C474,'IDER-ES'!$A:$A,0)),
IF(CONCATENATE($A474,$B474)="CDER-ES",INDEX('CDER-ES'!$B:$B,MATCH($C474,'CDER-ES'!$A:$A,0)),
IF(CONCATENATE($A474,$B474)="ISINAPI",INDEX(ISINAPI!$B:$B,MATCH($C474,ISINAPI!$A:$A,0)),
IF(CONCATENATE($A474,$B474)="CSINAPI",INDEX(CSINAPI!$B:$B,MATCH($C474,CSINAPI!$A:$A,0)),
IF(CONCATENATE($A474,$B474)="CCESAN",INDEX(CCESAN!$B:$B,MATCH($C474,CCESAN!$A:$A,0)),
IF(CONCATENATE($A474,$B474)="CSCORIO",INDEX(CSCORIO!#REF!,MATCH($C474,CSCORIO!#REF!,0)),
IF(CONCATENATE($A474,$B474)="MERC",INDEX(MERCADO!$B:$B,MATCH($C474,MERCADO!$A:$A,0)),
IF(CONCATENATE($A474,$B474)="CCOMP",INDEX(COMPOSICAO!$B:$B,MATCH($C474,COMPOSICAO!$A:$A,0)),""
))))))))),"*Verificar código*"))</f>
        <v>Serralheiro Com Encargos Complementares</v>
      </c>
      <c r="E474" s="143" t="str">
        <f>LOWER(IFERROR(
IF(CONCATENATE($A474,$B474)="IDER-ES",INDEX('IDER-ES'!$C:$C,MATCH($C474,'IDER-ES'!$A:$A,0)),
IF(CONCATENATE($A474,$B474)="CDER-ES",INDEX('CDER-ES'!$C:$C,MATCH($C474,'CDER-ES'!$A:$A,0)),
IF(CONCATENATE($A474,$B474)="ISINAPI",INDEX(ISINAPI!$C:$C,MATCH($C474,ISINAPI!$A:$A,0)),
IF(CONCATENATE($A474,$B474)="CSINAPI",INDEX(CSINAPI!$C:$C,MATCH($C474,CSINAPI!$A:$A,0)),
IF(CONCATENATE($A474,$B474)="CCESAN",INDEX(CCESAN!$C:$C,MATCH($C474,CCESAN!$A:$A,0)),
IF(CONCATENATE($A474,$B474)="CSCORIO",INDEX(CSCORIO!$A:$A,MATCH($C474,CSCORIO!#REF!,0)),
IF(CONCATENATE($A474,$B474)="MERC",INDEX(MERCADO!$D:$D,MATCH($C474,MERCADO!$A:$A,0)),
IF(CONCATENATE($A474,$B474)="CCOMP",INDEX(COMPOSICAO!$H:$H,MATCH($C474,COMPOSICAO!$A:$A,0)),""
)))))))),""))</f>
        <v>h</v>
      </c>
      <c r="F474" s="182">
        <v>22.3</v>
      </c>
      <c r="G474" s="144">
        <f>(IFERROR(
IF(CONCATENATE($A474,$B474)="IDER-ES",INDEX('IDER-ES'!$D:$D,MATCH($C474,'IDER-ES'!$A:$A,0)),
IF(CONCATENATE($A474,$B474)="CDER-ES",INDEX('CDER-ES'!$D:$D,MATCH($C474,'CDER-ES'!$A:$A,0)),
IF(CONCATENATE($A474,$B474)="ISINAPI",INDEX(ISINAPI!$E:$E,MATCH($C474,ISINAPI!$A:$A,0)),
IF(CONCATENATE($A474,$B474)="CSINAPI",INDEX(CSINAPI!$D:$D,MATCH($C474,CSINAPI!$A:$A,0)),
IF(CONCATENATE($A474,$B474)="CCESAN",INDEX(CCESAN!$D:$D,MATCH($C474,CCESAN!$A:$A,0)),
IF(CONCATENATE($A474,$B474)="CSCORIO",INDEX(CSCORIO!$B:$B,MATCH($C474,CSCORIO!#REF!,0)),
IF(CONCATENATE($A474,$B474)="MERC",INDEX(MERCADO!$E:$E,MATCH($C474,MERCADO!$A:$A,0)),
IF(CONCATENATE($A474,$B474)="CCOMP",INDEX(COMPOSICAO!$H:$H,MATCH($C474,COMPOSICAO!$A:$A,0)),""
)))))))),""))</f>
        <v>25.1</v>
      </c>
      <c r="H474" s="144">
        <f t="shared" si="81"/>
        <v>559.73</v>
      </c>
    </row>
    <row r="475" spans="1:10" ht="25.5">
      <c r="A475" s="141" t="s">
        <v>21960</v>
      </c>
      <c r="B475" s="141" t="s">
        <v>1019</v>
      </c>
      <c r="C475" s="141">
        <v>88309</v>
      </c>
      <c r="D475" s="142" t="str">
        <f>PROPER(IFERROR(
IF(C475="","",
IF(CONCATENATE($A475,$B475)="IDER-ES",INDEX('IDER-ES'!$B:$B,MATCH($C475,'IDER-ES'!$A:$A,0)),
IF(CONCATENATE($A475,$B475)="CDER-ES",INDEX('CDER-ES'!$B:$B,MATCH($C475,'CDER-ES'!$A:$A,0)),
IF(CONCATENATE($A475,$B475)="ISINAPI",INDEX(ISINAPI!$B:$B,MATCH($C475,ISINAPI!$A:$A,0)),
IF(CONCATENATE($A475,$B475)="CSINAPI",INDEX(CSINAPI!$B:$B,MATCH($C475,CSINAPI!$A:$A,0)),
IF(CONCATENATE($A475,$B475)="CCESAN",INDEX(CCESAN!$B:$B,MATCH($C475,CCESAN!$A:$A,0)),
IF(CONCATENATE($A475,$B475)="CSCORIO",INDEX(CSCORIO!#REF!,MATCH($C475,CSCORIO!#REF!,0)),
IF(CONCATENATE($A475,$B475)="MERC",INDEX(MERCADO!$B:$B,MATCH($C475,MERCADO!$A:$A,0)),
IF(CONCATENATE($A475,$B475)="CCOMP",INDEX(COMPOSICAO!$B:$B,MATCH($C475,COMPOSICAO!$A:$A,0)),""
))))))))),"*Verificar código*"))</f>
        <v>Pedreiro Com Encargos Complementares</v>
      </c>
      <c r="E475" s="143" t="str">
        <f>LOWER(IFERROR(
IF(CONCATENATE($A475,$B475)="IDER-ES",INDEX('IDER-ES'!$C:$C,MATCH($C475,'IDER-ES'!$A:$A,0)),
IF(CONCATENATE($A475,$B475)="CIOPES",INDEX('CDER-ES'!$C:$C,MATCH($C475,'CDER-ES'!$A:$A,0)),
IF(CONCATENATE($A475,$B475)="ISINAPI",INDEX(ISINAPI!$C:$C,MATCH($C475,ISINAPI!$A:$A,0)),
IF(CONCATENATE($A475,$B475)="CSINAPI",INDEX(CSINAPI!$C:$C,MATCH($C475,CSINAPI!$A:$A,0)),
IF(CONCATENATE($A475,$B475)="CCESAN",INDEX(CCESAN!$C:$C,MATCH($C475,CCESAN!$A:$A,0)),
IF(CONCATENATE($A475,$B475)="CSCORIO",INDEX(CSCORIO!$A:$A,MATCH($C475,CSCORIO!#REF!,0)),
IF(CONCATENATE($A475,$B475)="MERC",INDEX(MERCADO!$D:$D,MATCH($C475,MERCADO!$A:$A,0)),
IF(CONCATENATE($A475,$B475)="CCOMP",INDEX(COMPOSICAO!$H:$H,MATCH($C475,COMPOSICAO!$A:$A,0)),""
)))))))),""))</f>
        <v>h</v>
      </c>
      <c r="F475" s="182">
        <v>2</v>
      </c>
      <c r="G475" s="144">
        <f>(IFERROR(
IF(CONCATENATE($A475,$B475)="IDER-ES",INDEX('IDER-ES'!$D:$D,MATCH($C475,'IDER-ES'!$A:$A,0)),
IF(CONCATENATE($A475,$B475)="CIOPES",INDEX('CDER-ES'!$D:$D,MATCH($C475,'CDER-ES'!$A:$A,0)),
IF(CONCATENATE($A475,$B475)="ISINAPI",INDEX(ISINAPI!$E:$E,MATCH($C475,ISINAPI!$A:$A,0)),
IF(CONCATENATE($A475,$B475)="CSINAPI",INDEX(CSINAPI!$D:$D,MATCH($C475,CSINAPI!$A:$A,0)),
IF(CONCATENATE($A475,$B475)="CCESAN",INDEX(CCESAN!$D:$D,MATCH($C475,CCESAN!$A:$A,0)),
IF(CONCATENATE($A475,$B475)="CSCORIO",INDEX(CSCORIO!$B:$B,MATCH($C475,CSCORIO!#REF!,0)),
IF(CONCATENATE($A475,$B475)="MERC",INDEX(MERCADO!$E:$E,MATCH($C475,MERCADO!$A:$A,0)),
IF(CONCATENATE($A475,$B475)="CCOMP",INDEX(COMPOSICAO!$H:$H,MATCH($C475,COMPOSICAO!$A:$A,0)),""
)))))))),""))</f>
        <v>25.25</v>
      </c>
      <c r="H475" s="144">
        <f t="shared" ref="H475:H476" si="82">IF(B475="","",ROUND(G475*F475,2))</f>
        <v>50.5</v>
      </c>
    </row>
    <row r="476" spans="1:10" ht="25.5">
      <c r="A476" s="141" t="s">
        <v>21960</v>
      </c>
      <c r="B476" s="141" t="s">
        <v>1019</v>
      </c>
      <c r="C476" s="141">
        <v>88316</v>
      </c>
      <c r="D476" s="142" t="str">
        <f>PROPER(IFERROR(
IF(C476="","",
IF(CONCATENATE($A476,$B476)="IDER-ES",INDEX('IDER-ES'!$B:$B,MATCH($C476,'IDER-ES'!$A:$A,0)),
IF(CONCATENATE($A476,$B476)="CDER-ES",INDEX('CDER-ES'!$B:$B,MATCH($C476,'CDER-ES'!$A:$A,0)),
IF(CONCATENATE($A476,$B476)="ISINAPI",INDEX(ISINAPI!$B:$B,MATCH($C476,ISINAPI!$A:$A,0)),
IF(CONCATENATE($A476,$B476)="CSINAPI",INDEX(CSINAPI!$B:$B,MATCH($C476,CSINAPI!$A:$A,0)),
IF(CONCATENATE($A476,$B476)="CCESAN",INDEX(CCESAN!$B:$B,MATCH($C476,CCESAN!$A:$A,0)),
IF(CONCATENATE($A476,$B476)="CSCORIO",INDEX(CSCORIO!#REF!,MATCH($C476,CSCORIO!#REF!,0)),
IF(CONCATENATE($A476,$B476)="MERC",INDEX(MERCADO!$B:$B,MATCH($C476,MERCADO!$A:$A,0)),
IF(CONCATENATE($A476,$B476)="CCOMP",INDEX(COMPOSICAO!$B:$B,MATCH($C476,COMPOSICAO!$A:$A,0)),""
))))))))),"*Verificar código*"))</f>
        <v>Servente Com Encargos Complementares</v>
      </c>
      <c r="E476" s="143" t="str">
        <f>LOWER(IFERROR(
IF(CONCATENATE($A476,$B476)="IDER-ES",INDEX('IDER-ES'!$C:$C,MATCH($C476,'IDER-ES'!$A:$A,0)),
IF(CONCATENATE($A476,$B476)="CDER-ES",INDEX('CDER-ES'!$C:$C,MATCH($C476,'CDER-ES'!$A:$A,0)),
IF(CONCATENATE($A476,$B476)="ISINAPI",INDEX(ISINAPI!$C:$C,MATCH($C476,ISINAPI!$A:$A,0)),
IF(CONCATENATE($A476,$B476)="CSINAPI",INDEX(CSINAPI!$C:$C,MATCH($C476,CSINAPI!$A:$A,0)),
IF(CONCATENATE($A476,$B476)="CCESAN",INDEX(CCESAN!$C:$C,MATCH($C476,CCESAN!$A:$A,0)),
IF(CONCATENATE($A476,$B476)="CSCORIO",INDEX(CSCORIO!$A:$A,MATCH($C476,CSCORIO!#REF!,0)),
IF(CONCATENATE($A476,$B476)="MERC",INDEX(MERCADO!$D:$D,MATCH($C476,MERCADO!$A:$A,0)),
IF(CONCATENATE($A476,$B476)="CCOMP",INDEX(COMPOSICAO!$H:$H,MATCH($C476,COMPOSICAO!$A:$A,0)),""
)))))))),""))</f>
        <v>h</v>
      </c>
      <c r="F476" s="182">
        <v>1.5</v>
      </c>
      <c r="G476" s="144">
        <f>(IFERROR(
IF(CONCATENATE($A476,$B476)="IDER-ES",INDEX('IDER-ES'!$D:$D,MATCH($C476,'IDER-ES'!$A:$A,0)),
IF(CONCATENATE($A476,$B476)="CDER-ES",INDEX('CDER-ES'!$D:$D,MATCH($C476,'CDER-ES'!$A:$A,0)),
IF(CONCATENATE($A476,$B476)="ISINAPI",INDEX(ISINAPI!$E:$E,MATCH($C476,ISINAPI!$A:$A,0)),
IF(CONCATENATE($A476,$B476)="CSINAPI",INDEX(CSINAPI!$D:$D,MATCH($C476,CSINAPI!$A:$A,0)),
IF(CONCATENATE($A476,$B476)="CCESAN",INDEX(CCESAN!$D:$D,MATCH($C476,CCESAN!$A:$A,0)),
IF(CONCATENATE($A476,$B476)="CSCORIO",INDEX(CSCORIO!$B:$B,MATCH($C476,CSCORIO!#REF!,0)),
IF(CONCATENATE($A476,$B476)="MERC",INDEX(MERCADO!$E:$E,MATCH($C476,MERCADO!$A:$A,0)),
IF(CONCATENATE($A476,$B476)="CCOMP",INDEX(COMPOSICAO!$H:$H,MATCH($C476,COMPOSICAO!$A:$A,0)),""
)))))))),""))</f>
        <v>18.11</v>
      </c>
      <c r="H476" s="144">
        <f t="shared" si="82"/>
        <v>27.17</v>
      </c>
    </row>
    <row r="477" spans="1:10" ht="38.25">
      <c r="A477" s="141" t="s">
        <v>21960</v>
      </c>
      <c r="B477" s="141" t="s">
        <v>1019</v>
      </c>
      <c r="C477" s="141">
        <v>88629</v>
      </c>
      <c r="D477" s="142" t="str">
        <f>PROPER(IFERROR(
IF(C477="","",
IF(CONCATENATE($A477,$B477)="IDER-ES",INDEX('IDER-ES'!$B:$B,MATCH($C477,'IDER-ES'!$A:$A,0)),
IF(CONCATENATE($A477,$B477)="CDER-ES",INDEX('CDER-ES'!$B:$B,MATCH($C477,'CDER-ES'!$A:$A,0)),
IF(CONCATENATE($A477,$B477)="ISINAPI",INDEX(ISINAPI!$B:$B,MATCH($C477,ISINAPI!$A:$A,0)),
IF(CONCATENATE($A477,$B477)="CSINAPI",INDEX(CSINAPI!$B:$B,MATCH($C477,CSINAPI!$A:$A,0)),
IF(CONCATENATE($A477,$B477)="CCESAN",INDEX(CCESAN!$B:$B,MATCH($C477,CCESAN!$A:$A,0)),
IF(CONCATENATE($A477,$B477)="CSCORIO",INDEX(CSCORIO!#REF!,MATCH($C477,CSCORIO!#REF!,0)),
IF(CONCATENATE($A477,$B477)="MERC",INDEX(MERCADO!$B:$B,MATCH($C477,MERCADO!$A:$A,0)),
IF(CONCATENATE($A477,$B477)="CCOMP",INDEX(COMPOSICAO!$B:$B,MATCH($C477,COMPOSICAO!$A:$A,0)),""
))))))))),"*Verificar código*"))</f>
        <v>Argamassa Traço 1:3 (Em Volume De Cimento E Areia Média Úmida), Preparo Manual. Af_08/2019</v>
      </c>
      <c r="E477" s="143" t="str">
        <f>LOWER(IFERROR(
IF(CONCATENATE($A477,$B477)="IDER-ES",INDEX('IDER-ES'!$C:$C,MATCH($C477,'IDER-ES'!$A:$A,0)),
IF(CONCATENATE($A477,$B477)="CIOPES",INDEX('CDER-ES'!$C:$C,MATCH($C477,'CDER-ES'!$A:$A,0)),
IF(CONCATENATE($A477,$B477)="ISINAPI",INDEX(ISINAPI!$C:$C,MATCH($C477,ISINAPI!$A:$A,0)),
IF(CONCATENATE($A477,$B477)="CSINAPI",INDEX(CSINAPI!$C:$C,MATCH($C477,CSINAPI!$A:$A,0)),
IF(CONCATENATE($A477,$B477)="CCESAN",INDEX(CCESAN!$C:$C,MATCH($C477,CCESAN!$A:$A,0)),
IF(CONCATENATE($A477,$B477)="CSCORIO",INDEX(CSCORIO!$A:$A,MATCH($C477,CSCORIO!#REF!,0)),
IF(CONCATENATE($A477,$B477)="MERC",INDEX(MERCADO!$D:$D,MATCH($C477,MERCADO!$A:$A,0)),
IF(CONCATENATE($A477,$B477)="CCOMP",INDEX(COMPOSICAO!$H:$H,MATCH($C477,COMPOSICAO!$A:$A,0)),""
)))))))),""))</f>
        <v>m³</v>
      </c>
      <c r="F477" s="182">
        <v>0.01</v>
      </c>
      <c r="G477" s="144">
        <f>(IFERROR(
IF(CONCATENATE($A477,$B477)="IDER-ES",INDEX('IDER-ES'!$D:$D,MATCH($C477,'IDER-ES'!$A:$A,0)),
IF(CONCATENATE($A477,$B477)="CIOPES",INDEX('CDER-ES'!$D:$D,MATCH($C477,'CDER-ES'!$A:$A,0)),
IF(CONCATENATE($A477,$B477)="ISINAPI",INDEX(ISINAPI!$E:$E,MATCH($C477,ISINAPI!$A:$A,0)),
IF(CONCATENATE($A477,$B477)="CSINAPI",INDEX(CSINAPI!$D:$D,MATCH($C477,CSINAPI!$A:$A,0)),
IF(CONCATENATE($A477,$B477)="CCESAN",INDEX(CCESAN!$D:$D,MATCH($C477,CCESAN!$A:$A,0)),
IF(CONCATENATE($A477,$B477)="CSCORIO",INDEX(CSCORIO!$B:$B,MATCH($C477,CSCORIO!#REF!,0)),
IF(CONCATENATE($A477,$B477)="MERC",INDEX(MERCADO!$E:$E,MATCH($C477,MERCADO!$A:$A,0)),
IF(CONCATENATE($A477,$B477)="CCOMP",INDEX(COMPOSICAO!$H:$H,MATCH($C477,COMPOSICAO!$A:$A,0)),""
)))))))),""))</f>
        <v>477.89</v>
      </c>
      <c r="H477" s="144">
        <f t="shared" ref="H477:H479" si="83">IF(B477="","",ROUND(G477*F477,2))</f>
        <v>4.78</v>
      </c>
    </row>
    <row r="478" spans="1:10" ht="25.5">
      <c r="A478" s="141" t="s">
        <v>21960</v>
      </c>
      <c r="B478" s="141" t="s">
        <v>1019</v>
      </c>
      <c r="C478" s="141">
        <v>100717</v>
      </c>
      <c r="D478" s="142" t="str">
        <f>PROPER(IFERROR(
IF(C478="","",
IF(CONCATENATE($A478,$B478)="IDER-ES",INDEX('IDER-ES'!$B:$B,MATCH($C478,'IDER-ES'!$A:$A,0)),
IF(CONCATENATE($A478,$B478)="CDER-ES",INDEX('CDER-ES'!$B:$B,MATCH($C478,'CDER-ES'!$A:$A,0)),
IF(CONCATENATE($A478,$B478)="ISINAPI",INDEX(ISINAPI!$B:$B,MATCH($C478,ISINAPI!$A:$A,0)),
IF(CONCATENATE($A478,$B478)="CSINAPI",INDEX(CSINAPI!$B:$B,MATCH($C478,CSINAPI!$A:$A,0)),
IF(CONCATENATE($A478,$B478)="CCESAN",INDEX(CCESAN!$B:$B,MATCH($C478,CCESAN!$A:$A,0)),
IF(CONCATENATE($A478,$B478)="CSCORIO",INDEX(CSCORIO!#REF!,MATCH($C478,CSCORIO!#REF!,0)),
IF(CONCATENATE($A478,$B478)="MERC",INDEX(MERCADO!$B:$B,MATCH($C478,MERCADO!$A:$A,0)),
IF(CONCATENATE($A478,$B478)="CCOMP",INDEX(COMPOSICAO!$B:$B,MATCH($C478,COMPOSICAO!$A:$A,0)),""
))))))))),"*Verificar código*"))</f>
        <v>Lixamento Manual Em Superfícies Metálicas Em Obra. Af_01/2020</v>
      </c>
      <c r="E478" s="143" t="str">
        <f>LOWER(IFERROR(
IF(CONCATENATE($A478,$B478)="IDER-ES",INDEX('IDER-ES'!$C:$C,MATCH($C478,'IDER-ES'!$A:$A,0)),
IF(CONCATENATE($A478,$B478)="CIOPES",INDEX('CDER-ES'!$C:$C,MATCH($C478,'CDER-ES'!$A:$A,0)),
IF(CONCATENATE($A478,$B478)="ISINAPI",INDEX(ISINAPI!$C:$C,MATCH($C478,ISINAPI!$A:$A,0)),
IF(CONCATENATE($A478,$B478)="CSINAPI",INDEX(CSINAPI!$C:$C,MATCH($C478,CSINAPI!$A:$A,0)),
IF(CONCATENATE($A478,$B478)="CCESAN",INDEX(CCESAN!$C:$C,MATCH($C478,CCESAN!$A:$A,0)),
IF(CONCATENATE($A478,$B478)="CSCORIO",INDEX(CSCORIO!$A:$A,MATCH($C478,CSCORIO!#REF!,0)),
IF(CONCATENATE($A478,$B478)="MERC",INDEX(MERCADO!$D:$D,MATCH($C478,MERCADO!$A:$A,0)),
IF(CONCATENATE($A478,$B478)="CCOMP",INDEX(COMPOSICAO!$H:$H,MATCH($C478,COMPOSICAO!$A:$A,0)),""
)))))))),""))</f>
        <v>m²</v>
      </c>
      <c r="F478" s="182">
        <v>5.7</v>
      </c>
      <c r="G478" s="144">
        <f>(IFERROR(
IF(CONCATENATE($A478,$B478)="IDER-ES",INDEX('IDER-ES'!$D:$D,MATCH($C478,'IDER-ES'!$A:$A,0)),
IF(CONCATENATE($A478,$B478)="CIOPES",INDEX('CDER-ES'!$D:$D,MATCH($C478,'CDER-ES'!$A:$A,0)),
IF(CONCATENATE($A478,$B478)="ISINAPI",INDEX(ISINAPI!$E:$E,MATCH($C478,ISINAPI!$A:$A,0)),
IF(CONCATENATE($A478,$B478)="CSINAPI",INDEX(CSINAPI!$D:$D,MATCH($C478,CSINAPI!$A:$A,0)),
IF(CONCATENATE($A478,$B478)="CCESAN",INDEX(CCESAN!$D:$D,MATCH($C478,CCESAN!$A:$A,0)),
IF(CONCATENATE($A478,$B478)="CSCORIO",INDEX(CSCORIO!$B:$B,MATCH($C478,CSCORIO!#REF!,0)),
IF(CONCATENATE($A478,$B478)="MERC",INDEX(MERCADO!$E:$E,MATCH($C478,MERCADO!$A:$A,0)),
IF(CONCATENATE($A478,$B478)="CCOMP",INDEX(COMPOSICAO!$H:$H,MATCH($C478,COMPOSICAO!$A:$A,0)),""
)))))))),""))</f>
        <v>9.2899999999999991</v>
      </c>
      <c r="H478" s="144">
        <f t="shared" si="83"/>
        <v>52.95</v>
      </c>
    </row>
    <row r="479" spans="1:10" ht="63.75">
      <c r="A479" s="141" t="s">
        <v>21960</v>
      </c>
      <c r="B479" s="141" t="s">
        <v>26583</v>
      </c>
      <c r="C479" s="141">
        <v>190417</v>
      </c>
      <c r="D479" s="142" t="str">
        <f>PROPER(IFERROR(
IF(C479="","",
IF(CONCATENATE($A479,$B479)="IDER-ES",INDEX('IDER-ES'!$B:$B,MATCH($C479,'IDER-ES'!$A:$A,0)),
IF(CONCATENATE($A479,$B479)="CDER-ES",INDEX('CDER-ES'!$B:$B,MATCH($C479,'CDER-ES'!$A:$A,0)),
IF(CONCATENATE($A479,$B479)="ISINAPI",INDEX(ISINAPI!$B:$B,MATCH($C479,ISINAPI!$A:$A,0)),
IF(CONCATENATE($A479,$B479)="CSINAPI",INDEX(CSINAPI!$B:$B,MATCH($C479,CSINAPI!$A:$A,0)),
IF(CONCATENATE($A479,$B479)="CCESAN",INDEX(CCESAN!$B:$B,MATCH($C479,CCESAN!$A:$A,0)),
IF(CONCATENATE($A479,$B479)="CSCORIO",INDEX(CSCORIO!#REF!,MATCH($C479,CSCORIO!#REF!,0)),
IF(CONCATENATE($A479,$B479)="MERC",INDEX(MERCADO!$B:$B,MATCH($C479,MERCADO!$A:$A,0)),
IF(CONCATENATE($A479,$B479)="CCOMP",INDEX(COMPOSICAO!$B:$B,MATCH($C479,COMPOSICAO!$A:$A,0)),""
))))))))),"*Verificar código*"))</f>
        <v>Pintura Com Tinta Esmalte Sintético, Marcas De Referência Suvinil, Coral Ou Metalatex, A Duas Demãos, Inclusive Fundo Anticorrosivo A Uma Demão, Em Metal</v>
      </c>
      <c r="E479" s="143" t="str">
        <f>LOWER(IFERROR(
IF(CONCATENATE($A479,$B479)="IDER-ES",INDEX('IDER-ES'!$C:$C,MATCH($C479,'IDER-ES'!$A:$A,0)),
IF(CONCATENATE($A479,$B479)="CDER-ES",INDEX('CDER-ES'!$C:$C,MATCH($C479,'CDER-ES'!$A:$A,0)),
IF(CONCATENATE($A479,$B479)="ISINAPI",INDEX(ISINAPI!$C:$C,MATCH($C479,ISINAPI!$A:$A,0)),
IF(CONCATENATE($A479,$B479)="CSINAPI",INDEX(CSINAPI!$C:$C,MATCH($C479,CSINAPI!$A:$A,0)),
IF(CONCATENATE($A479,$B479)="CCESAN",INDEX(CCESAN!$C:$C,MATCH($C479,CCESAN!$A:$A,0)),
IF(CONCATENATE($A479,$B479)="CSCORIO",INDEX(CSCORIO!$A:$A,MATCH($C479,CSCORIO!#REF!,0)),
IF(CONCATENATE($A479,$B479)="MERC",INDEX(MERCADO!$D:$D,MATCH($C479,MERCADO!$A:$A,0)),
IF(CONCATENATE($A479,$B479)="CCOMP",INDEX(COMPOSICAO!$H:$H,MATCH($C479,COMPOSICAO!$A:$A,0)),""
)))))))),""))</f>
        <v>m²</v>
      </c>
      <c r="F479" s="182">
        <f>F477</f>
        <v>0.01</v>
      </c>
      <c r="G479" s="144">
        <f>(IFERROR(
IF(CONCATENATE($A479,$B479)="IDER-ES",INDEX('IDER-ES'!$D:$D,MATCH($C479,'IDER-ES'!$A:$A,0)),
IF(CONCATENATE($A479,$B479)="CDER-ES",INDEX('CDER-ES'!$D:$D,MATCH($C479,'CDER-ES'!$A:$A,0)),
IF(CONCATENATE($A479,$B479)="ISINAPI",INDEX(ISINAPI!$E:$E,MATCH($C479,ISINAPI!$A:$A,0)),
IF(CONCATENATE($A479,$B479)="CSINAPI",INDEX(CSINAPI!$D:$D,MATCH($C479,CSINAPI!$A:$A,0)),
IF(CONCATENATE($A479,$B479)="CCESAN",INDEX(CCESAN!$D:$D,MATCH($C479,CCESAN!$A:$A,0)),
IF(CONCATENATE($A479,$B479)="CSCORIO",INDEX(CSCORIO!$B:$B,MATCH($C479,CSCORIO!#REF!,0)),
IF(CONCATENATE($A479,$B479)="MERC",INDEX(MERCADO!$E:$E,MATCH($C479,MERCADO!$A:$A,0)),
IF(CONCATENATE($A479,$B479)="CCOMP",INDEX(COMPOSICAO!$H:$H,MATCH($C479,COMPOSICAO!$A:$A,0)),""
)))))))),""))</f>
        <v>20.010000000000002</v>
      </c>
      <c r="H479" s="144">
        <f t="shared" si="83"/>
        <v>0.2</v>
      </c>
    </row>
    <row r="481" spans="1:10" s="135" customFormat="1" ht="20.100000000000001" customHeight="1">
      <c r="A481" s="186" t="s">
        <v>1020</v>
      </c>
      <c r="B481" s="405" t="s">
        <v>1022</v>
      </c>
      <c r="C481" s="406"/>
      <c r="D481" s="406"/>
      <c r="E481" s="406"/>
      <c r="F481" s="407"/>
      <c r="G481" s="133" t="s">
        <v>19692</v>
      </c>
      <c r="H481" s="134" t="s">
        <v>19678</v>
      </c>
      <c r="I481" s="263"/>
    </row>
    <row r="482" spans="1:10" ht="45" customHeight="1">
      <c r="A482" s="136">
        <f>COUNTIF($A$4:$A481,$A$4)</f>
        <v>44</v>
      </c>
      <c r="B482" s="408" t="s">
        <v>29135</v>
      </c>
      <c r="C482" s="409"/>
      <c r="D482" s="409"/>
      <c r="E482" s="409"/>
      <c r="F482" s="410"/>
      <c r="G482" s="137" t="s">
        <v>19692</v>
      </c>
      <c r="H482" s="211">
        <f>SUM(H484:H489)</f>
        <v>557.7199999999998</v>
      </c>
    </row>
    <row r="483" spans="1:10" ht="30" customHeight="1">
      <c r="A483" s="139" t="s">
        <v>1026</v>
      </c>
      <c r="B483" s="139" t="s">
        <v>1027</v>
      </c>
      <c r="C483" s="139" t="s">
        <v>31</v>
      </c>
      <c r="D483" s="139" t="s">
        <v>1023</v>
      </c>
      <c r="E483" s="139" t="s">
        <v>32</v>
      </c>
      <c r="F483" s="183" t="s">
        <v>2343</v>
      </c>
      <c r="G483" s="140" t="s">
        <v>19676</v>
      </c>
      <c r="H483" s="140" t="s">
        <v>19677</v>
      </c>
    </row>
    <row r="484" spans="1:10" ht="25.5">
      <c r="A484" s="141" t="s">
        <v>26621</v>
      </c>
      <c r="B484" s="141" t="s">
        <v>26583</v>
      </c>
      <c r="C484" s="141">
        <v>71268</v>
      </c>
      <c r="D484" s="142" t="str">
        <f>PROPER(IFERROR(
IF(C484="","",
IF(CONCATENATE($A484,$B484)="IDER-ES",INDEX('IDER-ES'!$B:$B,MATCH($C484,'IDER-ES'!$A:$A,0)),
IF(CONCATENATE($A484,$B484)="CDER-ES",INDEX('CDER-ES'!$B:$B,MATCH($C484,'CDER-ES'!$A:$A,0)),
IF(CONCATENATE($A484,$B484)="ISINAPI",INDEX(ISINAPI!$B:$B,MATCH($C484,ISINAPI!$A:$A,0)),
IF(CONCATENATE($A484,$B484)="CSINAPI",INDEX(CSINAPI!$B:$B,MATCH($C484,CSINAPI!$A:$A,0)),
IF(CONCATENATE($A484,$B484)="CCESAN",INDEX(CCESAN!$B:$B,MATCH($C484,CCESAN!$A:$A,0)),
IF(CONCATENATE($A484,$B484)="CSCORIO",INDEX(CSCORIO!#REF!,MATCH($C484,CSCORIO!#REF!,0)),
IF(CONCATENATE($A484,$B484)="MERC",INDEX(MERCADO!$B:$B,MATCH($C484,MERCADO!$A:$A,0)),
IF(CONCATENATE($A484,$B484)="CCOMP",INDEX(COMPOSICAO!$B:$B,MATCH($C484,COMPOSICAO!$A:$A,0)),""
))))))))),"*Verificar código*"))</f>
        <v>Tubo Aco Galv 26,90 X 2,65Mm (3/4") Din 2440 - Medio</v>
      </c>
      <c r="E484" s="143" t="str">
        <f>LOWER(IFERROR(
IF(CONCATENATE($A484,$B484)="IDER-ES",INDEX('IDER-ES'!$C:$C,MATCH($C484,'IDER-ES'!$A:$A,0)),
IF(CONCATENATE($A484,$B484)="CIOPES",INDEX('CDER-ES'!$C:$C,MATCH($C484,'CDER-ES'!$A:$A,0)),
IF(CONCATENATE($A484,$B484)="ISINAPI",INDEX(ISINAPI!$C:$C,MATCH($C484,ISINAPI!$A:$A,0)),
IF(CONCATENATE($A484,$B484)="CSINAPI",INDEX(CSINAPI!$C:$C,MATCH($C484,CSINAPI!$A:$A,0)),
IF(CONCATENATE($A484,$B484)="CCESAN",INDEX(CCESAN!$C:$C,MATCH($C484,CCESAN!$A:$A,0)),
IF(CONCATENATE($A484,$B484)="CSCORIO",INDEX(CSCORIO!$A:$A,MATCH($C484,CSCORIO!#REF!,0)),
IF(CONCATENATE($A484,$B484)="MERC",INDEX(MERCADO!$D:$D,MATCH($C484,MERCADO!$A:$A,0)),
IF(CONCATENATE($A484,$B484)="CCOMP",INDEX(COMPOSICAO!$H:$H,MATCH($C484,COMPOSICAO!$A:$A,0)),""
)))))))),""))</f>
        <v>m</v>
      </c>
      <c r="F484" s="182">
        <f>1.8*2+0.15*2</f>
        <v>3.9</v>
      </c>
      <c r="G484" s="144">
        <f>(IFERROR(
IF(CONCATENATE($A484,$B484)="IDER-ES",INDEX('IDER-ES'!$D:$D,MATCH($C484,'IDER-ES'!$A:$A,0)),
IF(CONCATENATE($A484,$B484)="CIOPES",INDEX('CDER-ES'!$D:$D,MATCH($C484,'CDER-ES'!$A:$A,0)),
IF(CONCATENATE($A484,$B484)="ISINAPI",INDEX(ISINAPI!$E:$E,MATCH($C484,ISINAPI!$A:$A,0)),
IF(CONCATENATE($A484,$B484)="CSINAPI",INDEX(CSINAPI!$D:$D,MATCH($C484,CSINAPI!$A:$A,0)),
IF(CONCATENATE($A484,$B484)="CCESAN",INDEX(CCESAN!$D:$D,MATCH($C484,CCESAN!$A:$A,0)),
IF(CONCATENATE($A484,$B484)="CSCORIO",INDEX(CSCORIO!$B:$B,MATCH($C484,CSCORIO!#REF!,0)),
IF(CONCATENATE($A484,$B484)="MERC",INDEX(MERCADO!$E:$E,MATCH($C484,MERCADO!$A:$A,0)),
IF(CONCATENATE($A484,$B484)="CCOMP",INDEX(COMPOSICAO!$H:$H,MATCH($C484,COMPOSICAO!$A:$A,0)),""
)))))))),""))</f>
        <v>31.79</v>
      </c>
      <c r="H484" s="144">
        <f t="shared" ref="H484:H489" si="84">IF(B484="","",ROUND(G484*F484,2))</f>
        <v>123.98</v>
      </c>
      <c r="J484" s="266"/>
    </row>
    <row r="485" spans="1:10" ht="25.5">
      <c r="A485" s="141" t="s">
        <v>26621</v>
      </c>
      <c r="B485" s="141" t="s">
        <v>26583</v>
      </c>
      <c r="C485" s="141">
        <v>70350</v>
      </c>
      <c r="D485" s="142" t="str">
        <f>PROPER(IFERROR(
IF(C485="","",
IF(CONCATENATE($A485,$B485)="IDER-ES",INDEX('IDER-ES'!$B:$B,MATCH($C485,'IDER-ES'!$A:$A,0)),
IF(CONCATENATE($A485,$B485)="CDER-ES",INDEX('CDER-ES'!$B:$B,MATCH($C485,'CDER-ES'!$A:$A,0)),
IF(CONCATENATE($A485,$B485)="ISINAPI",INDEX(ISINAPI!$B:$B,MATCH($C485,ISINAPI!$A:$A,0)),
IF(CONCATENATE($A485,$B485)="CSINAPI",INDEX(CSINAPI!$B:$B,MATCH($C485,CSINAPI!$A:$A,0)),
IF(CONCATENATE($A485,$B485)="CCESAN",INDEX(CCESAN!$B:$B,MATCH($C485,CCESAN!$A:$A,0)),
IF(CONCATENATE($A485,$B485)="CSCORIO",INDEX(CSCORIO!#REF!,MATCH($C485,CSCORIO!#REF!,0)),
IF(CONCATENATE($A485,$B485)="MERC",INDEX(MERCADO!$B:$B,MATCH($C485,MERCADO!$A:$A,0)),
IF(CONCATENATE($A485,$B485)="CCOMP",INDEX(COMPOSICAO!$B:$B,MATCH($C485,COMPOSICAO!$A:$A,0)),""
))))))))),"*Verificar código*"))</f>
        <v>Tubo Aco Galv. 33,70 X 3,35Mm (1") Din 2440 - Medio</v>
      </c>
      <c r="E485" s="143" t="str">
        <f>LOWER(IFERROR(
IF(CONCATENATE($A485,$B485)="IDER-ES",INDEX('IDER-ES'!$C:$C,MATCH($C485,'IDER-ES'!$A:$A,0)),
IF(CONCATENATE($A485,$B485)="CIOPES",INDEX('CDER-ES'!$C:$C,MATCH($C485,'CDER-ES'!$A:$A,0)),
IF(CONCATENATE($A485,$B485)="ISINAPI",INDEX(ISINAPI!$C:$C,MATCH($C485,ISINAPI!$A:$A,0)),
IF(CONCATENATE($A485,$B485)="CSINAPI",INDEX(CSINAPI!$C:$C,MATCH($C485,CSINAPI!$A:$A,0)),
IF(CONCATENATE($A485,$B485)="CCESAN",INDEX(CCESAN!$C:$C,MATCH($C485,CCESAN!$A:$A,0)),
IF(CONCATENATE($A485,$B485)="CSCORIO",INDEX(CSCORIO!$A:$A,MATCH($C485,CSCORIO!#REF!,0)),
IF(CONCATENATE($A485,$B485)="MERC",INDEX(MERCADO!$D:$D,MATCH($C485,MERCADO!$A:$A,0)),
IF(CONCATENATE($A485,$B485)="CCOMP",INDEX(COMPOSICAO!$H:$H,MATCH($C485,COMPOSICAO!$A:$A,0)),""
)))))))),""))</f>
        <v>m</v>
      </c>
      <c r="F485" s="182">
        <f>0.8*6</f>
        <v>4.8000000000000007</v>
      </c>
      <c r="G485" s="144">
        <f>(IFERROR(
IF(CONCATENATE($A485,$B485)="IDER-ES",INDEX('IDER-ES'!$D:$D,MATCH($C485,'IDER-ES'!$A:$A,0)),
IF(CONCATENATE($A485,$B485)="CIOPES",INDEX('CDER-ES'!$D:$D,MATCH($C485,'CDER-ES'!$A:$A,0)),
IF(CONCATENATE($A485,$B485)="ISINAPI",INDEX(ISINAPI!$E:$E,MATCH($C485,ISINAPI!$A:$A,0)),
IF(CONCATENATE($A485,$B485)="CSINAPI",INDEX(CSINAPI!$D:$D,MATCH($C485,CSINAPI!$A:$A,0)),
IF(CONCATENATE($A485,$B485)="CCESAN",INDEX(CCESAN!$D:$D,MATCH($C485,CCESAN!$A:$A,0)),
IF(CONCATENATE($A485,$B485)="CSCORIO",INDEX(CSCORIO!$B:$B,MATCH($C485,CSCORIO!#REF!,0)),
IF(CONCATENATE($A485,$B485)="MERC",INDEX(MERCADO!$E:$E,MATCH($C485,MERCADO!$A:$A,0)),
IF(CONCATENATE($A485,$B485)="CCOMP",INDEX(COMPOSICAO!$H:$H,MATCH($C485,COMPOSICAO!$A:$A,0)),""
)))))))),""))</f>
        <v>44.37</v>
      </c>
      <c r="H485" s="144">
        <f t="shared" si="84"/>
        <v>212.98</v>
      </c>
      <c r="J485" s="266"/>
    </row>
    <row r="486" spans="1:10" ht="25.5">
      <c r="A486" s="141" t="s">
        <v>21960</v>
      </c>
      <c r="B486" s="141" t="s">
        <v>1019</v>
      </c>
      <c r="C486" s="141">
        <v>88251</v>
      </c>
      <c r="D486" s="142" t="str">
        <f>PROPER(IFERROR(
IF(C486="","",
IF(CONCATENATE($A486,$B486)="IDER-ES",INDEX('IDER-ES'!$B:$B,MATCH($C486,'IDER-ES'!$A:$A,0)),
IF(CONCATENATE($A486,$B486)="CDER-ES",INDEX('CDER-ES'!$B:$B,MATCH($C486,'CDER-ES'!$A:$A,0)),
IF(CONCATENATE($A486,$B486)="ISINAPI",INDEX(ISINAPI!$B:$B,MATCH($C486,ISINAPI!$A:$A,0)),
IF(CONCATENATE($A486,$B486)="CSINAPI",INDEX(CSINAPI!$B:$B,MATCH($C486,CSINAPI!$A:$A,0)),
IF(CONCATENATE($A486,$B486)="CCESAN",INDEX(CCESAN!$B:$B,MATCH($C486,CCESAN!$A:$A,0)),
IF(CONCATENATE($A486,$B486)="CSCORIO",INDEX(CSCORIO!#REF!,MATCH($C486,CSCORIO!#REF!,0)),
IF(CONCATENATE($A486,$B486)="MERC",INDEX(MERCADO!$B:$B,MATCH($C486,MERCADO!$A:$A,0)),
IF(CONCATENATE($A486,$B486)="CCOMP",INDEX(COMPOSICAO!$B:$B,MATCH($C486,COMPOSICAO!$A:$A,0)),""
))))))))),"*Verificar código*"))</f>
        <v>Auxiliar De Serralheiro Com Encargos Complementares</v>
      </c>
      <c r="E486" s="143" t="str">
        <f>LOWER(IFERROR(
IF(CONCATENATE($A486,$B486)="IDER-ES",INDEX('IDER-ES'!$C:$C,MATCH($C486,'IDER-ES'!$A:$A,0)),
IF(CONCATENATE($A486,$B486)="CIOPES",INDEX('CDER-ES'!$C:$C,MATCH($C486,'CDER-ES'!$A:$A,0)),
IF(CONCATENATE($A486,$B486)="ISINAPI",INDEX(ISINAPI!$C:$C,MATCH($C486,ISINAPI!$A:$A,0)),
IF(CONCATENATE($A486,$B486)="CSINAPI",INDEX(CSINAPI!$C:$C,MATCH($C486,CSINAPI!$A:$A,0)),
IF(CONCATENATE($A486,$B486)="CCESAN",INDEX(CCESAN!$C:$C,MATCH($C486,CCESAN!$A:$A,0)),
IF(CONCATENATE($A486,$B486)="CSCORIO",INDEX(CSCORIO!$A:$A,MATCH($C486,CSCORIO!#REF!,0)),
IF(CONCATENATE($A486,$B486)="MERC",INDEX(MERCADO!$D:$D,MATCH($C486,MERCADO!$A:$A,0)),
IF(CONCATENATE($A486,$B486)="CCOMP",INDEX(COMPOSICAO!$H:$H,MATCH($C486,COMPOSICAO!$A:$A,0)),""
)))))))),""))</f>
        <v>h</v>
      </c>
      <c r="F486" s="182">
        <v>3.35</v>
      </c>
      <c r="G486" s="144">
        <f>(IFERROR(
IF(CONCATENATE($A486,$B486)="IDER-ES",INDEX('IDER-ES'!$D:$D,MATCH($C486,'IDER-ES'!$A:$A,0)),
IF(CONCATENATE($A486,$B486)="CIOPES",INDEX('CDER-ES'!$D:$D,MATCH($C486,'CDER-ES'!$A:$A,0)),
IF(CONCATENATE($A486,$B486)="ISINAPI",INDEX(ISINAPI!$E:$E,MATCH($C486,ISINAPI!$A:$A,0)),
IF(CONCATENATE($A486,$B486)="CSINAPI",INDEX(CSINAPI!$D:$D,MATCH($C486,CSINAPI!$A:$A,0)),
IF(CONCATENATE($A486,$B486)="CCESAN",INDEX(CCESAN!$D:$D,MATCH($C486,CCESAN!$A:$A,0)),
IF(CONCATENATE($A486,$B486)="CSCORIO",INDEX(CSCORIO!$B:$B,MATCH($C486,CSCORIO!#REF!,0)),
IF(CONCATENATE($A486,$B486)="MERC",INDEX(MERCADO!$E:$E,MATCH($C486,MERCADO!$A:$A,0)),
IF(CONCATENATE($A486,$B486)="CCOMP",INDEX(COMPOSICAO!$H:$H,MATCH($C486,COMPOSICAO!$A:$A,0)),""
)))))))),""))</f>
        <v>20.34</v>
      </c>
      <c r="H486" s="144">
        <f t="shared" si="84"/>
        <v>68.14</v>
      </c>
      <c r="J486" s="266"/>
    </row>
    <row r="487" spans="1:10" ht="25.5">
      <c r="A487" s="141" t="s">
        <v>21960</v>
      </c>
      <c r="B487" s="141" t="s">
        <v>1019</v>
      </c>
      <c r="C487" s="141">
        <v>88315</v>
      </c>
      <c r="D487" s="142" t="str">
        <f>PROPER(IFERROR(
IF(C487="","",
IF(CONCATENATE($A487,$B487)="IDER-ES",INDEX('IDER-ES'!$B:$B,MATCH($C487,'IDER-ES'!$A:$A,0)),
IF(CONCATENATE($A487,$B487)="CDER-ES",INDEX('CDER-ES'!$B:$B,MATCH($C487,'CDER-ES'!$A:$A,0)),
IF(CONCATENATE($A487,$B487)="ISINAPI",INDEX(ISINAPI!$B:$B,MATCH($C487,ISINAPI!$A:$A,0)),
IF(CONCATENATE($A487,$B487)="CSINAPI",INDEX(CSINAPI!$B:$B,MATCH($C487,CSINAPI!$A:$A,0)),
IF(CONCATENATE($A487,$B487)="CCESAN",INDEX(CCESAN!$B:$B,MATCH($C487,CCESAN!$A:$A,0)),
IF(CONCATENATE($A487,$B487)="CSCORIO",INDEX(CSCORIO!#REF!,MATCH($C487,CSCORIO!#REF!,0)),
IF(CONCATENATE($A487,$B487)="MERC",INDEX(MERCADO!$B:$B,MATCH($C487,MERCADO!$A:$A,0)),
IF(CONCATENATE($A487,$B487)="CCOMP",INDEX(COMPOSICAO!$B:$B,MATCH($C487,COMPOSICAO!$A:$A,0)),""
))))))))),"*Verificar código*"))</f>
        <v>Serralheiro Com Encargos Complementares</v>
      </c>
      <c r="E487" s="143" t="str">
        <f>LOWER(IFERROR(
IF(CONCATENATE($A487,$B487)="IDER-ES",INDEX('IDER-ES'!$C:$C,MATCH($C487,'IDER-ES'!$A:$A,0)),
IF(CONCATENATE($A487,$B487)="CDER-ES",INDEX('CDER-ES'!$C:$C,MATCH($C487,'CDER-ES'!$A:$A,0)),
IF(CONCATENATE($A487,$B487)="ISINAPI",INDEX(ISINAPI!$C:$C,MATCH($C487,ISINAPI!$A:$A,0)),
IF(CONCATENATE($A487,$B487)="CSINAPI",INDEX(CSINAPI!$C:$C,MATCH($C487,CSINAPI!$A:$A,0)),
IF(CONCATENATE($A487,$B487)="CCESAN",INDEX(CCESAN!$C:$C,MATCH($C487,CCESAN!$A:$A,0)),
IF(CONCATENATE($A487,$B487)="CSCORIO",INDEX(CSCORIO!$A:$A,MATCH($C487,CSCORIO!#REF!,0)),
IF(CONCATENATE($A487,$B487)="MERC",INDEX(MERCADO!$D:$D,MATCH($C487,MERCADO!$A:$A,0)),
IF(CONCATENATE($A487,$B487)="CCOMP",INDEX(COMPOSICAO!$H:$H,MATCH($C487,COMPOSICAO!$A:$A,0)),""
)))))))),""))</f>
        <v>h</v>
      </c>
      <c r="F487" s="182">
        <v>5.0999999999999996</v>
      </c>
      <c r="G487" s="144">
        <f>(IFERROR(
IF(CONCATENATE($A487,$B487)="IDER-ES",INDEX('IDER-ES'!$D:$D,MATCH($C487,'IDER-ES'!$A:$A,0)),
IF(CONCATENATE($A487,$B487)="CDER-ES",INDEX('CDER-ES'!$D:$D,MATCH($C487,'CDER-ES'!$A:$A,0)),
IF(CONCATENATE($A487,$B487)="ISINAPI",INDEX(ISINAPI!$E:$E,MATCH($C487,ISINAPI!$A:$A,0)),
IF(CONCATENATE($A487,$B487)="CSINAPI",INDEX(CSINAPI!$D:$D,MATCH($C487,CSINAPI!$A:$A,0)),
IF(CONCATENATE($A487,$B487)="CCESAN",INDEX(CCESAN!$D:$D,MATCH($C487,CCESAN!$A:$A,0)),
IF(CONCATENATE($A487,$B487)="CSCORIO",INDEX(CSCORIO!$B:$B,MATCH($C487,CSCORIO!#REF!,0)),
IF(CONCATENATE($A487,$B487)="MERC",INDEX(MERCADO!$E:$E,MATCH($C487,MERCADO!$A:$A,0)),
IF(CONCATENATE($A487,$B487)="CCOMP",INDEX(COMPOSICAO!$H:$H,MATCH($C487,COMPOSICAO!$A:$A,0)),""
)))))))),""))</f>
        <v>25.1</v>
      </c>
      <c r="H487" s="144">
        <f t="shared" si="84"/>
        <v>128.01</v>
      </c>
    </row>
    <row r="488" spans="1:10" ht="25.5">
      <c r="A488" s="141" t="s">
        <v>21960</v>
      </c>
      <c r="B488" s="141" t="s">
        <v>1019</v>
      </c>
      <c r="C488" s="141">
        <v>100717</v>
      </c>
      <c r="D488" s="142" t="str">
        <f>PROPER(IFERROR(
IF(C488="","",
IF(CONCATENATE($A488,$B488)="IDER-ES",INDEX('IDER-ES'!$B:$B,MATCH($C488,'IDER-ES'!$A:$A,0)),
IF(CONCATENATE($A488,$B488)="CDER-ES",INDEX('CDER-ES'!$B:$B,MATCH($C488,'CDER-ES'!$A:$A,0)),
IF(CONCATENATE($A488,$B488)="ISINAPI",INDEX(ISINAPI!$B:$B,MATCH($C488,ISINAPI!$A:$A,0)),
IF(CONCATENATE($A488,$B488)="CSINAPI",INDEX(CSINAPI!$B:$B,MATCH($C488,CSINAPI!$A:$A,0)),
IF(CONCATENATE($A488,$B488)="CCESAN",INDEX(CCESAN!$B:$B,MATCH($C488,CCESAN!$A:$A,0)),
IF(CONCATENATE($A488,$B488)="CSCORIO",INDEX(CSCORIO!#REF!,MATCH($C488,CSCORIO!#REF!,0)),
IF(CONCATENATE($A488,$B488)="MERC",INDEX(MERCADO!$B:$B,MATCH($C488,MERCADO!$A:$A,0)),
IF(CONCATENATE($A488,$B488)="CCOMP",INDEX(COMPOSICAO!$B:$B,MATCH($C488,COMPOSICAO!$A:$A,0)),""
))))))))),"*Verificar código*"))</f>
        <v>Lixamento Manual Em Superfícies Metálicas Em Obra. Af_01/2020</v>
      </c>
      <c r="E488" s="143" t="str">
        <f>LOWER(IFERROR(
IF(CONCATENATE($A488,$B488)="IDER-ES",INDEX('IDER-ES'!$C:$C,MATCH($C488,'IDER-ES'!$A:$A,0)),
IF(CONCATENATE($A488,$B488)="CIOPES",INDEX('CDER-ES'!$C:$C,MATCH($C488,'CDER-ES'!$A:$A,0)),
IF(CONCATENATE($A488,$B488)="ISINAPI",INDEX(ISINAPI!$C:$C,MATCH($C488,ISINAPI!$A:$A,0)),
IF(CONCATENATE($A488,$B488)="CSINAPI",INDEX(CSINAPI!$C:$C,MATCH($C488,CSINAPI!$A:$A,0)),
IF(CONCATENATE($A488,$B488)="CCESAN",INDEX(CCESAN!$C:$C,MATCH($C488,CCESAN!$A:$A,0)),
IF(CONCATENATE($A488,$B488)="CSCORIO",INDEX(CSCORIO!$A:$A,MATCH($C488,CSCORIO!#REF!,0)),
IF(CONCATENATE($A488,$B488)="MERC",INDEX(MERCADO!$D:$D,MATCH($C488,MERCADO!$A:$A,0)),
IF(CONCATENATE($A488,$B488)="CCOMP",INDEX(COMPOSICAO!$H:$H,MATCH($C488,COMPOSICAO!$A:$A,0)),""
)))))))),""))</f>
        <v>m²</v>
      </c>
      <c r="F488" s="182">
        <v>0.84</v>
      </c>
      <c r="G488" s="144">
        <f>(IFERROR(
IF(CONCATENATE($A488,$B488)="IDER-ES",INDEX('IDER-ES'!$D:$D,MATCH($C488,'IDER-ES'!$A:$A,0)),
IF(CONCATENATE($A488,$B488)="CIOPES",INDEX('CDER-ES'!$D:$D,MATCH($C488,'CDER-ES'!$A:$A,0)),
IF(CONCATENATE($A488,$B488)="ISINAPI",INDEX(ISINAPI!$E:$E,MATCH($C488,ISINAPI!$A:$A,0)),
IF(CONCATENATE($A488,$B488)="CSINAPI",INDEX(CSINAPI!$D:$D,MATCH($C488,CSINAPI!$A:$A,0)),
IF(CONCATENATE($A488,$B488)="CCESAN",INDEX(CCESAN!$D:$D,MATCH($C488,CCESAN!$A:$A,0)),
IF(CONCATENATE($A488,$B488)="CSCORIO",INDEX(CSCORIO!$B:$B,MATCH($C488,CSCORIO!#REF!,0)),
IF(CONCATENATE($A488,$B488)="MERC",INDEX(MERCADO!$E:$E,MATCH($C488,MERCADO!$A:$A,0)),
IF(CONCATENATE($A488,$B488)="CCOMP",INDEX(COMPOSICAO!$H:$H,MATCH($C488,COMPOSICAO!$A:$A,0)),""
)))))))),""))</f>
        <v>9.2899999999999991</v>
      </c>
      <c r="H488" s="144">
        <f t="shared" si="84"/>
        <v>7.8</v>
      </c>
    </row>
    <row r="489" spans="1:10" ht="63.75">
      <c r="A489" s="141" t="s">
        <v>21960</v>
      </c>
      <c r="B489" s="141" t="s">
        <v>26583</v>
      </c>
      <c r="C489" s="141">
        <v>190417</v>
      </c>
      <c r="D489" s="142" t="str">
        <f>PROPER(IFERROR(
IF(C489="","",
IF(CONCATENATE($A489,$B489)="IDER-ES",INDEX('IDER-ES'!$B:$B,MATCH($C489,'IDER-ES'!$A:$A,0)),
IF(CONCATENATE($A489,$B489)="CDER-ES",INDEX('CDER-ES'!$B:$B,MATCH($C489,'CDER-ES'!$A:$A,0)),
IF(CONCATENATE($A489,$B489)="ISINAPI",INDEX(ISINAPI!$B:$B,MATCH($C489,ISINAPI!$A:$A,0)),
IF(CONCATENATE($A489,$B489)="CSINAPI",INDEX(CSINAPI!$B:$B,MATCH($C489,CSINAPI!$A:$A,0)),
IF(CONCATENATE($A489,$B489)="CCESAN",INDEX(CCESAN!$B:$B,MATCH($C489,CCESAN!$A:$A,0)),
IF(CONCATENATE($A489,$B489)="CSCORIO",INDEX(CSCORIO!#REF!,MATCH($C489,CSCORIO!#REF!,0)),
IF(CONCATENATE($A489,$B489)="MERC",INDEX(MERCADO!$B:$B,MATCH($C489,MERCADO!$A:$A,0)),
IF(CONCATENATE($A489,$B489)="CCOMP",INDEX(COMPOSICAO!$B:$B,MATCH($C489,COMPOSICAO!$A:$A,0)),""
))))))))),"*Verificar código*"))</f>
        <v>Pintura Com Tinta Esmalte Sintético, Marcas De Referência Suvinil, Coral Ou Metalatex, A Duas Demãos, Inclusive Fundo Anticorrosivo A Uma Demão, Em Metal</v>
      </c>
      <c r="E489" s="143" t="str">
        <f>LOWER(IFERROR(
IF(CONCATENATE($A489,$B489)="IDER-ES",INDEX('IDER-ES'!$C:$C,MATCH($C489,'IDER-ES'!$A:$A,0)),
IF(CONCATENATE($A489,$B489)="CDER-ES",INDEX('CDER-ES'!$C:$C,MATCH($C489,'CDER-ES'!$A:$A,0)),
IF(CONCATENATE($A489,$B489)="ISINAPI",INDEX(ISINAPI!$C:$C,MATCH($C489,ISINAPI!$A:$A,0)),
IF(CONCATENATE($A489,$B489)="CSINAPI",INDEX(CSINAPI!$C:$C,MATCH($C489,CSINAPI!$A:$A,0)),
IF(CONCATENATE($A489,$B489)="CCESAN",INDEX(CCESAN!$C:$C,MATCH($C489,CCESAN!$A:$A,0)),
IF(CONCATENATE($A489,$B489)="CSCORIO",INDEX(CSCORIO!$A:$A,MATCH($C489,CSCORIO!#REF!,0)),
IF(CONCATENATE($A489,$B489)="MERC",INDEX(MERCADO!$D:$D,MATCH($C489,MERCADO!$A:$A,0)),
IF(CONCATENATE($A489,$B489)="CCOMP",INDEX(COMPOSICAO!$H:$H,MATCH($C489,COMPOSICAO!$A:$A,0)),""
)))))))),""))</f>
        <v>m²</v>
      </c>
      <c r="F489" s="182">
        <f>F488</f>
        <v>0.84</v>
      </c>
      <c r="G489" s="144">
        <f>(IFERROR(
IF(CONCATENATE($A489,$B489)="IDER-ES",INDEX('IDER-ES'!$D:$D,MATCH($C489,'IDER-ES'!$A:$A,0)),
IF(CONCATENATE($A489,$B489)="CDER-ES",INDEX('CDER-ES'!$D:$D,MATCH($C489,'CDER-ES'!$A:$A,0)),
IF(CONCATENATE($A489,$B489)="ISINAPI",INDEX(ISINAPI!$E:$E,MATCH($C489,ISINAPI!$A:$A,0)),
IF(CONCATENATE($A489,$B489)="CSINAPI",INDEX(CSINAPI!$D:$D,MATCH($C489,CSINAPI!$A:$A,0)),
IF(CONCATENATE($A489,$B489)="CCESAN",INDEX(CCESAN!$D:$D,MATCH($C489,CCESAN!$A:$A,0)),
IF(CONCATENATE($A489,$B489)="CSCORIO",INDEX(CSCORIO!$B:$B,MATCH($C489,CSCORIO!#REF!,0)),
IF(CONCATENATE($A489,$B489)="MERC",INDEX(MERCADO!$E:$E,MATCH($C489,MERCADO!$A:$A,0)),
IF(CONCATENATE($A489,$B489)="CCOMP",INDEX(COMPOSICAO!$H:$H,MATCH($C489,COMPOSICAO!$A:$A,0)),""
)))))))),""))</f>
        <v>20.010000000000002</v>
      </c>
      <c r="H489" s="144">
        <f t="shared" si="84"/>
        <v>16.809999999999999</v>
      </c>
    </row>
    <row r="491" spans="1:10" s="135" customFormat="1" ht="20.100000000000001" customHeight="1">
      <c r="A491" s="186" t="s">
        <v>1020</v>
      </c>
      <c r="B491" s="405" t="s">
        <v>1022</v>
      </c>
      <c r="C491" s="406"/>
      <c r="D491" s="406"/>
      <c r="E491" s="406"/>
      <c r="F491" s="407"/>
      <c r="G491" s="133" t="s">
        <v>19692</v>
      </c>
      <c r="H491" s="134" t="s">
        <v>19678</v>
      </c>
      <c r="I491" s="263"/>
    </row>
    <row r="492" spans="1:10" ht="15" customHeight="1">
      <c r="A492" s="136">
        <f>COUNTIF($A$4:$A491,$A$4)</f>
        <v>45</v>
      </c>
      <c r="B492" s="408" t="s">
        <v>29109</v>
      </c>
      <c r="C492" s="409"/>
      <c r="D492" s="409"/>
      <c r="E492" s="409"/>
      <c r="F492" s="410"/>
      <c r="G492" s="137" t="s">
        <v>6</v>
      </c>
      <c r="H492" s="211">
        <f>SUM(H494:H501)</f>
        <v>46.33</v>
      </c>
    </row>
    <row r="493" spans="1:10" ht="30" customHeight="1">
      <c r="A493" s="139" t="s">
        <v>1026</v>
      </c>
      <c r="B493" s="139" t="s">
        <v>1027</v>
      </c>
      <c r="C493" s="139" t="s">
        <v>31</v>
      </c>
      <c r="D493" s="139" t="s">
        <v>1023</v>
      </c>
      <c r="E493" s="139" t="s">
        <v>32</v>
      </c>
      <c r="F493" s="183" t="s">
        <v>2343</v>
      </c>
      <c r="G493" s="140" t="s">
        <v>19676</v>
      </c>
      <c r="H493" s="140" t="s">
        <v>19677</v>
      </c>
    </row>
    <row r="494" spans="1:10" ht="25.5">
      <c r="A494" s="141" t="s">
        <v>26621</v>
      </c>
      <c r="B494" s="141" t="s">
        <v>1019</v>
      </c>
      <c r="C494" s="141">
        <v>5066</v>
      </c>
      <c r="D494" s="142" t="str">
        <f>PROPER(IFERROR(
IF(C494="","",
IF(CONCATENATE($A494,$B494)="IDER-ES",INDEX('IDER-ES'!$B:$B,MATCH($C494,'IDER-ES'!$A:$A,0)),
IF(CONCATENATE($A494,$B494)="CDER-ES",INDEX('CDER-ES'!$B:$B,MATCH($C494,'CDER-ES'!$A:$A,0)),
IF(CONCATENATE($A494,$B494)="ISINAPI",INDEX(ISINAPI!$B:$B,MATCH($C494,ISINAPI!$A:$A,0)),
IF(CONCATENATE($A494,$B494)="CSINAPI",INDEX(CSINAPI!$B:$B,MATCH($C494,CSINAPI!$A:$A,0)),
IF(CONCATENATE($A494,$B494)="CCESAN",INDEX(CCESAN!$B:$B,MATCH($C494,CCESAN!$A:$A,0)),
IF(CONCATENATE($A494,$B494)="CSCORIO",INDEX(CSCORIO!#REF!,MATCH($C494,CSCORIO!#REF!,0)),
IF(CONCATENATE($A494,$B494)="MERC",INDEX(MERCADO!$B:$B,MATCH($C494,MERCADO!$A:$A,0)),
IF(CONCATENATE($A494,$B494)="CCOMP",INDEX(COMPOSICAO!$B:$B,MATCH($C494,COMPOSICAO!$A:$A,0)),""
))))))))),"*Verificar código*"))</f>
        <v xml:space="preserve">Prego De Aco Polido Com Cabeca 12 X 12                                                                                                                                                                                                                                                                                                                                                                                                                                                                    </v>
      </c>
      <c r="E494" s="143" t="str">
        <f>LOWER(IFERROR(
IF(CONCATENATE($A494,$B494)="IDER-ES",INDEX('IDER-ES'!$C:$C,MATCH($C494,'IDER-ES'!$A:$A,0)),
IF(CONCATENATE($A494,$B494)="CIOPES",INDEX('CDER-ES'!$C:$C,MATCH($C494,'CDER-ES'!$A:$A,0)),
IF(CONCATENATE($A494,$B494)="ISINAPI",INDEX(ISINAPI!$C:$C,MATCH($C494,ISINAPI!$A:$A,0)),
IF(CONCATENATE($A494,$B494)="CSINAPI",INDEX(CSINAPI!$C:$C,MATCH($C494,CSINAPI!$A:$A,0)),
IF(CONCATENATE($A494,$B494)="CCESAN",INDEX(CCESAN!$C:$C,MATCH($C494,CCESAN!$A:$A,0)),
IF(CONCATENATE($A494,$B494)="CSCORIO",INDEX(CSCORIO!$A:$A,MATCH($C494,CSCORIO!#REF!,0)),
IF(CONCATENATE($A494,$B494)="MERC",INDEX(MERCADO!$D:$D,MATCH($C494,MERCADO!$A:$A,0)),
IF(CONCATENATE($A494,$B494)="CCOMP",INDEX(COMPOSICAO!$H:$H,MATCH($C494,COMPOSICAO!$A:$A,0)),""
)))))))),""))</f>
        <v xml:space="preserve">kg    </v>
      </c>
      <c r="F494" s="182">
        <v>3.0000000000000001E-3</v>
      </c>
      <c r="G494" s="144">
        <f>(IFERROR(
IF(CONCATENATE($A494,$B494)="IDER-ES",INDEX('IDER-ES'!$D:$D,MATCH($C494,'IDER-ES'!$A:$A,0)),
IF(CONCATENATE($A494,$B494)="CIOPES",INDEX('CDER-ES'!$D:$D,MATCH($C494,'CDER-ES'!$A:$A,0)),
IF(CONCATENATE($A494,$B494)="ISINAPI",INDEX(ISINAPI!$E:$E,MATCH($C494,ISINAPI!$A:$A,0)),
IF(CONCATENATE($A494,$B494)="CSINAPI",INDEX(CSINAPI!$D:$D,MATCH($C494,CSINAPI!$A:$A,0)),
IF(CONCATENATE($A494,$B494)="CCESAN",INDEX(CCESAN!$D:$D,MATCH($C494,CCESAN!$A:$A,0)),
IF(CONCATENATE($A494,$B494)="CSCORIO",INDEX(CSCORIO!$B:$B,MATCH($C494,CSCORIO!#REF!,0)),
IF(CONCATENATE($A494,$B494)="MERC",INDEX(MERCADO!$E:$E,MATCH($C494,MERCADO!$A:$A,0)),
IF(CONCATENATE($A494,$B494)="CCOMP",INDEX(COMPOSICAO!$H:$H,MATCH($C494,COMPOSICAO!$A:$A,0)),""
)))))))),""))</f>
        <v>36.380000000000003</v>
      </c>
      <c r="H494" s="144">
        <f t="shared" ref="H494:H501" si="85">IF(B494="","",ROUND(G494*F494,2))</f>
        <v>0.11</v>
      </c>
      <c r="J494" s="266"/>
    </row>
    <row r="495" spans="1:10" ht="38.25">
      <c r="A495" s="141" t="s">
        <v>26621</v>
      </c>
      <c r="B495" s="141" t="s">
        <v>1019</v>
      </c>
      <c r="C495" s="141">
        <v>3288</v>
      </c>
      <c r="D495" s="142" t="str">
        <f>PROPER(IFERROR(
IF(C495="","",
IF(CONCATENATE($A495,$B495)="IDER-ES",INDEX('IDER-ES'!$B:$B,MATCH($C495,'IDER-ES'!$A:$A,0)),
IF(CONCATENATE($A495,$B495)="CDER-ES",INDEX('CDER-ES'!$B:$B,MATCH($C495,'CDER-ES'!$A:$A,0)),
IF(CONCATENATE($A495,$B495)="ISINAPI",INDEX(ISINAPI!$B:$B,MATCH($C495,ISINAPI!$A:$A,0)),
IF(CONCATENATE($A495,$B495)="CSINAPI",INDEX(CSINAPI!$B:$B,MATCH($C495,CSINAPI!$A:$A,0)),
IF(CONCATENATE($A495,$B495)="CCESAN",INDEX(CCESAN!$B:$B,MATCH($C495,CCESAN!$A:$A,0)),
IF(CONCATENATE($A495,$B495)="CSCORIO",INDEX(CSCORIO!#REF!,MATCH($C495,CSCORIO!#REF!,0)),
IF(CONCATENATE($A495,$B495)="MERC",INDEX(MERCADO!$B:$B,MATCH($C495,MERCADO!$A:$A,0)),
IF(CONCATENATE($A495,$B495)="CCOMP",INDEX(COMPOSICAO!$B:$B,MATCH($C495,COMPOSICAO!$A:$A,0)),""
))))))))),"*Verificar código*"))</f>
        <v xml:space="preserve">Meia Cana De Madeira Cedrinho Ou Equivalente Da Regiao, Acabamento Para Forro Paulista, *2,5 X 2,5* Cm                                                                                                                                                                                                                                                                                                                                                                                                    </v>
      </c>
      <c r="E495" s="143" t="str">
        <f>LOWER(IFERROR(
IF(CONCATENATE($A495,$B495)="IDER-ES",INDEX('IDER-ES'!$C:$C,MATCH($C495,'IDER-ES'!$A:$A,0)),
IF(CONCATENATE($A495,$B495)="CIOPES",INDEX('CDER-ES'!$C:$C,MATCH($C495,'CDER-ES'!$A:$A,0)),
IF(CONCATENATE($A495,$B495)="ISINAPI",INDEX(ISINAPI!$C:$C,MATCH($C495,ISINAPI!$A:$A,0)),
IF(CONCATENATE($A495,$B495)="CSINAPI",INDEX(CSINAPI!$C:$C,MATCH($C495,CSINAPI!$A:$A,0)),
IF(CONCATENATE($A495,$B495)="CCESAN",INDEX(CCESAN!$C:$C,MATCH($C495,CCESAN!$A:$A,0)),
IF(CONCATENATE($A495,$B495)="CSCORIO",INDEX(CSCORIO!$A:$A,MATCH($C495,CSCORIO!#REF!,0)),
IF(CONCATENATE($A495,$B495)="MERC",INDEX(MERCADO!$D:$D,MATCH($C495,MERCADO!$A:$A,0)),
IF(CONCATENATE($A495,$B495)="CCOMP",INDEX(COMPOSICAO!$H:$H,MATCH($C495,COMPOSICAO!$A:$A,0)),""
)))))))),""))</f>
        <v xml:space="preserve">m     </v>
      </c>
      <c r="F495" s="182">
        <v>1.1599999999999999</v>
      </c>
      <c r="G495" s="144">
        <f>(IFERROR(
IF(CONCATENATE($A495,$B495)="IDER-ES",INDEX('IDER-ES'!$D:$D,MATCH($C495,'IDER-ES'!$A:$A,0)),
IF(CONCATENATE($A495,$B495)="CIOPES",INDEX('CDER-ES'!$D:$D,MATCH($C495,'CDER-ES'!$A:$A,0)),
IF(CONCATENATE($A495,$B495)="ISINAPI",INDEX(ISINAPI!$E:$E,MATCH($C495,ISINAPI!$A:$A,0)),
IF(CONCATENATE($A495,$B495)="CSINAPI",INDEX(CSINAPI!$D:$D,MATCH($C495,CSINAPI!$A:$A,0)),
IF(CONCATENATE($A495,$B495)="CCESAN",INDEX(CCESAN!$D:$D,MATCH($C495,CCESAN!$A:$A,0)),
IF(CONCATENATE($A495,$B495)="CSCORIO",INDEX(CSCORIO!$B:$B,MATCH($C495,CSCORIO!#REF!,0)),
IF(CONCATENATE($A495,$B495)="MERC",INDEX(MERCADO!$E:$E,MATCH($C495,MERCADO!$A:$A,0)),
IF(CONCATENATE($A495,$B495)="CCOMP",INDEX(COMPOSICAO!$H:$H,MATCH($C495,COMPOSICAO!$A:$A,0)),""
)))))))),""))</f>
        <v>6</v>
      </c>
      <c r="H495" s="144">
        <f t="shared" si="85"/>
        <v>6.96</v>
      </c>
      <c r="J495" s="266"/>
    </row>
    <row r="496" spans="1:10" ht="38.25">
      <c r="A496" s="141" t="s">
        <v>26621</v>
      </c>
      <c r="B496" s="141" t="s">
        <v>1019</v>
      </c>
      <c r="C496" s="141">
        <v>20212</v>
      </c>
      <c r="D496" s="142" t="str">
        <f>PROPER(IFERROR(
IF(C496="","",
IF(CONCATENATE($A496,$B496)="IDER-ES",INDEX('IDER-ES'!$B:$B,MATCH($C496,'IDER-ES'!$A:$A,0)),
IF(CONCATENATE($A496,$B496)="CDER-ES",INDEX('CDER-ES'!$B:$B,MATCH($C496,'CDER-ES'!$A:$A,0)),
IF(CONCATENATE($A496,$B496)="ISINAPI",INDEX(ISINAPI!$B:$B,MATCH($C496,ISINAPI!$A:$A,0)),
IF(CONCATENATE($A496,$B496)="CSINAPI",INDEX(CSINAPI!$B:$B,MATCH($C496,CSINAPI!$A:$A,0)),
IF(CONCATENATE($A496,$B496)="CCESAN",INDEX(CCESAN!$B:$B,MATCH($C496,CCESAN!$A:$A,0)),
IF(CONCATENATE($A496,$B496)="CSCORIO",INDEX(CSCORIO!#REF!,MATCH($C496,CSCORIO!#REF!,0)),
IF(CONCATENATE($A496,$B496)="MERC",INDEX(MERCADO!$B:$B,MATCH($C496,MERCADO!$A:$A,0)),
IF(CONCATENATE($A496,$B496)="CCOMP",INDEX(COMPOSICAO!$B:$B,MATCH($C496,COMPOSICAO!$A:$A,0)),""
))))))))),"*Verificar código*"))</f>
        <v xml:space="preserve">Caibro Aparelhado *6 X 8* Cm, Em Macaranduba, Angelim Ou Equivalente Da Regiao                                                                                                                                                                                                                                                                                                                                                                                                                            </v>
      </c>
      <c r="E496" s="143" t="str">
        <f>LOWER(IFERROR(
IF(CONCATENATE($A496,$B496)="IDER-ES",INDEX('IDER-ES'!$C:$C,MATCH($C496,'IDER-ES'!$A:$A,0)),
IF(CONCATENATE($A496,$B496)="CIOPES",INDEX('CDER-ES'!$C:$C,MATCH($C496,'CDER-ES'!$A:$A,0)),
IF(CONCATENATE($A496,$B496)="ISINAPI",INDEX(ISINAPI!$C:$C,MATCH($C496,ISINAPI!$A:$A,0)),
IF(CONCATENATE($A496,$B496)="CSINAPI",INDEX(CSINAPI!$C:$C,MATCH($C496,CSINAPI!$A:$A,0)),
IF(CONCATENATE($A496,$B496)="CCESAN",INDEX(CCESAN!$C:$C,MATCH($C496,CCESAN!$A:$A,0)),
IF(CONCATENATE($A496,$B496)="CSCORIO",INDEX(CSCORIO!$A:$A,MATCH($C496,CSCORIO!#REF!,0)),
IF(CONCATENATE($A496,$B496)="MERC",INDEX(MERCADO!$D:$D,MATCH($C496,MERCADO!$A:$A,0)),
IF(CONCATENATE($A496,$B496)="CCOMP",INDEX(COMPOSICAO!$H:$H,MATCH($C496,COMPOSICAO!$A:$A,0)),""
)))))))),""))</f>
        <v xml:space="preserve">m     </v>
      </c>
      <c r="F496" s="182">
        <v>1.1599999999999999</v>
      </c>
      <c r="G496" s="144">
        <f>(IFERROR(
IF(CONCATENATE($A496,$B496)="IDER-ES",INDEX('IDER-ES'!$D:$D,MATCH($C496,'IDER-ES'!$A:$A,0)),
IF(CONCATENATE($A496,$B496)="CIOPES",INDEX('CDER-ES'!$D:$D,MATCH($C496,'CDER-ES'!$A:$A,0)),
IF(CONCATENATE($A496,$B496)="ISINAPI",INDEX(ISINAPI!$E:$E,MATCH($C496,ISINAPI!$A:$A,0)),
IF(CONCATENATE($A496,$B496)="CSINAPI",INDEX(CSINAPI!$D:$D,MATCH($C496,CSINAPI!$A:$A,0)),
IF(CONCATENATE($A496,$B496)="CCESAN",INDEX(CCESAN!$D:$D,MATCH($C496,CCESAN!$A:$A,0)),
IF(CONCATENATE($A496,$B496)="CSCORIO",INDEX(CSCORIO!$B:$B,MATCH($C496,CSCORIO!#REF!,0)),
IF(CONCATENATE($A496,$B496)="MERC",INDEX(MERCADO!$E:$E,MATCH($C496,MERCADO!$A:$A,0)),
IF(CONCATENATE($A496,$B496)="CCOMP",INDEX(COMPOSICAO!$H:$H,MATCH($C496,COMPOSICAO!$A:$A,0)),""
)))))))),""))</f>
        <v>23.24</v>
      </c>
      <c r="H496" s="144">
        <f t="shared" ref="H496" si="86">IF(B496="","",ROUND(G496*F496,2))</f>
        <v>26.96</v>
      </c>
      <c r="J496" s="266"/>
    </row>
    <row r="497" spans="1:10" ht="25.5">
      <c r="A497" s="141" t="s">
        <v>26621</v>
      </c>
      <c r="B497" s="141" t="s">
        <v>1019</v>
      </c>
      <c r="C497" s="141">
        <v>39026</v>
      </c>
      <c r="D497" s="142" t="str">
        <f>PROPER(IFERROR(
IF(C497="","",
IF(CONCATENATE($A497,$B497)="IDER-ES",INDEX('IDER-ES'!$B:$B,MATCH($C497,'IDER-ES'!$A:$A,0)),
IF(CONCATENATE($A497,$B497)="CDER-ES",INDEX('CDER-ES'!$B:$B,MATCH($C497,'CDER-ES'!$A:$A,0)),
IF(CONCATENATE($A497,$B497)="ISINAPI",INDEX(ISINAPI!$B:$B,MATCH($C497,ISINAPI!$A:$A,0)),
IF(CONCATENATE($A497,$B497)="CSINAPI",INDEX(CSINAPI!$B:$B,MATCH($C497,CSINAPI!$A:$A,0)),
IF(CONCATENATE($A497,$B497)="CCESAN",INDEX(CCESAN!$B:$B,MATCH($C497,CCESAN!$A:$A,0)),
IF(CONCATENATE($A497,$B497)="CSCORIO",INDEX(CSCORIO!#REF!,MATCH($C497,CSCORIO!#REF!,0)),
IF(CONCATENATE($A497,$B497)="MERC",INDEX(MERCADO!$B:$B,MATCH($C497,MERCADO!$A:$A,0)),
IF(CONCATENATE($A497,$B497)="CCOMP",INDEX(COMPOSICAO!$B:$B,MATCH($C497,COMPOSICAO!$A:$A,0)),""
))))))))),"*Verificar código*"))</f>
        <v xml:space="preserve">Prego De Aco Polido Sem Cabeca 15 X 15 (1 1/4 X 13)                                                                                                                                                                                                                                                                                                                                                                                                                                                       </v>
      </c>
      <c r="E497" s="143" t="str">
        <f>LOWER(IFERROR(
IF(CONCATENATE($A497,$B497)="IDER-ES",INDEX('IDER-ES'!$C:$C,MATCH($C497,'IDER-ES'!$A:$A,0)),
IF(CONCATENATE($A497,$B497)="CIOPES",INDEX('CDER-ES'!$C:$C,MATCH($C497,'CDER-ES'!$A:$A,0)),
IF(CONCATENATE($A497,$B497)="ISINAPI",INDEX(ISINAPI!$C:$C,MATCH($C497,ISINAPI!$A:$A,0)),
IF(CONCATENATE($A497,$B497)="CSINAPI",INDEX(CSINAPI!$C:$C,MATCH($C497,CSINAPI!$A:$A,0)),
IF(CONCATENATE($A497,$B497)="CCESAN",INDEX(CCESAN!$C:$C,MATCH($C497,CCESAN!$A:$A,0)),
IF(CONCATENATE($A497,$B497)="CSCORIO",INDEX(CSCORIO!$A:$A,MATCH($C497,CSCORIO!#REF!,0)),
IF(CONCATENATE($A497,$B497)="MERC",INDEX(MERCADO!$D:$D,MATCH($C497,MERCADO!$A:$A,0)),
IF(CONCATENATE($A497,$B497)="CCOMP",INDEX(COMPOSICAO!$H:$H,MATCH($C497,COMPOSICAO!$A:$A,0)),""
)))))))),""))</f>
        <v xml:space="preserve">kg    </v>
      </c>
      <c r="F497" s="182">
        <v>7.0000000000000001E-3</v>
      </c>
      <c r="G497" s="144">
        <f>(IFERROR(
IF(CONCATENATE($A497,$B497)="IDER-ES",INDEX('IDER-ES'!$D:$D,MATCH($C497,'IDER-ES'!$A:$A,0)),
IF(CONCATENATE($A497,$B497)="CIOPES",INDEX('CDER-ES'!$D:$D,MATCH($C497,'CDER-ES'!$A:$A,0)),
IF(CONCATENATE($A497,$B497)="ISINAPI",INDEX(ISINAPI!$E:$E,MATCH($C497,ISINAPI!$A:$A,0)),
IF(CONCATENATE($A497,$B497)="CSINAPI",INDEX(CSINAPI!$D:$D,MATCH($C497,CSINAPI!$A:$A,0)),
IF(CONCATENATE($A497,$B497)="CCESAN",INDEX(CCESAN!$D:$D,MATCH($C497,CCESAN!$A:$A,0)),
IF(CONCATENATE($A497,$B497)="CSCORIO",INDEX(CSCORIO!$B:$B,MATCH($C497,CSCORIO!#REF!,0)),
IF(CONCATENATE($A497,$B497)="MERC",INDEX(MERCADO!$E:$E,MATCH($C497,MERCADO!$A:$A,0)),
IF(CONCATENATE($A497,$B497)="CCOMP",INDEX(COMPOSICAO!$H:$H,MATCH($C497,COMPOSICAO!$A:$A,0)),""
)))))))),""))</f>
        <v>31.04</v>
      </c>
      <c r="H497" s="144">
        <f t="shared" ref="H497" si="87">IF(B497="","",ROUND(G497*F497,2))</f>
        <v>0.22</v>
      </c>
      <c r="J497" s="266"/>
    </row>
    <row r="498" spans="1:10" ht="25.5">
      <c r="A498" s="141" t="s">
        <v>21960</v>
      </c>
      <c r="B498" s="141" t="s">
        <v>1019</v>
      </c>
      <c r="C498" s="141">
        <v>88239</v>
      </c>
      <c r="D498" s="142" t="str">
        <f>PROPER(IFERROR(
IF(C498="","",
IF(CONCATENATE($A498,$B498)="IDER-ES",INDEX('IDER-ES'!$B:$B,MATCH($C498,'IDER-ES'!$A:$A,0)),
IF(CONCATENATE($A498,$B498)="CDER-ES",INDEX('CDER-ES'!$B:$B,MATCH($C498,'CDER-ES'!$A:$A,0)),
IF(CONCATENATE($A498,$B498)="ISINAPI",INDEX(ISINAPI!$B:$B,MATCH($C498,ISINAPI!$A:$A,0)),
IF(CONCATENATE($A498,$B498)="CSINAPI",INDEX(CSINAPI!$B:$B,MATCH($C498,CSINAPI!$A:$A,0)),
IF(CONCATENATE($A498,$B498)="CCESAN",INDEX(CCESAN!$B:$B,MATCH($C498,CCESAN!$A:$A,0)),
IF(CONCATENATE($A498,$B498)="CSCORIO",INDEX(CSCORIO!#REF!,MATCH($C498,CSCORIO!#REF!,0)),
IF(CONCATENATE($A498,$B498)="MERC",INDEX(MERCADO!$B:$B,MATCH($C498,MERCADO!$A:$A,0)),
IF(CONCATENATE($A498,$B498)="CCOMP",INDEX(COMPOSICAO!$B:$B,MATCH($C498,COMPOSICAO!$A:$A,0)),""
))))))))),"*Verificar código*"))</f>
        <v>Ajudante De Carpinteiro Com Encargos Complementares</v>
      </c>
      <c r="E498" s="143" t="str">
        <f>LOWER(IFERROR(
IF(CONCATENATE($A498,$B498)="IDER-ES",INDEX('IDER-ES'!$C:$C,MATCH($C498,'IDER-ES'!$A:$A,0)),
IF(CONCATENATE($A498,$B498)="CIOPES",INDEX('CDER-ES'!$C:$C,MATCH($C498,'CDER-ES'!$A:$A,0)),
IF(CONCATENATE($A498,$B498)="ISINAPI",INDEX(ISINAPI!$C:$C,MATCH($C498,ISINAPI!$A:$A,0)),
IF(CONCATENATE($A498,$B498)="CSINAPI",INDEX(CSINAPI!$C:$C,MATCH($C498,CSINAPI!$A:$A,0)),
IF(CONCATENATE($A498,$B498)="CCESAN",INDEX(CCESAN!$C:$C,MATCH($C498,CCESAN!$A:$A,0)),
IF(CONCATENATE($A498,$B498)="CSCORIO",INDEX(CSCORIO!$A:$A,MATCH($C498,CSCORIO!#REF!,0)),
IF(CONCATENATE($A498,$B498)="MERC",INDEX(MERCADO!$D:$D,MATCH($C498,MERCADO!$A:$A,0)),
IF(CONCATENATE($A498,$B498)="CCOMP",INDEX(COMPOSICAO!$H:$H,MATCH($C498,COMPOSICAO!$A:$A,0)),""
)))))))),""))</f>
        <v>h</v>
      </c>
      <c r="F498" s="182">
        <v>0.1173</v>
      </c>
      <c r="G498" s="144">
        <f>(IFERROR(
IF(CONCATENATE($A498,$B498)="IDER-ES",INDEX('IDER-ES'!$D:$D,MATCH($C498,'IDER-ES'!$A:$A,0)),
IF(CONCATENATE($A498,$B498)="CIOPES",INDEX('CDER-ES'!$D:$D,MATCH($C498,'CDER-ES'!$A:$A,0)),
IF(CONCATENATE($A498,$B498)="ISINAPI",INDEX(ISINAPI!$E:$E,MATCH($C498,ISINAPI!$A:$A,0)),
IF(CONCATENATE($A498,$B498)="CSINAPI",INDEX(CSINAPI!$D:$D,MATCH($C498,CSINAPI!$A:$A,0)),
IF(CONCATENATE($A498,$B498)="CCESAN",INDEX(CCESAN!$D:$D,MATCH($C498,CCESAN!$A:$A,0)),
IF(CONCATENATE($A498,$B498)="CSCORIO",INDEX(CSCORIO!$B:$B,MATCH($C498,CSCORIO!#REF!,0)),
IF(CONCATENATE($A498,$B498)="MERC",INDEX(MERCADO!$E:$E,MATCH($C498,MERCADO!$A:$A,0)),
IF(CONCATENATE($A498,$B498)="CCOMP",INDEX(COMPOSICAO!$H:$H,MATCH($C498,COMPOSICAO!$A:$A,0)),""
)))))))),""))</f>
        <v>21.16</v>
      </c>
      <c r="H498" s="144">
        <f t="shared" si="85"/>
        <v>2.48</v>
      </c>
      <c r="J498" s="266"/>
    </row>
    <row r="499" spans="1:10" ht="25.5">
      <c r="A499" s="141" t="s">
        <v>21960</v>
      </c>
      <c r="B499" s="141" t="s">
        <v>1019</v>
      </c>
      <c r="C499" s="141">
        <v>88262</v>
      </c>
      <c r="D499" s="142" t="str">
        <f>PROPER(IFERROR(
IF(C499="","",
IF(CONCATENATE($A499,$B499)="IDER-ES",INDEX('IDER-ES'!$B:$B,MATCH($C499,'IDER-ES'!$A:$A,0)),
IF(CONCATENATE($A499,$B499)="CDER-ES",INDEX('CDER-ES'!$B:$B,MATCH($C499,'CDER-ES'!$A:$A,0)),
IF(CONCATENATE($A499,$B499)="ISINAPI",INDEX(ISINAPI!$B:$B,MATCH($C499,ISINAPI!$A:$A,0)),
IF(CONCATENATE($A499,$B499)="CSINAPI",INDEX(CSINAPI!$B:$B,MATCH($C499,CSINAPI!$A:$A,0)),
IF(CONCATENATE($A499,$B499)="CCESAN",INDEX(CCESAN!$B:$B,MATCH($C499,CCESAN!$A:$A,0)),
IF(CONCATENATE($A499,$B499)="CSCORIO",INDEX(CSCORIO!#REF!,MATCH($C499,CSCORIO!#REF!,0)),
IF(CONCATENATE($A499,$B499)="MERC",INDEX(MERCADO!$B:$B,MATCH($C499,MERCADO!$A:$A,0)),
IF(CONCATENATE($A499,$B499)="CCOMP",INDEX(COMPOSICAO!$B:$B,MATCH($C499,COMPOSICAO!$A:$A,0)),""
))))))))),"*Verificar código*"))</f>
        <v>Carpinteiro De Formas Com Encargos Complementares</v>
      </c>
      <c r="E499" s="143" t="str">
        <f>LOWER(IFERROR(
IF(CONCATENATE($A499,$B499)="IDER-ES",INDEX('IDER-ES'!$C:$C,MATCH($C499,'IDER-ES'!$A:$A,0)),
IF(CONCATENATE($A499,$B499)="CDER-ES",INDEX('CDER-ES'!$C:$C,MATCH($C499,'CDER-ES'!$A:$A,0)),
IF(CONCATENATE($A499,$B499)="ISINAPI",INDEX(ISINAPI!$C:$C,MATCH($C499,ISINAPI!$A:$A,0)),
IF(CONCATENATE($A499,$B499)="CSINAPI",INDEX(CSINAPI!$C:$C,MATCH($C499,CSINAPI!$A:$A,0)),
IF(CONCATENATE($A499,$B499)="CCESAN",INDEX(CCESAN!$C:$C,MATCH($C499,CCESAN!$A:$A,0)),
IF(CONCATENATE($A499,$B499)="CSCORIO",INDEX(CSCORIO!$A:$A,MATCH($C499,CSCORIO!#REF!,0)),
IF(CONCATENATE($A499,$B499)="MERC",INDEX(MERCADO!$D:$D,MATCH($C499,MERCADO!$A:$A,0)),
IF(CONCATENATE($A499,$B499)="CCOMP",INDEX(COMPOSICAO!$H:$H,MATCH($C499,COMPOSICAO!$A:$A,0)),""
)))))))),""))</f>
        <v>h</v>
      </c>
      <c r="F499" s="182">
        <v>0.35189999999999999</v>
      </c>
      <c r="G499" s="144">
        <f>(IFERROR(
IF(CONCATENATE($A499,$B499)="IDER-ES",INDEX('IDER-ES'!$D:$D,MATCH($C499,'IDER-ES'!$A:$A,0)),
IF(CONCATENATE($A499,$B499)="CDER-ES",INDEX('CDER-ES'!$D:$D,MATCH($C499,'CDER-ES'!$A:$A,0)),
IF(CONCATENATE($A499,$B499)="ISINAPI",INDEX(ISINAPI!$E:$E,MATCH($C499,ISINAPI!$A:$A,0)),
IF(CONCATENATE($A499,$B499)="CSINAPI",INDEX(CSINAPI!$D:$D,MATCH($C499,CSINAPI!$A:$A,0)),
IF(CONCATENATE($A499,$B499)="CCESAN",INDEX(CCESAN!$D:$D,MATCH($C499,CCESAN!$A:$A,0)),
IF(CONCATENATE($A499,$B499)="CSCORIO",INDEX(CSCORIO!$B:$B,MATCH($C499,CSCORIO!#REF!,0)),
IF(CONCATENATE($A499,$B499)="MERC",INDEX(MERCADO!$E:$E,MATCH($C499,MERCADO!$A:$A,0)),
IF(CONCATENATE($A499,$B499)="CCOMP",INDEX(COMPOSICAO!$H:$H,MATCH($C499,COMPOSICAO!$A:$A,0)),""
)))))))),""))</f>
        <v>25.18</v>
      </c>
      <c r="H499" s="144">
        <f t="shared" si="85"/>
        <v>8.86</v>
      </c>
    </row>
    <row r="500" spans="1:10" ht="25.5">
      <c r="A500" s="141" t="s">
        <v>21960</v>
      </c>
      <c r="B500" s="141" t="s">
        <v>1019</v>
      </c>
      <c r="C500" s="141">
        <v>102193</v>
      </c>
      <c r="D500" s="142" t="str">
        <f>PROPER(IFERROR(
IF(C500="","",
IF(CONCATENATE($A500,$B500)="IDER-ES",INDEX('IDER-ES'!$B:$B,MATCH($C500,'IDER-ES'!$A:$A,0)),
IF(CONCATENATE($A500,$B500)="CDER-ES",INDEX('CDER-ES'!$B:$B,MATCH($C500,'CDER-ES'!$A:$A,0)),
IF(CONCATENATE($A500,$B500)="ISINAPI",INDEX(ISINAPI!$B:$B,MATCH($C500,ISINAPI!$A:$A,0)),
IF(CONCATENATE($A500,$B500)="CSINAPI",INDEX(CSINAPI!$B:$B,MATCH($C500,CSINAPI!$A:$A,0)),
IF(CONCATENATE($A500,$B500)="CCESAN",INDEX(CCESAN!$B:$B,MATCH($C500,CCESAN!$A:$A,0)),
IF(CONCATENATE($A500,$B500)="CSCORIO",INDEX(CSCORIO!#REF!,MATCH($C500,CSCORIO!#REF!,0)),
IF(CONCATENATE($A500,$B500)="MERC",INDEX(MERCADO!$B:$B,MATCH($C500,MERCADO!$A:$A,0)),
IF(CONCATENATE($A500,$B500)="CCOMP",INDEX(COMPOSICAO!$B:$B,MATCH($C500,COMPOSICAO!$A:$A,0)),""
))))))))),"*Verificar código*"))</f>
        <v>Lixamento De Madeira Para Aplicação De Fundo Ou Pintura. Af_01/2021</v>
      </c>
      <c r="E500" s="143" t="str">
        <f>LOWER(IFERROR(
IF(CONCATENATE($A500,$B500)="IDER-ES",INDEX('IDER-ES'!$C:$C,MATCH($C500,'IDER-ES'!$A:$A,0)),
IF(CONCATENATE($A500,$B500)="CIOPES",INDEX('CDER-ES'!$C:$C,MATCH($C500,'CDER-ES'!$A:$A,0)),
IF(CONCATENATE($A500,$B500)="ISINAPI",INDEX(ISINAPI!$C:$C,MATCH($C500,ISINAPI!$A:$A,0)),
IF(CONCATENATE($A500,$B500)="CSINAPI",INDEX(CSINAPI!$C:$C,MATCH($C500,CSINAPI!$A:$A,0)),
IF(CONCATENATE($A500,$B500)="CCESAN",INDEX(CCESAN!$C:$C,MATCH($C500,CCESAN!$A:$A,0)),
IF(CONCATENATE($A500,$B500)="CSCORIO",INDEX(CSCORIO!$A:$A,MATCH($C500,CSCORIO!#REF!,0)),
IF(CONCATENATE($A500,$B500)="MERC",INDEX(MERCADO!$D:$D,MATCH($C500,MERCADO!$A:$A,0)),
IF(CONCATENATE($A500,$B500)="CCOMP",INDEX(COMPOSICAO!$H:$H,MATCH($C500,COMPOSICAO!$A:$A,0)),""
)))))))),""))</f>
        <v>m²</v>
      </c>
      <c r="F500" s="182">
        <f>0.03</f>
        <v>0.03</v>
      </c>
      <c r="G500" s="144">
        <f>(IFERROR(
IF(CONCATENATE($A500,$B500)="IDER-ES",INDEX('IDER-ES'!$D:$D,MATCH($C500,'IDER-ES'!$A:$A,0)),
IF(CONCATENATE($A500,$B500)="CIOPES",INDEX('CDER-ES'!$D:$D,MATCH($C500,'CDER-ES'!$A:$A,0)),
IF(CONCATENATE($A500,$B500)="ISINAPI",INDEX(ISINAPI!$E:$E,MATCH($C500,ISINAPI!$A:$A,0)),
IF(CONCATENATE($A500,$B500)="CSINAPI",INDEX(CSINAPI!$D:$D,MATCH($C500,CSINAPI!$A:$A,0)),
IF(CONCATENATE($A500,$B500)="CCESAN",INDEX(CCESAN!$D:$D,MATCH($C500,CCESAN!$A:$A,0)),
IF(CONCATENATE($A500,$B500)="CSCORIO",INDEX(CSCORIO!$B:$B,MATCH($C500,CSCORIO!#REF!,0)),
IF(CONCATENATE($A500,$B500)="MERC",INDEX(MERCADO!$E:$E,MATCH($C500,MERCADO!$A:$A,0)),
IF(CONCATENATE($A500,$B500)="CCOMP",INDEX(COMPOSICAO!$H:$H,MATCH($C500,COMPOSICAO!$A:$A,0)),""
)))))))),""))</f>
        <v>2.0499999999999998</v>
      </c>
      <c r="H500" s="144">
        <f t="shared" si="85"/>
        <v>0.06</v>
      </c>
    </row>
    <row r="501" spans="1:10" ht="51">
      <c r="A501" s="141" t="s">
        <v>21960</v>
      </c>
      <c r="B501" s="141" t="s">
        <v>26583</v>
      </c>
      <c r="C501" s="141">
        <v>190302</v>
      </c>
      <c r="D501" s="142" t="str">
        <f>PROPER(IFERROR(
IF(C501="","",
IF(CONCATENATE($A501,$B501)="IDER-ES",INDEX('IDER-ES'!$B:$B,MATCH($C501,'IDER-ES'!$A:$A,0)),
IF(CONCATENATE($A501,$B501)="CDER-ES",INDEX('CDER-ES'!$B:$B,MATCH($C501,'CDER-ES'!$A:$A,0)),
IF(CONCATENATE($A501,$B501)="ISINAPI",INDEX(ISINAPI!$B:$B,MATCH($C501,ISINAPI!$A:$A,0)),
IF(CONCATENATE($A501,$B501)="CSINAPI",INDEX(CSINAPI!$B:$B,MATCH($C501,CSINAPI!$A:$A,0)),
IF(CONCATENATE($A501,$B501)="CCESAN",INDEX(CCESAN!$B:$B,MATCH($C501,CCESAN!$A:$A,0)),
IF(CONCATENATE($A501,$B501)="CSCORIO",INDEX(CSCORIO!#REF!,MATCH($C501,CSCORIO!#REF!,0)),
IF(CONCATENATE($A501,$B501)="MERC",INDEX(MERCADO!$B:$B,MATCH($C501,MERCADO!$A:$A,0)),
IF(CONCATENATE($A501,$B501)="CCOMP",INDEX(COMPOSICAO!$B:$B,MATCH($C501,COMPOSICAO!$A:$A,0)),""
))))))))),"*Verificar código*"))</f>
        <v>Pintura Com Tinta Esmalte Sintético, Marcas De Referência Suvinil, Coral Ou Metalatex, Inclusive Fundo Branco Nivelador, Em Madeira, A Duas Demãos</v>
      </c>
      <c r="E501" s="143" t="str">
        <f>LOWER(IFERROR(
IF(CONCATENATE($A501,$B501)="IDER-ES",INDEX('IDER-ES'!$C:$C,MATCH($C501,'IDER-ES'!$A:$A,0)),
IF(CONCATENATE($A501,$B501)="CDER-ES",INDEX('CDER-ES'!$C:$C,MATCH($C501,'CDER-ES'!$A:$A,0)),
IF(CONCATENATE($A501,$B501)="ISINAPI",INDEX(ISINAPI!$C:$C,MATCH($C501,ISINAPI!$A:$A,0)),
IF(CONCATENATE($A501,$B501)="CSINAPI",INDEX(CSINAPI!$C:$C,MATCH($C501,CSINAPI!$A:$A,0)),
IF(CONCATENATE($A501,$B501)="CCESAN",INDEX(CCESAN!$C:$C,MATCH($C501,CCESAN!$A:$A,0)),
IF(CONCATENATE($A501,$B501)="CSCORIO",INDEX(CSCORIO!$A:$A,MATCH($C501,CSCORIO!#REF!,0)),
IF(CONCATENATE($A501,$B501)="MERC",INDEX(MERCADO!$D:$D,MATCH($C501,MERCADO!$A:$A,0)),
IF(CONCATENATE($A501,$B501)="CCOMP",INDEX(COMPOSICAO!$H:$H,MATCH($C501,COMPOSICAO!$A:$A,0)),""
)))))))),""))</f>
        <v>m²</v>
      </c>
      <c r="F501" s="182">
        <f>F500</f>
        <v>0.03</v>
      </c>
      <c r="G501" s="144">
        <f>(IFERROR(
IF(CONCATENATE($A501,$B501)="IDER-ES",INDEX('IDER-ES'!$D:$D,MATCH($C501,'IDER-ES'!$A:$A,0)),
IF(CONCATENATE($A501,$B501)="CDER-ES",INDEX('CDER-ES'!$D:$D,MATCH($C501,'CDER-ES'!$A:$A,0)),
IF(CONCATENATE($A501,$B501)="ISINAPI",INDEX(ISINAPI!$E:$E,MATCH($C501,ISINAPI!$A:$A,0)),
IF(CONCATENATE($A501,$B501)="CSINAPI",INDEX(CSINAPI!$D:$D,MATCH($C501,CSINAPI!$A:$A,0)),
IF(CONCATENATE($A501,$B501)="CCESAN",INDEX(CCESAN!$D:$D,MATCH($C501,CCESAN!$A:$A,0)),
IF(CONCATENATE($A501,$B501)="CSCORIO",INDEX(CSCORIO!$B:$B,MATCH($C501,CSCORIO!#REF!,0)),
IF(CONCATENATE($A501,$B501)="MERC",INDEX(MERCADO!$E:$E,MATCH($C501,MERCADO!$A:$A,0)),
IF(CONCATENATE($A501,$B501)="CCOMP",INDEX(COMPOSICAO!$H:$H,MATCH($C501,COMPOSICAO!$A:$A,0)),""
)))))))),""))</f>
        <v>22.64</v>
      </c>
      <c r="H501" s="144">
        <f t="shared" si="85"/>
        <v>0.68</v>
      </c>
    </row>
    <row r="503" spans="1:10" s="135" customFormat="1" ht="20.100000000000001" customHeight="1">
      <c r="A503" s="186" t="s">
        <v>1020</v>
      </c>
      <c r="B503" s="405" t="s">
        <v>1022</v>
      </c>
      <c r="C503" s="406"/>
      <c r="D503" s="406"/>
      <c r="E503" s="406"/>
      <c r="F503" s="407"/>
      <c r="G503" s="133" t="s">
        <v>19692</v>
      </c>
      <c r="H503" s="134" t="s">
        <v>19678</v>
      </c>
      <c r="I503" s="263"/>
    </row>
    <row r="504" spans="1:10" ht="15" customHeight="1">
      <c r="A504" s="136">
        <f>COUNTIF($A$4:$A503,$A$4)</f>
        <v>46</v>
      </c>
      <c r="B504" s="408" t="s">
        <v>29115</v>
      </c>
      <c r="C504" s="409"/>
      <c r="D504" s="409"/>
      <c r="E504" s="409"/>
      <c r="F504" s="410"/>
      <c r="G504" s="137" t="s">
        <v>19692</v>
      </c>
      <c r="H504" s="211">
        <f>SUM(H506:H511)</f>
        <v>2176.71</v>
      </c>
    </row>
    <row r="505" spans="1:10" ht="30" customHeight="1">
      <c r="A505" s="139" t="s">
        <v>1026</v>
      </c>
      <c r="B505" s="139" t="s">
        <v>1027</v>
      </c>
      <c r="C505" s="139" t="s">
        <v>31</v>
      </c>
      <c r="D505" s="139" t="s">
        <v>1023</v>
      </c>
      <c r="E505" s="139" t="s">
        <v>32</v>
      </c>
      <c r="F505" s="183" t="s">
        <v>2343</v>
      </c>
      <c r="G505" s="140" t="s">
        <v>19676</v>
      </c>
      <c r="H505" s="140" t="s">
        <v>19677</v>
      </c>
    </row>
    <row r="506" spans="1:10" ht="25.5">
      <c r="A506" s="141" t="s">
        <v>26621</v>
      </c>
      <c r="B506" s="141" t="s">
        <v>1019</v>
      </c>
      <c r="C506" s="141">
        <v>39027</v>
      </c>
      <c r="D506" s="142" t="str">
        <f>PROPER(IFERROR(
IF(C506="","",
IF(CONCATENATE($A506,$B506)="IDER-ES",INDEX('IDER-ES'!$B:$B,MATCH($C506,'IDER-ES'!$A:$A,0)),
IF(CONCATENATE($A506,$B506)="CDER-ES",INDEX('CDER-ES'!$B:$B,MATCH($C506,'CDER-ES'!$A:$A,0)),
IF(CONCATENATE($A506,$B506)="ISINAPI",INDEX(ISINAPI!$B:$B,MATCH($C506,ISINAPI!$A:$A,0)),
IF(CONCATENATE($A506,$B506)="CSINAPI",INDEX(CSINAPI!$B:$B,MATCH($C506,CSINAPI!$A:$A,0)),
IF(CONCATENATE($A506,$B506)="CCESAN",INDEX(CCESAN!$B:$B,MATCH($C506,CCESAN!$A:$A,0)),
IF(CONCATENATE($A506,$B506)="CSCORIO",INDEX(CSCORIO!#REF!,MATCH($C506,CSCORIO!#REF!,0)),
IF(CONCATENATE($A506,$B506)="MERC",INDEX(MERCADO!$B:$B,MATCH($C506,MERCADO!$A:$A,0)),
IF(CONCATENATE($A506,$B506)="CCOMP",INDEX(COMPOSICAO!$B:$B,MATCH($C506,COMPOSICAO!$A:$A,0)),""
))))))))),"*Verificar código*"))</f>
        <v xml:space="preserve">Prego De Aco Polido Com Cabeca 19  X 36 (3 1/4  X  9)                                                                                                                                                                                                                                                                                                                                                                                                                                                     </v>
      </c>
      <c r="E506" s="143" t="str">
        <f>LOWER(IFERROR(
IF(CONCATENATE($A506,$B506)="IDER-ES",INDEX('IDER-ES'!$C:$C,MATCH($C506,'IDER-ES'!$A:$A,0)),
IF(CONCATENATE($A506,$B506)="CIOPES",INDEX('CDER-ES'!$C:$C,MATCH($C506,'CDER-ES'!$A:$A,0)),
IF(CONCATENATE($A506,$B506)="ISINAPI",INDEX(ISINAPI!$C:$C,MATCH($C506,ISINAPI!$A:$A,0)),
IF(CONCATENATE($A506,$B506)="CSINAPI",INDEX(CSINAPI!$C:$C,MATCH($C506,CSINAPI!$A:$A,0)),
IF(CONCATENATE($A506,$B506)="CCESAN",INDEX(CCESAN!$C:$C,MATCH($C506,CCESAN!$A:$A,0)),
IF(CONCATENATE($A506,$B506)="CSCORIO",INDEX(CSCORIO!$A:$A,MATCH($C506,CSCORIO!#REF!,0)),
IF(CONCATENATE($A506,$B506)="MERC",INDEX(MERCADO!$D:$D,MATCH($C506,MERCADO!$A:$A,0)),
IF(CONCATENATE($A506,$B506)="CCOMP",INDEX(COMPOSICAO!$H:$H,MATCH($C506,COMPOSICAO!$A:$A,0)),""
)))))))),""))</f>
        <v xml:space="preserve">kg    </v>
      </c>
      <c r="F506" s="182">
        <v>0.5</v>
      </c>
      <c r="G506" s="144">
        <f>(IFERROR(
IF(CONCATENATE($A506,$B506)="IDER-ES",INDEX('IDER-ES'!$D:$D,MATCH($C506,'IDER-ES'!$A:$A,0)),
IF(CONCATENATE($A506,$B506)="CIOPES",INDEX('CDER-ES'!$D:$D,MATCH($C506,'CDER-ES'!$A:$A,0)),
IF(CONCATENATE($A506,$B506)="ISINAPI",INDEX(ISINAPI!$E:$E,MATCH($C506,ISINAPI!$A:$A,0)),
IF(CONCATENATE($A506,$B506)="CSINAPI",INDEX(CSINAPI!$D:$D,MATCH($C506,CSINAPI!$A:$A,0)),
IF(CONCATENATE($A506,$B506)="CCESAN",INDEX(CCESAN!$D:$D,MATCH($C506,CCESAN!$A:$A,0)),
IF(CONCATENATE($A506,$B506)="CSCORIO",INDEX(CSCORIO!$B:$B,MATCH($C506,CSCORIO!#REF!,0)),
IF(CONCATENATE($A506,$B506)="MERC",INDEX(MERCADO!$E:$E,MATCH($C506,MERCADO!$A:$A,0)),
IF(CONCATENATE($A506,$B506)="CCOMP",INDEX(COMPOSICAO!$H:$H,MATCH($C506,COMPOSICAO!$A:$A,0)),""
)))))))),""))</f>
        <v>27.58</v>
      </c>
      <c r="H506" s="144">
        <f t="shared" ref="H506:H511" si="88">IF(B506="","",ROUND(G506*F506,2))</f>
        <v>13.79</v>
      </c>
      <c r="J506" s="266"/>
    </row>
    <row r="507" spans="1:10" ht="38.25">
      <c r="A507" s="141" t="s">
        <v>26621</v>
      </c>
      <c r="B507" s="141" t="s">
        <v>1019</v>
      </c>
      <c r="C507" s="141">
        <v>35275</v>
      </c>
      <c r="D507" s="142" t="str">
        <f>PROPER(IFERROR(
IF(C507="","",
IF(CONCATENATE($A507,$B507)="IDER-ES",INDEX('IDER-ES'!$B:$B,MATCH($C507,'IDER-ES'!$A:$A,0)),
IF(CONCATENATE($A507,$B507)="CDER-ES",INDEX('CDER-ES'!$B:$B,MATCH($C507,'CDER-ES'!$A:$A,0)),
IF(CONCATENATE($A507,$B507)="ISINAPI",INDEX(ISINAPI!$B:$B,MATCH($C507,ISINAPI!$A:$A,0)),
IF(CONCATENATE($A507,$B507)="CSINAPI",INDEX(CSINAPI!$B:$B,MATCH($C507,CSINAPI!$A:$A,0)),
IF(CONCATENATE($A507,$B507)="CCESAN",INDEX(CCESAN!$B:$B,MATCH($C507,CCESAN!$A:$A,0)),
IF(CONCATENATE($A507,$B507)="CSCORIO",INDEX(CSCORIO!#REF!,MATCH($C507,CSCORIO!#REF!,0)),
IF(CONCATENATE($A507,$B507)="MERC",INDEX(MERCADO!$B:$B,MATCH($C507,MERCADO!$A:$A,0)),
IF(CONCATENATE($A507,$B507)="CCOMP",INDEX(COMPOSICAO!$B:$B,MATCH($C507,COMPOSICAO!$A:$A,0)),""
))))))))),"*Verificar código*"))</f>
        <v xml:space="preserve">Pilar Quadrado Nao Aparelhado *15 X 15* Cm, Em Macaranduba, Angelim Ou Equivalente Da Regiao - Bruta                                                                                                                                                                                                                                                                                                                                                                                                      </v>
      </c>
      <c r="E507" s="143" t="str">
        <f>LOWER(IFERROR(
IF(CONCATENATE($A507,$B507)="IDER-ES",INDEX('IDER-ES'!$C:$C,MATCH($C507,'IDER-ES'!$A:$A,0)),
IF(CONCATENATE($A507,$B507)="CIOPES",INDEX('CDER-ES'!$C:$C,MATCH($C507,'CDER-ES'!$A:$A,0)),
IF(CONCATENATE($A507,$B507)="ISINAPI",INDEX(ISINAPI!$C:$C,MATCH($C507,ISINAPI!$A:$A,0)),
IF(CONCATENATE($A507,$B507)="CSINAPI",INDEX(CSINAPI!$C:$C,MATCH($C507,CSINAPI!$A:$A,0)),
IF(CONCATENATE($A507,$B507)="CCESAN",INDEX(CCESAN!$C:$C,MATCH($C507,CCESAN!$A:$A,0)),
IF(CONCATENATE($A507,$B507)="CSCORIO",INDEX(CSCORIO!$A:$A,MATCH($C507,CSCORIO!#REF!,0)),
IF(CONCATENATE($A507,$B507)="MERC",INDEX(MERCADO!$D:$D,MATCH($C507,MERCADO!$A:$A,0)),
IF(CONCATENATE($A507,$B507)="CCOMP",INDEX(COMPOSICAO!$H:$H,MATCH($C507,COMPOSICAO!$A:$A,0)),""
)))))))),""))</f>
        <v xml:space="preserve">m     </v>
      </c>
      <c r="F507" s="182">
        <f>(0.6*2+1.5)*6</f>
        <v>16.200000000000003</v>
      </c>
      <c r="G507" s="144">
        <f>(IFERROR(
IF(CONCATENATE($A507,$B507)="IDER-ES",INDEX('IDER-ES'!$D:$D,MATCH($C507,'IDER-ES'!$A:$A,0)),
IF(CONCATENATE($A507,$B507)="CIOPES",INDEX('CDER-ES'!$D:$D,MATCH($C507,'CDER-ES'!$A:$A,0)),
IF(CONCATENATE($A507,$B507)="ISINAPI",INDEX(ISINAPI!$E:$E,MATCH($C507,ISINAPI!$A:$A,0)),
IF(CONCATENATE($A507,$B507)="CSINAPI",INDEX(CSINAPI!$D:$D,MATCH($C507,CSINAPI!$A:$A,0)),
IF(CONCATENATE($A507,$B507)="CCESAN",INDEX(CCESAN!$D:$D,MATCH($C507,CCESAN!$A:$A,0)),
IF(CONCATENATE($A507,$B507)="CSCORIO",INDEX(CSCORIO!$B:$B,MATCH($C507,CSCORIO!#REF!,0)),
IF(CONCATENATE($A507,$B507)="MERC",INDEX(MERCADO!$E:$E,MATCH($C507,MERCADO!$A:$A,0)),
IF(CONCATENATE($A507,$B507)="CCOMP",INDEX(COMPOSICAO!$H:$H,MATCH($C507,COMPOSICAO!$A:$A,0)),""
)))))))),""))</f>
        <v>109.87</v>
      </c>
      <c r="H507" s="144">
        <f t="shared" si="88"/>
        <v>1779.89</v>
      </c>
      <c r="J507" s="266"/>
    </row>
    <row r="508" spans="1:10" ht="25.5">
      <c r="A508" s="141" t="s">
        <v>21960</v>
      </c>
      <c r="B508" s="141" t="s">
        <v>1019</v>
      </c>
      <c r="C508" s="141">
        <v>88239</v>
      </c>
      <c r="D508" s="142" t="str">
        <f>PROPER(IFERROR(
IF(C508="","",
IF(CONCATENATE($A508,$B508)="IDER-ES",INDEX('IDER-ES'!$B:$B,MATCH($C508,'IDER-ES'!$A:$A,0)),
IF(CONCATENATE($A508,$B508)="CDER-ES",INDEX('CDER-ES'!$B:$B,MATCH($C508,'CDER-ES'!$A:$A,0)),
IF(CONCATENATE($A508,$B508)="ISINAPI",INDEX(ISINAPI!$B:$B,MATCH($C508,ISINAPI!$A:$A,0)),
IF(CONCATENATE($A508,$B508)="CSINAPI",INDEX(CSINAPI!$B:$B,MATCH($C508,CSINAPI!$A:$A,0)),
IF(CONCATENATE($A508,$B508)="CCESAN",INDEX(CCESAN!$B:$B,MATCH($C508,CCESAN!$A:$A,0)),
IF(CONCATENATE($A508,$B508)="CSCORIO",INDEX(CSCORIO!#REF!,MATCH($C508,CSCORIO!#REF!,0)),
IF(CONCATENATE($A508,$B508)="MERC",INDEX(MERCADO!$B:$B,MATCH($C508,MERCADO!$A:$A,0)),
IF(CONCATENATE($A508,$B508)="CCOMP",INDEX(COMPOSICAO!$B:$B,MATCH($C508,COMPOSICAO!$A:$A,0)),""
))))))))),"*Verificar código*"))</f>
        <v>Ajudante De Carpinteiro Com Encargos Complementares</v>
      </c>
      <c r="E508" s="143" t="str">
        <f>LOWER(IFERROR(
IF(CONCATENATE($A508,$B508)="IDER-ES",INDEX('IDER-ES'!$C:$C,MATCH($C508,'IDER-ES'!$A:$A,0)),
IF(CONCATENATE($A508,$B508)="CIOPES",INDEX('CDER-ES'!$C:$C,MATCH($C508,'CDER-ES'!$A:$A,0)),
IF(CONCATENATE($A508,$B508)="ISINAPI",INDEX(ISINAPI!$C:$C,MATCH($C508,ISINAPI!$A:$A,0)),
IF(CONCATENATE($A508,$B508)="CSINAPI",INDEX(CSINAPI!$C:$C,MATCH($C508,CSINAPI!$A:$A,0)),
IF(CONCATENATE($A508,$B508)="CCESAN",INDEX(CCESAN!$C:$C,MATCH($C508,CCESAN!$A:$A,0)),
IF(CONCATENATE($A508,$B508)="CSCORIO",INDEX(CSCORIO!$A:$A,MATCH($C508,CSCORIO!#REF!,0)),
IF(CONCATENATE($A508,$B508)="MERC",INDEX(MERCADO!$D:$D,MATCH($C508,MERCADO!$A:$A,0)),
IF(CONCATENATE($A508,$B508)="CCOMP",INDEX(COMPOSICAO!$H:$H,MATCH($C508,COMPOSICAO!$A:$A,0)),""
)))))))),""))</f>
        <v>h</v>
      </c>
      <c r="F508" s="182">
        <v>2</v>
      </c>
      <c r="G508" s="144">
        <f>(IFERROR(
IF(CONCATENATE($A508,$B508)="IDER-ES",INDEX('IDER-ES'!$D:$D,MATCH($C508,'IDER-ES'!$A:$A,0)),
IF(CONCATENATE($A508,$B508)="CIOPES",INDEX('CDER-ES'!$D:$D,MATCH($C508,'CDER-ES'!$A:$A,0)),
IF(CONCATENATE($A508,$B508)="ISINAPI",INDEX(ISINAPI!$E:$E,MATCH($C508,ISINAPI!$A:$A,0)),
IF(CONCATENATE($A508,$B508)="CSINAPI",INDEX(CSINAPI!$D:$D,MATCH($C508,CSINAPI!$A:$A,0)),
IF(CONCATENATE($A508,$B508)="CCESAN",INDEX(CCESAN!$D:$D,MATCH($C508,CCESAN!$A:$A,0)),
IF(CONCATENATE($A508,$B508)="CSCORIO",INDEX(CSCORIO!$B:$B,MATCH($C508,CSCORIO!#REF!,0)),
IF(CONCATENATE($A508,$B508)="MERC",INDEX(MERCADO!$E:$E,MATCH($C508,MERCADO!$A:$A,0)),
IF(CONCATENATE($A508,$B508)="CCOMP",INDEX(COMPOSICAO!$H:$H,MATCH($C508,COMPOSICAO!$A:$A,0)),""
)))))))),""))</f>
        <v>21.16</v>
      </c>
      <c r="H508" s="144">
        <f t="shared" si="88"/>
        <v>42.32</v>
      </c>
      <c r="J508" s="266"/>
    </row>
    <row r="509" spans="1:10" ht="25.5">
      <c r="A509" s="141" t="s">
        <v>21960</v>
      </c>
      <c r="B509" s="141" t="s">
        <v>1019</v>
      </c>
      <c r="C509" s="141">
        <v>88262</v>
      </c>
      <c r="D509" s="142" t="str">
        <f>PROPER(IFERROR(
IF(C509="","",
IF(CONCATENATE($A509,$B509)="IDER-ES",INDEX('IDER-ES'!$B:$B,MATCH($C509,'IDER-ES'!$A:$A,0)),
IF(CONCATENATE($A509,$B509)="CDER-ES",INDEX('CDER-ES'!$B:$B,MATCH($C509,'CDER-ES'!$A:$A,0)),
IF(CONCATENATE($A509,$B509)="ISINAPI",INDEX(ISINAPI!$B:$B,MATCH($C509,ISINAPI!$A:$A,0)),
IF(CONCATENATE($A509,$B509)="CSINAPI",INDEX(CSINAPI!$B:$B,MATCH($C509,CSINAPI!$A:$A,0)),
IF(CONCATENATE($A509,$B509)="CCESAN",INDEX(CCESAN!$B:$B,MATCH($C509,CCESAN!$A:$A,0)),
IF(CONCATENATE($A509,$B509)="CSCORIO",INDEX(CSCORIO!#REF!,MATCH($C509,CSCORIO!#REF!,0)),
IF(CONCATENATE($A509,$B509)="MERC",INDEX(MERCADO!$B:$B,MATCH($C509,MERCADO!$A:$A,0)),
IF(CONCATENATE($A509,$B509)="CCOMP",INDEX(COMPOSICAO!$B:$B,MATCH($C509,COMPOSICAO!$A:$A,0)),""
))))))))),"*Verificar código*"))</f>
        <v>Carpinteiro De Formas Com Encargos Complementares</v>
      </c>
      <c r="E509" s="143" t="str">
        <f>LOWER(IFERROR(
IF(CONCATENATE($A509,$B509)="IDER-ES",INDEX('IDER-ES'!$C:$C,MATCH($C509,'IDER-ES'!$A:$A,0)),
IF(CONCATENATE($A509,$B509)="CDER-ES",INDEX('CDER-ES'!$C:$C,MATCH($C509,'CDER-ES'!$A:$A,0)),
IF(CONCATENATE($A509,$B509)="ISINAPI",INDEX(ISINAPI!$C:$C,MATCH($C509,ISINAPI!$A:$A,0)),
IF(CONCATENATE($A509,$B509)="CSINAPI",INDEX(CSINAPI!$C:$C,MATCH($C509,CSINAPI!$A:$A,0)),
IF(CONCATENATE($A509,$B509)="CCESAN",INDEX(CCESAN!$C:$C,MATCH($C509,CCESAN!$A:$A,0)),
IF(CONCATENATE($A509,$B509)="CSCORIO",INDEX(CSCORIO!$A:$A,MATCH($C509,CSCORIO!#REF!,0)),
IF(CONCATENATE($A509,$B509)="MERC",INDEX(MERCADO!$D:$D,MATCH($C509,MERCADO!$A:$A,0)),
IF(CONCATENATE($A509,$B509)="CCOMP",INDEX(COMPOSICAO!$H:$H,MATCH($C509,COMPOSICAO!$A:$A,0)),""
)))))))),""))</f>
        <v>h</v>
      </c>
      <c r="F509" s="182">
        <v>4</v>
      </c>
      <c r="G509" s="144">
        <f>(IFERROR(
IF(CONCATENATE($A509,$B509)="IDER-ES",INDEX('IDER-ES'!$D:$D,MATCH($C509,'IDER-ES'!$A:$A,0)),
IF(CONCATENATE($A509,$B509)="CDER-ES",INDEX('CDER-ES'!$D:$D,MATCH($C509,'CDER-ES'!$A:$A,0)),
IF(CONCATENATE($A509,$B509)="ISINAPI",INDEX(ISINAPI!$E:$E,MATCH($C509,ISINAPI!$A:$A,0)),
IF(CONCATENATE($A509,$B509)="CSINAPI",INDEX(CSINAPI!$D:$D,MATCH($C509,CSINAPI!$A:$A,0)),
IF(CONCATENATE($A509,$B509)="CCESAN",INDEX(CCESAN!$D:$D,MATCH($C509,CCESAN!$A:$A,0)),
IF(CONCATENATE($A509,$B509)="CSCORIO",INDEX(CSCORIO!$B:$B,MATCH($C509,CSCORIO!#REF!,0)),
IF(CONCATENATE($A509,$B509)="MERC",INDEX(MERCADO!$E:$E,MATCH($C509,MERCADO!$A:$A,0)),
IF(CONCATENATE($A509,$B509)="CCOMP",INDEX(COMPOSICAO!$H:$H,MATCH($C509,COMPOSICAO!$A:$A,0)),""
)))))))),""))</f>
        <v>25.18</v>
      </c>
      <c r="H509" s="144">
        <f t="shared" si="88"/>
        <v>100.72</v>
      </c>
    </row>
    <row r="510" spans="1:10" ht="25.5">
      <c r="A510" s="141" t="s">
        <v>21960</v>
      </c>
      <c r="B510" s="141" t="s">
        <v>1019</v>
      </c>
      <c r="C510" s="141">
        <v>102193</v>
      </c>
      <c r="D510" s="142" t="str">
        <f>PROPER(IFERROR(
IF(C510="","",
IF(CONCATENATE($A510,$B510)="IDER-ES",INDEX('IDER-ES'!$B:$B,MATCH($C510,'IDER-ES'!$A:$A,0)),
IF(CONCATENATE($A510,$B510)="CDER-ES",INDEX('CDER-ES'!$B:$B,MATCH($C510,'CDER-ES'!$A:$A,0)),
IF(CONCATENATE($A510,$B510)="ISINAPI",INDEX(ISINAPI!$B:$B,MATCH($C510,ISINAPI!$A:$A,0)),
IF(CONCATENATE($A510,$B510)="CSINAPI",INDEX(CSINAPI!$B:$B,MATCH($C510,CSINAPI!$A:$A,0)),
IF(CONCATENATE($A510,$B510)="CCESAN",INDEX(CCESAN!$B:$B,MATCH($C510,CCESAN!$A:$A,0)),
IF(CONCATENATE($A510,$B510)="CSCORIO",INDEX(CSCORIO!#REF!,MATCH($C510,CSCORIO!#REF!,0)),
IF(CONCATENATE($A510,$B510)="MERC",INDEX(MERCADO!$B:$B,MATCH($C510,MERCADO!$A:$A,0)),
IF(CONCATENATE($A510,$B510)="CCOMP",INDEX(COMPOSICAO!$B:$B,MATCH($C510,COMPOSICAO!$A:$A,0)),""
))))))))),"*Verificar código*"))</f>
        <v>Lixamento De Madeira Para Aplicação De Fundo Ou Pintura. Af_01/2021</v>
      </c>
      <c r="E510" s="143" t="str">
        <f>LOWER(IFERROR(
IF(CONCATENATE($A510,$B510)="IDER-ES",INDEX('IDER-ES'!$C:$C,MATCH($C510,'IDER-ES'!$A:$A,0)),
IF(CONCATENATE($A510,$B510)="CIOPES",INDEX('CDER-ES'!$C:$C,MATCH($C510,'CDER-ES'!$A:$A,0)),
IF(CONCATENATE($A510,$B510)="ISINAPI",INDEX(ISINAPI!$C:$C,MATCH($C510,ISINAPI!$A:$A,0)),
IF(CONCATENATE($A510,$B510)="CSINAPI",INDEX(CSINAPI!$C:$C,MATCH($C510,CSINAPI!$A:$A,0)),
IF(CONCATENATE($A510,$B510)="CCESAN",INDEX(CCESAN!$C:$C,MATCH($C510,CCESAN!$A:$A,0)),
IF(CONCATENATE($A510,$B510)="CSCORIO",INDEX(CSCORIO!$A:$A,MATCH($C510,CSCORIO!#REF!,0)),
IF(CONCATENATE($A510,$B510)="MERC",INDEX(MERCADO!$D:$D,MATCH($C510,MERCADO!$A:$A,0)),
IF(CONCATENATE($A510,$B510)="CCOMP",INDEX(COMPOSICAO!$H:$H,MATCH($C510,COMPOSICAO!$A:$A,0)),""
)))))))),""))</f>
        <v>m²</v>
      </c>
      <c r="F510" s="182">
        <f>0.6*F507</f>
        <v>9.7200000000000006</v>
      </c>
      <c r="G510" s="144">
        <f>(IFERROR(
IF(CONCATENATE($A510,$B510)="IDER-ES",INDEX('IDER-ES'!$D:$D,MATCH($C510,'IDER-ES'!$A:$A,0)),
IF(CONCATENATE($A510,$B510)="CIOPES",INDEX('CDER-ES'!$D:$D,MATCH($C510,'CDER-ES'!$A:$A,0)),
IF(CONCATENATE($A510,$B510)="ISINAPI",INDEX(ISINAPI!$E:$E,MATCH($C510,ISINAPI!$A:$A,0)),
IF(CONCATENATE($A510,$B510)="CSINAPI",INDEX(CSINAPI!$D:$D,MATCH($C510,CSINAPI!$A:$A,0)),
IF(CONCATENATE($A510,$B510)="CCESAN",INDEX(CCESAN!$D:$D,MATCH($C510,CCESAN!$A:$A,0)),
IF(CONCATENATE($A510,$B510)="CSCORIO",INDEX(CSCORIO!$B:$B,MATCH($C510,CSCORIO!#REF!,0)),
IF(CONCATENATE($A510,$B510)="MERC",INDEX(MERCADO!$E:$E,MATCH($C510,MERCADO!$A:$A,0)),
IF(CONCATENATE($A510,$B510)="CCOMP",INDEX(COMPOSICAO!$H:$H,MATCH($C510,COMPOSICAO!$A:$A,0)),""
)))))))),""))</f>
        <v>2.0499999999999998</v>
      </c>
      <c r="H510" s="144">
        <f t="shared" si="88"/>
        <v>19.93</v>
      </c>
    </row>
    <row r="511" spans="1:10" ht="51">
      <c r="A511" s="141" t="s">
        <v>21960</v>
      </c>
      <c r="B511" s="141" t="s">
        <v>26583</v>
      </c>
      <c r="C511" s="141">
        <v>190302</v>
      </c>
      <c r="D511" s="142" t="str">
        <f>PROPER(IFERROR(
IF(C511="","",
IF(CONCATENATE($A511,$B511)="IDER-ES",INDEX('IDER-ES'!$B:$B,MATCH($C511,'IDER-ES'!$A:$A,0)),
IF(CONCATENATE($A511,$B511)="CDER-ES",INDEX('CDER-ES'!$B:$B,MATCH($C511,'CDER-ES'!$A:$A,0)),
IF(CONCATENATE($A511,$B511)="ISINAPI",INDEX(ISINAPI!$B:$B,MATCH($C511,ISINAPI!$A:$A,0)),
IF(CONCATENATE($A511,$B511)="CSINAPI",INDEX(CSINAPI!$B:$B,MATCH($C511,CSINAPI!$A:$A,0)),
IF(CONCATENATE($A511,$B511)="CCESAN",INDEX(CCESAN!$B:$B,MATCH($C511,CCESAN!$A:$A,0)),
IF(CONCATENATE($A511,$B511)="CSCORIO",INDEX(CSCORIO!#REF!,MATCH($C511,CSCORIO!#REF!,0)),
IF(CONCATENATE($A511,$B511)="MERC",INDEX(MERCADO!$B:$B,MATCH($C511,MERCADO!$A:$A,0)),
IF(CONCATENATE($A511,$B511)="CCOMP",INDEX(COMPOSICAO!$B:$B,MATCH($C511,COMPOSICAO!$A:$A,0)),""
))))))))),"*Verificar código*"))</f>
        <v>Pintura Com Tinta Esmalte Sintético, Marcas De Referência Suvinil, Coral Ou Metalatex, Inclusive Fundo Branco Nivelador, Em Madeira, A Duas Demãos</v>
      </c>
      <c r="E511" s="143" t="str">
        <f>LOWER(IFERROR(
IF(CONCATENATE($A511,$B511)="IDER-ES",INDEX('IDER-ES'!$C:$C,MATCH($C511,'IDER-ES'!$A:$A,0)),
IF(CONCATENATE($A511,$B511)="CDER-ES",INDEX('CDER-ES'!$C:$C,MATCH($C511,'CDER-ES'!$A:$A,0)),
IF(CONCATENATE($A511,$B511)="ISINAPI",INDEX(ISINAPI!$C:$C,MATCH($C511,ISINAPI!$A:$A,0)),
IF(CONCATENATE($A511,$B511)="CSINAPI",INDEX(CSINAPI!$C:$C,MATCH($C511,CSINAPI!$A:$A,0)),
IF(CONCATENATE($A511,$B511)="CCESAN",INDEX(CCESAN!$C:$C,MATCH($C511,CCESAN!$A:$A,0)),
IF(CONCATENATE($A511,$B511)="CSCORIO",INDEX(CSCORIO!$A:$A,MATCH($C511,CSCORIO!#REF!,0)),
IF(CONCATENATE($A511,$B511)="MERC",INDEX(MERCADO!$D:$D,MATCH($C511,MERCADO!$A:$A,0)),
IF(CONCATENATE($A511,$B511)="CCOMP",INDEX(COMPOSICAO!$H:$H,MATCH($C511,COMPOSICAO!$A:$A,0)),""
)))))))),""))</f>
        <v>m²</v>
      </c>
      <c r="F511" s="182">
        <f>F510</f>
        <v>9.7200000000000006</v>
      </c>
      <c r="G511" s="144">
        <f>(IFERROR(
IF(CONCATENATE($A511,$B511)="IDER-ES",INDEX('IDER-ES'!$D:$D,MATCH($C511,'IDER-ES'!$A:$A,0)),
IF(CONCATENATE($A511,$B511)="CDER-ES",INDEX('CDER-ES'!$D:$D,MATCH($C511,'CDER-ES'!$A:$A,0)),
IF(CONCATENATE($A511,$B511)="ISINAPI",INDEX(ISINAPI!$E:$E,MATCH($C511,ISINAPI!$A:$A,0)),
IF(CONCATENATE($A511,$B511)="CSINAPI",INDEX(CSINAPI!$D:$D,MATCH($C511,CSINAPI!$A:$A,0)),
IF(CONCATENATE($A511,$B511)="CCESAN",INDEX(CCESAN!$D:$D,MATCH($C511,CCESAN!$A:$A,0)),
IF(CONCATENATE($A511,$B511)="CSCORIO",INDEX(CSCORIO!$B:$B,MATCH($C511,CSCORIO!#REF!,0)),
IF(CONCATENATE($A511,$B511)="MERC",INDEX(MERCADO!$E:$E,MATCH($C511,MERCADO!$A:$A,0)),
IF(CONCATENATE($A511,$B511)="CCOMP",INDEX(COMPOSICAO!$H:$H,MATCH($C511,COMPOSICAO!$A:$A,0)),""
)))))))),""))</f>
        <v>22.64</v>
      </c>
      <c r="H511" s="144">
        <f t="shared" si="88"/>
        <v>220.06</v>
      </c>
    </row>
    <row r="513" spans="1:9" s="135" customFormat="1" ht="20.100000000000001" customHeight="1">
      <c r="A513" s="186" t="s">
        <v>1020</v>
      </c>
      <c r="B513" s="405" t="s">
        <v>1022</v>
      </c>
      <c r="C513" s="406"/>
      <c r="D513" s="406"/>
      <c r="E513" s="406"/>
      <c r="F513" s="407"/>
      <c r="G513" s="133" t="s">
        <v>19692</v>
      </c>
      <c r="H513" s="134" t="s">
        <v>19678</v>
      </c>
      <c r="I513" s="263"/>
    </row>
    <row r="514" spans="1:9" ht="30" customHeight="1">
      <c r="A514" s="136">
        <f>COUNTIF($A$4:$A513,$A$4)</f>
        <v>47</v>
      </c>
      <c r="B514" s="408" t="s">
        <v>29118</v>
      </c>
      <c r="C514" s="409"/>
      <c r="D514" s="409"/>
      <c r="E514" s="409"/>
      <c r="F514" s="410"/>
      <c r="G514" s="137" t="s">
        <v>6</v>
      </c>
      <c r="H514" s="211">
        <f>SUM(H516:H517)</f>
        <v>5.8100000000000005</v>
      </c>
    </row>
    <row r="515" spans="1:9" ht="30" customHeight="1">
      <c r="A515" s="139" t="s">
        <v>1026</v>
      </c>
      <c r="B515" s="139" t="s">
        <v>1027</v>
      </c>
      <c r="C515" s="139" t="s">
        <v>31</v>
      </c>
      <c r="D515" s="139" t="s">
        <v>1023</v>
      </c>
      <c r="E515" s="139" t="s">
        <v>32</v>
      </c>
      <c r="F515" s="183" t="s">
        <v>2343</v>
      </c>
      <c r="G515" s="140" t="s">
        <v>19676</v>
      </c>
      <c r="H515" s="140" t="s">
        <v>19677</v>
      </c>
    </row>
    <row r="516" spans="1:9" ht="25.5">
      <c r="A516" s="141" t="s">
        <v>21960</v>
      </c>
      <c r="B516" s="141" t="s">
        <v>1019</v>
      </c>
      <c r="C516" s="141">
        <v>88267</v>
      </c>
      <c r="D516" s="142" t="str">
        <f>PROPER(IFERROR(
IF(C516="","",
IF(CONCATENATE($A516,$B516)="IDER-ES",INDEX('IDER-ES'!$B:$B,MATCH($C516,'IDER-ES'!$A:$A,0)),
IF(CONCATENATE($A516,$B516)="CDER-ES",INDEX('CDER-ES'!$B:$B,MATCH($C516,'CDER-ES'!$A:$A,0)),
IF(CONCATENATE($A516,$B516)="ISINAPI",INDEX(ISINAPI!$B:$B,MATCH($C516,ISINAPI!$A:$A,0)),
IF(CONCATENATE($A516,$B516)="CSINAPI",INDEX(CSINAPI!$B:$B,MATCH($C516,CSINAPI!$A:$A,0)),
IF(CONCATENATE($A516,$B516)="CCESAN",INDEX(CCESAN!$B:$B,MATCH($C516,CCESAN!$A:$A,0)),
IF(CONCATENATE($A516,$B516)="CSCORIO",INDEX(CSCORIO!#REF!,MATCH($C516,CSCORIO!#REF!,0)),
IF(CONCATENATE($A516,$B516)="MERC",INDEX(MERCADO!$B:$B,MATCH($C516,MERCADO!$A:$A,0)),
IF(CONCATENATE($A516,$B516)="CCOMP",INDEX(COMPOSICAO!$B:$B,MATCH($C516,COMPOSICAO!$A:$A,0)),""
))))))))),"*Verificar código*"))</f>
        <v>Encanador Ou Bombeiro Hidráulico Com Encargos Complementares</v>
      </c>
      <c r="E516" s="143" t="str">
        <f>LOWER(IFERROR(
IF(CONCATENATE($A516,$B516)="IDER-ES",INDEX('IDER-ES'!$C:$C,MATCH($C516,'IDER-ES'!$A:$A,0)),
IF(CONCATENATE($A516,$B516)="CIOPES",INDEX('CDER-ES'!$C:$C,MATCH($C516,'CDER-ES'!$A:$A,0)),
IF(CONCATENATE($A516,$B516)="ISINAPI",INDEX(ISINAPI!$C:$C,MATCH($C516,ISINAPI!$A:$A,0)),
IF(CONCATENATE($A516,$B516)="CSINAPI",INDEX(CSINAPI!$C:$C,MATCH($C516,CSINAPI!$A:$A,0)),
IF(CONCATENATE($A516,$B516)="CCESAN",INDEX(CCESAN!$C:$C,MATCH($C516,CCESAN!$A:$A,0)),
IF(CONCATENATE($A516,$B516)="CSCORIO",INDEX(CSCORIO!$A:$A,MATCH($C516,CSCORIO!#REF!,0)),
IF(CONCATENATE($A516,$B516)="MERC",INDEX(MERCADO!$D:$D,MATCH($C516,MERCADO!$A:$A,0)),
IF(CONCATENATE($A516,$B516)="CCOMP",INDEX(COMPOSICAO!$H:$H,MATCH($C516,COMPOSICAO!$A:$A,0)),""
)))))))),""))</f>
        <v>h</v>
      </c>
      <c r="F516" s="182">
        <v>0.1</v>
      </c>
      <c r="G516" s="144">
        <f>(IFERROR(
IF(CONCATENATE($A516,$B516)="IDER-ES",INDEX('IDER-ES'!$D:$D,MATCH($C516,'IDER-ES'!$A:$A,0)),
IF(CONCATENATE($A516,$B516)="CIOPES",INDEX('CDER-ES'!$D:$D,MATCH($C516,'CDER-ES'!$A:$A,0)),
IF(CONCATENATE($A516,$B516)="ISINAPI",INDEX(ISINAPI!$E:$E,MATCH($C516,ISINAPI!$A:$A,0)),
IF(CONCATENATE($A516,$B516)="CSINAPI",INDEX(CSINAPI!$D:$D,MATCH($C516,CSINAPI!$A:$A,0)),
IF(CONCATENATE($A516,$B516)="CCESAN",INDEX(CCESAN!$D:$D,MATCH($C516,CCESAN!$A:$A,0)),
IF(CONCATENATE($A516,$B516)="CSCORIO",INDEX(CSCORIO!$B:$B,MATCH($C516,CSCORIO!#REF!,0)),
IF(CONCATENATE($A516,$B516)="MERC",INDEX(MERCADO!$E:$E,MATCH($C516,MERCADO!$A:$A,0)),
IF(CONCATENATE($A516,$B516)="CCOMP",INDEX(COMPOSICAO!$H:$H,MATCH($C516,COMPOSICAO!$A:$A,0)),""
)))))))),""))</f>
        <v>21.94</v>
      </c>
      <c r="H516" s="144">
        <f t="shared" ref="H516:H517" si="89">IF(B516="","",ROUND(G516*F516,2))</f>
        <v>2.19</v>
      </c>
    </row>
    <row r="517" spans="1:9" ht="25.5">
      <c r="A517" s="141" t="s">
        <v>21960</v>
      </c>
      <c r="B517" s="141" t="s">
        <v>1019</v>
      </c>
      <c r="C517" s="141">
        <v>88316</v>
      </c>
      <c r="D517" s="142" t="str">
        <f>PROPER(IFERROR(
IF(C517="","",
IF(CONCATENATE($A517,$B517)="IDER-ES",INDEX('IDER-ES'!$B:$B,MATCH($C517,'IDER-ES'!$A:$A,0)),
IF(CONCATENATE($A517,$B517)="CDER-ES",INDEX('CDER-ES'!$B:$B,MATCH($C517,'CDER-ES'!$A:$A,0)),
IF(CONCATENATE($A517,$B517)="ISINAPI",INDEX(ISINAPI!$B:$B,MATCH($C517,ISINAPI!$A:$A,0)),
IF(CONCATENATE($A517,$B517)="CSINAPI",INDEX(CSINAPI!$B:$B,MATCH($C517,CSINAPI!$A:$A,0)),
IF(CONCATENATE($A517,$B517)="CCESAN",INDEX(CCESAN!$B:$B,MATCH($C517,CCESAN!$A:$A,0)),
IF(CONCATENATE($A517,$B517)="CSCORIO",INDEX(CSCORIO!#REF!,MATCH($C517,CSCORIO!#REF!,0)),
IF(CONCATENATE($A517,$B517)="MERC",INDEX(MERCADO!$B:$B,MATCH($C517,MERCADO!$A:$A,0)),
IF(CONCATENATE($A517,$B517)="CCOMP",INDEX(COMPOSICAO!$B:$B,MATCH($C517,COMPOSICAO!$A:$A,0)),""
))))))))),"*Verificar código*"))</f>
        <v>Servente Com Encargos Complementares</v>
      </c>
      <c r="E517" s="143" t="str">
        <f>LOWER(IFERROR(
IF(CONCATENATE($A517,$B517)="IDER-ES",INDEX('IDER-ES'!$C:$C,MATCH($C517,'IDER-ES'!$A:$A,0)),
IF(CONCATENATE($A517,$B517)="CDER-ES",INDEX('CDER-ES'!$C:$C,MATCH($C517,'CDER-ES'!$A:$A,0)),
IF(CONCATENATE($A517,$B517)="ISINAPI",INDEX(ISINAPI!$C:$C,MATCH($C517,ISINAPI!$A:$A,0)),
IF(CONCATENATE($A517,$B517)="CSINAPI",INDEX(CSINAPI!$C:$C,MATCH($C517,CSINAPI!$A:$A,0)),
IF(CONCATENATE($A517,$B517)="CCESAN",INDEX(CCESAN!$C:$C,MATCH($C517,CCESAN!$A:$A,0)),
IF(CONCATENATE($A517,$B517)="CSCORIO",INDEX(CSCORIO!$A:$A,MATCH($C517,CSCORIO!#REF!,0)),
IF(CONCATENATE($A517,$B517)="MERC",INDEX(MERCADO!$D:$D,MATCH($C517,MERCADO!$A:$A,0)),
IF(CONCATENATE($A517,$B517)="CCOMP",INDEX(COMPOSICAO!$H:$H,MATCH($C517,COMPOSICAO!$A:$A,0)),""
)))))))),""))</f>
        <v>h</v>
      </c>
      <c r="F517" s="182">
        <v>0.2</v>
      </c>
      <c r="G517" s="144">
        <f>(IFERROR(
IF(CONCATENATE($A517,$B517)="IDER-ES",INDEX('IDER-ES'!$D:$D,MATCH($C517,'IDER-ES'!$A:$A,0)),
IF(CONCATENATE($A517,$B517)="CDER-ES",INDEX('CDER-ES'!$D:$D,MATCH($C517,'CDER-ES'!$A:$A,0)),
IF(CONCATENATE($A517,$B517)="ISINAPI",INDEX(ISINAPI!$E:$E,MATCH($C517,ISINAPI!$A:$A,0)),
IF(CONCATENATE($A517,$B517)="CSINAPI",INDEX(CSINAPI!$D:$D,MATCH($C517,CSINAPI!$A:$A,0)),
IF(CONCATENATE($A517,$B517)="CCESAN",INDEX(CCESAN!$D:$D,MATCH($C517,CCESAN!$A:$A,0)),
IF(CONCATENATE($A517,$B517)="CSCORIO",INDEX(CSCORIO!$B:$B,MATCH($C517,CSCORIO!#REF!,0)),
IF(CONCATENATE($A517,$B517)="MERC",INDEX(MERCADO!$E:$E,MATCH($C517,MERCADO!$A:$A,0)),
IF(CONCATENATE($A517,$B517)="CCOMP",INDEX(COMPOSICAO!$H:$H,MATCH($C517,COMPOSICAO!$A:$A,0)),""
)))))))),""))</f>
        <v>18.11</v>
      </c>
      <c r="H517" s="144">
        <f t="shared" si="89"/>
        <v>3.62</v>
      </c>
    </row>
  </sheetData>
  <mergeCells count="102">
    <mergeCell ref="B189:F189"/>
    <mergeCell ref="B467:F467"/>
    <mergeCell ref="B381:F381"/>
    <mergeCell ref="B423:F423"/>
    <mergeCell ref="B424:F424"/>
    <mergeCell ref="B455:F455"/>
    <mergeCell ref="B456:F456"/>
    <mergeCell ref="B447:F447"/>
    <mergeCell ref="B448:F448"/>
    <mergeCell ref="B190:F190"/>
    <mergeCell ref="B352:F352"/>
    <mergeCell ref="B353:F353"/>
    <mergeCell ref="B228:F228"/>
    <mergeCell ref="B391:F391"/>
    <mergeCell ref="B392:F392"/>
    <mergeCell ref="B362:F362"/>
    <mergeCell ref="B251:F251"/>
    <mergeCell ref="B213:F213"/>
    <mergeCell ref="B106:F106"/>
    <mergeCell ref="B338:F338"/>
    <mergeCell ref="B361:F361"/>
    <mergeCell ref="B227:F227"/>
    <mergeCell ref="B259:F259"/>
    <mergeCell ref="B260:F260"/>
    <mergeCell ref="B270:F270"/>
    <mergeCell ref="B271:F271"/>
    <mergeCell ref="B242:F242"/>
    <mergeCell ref="B243:F243"/>
    <mergeCell ref="B337:F337"/>
    <mergeCell ref="B250:F250"/>
    <mergeCell ref="B118:F118"/>
    <mergeCell ref="B119:F119"/>
    <mergeCell ref="B128:F128"/>
    <mergeCell ref="B129:F129"/>
    <mergeCell ref="B156:F156"/>
    <mergeCell ref="B168:F168"/>
    <mergeCell ref="B169:F169"/>
    <mergeCell ref="B180:F180"/>
    <mergeCell ref="B181:F181"/>
    <mergeCell ref="B205:F205"/>
    <mergeCell ref="B206:F206"/>
    <mergeCell ref="A1:H1"/>
    <mergeCell ref="C2:H2"/>
    <mergeCell ref="C3:H3"/>
    <mergeCell ref="A2:B2"/>
    <mergeCell ref="A3:B3"/>
    <mergeCell ref="B31:F31"/>
    <mergeCell ref="B32:F32"/>
    <mergeCell ref="B61:F61"/>
    <mergeCell ref="B62:F62"/>
    <mergeCell ref="B4:F4"/>
    <mergeCell ref="B5:F5"/>
    <mergeCell ref="B18:F18"/>
    <mergeCell ref="B19:F19"/>
    <mergeCell ref="B513:F513"/>
    <mergeCell ref="B514:F514"/>
    <mergeCell ref="B503:F503"/>
    <mergeCell ref="B491:F491"/>
    <mergeCell ref="B492:F492"/>
    <mergeCell ref="B504:F504"/>
    <mergeCell ref="B220:F220"/>
    <mergeCell ref="B221:F221"/>
    <mergeCell ref="B438:F438"/>
    <mergeCell ref="B439:F439"/>
    <mergeCell ref="B382:F382"/>
    <mergeCell ref="B430:F430"/>
    <mergeCell ref="B431:F431"/>
    <mergeCell ref="B403:F403"/>
    <mergeCell ref="A411:H411"/>
    <mergeCell ref="B413:F413"/>
    <mergeCell ref="B414:F414"/>
    <mergeCell ref="A421:H421"/>
    <mergeCell ref="B283:F283"/>
    <mergeCell ref="B302:F302"/>
    <mergeCell ref="B320:F320"/>
    <mergeCell ref="B321:F321"/>
    <mergeCell ref="B284:F284"/>
    <mergeCell ref="B301:F301"/>
    <mergeCell ref="A400:H400"/>
    <mergeCell ref="B402:F402"/>
    <mergeCell ref="B372:F372"/>
    <mergeCell ref="B482:F482"/>
    <mergeCell ref="B468:F468"/>
    <mergeCell ref="B481:F481"/>
    <mergeCell ref="B48:F48"/>
    <mergeCell ref="B49:F49"/>
    <mergeCell ref="B85:F85"/>
    <mergeCell ref="B86:F86"/>
    <mergeCell ref="B73:F73"/>
    <mergeCell ref="B74:F74"/>
    <mergeCell ref="B137:F137"/>
    <mergeCell ref="B214:F214"/>
    <mergeCell ref="B197:F197"/>
    <mergeCell ref="B198:F198"/>
    <mergeCell ref="B138:F138"/>
    <mergeCell ref="B145:F145"/>
    <mergeCell ref="B146:F146"/>
    <mergeCell ref="B155:F155"/>
    <mergeCell ref="B93:F93"/>
    <mergeCell ref="B94:F94"/>
    <mergeCell ref="B105:F105"/>
    <mergeCell ref="B371:F371"/>
  </mergeCells>
  <dataValidations disablePrompts="1" count="1">
    <dataValidation type="list" errorStyle="warning" allowBlank="1" showInputMessage="1" showErrorMessage="1" error="Selecionar Referencial compatível" sqref="XES1:XFD3">
      <formula1>DADOS</formula1>
    </dataValidation>
  </dataValidations>
  <printOptions horizontalCentered="1"/>
  <pageMargins left="0.78740157480314965" right="0.39370078740157483" top="1.5748031496062993" bottom="0.98425196850393704" header="0" footer="0"/>
  <pageSetup paperSize="9" scale="94" fitToHeight="0" pageOrder="overThenDown" orientation="portrait" useFirstPageNumber="1" r:id="rId1"/>
  <headerFooter alignWithMargins="0">
    <oddHeader>&amp;C&amp;G</oddHeader>
    <oddFooter>&amp;C&amp;10__________________________
Fabrício Benício de Brito
Engenheiro Civil - CREA ES-014512/D
&amp;RPágina &amp;P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XEV54"/>
  <sheetViews>
    <sheetView view="pageBreakPreview" zoomScale="85" zoomScaleNormal="100" zoomScaleSheetLayoutView="85" workbookViewId="0">
      <selection activeCell="C56" sqref="C56"/>
    </sheetView>
  </sheetViews>
  <sheetFormatPr defaultRowHeight="12.75"/>
  <cols>
    <col min="1" max="1" width="5.625" style="68" customWidth="1"/>
    <col min="2" max="2" width="25.625" style="68" customWidth="1"/>
    <col min="3" max="11" width="10.625" style="68" customWidth="1"/>
    <col min="12" max="15" width="13.375" style="68" hidden="1" customWidth="1"/>
    <col min="16" max="16" width="16.25" style="68" hidden="1" customWidth="1"/>
    <col min="17" max="17" width="9" style="68"/>
    <col min="18" max="18" width="12.625" style="68" bestFit="1" customWidth="1"/>
    <col min="19" max="16384" width="9" style="68"/>
  </cols>
  <sheetData>
    <row r="1" spans="1:995 16376:16376" s="52" customFormat="1" ht="30" customHeight="1">
      <c r="A1" s="423" t="s">
        <v>19669</v>
      </c>
      <c r="B1" s="423"/>
      <c r="C1" s="423"/>
      <c r="D1" s="423"/>
      <c r="E1" s="423"/>
      <c r="F1" s="423"/>
      <c r="G1" s="423"/>
      <c r="H1" s="423"/>
      <c r="I1" s="423"/>
      <c r="J1" s="423"/>
      <c r="K1" s="423"/>
      <c r="L1" s="148"/>
      <c r="M1" s="148"/>
      <c r="N1" s="148"/>
      <c r="O1" s="148"/>
      <c r="P1" s="148"/>
      <c r="Q1" s="149"/>
      <c r="R1" s="54"/>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XEV1" s="52" t="s">
        <v>1019</v>
      </c>
    </row>
    <row r="2" spans="1:995 16376:16376" s="52" customFormat="1" ht="19.5" customHeight="1">
      <c r="A2" s="422" t="s">
        <v>982</v>
      </c>
      <c r="B2" s="422"/>
      <c r="C2" s="424" t="str">
        <f>OBRA</f>
        <v>RESTAURAÇÃO CASARÃO MADAME ALBERTINA HOLZ</v>
      </c>
      <c r="D2" s="424"/>
      <c r="E2" s="424"/>
      <c r="F2" s="424"/>
      <c r="G2" s="424"/>
      <c r="H2" s="424"/>
      <c r="I2" s="424"/>
      <c r="J2" s="424"/>
      <c r="K2" s="424"/>
      <c r="L2" s="348"/>
      <c r="M2" s="150"/>
      <c r="N2" s="150"/>
      <c r="O2" s="150"/>
      <c r="P2" s="150"/>
      <c r="Q2" s="149"/>
      <c r="R2" s="54"/>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c r="AEA2" s="53"/>
      <c r="AEB2" s="53"/>
      <c r="AEC2" s="53"/>
      <c r="AED2" s="53"/>
      <c r="AEE2" s="53"/>
      <c r="AEF2" s="53"/>
      <c r="AEG2" s="53"/>
      <c r="AEH2" s="53"/>
      <c r="AEI2" s="53"/>
      <c r="AEJ2" s="53"/>
      <c r="AEK2" s="53"/>
      <c r="AEL2" s="53"/>
      <c r="AEM2" s="53"/>
      <c r="AEN2" s="53"/>
      <c r="AEO2" s="53"/>
      <c r="AEP2" s="53"/>
      <c r="AEQ2" s="53"/>
      <c r="AER2" s="53"/>
      <c r="AES2" s="53"/>
      <c r="AET2" s="53"/>
      <c r="AEU2" s="53"/>
      <c r="AEV2" s="53"/>
      <c r="AEW2" s="53"/>
      <c r="AEX2" s="53"/>
      <c r="AEY2" s="53"/>
      <c r="AEZ2" s="53"/>
      <c r="AFA2" s="53"/>
      <c r="AFB2" s="53"/>
      <c r="AFC2" s="53"/>
      <c r="AFD2" s="53"/>
      <c r="AFE2" s="53"/>
      <c r="AFF2" s="53"/>
      <c r="AFG2" s="53"/>
      <c r="AFH2" s="53"/>
      <c r="AFI2" s="53"/>
      <c r="AFJ2" s="53"/>
      <c r="AFK2" s="53"/>
      <c r="AFL2" s="53"/>
      <c r="AFM2" s="53"/>
      <c r="AFN2" s="53"/>
      <c r="AFO2" s="53"/>
      <c r="AFP2" s="53"/>
      <c r="AFQ2" s="53"/>
      <c r="AFR2" s="53"/>
      <c r="AFS2" s="53"/>
      <c r="AFT2" s="53"/>
      <c r="AFU2" s="53"/>
      <c r="AFV2" s="53"/>
      <c r="AFW2" s="53"/>
      <c r="AFX2" s="53"/>
      <c r="AFY2" s="53"/>
      <c r="AFZ2" s="53"/>
      <c r="AGA2" s="53"/>
      <c r="AGB2" s="53"/>
      <c r="AGC2" s="53"/>
      <c r="AGD2" s="53"/>
      <c r="AGE2" s="53"/>
      <c r="AGF2" s="53"/>
      <c r="AGG2" s="53"/>
      <c r="AGH2" s="53"/>
      <c r="AGI2" s="53"/>
      <c r="AGJ2" s="53"/>
      <c r="AGK2" s="53"/>
      <c r="AGL2" s="53"/>
      <c r="AGM2" s="53"/>
      <c r="AGN2" s="53"/>
      <c r="AGO2" s="53"/>
      <c r="AGP2" s="53"/>
      <c r="AGQ2" s="53"/>
      <c r="AGR2" s="53"/>
      <c r="AGS2" s="53"/>
      <c r="AGT2" s="53"/>
      <c r="AGU2" s="53"/>
      <c r="AGV2" s="53"/>
      <c r="AGW2" s="53"/>
      <c r="AGX2" s="53"/>
      <c r="AGY2" s="53"/>
      <c r="AGZ2" s="53"/>
      <c r="AHA2" s="53"/>
      <c r="AHB2" s="53"/>
      <c r="AHC2" s="53"/>
      <c r="AHD2" s="53"/>
      <c r="AHE2" s="53"/>
      <c r="AHF2" s="53"/>
      <c r="AHG2" s="53"/>
      <c r="AHH2" s="53"/>
      <c r="AHI2" s="53"/>
      <c r="AHJ2" s="53"/>
      <c r="AHK2" s="53"/>
      <c r="AHL2" s="53"/>
      <c r="AHM2" s="53"/>
      <c r="AHN2" s="53"/>
      <c r="AHO2" s="53"/>
      <c r="AHP2" s="53"/>
      <c r="AHQ2" s="53"/>
      <c r="AHR2" s="53"/>
      <c r="AHS2" s="53"/>
      <c r="AHT2" s="53"/>
      <c r="AHU2" s="53"/>
      <c r="AHV2" s="53"/>
      <c r="AHW2" s="53"/>
      <c r="AHX2" s="53"/>
      <c r="AHY2" s="53"/>
      <c r="AHZ2" s="53"/>
      <c r="AIA2" s="53"/>
      <c r="AIB2" s="53"/>
      <c r="AIC2" s="53"/>
      <c r="AID2" s="53"/>
      <c r="AIE2" s="53"/>
      <c r="AIF2" s="53"/>
      <c r="AIG2" s="53"/>
      <c r="AIH2" s="53"/>
      <c r="AII2" s="53"/>
      <c r="AIJ2" s="53"/>
      <c r="AIK2" s="53"/>
      <c r="AIL2" s="53"/>
      <c r="AIM2" s="53"/>
      <c r="AIN2" s="53"/>
      <c r="AIO2" s="53"/>
      <c r="AIP2" s="53"/>
      <c r="AIQ2" s="53"/>
      <c r="AIR2" s="53"/>
      <c r="AIS2" s="53"/>
      <c r="AIT2" s="53"/>
      <c r="AIU2" s="53"/>
      <c r="AIV2" s="53"/>
      <c r="AIW2" s="53"/>
      <c r="AIX2" s="53"/>
      <c r="AIY2" s="53"/>
      <c r="AIZ2" s="53"/>
      <c r="AJA2" s="53"/>
      <c r="AJB2" s="53"/>
      <c r="AJC2" s="53"/>
      <c r="AJD2" s="53"/>
      <c r="AJE2" s="53"/>
      <c r="AJF2" s="53"/>
      <c r="AJG2" s="53"/>
      <c r="AJH2" s="53"/>
      <c r="AJI2" s="53"/>
      <c r="AJJ2" s="53"/>
      <c r="AJK2" s="53"/>
      <c r="AJL2" s="53"/>
      <c r="AJM2" s="53"/>
      <c r="AJN2" s="53"/>
      <c r="AJO2" s="53"/>
      <c r="AJP2" s="53"/>
      <c r="AJQ2" s="53"/>
      <c r="AJR2" s="53"/>
      <c r="AJS2" s="53"/>
      <c r="AJT2" s="53"/>
      <c r="AJU2" s="53"/>
      <c r="AJV2" s="53"/>
      <c r="AJW2" s="53"/>
      <c r="AJX2" s="53"/>
      <c r="AJY2" s="53"/>
      <c r="AJZ2" s="53"/>
      <c r="AKA2" s="53"/>
      <c r="AKB2" s="53"/>
      <c r="AKC2" s="53"/>
      <c r="AKD2" s="53"/>
      <c r="AKE2" s="53"/>
      <c r="AKF2" s="53"/>
      <c r="AKG2" s="53"/>
      <c r="AKH2" s="53"/>
      <c r="AKI2" s="53"/>
      <c r="AKJ2" s="53"/>
      <c r="AKK2" s="53"/>
      <c r="AKL2" s="53"/>
      <c r="AKM2" s="53"/>
      <c r="AKN2" s="53"/>
      <c r="AKO2" s="53"/>
      <c r="AKP2" s="53"/>
      <c r="AKQ2" s="53"/>
      <c r="AKR2" s="53"/>
      <c r="AKS2" s="53"/>
      <c r="AKT2" s="53"/>
      <c r="AKU2" s="53"/>
      <c r="AKV2" s="53"/>
      <c r="AKW2" s="53"/>
      <c r="AKX2" s="53"/>
      <c r="AKY2" s="53"/>
      <c r="AKZ2" s="53"/>
      <c r="ALA2" s="53"/>
      <c r="ALB2" s="53"/>
      <c r="ALC2" s="53"/>
      <c r="ALD2" s="53"/>
      <c r="ALE2" s="53"/>
      <c r="ALF2" s="53"/>
      <c r="ALG2" s="53"/>
      <c r="XEV2" s="52" t="s">
        <v>35</v>
      </c>
    </row>
    <row r="3" spans="1:995 16376:16376" s="52" customFormat="1" ht="20.100000000000001" customHeight="1">
      <c r="A3" s="422" t="s">
        <v>19670</v>
      </c>
      <c r="B3" s="422"/>
      <c r="C3" s="381" t="str">
        <f>CONTRATO</f>
        <v>Avenida Rio Doce, quadra 20E, lote 1, Centro - Baixo Guandu/ ES</v>
      </c>
      <c r="D3" s="381"/>
      <c r="E3" s="381"/>
      <c r="F3" s="381"/>
      <c r="G3" s="381"/>
      <c r="H3" s="381"/>
      <c r="I3" s="381"/>
      <c r="J3" s="381"/>
      <c r="K3" s="381"/>
      <c r="L3" s="349"/>
      <c r="M3" s="151"/>
      <c r="N3" s="151"/>
      <c r="O3" s="151"/>
      <c r="P3" s="151"/>
      <c r="Q3" s="149"/>
      <c r="R3" s="54"/>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c r="AEA3" s="53"/>
      <c r="AEB3" s="53"/>
      <c r="AEC3" s="53"/>
      <c r="AED3" s="53"/>
      <c r="AEE3" s="53"/>
      <c r="AEF3" s="53"/>
      <c r="AEG3" s="53"/>
      <c r="AEH3" s="53"/>
      <c r="AEI3" s="53"/>
      <c r="AEJ3" s="53"/>
      <c r="AEK3" s="53"/>
      <c r="AEL3" s="53"/>
      <c r="AEM3" s="53"/>
      <c r="AEN3" s="53"/>
      <c r="AEO3" s="53"/>
      <c r="AEP3" s="53"/>
      <c r="AEQ3" s="53"/>
      <c r="AER3" s="53"/>
      <c r="AES3" s="53"/>
      <c r="AET3" s="53"/>
      <c r="AEU3" s="53"/>
      <c r="AEV3" s="53"/>
      <c r="AEW3" s="53"/>
      <c r="AEX3" s="53"/>
      <c r="AEY3" s="53"/>
      <c r="AEZ3" s="53"/>
      <c r="AFA3" s="53"/>
      <c r="AFB3" s="53"/>
      <c r="AFC3" s="53"/>
      <c r="AFD3" s="53"/>
      <c r="AFE3" s="53"/>
      <c r="AFF3" s="53"/>
      <c r="AFG3" s="53"/>
      <c r="AFH3" s="53"/>
      <c r="AFI3" s="53"/>
      <c r="AFJ3" s="53"/>
      <c r="AFK3" s="53"/>
      <c r="AFL3" s="53"/>
      <c r="AFM3" s="53"/>
      <c r="AFN3" s="53"/>
      <c r="AFO3" s="53"/>
      <c r="AFP3" s="53"/>
      <c r="AFQ3" s="53"/>
      <c r="AFR3" s="53"/>
      <c r="AFS3" s="53"/>
      <c r="AFT3" s="53"/>
      <c r="AFU3" s="53"/>
      <c r="AFV3" s="53"/>
      <c r="AFW3" s="53"/>
      <c r="AFX3" s="53"/>
      <c r="AFY3" s="53"/>
      <c r="AFZ3" s="53"/>
      <c r="AGA3" s="53"/>
      <c r="AGB3" s="53"/>
      <c r="AGC3" s="53"/>
      <c r="AGD3" s="53"/>
      <c r="AGE3" s="53"/>
      <c r="AGF3" s="53"/>
      <c r="AGG3" s="53"/>
      <c r="AGH3" s="53"/>
      <c r="AGI3" s="53"/>
      <c r="AGJ3" s="53"/>
      <c r="AGK3" s="53"/>
      <c r="AGL3" s="53"/>
      <c r="AGM3" s="53"/>
      <c r="AGN3" s="53"/>
      <c r="AGO3" s="53"/>
      <c r="AGP3" s="53"/>
      <c r="AGQ3" s="53"/>
      <c r="AGR3" s="53"/>
      <c r="AGS3" s="53"/>
      <c r="AGT3" s="53"/>
      <c r="AGU3" s="53"/>
      <c r="AGV3" s="53"/>
      <c r="AGW3" s="53"/>
      <c r="AGX3" s="53"/>
      <c r="AGY3" s="53"/>
      <c r="AGZ3" s="53"/>
      <c r="AHA3" s="53"/>
      <c r="AHB3" s="53"/>
      <c r="AHC3" s="53"/>
      <c r="AHD3" s="53"/>
      <c r="AHE3" s="53"/>
      <c r="AHF3" s="53"/>
      <c r="AHG3" s="53"/>
      <c r="AHH3" s="53"/>
      <c r="AHI3" s="53"/>
      <c r="AHJ3" s="53"/>
      <c r="AHK3" s="53"/>
      <c r="AHL3" s="53"/>
      <c r="AHM3" s="53"/>
      <c r="AHN3" s="53"/>
      <c r="AHO3" s="53"/>
      <c r="AHP3" s="53"/>
      <c r="AHQ3" s="53"/>
      <c r="AHR3" s="53"/>
      <c r="AHS3" s="53"/>
      <c r="AHT3" s="53"/>
      <c r="AHU3" s="53"/>
      <c r="AHV3" s="53"/>
      <c r="AHW3" s="53"/>
      <c r="AHX3" s="53"/>
      <c r="AHY3" s="53"/>
      <c r="AHZ3" s="53"/>
      <c r="AIA3" s="53"/>
      <c r="AIB3" s="53"/>
      <c r="AIC3" s="53"/>
      <c r="AID3" s="53"/>
      <c r="AIE3" s="53"/>
      <c r="AIF3" s="53"/>
      <c r="AIG3" s="53"/>
      <c r="AIH3" s="53"/>
      <c r="AII3" s="53"/>
      <c r="AIJ3" s="53"/>
      <c r="AIK3" s="53"/>
      <c r="AIL3" s="53"/>
      <c r="AIM3" s="53"/>
      <c r="AIN3" s="53"/>
      <c r="AIO3" s="53"/>
      <c r="AIP3" s="53"/>
      <c r="AIQ3" s="53"/>
      <c r="AIR3" s="53"/>
      <c r="AIS3" s="53"/>
      <c r="AIT3" s="53"/>
      <c r="AIU3" s="53"/>
      <c r="AIV3" s="53"/>
      <c r="AIW3" s="53"/>
      <c r="AIX3" s="53"/>
      <c r="AIY3" s="53"/>
      <c r="AIZ3" s="53"/>
      <c r="AJA3" s="53"/>
      <c r="AJB3" s="53"/>
      <c r="AJC3" s="53"/>
      <c r="AJD3" s="53"/>
      <c r="AJE3" s="53"/>
      <c r="AJF3" s="53"/>
      <c r="AJG3" s="53"/>
      <c r="AJH3" s="53"/>
      <c r="AJI3" s="53"/>
      <c r="AJJ3" s="53"/>
      <c r="AJK3" s="53"/>
      <c r="AJL3" s="53"/>
      <c r="AJM3" s="53"/>
      <c r="AJN3" s="53"/>
      <c r="AJO3" s="53"/>
      <c r="AJP3" s="53"/>
      <c r="AJQ3" s="53"/>
      <c r="AJR3" s="53"/>
      <c r="AJS3" s="53"/>
      <c r="AJT3" s="53"/>
      <c r="AJU3" s="53"/>
      <c r="AJV3" s="53"/>
      <c r="AJW3" s="53"/>
      <c r="AJX3" s="53"/>
      <c r="AJY3" s="53"/>
      <c r="AJZ3" s="53"/>
      <c r="AKA3" s="53"/>
      <c r="AKB3" s="53"/>
      <c r="AKC3" s="53"/>
      <c r="AKD3" s="53"/>
      <c r="AKE3" s="53"/>
      <c r="AKF3" s="53"/>
      <c r="AKG3" s="53"/>
      <c r="AKH3" s="53"/>
      <c r="AKI3" s="53"/>
      <c r="AKJ3" s="53"/>
      <c r="AKK3" s="53"/>
      <c r="AKL3" s="53"/>
      <c r="AKM3" s="53"/>
      <c r="AKN3" s="53"/>
      <c r="AKO3" s="53"/>
      <c r="AKP3" s="53"/>
      <c r="AKQ3" s="53"/>
      <c r="AKR3" s="53"/>
      <c r="AKS3" s="53"/>
      <c r="AKT3" s="53"/>
      <c r="AKU3" s="53"/>
      <c r="AKV3" s="53"/>
      <c r="AKW3" s="53"/>
      <c r="AKX3" s="53"/>
      <c r="AKY3" s="53"/>
      <c r="AKZ3" s="53"/>
      <c r="ALA3" s="53"/>
      <c r="ALB3" s="53"/>
      <c r="ALC3" s="53"/>
      <c r="ALD3" s="53"/>
      <c r="ALE3" s="53"/>
      <c r="ALF3" s="53"/>
      <c r="ALG3" s="53"/>
      <c r="XEV3" s="52" t="s">
        <v>2174</v>
      </c>
    </row>
    <row r="5" spans="1:995 16376:16376" s="157" customFormat="1" ht="38.25">
      <c r="A5" s="152" t="s">
        <v>1013</v>
      </c>
      <c r="B5" s="152" t="s">
        <v>1025</v>
      </c>
      <c r="C5" s="153" t="s">
        <v>19680</v>
      </c>
      <c r="D5" s="154">
        <v>1</v>
      </c>
      <c r="E5" s="154">
        <f>D5+1</f>
        <v>2</v>
      </c>
      <c r="F5" s="154">
        <f t="shared" ref="F5:P5" si="0">E5+1</f>
        <v>3</v>
      </c>
      <c r="G5" s="154">
        <f t="shared" si="0"/>
        <v>4</v>
      </c>
      <c r="H5" s="154">
        <f t="shared" si="0"/>
        <v>5</v>
      </c>
      <c r="I5" s="154">
        <f t="shared" si="0"/>
        <v>6</v>
      </c>
      <c r="J5" s="154">
        <f t="shared" si="0"/>
        <v>7</v>
      </c>
      <c r="K5" s="154">
        <f t="shared" si="0"/>
        <v>8</v>
      </c>
      <c r="L5" s="155">
        <f t="shared" si="0"/>
        <v>9</v>
      </c>
      <c r="M5" s="156">
        <f t="shared" si="0"/>
        <v>10</v>
      </c>
      <c r="N5" s="156">
        <f t="shared" si="0"/>
        <v>11</v>
      </c>
      <c r="O5" s="156">
        <f t="shared" si="0"/>
        <v>12</v>
      </c>
      <c r="P5" s="156">
        <f t="shared" si="0"/>
        <v>13</v>
      </c>
    </row>
    <row r="6" spans="1:995 16376:16376" s="52" customFormat="1" ht="20.100000000000001" customHeight="1">
      <c r="A6" s="418" t="s">
        <v>19657</v>
      </c>
      <c r="B6" s="420" t="str">
        <f>VLOOKUP($A6,SERVICOS,4,0)</f>
        <v>SERVIÇOS PRELIMINARES</v>
      </c>
      <c r="C6" s="158">
        <f>C7/$C$50</f>
        <v>3.9332778790751276E-2</v>
      </c>
      <c r="D6" s="159">
        <v>0.66</v>
      </c>
      <c r="E6" s="159">
        <v>0.06</v>
      </c>
      <c r="F6" s="159">
        <v>0.06</v>
      </c>
      <c r="G6" s="159">
        <v>0.06</v>
      </c>
      <c r="H6" s="159">
        <v>0.06</v>
      </c>
      <c r="I6" s="159">
        <v>0.1</v>
      </c>
      <c r="J6" s="159"/>
      <c r="K6" s="159"/>
      <c r="L6" s="160"/>
      <c r="M6" s="161"/>
      <c r="N6" s="161"/>
      <c r="O6" s="161"/>
      <c r="P6" s="161"/>
      <c r="Q6" s="440">
        <f>SUM(D6:K6)</f>
        <v>1.0000000000000002</v>
      </c>
      <c r="R6" s="52" t="b">
        <f>IF(SUM(D6:P6)=1,TRUE)</f>
        <v>1</v>
      </c>
    </row>
    <row r="7" spans="1:995 16376:16376" s="52" customFormat="1" ht="20.100000000000001" customHeight="1">
      <c r="A7" s="419"/>
      <c r="B7" s="421"/>
      <c r="C7" s="162">
        <f>VLOOKUP($A6,SERVICOS,9,0)</f>
        <v>61479.729999999996</v>
      </c>
      <c r="D7" s="162">
        <f>D6*$C7</f>
        <v>40576.621800000001</v>
      </c>
      <c r="E7" s="162">
        <f t="shared" ref="E7:K7" si="1">E6*$C7</f>
        <v>3688.7837999999997</v>
      </c>
      <c r="F7" s="162">
        <f t="shared" si="1"/>
        <v>3688.7837999999997</v>
      </c>
      <c r="G7" s="162">
        <f t="shared" si="1"/>
        <v>3688.7837999999997</v>
      </c>
      <c r="H7" s="162">
        <f t="shared" si="1"/>
        <v>3688.7837999999997</v>
      </c>
      <c r="I7" s="162">
        <f t="shared" si="1"/>
        <v>6147.973</v>
      </c>
      <c r="J7" s="162">
        <f t="shared" si="1"/>
        <v>0</v>
      </c>
      <c r="K7" s="162">
        <f t="shared" si="1"/>
        <v>0</v>
      </c>
      <c r="L7" s="163">
        <f t="shared" ref="L7:P7" si="2">L6*$C7</f>
        <v>0</v>
      </c>
      <c r="M7" s="164">
        <f t="shared" si="2"/>
        <v>0</v>
      </c>
      <c r="N7" s="164">
        <f t="shared" si="2"/>
        <v>0</v>
      </c>
      <c r="O7" s="164">
        <f t="shared" si="2"/>
        <v>0</v>
      </c>
      <c r="P7" s="164">
        <f t="shared" si="2"/>
        <v>0</v>
      </c>
    </row>
    <row r="8" spans="1:995 16376:16376" s="52" customFormat="1" ht="20.100000000000001" customHeight="1">
      <c r="A8" s="418" t="s">
        <v>19660</v>
      </c>
      <c r="B8" s="420" t="str">
        <f>VLOOKUP($A8,SERVICOS,4,0)</f>
        <v>DEMOLIÇÕES E RETIRADAS</v>
      </c>
      <c r="C8" s="158">
        <f>C9/$C$50</f>
        <v>2.7654078232728783E-2</v>
      </c>
      <c r="D8" s="159">
        <v>1</v>
      </c>
      <c r="E8" s="159"/>
      <c r="F8" s="159"/>
      <c r="G8" s="159"/>
      <c r="H8" s="159"/>
      <c r="I8" s="159"/>
      <c r="J8" s="159"/>
      <c r="K8" s="159"/>
      <c r="L8" s="160"/>
      <c r="M8" s="161"/>
      <c r="N8" s="161"/>
      <c r="O8" s="161"/>
      <c r="P8" s="161"/>
      <c r="Q8" s="440">
        <f>SUM(D8:K8)</f>
        <v>1</v>
      </c>
      <c r="R8" s="52" t="b">
        <f>IF(SUM(D8:P8)=1,TRUE)</f>
        <v>1</v>
      </c>
    </row>
    <row r="9" spans="1:995 16376:16376" s="52" customFormat="1" ht="20.100000000000001" customHeight="1">
      <c r="A9" s="419"/>
      <c r="B9" s="421"/>
      <c r="C9" s="162">
        <f>VLOOKUP($A8,SERVICOS,9,0)</f>
        <v>43225.150000000009</v>
      </c>
      <c r="D9" s="162">
        <f>D8*$C9</f>
        <v>43225.150000000009</v>
      </c>
      <c r="E9" s="162">
        <f t="shared" ref="E9" si="3">E8*$C9</f>
        <v>0</v>
      </c>
      <c r="F9" s="162">
        <f t="shared" ref="F9" si="4">F8*$C9</f>
        <v>0</v>
      </c>
      <c r="G9" s="162">
        <f t="shared" ref="G9" si="5">G8*$C9</f>
        <v>0</v>
      </c>
      <c r="H9" s="162">
        <f t="shared" ref="H9" si="6">H8*$C9</f>
        <v>0</v>
      </c>
      <c r="I9" s="162">
        <f t="shared" ref="I9" si="7">I8*$C9</f>
        <v>0</v>
      </c>
      <c r="J9" s="162">
        <f t="shared" ref="J9" si="8">J8*$C9</f>
        <v>0</v>
      </c>
      <c r="K9" s="162">
        <f t="shared" ref="K9" si="9">K8*$C9</f>
        <v>0</v>
      </c>
      <c r="L9" s="163">
        <f t="shared" ref="L9:P9" si="10">L8*$C9</f>
        <v>0</v>
      </c>
      <c r="M9" s="164">
        <f t="shared" si="10"/>
        <v>0</v>
      </c>
      <c r="N9" s="164">
        <f t="shared" si="10"/>
        <v>0</v>
      </c>
      <c r="O9" s="164">
        <f t="shared" si="10"/>
        <v>0</v>
      </c>
      <c r="P9" s="164">
        <f t="shared" si="10"/>
        <v>0</v>
      </c>
    </row>
    <row r="10" spans="1:995 16376:16376" s="52" customFormat="1" ht="20.100000000000001" customHeight="1">
      <c r="A10" s="418" t="s">
        <v>19661</v>
      </c>
      <c r="B10" s="420" t="str">
        <f>VLOOKUP($A10,SERVICOS,4,0)</f>
        <v>MOVIMENTAÇÃO DE TERRA</v>
      </c>
      <c r="C10" s="158">
        <f>C11/$C$50</f>
        <v>7.9029099487429207E-3</v>
      </c>
      <c r="D10" s="159"/>
      <c r="E10" s="159">
        <v>1</v>
      </c>
      <c r="F10" s="159"/>
      <c r="G10" s="159"/>
      <c r="H10" s="159"/>
      <c r="I10" s="159"/>
      <c r="J10" s="159"/>
      <c r="K10" s="159"/>
      <c r="L10" s="160"/>
      <c r="M10" s="161"/>
      <c r="N10" s="161"/>
      <c r="O10" s="161"/>
      <c r="P10" s="161"/>
      <c r="Q10" s="440">
        <f>SUM(D10:K10)</f>
        <v>1</v>
      </c>
      <c r="R10" s="52" t="b">
        <f>IF(SUM(D10:P10)=1,TRUE)</f>
        <v>1</v>
      </c>
    </row>
    <row r="11" spans="1:995 16376:16376" s="52" customFormat="1" ht="20.100000000000001" customHeight="1">
      <c r="A11" s="419"/>
      <c r="B11" s="421"/>
      <c r="C11" s="162">
        <f>VLOOKUP($A10,SERVICOS,9,0)</f>
        <v>12352.77</v>
      </c>
      <c r="D11" s="162">
        <f>D10*$C11</f>
        <v>0</v>
      </c>
      <c r="E11" s="162">
        <f t="shared" ref="E11" si="11">E10*$C11</f>
        <v>12352.77</v>
      </c>
      <c r="F11" s="162">
        <f t="shared" ref="F11" si="12">F10*$C11</f>
        <v>0</v>
      </c>
      <c r="G11" s="162">
        <f t="shared" ref="G11" si="13">G10*$C11</f>
        <v>0</v>
      </c>
      <c r="H11" s="162">
        <f t="shared" ref="H11" si="14">H10*$C11</f>
        <v>0</v>
      </c>
      <c r="I11" s="162">
        <f t="shared" ref="I11" si="15">I10*$C11</f>
        <v>0</v>
      </c>
      <c r="J11" s="162">
        <f t="shared" ref="J11" si="16">J10*$C11</f>
        <v>0</v>
      </c>
      <c r="K11" s="162">
        <f t="shared" ref="K11" si="17">K10*$C11</f>
        <v>0</v>
      </c>
      <c r="L11" s="163">
        <f t="shared" ref="L11:P11" si="18">L10*$C11</f>
        <v>0</v>
      </c>
      <c r="M11" s="164">
        <f t="shared" si="18"/>
        <v>0</v>
      </c>
      <c r="N11" s="164">
        <f t="shared" si="18"/>
        <v>0</v>
      </c>
      <c r="O11" s="164">
        <f t="shared" si="18"/>
        <v>0</v>
      </c>
      <c r="P11" s="164">
        <f t="shared" si="18"/>
        <v>0</v>
      </c>
    </row>
    <row r="12" spans="1:995 16376:16376" s="52" customFormat="1" ht="20.100000000000001" customHeight="1">
      <c r="A12" s="418" t="s">
        <v>19662</v>
      </c>
      <c r="B12" s="420" t="str">
        <f>VLOOKUP($A12,SERVICOS,4,0)</f>
        <v>ESTRUTURA DE CONCRETO</v>
      </c>
      <c r="C12" s="158">
        <f>C13/$C$50</f>
        <v>5.9721629672430603E-2</v>
      </c>
      <c r="D12" s="159"/>
      <c r="E12" s="159">
        <v>0.4</v>
      </c>
      <c r="F12" s="159">
        <v>0.5</v>
      </c>
      <c r="G12" s="159">
        <v>0.1</v>
      </c>
      <c r="H12" s="159"/>
      <c r="I12" s="159"/>
      <c r="J12" s="159"/>
      <c r="K12" s="159"/>
      <c r="L12" s="160"/>
      <c r="M12" s="161"/>
      <c r="N12" s="161"/>
      <c r="O12" s="161"/>
      <c r="P12" s="161"/>
      <c r="Q12" s="440">
        <f>SUM(D12:K12)</f>
        <v>1</v>
      </c>
      <c r="R12" s="52" t="b">
        <f>IF(SUM(D12:P12)=1,TRUE)</f>
        <v>1</v>
      </c>
    </row>
    <row r="13" spans="1:995 16376:16376" s="52" customFormat="1" ht="20.100000000000001" customHeight="1">
      <c r="A13" s="419"/>
      <c r="B13" s="421"/>
      <c r="C13" s="162">
        <f>VLOOKUP($A12,SERVICOS,9,0)</f>
        <v>93348.849999999991</v>
      </c>
      <c r="D13" s="162">
        <f>D12*$C13</f>
        <v>0</v>
      </c>
      <c r="E13" s="162">
        <f t="shared" ref="E13" si="19">E12*$C13</f>
        <v>37339.54</v>
      </c>
      <c r="F13" s="162">
        <f t="shared" ref="F13" si="20">F12*$C13</f>
        <v>46674.424999999996</v>
      </c>
      <c r="G13" s="162">
        <f t="shared" ref="G13" si="21">G12*$C13</f>
        <v>9334.8850000000002</v>
      </c>
      <c r="H13" s="162">
        <f t="shared" ref="H13" si="22">H12*$C13</f>
        <v>0</v>
      </c>
      <c r="I13" s="162">
        <f t="shared" ref="I13" si="23">I12*$C13</f>
        <v>0</v>
      </c>
      <c r="J13" s="162">
        <f t="shared" ref="J13" si="24">J12*$C13</f>
        <v>0</v>
      </c>
      <c r="K13" s="162">
        <f t="shared" ref="K13" si="25">K12*$C13</f>
        <v>0</v>
      </c>
      <c r="L13" s="163">
        <f t="shared" ref="L13:P13" si="26">L12*$C13</f>
        <v>0</v>
      </c>
      <c r="M13" s="164">
        <f t="shared" si="26"/>
        <v>0</v>
      </c>
      <c r="N13" s="164">
        <f t="shared" si="26"/>
        <v>0</v>
      </c>
      <c r="O13" s="164">
        <f t="shared" si="26"/>
        <v>0</v>
      </c>
      <c r="P13" s="164">
        <f t="shared" si="26"/>
        <v>0</v>
      </c>
    </row>
    <row r="14" spans="1:995 16376:16376" s="52" customFormat="1" ht="20.100000000000001" customHeight="1">
      <c r="A14" s="418" t="s">
        <v>19663</v>
      </c>
      <c r="B14" s="420" t="str">
        <f>VLOOKUP($A14,SERVICOS,4,0)</f>
        <v>ESTRUTURA DE MADEIRA E PISO</v>
      </c>
      <c r="C14" s="158">
        <f>C15/$C$50</f>
        <v>8.3136923416708919E-2</v>
      </c>
      <c r="D14" s="159"/>
      <c r="E14" s="159">
        <v>0.35</v>
      </c>
      <c r="F14" s="159">
        <v>0.45</v>
      </c>
      <c r="G14" s="159">
        <v>0.2</v>
      </c>
      <c r="H14" s="159"/>
      <c r="I14" s="159"/>
      <c r="J14" s="159"/>
      <c r="K14" s="159"/>
      <c r="L14" s="160"/>
      <c r="M14" s="161"/>
      <c r="N14" s="161"/>
      <c r="O14" s="161"/>
      <c r="P14" s="161"/>
      <c r="Q14" s="440">
        <f>SUM(D14:K14)</f>
        <v>1</v>
      </c>
      <c r="R14" s="52" t="b">
        <f>IF(SUM(D14:P14)=1,TRUE)</f>
        <v>1</v>
      </c>
    </row>
    <row r="15" spans="1:995 16376:16376" s="52" customFormat="1" ht="20.100000000000001" customHeight="1">
      <c r="A15" s="419"/>
      <c r="B15" s="421"/>
      <c r="C15" s="162">
        <f>VLOOKUP($A14,SERVICOS,9,0)</f>
        <v>129948.5</v>
      </c>
      <c r="D15" s="162">
        <f>D14*$C15</f>
        <v>0</v>
      </c>
      <c r="E15" s="162">
        <f t="shared" ref="E15" si="27">E14*$C15</f>
        <v>45481.974999999999</v>
      </c>
      <c r="F15" s="162">
        <f t="shared" ref="F15" si="28">F14*$C15</f>
        <v>58476.825000000004</v>
      </c>
      <c r="G15" s="162">
        <f t="shared" ref="G15" si="29">G14*$C15</f>
        <v>25989.7</v>
      </c>
      <c r="H15" s="162">
        <f t="shared" ref="H15" si="30">H14*$C15</f>
        <v>0</v>
      </c>
      <c r="I15" s="162">
        <f t="shared" ref="I15" si="31">I14*$C15</f>
        <v>0</v>
      </c>
      <c r="J15" s="162">
        <f t="shared" ref="J15" si="32">J14*$C15</f>
        <v>0</v>
      </c>
      <c r="K15" s="162">
        <f t="shared" ref="K15" si="33">K14*$C15</f>
        <v>0</v>
      </c>
      <c r="L15" s="163">
        <f t="shared" ref="L15:P15" si="34">L14*$C15</f>
        <v>0</v>
      </c>
      <c r="M15" s="164">
        <f t="shared" si="34"/>
        <v>0</v>
      </c>
      <c r="N15" s="164">
        <f t="shared" si="34"/>
        <v>0</v>
      </c>
      <c r="O15" s="164">
        <f t="shared" si="34"/>
        <v>0</v>
      </c>
      <c r="P15" s="164">
        <f t="shared" si="34"/>
        <v>0</v>
      </c>
    </row>
    <row r="16" spans="1:995 16376:16376" s="52" customFormat="1" ht="20.100000000000001" customHeight="1">
      <c r="A16" s="418" t="s">
        <v>26538</v>
      </c>
      <c r="B16" s="420" t="str">
        <f>VLOOKUP($A16,SERVICOS,4,0)</f>
        <v xml:space="preserve">PAREDES </v>
      </c>
      <c r="C16" s="158">
        <f>C17/$C$50</f>
        <v>9.9422556700452108E-2</v>
      </c>
      <c r="D16" s="159"/>
      <c r="E16" s="159">
        <v>0.2</v>
      </c>
      <c r="F16" s="159">
        <v>0.2</v>
      </c>
      <c r="G16" s="159">
        <v>0.3</v>
      </c>
      <c r="H16" s="159">
        <v>0.2</v>
      </c>
      <c r="I16" s="159">
        <v>0.1</v>
      </c>
      <c r="J16" s="159"/>
      <c r="K16" s="159"/>
      <c r="L16" s="160"/>
      <c r="M16" s="161"/>
      <c r="N16" s="161"/>
      <c r="O16" s="161"/>
      <c r="P16" s="161"/>
      <c r="Q16" s="440">
        <f>SUM(D16:K16)</f>
        <v>0.99999999999999989</v>
      </c>
      <c r="R16" s="52" t="b">
        <f>IF(SUM(D16:P16)=1,TRUE)</f>
        <v>1</v>
      </c>
    </row>
    <row r="17" spans="1:18" s="52" customFormat="1" ht="20.100000000000001" customHeight="1">
      <c r="A17" s="419"/>
      <c r="B17" s="421"/>
      <c r="C17" s="162">
        <f>VLOOKUP($A16,SERVICOS,9,0)</f>
        <v>155404.01999999999</v>
      </c>
      <c r="D17" s="162">
        <f>D16*$C17</f>
        <v>0</v>
      </c>
      <c r="E17" s="162">
        <f t="shared" ref="E17" si="35">E16*$C17</f>
        <v>31080.804</v>
      </c>
      <c r="F17" s="162">
        <f t="shared" ref="F17" si="36">F16*$C17</f>
        <v>31080.804</v>
      </c>
      <c r="G17" s="162">
        <f t="shared" ref="G17" si="37">G16*$C17</f>
        <v>46621.205999999998</v>
      </c>
      <c r="H17" s="162">
        <f t="shared" ref="H17" si="38">H16*$C17</f>
        <v>31080.804</v>
      </c>
      <c r="I17" s="162">
        <f t="shared" ref="I17" si="39">I16*$C17</f>
        <v>15540.402</v>
      </c>
      <c r="J17" s="162">
        <f t="shared" ref="J17" si="40">J16*$C17</f>
        <v>0</v>
      </c>
      <c r="K17" s="162">
        <f t="shared" ref="K17" si="41">K16*$C17</f>
        <v>0</v>
      </c>
      <c r="L17" s="163">
        <f t="shared" ref="L17:P17" si="42">L16*$C17</f>
        <v>0</v>
      </c>
      <c r="M17" s="164">
        <f t="shared" si="42"/>
        <v>0</v>
      </c>
      <c r="N17" s="164">
        <f t="shared" si="42"/>
        <v>0</v>
      </c>
      <c r="O17" s="164">
        <f t="shared" si="42"/>
        <v>0</v>
      </c>
      <c r="P17" s="164">
        <f t="shared" si="42"/>
        <v>0</v>
      </c>
    </row>
    <row r="18" spans="1:18" s="52" customFormat="1" ht="20.100000000000001" customHeight="1">
      <c r="A18" s="418" t="s">
        <v>26545</v>
      </c>
      <c r="B18" s="420" t="str">
        <f>VLOOKUP($A18,SERVICOS,4,0)</f>
        <v>PISO</v>
      </c>
      <c r="C18" s="158">
        <f>C19/$C$50</f>
        <v>6.211771528370888E-2</v>
      </c>
      <c r="D18" s="159"/>
      <c r="E18" s="159"/>
      <c r="F18" s="159"/>
      <c r="G18" s="159">
        <v>0.1</v>
      </c>
      <c r="H18" s="159">
        <v>0.35</v>
      </c>
      <c r="I18" s="159">
        <v>0.35</v>
      </c>
      <c r="J18" s="159">
        <v>0.2</v>
      </c>
      <c r="K18" s="159"/>
      <c r="L18" s="160"/>
      <c r="M18" s="161"/>
      <c r="N18" s="161"/>
      <c r="O18" s="161"/>
      <c r="P18" s="161"/>
      <c r="Q18" s="440">
        <f>SUM(D18:K18)</f>
        <v>1</v>
      </c>
      <c r="R18" s="52" t="b">
        <f>IF(SUM(D18:P18)=1,TRUE)</f>
        <v>1</v>
      </c>
    </row>
    <row r="19" spans="1:18" s="52" customFormat="1" ht="20.100000000000001" customHeight="1">
      <c r="A19" s="419"/>
      <c r="B19" s="421"/>
      <c r="C19" s="162">
        <f>VLOOKUP($A18,SERVICOS,9,0)</f>
        <v>97094.09</v>
      </c>
      <c r="D19" s="162">
        <f>D18*$C19</f>
        <v>0</v>
      </c>
      <c r="E19" s="162">
        <f t="shared" ref="E19" si="43">E18*$C19</f>
        <v>0</v>
      </c>
      <c r="F19" s="162">
        <f t="shared" ref="F19" si="44">F18*$C19</f>
        <v>0</v>
      </c>
      <c r="G19" s="162">
        <f t="shared" ref="G19" si="45">G18*$C19</f>
        <v>9709.4089999999997</v>
      </c>
      <c r="H19" s="162">
        <f t="shared" ref="H19" si="46">H18*$C19</f>
        <v>33982.931499999999</v>
      </c>
      <c r="I19" s="162">
        <f t="shared" ref="I19" si="47">I18*$C19</f>
        <v>33982.931499999999</v>
      </c>
      <c r="J19" s="162">
        <f t="shared" ref="J19" si="48">J18*$C19</f>
        <v>19418.817999999999</v>
      </c>
      <c r="K19" s="162">
        <f t="shared" ref="K19" si="49">K18*$C19</f>
        <v>0</v>
      </c>
      <c r="L19" s="163">
        <f t="shared" ref="L19:P19" si="50">L18*$C19</f>
        <v>0</v>
      </c>
      <c r="M19" s="164">
        <f t="shared" si="50"/>
        <v>0</v>
      </c>
      <c r="N19" s="164">
        <f t="shared" si="50"/>
        <v>0</v>
      </c>
      <c r="O19" s="164">
        <f t="shared" si="50"/>
        <v>0</v>
      </c>
      <c r="P19" s="164">
        <f t="shared" si="50"/>
        <v>0</v>
      </c>
    </row>
    <row r="20" spans="1:18" s="52" customFormat="1" ht="20.100000000000001" customHeight="1">
      <c r="A20" s="418" t="s">
        <v>26549</v>
      </c>
      <c r="B20" s="420" t="str">
        <f>VLOOKUP($A20,SERVICOS,4,0)</f>
        <v>COBERTURA</v>
      </c>
      <c r="C20" s="158">
        <f>C21/$C$50</f>
        <v>3.4170098586110906E-2</v>
      </c>
      <c r="D20" s="159">
        <v>0.4</v>
      </c>
      <c r="E20" s="159">
        <v>0.4</v>
      </c>
      <c r="F20" s="159">
        <v>0.2</v>
      </c>
      <c r="G20" s="159"/>
      <c r="H20" s="159"/>
      <c r="I20" s="159"/>
      <c r="J20" s="159"/>
      <c r="K20" s="159"/>
      <c r="L20" s="160"/>
      <c r="M20" s="161"/>
      <c r="N20" s="161"/>
      <c r="O20" s="161"/>
      <c r="P20" s="161"/>
      <c r="Q20" s="440">
        <f>SUM(D20:K20)</f>
        <v>1</v>
      </c>
      <c r="R20" s="52" t="b">
        <f>IF(SUM(D20:P20)=1,TRUE)</f>
        <v>1</v>
      </c>
    </row>
    <row r="21" spans="1:18" s="52" customFormat="1" ht="20.100000000000001" customHeight="1">
      <c r="A21" s="419"/>
      <c r="B21" s="421"/>
      <c r="C21" s="162">
        <f>VLOOKUP($A20,SERVICOS,9,0)</f>
        <v>53410.119999999995</v>
      </c>
      <c r="D21" s="162">
        <f>D20*$C21</f>
        <v>21364.047999999999</v>
      </c>
      <c r="E21" s="162">
        <f t="shared" ref="E21" si="51">E20*$C21</f>
        <v>21364.047999999999</v>
      </c>
      <c r="F21" s="162">
        <f t="shared" ref="F21" si="52">F20*$C21</f>
        <v>10682.023999999999</v>
      </c>
      <c r="G21" s="162">
        <f t="shared" ref="G21" si="53">G20*$C21</f>
        <v>0</v>
      </c>
      <c r="H21" s="162">
        <f t="shared" ref="H21" si="54">H20*$C21</f>
        <v>0</v>
      </c>
      <c r="I21" s="162">
        <f t="shared" ref="I21" si="55">I20*$C21</f>
        <v>0</v>
      </c>
      <c r="J21" s="162">
        <f t="shared" ref="J21" si="56">J20*$C21</f>
        <v>0</v>
      </c>
      <c r="K21" s="162">
        <f t="shared" ref="K21" si="57">K20*$C21</f>
        <v>0</v>
      </c>
      <c r="L21" s="163">
        <f t="shared" ref="L21:P21" si="58">L20*$C21</f>
        <v>0</v>
      </c>
      <c r="M21" s="164">
        <f t="shared" si="58"/>
        <v>0</v>
      </c>
      <c r="N21" s="164">
        <f t="shared" si="58"/>
        <v>0</v>
      </c>
      <c r="O21" s="164">
        <f t="shared" si="58"/>
        <v>0</v>
      </c>
      <c r="P21" s="164">
        <f t="shared" si="58"/>
        <v>0</v>
      </c>
    </row>
    <row r="22" spans="1:18" s="52" customFormat="1" ht="20.100000000000001" customHeight="1">
      <c r="A22" s="418" t="s">
        <v>26553</v>
      </c>
      <c r="B22" s="420" t="str">
        <f>VLOOKUP($A22,SERVICOS,4,0)</f>
        <v>FORRO</v>
      </c>
      <c r="C22" s="158">
        <f>C23/$C$50</f>
        <v>7.0424632479695271E-2</v>
      </c>
      <c r="D22" s="159"/>
      <c r="E22" s="159"/>
      <c r="F22" s="159"/>
      <c r="G22" s="159"/>
      <c r="H22" s="159">
        <v>0.15</v>
      </c>
      <c r="I22" s="159">
        <v>0.4</v>
      </c>
      <c r="J22" s="159">
        <v>0.45</v>
      </c>
      <c r="K22" s="159"/>
      <c r="L22" s="160"/>
      <c r="M22" s="161"/>
      <c r="N22" s="161"/>
      <c r="O22" s="161"/>
      <c r="P22" s="161"/>
      <c r="Q22" s="440">
        <f>SUM(D22:K22)</f>
        <v>1</v>
      </c>
      <c r="R22" s="52" t="b">
        <f>IF(SUM(D22:P22)=1,TRUE)</f>
        <v>1</v>
      </c>
    </row>
    <row r="23" spans="1:18" s="52" customFormat="1" ht="20.100000000000001" customHeight="1">
      <c r="A23" s="419"/>
      <c r="B23" s="421"/>
      <c r="C23" s="162">
        <f>VLOOKUP($A22,SERVICOS,9,0)</f>
        <v>110078.35</v>
      </c>
      <c r="D23" s="162">
        <f>D22*$C23</f>
        <v>0</v>
      </c>
      <c r="E23" s="162">
        <f t="shared" ref="E23" si="59">E22*$C23</f>
        <v>0</v>
      </c>
      <c r="F23" s="162">
        <f t="shared" ref="F23" si="60">F22*$C23</f>
        <v>0</v>
      </c>
      <c r="G23" s="162">
        <f t="shared" ref="G23" si="61">G22*$C23</f>
        <v>0</v>
      </c>
      <c r="H23" s="162">
        <f t="shared" ref="H23" si="62">H22*$C23</f>
        <v>16511.752499999999</v>
      </c>
      <c r="I23" s="162">
        <f t="shared" ref="I23" si="63">I22*$C23</f>
        <v>44031.340000000004</v>
      </c>
      <c r="J23" s="162">
        <f t="shared" ref="J23" si="64">J22*$C23</f>
        <v>49535.257500000007</v>
      </c>
      <c r="K23" s="162">
        <f t="shared" ref="K23" si="65">K22*$C23</f>
        <v>0</v>
      </c>
      <c r="L23" s="163">
        <f t="shared" ref="L23:P23" si="66">L22*$C23</f>
        <v>0</v>
      </c>
      <c r="M23" s="164">
        <f t="shared" si="66"/>
        <v>0</v>
      </c>
      <c r="N23" s="164">
        <f t="shared" si="66"/>
        <v>0</v>
      </c>
      <c r="O23" s="164">
        <f t="shared" si="66"/>
        <v>0</v>
      </c>
      <c r="P23" s="164">
        <f t="shared" si="66"/>
        <v>0</v>
      </c>
    </row>
    <row r="24" spans="1:18" s="52" customFormat="1" ht="20.100000000000001" customHeight="1">
      <c r="A24" s="418" t="s">
        <v>26556</v>
      </c>
      <c r="B24" s="420" t="str">
        <f>VLOOKUP($A24,SERVICOS,4,0)</f>
        <v>IMPERMEABILIZAÇÕES</v>
      </c>
      <c r="C24" s="158">
        <f>C25/$C$50</f>
        <v>1.2319581996926787E-2</v>
      </c>
      <c r="D24" s="159"/>
      <c r="E24" s="159"/>
      <c r="F24" s="159"/>
      <c r="G24" s="159">
        <v>0.12</v>
      </c>
      <c r="H24" s="159">
        <v>0.8</v>
      </c>
      <c r="I24" s="159">
        <v>0.08</v>
      </c>
      <c r="J24" s="159"/>
      <c r="K24" s="159"/>
      <c r="L24" s="160"/>
      <c r="M24" s="161"/>
      <c r="N24" s="161"/>
      <c r="O24" s="161"/>
      <c r="P24" s="161"/>
      <c r="Q24" s="440">
        <f>SUM(D24:K24)</f>
        <v>1</v>
      </c>
      <c r="R24" s="52" t="b">
        <f>IF(SUM(D24:P24)=1,TRUE)</f>
        <v>1</v>
      </c>
    </row>
    <row r="25" spans="1:18" s="52" customFormat="1" ht="20.100000000000001" customHeight="1">
      <c r="A25" s="419"/>
      <c r="B25" s="421"/>
      <c r="C25" s="162">
        <f>VLOOKUP($A24,SERVICOS,9,0)</f>
        <v>19256.320000000003</v>
      </c>
      <c r="D25" s="162">
        <f>D24*$C25</f>
        <v>0</v>
      </c>
      <c r="E25" s="162">
        <f t="shared" ref="E25" si="67">E24*$C25</f>
        <v>0</v>
      </c>
      <c r="F25" s="162">
        <f t="shared" ref="F25" si="68">F24*$C25</f>
        <v>0</v>
      </c>
      <c r="G25" s="162">
        <f t="shared" ref="G25" si="69">G24*$C25</f>
        <v>2310.7584000000002</v>
      </c>
      <c r="H25" s="162">
        <f t="shared" ref="H25" si="70">H24*$C25</f>
        <v>15405.056000000004</v>
      </c>
      <c r="I25" s="162">
        <f t="shared" ref="I25" si="71">I24*$C25</f>
        <v>1540.5056000000004</v>
      </c>
      <c r="J25" s="162">
        <f t="shared" ref="J25" si="72">J24*$C25</f>
        <v>0</v>
      </c>
      <c r="K25" s="162">
        <f t="shared" ref="K25" si="73">K24*$C25</f>
        <v>0</v>
      </c>
      <c r="L25" s="163">
        <f t="shared" ref="L25:P25" si="74">L24*$C25</f>
        <v>0</v>
      </c>
      <c r="M25" s="164">
        <f t="shared" si="74"/>
        <v>0</v>
      </c>
      <c r="N25" s="164">
        <f t="shared" si="74"/>
        <v>0</v>
      </c>
      <c r="O25" s="164">
        <f t="shared" si="74"/>
        <v>0</v>
      </c>
      <c r="P25" s="164">
        <f t="shared" si="74"/>
        <v>0</v>
      </c>
    </row>
    <row r="26" spans="1:18" s="52" customFormat="1" ht="20.100000000000001" customHeight="1">
      <c r="A26" s="418" t="s">
        <v>26559</v>
      </c>
      <c r="B26" s="420" t="str">
        <f>VLOOKUP($A26,SERVICOS,4,0)</f>
        <v>INSTALAÇÕES HIDROSSANITÁRIAS</v>
      </c>
      <c r="C26" s="158">
        <f>C27/$C$50</f>
        <v>2.1763853583100738E-2</v>
      </c>
      <c r="D26" s="159">
        <v>0.05</v>
      </c>
      <c r="E26" s="159"/>
      <c r="F26" s="159"/>
      <c r="G26" s="159">
        <v>0.45</v>
      </c>
      <c r="H26" s="159">
        <v>0.5</v>
      </c>
      <c r="I26" s="159"/>
      <c r="J26" s="159"/>
      <c r="K26" s="159"/>
      <c r="L26" s="160"/>
      <c r="M26" s="161"/>
      <c r="N26" s="161"/>
      <c r="O26" s="161"/>
      <c r="P26" s="161"/>
      <c r="Q26" s="440">
        <f>SUM(D26:K26)</f>
        <v>1</v>
      </c>
      <c r="R26" s="52" t="b">
        <f>IF(SUM(D26:P26)=1,TRUE)</f>
        <v>1</v>
      </c>
    </row>
    <row r="27" spans="1:18" s="52" customFormat="1" ht="20.100000000000001" customHeight="1">
      <c r="A27" s="419"/>
      <c r="B27" s="421"/>
      <c r="C27" s="162">
        <f>VLOOKUP($A26,SERVICOS,9,0)</f>
        <v>34018.340000000004</v>
      </c>
      <c r="D27" s="162">
        <f>D26*$C27</f>
        <v>1700.9170000000004</v>
      </c>
      <c r="E27" s="162">
        <f t="shared" ref="E27" si="75">E26*$C27</f>
        <v>0</v>
      </c>
      <c r="F27" s="162">
        <f t="shared" ref="F27" si="76">F26*$C27</f>
        <v>0</v>
      </c>
      <c r="G27" s="162">
        <f t="shared" ref="G27" si="77">G26*$C27</f>
        <v>15308.253000000002</v>
      </c>
      <c r="H27" s="162">
        <f t="shared" ref="H27" si="78">H26*$C27</f>
        <v>17009.170000000002</v>
      </c>
      <c r="I27" s="162">
        <f t="shared" ref="I27" si="79">I26*$C27</f>
        <v>0</v>
      </c>
      <c r="J27" s="162">
        <f t="shared" ref="J27" si="80">J26*$C27</f>
        <v>0</v>
      </c>
      <c r="K27" s="162">
        <f t="shared" ref="K27" si="81">K26*$C27</f>
        <v>0</v>
      </c>
      <c r="L27" s="163">
        <f t="shared" ref="L27:P27" si="82">L26*$C27</f>
        <v>0</v>
      </c>
      <c r="M27" s="164">
        <f t="shared" si="82"/>
        <v>0</v>
      </c>
      <c r="N27" s="164">
        <f t="shared" si="82"/>
        <v>0</v>
      </c>
      <c r="O27" s="164">
        <f t="shared" si="82"/>
        <v>0</v>
      </c>
      <c r="P27" s="164">
        <f t="shared" si="82"/>
        <v>0</v>
      </c>
    </row>
    <row r="28" spans="1:18" s="52" customFormat="1" ht="20.100000000000001" customHeight="1">
      <c r="A28" s="418" t="s">
        <v>26563</v>
      </c>
      <c r="B28" s="420" t="str">
        <f>VLOOKUP($A28,SERVICOS,4,0)</f>
        <v>INSTALAÇÕES ELÉTRICAS</v>
      </c>
      <c r="C28" s="158">
        <f>C29/$C$50</f>
        <v>9.3489403601774948E-2</v>
      </c>
      <c r="D28" s="159">
        <v>0.2</v>
      </c>
      <c r="E28" s="159"/>
      <c r="F28" s="159"/>
      <c r="G28" s="159">
        <v>0.2</v>
      </c>
      <c r="H28" s="159">
        <v>0.1</v>
      </c>
      <c r="I28" s="159"/>
      <c r="J28" s="159"/>
      <c r="K28" s="159">
        <v>0.5</v>
      </c>
      <c r="L28" s="160"/>
      <c r="M28" s="161"/>
      <c r="N28" s="161"/>
      <c r="O28" s="161"/>
      <c r="P28" s="161"/>
      <c r="Q28" s="440">
        <f>SUM(D28:K28)</f>
        <v>1</v>
      </c>
      <c r="R28" s="52" t="b">
        <f>IF(SUM(D28:P28)=1,TRUE)</f>
        <v>1</v>
      </c>
    </row>
    <row r="29" spans="1:18" s="52" customFormat="1" ht="20.100000000000001" customHeight="1">
      <c r="A29" s="419"/>
      <c r="B29" s="421"/>
      <c r="C29" s="162">
        <f>VLOOKUP($A28,SERVICOS,9,0)</f>
        <v>146130.11000000002</v>
      </c>
      <c r="D29" s="162">
        <f>D28*$C29</f>
        <v>29226.022000000004</v>
      </c>
      <c r="E29" s="162">
        <f t="shared" ref="E29" si="83">E28*$C29</f>
        <v>0</v>
      </c>
      <c r="F29" s="162">
        <f t="shared" ref="F29" si="84">F28*$C29</f>
        <v>0</v>
      </c>
      <c r="G29" s="162">
        <f t="shared" ref="G29" si="85">G28*$C29</f>
        <v>29226.022000000004</v>
      </c>
      <c r="H29" s="162">
        <f t="shared" ref="H29" si="86">H28*$C29</f>
        <v>14613.011000000002</v>
      </c>
      <c r="I29" s="162">
        <f t="shared" ref="I29" si="87">I28*$C29</f>
        <v>0</v>
      </c>
      <c r="J29" s="162">
        <f t="shared" ref="J29" si="88">J28*$C29</f>
        <v>0</v>
      </c>
      <c r="K29" s="162">
        <f t="shared" ref="K29" si="89">K28*$C29</f>
        <v>73065.055000000008</v>
      </c>
      <c r="L29" s="163">
        <f t="shared" ref="L29:P29" si="90">L28*$C29</f>
        <v>0</v>
      </c>
      <c r="M29" s="164">
        <f t="shared" si="90"/>
        <v>0</v>
      </c>
      <c r="N29" s="164">
        <f t="shared" si="90"/>
        <v>0</v>
      </c>
      <c r="O29" s="164">
        <f t="shared" si="90"/>
        <v>0</v>
      </c>
      <c r="P29" s="164">
        <f t="shared" si="90"/>
        <v>0</v>
      </c>
    </row>
    <row r="30" spans="1:18" s="52" customFormat="1" ht="20.100000000000001" customHeight="1">
      <c r="A30" s="418" t="s">
        <v>26598</v>
      </c>
      <c r="B30" s="420" t="str">
        <f>VLOOKUP($A30,SERVICOS,4,0)</f>
        <v>CLIMATIZAÇÃO E CONFORTO AMBIENTAL</v>
      </c>
      <c r="C30" s="158">
        <f>C31/$C$50</f>
        <v>5.9554464628435874E-2</v>
      </c>
      <c r="D30" s="159"/>
      <c r="E30" s="159"/>
      <c r="F30" s="159"/>
      <c r="G30" s="159"/>
      <c r="H30" s="159">
        <v>0.18</v>
      </c>
      <c r="I30" s="159">
        <v>0.2</v>
      </c>
      <c r="J30" s="159"/>
      <c r="K30" s="159">
        <v>0.62</v>
      </c>
      <c r="L30" s="160"/>
      <c r="M30" s="161"/>
      <c r="N30" s="161"/>
      <c r="O30" s="161"/>
      <c r="P30" s="161"/>
      <c r="Q30" s="440">
        <f>SUM(D30:K30)</f>
        <v>1</v>
      </c>
      <c r="R30" s="52" t="b">
        <f>IF(SUM(D30:P30)=1,TRUE)</f>
        <v>1</v>
      </c>
    </row>
    <row r="31" spans="1:18" s="52" customFormat="1" ht="20.100000000000001" customHeight="1">
      <c r="A31" s="419"/>
      <c r="B31" s="421"/>
      <c r="C31" s="162">
        <f>VLOOKUP($A30,SERVICOS,9,0)</f>
        <v>93087.560000000027</v>
      </c>
      <c r="D31" s="162">
        <f>D30*$C31</f>
        <v>0</v>
      </c>
      <c r="E31" s="162">
        <f t="shared" ref="E31" si="91">E30*$C31</f>
        <v>0</v>
      </c>
      <c r="F31" s="162">
        <f t="shared" ref="F31" si="92">F30*$C31</f>
        <v>0</v>
      </c>
      <c r="G31" s="162">
        <f t="shared" ref="G31" si="93">G30*$C31</f>
        <v>0</v>
      </c>
      <c r="H31" s="162">
        <f t="shared" ref="H31" si="94">H30*$C31</f>
        <v>16755.760800000004</v>
      </c>
      <c r="I31" s="162">
        <f t="shared" ref="I31" si="95">I30*$C31</f>
        <v>18617.512000000006</v>
      </c>
      <c r="J31" s="162">
        <f t="shared" ref="J31" si="96">J30*$C31</f>
        <v>0</v>
      </c>
      <c r="K31" s="162">
        <f t="shared" ref="K31" si="97">K30*$C31</f>
        <v>57714.287200000013</v>
      </c>
      <c r="L31" s="163">
        <f t="shared" ref="L31:P31" si="98">L30*$C31</f>
        <v>0</v>
      </c>
      <c r="M31" s="164">
        <f t="shared" si="98"/>
        <v>0</v>
      </c>
      <c r="N31" s="164">
        <f t="shared" si="98"/>
        <v>0</v>
      </c>
      <c r="O31" s="164">
        <f t="shared" si="98"/>
        <v>0</v>
      </c>
      <c r="P31" s="164">
        <f t="shared" si="98"/>
        <v>0</v>
      </c>
    </row>
    <row r="32" spans="1:18" s="52" customFormat="1" ht="20.100000000000001" customHeight="1">
      <c r="A32" s="418" t="s">
        <v>26601</v>
      </c>
      <c r="B32" s="420" t="str">
        <f>VLOOKUP($A32,SERVICOS,4,0)</f>
        <v>ESQUADRIAS</v>
      </c>
      <c r="C32" s="158">
        <f>C33/$C$50</f>
        <v>0.12080433429165073</v>
      </c>
      <c r="D32" s="159"/>
      <c r="E32" s="159"/>
      <c r="F32" s="159"/>
      <c r="G32" s="159">
        <v>0.1</v>
      </c>
      <c r="H32" s="159">
        <v>0.2</v>
      </c>
      <c r="I32" s="159">
        <v>0.3</v>
      </c>
      <c r="J32" s="159">
        <v>0.4</v>
      </c>
      <c r="K32" s="159"/>
      <c r="L32" s="160"/>
      <c r="M32" s="161"/>
      <c r="N32" s="161"/>
      <c r="O32" s="161"/>
      <c r="P32" s="161"/>
      <c r="Q32" s="440">
        <f>SUM(D32:K32)</f>
        <v>1</v>
      </c>
      <c r="R32" s="52" t="b">
        <f>IF(SUM(D32:P32)=1,TRUE)</f>
        <v>1</v>
      </c>
    </row>
    <row r="33" spans="1:18" s="52" customFormat="1" ht="20.100000000000001" customHeight="1">
      <c r="A33" s="419"/>
      <c r="B33" s="421"/>
      <c r="C33" s="162">
        <f>VLOOKUP($A32,SERVICOS,9,0)</f>
        <v>188825.15</v>
      </c>
      <c r="D33" s="162">
        <f>D32*$C33</f>
        <v>0</v>
      </c>
      <c r="E33" s="162">
        <f t="shared" ref="E33" si="99">E32*$C33</f>
        <v>0</v>
      </c>
      <c r="F33" s="162">
        <f t="shared" ref="F33" si="100">F32*$C33</f>
        <v>0</v>
      </c>
      <c r="G33" s="162">
        <f t="shared" ref="G33" si="101">G32*$C33</f>
        <v>18882.514999999999</v>
      </c>
      <c r="H33" s="162">
        <f t="shared" ref="H33" si="102">H32*$C33</f>
        <v>37765.03</v>
      </c>
      <c r="I33" s="162">
        <f t="shared" ref="I33" si="103">I32*$C33</f>
        <v>56647.544999999998</v>
      </c>
      <c r="J33" s="162">
        <f t="shared" ref="J33" si="104">J32*$C33</f>
        <v>75530.06</v>
      </c>
      <c r="K33" s="162">
        <f t="shared" ref="K33" si="105">K32*$C33</f>
        <v>0</v>
      </c>
      <c r="L33" s="163">
        <f t="shared" ref="L33:P33" si="106">L32*$C33</f>
        <v>0</v>
      </c>
      <c r="M33" s="164">
        <f t="shared" si="106"/>
        <v>0</v>
      </c>
      <c r="N33" s="164">
        <f t="shared" si="106"/>
        <v>0</v>
      </c>
      <c r="O33" s="164">
        <f t="shared" si="106"/>
        <v>0</v>
      </c>
      <c r="P33" s="164">
        <f t="shared" si="106"/>
        <v>0</v>
      </c>
    </row>
    <row r="34" spans="1:18" s="52" customFormat="1" ht="20.100000000000001" customHeight="1">
      <c r="A34" s="418" t="s">
        <v>26604</v>
      </c>
      <c r="B34" s="420" t="str">
        <f>VLOOKUP($A34,SERVICOS,4,0)</f>
        <v>PINTURA</v>
      </c>
      <c r="C34" s="158">
        <f>C35/$C$50</f>
        <v>2.8698915737417164E-2</v>
      </c>
      <c r="D34" s="159"/>
      <c r="E34" s="159"/>
      <c r="F34" s="159"/>
      <c r="G34" s="159"/>
      <c r="H34" s="159"/>
      <c r="I34" s="159"/>
      <c r="J34" s="159">
        <v>0.3</v>
      </c>
      <c r="K34" s="159">
        <v>0.7</v>
      </c>
      <c r="L34" s="160"/>
      <c r="M34" s="161"/>
      <c r="N34" s="161"/>
      <c r="O34" s="161"/>
      <c r="P34" s="161"/>
      <c r="Q34" s="440">
        <f>SUM(D34:K34)</f>
        <v>1</v>
      </c>
      <c r="R34" s="52" t="b">
        <f>IF(SUM(D34:P34)=1,TRUE)</f>
        <v>1</v>
      </c>
    </row>
    <row r="35" spans="1:18" s="52" customFormat="1" ht="20.100000000000001" customHeight="1">
      <c r="A35" s="419"/>
      <c r="B35" s="421"/>
      <c r="C35" s="162">
        <f>VLOOKUP($A34,SERVICOS,9,0)</f>
        <v>44858.3</v>
      </c>
      <c r="D35" s="162">
        <f>D34*$C35</f>
        <v>0</v>
      </c>
      <c r="E35" s="162">
        <f t="shared" ref="E35" si="107">E34*$C35</f>
        <v>0</v>
      </c>
      <c r="F35" s="162">
        <f t="shared" ref="F35" si="108">F34*$C35</f>
        <v>0</v>
      </c>
      <c r="G35" s="162">
        <f t="shared" ref="G35" si="109">G34*$C35</f>
        <v>0</v>
      </c>
      <c r="H35" s="162">
        <f t="shared" ref="H35" si="110">H34*$C35</f>
        <v>0</v>
      </c>
      <c r="I35" s="162">
        <f t="shared" ref="I35" si="111">I34*$C35</f>
        <v>0</v>
      </c>
      <c r="J35" s="162">
        <f t="shared" ref="J35" si="112">J34*$C35</f>
        <v>13457.49</v>
      </c>
      <c r="K35" s="162">
        <f t="shared" ref="K35" si="113">K34*$C35</f>
        <v>31400.81</v>
      </c>
      <c r="L35" s="163">
        <f t="shared" ref="L35:P35" si="114">L34*$C35</f>
        <v>0</v>
      </c>
      <c r="M35" s="164">
        <f t="shared" si="114"/>
        <v>0</v>
      </c>
      <c r="N35" s="164">
        <f t="shared" si="114"/>
        <v>0</v>
      </c>
      <c r="O35" s="164">
        <f t="shared" si="114"/>
        <v>0</v>
      </c>
      <c r="P35" s="164">
        <f t="shared" si="114"/>
        <v>0</v>
      </c>
    </row>
    <row r="36" spans="1:18" s="52" customFormat="1" ht="20.100000000000001" customHeight="1">
      <c r="A36" s="418" t="s">
        <v>26607</v>
      </c>
      <c r="B36" s="420" t="str">
        <f>VLOOKUP($A36,SERVICOS,4,0)</f>
        <v>BANCADAS, LOUÇAS, METAIS E EQUIPAMENTOS</v>
      </c>
      <c r="C36" s="158">
        <f>C37/$C$50</f>
        <v>1.0371577267094577E-2</v>
      </c>
      <c r="D36" s="159"/>
      <c r="E36" s="159"/>
      <c r="F36" s="159"/>
      <c r="G36" s="159"/>
      <c r="H36" s="159"/>
      <c r="I36" s="159"/>
      <c r="J36" s="159">
        <v>1</v>
      </c>
      <c r="K36" s="159"/>
      <c r="L36" s="160"/>
      <c r="M36" s="161"/>
      <c r="N36" s="161"/>
      <c r="O36" s="161"/>
      <c r="P36" s="161"/>
      <c r="Q36" s="440">
        <f>SUM(D36:K36)</f>
        <v>1</v>
      </c>
      <c r="R36" s="52" t="b">
        <f>IF(SUM(D36:P36)=1,TRUE)</f>
        <v>1</v>
      </c>
    </row>
    <row r="37" spans="1:18" s="52" customFormat="1" ht="20.100000000000001" customHeight="1">
      <c r="A37" s="419"/>
      <c r="B37" s="421"/>
      <c r="C37" s="162">
        <f>VLOOKUP($A36,SERVICOS,9,0)</f>
        <v>16211.459999999995</v>
      </c>
      <c r="D37" s="162">
        <f>D36*$C37</f>
        <v>0</v>
      </c>
      <c r="E37" s="162">
        <f t="shared" ref="E37" si="115">E36*$C37</f>
        <v>0</v>
      </c>
      <c r="F37" s="162">
        <f t="shared" ref="F37" si="116">F36*$C37</f>
        <v>0</v>
      </c>
      <c r="G37" s="162">
        <f t="shared" ref="G37" si="117">G36*$C37</f>
        <v>0</v>
      </c>
      <c r="H37" s="162">
        <f t="shared" ref="H37" si="118">H36*$C37</f>
        <v>0</v>
      </c>
      <c r="I37" s="162">
        <f t="shared" ref="I37" si="119">I36*$C37</f>
        <v>0</v>
      </c>
      <c r="J37" s="162">
        <f t="shared" ref="J37" si="120">J36*$C37</f>
        <v>16211.459999999995</v>
      </c>
      <c r="K37" s="162">
        <f t="shared" ref="K37" si="121">K36*$C37</f>
        <v>0</v>
      </c>
      <c r="L37" s="163">
        <f t="shared" ref="L37:P37" si="122">L36*$C37</f>
        <v>0</v>
      </c>
      <c r="M37" s="164">
        <f t="shared" si="122"/>
        <v>0</v>
      </c>
      <c r="N37" s="164">
        <f t="shared" si="122"/>
        <v>0</v>
      </c>
      <c r="O37" s="164">
        <f t="shared" si="122"/>
        <v>0</v>
      </c>
      <c r="P37" s="164">
        <f t="shared" si="122"/>
        <v>0</v>
      </c>
    </row>
    <row r="38" spans="1:18" s="52" customFormat="1" ht="20.100000000000001" customHeight="1">
      <c r="A38" s="418" t="s">
        <v>26609</v>
      </c>
      <c r="B38" s="420" t="str">
        <f>VLOOKUP($A38,SERVICOS,4,0)</f>
        <v>SERVIÇOS DIVERSOS OU ESPECÍFICOS</v>
      </c>
      <c r="C38" s="158">
        <f>C39/$C$50</f>
        <v>6.8283468922189242E-2</v>
      </c>
      <c r="D38" s="159"/>
      <c r="E38" s="159"/>
      <c r="F38" s="159"/>
      <c r="G38" s="159"/>
      <c r="H38" s="159"/>
      <c r="I38" s="159"/>
      <c r="J38" s="159">
        <v>0.5</v>
      </c>
      <c r="K38" s="159">
        <v>0.5</v>
      </c>
      <c r="L38" s="160"/>
      <c r="M38" s="161"/>
      <c r="N38" s="161"/>
      <c r="O38" s="161"/>
      <c r="P38" s="161"/>
      <c r="Q38" s="440">
        <f>SUM(D38:K38)</f>
        <v>1</v>
      </c>
      <c r="R38" s="52" t="b">
        <f>IF(SUM(D38:P38)=1,TRUE)</f>
        <v>1</v>
      </c>
    </row>
    <row r="39" spans="1:18" s="52" customFormat="1" ht="20.100000000000001" customHeight="1">
      <c r="A39" s="419"/>
      <c r="B39" s="421"/>
      <c r="C39" s="162">
        <f>VLOOKUP($A38,SERVICOS,9,0)</f>
        <v>106731.57</v>
      </c>
      <c r="D39" s="162">
        <f>D38*$C39</f>
        <v>0</v>
      </c>
      <c r="E39" s="162">
        <f t="shared" ref="E39" si="123">E38*$C39</f>
        <v>0</v>
      </c>
      <c r="F39" s="162">
        <f t="shared" ref="F39" si="124">F38*$C39</f>
        <v>0</v>
      </c>
      <c r="G39" s="162">
        <f t="shared" ref="G39" si="125">G38*$C39</f>
        <v>0</v>
      </c>
      <c r="H39" s="162">
        <f t="shared" ref="H39" si="126">H38*$C39</f>
        <v>0</v>
      </c>
      <c r="I39" s="162">
        <f t="shared" ref="I39" si="127">I38*$C39</f>
        <v>0</v>
      </c>
      <c r="J39" s="162">
        <f t="shared" ref="J39" si="128">J38*$C39</f>
        <v>53365.785000000003</v>
      </c>
      <c r="K39" s="162">
        <f t="shared" ref="K39" si="129">K38*$C39</f>
        <v>53365.785000000003</v>
      </c>
      <c r="L39" s="163">
        <f t="shared" ref="L39:P39" si="130">L38*$C39</f>
        <v>0</v>
      </c>
      <c r="M39" s="164">
        <f t="shared" si="130"/>
        <v>0</v>
      </c>
      <c r="N39" s="164">
        <f t="shared" si="130"/>
        <v>0</v>
      </c>
      <c r="O39" s="164">
        <f t="shared" si="130"/>
        <v>0</v>
      </c>
      <c r="P39" s="164">
        <f t="shared" si="130"/>
        <v>0</v>
      </c>
    </row>
    <row r="40" spans="1:18" s="52" customFormat="1" ht="20.100000000000001" customHeight="1">
      <c r="A40" s="418" t="s">
        <v>26613</v>
      </c>
      <c r="B40" s="420" t="str">
        <f>VLOOKUP($A40,SERVICOS,4,0)</f>
        <v>MOBILIÁRIO URBANO</v>
      </c>
      <c r="C40" s="158">
        <f>C41/$C$50</f>
        <v>1.3387483146745142E-2</v>
      </c>
      <c r="D40" s="159"/>
      <c r="E40" s="159"/>
      <c r="F40" s="159"/>
      <c r="G40" s="159"/>
      <c r="H40" s="159"/>
      <c r="I40" s="159"/>
      <c r="J40" s="159"/>
      <c r="K40" s="159">
        <v>1</v>
      </c>
      <c r="L40" s="160"/>
      <c r="M40" s="161"/>
      <c r="N40" s="161"/>
      <c r="O40" s="161"/>
      <c r="P40" s="161"/>
      <c r="Q40" s="440">
        <f>SUM(D40:K40)</f>
        <v>1</v>
      </c>
      <c r="R40" s="52" t="b">
        <f>IF(SUM(D40:P40)=1,TRUE)</f>
        <v>1</v>
      </c>
    </row>
    <row r="41" spans="1:18" s="52" customFormat="1" ht="20.100000000000001" customHeight="1">
      <c r="A41" s="419"/>
      <c r="B41" s="421"/>
      <c r="C41" s="162">
        <f>VLOOKUP($A40,SERVICOS,9,0)</f>
        <v>20925.520000000004</v>
      </c>
      <c r="D41" s="162">
        <f>D40*$C41</f>
        <v>0</v>
      </c>
      <c r="E41" s="162">
        <f t="shared" ref="E41" si="131">E40*$C41</f>
        <v>0</v>
      </c>
      <c r="F41" s="162">
        <f t="shared" ref="F41" si="132">F40*$C41</f>
        <v>0</v>
      </c>
      <c r="G41" s="162">
        <f t="shared" ref="G41" si="133">G40*$C41</f>
        <v>0</v>
      </c>
      <c r="H41" s="162">
        <f t="shared" ref="H41" si="134">H40*$C41</f>
        <v>0</v>
      </c>
      <c r="I41" s="162">
        <f t="shared" ref="I41" si="135">I40*$C41</f>
        <v>0</v>
      </c>
      <c r="J41" s="162">
        <f t="shared" ref="J41" si="136">J40*$C41</f>
        <v>0</v>
      </c>
      <c r="K41" s="162">
        <f t="shared" ref="K41" si="137">K40*$C41</f>
        <v>20925.520000000004</v>
      </c>
      <c r="L41" s="163">
        <f t="shared" ref="L41:P41" si="138">L40*$C41</f>
        <v>0</v>
      </c>
      <c r="M41" s="164">
        <f t="shared" si="138"/>
        <v>0</v>
      </c>
      <c r="N41" s="164">
        <f t="shared" si="138"/>
        <v>0</v>
      </c>
      <c r="O41" s="164">
        <f t="shared" si="138"/>
        <v>0</v>
      </c>
      <c r="P41" s="164">
        <f t="shared" si="138"/>
        <v>0</v>
      </c>
    </row>
    <row r="42" spans="1:18" s="52" customFormat="1" ht="20.100000000000001" customHeight="1">
      <c r="A42" s="418" t="s">
        <v>26614</v>
      </c>
      <c r="B42" s="420" t="str">
        <f>VLOOKUP($A42,SERVICOS,4,0)</f>
        <v>PAISAGISMO</v>
      </c>
      <c r="C42" s="158">
        <f>C43/$C$50</f>
        <v>6.8007428118743189E-3</v>
      </c>
      <c r="D42" s="159">
        <v>0.1</v>
      </c>
      <c r="E42" s="159"/>
      <c r="F42" s="159"/>
      <c r="G42" s="159"/>
      <c r="H42" s="159">
        <v>0.15</v>
      </c>
      <c r="I42" s="159">
        <v>0.2</v>
      </c>
      <c r="J42" s="159">
        <v>0.55000000000000004</v>
      </c>
      <c r="K42" s="159"/>
      <c r="L42" s="160"/>
      <c r="M42" s="161"/>
      <c r="N42" s="161"/>
      <c r="O42" s="161"/>
      <c r="P42" s="161"/>
      <c r="Q42" s="440">
        <f>SUM(D42:K42)</f>
        <v>1</v>
      </c>
      <c r="R42" s="52" t="b">
        <f>IF(SUM(D42:P42)=1,TRUE)</f>
        <v>1</v>
      </c>
    </row>
    <row r="43" spans="1:18" s="52" customFormat="1" ht="20.100000000000001" customHeight="1">
      <c r="A43" s="419"/>
      <c r="B43" s="421"/>
      <c r="C43" s="162">
        <f>VLOOKUP($A42,SERVICOS,9,0)</f>
        <v>10630.009999999998</v>
      </c>
      <c r="D43" s="162">
        <f>D42*$C43</f>
        <v>1063.001</v>
      </c>
      <c r="E43" s="162">
        <f t="shared" ref="E43" si="139">E42*$C43</f>
        <v>0</v>
      </c>
      <c r="F43" s="162">
        <f t="shared" ref="F43" si="140">F42*$C43</f>
        <v>0</v>
      </c>
      <c r="G43" s="162">
        <f t="shared" ref="G43" si="141">G42*$C43</f>
        <v>0</v>
      </c>
      <c r="H43" s="162">
        <f t="shared" ref="H43" si="142">H42*$C43</f>
        <v>1594.5014999999996</v>
      </c>
      <c r="I43" s="162">
        <f t="shared" ref="I43" si="143">I42*$C43</f>
        <v>2126.002</v>
      </c>
      <c r="J43" s="162">
        <f t="shared" ref="J43" si="144">J42*$C43</f>
        <v>5846.5054999999993</v>
      </c>
      <c r="K43" s="162">
        <f t="shared" ref="K43" si="145">K42*$C43</f>
        <v>0</v>
      </c>
      <c r="L43" s="163">
        <f t="shared" ref="L43:P43" si="146">L42*$C43</f>
        <v>0</v>
      </c>
      <c r="M43" s="164">
        <f t="shared" si="146"/>
        <v>0</v>
      </c>
      <c r="N43" s="164">
        <f t="shared" si="146"/>
        <v>0</v>
      </c>
      <c r="O43" s="164">
        <f t="shared" si="146"/>
        <v>0</v>
      </c>
      <c r="P43" s="164">
        <f t="shared" si="146"/>
        <v>0</v>
      </c>
    </row>
    <row r="44" spans="1:18" s="52" customFormat="1" ht="20.100000000000001" customHeight="1">
      <c r="A44" s="418" t="s">
        <v>26618</v>
      </c>
      <c r="B44" s="420" t="str">
        <f>VLOOKUP($A44,SERVICOS,4,0)</f>
        <v>PAVIMENTAÇÃO EXTERNA</v>
      </c>
      <c r="C44" s="158">
        <f>C45/$C$50</f>
        <v>1.6813045427217465E-2</v>
      </c>
      <c r="D44" s="159"/>
      <c r="E44" s="159"/>
      <c r="F44" s="159"/>
      <c r="G44" s="159">
        <v>0.35</v>
      </c>
      <c r="H44" s="159">
        <v>0.25</v>
      </c>
      <c r="I44" s="159">
        <v>0.4</v>
      </c>
      <c r="J44" s="159"/>
      <c r="K44" s="159"/>
      <c r="L44" s="160"/>
      <c r="M44" s="161"/>
      <c r="N44" s="161"/>
      <c r="O44" s="161"/>
      <c r="P44" s="161"/>
      <c r="Q44" s="440">
        <f>SUM(D44:K44)</f>
        <v>1</v>
      </c>
      <c r="R44" s="52" t="b">
        <f>IF(SUM(D44:P44)=1,TRUE)</f>
        <v>1</v>
      </c>
    </row>
    <row r="45" spans="1:18" s="52" customFormat="1" ht="20.100000000000001" customHeight="1">
      <c r="A45" s="419"/>
      <c r="B45" s="421"/>
      <c r="C45" s="162">
        <f>VLOOKUP($A44,SERVICOS,9,0)</f>
        <v>26279.9</v>
      </c>
      <c r="D45" s="162">
        <f>D44*$C45</f>
        <v>0</v>
      </c>
      <c r="E45" s="162">
        <f t="shared" ref="E45" si="147">E44*$C45</f>
        <v>0</v>
      </c>
      <c r="F45" s="162">
        <f t="shared" ref="F45" si="148">F44*$C45</f>
        <v>0</v>
      </c>
      <c r="G45" s="162">
        <f t="shared" ref="G45" si="149">G44*$C45</f>
        <v>9197.9650000000001</v>
      </c>
      <c r="H45" s="162">
        <f t="shared" ref="H45" si="150">H44*$C45</f>
        <v>6569.9750000000004</v>
      </c>
      <c r="I45" s="162">
        <f t="shared" ref="I45" si="151">I44*$C45</f>
        <v>10511.960000000001</v>
      </c>
      <c r="J45" s="162">
        <f t="shared" ref="J45" si="152">J44*$C45</f>
        <v>0</v>
      </c>
      <c r="K45" s="162">
        <f t="shared" ref="K45" si="153">K44*$C45</f>
        <v>0</v>
      </c>
      <c r="L45" s="163">
        <f t="shared" ref="L45:P45" si="154">L44*$C45</f>
        <v>0</v>
      </c>
      <c r="M45" s="164">
        <f t="shared" si="154"/>
        <v>0</v>
      </c>
      <c r="N45" s="164">
        <f t="shared" si="154"/>
        <v>0</v>
      </c>
      <c r="O45" s="164">
        <f t="shared" si="154"/>
        <v>0</v>
      </c>
      <c r="P45" s="164">
        <f t="shared" si="154"/>
        <v>0</v>
      </c>
    </row>
    <row r="46" spans="1:18" s="52" customFormat="1" ht="20.100000000000001" customHeight="1">
      <c r="A46" s="418" t="s">
        <v>26809</v>
      </c>
      <c r="B46" s="420" t="str">
        <f>VLOOKUP($A46,SERVICOS,4,0)</f>
        <v>CALÇADA CIDADÃ</v>
      </c>
      <c r="C46" s="158">
        <f>C47/$C$50</f>
        <v>1.7848132863895288E-2</v>
      </c>
      <c r="D46" s="159"/>
      <c r="E46" s="159"/>
      <c r="F46" s="159"/>
      <c r="G46" s="159"/>
      <c r="H46" s="159">
        <v>0.2</v>
      </c>
      <c r="I46" s="159">
        <v>0.4</v>
      </c>
      <c r="J46" s="159">
        <v>0.4</v>
      </c>
      <c r="K46" s="159"/>
      <c r="L46" s="160"/>
      <c r="M46" s="161"/>
      <c r="N46" s="161"/>
      <c r="O46" s="161"/>
      <c r="P46" s="161"/>
      <c r="Q46" s="440">
        <f>SUM(D46:K46)</f>
        <v>1</v>
      </c>
      <c r="R46" s="52" t="b">
        <f>IF(SUM(D46:P46)=1,TRUE)</f>
        <v>1</v>
      </c>
    </row>
    <row r="47" spans="1:18" s="52" customFormat="1" ht="20.100000000000001" customHeight="1">
      <c r="A47" s="419"/>
      <c r="B47" s="421"/>
      <c r="C47" s="162">
        <f>VLOOKUP($A46,SERVICOS,9,0)</f>
        <v>27897.810000000005</v>
      </c>
      <c r="D47" s="162">
        <f>D46*$C47</f>
        <v>0</v>
      </c>
      <c r="E47" s="162">
        <f t="shared" ref="E47" si="155">E46*$C47</f>
        <v>0</v>
      </c>
      <c r="F47" s="162">
        <f t="shared" ref="F47" si="156">F46*$C47</f>
        <v>0</v>
      </c>
      <c r="G47" s="162">
        <f t="shared" ref="G47" si="157">G46*$C47</f>
        <v>0</v>
      </c>
      <c r="H47" s="162">
        <f t="shared" ref="H47" si="158">H46*$C47</f>
        <v>5579.5620000000017</v>
      </c>
      <c r="I47" s="162">
        <f t="shared" ref="I47" si="159">I46*$C47</f>
        <v>11159.124000000003</v>
      </c>
      <c r="J47" s="162">
        <f t="shared" ref="J47" si="160">J46*$C47</f>
        <v>11159.124000000003</v>
      </c>
      <c r="K47" s="162">
        <f t="shared" ref="K47" si="161">K46*$C47</f>
        <v>0</v>
      </c>
      <c r="L47" s="163">
        <f t="shared" ref="L47:P47" si="162">L46*$C47</f>
        <v>0</v>
      </c>
      <c r="M47" s="164">
        <f t="shared" si="162"/>
        <v>0</v>
      </c>
      <c r="N47" s="164">
        <f t="shared" si="162"/>
        <v>0</v>
      </c>
      <c r="O47" s="164">
        <f t="shared" si="162"/>
        <v>0</v>
      </c>
      <c r="P47" s="164">
        <f t="shared" si="162"/>
        <v>0</v>
      </c>
    </row>
    <row r="48" spans="1:18" s="52" customFormat="1" ht="20.100000000000001" customHeight="1">
      <c r="A48" s="418" t="s">
        <v>28677</v>
      </c>
      <c r="B48" s="420" t="str">
        <f>VLOOKUP($A48,SERVICOS,4,0)</f>
        <v>SERVIÇOS FINAIS</v>
      </c>
      <c r="C48" s="158">
        <f>C49/$C$50</f>
        <v>4.5981672610348225E-2</v>
      </c>
      <c r="D48" s="159">
        <v>0.24</v>
      </c>
      <c r="E48" s="159">
        <v>0.24</v>
      </c>
      <c r="F48" s="159">
        <v>0.24</v>
      </c>
      <c r="G48" s="159">
        <v>0.24</v>
      </c>
      <c r="H48" s="159"/>
      <c r="I48" s="159"/>
      <c r="J48" s="159"/>
      <c r="K48" s="159">
        <v>0.04</v>
      </c>
      <c r="L48" s="160"/>
      <c r="M48" s="161"/>
      <c r="N48" s="161"/>
      <c r="O48" s="161"/>
      <c r="P48" s="161"/>
      <c r="Q48" s="440">
        <f>SUM(D48:K48)</f>
        <v>1</v>
      </c>
      <c r="R48" s="52" t="b">
        <f>IF(SUM(D48:P48)=1,TRUE)</f>
        <v>1</v>
      </c>
    </row>
    <row r="49" spans="1:17" s="52" customFormat="1" ht="20.100000000000001" customHeight="1">
      <c r="A49" s="419"/>
      <c r="B49" s="421"/>
      <c r="C49" s="162">
        <f>VLOOKUP($A48,SERVICOS,9,0)</f>
        <v>71872.39</v>
      </c>
      <c r="D49" s="162">
        <f>D48*$C49</f>
        <v>17249.373599999999</v>
      </c>
      <c r="E49" s="162">
        <f t="shared" ref="E49" si="163">E48*$C49</f>
        <v>17249.373599999999</v>
      </c>
      <c r="F49" s="162">
        <f t="shared" ref="F49" si="164">F48*$C49</f>
        <v>17249.373599999999</v>
      </c>
      <c r="G49" s="162">
        <f t="shared" ref="G49" si="165">G48*$C49</f>
        <v>17249.373599999999</v>
      </c>
      <c r="H49" s="162">
        <f t="shared" ref="H49" si="166">H48*$C49</f>
        <v>0</v>
      </c>
      <c r="I49" s="162">
        <f t="shared" ref="I49" si="167">I48*$C49</f>
        <v>0</v>
      </c>
      <c r="J49" s="162">
        <f t="shared" ref="J49" si="168">J48*$C49</f>
        <v>0</v>
      </c>
      <c r="K49" s="162">
        <f t="shared" ref="K49" si="169">K48*$C49</f>
        <v>2874.8955999999998</v>
      </c>
      <c r="L49" s="163">
        <f t="shared" ref="L49:P49" si="170">L48*$C49</f>
        <v>0</v>
      </c>
      <c r="M49" s="164">
        <f t="shared" si="170"/>
        <v>0</v>
      </c>
      <c r="N49" s="164">
        <f t="shared" si="170"/>
        <v>0</v>
      </c>
      <c r="O49" s="164">
        <f t="shared" si="170"/>
        <v>0</v>
      </c>
      <c r="P49" s="164">
        <f t="shared" si="170"/>
        <v>0</v>
      </c>
    </row>
    <row r="50" spans="1:17" s="52" customFormat="1" ht="20.100000000000001" customHeight="1">
      <c r="A50" s="425" t="s">
        <v>19681</v>
      </c>
      <c r="B50" s="425"/>
      <c r="C50" s="165">
        <f>C7+C9+C11+C13+C15+C17+C19+C21+C23+C25+C27+C29+C31+C33+C35+C37+C39+C41+C43+C45+C47+C49</f>
        <v>1563066.0199999998</v>
      </c>
      <c r="D50" s="165">
        <f>D7+D9+D11+D13+D15+D17+D19+D21+D23+D25+D27+D29+D31+D33+D35+D37+D39+D41+D43+D45+D47+D49</f>
        <v>154405.13339999999</v>
      </c>
      <c r="E50" s="165">
        <f t="shared" ref="E50:K50" si="171">E7+E9+E11+E13+E15+E17+E19+E21+E23+E25+E27+E29+E31+E33+E35+E37+E39+E41+E43+E45+E47+E49</f>
        <v>168557.29440000001</v>
      </c>
      <c r="F50" s="165">
        <f t="shared" si="171"/>
        <v>167852.23540000001</v>
      </c>
      <c r="G50" s="165">
        <f t="shared" si="171"/>
        <v>187518.8708</v>
      </c>
      <c r="H50" s="165">
        <f t="shared" si="171"/>
        <v>200556.33810000002</v>
      </c>
      <c r="I50" s="165">
        <f t="shared" si="171"/>
        <v>200305.29510000002</v>
      </c>
      <c r="J50" s="165">
        <f t="shared" si="171"/>
        <v>244524.5</v>
      </c>
      <c r="K50" s="165">
        <f t="shared" si="171"/>
        <v>239346.35279999999</v>
      </c>
      <c r="L50" s="165">
        <f t="shared" ref="E50:P50" si="172">L7+L9+L11+L13+L15+L17+L19+L21+L23+L25+L27+L29+L31+L33+L35+L37+L39+L41+L43+L49</f>
        <v>0</v>
      </c>
      <c r="M50" s="165">
        <f t="shared" si="172"/>
        <v>0</v>
      </c>
      <c r="N50" s="165">
        <f t="shared" si="172"/>
        <v>0</v>
      </c>
      <c r="O50" s="165">
        <f t="shared" si="172"/>
        <v>0</v>
      </c>
      <c r="P50" s="165">
        <f t="shared" si="172"/>
        <v>0</v>
      </c>
      <c r="Q50" s="440"/>
    </row>
    <row r="51" spans="1:17" s="52" customFormat="1" ht="20.100000000000001" customHeight="1">
      <c r="A51" s="425" t="s">
        <v>19684</v>
      </c>
      <c r="B51" s="425"/>
      <c r="C51" s="166">
        <f>C6+C8+C10+C12+C14+C16+C18+C20+C22+C24+C26+C28+C30+C32+C34+C36+C38+C40+C42+C44+C46+C48</f>
        <v>1.0000000000000002</v>
      </c>
      <c r="D51" s="166">
        <f>D50/$C50</f>
        <v>9.8783500776250005E-2</v>
      </c>
      <c r="E51" s="166">
        <f t="shared" ref="E51:P51" si="173">E50/$C50</f>
        <v>0.10783760394202674</v>
      </c>
      <c r="F51" s="166">
        <f t="shared" si="173"/>
        <v>0.10738652958497558</v>
      </c>
      <c r="G51" s="166">
        <f t="shared" si="173"/>
        <v>0.11996861834409274</v>
      </c>
      <c r="H51" s="166">
        <f t="shared" si="173"/>
        <v>0.12830957588087039</v>
      </c>
      <c r="I51" s="166">
        <f t="shared" si="173"/>
        <v>0.12814896654205307</v>
      </c>
      <c r="J51" s="166">
        <f t="shared" si="173"/>
        <v>0.15643900953076828</v>
      </c>
      <c r="K51" s="166">
        <f t="shared" si="173"/>
        <v>0.15312619539896338</v>
      </c>
      <c r="L51" s="166">
        <f t="shared" si="173"/>
        <v>0</v>
      </c>
      <c r="M51" s="166">
        <f t="shared" si="173"/>
        <v>0</v>
      </c>
      <c r="N51" s="166">
        <f t="shared" si="173"/>
        <v>0</v>
      </c>
      <c r="O51" s="166">
        <f t="shared" si="173"/>
        <v>0</v>
      </c>
      <c r="P51" s="166">
        <f t="shared" si="173"/>
        <v>0</v>
      </c>
    </row>
    <row r="52" spans="1:17" s="52" customFormat="1" ht="20.100000000000001" customHeight="1">
      <c r="A52" s="425" t="s">
        <v>19682</v>
      </c>
      <c r="B52" s="425"/>
      <c r="C52" s="167" t="s">
        <v>19679</v>
      </c>
      <c r="D52" s="165">
        <f>D50</f>
        <v>154405.13339999999</v>
      </c>
      <c r="E52" s="165">
        <f t="shared" ref="E52:G52" si="174">E50+D52</f>
        <v>322962.4278</v>
      </c>
      <c r="F52" s="165">
        <f t="shared" si="174"/>
        <v>490814.66320000001</v>
      </c>
      <c r="G52" s="165">
        <f t="shared" si="174"/>
        <v>678333.53399999999</v>
      </c>
      <c r="H52" s="165">
        <f t="shared" ref="H52:H53" si="175">H50+G52</f>
        <v>878889.87210000004</v>
      </c>
      <c r="I52" s="165">
        <f t="shared" ref="I52:I53" si="176">I50+H52</f>
        <v>1079195.1672</v>
      </c>
      <c r="J52" s="165">
        <f t="shared" ref="J52:J53" si="177">J50+I52</f>
        <v>1323719.6672</v>
      </c>
      <c r="K52" s="165">
        <f t="shared" ref="K52:K53" si="178">K50+J52</f>
        <v>1563066.02</v>
      </c>
      <c r="L52" s="165">
        <f t="shared" ref="L52" si="179">L50+K52</f>
        <v>1563066.02</v>
      </c>
      <c r="M52" s="165">
        <f t="shared" ref="M52" si="180">M50+L52</f>
        <v>1563066.02</v>
      </c>
      <c r="N52" s="165">
        <f t="shared" ref="N52" si="181">N50+M52</f>
        <v>1563066.02</v>
      </c>
      <c r="O52" s="165">
        <f t="shared" ref="O52" si="182">O50+N52</f>
        <v>1563066.02</v>
      </c>
      <c r="P52" s="165">
        <f t="shared" ref="P52" si="183">P50+O52</f>
        <v>1563066.02</v>
      </c>
      <c r="Q52" s="440"/>
    </row>
    <row r="53" spans="1:17" s="52" customFormat="1" ht="20.100000000000001" customHeight="1">
      <c r="A53" s="425" t="s">
        <v>19683</v>
      </c>
      <c r="B53" s="425"/>
      <c r="C53" s="167" t="s">
        <v>19679</v>
      </c>
      <c r="D53" s="168">
        <f>D51</f>
        <v>9.8783500776250005E-2</v>
      </c>
      <c r="E53" s="168">
        <f t="shared" ref="E53:O53" si="184">E51+D53</f>
        <v>0.20662110471827674</v>
      </c>
      <c r="F53" s="168">
        <f t="shared" si="184"/>
        <v>0.31400763430325229</v>
      </c>
      <c r="G53" s="168">
        <f t="shared" si="184"/>
        <v>0.43397625264734502</v>
      </c>
      <c r="H53" s="168">
        <f t="shared" si="175"/>
        <v>0.5622858285282154</v>
      </c>
      <c r="I53" s="168">
        <f t="shared" si="176"/>
        <v>0.6904347950702685</v>
      </c>
      <c r="J53" s="168">
        <f t="shared" si="177"/>
        <v>0.84687380460103678</v>
      </c>
      <c r="K53" s="168">
        <f t="shared" si="178"/>
        <v>1.0000000000000002</v>
      </c>
      <c r="L53" s="169">
        <f t="shared" si="184"/>
        <v>1.0000000000000002</v>
      </c>
      <c r="M53" s="170">
        <f t="shared" si="184"/>
        <v>1.0000000000000002</v>
      </c>
      <c r="N53" s="170">
        <f t="shared" si="184"/>
        <v>1.0000000000000002</v>
      </c>
      <c r="O53" s="170">
        <f t="shared" si="184"/>
        <v>1.0000000000000002</v>
      </c>
      <c r="P53" s="171">
        <f>P51+O53</f>
        <v>1.0000000000000002</v>
      </c>
    </row>
    <row r="54" spans="1:17">
      <c r="Q54" s="440"/>
    </row>
  </sheetData>
  <mergeCells count="53">
    <mergeCell ref="A44:A45"/>
    <mergeCell ref="B44:B45"/>
    <mergeCell ref="A46:A47"/>
    <mergeCell ref="B46:B47"/>
    <mergeCell ref="A48:A49"/>
    <mergeCell ref="B48:B49"/>
    <mergeCell ref="A51:B51"/>
    <mergeCell ref="B28:B29"/>
    <mergeCell ref="A53:B53"/>
    <mergeCell ref="A50:B50"/>
    <mergeCell ref="A34:A35"/>
    <mergeCell ref="B34:B35"/>
    <mergeCell ref="A30:A31"/>
    <mergeCell ref="B30:B31"/>
    <mergeCell ref="A32:A33"/>
    <mergeCell ref="B32:B33"/>
    <mergeCell ref="A36:A37"/>
    <mergeCell ref="B36:B37"/>
    <mergeCell ref="A38:A39"/>
    <mergeCell ref="A52:B52"/>
    <mergeCell ref="A42:A43"/>
    <mergeCell ref="B42:B43"/>
    <mergeCell ref="B8:B9"/>
    <mergeCell ref="B10:B11"/>
    <mergeCell ref="B12:B13"/>
    <mergeCell ref="B40:B41"/>
    <mergeCell ref="A6:A7"/>
    <mergeCell ref="B6:B7"/>
    <mergeCell ref="A8:A9"/>
    <mergeCell ref="A10:A11"/>
    <mergeCell ref="A12:A13"/>
    <mergeCell ref="A24:A25"/>
    <mergeCell ref="B24:B25"/>
    <mergeCell ref="A26:A27"/>
    <mergeCell ref="B26:B27"/>
    <mergeCell ref="A28:A29"/>
    <mergeCell ref="A18:A19"/>
    <mergeCell ref="B18:B19"/>
    <mergeCell ref="A2:B2"/>
    <mergeCell ref="A3:B3"/>
    <mergeCell ref="A1:K1"/>
    <mergeCell ref="C2:K2"/>
    <mergeCell ref="C3:K3"/>
    <mergeCell ref="A14:A15"/>
    <mergeCell ref="B14:B15"/>
    <mergeCell ref="A16:A17"/>
    <mergeCell ref="B16:B17"/>
    <mergeCell ref="A40:A41"/>
    <mergeCell ref="B38:B39"/>
    <mergeCell ref="A20:A21"/>
    <mergeCell ref="B20:B21"/>
    <mergeCell ref="A22:A23"/>
    <mergeCell ref="B22:B23"/>
  </mergeCells>
  <conditionalFormatting sqref="P53">
    <cfRule type="cellIs" dxfId="1" priority="2" operator="greaterThan">
      <formula>1</formula>
    </cfRule>
    <cfRule type="cellIs" dxfId="0" priority="3" operator="lessThan">
      <formula>1</formula>
    </cfRule>
  </conditionalFormatting>
  <dataValidations disablePrompts="1" count="1">
    <dataValidation type="list" errorStyle="warning" allowBlank="1" showInputMessage="1" showErrorMessage="1" error="Selecionar Referencial compatível" sqref="XEV1:XFD3">
      <formula1>DADOS</formula1>
    </dataValidation>
  </dataValidations>
  <printOptions horizontalCentered="1"/>
  <pageMargins left="0.39370078740157483" right="0.39370078740157483" top="1.3779527559055118" bottom="0.98425196850393704" header="0" footer="0"/>
  <pageSetup paperSize="9" fitToHeight="0" orientation="landscape" r:id="rId1"/>
  <headerFooter scaleWithDoc="0" alignWithMargins="0">
    <oddHeader>&amp;C&amp;G</oddHeader>
    <oddFooter>&amp;C&amp;"Arial,Normal"&amp;10__________________________
Fabrício Benício de Brito
Engenheiro Civil - CREA ES-014512/D
&amp;RPágina &amp;P de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EJ79"/>
  <sheetViews>
    <sheetView tabSelected="1" view="pageBreakPreview" topLeftCell="A52" zoomScaleNormal="100" zoomScaleSheetLayoutView="100" workbookViewId="0">
      <selection activeCell="B88" sqref="B88"/>
    </sheetView>
  </sheetViews>
  <sheetFormatPr defaultRowHeight="12.75"/>
  <cols>
    <col min="1" max="1" width="20.625" style="52" customWidth="1"/>
    <col min="2" max="2" width="30.625" style="52" customWidth="1"/>
    <col min="3" max="3" width="15.625" style="52" customWidth="1"/>
    <col min="4" max="4" width="7.625" style="52" customWidth="1"/>
    <col min="5" max="5" width="8.625" style="175" customWidth="1"/>
    <col min="6" max="16384" width="9" style="52"/>
  </cols>
  <sheetData>
    <row r="1" spans="1:983 16364:16364" ht="30" customHeight="1">
      <c r="A1" s="423" t="s">
        <v>19765</v>
      </c>
      <c r="B1" s="423"/>
      <c r="C1" s="423"/>
      <c r="D1" s="423"/>
      <c r="E1" s="423"/>
      <c r="F1" s="54"/>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XEJ1" s="52" t="s">
        <v>1019</v>
      </c>
    </row>
    <row r="2" spans="1:983 16364:16364" ht="19.5" customHeight="1">
      <c r="A2" s="71" t="s">
        <v>982</v>
      </c>
      <c r="B2" s="424" t="str">
        <f>OBRA</f>
        <v>RESTAURAÇÃO CASARÃO MADAME ALBERTINA HOLZ</v>
      </c>
      <c r="C2" s="424"/>
      <c r="D2" s="424"/>
      <c r="E2" s="424"/>
      <c r="F2" s="54"/>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c r="AEA2" s="53"/>
      <c r="AEB2" s="53"/>
      <c r="AEC2" s="53"/>
      <c r="AED2" s="53"/>
      <c r="AEE2" s="53"/>
      <c r="AEF2" s="53"/>
      <c r="AEG2" s="53"/>
      <c r="AEH2" s="53"/>
      <c r="AEI2" s="53"/>
      <c r="AEJ2" s="53"/>
      <c r="AEK2" s="53"/>
      <c r="AEL2" s="53"/>
      <c r="AEM2" s="53"/>
      <c r="AEN2" s="53"/>
      <c r="AEO2" s="53"/>
      <c r="AEP2" s="53"/>
      <c r="AEQ2" s="53"/>
      <c r="AER2" s="53"/>
      <c r="AES2" s="53"/>
      <c r="AET2" s="53"/>
      <c r="AEU2" s="53"/>
      <c r="AEV2" s="53"/>
      <c r="AEW2" s="53"/>
      <c r="AEX2" s="53"/>
      <c r="AEY2" s="53"/>
      <c r="AEZ2" s="53"/>
      <c r="AFA2" s="53"/>
      <c r="AFB2" s="53"/>
      <c r="AFC2" s="53"/>
      <c r="AFD2" s="53"/>
      <c r="AFE2" s="53"/>
      <c r="AFF2" s="53"/>
      <c r="AFG2" s="53"/>
      <c r="AFH2" s="53"/>
      <c r="AFI2" s="53"/>
      <c r="AFJ2" s="53"/>
      <c r="AFK2" s="53"/>
      <c r="AFL2" s="53"/>
      <c r="AFM2" s="53"/>
      <c r="AFN2" s="53"/>
      <c r="AFO2" s="53"/>
      <c r="AFP2" s="53"/>
      <c r="AFQ2" s="53"/>
      <c r="AFR2" s="53"/>
      <c r="AFS2" s="53"/>
      <c r="AFT2" s="53"/>
      <c r="AFU2" s="53"/>
      <c r="AFV2" s="53"/>
      <c r="AFW2" s="53"/>
      <c r="AFX2" s="53"/>
      <c r="AFY2" s="53"/>
      <c r="AFZ2" s="53"/>
      <c r="AGA2" s="53"/>
      <c r="AGB2" s="53"/>
      <c r="AGC2" s="53"/>
      <c r="AGD2" s="53"/>
      <c r="AGE2" s="53"/>
      <c r="AGF2" s="53"/>
      <c r="AGG2" s="53"/>
      <c r="AGH2" s="53"/>
      <c r="AGI2" s="53"/>
      <c r="AGJ2" s="53"/>
      <c r="AGK2" s="53"/>
      <c r="AGL2" s="53"/>
      <c r="AGM2" s="53"/>
      <c r="AGN2" s="53"/>
      <c r="AGO2" s="53"/>
      <c r="AGP2" s="53"/>
      <c r="AGQ2" s="53"/>
      <c r="AGR2" s="53"/>
      <c r="AGS2" s="53"/>
      <c r="AGT2" s="53"/>
      <c r="AGU2" s="53"/>
      <c r="AGV2" s="53"/>
      <c r="AGW2" s="53"/>
      <c r="AGX2" s="53"/>
      <c r="AGY2" s="53"/>
      <c r="AGZ2" s="53"/>
      <c r="AHA2" s="53"/>
      <c r="AHB2" s="53"/>
      <c r="AHC2" s="53"/>
      <c r="AHD2" s="53"/>
      <c r="AHE2" s="53"/>
      <c r="AHF2" s="53"/>
      <c r="AHG2" s="53"/>
      <c r="AHH2" s="53"/>
      <c r="AHI2" s="53"/>
      <c r="AHJ2" s="53"/>
      <c r="AHK2" s="53"/>
      <c r="AHL2" s="53"/>
      <c r="AHM2" s="53"/>
      <c r="AHN2" s="53"/>
      <c r="AHO2" s="53"/>
      <c r="AHP2" s="53"/>
      <c r="AHQ2" s="53"/>
      <c r="AHR2" s="53"/>
      <c r="AHS2" s="53"/>
      <c r="AHT2" s="53"/>
      <c r="AHU2" s="53"/>
      <c r="AHV2" s="53"/>
      <c r="AHW2" s="53"/>
      <c r="AHX2" s="53"/>
      <c r="AHY2" s="53"/>
      <c r="AHZ2" s="53"/>
      <c r="AIA2" s="53"/>
      <c r="AIB2" s="53"/>
      <c r="AIC2" s="53"/>
      <c r="AID2" s="53"/>
      <c r="AIE2" s="53"/>
      <c r="AIF2" s="53"/>
      <c r="AIG2" s="53"/>
      <c r="AIH2" s="53"/>
      <c r="AII2" s="53"/>
      <c r="AIJ2" s="53"/>
      <c r="AIK2" s="53"/>
      <c r="AIL2" s="53"/>
      <c r="AIM2" s="53"/>
      <c r="AIN2" s="53"/>
      <c r="AIO2" s="53"/>
      <c r="AIP2" s="53"/>
      <c r="AIQ2" s="53"/>
      <c r="AIR2" s="53"/>
      <c r="AIS2" s="53"/>
      <c r="AIT2" s="53"/>
      <c r="AIU2" s="53"/>
      <c r="AIV2" s="53"/>
      <c r="AIW2" s="53"/>
      <c r="AIX2" s="53"/>
      <c r="AIY2" s="53"/>
      <c r="AIZ2" s="53"/>
      <c r="AJA2" s="53"/>
      <c r="AJB2" s="53"/>
      <c r="AJC2" s="53"/>
      <c r="AJD2" s="53"/>
      <c r="AJE2" s="53"/>
      <c r="AJF2" s="53"/>
      <c r="AJG2" s="53"/>
      <c r="AJH2" s="53"/>
      <c r="AJI2" s="53"/>
      <c r="AJJ2" s="53"/>
      <c r="AJK2" s="53"/>
      <c r="AJL2" s="53"/>
      <c r="AJM2" s="53"/>
      <c r="AJN2" s="53"/>
      <c r="AJO2" s="53"/>
      <c r="AJP2" s="53"/>
      <c r="AJQ2" s="53"/>
      <c r="AJR2" s="53"/>
      <c r="AJS2" s="53"/>
      <c r="AJT2" s="53"/>
      <c r="AJU2" s="53"/>
      <c r="AJV2" s="53"/>
      <c r="AJW2" s="53"/>
      <c r="AJX2" s="53"/>
      <c r="AJY2" s="53"/>
      <c r="AJZ2" s="53"/>
      <c r="AKA2" s="53"/>
      <c r="AKB2" s="53"/>
      <c r="AKC2" s="53"/>
      <c r="AKD2" s="53"/>
      <c r="AKE2" s="53"/>
      <c r="AKF2" s="53"/>
      <c r="AKG2" s="53"/>
      <c r="AKH2" s="53"/>
      <c r="AKI2" s="53"/>
      <c r="AKJ2" s="53"/>
      <c r="AKK2" s="53"/>
      <c r="AKL2" s="53"/>
      <c r="AKM2" s="53"/>
      <c r="AKN2" s="53"/>
      <c r="AKO2" s="53"/>
      <c r="AKP2" s="53"/>
      <c r="AKQ2" s="53"/>
      <c r="AKR2" s="53"/>
      <c r="AKS2" s="53"/>
      <c r="AKT2" s="53"/>
      <c r="AKU2" s="53"/>
      <c r="XEJ2" s="52" t="s">
        <v>35</v>
      </c>
    </row>
    <row r="3" spans="1:983 16364:16364" ht="20.100000000000001" customHeight="1">
      <c r="A3" s="71" t="s">
        <v>19670</v>
      </c>
      <c r="B3" s="426" t="str">
        <f>CONTRATO</f>
        <v>Avenida Rio Doce, quadra 20E, lote 1, Centro - Baixo Guandu/ ES</v>
      </c>
      <c r="C3" s="427"/>
      <c r="D3" s="427"/>
      <c r="E3" s="428"/>
      <c r="F3" s="54"/>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c r="AEA3" s="53"/>
      <c r="AEB3" s="53"/>
      <c r="AEC3" s="53"/>
      <c r="AED3" s="53"/>
      <c r="AEE3" s="53"/>
      <c r="AEF3" s="53"/>
      <c r="AEG3" s="53"/>
      <c r="AEH3" s="53"/>
      <c r="AEI3" s="53"/>
      <c r="AEJ3" s="53"/>
      <c r="AEK3" s="53"/>
      <c r="AEL3" s="53"/>
      <c r="AEM3" s="53"/>
      <c r="AEN3" s="53"/>
      <c r="AEO3" s="53"/>
      <c r="AEP3" s="53"/>
      <c r="AEQ3" s="53"/>
      <c r="AER3" s="53"/>
      <c r="AES3" s="53"/>
      <c r="AET3" s="53"/>
      <c r="AEU3" s="53"/>
      <c r="AEV3" s="53"/>
      <c r="AEW3" s="53"/>
      <c r="AEX3" s="53"/>
      <c r="AEY3" s="53"/>
      <c r="AEZ3" s="53"/>
      <c r="AFA3" s="53"/>
      <c r="AFB3" s="53"/>
      <c r="AFC3" s="53"/>
      <c r="AFD3" s="53"/>
      <c r="AFE3" s="53"/>
      <c r="AFF3" s="53"/>
      <c r="AFG3" s="53"/>
      <c r="AFH3" s="53"/>
      <c r="AFI3" s="53"/>
      <c r="AFJ3" s="53"/>
      <c r="AFK3" s="53"/>
      <c r="AFL3" s="53"/>
      <c r="AFM3" s="53"/>
      <c r="AFN3" s="53"/>
      <c r="AFO3" s="53"/>
      <c r="AFP3" s="53"/>
      <c r="AFQ3" s="53"/>
      <c r="AFR3" s="53"/>
      <c r="AFS3" s="53"/>
      <c r="AFT3" s="53"/>
      <c r="AFU3" s="53"/>
      <c r="AFV3" s="53"/>
      <c r="AFW3" s="53"/>
      <c r="AFX3" s="53"/>
      <c r="AFY3" s="53"/>
      <c r="AFZ3" s="53"/>
      <c r="AGA3" s="53"/>
      <c r="AGB3" s="53"/>
      <c r="AGC3" s="53"/>
      <c r="AGD3" s="53"/>
      <c r="AGE3" s="53"/>
      <c r="AGF3" s="53"/>
      <c r="AGG3" s="53"/>
      <c r="AGH3" s="53"/>
      <c r="AGI3" s="53"/>
      <c r="AGJ3" s="53"/>
      <c r="AGK3" s="53"/>
      <c r="AGL3" s="53"/>
      <c r="AGM3" s="53"/>
      <c r="AGN3" s="53"/>
      <c r="AGO3" s="53"/>
      <c r="AGP3" s="53"/>
      <c r="AGQ3" s="53"/>
      <c r="AGR3" s="53"/>
      <c r="AGS3" s="53"/>
      <c r="AGT3" s="53"/>
      <c r="AGU3" s="53"/>
      <c r="AGV3" s="53"/>
      <c r="AGW3" s="53"/>
      <c r="AGX3" s="53"/>
      <c r="AGY3" s="53"/>
      <c r="AGZ3" s="53"/>
      <c r="AHA3" s="53"/>
      <c r="AHB3" s="53"/>
      <c r="AHC3" s="53"/>
      <c r="AHD3" s="53"/>
      <c r="AHE3" s="53"/>
      <c r="AHF3" s="53"/>
      <c r="AHG3" s="53"/>
      <c r="AHH3" s="53"/>
      <c r="AHI3" s="53"/>
      <c r="AHJ3" s="53"/>
      <c r="AHK3" s="53"/>
      <c r="AHL3" s="53"/>
      <c r="AHM3" s="53"/>
      <c r="AHN3" s="53"/>
      <c r="AHO3" s="53"/>
      <c r="AHP3" s="53"/>
      <c r="AHQ3" s="53"/>
      <c r="AHR3" s="53"/>
      <c r="AHS3" s="53"/>
      <c r="AHT3" s="53"/>
      <c r="AHU3" s="53"/>
      <c r="AHV3" s="53"/>
      <c r="AHW3" s="53"/>
      <c r="AHX3" s="53"/>
      <c r="AHY3" s="53"/>
      <c r="AHZ3" s="53"/>
      <c r="AIA3" s="53"/>
      <c r="AIB3" s="53"/>
      <c r="AIC3" s="53"/>
      <c r="AID3" s="53"/>
      <c r="AIE3" s="53"/>
      <c r="AIF3" s="53"/>
      <c r="AIG3" s="53"/>
      <c r="AIH3" s="53"/>
      <c r="AII3" s="53"/>
      <c r="AIJ3" s="53"/>
      <c r="AIK3" s="53"/>
      <c r="AIL3" s="53"/>
      <c r="AIM3" s="53"/>
      <c r="AIN3" s="53"/>
      <c r="AIO3" s="53"/>
      <c r="AIP3" s="53"/>
      <c r="AIQ3" s="53"/>
      <c r="AIR3" s="53"/>
      <c r="AIS3" s="53"/>
      <c r="AIT3" s="53"/>
      <c r="AIU3" s="53"/>
      <c r="AIV3" s="53"/>
      <c r="AIW3" s="53"/>
      <c r="AIX3" s="53"/>
      <c r="AIY3" s="53"/>
      <c r="AIZ3" s="53"/>
      <c r="AJA3" s="53"/>
      <c r="AJB3" s="53"/>
      <c r="AJC3" s="53"/>
      <c r="AJD3" s="53"/>
      <c r="AJE3" s="53"/>
      <c r="AJF3" s="53"/>
      <c r="AJG3" s="53"/>
      <c r="AJH3" s="53"/>
      <c r="AJI3" s="53"/>
      <c r="AJJ3" s="53"/>
      <c r="AJK3" s="53"/>
      <c r="AJL3" s="53"/>
      <c r="AJM3" s="53"/>
      <c r="AJN3" s="53"/>
      <c r="AJO3" s="53"/>
      <c r="AJP3" s="53"/>
      <c r="AJQ3" s="53"/>
      <c r="AJR3" s="53"/>
      <c r="AJS3" s="53"/>
      <c r="AJT3" s="53"/>
      <c r="AJU3" s="53"/>
      <c r="AJV3" s="53"/>
      <c r="AJW3" s="53"/>
      <c r="AJX3" s="53"/>
      <c r="AJY3" s="53"/>
      <c r="AJZ3" s="53"/>
      <c r="AKA3" s="53"/>
      <c r="AKB3" s="53"/>
      <c r="AKC3" s="53"/>
      <c r="AKD3" s="53"/>
      <c r="AKE3" s="53"/>
      <c r="AKF3" s="53"/>
      <c r="AKG3" s="53"/>
      <c r="AKH3" s="53"/>
      <c r="AKI3" s="53"/>
      <c r="AKJ3" s="53"/>
      <c r="AKK3" s="53"/>
      <c r="AKL3" s="53"/>
      <c r="AKM3" s="53"/>
      <c r="AKN3" s="53"/>
      <c r="AKO3" s="53"/>
      <c r="AKP3" s="53"/>
      <c r="AKQ3" s="53"/>
      <c r="AKR3" s="53"/>
      <c r="AKS3" s="53"/>
      <c r="AKT3" s="53"/>
      <c r="AKU3" s="53"/>
      <c r="XEJ3" s="52" t="s">
        <v>2174</v>
      </c>
    </row>
    <row r="4" spans="1:983 16364:16364" s="172" customFormat="1">
      <c r="C4" s="172">
        <v>1</v>
      </c>
      <c r="D4" s="172">
        <v>3</v>
      </c>
      <c r="E4" s="173"/>
      <c r="F4" s="172">
        <v>4</v>
      </c>
    </row>
    <row r="5" spans="1:983 16364:16364">
      <c r="A5" s="72" t="s">
        <v>1021</v>
      </c>
      <c r="B5" s="72" t="s">
        <v>1025</v>
      </c>
      <c r="C5" s="72"/>
      <c r="D5" s="73" t="s">
        <v>32</v>
      </c>
      <c r="E5" s="73" t="s">
        <v>1024</v>
      </c>
    </row>
    <row r="6" spans="1:983 16364:16364" ht="30" customHeight="1">
      <c r="A6" s="74">
        <f>COUNTIF($A$5:$A5,$A$5)</f>
        <v>1</v>
      </c>
      <c r="B6" s="429" t="s">
        <v>26578</v>
      </c>
      <c r="C6" s="429"/>
      <c r="D6" s="75" t="s">
        <v>36</v>
      </c>
      <c r="E6" s="174">
        <f>LARGE(E11:E12,1)</f>
        <v>491.9</v>
      </c>
    </row>
    <row r="7" spans="1:983 16364:16364">
      <c r="A7" s="218" t="s">
        <v>19664</v>
      </c>
      <c r="B7" s="218" t="s">
        <v>19665</v>
      </c>
      <c r="C7" s="218" t="s">
        <v>19666</v>
      </c>
      <c r="D7" s="218" t="s">
        <v>5</v>
      </c>
      <c r="E7" s="219" t="s">
        <v>1024</v>
      </c>
    </row>
    <row r="8" spans="1:983 16364:16364">
      <c r="A8" s="220" t="s">
        <v>25831</v>
      </c>
      <c r="B8" s="220" t="s">
        <v>28748</v>
      </c>
      <c r="C8" s="220" t="s">
        <v>28747</v>
      </c>
      <c r="D8" s="221" t="s">
        <v>36</v>
      </c>
      <c r="E8" s="222">
        <v>431.65</v>
      </c>
    </row>
    <row r="9" spans="1:983 16364:16364">
      <c r="A9" s="220" t="s">
        <v>25833</v>
      </c>
      <c r="B9" s="220" t="s">
        <v>26580</v>
      </c>
      <c r="C9" s="220" t="s">
        <v>28750</v>
      </c>
      <c r="D9" s="221" t="s">
        <v>36</v>
      </c>
      <c r="E9" s="222">
        <v>411.06</v>
      </c>
    </row>
    <row r="10" spans="1:983 16364:16364" ht="25.5">
      <c r="A10" s="220" t="s">
        <v>26579</v>
      </c>
      <c r="B10" s="220" t="s">
        <v>26581</v>
      </c>
      <c r="C10" s="220" t="s">
        <v>26582</v>
      </c>
      <c r="D10" s="221" t="s">
        <v>36</v>
      </c>
      <c r="E10" s="222">
        <v>633</v>
      </c>
    </row>
    <row r="11" spans="1:983 16364:16364">
      <c r="D11" s="176" t="s">
        <v>19667</v>
      </c>
      <c r="E11" s="177">
        <f>ROUND(AVERAGE(E8:E10),2)</f>
        <v>491.9</v>
      </c>
    </row>
    <row r="12" spans="1:983 16364:16364">
      <c r="D12" s="176" t="s">
        <v>19668</v>
      </c>
      <c r="E12" s="177">
        <f>ROUND(MEDIAN(E8:E10),2)</f>
        <v>431.65</v>
      </c>
    </row>
    <row r="14" spans="1:983 16364:16364">
      <c r="A14" s="72" t="s">
        <v>1021</v>
      </c>
      <c r="B14" s="72" t="s">
        <v>1025</v>
      </c>
      <c r="C14" s="72"/>
      <c r="D14" s="73" t="s">
        <v>32</v>
      </c>
      <c r="E14" s="73" t="s">
        <v>1024</v>
      </c>
    </row>
    <row r="15" spans="1:983 16364:16364" ht="30" customHeight="1">
      <c r="A15" s="74">
        <f>COUNTIF($A$5:$A14,$A$5)</f>
        <v>2</v>
      </c>
      <c r="B15" s="429" t="s">
        <v>29128</v>
      </c>
      <c r="C15" s="429"/>
      <c r="D15" s="75" t="s">
        <v>36</v>
      </c>
      <c r="E15" s="174">
        <f>LARGE(E21:E22,1)</f>
        <v>2032.9</v>
      </c>
    </row>
    <row r="16" spans="1:983 16364:16364">
      <c r="A16" s="218" t="s">
        <v>19664</v>
      </c>
      <c r="B16" s="218" t="s">
        <v>19665</v>
      </c>
      <c r="C16" s="218" t="s">
        <v>19666</v>
      </c>
      <c r="D16" s="218" t="s">
        <v>5</v>
      </c>
      <c r="E16" s="219" t="s">
        <v>1024</v>
      </c>
    </row>
    <row r="17" spans="1:5">
      <c r="A17" s="220" t="s">
        <v>28681</v>
      </c>
      <c r="B17" s="220" t="s">
        <v>28685</v>
      </c>
      <c r="C17" s="220" t="s">
        <v>25834</v>
      </c>
      <c r="D17" s="221" t="s">
        <v>36</v>
      </c>
      <c r="E17" s="222">
        <v>2032.9</v>
      </c>
    </row>
    <row r="18" spans="1:5">
      <c r="A18" s="220" t="s">
        <v>28682</v>
      </c>
      <c r="B18" s="220" t="s">
        <v>28686</v>
      </c>
      <c r="C18" s="220" t="s">
        <v>28689</v>
      </c>
      <c r="D18" s="221" t="s">
        <v>36</v>
      </c>
      <c r="E18" s="222">
        <v>2032.9</v>
      </c>
    </row>
    <row r="19" spans="1:5">
      <c r="A19" s="220" t="s">
        <v>28683</v>
      </c>
      <c r="B19" s="220" t="s">
        <v>28687</v>
      </c>
      <c r="C19" s="220" t="s">
        <v>28752</v>
      </c>
      <c r="D19" s="221" t="s">
        <v>36</v>
      </c>
      <c r="E19" s="222">
        <v>2032.9</v>
      </c>
    </row>
    <row r="20" spans="1:5">
      <c r="A20" s="220" t="s">
        <v>28684</v>
      </c>
      <c r="B20" s="220" t="s">
        <v>28688</v>
      </c>
      <c r="C20" s="220" t="s">
        <v>28690</v>
      </c>
      <c r="D20" s="221" t="s">
        <v>36</v>
      </c>
      <c r="E20" s="222">
        <v>2032.9</v>
      </c>
    </row>
    <row r="21" spans="1:5">
      <c r="D21" s="176" t="s">
        <v>19667</v>
      </c>
      <c r="E21" s="177">
        <f>ROUND(AVERAGE(E17:E20),2)</f>
        <v>2032.9</v>
      </c>
    </row>
    <row r="22" spans="1:5">
      <c r="D22" s="176" t="s">
        <v>19668</v>
      </c>
      <c r="E22" s="177">
        <f>ROUND(MEDIAN(E17:E20),2)</f>
        <v>2032.9</v>
      </c>
    </row>
    <row r="24" spans="1:5">
      <c r="A24" s="72" t="s">
        <v>1021</v>
      </c>
      <c r="B24" s="72" t="s">
        <v>1025</v>
      </c>
      <c r="C24" s="72"/>
      <c r="D24" s="73" t="s">
        <v>32</v>
      </c>
      <c r="E24" s="73" t="s">
        <v>1024</v>
      </c>
    </row>
    <row r="25" spans="1:5" ht="15" customHeight="1">
      <c r="A25" s="74">
        <f>COUNTIF($A$5:$A24,$A$5)</f>
        <v>3</v>
      </c>
      <c r="B25" s="429" t="s">
        <v>28749</v>
      </c>
      <c r="C25" s="429"/>
      <c r="D25" s="75" t="s">
        <v>54</v>
      </c>
      <c r="E25" s="174">
        <f>LARGE(E31:E32,1)</f>
        <v>144.44999999999999</v>
      </c>
    </row>
    <row r="26" spans="1:5">
      <c r="A26" s="218" t="s">
        <v>19664</v>
      </c>
      <c r="B26" s="218" t="s">
        <v>19665</v>
      </c>
      <c r="C26" s="218" t="s">
        <v>19666</v>
      </c>
      <c r="D26" s="218" t="s">
        <v>5</v>
      </c>
      <c r="E26" s="219" t="s">
        <v>1024</v>
      </c>
    </row>
    <row r="27" spans="1:5">
      <c r="A27" s="220" t="s">
        <v>25833</v>
      </c>
      <c r="B27" s="220" t="s">
        <v>26580</v>
      </c>
      <c r="C27" s="220" t="s">
        <v>28750</v>
      </c>
      <c r="D27" s="221" t="s">
        <v>54</v>
      </c>
      <c r="E27" s="222">
        <f>286.9/2</f>
        <v>143.44999999999999</v>
      </c>
    </row>
    <row r="28" spans="1:5">
      <c r="A28" s="220" t="s">
        <v>28756</v>
      </c>
      <c r="B28" s="220" t="s">
        <v>28751</v>
      </c>
      <c r="C28" s="220" t="s">
        <v>28752</v>
      </c>
      <c r="D28" s="221" t="s">
        <v>54</v>
      </c>
      <c r="E28" s="222">
        <f>290.88/2</f>
        <v>145.44</v>
      </c>
    </row>
    <row r="29" spans="1:5" ht="25.5">
      <c r="A29" s="220" t="s">
        <v>28753</v>
      </c>
      <c r="B29" s="220" t="s">
        <v>28754</v>
      </c>
      <c r="C29" s="220" t="s">
        <v>28755</v>
      </c>
      <c r="D29" s="221" t="s">
        <v>54</v>
      </c>
      <c r="E29" s="222">
        <f>353.4/2</f>
        <v>176.7</v>
      </c>
    </row>
    <row r="30" spans="1:5">
      <c r="A30" s="220"/>
      <c r="B30" s="220"/>
      <c r="C30" s="220"/>
      <c r="D30" s="221"/>
      <c r="E30" s="222">
        <v>34.5</v>
      </c>
    </row>
    <row r="31" spans="1:5">
      <c r="D31" s="176" t="s">
        <v>19667</v>
      </c>
      <c r="E31" s="177">
        <f>ROUND(AVERAGE(E27:E30),2)</f>
        <v>125.02</v>
      </c>
    </row>
    <row r="32" spans="1:5">
      <c r="D32" s="176" t="s">
        <v>19668</v>
      </c>
      <c r="E32" s="177">
        <f>ROUND(MEDIAN(E27:E30),2)</f>
        <v>144.44999999999999</v>
      </c>
    </row>
    <row r="34" spans="1:5">
      <c r="A34" s="72" t="s">
        <v>1021</v>
      </c>
      <c r="B34" s="72" t="s">
        <v>1025</v>
      </c>
      <c r="C34" s="72"/>
      <c r="D34" s="73" t="s">
        <v>32</v>
      </c>
      <c r="E34" s="73" t="s">
        <v>1024</v>
      </c>
    </row>
    <row r="35" spans="1:5" ht="30" customHeight="1">
      <c r="A35" s="74">
        <f>COUNTIF($A$5:$A34,$A$5)</f>
        <v>4</v>
      </c>
      <c r="B35" s="429" t="s">
        <v>28745</v>
      </c>
      <c r="C35" s="429"/>
      <c r="D35" s="75" t="s">
        <v>36</v>
      </c>
      <c r="E35" s="174">
        <f>LARGE(E41:E42,1)</f>
        <v>68.349999999999994</v>
      </c>
    </row>
    <row r="36" spans="1:5">
      <c r="A36" s="218" t="s">
        <v>19664</v>
      </c>
      <c r="B36" s="218" t="s">
        <v>19665</v>
      </c>
      <c r="C36" s="218" t="s">
        <v>19666</v>
      </c>
      <c r="D36" s="218" t="s">
        <v>5</v>
      </c>
      <c r="E36" s="219" t="s">
        <v>1024</v>
      </c>
    </row>
    <row r="37" spans="1:5">
      <c r="A37" s="220" t="s">
        <v>25833</v>
      </c>
      <c r="B37" s="220" t="s">
        <v>26580</v>
      </c>
      <c r="C37" s="220" t="s">
        <v>28750</v>
      </c>
      <c r="D37" s="221" t="s">
        <v>36</v>
      </c>
      <c r="E37" s="222">
        <f>(228.49+50.41)/4</f>
        <v>69.724999999999994</v>
      </c>
    </row>
    <row r="38" spans="1:5">
      <c r="A38" s="220" t="s">
        <v>25831</v>
      </c>
      <c r="B38" s="220" t="s">
        <v>25830</v>
      </c>
      <c r="C38" s="220" t="s">
        <v>25832</v>
      </c>
      <c r="D38" s="221" t="s">
        <v>36</v>
      </c>
      <c r="E38" s="222">
        <f>(207.6+60.28)/4</f>
        <v>66.97</v>
      </c>
    </row>
    <row r="39" spans="1:5">
      <c r="A39" s="220" t="s">
        <v>28683</v>
      </c>
      <c r="B39" s="220" t="s">
        <v>28751</v>
      </c>
      <c r="C39" s="220" t="s">
        <v>28752</v>
      </c>
      <c r="D39" s="221" t="s">
        <v>36</v>
      </c>
      <c r="E39" s="222">
        <f>233.69/4</f>
        <v>58.422499999999999</v>
      </c>
    </row>
    <row r="40" spans="1:5">
      <c r="A40" s="220" t="s">
        <v>28684</v>
      </c>
      <c r="B40" s="220" t="s">
        <v>28688</v>
      </c>
      <c r="C40" s="220" t="s">
        <v>28690</v>
      </c>
      <c r="D40" s="221" t="s">
        <v>36</v>
      </c>
      <c r="E40" s="222">
        <f>(230+68.62)/4</f>
        <v>74.655000000000001</v>
      </c>
    </row>
    <row r="41" spans="1:5">
      <c r="D41" s="176" t="s">
        <v>19667</v>
      </c>
      <c r="E41" s="177">
        <f>ROUND(AVERAGE(E37:E40),2)</f>
        <v>67.44</v>
      </c>
    </row>
    <row r="42" spans="1:5">
      <c r="D42" s="176" t="s">
        <v>19668</v>
      </c>
      <c r="E42" s="177">
        <f>ROUND(MEDIAN(E37:E40),2)</f>
        <v>68.349999999999994</v>
      </c>
    </row>
    <row r="44" spans="1:5">
      <c r="A44" s="72" t="s">
        <v>1021</v>
      </c>
      <c r="B44" s="72" t="s">
        <v>1025</v>
      </c>
      <c r="C44" s="72"/>
      <c r="D44" s="73" t="s">
        <v>32</v>
      </c>
      <c r="E44" s="73" t="s">
        <v>1024</v>
      </c>
    </row>
    <row r="45" spans="1:5" ht="15" customHeight="1">
      <c r="A45" s="74">
        <f>COUNTIF($A$5:$A44,$A$5)</f>
        <v>5</v>
      </c>
      <c r="B45" s="429" t="s">
        <v>28966</v>
      </c>
      <c r="C45" s="429"/>
      <c r="D45" s="75" t="s">
        <v>36</v>
      </c>
      <c r="E45" s="174">
        <f>LARGE(E50:E51,1)</f>
        <v>13.06</v>
      </c>
    </row>
    <row r="46" spans="1:5">
      <c r="A46" s="218" t="s">
        <v>19664</v>
      </c>
      <c r="B46" s="218" t="s">
        <v>19665</v>
      </c>
      <c r="C46" s="218" t="s">
        <v>19666</v>
      </c>
      <c r="D46" s="218" t="s">
        <v>5</v>
      </c>
      <c r="E46" s="219" t="s">
        <v>1024</v>
      </c>
    </row>
    <row r="47" spans="1:5">
      <c r="A47" s="220" t="s">
        <v>28684</v>
      </c>
      <c r="B47" s="220" t="s">
        <v>29151</v>
      </c>
      <c r="C47" s="220" t="s">
        <v>29150</v>
      </c>
      <c r="D47" s="221" t="s">
        <v>36</v>
      </c>
      <c r="E47" s="222">
        <v>10.19</v>
      </c>
    </row>
    <row r="48" spans="1:5">
      <c r="A48" s="220" t="s">
        <v>28683</v>
      </c>
      <c r="B48" s="220" t="s">
        <v>28751</v>
      </c>
      <c r="C48" s="220" t="s">
        <v>28752</v>
      </c>
      <c r="D48" s="221" t="s">
        <v>36</v>
      </c>
      <c r="E48" s="222">
        <v>17</v>
      </c>
    </row>
    <row r="49" spans="1:5">
      <c r="A49" s="220" t="s">
        <v>28684</v>
      </c>
      <c r="B49" s="220" t="s">
        <v>28688</v>
      </c>
      <c r="C49" s="220" t="s">
        <v>28690</v>
      </c>
      <c r="D49" s="221" t="s">
        <v>36</v>
      </c>
      <c r="E49" s="222">
        <v>11.99</v>
      </c>
    </row>
    <row r="50" spans="1:5">
      <c r="D50" s="176" t="s">
        <v>19667</v>
      </c>
      <c r="E50" s="177">
        <f>ROUND(AVERAGE(E47:E49),2)</f>
        <v>13.06</v>
      </c>
    </row>
    <row r="51" spans="1:5">
      <c r="D51" s="176" t="s">
        <v>19668</v>
      </c>
      <c r="E51" s="177">
        <f>ROUND(MEDIAN(E47:E49),2)</f>
        <v>11.99</v>
      </c>
    </row>
    <row r="53" spans="1:5">
      <c r="A53" s="72" t="s">
        <v>1021</v>
      </c>
      <c r="B53" s="72" t="s">
        <v>1025</v>
      </c>
      <c r="C53" s="72"/>
      <c r="D53" s="73" t="s">
        <v>32</v>
      </c>
      <c r="E53" s="73" t="s">
        <v>1024</v>
      </c>
    </row>
    <row r="54" spans="1:5" ht="30" customHeight="1">
      <c r="A54" s="74">
        <f>COUNTIF($A$5:$A53,$A$5)</f>
        <v>6</v>
      </c>
      <c r="B54" s="429" t="s">
        <v>29010</v>
      </c>
      <c r="C54" s="429"/>
      <c r="D54" s="75" t="s">
        <v>36</v>
      </c>
      <c r="E54" s="174">
        <f>LARGE(E59:E60,1)</f>
        <v>513.17999999999995</v>
      </c>
    </row>
    <row r="55" spans="1:5">
      <c r="A55" s="218" t="s">
        <v>19664</v>
      </c>
      <c r="B55" s="218" t="s">
        <v>19665</v>
      </c>
      <c r="C55" s="218" t="s">
        <v>19666</v>
      </c>
      <c r="D55" s="218" t="s">
        <v>5</v>
      </c>
      <c r="E55" s="219" t="s">
        <v>1024</v>
      </c>
    </row>
    <row r="56" spans="1:5">
      <c r="A56" s="220" t="s">
        <v>29011</v>
      </c>
      <c r="B56" s="220" t="s">
        <v>29013</v>
      </c>
      <c r="C56" s="220" t="s">
        <v>29016</v>
      </c>
      <c r="D56" s="221" t="s">
        <v>36</v>
      </c>
      <c r="E56" s="222">
        <v>511.33</v>
      </c>
    </row>
    <row r="57" spans="1:5">
      <c r="A57" s="220" t="s">
        <v>29012</v>
      </c>
      <c r="B57" s="220" t="s">
        <v>29014</v>
      </c>
      <c r="C57" s="220" t="s">
        <v>29017</v>
      </c>
      <c r="D57" s="221" t="s">
        <v>36</v>
      </c>
      <c r="E57" s="222">
        <v>499</v>
      </c>
    </row>
    <row r="58" spans="1:5">
      <c r="A58" s="220" t="s">
        <v>25833</v>
      </c>
      <c r="B58" s="220" t="s">
        <v>29015</v>
      </c>
      <c r="C58" s="220" t="s">
        <v>25834</v>
      </c>
      <c r="D58" s="221" t="s">
        <v>36</v>
      </c>
      <c r="E58" s="222">
        <v>529.20000000000005</v>
      </c>
    </row>
    <row r="59" spans="1:5">
      <c r="D59" s="176" t="s">
        <v>19667</v>
      </c>
      <c r="E59" s="177">
        <f>ROUND(AVERAGE(E56:E58),2)</f>
        <v>513.17999999999995</v>
      </c>
    </row>
    <row r="60" spans="1:5">
      <c r="D60" s="176" t="s">
        <v>19668</v>
      </c>
      <c r="E60" s="177">
        <f>ROUND(MEDIAN(E56:E58),2)</f>
        <v>511.33</v>
      </c>
    </row>
    <row r="62" spans="1:5">
      <c r="A62" s="72" t="s">
        <v>1021</v>
      </c>
      <c r="B62" s="72" t="s">
        <v>1025</v>
      </c>
      <c r="C62" s="72"/>
      <c r="D62" s="73" t="s">
        <v>32</v>
      </c>
      <c r="E62" s="73" t="s">
        <v>1024</v>
      </c>
    </row>
    <row r="63" spans="1:5" ht="15" customHeight="1">
      <c r="A63" s="74">
        <f>COUNTIF($A$5:$A62,$A$5)</f>
        <v>7</v>
      </c>
      <c r="B63" s="429" t="s">
        <v>29029</v>
      </c>
      <c r="C63" s="429"/>
      <c r="D63" s="75" t="s">
        <v>36</v>
      </c>
      <c r="E63" s="174">
        <f>LARGE(E68:E69,1)</f>
        <v>59.5</v>
      </c>
    </row>
    <row r="64" spans="1:5">
      <c r="A64" s="218" t="s">
        <v>19664</v>
      </c>
      <c r="B64" s="218" t="s">
        <v>19665</v>
      </c>
      <c r="C64" s="218" t="s">
        <v>19666</v>
      </c>
      <c r="D64" s="218" t="s">
        <v>5</v>
      </c>
      <c r="E64" s="219" t="s">
        <v>1024</v>
      </c>
    </row>
    <row r="65" spans="1:5">
      <c r="A65" s="220" t="s">
        <v>28756</v>
      </c>
      <c r="B65" s="220" t="s">
        <v>28751</v>
      </c>
      <c r="C65" s="220" t="s">
        <v>28752</v>
      </c>
      <c r="D65" s="221" t="s">
        <v>36</v>
      </c>
      <c r="E65" s="222">
        <v>59.5</v>
      </c>
    </row>
    <row r="66" spans="1:5" ht="25.5">
      <c r="A66" s="220" t="s">
        <v>28753</v>
      </c>
      <c r="B66" s="220" t="s">
        <v>28754</v>
      </c>
      <c r="C66" s="220" t="s">
        <v>28755</v>
      </c>
      <c r="D66" s="221" t="s">
        <v>36</v>
      </c>
      <c r="E66" s="222">
        <v>66.900000000000006</v>
      </c>
    </row>
    <row r="67" spans="1:5">
      <c r="A67" s="220" t="s">
        <v>25833</v>
      </c>
      <c r="B67" s="220" t="s">
        <v>29030</v>
      </c>
      <c r="C67" s="220" t="s">
        <v>28750</v>
      </c>
      <c r="D67" s="221" t="s">
        <v>36</v>
      </c>
      <c r="E67" s="222">
        <v>49.9</v>
      </c>
    </row>
    <row r="68" spans="1:5">
      <c r="D68" s="176" t="s">
        <v>19667</v>
      </c>
      <c r="E68" s="177">
        <f>ROUND(AVERAGE(E65:E67),2)</f>
        <v>58.77</v>
      </c>
    </row>
    <row r="69" spans="1:5">
      <c r="D69" s="176" t="s">
        <v>19668</v>
      </c>
      <c r="E69" s="177">
        <f>ROUND(MEDIAN(E65:E67),2)</f>
        <v>59.5</v>
      </c>
    </row>
    <row r="71" spans="1:5">
      <c r="A71" s="72" t="s">
        <v>1021</v>
      </c>
      <c r="B71" s="72" t="s">
        <v>1025</v>
      </c>
      <c r="C71" s="72"/>
      <c r="D71" s="73" t="s">
        <v>32</v>
      </c>
      <c r="E71" s="73" t="s">
        <v>1024</v>
      </c>
    </row>
    <row r="72" spans="1:5" ht="15" customHeight="1">
      <c r="A72" s="74">
        <f>COUNTIF($A$5:$A71,$A$5)</f>
        <v>8</v>
      </c>
      <c r="B72" s="429" t="s">
        <v>29034</v>
      </c>
      <c r="C72" s="429"/>
      <c r="D72" s="75" t="s">
        <v>36</v>
      </c>
      <c r="E72" s="174">
        <f>LARGE(E78:E79,1)</f>
        <v>799</v>
      </c>
    </row>
    <row r="73" spans="1:5">
      <c r="A73" s="218" t="s">
        <v>19664</v>
      </c>
      <c r="B73" s="218" t="s">
        <v>19665</v>
      </c>
      <c r="C73" s="218" t="s">
        <v>19666</v>
      </c>
      <c r="D73" s="218" t="s">
        <v>5</v>
      </c>
      <c r="E73" s="219" t="s">
        <v>1024</v>
      </c>
    </row>
    <row r="74" spans="1:5">
      <c r="A74" s="220" t="s">
        <v>28756</v>
      </c>
      <c r="B74" s="220" t="s">
        <v>28751</v>
      </c>
      <c r="C74" s="220" t="s">
        <v>28752</v>
      </c>
      <c r="D74" s="221" t="s">
        <v>36</v>
      </c>
      <c r="E74" s="222">
        <v>799</v>
      </c>
    </row>
    <row r="75" spans="1:5">
      <c r="A75" s="220" t="s">
        <v>25831</v>
      </c>
      <c r="B75" s="220" t="s">
        <v>28748</v>
      </c>
      <c r="C75" s="220" t="s">
        <v>28747</v>
      </c>
      <c r="D75" s="221" t="s">
        <v>36</v>
      </c>
      <c r="E75" s="222">
        <v>799</v>
      </c>
    </row>
    <row r="76" spans="1:5">
      <c r="A76" s="220" t="s">
        <v>25833</v>
      </c>
      <c r="B76" s="220" t="s">
        <v>29015</v>
      </c>
      <c r="C76" s="220" t="s">
        <v>25834</v>
      </c>
      <c r="D76" s="221" t="s">
        <v>36</v>
      </c>
      <c r="E76" s="222">
        <v>799</v>
      </c>
    </row>
    <row r="77" spans="1:5" ht="25.5">
      <c r="A77" s="220" t="s">
        <v>29031</v>
      </c>
      <c r="B77" s="220" t="s">
        <v>29032</v>
      </c>
      <c r="C77" s="220" t="s">
        <v>29033</v>
      </c>
      <c r="D77" s="221" t="s">
        <v>36</v>
      </c>
      <c r="E77" s="222">
        <v>799</v>
      </c>
    </row>
    <row r="78" spans="1:5">
      <c r="D78" s="176" t="s">
        <v>19667</v>
      </c>
      <c r="E78" s="177">
        <f>ROUND(AVERAGE(E74:E77),2)</f>
        <v>799</v>
      </c>
    </row>
    <row r="79" spans="1:5">
      <c r="D79" s="176" t="s">
        <v>19668</v>
      </c>
      <c r="E79" s="177">
        <f>ROUND(MEDIAN(E74:E77),2)</f>
        <v>799</v>
      </c>
    </row>
  </sheetData>
  <mergeCells count="11">
    <mergeCell ref="B63:C63"/>
    <mergeCell ref="B72:C72"/>
    <mergeCell ref="B54:C54"/>
    <mergeCell ref="B45:C45"/>
    <mergeCell ref="B25:C25"/>
    <mergeCell ref="B35:C35"/>
    <mergeCell ref="A1:E1"/>
    <mergeCell ref="B2:E2"/>
    <mergeCell ref="B3:E3"/>
    <mergeCell ref="B6:C6"/>
    <mergeCell ref="B15:C15"/>
  </mergeCells>
  <dataValidations disablePrompts="1" count="1">
    <dataValidation type="list" errorStyle="warning" allowBlank="1" showInputMessage="1" showErrorMessage="1" error="Selecionar Referencial compatível" sqref="XEJ1:XFD3">
      <formula1>DADOS</formula1>
    </dataValidation>
  </dataValidations>
  <printOptions horizontalCentered="1"/>
  <pageMargins left="0.78740157480314965" right="0.39370078740157483" top="1.5748031496062993" bottom="0.98425196850393704" header="0" footer="0"/>
  <pageSetup paperSize="9" fitToWidth="0" fitToHeight="0" pageOrder="overThenDown" orientation="portrait" useFirstPageNumber="1" r:id="rId1"/>
  <headerFooter alignWithMargins="0">
    <oddHeader>&amp;C&amp;G</oddHeader>
    <oddFooter>&amp;C&amp;10__________________________
Fabrício Benício de Brito
Engenheiro Civil - CREA ES-014512/D
&amp;R&amp;10Página &amp;P de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D27" sqref="D27:D28"/>
    </sheetView>
  </sheetViews>
  <sheetFormatPr defaultRowHeight="15" customHeight="1"/>
  <cols>
    <col min="1" max="1" width="5.625" style="328" customWidth="1"/>
    <col min="2" max="2" width="8.625" style="328" customWidth="1"/>
    <col min="3" max="3" width="10.625" style="328" customWidth="1"/>
    <col min="4" max="4" width="20.625" style="328" customWidth="1"/>
    <col min="5" max="5" width="60.625" style="323" customWidth="1"/>
    <col min="6" max="16384" width="9" style="323"/>
  </cols>
  <sheetData>
    <row r="1" spans="1:5" ht="30" customHeight="1">
      <c r="A1" s="326" t="s">
        <v>28924</v>
      </c>
      <c r="B1" s="326" t="s">
        <v>28938</v>
      </c>
      <c r="C1" s="326" t="s">
        <v>28922</v>
      </c>
      <c r="D1" s="326" t="s">
        <v>29144</v>
      </c>
      <c r="E1" s="325" t="s">
        <v>1025</v>
      </c>
    </row>
    <row r="2" spans="1:5" ht="15" customHeight="1">
      <c r="A2" s="327" t="s">
        <v>28925</v>
      </c>
      <c r="B2" s="327" t="s">
        <v>28939</v>
      </c>
      <c r="C2" s="327" t="s">
        <v>28923</v>
      </c>
      <c r="D2" s="327" t="s">
        <v>29145</v>
      </c>
      <c r="E2" s="324" t="s">
        <v>28926</v>
      </c>
    </row>
    <row r="3" spans="1:5" ht="15" customHeight="1">
      <c r="A3" s="327" t="s">
        <v>0</v>
      </c>
      <c r="B3" s="327" t="s">
        <v>28939</v>
      </c>
      <c r="C3" s="327" t="s">
        <v>28923</v>
      </c>
      <c r="D3" s="327" t="s">
        <v>29145</v>
      </c>
      <c r="E3" s="324" t="s">
        <v>28927</v>
      </c>
    </row>
    <row r="4" spans="1:5" ht="15" customHeight="1">
      <c r="A4" s="327" t="s">
        <v>1</v>
      </c>
      <c r="B4" s="327" t="s">
        <v>28939</v>
      </c>
      <c r="C4" s="327" t="s">
        <v>28923</v>
      </c>
      <c r="D4" s="327" t="s">
        <v>29145</v>
      </c>
      <c r="E4" s="324" t="s">
        <v>28928</v>
      </c>
    </row>
    <row r="5" spans="1:5" ht="15" customHeight="1">
      <c r="A5" s="327" t="s">
        <v>28929</v>
      </c>
      <c r="B5" s="327" t="s">
        <v>28939</v>
      </c>
      <c r="C5" s="327" t="s">
        <v>28930</v>
      </c>
      <c r="D5" s="327" t="s">
        <v>29145</v>
      </c>
      <c r="E5" s="324" t="s">
        <v>28931</v>
      </c>
    </row>
    <row r="6" spans="1:5" ht="15" customHeight="1">
      <c r="A6" s="327" t="s">
        <v>2</v>
      </c>
      <c r="B6" s="327" t="s">
        <v>28939</v>
      </c>
      <c r="C6" s="327" t="s">
        <v>28932</v>
      </c>
      <c r="D6" s="327" t="s">
        <v>29145</v>
      </c>
      <c r="E6" s="324" t="s">
        <v>28933</v>
      </c>
    </row>
    <row r="7" spans="1:5" ht="15" customHeight="1">
      <c r="A7" s="327" t="s">
        <v>28934</v>
      </c>
      <c r="B7" s="327" t="s">
        <v>28939</v>
      </c>
      <c r="C7" s="327" t="s">
        <v>28935</v>
      </c>
      <c r="D7" s="327" t="s">
        <v>29145</v>
      </c>
      <c r="E7" s="324" t="s">
        <v>28936</v>
      </c>
    </row>
    <row r="8" spans="1:5" ht="15" customHeight="1">
      <c r="A8" s="327" t="s">
        <v>28937</v>
      </c>
      <c r="B8" s="327" t="s">
        <v>28940</v>
      </c>
      <c r="C8" s="327" t="s">
        <v>28923</v>
      </c>
      <c r="D8" s="327" t="s">
        <v>29145</v>
      </c>
      <c r="E8" s="324" t="s">
        <v>28846</v>
      </c>
    </row>
    <row r="9" spans="1:5" ht="15" customHeight="1">
      <c r="A9" s="327" t="s">
        <v>28941</v>
      </c>
      <c r="B9" s="327" t="s">
        <v>28940</v>
      </c>
      <c r="C9" s="327" t="s">
        <v>28930</v>
      </c>
      <c r="D9" s="327" t="s">
        <v>29145</v>
      </c>
      <c r="E9" s="324" t="s">
        <v>26543</v>
      </c>
    </row>
    <row r="10" spans="1:5" ht="15" customHeight="1">
      <c r="A10" s="327" t="s">
        <v>28942</v>
      </c>
      <c r="B10" s="327" t="s">
        <v>28940</v>
      </c>
      <c r="C10" s="327" t="s">
        <v>28932</v>
      </c>
      <c r="D10" s="327" t="s">
        <v>29145</v>
      </c>
      <c r="E10" s="324" t="s">
        <v>26543</v>
      </c>
    </row>
    <row r="11" spans="1:5" ht="15" customHeight="1">
      <c r="A11" s="327" t="s">
        <v>28943</v>
      </c>
      <c r="B11" s="327" t="s">
        <v>28940</v>
      </c>
      <c r="C11" s="327" t="s">
        <v>28935</v>
      </c>
      <c r="D11" s="327" t="s">
        <v>29145</v>
      </c>
      <c r="E11" s="324" t="s">
        <v>26543</v>
      </c>
    </row>
    <row r="12" spans="1:5" ht="15" customHeight="1">
      <c r="A12" s="327" t="s">
        <v>28944</v>
      </c>
      <c r="B12" s="327" t="s">
        <v>28940</v>
      </c>
      <c r="C12" s="327" t="s">
        <v>28923</v>
      </c>
      <c r="D12" s="327" t="s">
        <v>29146</v>
      </c>
      <c r="E12" s="324" t="s">
        <v>28945</v>
      </c>
    </row>
    <row r="13" spans="1:5" ht="15" customHeight="1">
      <c r="A13" s="327" t="s">
        <v>29137</v>
      </c>
      <c r="B13" s="327" t="s">
        <v>28940</v>
      </c>
      <c r="C13" s="327" t="s">
        <v>28930</v>
      </c>
      <c r="D13" s="327" t="s">
        <v>29147</v>
      </c>
      <c r="E13" s="324" t="s">
        <v>29141</v>
      </c>
    </row>
    <row r="14" spans="1:5" ht="15" customHeight="1">
      <c r="A14" s="327" t="s">
        <v>29138</v>
      </c>
      <c r="B14" s="327" t="s">
        <v>28940</v>
      </c>
      <c r="C14" s="327" t="s">
        <v>28932</v>
      </c>
      <c r="D14" s="327" t="s">
        <v>29147</v>
      </c>
      <c r="E14" s="324" t="s">
        <v>29142</v>
      </c>
    </row>
    <row r="15" spans="1:5" ht="15" customHeight="1">
      <c r="A15" s="327" t="s">
        <v>29139</v>
      </c>
      <c r="B15" s="327" t="s">
        <v>28940</v>
      </c>
      <c r="C15" s="327" t="s">
        <v>28935</v>
      </c>
      <c r="D15" s="327" t="s">
        <v>29147</v>
      </c>
      <c r="E15" s="324" t="s">
        <v>29143</v>
      </c>
    </row>
    <row r="16" spans="1:5" ht="28.5">
      <c r="A16" s="327" t="s">
        <v>29140</v>
      </c>
      <c r="B16" s="327" t="s">
        <v>28940</v>
      </c>
      <c r="C16" s="327" t="s">
        <v>28923</v>
      </c>
      <c r="D16" s="327" t="s">
        <v>29148</v>
      </c>
      <c r="E16" s="350" t="s">
        <v>29149</v>
      </c>
    </row>
  </sheetData>
  <pageMargins left="0.511811024" right="0.511811024" top="0.78740157499999996" bottom="0.78740157499999996" header="0.31496062000000002" footer="0.31496062000000002"/>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topLeftCell="A5" zoomScaleNormal="100" workbookViewId="0">
      <selection activeCell="B15" sqref="B15"/>
    </sheetView>
  </sheetViews>
  <sheetFormatPr defaultRowHeight="15"/>
  <cols>
    <col min="1" max="1" width="5.625" style="307" customWidth="1"/>
    <col min="2" max="2" width="30.625" style="307" customWidth="1"/>
    <col min="3" max="5" width="9.625" style="307" customWidth="1"/>
    <col min="6" max="6" width="25.625" style="307" customWidth="1"/>
    <col min="7" max="7" width="9.625" style="307" customWidth="1"/>
    <col min="8" max="8" width="5.625" style="307" customWidth="1"/>
    <col min="9" max="9" width="25.625" style="307" customWidth="1"/>
    <col min="10" max="16384" width="9" style="307"/>
  </cols>
  <sheetData>
    <row r="1" spans="1:9" ht="30" customHeight="1">
      <c r="A1" s="430" t="s">
        <v>28791</v>
      </c>
      <c r="B1" s="431"/>
      <c r="C1" s="431"/>
      <c r="D1" s="431"/>
      <c r="E1" s="431"/>
      <c r="F1" s="431"/>
      <c r="G1" s="431"/>
      <c r="H1" s="431"/>
      <c r="I1" s="432"/>
    </row>
    <row r="2" spans="1:9" ht="30" customHeight="1">
      <c r="A2" s="305" t="s">
        <v>28792</v>
      </c>
      <c r="B2" s="305" t="s">
        <v>1026</v>
      </c>
      <c r="C2" s="306" t="s">
        <v>28793</v>
      </c>
      <c r="D2" s="306" t="s">
        <v>28794</v>
      </c>
      <c r="E2" s="306" t="s">
        <v>28795</v>
      </c>
      <c r="F2" s="305" t="s">
        <v>28796</v>
      </c>
      <c r="G2" s="305" t="s">
        <v>26630</v>
      </c>
      <c r="H2" s="305" t="s">
        <v>28797</v>
      </c>
      <c r="I2" s="305" t="s">
        <v>28798</v>
      </c>
    </row>
    <row r="3" spans="1:9">
      <c r="A3" s="308" t="s">
        <v>28694</v>
      </c>
      <c r="B3" s="309" t="s">
        <v>28799</v>
      </c>
      <c r="C3" s="308">
        <v>80</v>
      </c>
      <c r="D3" s="308">
        <v>40</v>
      </c>
      <c r="E3" s="308">
        <v>170</v>
      </c>
      <c r="F3" s="308" t="s">
        <v>28800</v>
      </c>
      <c r="G3" s="310">
        <f>(C3*D3)/10000</f>
        <v>0.32</v>
      </c>
      <c r="H3" s="308">
        <v>6</v>
      </c>
      <c r="I3" s="308" t="s">
        <v>28801</v>
      </c>
    </row>
    <row r="4" spans="1:9">
      <c r="A4" s="308" t="s">
        <v>28695</v>
      </c>
      <c r="B4" s="309" t="s">
        <v>28799</v>
      </c>
      <c r="C4" s="308">
        <v>120</v>
      </c>
      <c r="D4" s="308">
        <v>40</v>
      </c>
      <c r="E4" s="308">
        <v>170</v>
      </c>
      <c r="F4" s="308" t="s">
        <v>28800</v>
      </c>
      <c r="G4" s="310">
        <f t="shared" ref="G4:G17" si="0">(C4*D4)/10000</f>
        <v>0.48</v>
      </c>
      <c r="H4" s="308">
        <v>2</v>
      </c>
      <c r="I4" s="308" t="s">
        <v>28802</v>
      </c>
    </row>
    <row r="5" spans="1:9" ht="30">
      <c r="A5" s="308" t="s">
        <v>28803</v>
      </c>
      <c r="B5" s="311" t="s">
        <v>28804</v>
      </c>
      <c r="C5" s="308">
        <v>115</v>
      </c>
      <c r="D5" s="308">
        <v>165</v>
      </c>
      <c r="E5" s="308">
        <v>100</v>
      </c>
      <c r="F5" s="308" t="s">
        <v>28805</v>
      </c>
      <c r="G5" s="310">
        <f t="shared" si="0"/>
        <v>1.8975</v>
      </c>
      <c r="H5" s="308">
        <v>4</v>
      </c>
      <c r="I5" s="308" t="s">
        <v>28806</v>
      </c>
    </row>
    <row r="6" spans="1:9">
      <c r="A6" s="308" t="s">
        <v>28807</v>
      </c>
      <c r="B6" s="309" t="s">
        <v>28808</v>
      </c>
      <c r="C6" s="308">
        <v>125</v>
      </c>
      <c r="D6" s="308">
        <v>205</v>
      </c>
      <c r="E6" s="308">
        <v>100</v>
      </c>
      <c r="F6" s="308" t="s">
        <v>28809</v>
      </c>
      <c r="G6" s="310">
        <f t="shared" si="0"/>
        <v>2.5625</v>
      </c>
      <c r="H6" s="308">
        <v>10</v>
      </c>
      <c r="I6" s="312" t="s">
        <v>28810</v>
      </c>
    </row>
    <row r="7" spans="1:9">
      <c r="A7" s="308" t="s">
        <v>28811</v>
      </c>
      <c r="B7" s="309" t="s">
        <v>28812</v>
      </c>
      <c r="C7" s="308">
        <v>70</v>
      </c>
      <c r="D7" s="308">
        <v>210</v>
      </c>
      <c r="E7" s="308" t="s">
        <v>19679</v>
      </c>
      <c r="F7" s="308" t="s">
        <v>28813</v>
      </c>
      <c r="G7" s="310">
        <f t="shared" si="0"/>
        <v>1.47</v>
      </c>
      <c r="H7" s="308">
        <v>4</v>
      </c>
      <c r="I7" s="308" t="s">
        <v>28814</v>
      </c>
    </row>
    <row r="8" spans="1:9">
      <c r="A8" s="308" t="s">
        <v>28815</v>
      </c>
      <c r="B8" s="309" t="s">
        <v>28812</v>
      </c>
      <c r="C8" s="308">
        <v>80</v>
      </c>
      <c r="D8" s="308">
        <v>210</v>
      </c>
      <c r="E8" s="308" t="s">
        <v>19679</v>
      </c>
      <c r="F8" s="308" t="s">
        <v>28813</v>
      </c>
      <c r="G8" s="310">
        <f t="shared" si="0"/>
        <v>1.68</v>
      </c>
      <c r="H8" s="308">
        <v>2</v>
      </c>
      <c r="I8" s="308" t="s">
        <v>28802</v>
      </c>
    </row>
    <row r="9" spans="1:9">
      <c r="A9" s="308" t="s">
        <v>28816</v>
      </c>
      <c r="B9" s="309" t="s">
        <v>28812</v>
      </c>
      <c r="C9" s="308">
        <v>90</v>
      </c>
      <c r="D9" s="308">
        <v>210</v>
      </c>
      <c r="E9" s="308" t="s">
        <v>19679</v>
      </c>
      <c r="F9" s="308" t="s">
        <v>28813</v>
      </c>
      <c r="G9" s="310">
        <f t="shared" si="0"/>
        <v>1.89</v>
      </c>
      <c r="H9" s="308">
        <v>2</v>
      </c>
      <c r="I9" s="308" t="s">
        <v>26638</v>
      </c>
    </row>
    <row r="10" spans="1:9">
      <c r="A10" s="308" t="s">
        <v>28817</v>
      </c>
      <c r="B10" s="309" t="s">
        <v>28812</v>
      </c>
      <c r="C10" s="308">
        <v>90</v>
      </c>
      <c r="D10" s="308">
        <v>210</v>
      </c>
      <c r="E10" s="308" t="s">
        <v>19679</v>
      </c>
      <c r="F10" s="308" t="s">
        <v>28818</v>
      </c>
      <c r="G10" s="310">
        <f t="shared" si="0"/>
        <v>1.89</v>
      </c>
      <c r="H10" s="308">
        <v>2</v>
      </c>
      <c r="I10" s="312" t="s">
        <v>28819</v>
      </c>
    </row>
    <row r="11" spans="1:9">
      <c r="A11" s="308" t="s">
        <v>28820</v>
      </c>
      <c r="B11" s="309" t="s">
        <v>28812</v>
      </c>
      <c r="C11" s="308">
        <v>80</v>
      </c>
      <c r="D11" s="308">
        <v>210</v>
      </c>
      <c r="E11" s="308" t="s">
        <v>19679</v>
      </c>
      <c r="F11" s="308" t="s">
        <v>28809</v>
      </c>
      <c r="G11" s="310">
        <f t="shared" si="0"/>
        <v>1.68</v>
      </c>
      <c r="H11" s="308">
        <v>10</v>
      </c>
      <c r="I11" s="312" t="s">
        <v>28810</v>
      </c>
    </row>
    <row r="12" spans="1:9" ht="30">
      <c r="A12" s="308" t="s">
        <v>28821</v>
      </c>
      <c r="B12" s="309" t="s">
        <v>28822</v>
      </c>
      <c r="C12" s="308">
        <v>100</v>
      </c>
      <c r="D12" s="308">
        <v>305</v>
      </c>
      <c r="E12" s="308" t="s">
        <v>19679</v>
      </c>
      <c r="F12" s="308" t="s">
        <v>28809</v>
      </c>
      <c r="G12" s="310">
        <f t="shared" si="0"/>
        <v>3.05</v>
      </c>
      <c r="H12" s="308">
        <v>1</v>
      </c>
      <c r="I12" s="312" t="s">
        <v>28823</v>
      </c>
    </row>
    <row r="13" spans="1:9" ht="45">
      <c r="A13" s="308" t="s">
        <v>28824</v>
      </c>
      <c r="B13" s="309" t="s">
        <v>28825</v>
      </c>
      <c r="C13" s="308">
        <v>140</v>
      </c>
      <c r="D13" s="308">
        <v>305</v>
      </c>
      <c r="E13" s="308" t="s">
        <v>19679</v>
      </c>
      <c r="F13" s="308" t="s">
        <v>28809</v>
      </c>
      <c r="G13" s="310">
        <f t="shared" si="0"/>
        <v>4.2699999999999996</v>
      </c>
      <c r="H13" s="308">
        <v>3</v>
      </c>
      <c r="I13" s="312" t="s">
        <v>28826</v>
      </c>
    </row>
    <row r="14" spans="1:9">
      <c r="A14" s="308" t="s">
        <v>28827</v>
      </c>
      <c r="B14" s="309" t="s">
        <v>28822</v>
      </c>
      <c r="C14" s="308">
        <v>170</v>
      </c>
      <c r="D14" s="308">
        <v>300</v>
      </c>
      <c r="E14" s="308" t="s">
        <v>19679</v>
      </c>
      <c r="F14" s="308" t="s">
        <v>28809</v>
      </c>
      <c r="G14" s="310">
        <f t="shared" si="0"/>
        <v>5.0999999999999996</v>
      </c>
      <c r="H14" s="308">
        <v>1</v>
      </c>
      <c r="I14" s="308" t="s">
        <v>28828</v>
      </c>
    </row>
    <row r="15" spans="1:9" ht="30">
      <c r="A15" s="308" t="s">
        <v>28609</v>
      </c>
      <c r="B15" s="311" t="s">
        <v>28829</v>
      </c>
      <c r="C15" s="308">
        <v>140</v>
      </c>
      <c r="D15" s="308">
        <v>300</v>
      </c>
      <c r="E15" s="308" t="s">
        <v>19679</v>
      </c>
      <c r="F15" s="312" t="s">
        <v>28830</v>
      </c>
      <c r="G15" s="310">
        <f t="shared" si="0"/>
        <v>4.2</v>
      </c>
      <c r="H15" s="308">
        <v>1</v>
      </c>
      <c r="I15" s="312" t="s">
        <v>28806</v>
      </c>
    </row>
    <row r="16" spans="1:9" ht="30">
      <c r="A16" s="308" t="s">
        <v>28612</v>
      </c>
      <c r="B16" s="311" t="s">
        <v>28829</v>
      </c>
      <c r="C16" s="308">
        <v>170</v>
      </c>
      <c r="D16" s="308">
        <v>300</v>
      </c>
      <c r="E16" s="308" t="s">
        <v>19679</v>
      </c>
      <c r="F16" s="312" t="s">
        <v>28830</v>
      </c>
      <c r="G16" s="310">
        <f t="shared" si="0"/>
        <v>5.0999999999999996</v>
      </c>
      <c r="H16" s="308">
        <v>2</v>
      </c>
      <c r="I16" s="312" t="s">
        <v>28806</v>
      </c>
    </row>
    <row r="17" spans="1:9" ht="30">
      <c r="A17" s="308" t="s">
        <v>28613</v>
      </c>
      <c r="B17" s="311" t="s">
        <v>28829</v>
      </c>
      <c r="C17" s="308">
        <v>200</v>
      </c>
      <c r="D17" s="308">
        <v>300</v>
      </c>
      <c r="E17" s="308" t="s">
        <v>19679</v>
      </c>
      <c r="F17" s="312" t="s">
        <v>28830</v>
      </c>
      <c r="G17" s="310">
        <f t="shared" si="0"/>
        <v>6</v>
      </c>
      <c r="H17" s="308">
        <v>1</v>
      </c>
      <c r="I17" s="312" t="s">
        <v>28806</v>
      </c>
    </row>
    <row r="18" spans="1:9">
      <c r="A18" s="321" t="s">
        <v>28911</v>
      </c>
      <c r="B18" s="309" t="s">
        <v>28812</v>
      </c>
      <c r="C18" s="308">
        <v>50</v>
      </c>
      <c r="D18" s="308">
        <v>180</v>
      </c>
      <c r="E18" s="308" t="s">
        <v>19679</v>
      </c>
      <c r="F18" s="308" t="s">
        <v>28813</v>
      </c>
      <c r="G18" s="310">
        <f t="shared" ref="G18" si="1">(C18*D18)/10000</f>
        <v>0.9</v>
      </c>
      <c r="H18" s="308">
        <v>2</v>
      </c>
      <c r="I18" s="322" t="s">
        <v>28912</v>
      </c>
    </row>
  </sheetData>
  <mergeCells count="1">
    <mergeCell ref="A1:I1"/>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5"/>
  <sheetViews>
    <sheetView workbookViewId="0">
      <selection activeCell="B9" sqref="B9:C9"/>
    </sheetView>
  </sheetViews>
  <sheetFormatPr defaultRowHeight="15"/>
  <cols>
    <col min="1" max="1" width="35.625" style="314" customWidth="1"/>
    <col min="2" max="3" width="15.625" style="307" customWidth="1"/>
    <col min="4" max="16384" width="9" style="307"/>
  </cols>
  <sheetData>
    <row r="3" spans="1:3" ht="20.100000000000001" customHeight="1">
      <c r="A3" s="439" t="s">
        <v>28831</v>
      </c>
      <c r="B3" s="439"/>
      <c r="C3" s="439"/>
    </row>
    <row r="4" spans="1:3">
      <c r="A4" s="309" t="s">
        <v>28832</v>
      </c>
      <c r="B4" s="433">
        <v>793.33</v>
      </c>
      <c r="C4" s="434"/>
    </row>
    <row r="5" spans="1:3">
      <c r="A5" s="309"/>
      <c r="B5" s="308" t="s">
        <v>28833</v>
      </c>
      <c r="C5" s="310" t="s">
        <v>28834</v>
      </c>
    </row>
    <row r="6" spans="1:3">
      <c r="A6" s="309" t="s">
        <v>28835</v>
      </c>
      <c r="B6" s="308">
        <v>188.65</v>
      </c>
      <c r="C6" s="310">
        <v>49.43</v>
      </c>
    </row>
    <row r="7" spans="1:3">
      <c r="A7" s="309" t="s">
        <v>28836</v>
      </c>
      <c r="B7" s="308">
        <v>188.65</v>
      </c>
      <c r="C7" s="310">
        <v>49.43</v>
      </c>
    </row>
    <row r="8" spans="1:3">
      <c r="A8" s="309" t="s">
        <v>28837</v>
      </c>
      <c r="B8" s="308">
        <f>SUM(B6:B7)</f>
        <v>377.3</v>
      </c>
      <c r="C8" s="308">
        <f>SUM(C6:C7)</f>
        <v>98.86</v>
      </c>
    </row>
    <row r="9" spans="1:3">
      <c r="A9" s="309" t="s">
        <v>28838</v>
      </c>
      <c r="B9" s="433">
        <f>B8+C8</f>
        <v>476.16</v>
      </c>
      <c r="C9" s="434"/>
    </row>
    <row r="10" spans="1:3">
      <c r="A10" s="309" t="s">
        <v>28839</v>
      </c>
      <c r="B10" s="433">
        <f>B6+C6</f>
        <v>238.08</v>
      </c>
      <c r="C10" s="434"/>
    </row>
    <row r="11" spans="1:3">
      <c r="A11" s="309" t="s">
        <v>28840</v>
      </c>
      <c r="B11" s="435">
        <f>B10/B4*100</f>
        <v>30.010210126933305</v>
      </c>
      <c r="C11" s="436"/>
    </row>
    <row r="12" spans="1:3">
      <c r="A12" s="309" t="s">
        <v>28841</v>
      </c>
      <c r="B12" s="433">
        <f>B9/B4</f>
        <v>0.60020420253866613</v>
      </c>
      <c r="C12" s="434"/>
    </row>
    <row r="13" spans="1:3">
      <c r="A13" s="309" t="s">
        <v>28842</v>
      </c>
      <c r="B13" s="433">
        <v>178.91</v>
      </c>
      <c r="C13" s="434"/>
    </row>
    <row r="14" spans="1:3">
      <c r="A14" s="309" t="s">
        <v>28843</v>
      </c>
      <c r="B14" s="435">
        <f>B13/B4*100</f>
        <v>22.551775427627845</v>
      </c>
      <c r="C14" s="436"/>
    </row>
    <row r="15" spans="1:3">
      <c r="A15" s="309" t="s">
        <v>28844</v>
      </c>
      <c r="B15" s="437" t="s">
        <v>28845</v>
      </c>
      <c r="C15" s="438"/>
    </row>
  </sheetData>
  <mergeCells count="9">
    <mergeCell ref="B13:C13"/>
    <mergeCell ref="B14:C14"/>
    <mergeCell ref="B15:C15"/>
    <mergeCell ref="A3:C3"/>
    <mergeCell ref="B4:C4"/>
    <mergeCell ref="B9:C9"/>
    <mergeCell ref="B10:C10"/>
    <mergeCell ref="B11:C11"/>
    <mergeCell ref="B12:C12"/>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D9" sqref="D9"/>
    </sheetView>
  </sheetViews>
  <sheetFormatPr defaultRowHeight="15"/>
  <cols>
    <col min="1" max="1" width="5.625" style="307" customWidth="1"/>
    <col min="2" max="2" width="60.625" style="307" customWidth="1"/>
    <col min="3" max="3" width="8.625" style="307" customWidth="1"/>
    <col min="4" max="16384" width="9" style="307"/>
  </cols>
  <sheetData>
    <row r="1" spans="1:3" ht="30" customHeight="1">
      <c r="A1" s="439" t="s">
        <v>28846</v>
      </c>
      <c r="B1" s="439"/>
      <c r="C1" s="439"/>
    </row>
    <row r="2" spans="1:3">
      <c r="A2" s="305" t="s">
        <v>2347</v>
      </c>
      <c r="B2" s="305" t="s">
        <v>1025</v>
      </c>
      <c r="C2" s="305" t="s">
        <v>28797</v>
      </c>
    </row>
    <row r="3" spans="1:3" ht="45">
      <c r="A3" s="308" t="s">
        <v>28694</v>
      </c>
      <c r="B3" s="311" t="s">
        <v>28847</v>
      </c>
      <c r="C3" s="308">
        <v>4</v>
      </c>
    </row>
    <row r="4" spans="1:3" ht="45">
      <c r="A4" s="308" t="s">
        <v>28695</v>
      </c>
      <c r="B4" s="311" t="s">
        <v>28848</v>
      </c>
      <c r="C4" s="308">
        <v>2</v>
      </c>
    </row>
    <row r="5" spans="1:3">
      <c r="A5" s="308" t="s">
        <v>28849</v>
      </c>
      <c r="B5" s="311" t="s">
        <v>28850</v>
      </c>
      <c r="C5" s="308">
        <v>6</v>
      </c>
    </row>
    <row r="6" spans="1:3" ht="30">
      <c r="A6" s="308" t="s">
        <v>28851</v>
      </c>
      <c r="B6" s="311" t="s">
        <v>28852</v>
      </c>
      <c r="C6" s="308">
        <v>4</v>
      </c>
    </row>
    <row r="7" spans="1:3">
      <c r="A7" s="308" t="s">
        <v>28853</v>
      </c>
      <c r="B7" s="309" t="s">
        <v>28854</v>
      </c>
      <c r="C7" s="308">
        <v>2</v>
      </c>
    </row>
    <row r="8" spans="1:3" ht="30">
      <c r="A8" s="308" t="s">
        <v>28855</v>
      </c>
      <c r="B8" s="311" t="s">
        <v>28856</v>
      </c>
      <c r="C8" s="308">
        <v>1</v>
      </c>
    </row>
    <row r="9" spans="1:3" ht="60">
      <c r="A9" s="308" t="s">
        <v>28857</v>
      </c>
      <c r="B9" s="311" t="s">
        <v>28858</v>
      </c>
      <c r="C9" s="308">
        <v>6</v>
      </c>
    </row>
    <row r="10" spans="1:3" ht="30">
      <c r="A10" s="308" t="s">
        <v>28859</v>
      </c>
      <c r="B10" s="311" t="s">
        <v>28860</v>
      </c>
      <c r="C10" s="308">
        <v>2</v>
      </c>
    </row>
    <row r="11" spans="1:3" ht="30">
      <c r="A11" s="308" t="s">
        <v>28861</v>
      </c>
      <c r="B11" s="311" t="s">
        <v>28862</v>
      </c>
      <c r="C11" s="308">
        <v>1</v>
      </c>
    </row>
    <row r="12" spans="1:3">
      <c r="A12" s="308" t="s">
        <v>28863</v>
      </c>
      <c r="B12" s="309" t="s">
        <v>28864</v>
      </c>
      <c r="C12" s="308">
        <v>6</v>
      </c>
    </row>
    <row r="13" spans="1:3">
      <c r="A13" s="308" t="s">
        <v>28865</v>
      </c>
      <c r="B13" s="309" t="s">
        <v>28866</v>
      </c>
      <c r="C13" s="308">
        <v>6</v>
      </c>
    </row>
    <row r="14" spans="1:3">
      <c r="A14" s="308" t="s">
        <v>17459</v>
      </c>
      <c r="B14" s="311" t="s">
        <v>28867</v>
      </c>
      <c r="C14" s="308">
        <v>6</v>
      </c>
    </row>
    <row r="15" spans="1:3">
      <c r="A15" s="308" t="s">
        <v>28868</v>
      </c>
      <c r="B15" s="309" t="s">
        <v>28869</v>
      </c>
      <c r="C15" s="308">
        <v>6</v>
      </c>
    </row>
    <row r="16" spans="1:3" ht="30">
      <c r="A16" s="308" t="s">
        <v>28870</v>
      </c>
      <c r="B16" s="311" t="s">
        <v>28871</v>
      </c>
      <c r="C16" s="308">
        <v>2</v>
      </c>
    </row>
    <row r="17" spans="1:3">
      <c r="A17" s="346" t="s">
        <v>29106</v>
      </c>
      <c r="B17" s="347" t="s">
        <v>29107</v>
      </c>
      <c r="C17" s="308">
        <v>3</v>
      </c>
    </row>
  </sheetData>
  <mergeCells count="1">
    <mergeCell ref="A1:C1"/>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13" workbookViewId="0">
      <selection activeCell="D32" sqref="D32"/>
    </sheetView>
  </sheetViews>
  <sheetFormatPr defaultRowHeight="15"/>
  <cols>
    <col min="1" max="1" width="5.625" style="307" customWidth="1"/>
    <col min="2" max="2" width="50.625" style="307" customWidth="1"/>
    <col min="3" max="3" width="12.625" style="307" customWidth="1"/>
    <col min="4" max="4" width="8.625" style="307" customWidth="1"/>
    <col min="5" max="10" width="5.625" style="307" customWidth="1"/>
    <col min="11" max="11" width="9" style="307"/>
    <col min="12" max="12" width="30.625" style="307" customWidth="1"/>
    <col min="13" max="13" width="8.625" style="307" customWidth="1"/>
    <col min="14" max="16384" width="9" style="307"/>
  </cols>
  <sheetData>
    <row r="1" spans="1:13" ht="30" customHeight="1">
      <c r="A1" s="439" t="s">
        <v>28872</v>
      </c>
      <c r="B1" s="439"/>
      <c r="C1" s="439"/>
      <c r="D1" s="439"/>
      <c r="E1" s="439"/>
      <c r="F1" s="439"/>
      <c r="G1" s="439"/>
      <c r="H1" s="439"/>
      <c r="I1" s="439"/>
      <c r="J1" s="439"/>
      <c r="L1" s="439" t="s">
        <v>28893</v>
      </c>
      <c r="M1" s="439"/>
    </row>
    <row r="2" spans="1:13">
      <c r="A2" s="305" t="s">
        <v>1013</v>
      </c>
      <c r="B2" s="305" t="s">
        <v>1025</v>
      </c>
      <c r="C2" s="305" t="s">
        <v>28874</v>
      </c>
      <c r="D2" s="313" t="s">
        <v>28797</v>
      </c>
      <c r="E2" s="313" t="s">
        <v>28908</v>
      </c>
      <c r="F2" s="313" t="s">
        <v>28909</v>
      </c>
      <c r="G2" s="313" t="s">
        <v>28904</v>
      </c>
      <c r="H2" s="313" t="s">
        <v>28905</v>
      </c>
      <c r="I2" s="313" t="s">
        <v>28906</v>
      </c>
      <c r="J2" s="313" t="s">
        <v>28907</v>
      </c>
      <c r="L2" s="313" t="s">
        <v>1025</v>
      </c>
      <c r="M2" s="313" t="s">
        <v>28901</v>
      </c>
    </row>
    <row r="3" spans="1:13">
      <c r="A3" s="308">
        <v>1</v>
      </c>
      <c r="B3" s="311" t="s">
        <v>28873</v>
      </c>
      <c r="C3" s="308" t="s">
        <v>28875</v>
      </c>
      <c r="D3" s="308">
        <f>SUM(E3:J3)</f>
        <v>8</v>
      </c>
      <c r="E3" s="308"/>
      <c r="F3" s="308"/>
      <c r="G3" s="308"/>
      <c r="H3" s="308"/>
      <c r="I3" s="308">
        <f>2*I14</f>
        <v>4</v>
      </c>
      <c r="J3" s="308">
        <f>2*J14</f>
        <v>4</v>
      </c>
      <c r="L3" s="317" t="s">
        <v>28894</v>
      </c>
      <c r="M3" s="308">
        <v>90</v>
      </c>
    </row>
    <row r="4" spans="1:13">
      <c r="A4" s="308">
        <v>2</v>
      </c>
      <c r="B4" s="311" t="s">
        <v>28873</v>
      </c>
      <c r="C4" s="316" t="s">
        <v>28886</v>
      </c>
      <c r="D4" s="308">
        <f t="shared" ref="D4:D17" si="0">SUM(E4:J4)</f>
        <v>12</v>
      </c>
      <c r="E4" s="308"/>
      <c r="F4" s="308"/>
      <c r="G4" s="308">
        <f>2*G15</f>
        <v>4</v>
      </c>
      <c r="H4" s="308">
        <f>2*H15</f>
        <v>4</v>
      </c>
      <c r="I4" s="308">
        <f>2*I15</f>
        <v>4</v>
      </c>
      <c r="J4" s="308"/>
      <c r="L4" s="317" t="s">
        <v>28895</v>
      </c>
      <c r="M4" s="308">
        <v>50</v>
      </c>
    </row>
    <row r="5" spans="1:13">
      <c r="A5" s="308">
        <v>3</v>
      </c>
      <c r="B5" s="311" t="s">
        <v>28881</v>
      </c>
      <c r="C5" s="308" t="s">
        <v>28882</v>
      </c>
      <c r="D5" s="308">
        <f t="shared" si="0"/>
        <v>2</v>
      </c>
      <c r="E5" s="308"/>
      <c r="F5" s="308">
        <v>2</v>
      </c>
      <c r="G5" s="308"/>
      <c r="H5" s="308"/>
      <c r="I5" s="308"/>
      <c r="J5" s="308"/>
      <c r="L5" s="317" t="s">
        <v>28896</v>
      </c>
      <c r="M5" s="308">
        <v>60</v>
      </c>
    </row>
    <row r="6" spans="1:13">
      <c r="A6" s="308">
        <v>4</v>
      </c>
      <c r="B6" s="311" t="s">
        <v>28880</v>
      </c>
      <c r="C6" s="308" t="s">
        <v>28883</v>
      </c>
      <c r="D6" s="308">
        <f t="shared" si="0"/>
        <v>34</v>
      </c>
      <c r="E6" s="308">
        <v>6</v>
      </c>
      <c r="F6" s="308">
        <v>3</v>
      </c>
      <c r="G6" s="308">
        <v>6</v>
      </c>
      <c r="H6" s="308">
        <v>4</v>
      </c>
      <c r="I6" s="308">
        <v>11</v>
      </c>
      <c r="J6" s="308">
        <v>4</v>
      </c>
      <c r="L6" s="317" t="s">
        <v>28897</v>
      </c>
      <c r="M6" s="308">
        <v>110</v>
      </c>
    </row>
    <row r="7" spans="1:13">
      <c r="A7" s="308">
        <v>5</v>
      </c>
      <c r="B7" s="311" t="s">
        <v>28880</v>
      </c>
      <c r="C7" s="308" t="s">
        <v>28882</v>
      </c>
      <c r="D7" s="308">
        <f t="shared" si="0"/>
        <v>15</v>
      </c>
      <c r="E7" s="308"/>
      <c r="F7" s="308">
        <v>3</v>
      </c>
      <c r="G7" s="308">
        <v>3</v>
      </c>
      <c r="H7" s="308">
        <v>5</v>
      </c>
      <c r="I7" s="308">
        <v>4</v>
      </c>
      <c r="J7" s="308"/>
      <c r="L7" s="318" t="s">
        <v>28902</v>
      </c>
      <c r="M7" s="308">
        <v>60</v>
      </c>
    </row>
    <row r="8" spans="1:13">
      <c r="A8" s="308">
        <v>6</v>
      </c>
      <c r="B8" s="317" t="s">
        <v>28885</v>
      </c>
      <c r="C8" s="316" t="s">
        <v>28875</v>
      </c>
      <c r="D8" s="308">
        <f t="shared" si="0"/>
        <v>18</v>
      </c>
      <c r="E8" s="308"/>
      <c r="F8" s="308"/>
      <c r="G8" s="308">
        <v>4</v>
      </c>
      <c r="H8" s="308">
        <v>6</v>
      </c>
      <c r="I8" s="308">
        <v>6</v>
      </c>
      <c r="J8" s="308">
        <v>2</v>
      </c>
      <c r="L8" s="317" t="s">
        <v>28899</v>
      </c>
      <c r="M8" s="308">
        <v>180</v>
      </c>
    </row>
    <row r="9" spans="1:13">
      <c r="A9" s="308">
        <v>7</v>
      </c>
      <c r="B9" s="311" t="s">
        <v>28878</v>
      </c>
      <c r="C9" s="308" t="s">
        <v>28879</v>
      </c>
      <c r="D9" s="308">
        <f t="shared" si="0"/>
        <v>15</v>
      </c>
      <c r="E9" s="308"/>
      <c r="F9" s="308">
        <v>1</v>
      </c>
      <c r="G9" s="308">
        <v>2</v>
      </c>
      <c r="H9" s="308">
        <v>6</v>
      </c>
      <c r="I9" s="308">
        <v>6</v>
      </c>
      <c r="J9" s="308"/>
      <c r="L9" s="318" t="s">
        <v>28900</v>
      </c>
      <c r="M9" s="308">
        <v>115</v>
      </c>
    </row>
    <row r="10" spans="1:13">
      <c r="A10" s="308">
        <v>8</v>
      </c>
      <c r="B10" s="309" t="s">
        <v>28884</v>
      </c>
      <c r="C10" s="316" t="s">
        <v>28883</v>
      </c>
      <c r="D10" s="308">
        <f t="shared" si="0"/>
        <v>4</v>
      </c>
      <c r="E10" s="308">
        <v>1</v>
      </c>
      <c r="F10" s="308"/>
      <c r="G10" s="308">
        <v>2</v>
      </c>
      <c r="H10" s="308"/>
      <c r="I10" s="308"/>
      <c r="J10" s="308">
        <v>1</v>
      </c>
      <c r="L10" s="319" t="s">
        <v>28910</v>
      </c>
      <c r="M10" s="308">
        <v>40</v>
      </c>
    </row>
    <row r="11" spans="1:13">
      <c r="A11" s="308">
        <v>9</v>
      </c>
      <c r="B11" s="309" t="s">
        <v>28884</v>
      </c>
      <c r="C11" s="316" t="s">
        <v>28882</v>
      </c>
      <c r="D11" s="308">
        <f t="shared" si="0"/>
        <v>19</v>
      </c>
      <c r="E11" s="308"/>
      <c r="F11" s="308">
        <v>3</v>
      </c>
      <c r="G11" s="308">
        <v>3</v>
      </c>
      <c r="H11" s="308">
        <v>7</v>
      </c>
      <c r="I11" s="308">
        <v>6</v>
      </c>
      <c r="J11" s="308"/>
      <c r="L11" s="317" t="s">
        <v>28891</v>
      </c>
      <c r="M11" s="308">
        <v>110</v>
      </c>
    </row>
    <row r="12" spans="1:13">
      <c r="A12" s="308">
        <v>10</v>
      </c>
      <c r="B12" s="318" t="s">
        <v>28892</v>
      </c>
      <c r="C12" s="316" t="s">
        <v>28875</v>
      </c>
      <c r="D12" s="308">
        <f t="shared" si="0"/>
        <v>3</v>
      </c>
      <c r="E12" s="308"/>
      <c r="F12" s="308"/>
      <c r="G12" s="308">
        <v>2</v>
      </c>
      <c r="H12" s="308"/>
      <c r="I12" s="308"/>
      <c r="J12" s="308">
        <v>1</v>
      </c>
      <c r="L12" s="317" t="s">
        <v>28898</v>
      </c>
      <c r="M12" s="308">
        <v>33</v>
      </c>
    </row>
    <row r="13" spans="1:13">
      <c r="A13" s="308">
        <v>11</v>
      </c>
      <c r="B13" s="311" t="s">
        <v>28881</v>
      </c>
      <c r="C13" s="316" t="s">
        <v>28883</v>
      </c>
      <c r="D13" s="308">
        <f t="shared" si="0"/>
        <v>1</v>
      </c>
      <c r="E13" s="308"/>
      <c r="F13" s="308"/>
      <c r="G13" s="308"/>
      <c r="H13" s="308"/>
      <c r="I13" s="308"/>
      <c r="J13" s="308">
        <v>1</v>
      </c>
    </row>
    <row r="14" spans="1:13">
      <c r="A14" s="308"/>
      <c r="B14" s="318" t="s">
        <v>28876</v>
      </c>
      <c r="C14" s="316" t="s">
        <v>28877</v>
      </c>
      <c r="D14" s="308">
        <f t="shared" si="0"/>
        <v>4</v>
      </c>
      <c r="E14" s="308"/>
      <c r="F14" s="308"/>
      <c r="G14" s="308"/>
      <c r="H14" s="308"/>
      <c r="I14" s="308">
        <v>2</v>
      </c>
      <c r="J14" s="308">
        <v>2</v>
      </c>
    </row>
    <row r="15" spans="1:13">
      <c r="A15" s="308"/>
      <c r="B15" s="318" t="s">
        <v>28876</v>
      </c>
      <c r="C15" s="316" t="s">
        <v>28887</v>
      </c>
      <c r="D15" s="308">
        <f t="shared" si="0"/>
        <v>6</v>
      </c>
      <c r="E15" s="308"/>
      <c r="F15" s="308"/>
      <c r="G15" s="308">
        <v>2</v>
      </c>
      <c r="H15" s="308">
        <v>2</v>
      </c>
      <c r="I15" s="308">
        <v>2</v>
      </c>
      <c r="J15" s="308"/>
    </row>
    <row r="16" spans="1:13">
      <c r="A16" s="308"/>
      <c r="B16" s="318" t="s">
        <v>28903</v>
      </c>
      <c r="C16" s="316" t="s">
        <v>28887</v>
      </c>
      <c r="D16" s="308">
        <f t="shared" si="0"/>
        <v>6</v>
      </c>
      <c r="E16" s="308"/>
      <c r="F16" s="308"/>
      <c r="G16" s="308">
        <v>2</v>
      </c>
      <c r="H16" s="308">
        <v>2</v>
      </c>
      <c r="I16" s="308">
        <v>2</v>
      </c>
      <c r="J16" s="308"/>
    </row>
    <row r="17" spans="1:10">
      <c r="A17" s="308"/>
      <c r="B17" s="317" t="s">
        <v>28888</v>
      </c>
      <c r="C17" s="316" t="s">
        <v>28889</v>
      </c>
      <c r="D17" s="308">
        <f t="shared" si="0"/>
        <v>6</v>
      </c>
      <c r="E17" s="308"/>
      <c r="F17" s="308"/>
      <c r="G17" s="308">
        <f>G16</f>
        <v>2</v>
      </c>
      <c r="H17" s="308">
        <f t="shared" ref="H17:I17" si="1">H16</f>
        <v>2</v>
      </c>
      <c r="I17" s="308">
        <f t="shared" si="1"/>
        <v>2</v>
      </c>
      <c r="J17" s="308"/>
    </row>
    <row r="18" spans="1:10">
      <c r="A18" s="308"/>
      <c r="B18" s="317" t="s">
        <v>28890</v>
      </c>
      <c r="C18" s="316" t="s">
        <v>28883</v>
      </c>
      <c r="D18" s="308">
        <f>ROUNDUP(SUM(E18:J18),0)</f>
        <v>93</v>
      </c>
      <c r="E18" s="308">
        <f>1.4+9.2+0.4+7.55+4.8+1.05</f>
        <v>24.400000000000002</v>
      </c>
      <c r="F18" s="308">
        <v>3</v>
      </c>
      <c r="G18" s="308">
        <v>7.3</v>
      </c>
      <c r="H18" s="308">
        <v>5</v>
      </c>
      <c r="I18" s="308">
        <v>12.7</v>
      </c>
      <c r="J18" s="308">
        <v>40.5</v>
      </c>
    </row>
    <row r="19" spans="1:10">
      <c r="A19" s="308"/>
      <c r="B19" s="317" t="s">
        <v>28890</v>
      </c>
      <c r="C19" s="316" t="s">
        <v>28882</v>
      </c>
      <c r="D19" s="308">
        <f>ROUNDUP(SUM(E19:J19),0)</f>
        <v>36</v>
      </c>
      <c r="E19" s="308"/>
      <c r="F19" s="308">
        <v>6.6</v>
      </c>
      <c r="G19" s="308">
        <v>8.3000000000000007</v>
      </c>
      <c r="H19" s="308">
        <v>11.3</v>
      </c>
      <c r="I19" s="308">
        <v>9.1999999999999993</v>
      </c>
      <c r="J19" s="308"/>
    </row>
  </sheetData>
  <sortState ref="L3:L11">
    <sortCondition ref="L3"/>
  </sortState>
  <mergeCells count="2">
    <mergeCell ref="A1:J1"/>
    <mergeCell ref="L1:M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78"/>
  <sheetViews>
    <sheetView workbookViewId="0">
      <selection activeCell="F24" sqref="F24"/>
    </sheetView>
  </sheetViews>
  <sheetFormatPr defaultRowHeight="11.25"/>
  <cols>
    <col min="1" max="1" width="10.625" style="13" customWidth="1"/>
    <col min="2" max="2" width="30.625" style="13" customWidth="1"/>
    <col min="3" max="8" width="10.625" style="13" customWidth="1"/>
    <col min="9" max="16384" width="9" style="13"/>
  </cols>
  <sheetData>
    <row r="1" spans="1:4">
      <c r="A1" s="20" t="s">
        <v>2175</v>
      </c>
      <c r="B1" s="46" t="s">
        <v>28447</v>
      </c>
    </row>
    <row r="2" spans="1:4">
      <c r="A2" s="13" t="s">
        <v>2347</v>
      </c>
      <c r="B2" s="13" t="s">
        <v>1013</v>
      </c>
      <c r="C2" s="13" t="s">
        <v>32</v>
      </c>
      <c r="D2" s="13" t="s">
        <v>2346</v>
      </c>
    </row>
    <row r="3" spans="1:4" ht="15">
      <c r="A3" s="227">
        <v>1</v>
      </c>
      <c r="B3" s="227" t="s">
        <v>1017</v>
      </c>
      <c r="C3" s="228"/>
      <c r="D3" s="229"/>
    </row>
    <row r="4" spans="1:4" ht="15">
      <c r="A4" s="227">
        <v>102</v>
      </c>
      <c r="B4" s="227" t="s">
        <v>2176</v>
      </c>
      <c r="C4" s="228"/>
      <c r="D4" s="229"/>
    </row>
    <row r="5" spans="1:4" ht="28.5">
      <c r="A5" s="230">
        <v>10201</v>
      </c>
      <c r="B5" s="230" t="s">
        <v>37</v>
      </c>
      <c r="C5" s="228" t="s">
        <v>28758</v>
      </c>
      <c r="D5" s="229">
        <v>20.75</v>
      </c>
    </row>
    <row r="6" spans="1:4" ht="28.5">
      <c r="A6" s="230">
        <v>10202</v>
      </c>
      <c r="B6" s="230" t="s">
        <v>39</v>
      </c>
      <c r="C6" s="228" t="s">
        <v>28758</v>
      </c>
      <c r="D6" s="229">
        <v>11.17</v>
      </c>
    </row>
    <row r="7" spans="1:4" ht="42.75">
      <c r="A7" s="230">
        <v>10203</v>
      </c>
      <c r="B7" s="230" t="s">
        <v>40</v>
      </c>
      <c r="C7" s="228" t="s">
        <v>28758</v>
      </c>
      <c r="D7" s="229">
        <v>22.35</v>
      </c>
    </row>
    <row r="8" spans="1:4" ht="28.5">
      <c r="A8" s="230">
        <v>10204</v>
      </c>
      <c r="B8" s="230" t="s">
        <v>41</v>
      </c>
      <c r="C8" s="228" t="s">
        <v>28758</v>
      </c>
      <c r="D8" s="229">
        <v>15.96</v>
      </c>
    </row>
    <row r="9" spans="1:4" ht="14.25">
      <c r="A9" s="230">
        <v>10205</v>
      </c>
      <c r="B9" s="230" t="s">
        <v>42</v>
      </c>
      <c r="C9" s="228" t="s">
        <v>28758</v>
      </c>
      <c r="D9" s="229">
        <v>14.37</v>
      </c>
    </row>
    <row r="10" spans="1:4" ht="28.5">
      <c r="A10" s="230">
        <v>10206</v>
      </c>
      <c r="B10" s="230" t="s">
        <v>43</v>
      </c>
      <c r="C10" s="228" t="s">
        <v>28758</v>
      </c>
      <c r="D10" s="229">
        <v>39.909999999999997</v>
      </c>
    </row>
    <row r="11" spans="1:4" ht="28.5">
      <c r="A11" s="230">
        <v>10207</v>
      </c>
      <c r="B11" s="230" t="s">
        <v>44</v>
      </c>
      <c r="C11" s="228" t="s">
        <v>28758</v>
      </c>
      <c r="D11" s="229">
        <v>39.909999999999997</v>
      </c>
    </row>
    <row r="12" spans="1:4" ht="28.5">
      <c r="A12" s="230">
        <v>10208</v>
      </c>
      <c r="B12" s="230" t="s">
        <v>45</v>
      </c>
      <c r="C12" s="228" t="s">
        <v>28758</v>
      </c>
      <c r="D12" s="229">
        <v>7.98</v>
      </c>
    </row>
    <row r="13" spans="1:4" ht="14.25">
      <c r="A13" s="230">
        <v>10209</v>
      </c>
      <c r="B13" s="230" t="s">
        <v>46</v>
      </c>
      <c r="C13" s="228" t="s">
        <v>28759</v>
      </c>
      <c r="D13" s="229">
        <v>47.89</v>
      </c>
    </row>
    <row r="14" spans="1:4" ht="28.5">
      <c r="A14" s="230">
        <v>10210</v>
      </c>
      <c r="B14" s="230" t="s">
        <v>48</v>
      </c>
      <c r="C14" s="228" t="s">
        <v>28759</v>
      </c>
      <c r="D14" s="229">
        <v>224.8</v>
      </c>
    </row>
    <row r="15" spans="1:4" ht="57">
      <c r="A15" s="230">
        <v>10212</v>
      </c>
      <c r="B15" s="230" t="s">
        <v>49</v>
      </c>
      <c r="C15" s="228" t="s">
        <v>28758</v>
      </c>
      <c r="D15" s="229">
        <v>9.58</v>
      </c>
    </row>
    <row r="16" spans="1:4" ht="57">
      <c r="A16" s="230">
        <v>10213</v>
      </c>
      <c r="B16" s="230" t="s">
        <v>50</v>
      </c>
      <c r="C16" s="228" t="s">
        <v>28758</v>
      </c>
      <c r="D16" s="229">
        <v>11.17</v>
      </c>
    </row>
    <row r="17" spans="1:4" ht="28.5">
      <c r="A17" s="230">
        <v>10214</v>
      </c>
      <c r="B17" s="230" t="s">
        <v>51</v>
      </c>
      <c r="C17" s="228" t="s">
        <v>28758</v>
      </c>
      <c r="D17" s="229">
        <v>12.77</v>
      </c>
    </row>
    <row r="18" spans="1:4" ht="14.25">
      <c r="A18" s="230">
        <v>10215</v>
      </c>
      <c r="B18" s="230" t="s">
        <v>52</v>
      </c>
      <c r="C18" s="228" t="s">
        <v>28758</v>
      </c>
      <c r="D18" s="229">
        <v>7.98</v>
      </c>
    </row>
    <row r="19" spans="1:4" ht="14.25">
      <c r="A19" s="230">
        <v>10216</v>
      </c>
      <c r="B19" s="230" t="s">
        <v>53</v>
      </c>
      <c r="C19" s="228" t="s">
        <v>54</v>
      </c>
      <c r="D19" s="229">
        <v>7.98</v>
      </c>
    </row>
    <row r="20" spans="1:4" ht="28.5">
      <c r="A20" s="230">
        <v>10218</v>
      </c>
      <c r="B20" s="230" t="s">
        <v>55</v>
      </c>
      <c r="C20" s="228" t="s">
        <v>28758</v>
      </c>
      <c r="D20" s="229">
        <v>10.73</v>
      </c>
    </row>
    <row r="21" spans="1:4" ht="28.5">
      <c r="A21" s="230">
        <v>10219</v>
      </c>
      <c r="B21" s="230" t="s">
        <v>56</v>
      </c>
      <c r="C21" s="228" t="s">
        <v>28759</v>
      </c>
      <c r="D21" s="229">
        <v>264.43</v>
      </c>
    </row>
    <row r="22" spans="1:4" ht="28.5">
      <c r="A22" s="230">
        <v>10220</v>
      </c>
      <c r="B22" s="230" t="s">
        <v>57</v>
      </c>
      <c r="C22" s="228" t="s">
        <v>28758</v>
      </c>
      <c r="D22" s="229">
        <v>9.84</v>
      </c>
    </row>
    <row r="23" spans="1:4" ht="14.25">
      <c r="A23" s="230">
        <v>10221</v>
      </c>
      <c r="B23" s="230" t="s">
        <v>58</v>
      </c>
      <c r="C23" s="228" t="s">
        <v>36</v>
      </c>
      <c r="D23" s="229">
        <v>24.38</v>
      </c>
    </row>
    <row r="24" spans="1:4" ht="28.5">
      <c r="A24" s="230">
        <v>10222</v>
      </c>
      <c r="B24" s="230" t="s">
        <v>59</v>
      </c>
      <c r="C24" s="228" t="s">
        <v>28758</v>
      </c>
      <c r="D24" s="229">
        <v>17.68</v>
      </c>
    </row>
    <row r="25" spans="1:4" ht="14.25">
      <c r="A25" s="230">
        <v>10223</v>
      </c>
      <c r="B25" s="230" t="s">
        <v>60</v>
      </c>
      <c r="C25" s="228" t="s">
        <v>36</v>
      </c>
      <c r="D25" s="229">
        <v>16.59</v>
      </c>
    </row>
    <row r="26" spans="1:4" ht="28.5">
      <c r="A26" s="230">
        <v>10224</v>
      </c>
      <c r="B26" s="230" t="s">
        <v>61</v>
      </c>
      <c r="C26" s="228" t="s">
        <v>28758</v>
      </c>
      <c r="D26" s="229">
        <v>14.05</v>
      </c>
    </row>
    <row r="27" spans="1:4" ht="14.25">
      <c r="A27" s="230">
        <v>10225</v>
      </c>
      <c r="B27" s="230" t="s">
        <v>62</v>
      </c>
      <c r="C27" s="228" t="s">
        <v>28758</v>
      </c>
      <c r="D27" s="229">
        <v>19.899999999999999</v>
      </c>
    </row>
    <row r="28" spans="1:4" ht="14.25">
      <c r="A28" s="230">
        <v>10226</v>
      </c>
      <c r="B28" s="230" t="s">
        <v>63</v>
      </c>
      <c r="C28" s="228" t="s">
        <v>36</v>
      </c>
      <c r="D28" s="229">
        <v>19.899999999999999</v>
      </c>
    </row>
    <row r="29" spans="1:4" ht="42.75">
      <c r="A29" s="230">
        <v>10227</v>
      </c>
      <c r="B29" s="230" t="s">
        <v>26337</v>
      </c>
      <c r="C29" s="228" t="s">
        <v>36</v>
      </c>
      <c r="D29" s="229">
        <v>33.17</v>
      </c>
    </row>
    <row r="30" spans="1:4" ht="28.5">
      <c r="A30" s="230">
        <v>10228</v>
      </c>
      <c r="B30" s="230" t="s">
        <v>64</v>
      </c>
      <c r="C30" s="228" t="s">
        <v>28758</v>
      </c>
      <c r="D30" s="229">
        <v>5.41</v>
      </c>
    </row>
    <row r="31" spans="1:4" ht="28.5">
      <c r="A31" s="230">
        <v>10229</v>
      </c>
      <c r="B31" s="230" t="s">
        <v>65</v>
      </c>
      <c r="C31" s="228" t="s">
        <v>36</v>
      </c>
      <c r="D31" s="229">
        <v>31.92</v>
      </c>
    </row>
    <row r="32" spans="1:4" ht="28.5">
      <c r="A32" s="230">
        <v>10230</v>
      </c>
      <c r="B32" s="230" t="s">
        <v>66</v>
      </c>
      <c r="C32" s="228" t="s">
        <v>28758</v>
      </c>
      <c r="D32" s="229">
        <v>5.13</v>
      </c>
    </row>
    <row r="33" spans="1:4" ht="28.5">
      <c r="A33" s="230">
        <v>10234</v>
      </c>
      <c r="B33" s="230" t="s">
        <v>67</v>
      </c>
      <c r="C33" s="228" t="s">
        <v>28758</v>
      </c>
      <c r="D33" s="229">
        <v>20.75</v>
      </c>
    </row>
    <row r="34" spans="1:4" ht="28.5">
      <c r="A34" s="230">
        <v>10238</v>
      </c>
      <c r="B34" s="230" t="s">
        <v>68</v>
      </c>
      <c r="C34" s="228" t="s">
        <v>28758</v>
      </c>
      <c r="D34" s="229">
        <v>7.98</v>
      </c>
    </row>
    <row r="35" spans="1:4" ht="28.5">
      <c r="A35" s="230">
        <v>10239</v>
      </c>
      <c r="B35" s="230" t="s">
        <v>69</v>
      </c>
      <c r="C35" s="228" t="s">
        <v>28758</v>
      </c>
      <c r="D35" s="229">
        <v>31.1</v>
      </c>
    </row>
    <row r="36" spans="1:4" ht="42.75">
      <c r="A36" s="230">
        <v>10240</v>
      </c>
      <c r="B36" s="230" t="s">
        <v>70</v>
      </c>
      <c r="C36" s="228" t="s">
        <v>36</v>
      </c>
      <c r="D36" s="229">
        <v>8.81</v>
      </c>
    </row>
    <row r="37" spans="1:4" ht="14.25">
      <c r="A37" s="230">
        <v>10242</v>
      </c>
      <c r="B37" s="230" t="s">
        <v>71</v>
      </c>
      <c r="C37" s="228" t="s">
        <v>28758</v>
      </c>
      <c r="D37" s="229">
        <v>2.81</v>
      </c>
    </row>
    <row r="38" spans="1:4" ht="28.5">
      <c r="A38" s="230">
        <v>10244</v>
      </c>
      <c r="B38" s="230" t="s">
        <v>72</v>
      </c>
      <c r="C38" s="228" t="s">
        <v>54</v>
      </c>
      <c r="D38" s="229">
        <v>11.49</v>
      </c>
    </row>
    <row r="39" spans="1:4" ht="42.75">
      <c r="A39" s="230">
        <v>10246</v>
      </c>
      <c r="B39" s="230" t="s">
        <v>73</v>
      </c>
      <c r="C39" s="228" t="s">
        <v>28758</v>
      </c>
      <c r="D39" s="229">
        <v>3.02</v>
      </c>
    </row>
    <row r="40" spans="1:4" ht="42.75">
      <c r="A40" s="230">
        <v>10253</v>
      </c>
      <c r="B40" s="230" t="s">
        <v>74</v>
      </c>
      <c r="C40" s="228" t="s">
        <v>28758</v>
      </c>
      <c r="D40" s="229">
        <v>23.46</v>
      </c>
    </row>
    <row r="41" spans="1:4" ht="28.5">
      <c r="A41" s="230">
        <v>10254</v>
      </c>
      <c r="B41" s="230" t="s">
        <v>75</v>
      </c>
      <c r="C41" s="228" t="s">
        <v>28758</v>
      </c>
      <c r="D41" s="229">
        <v>7.77</v>
      </c>
    </row>
    <row r="42" spans="1:4" ht="28.5">
      <c r="A42" s="230">
        <v>10255</v>
      </c>
      <c r="B42" s="230" t="s">
        <v>76</v>
      </c>
      <c r="C42" s="228" t="s">
        <v>28758</v>
      </c>
      <c r="D42" s="229">
        <v>19.190000000000001</v>
      </c>
    </row>
    <row r="43" spans="1:4" ht="28.5">
      <c r="A43" s="230">
        <v>10256</v>
      </c>
      <c r="B43" s="230" t="s">
        <v>77</v>
      </c>
      <c r="C43" s="228" t="s">
        <v>28758</v>
      </c>
      <c r="D43" s="229">
        <v>6.11</v>
      </c>
    </row>
    <row r="44" spans="1:4" ht="28.5">
      <c r="A44" s="230">
        <v>10259</v>
      </c>
      <c r="B44" s="230" t="s">
        <v>78</v>
      </c>
      <c r="C44" s="228" t="s">
        <v>54</v>
      </c>
      <c r="D44" s="229">
        <v>1.86</v>
      </c>
    </row>
    <row r="45" spans="1:4" ht="14.25">
      <c r="A45" s="230">
        <v>10264</v>
      </c>
      <c r="B45" s="230" t="s">
        <v>79</v>
      </c>
      <c r="C45" s="228" t="s">
        <v>28758</v>
      </c>
      <c r="D45" s="229">
        <v>22.13</v>
      </c>
    </row>
    <row r="46" spans="1:4" ht="28.5">
      <c r="A46" s="230">
        <v>10271</v>
      </c>
      <c r="B46" s="230" t="s">
        <v>80</v>
      </c>
      <c r="C46" s="228" t="s">
        <v>36</v>
      </c>
      <c r="D46" s="229">
        <v>11.88</v>
      </c>
    </row>
    <row r="47" spans="1:4" ht="28.5">
      <c r="A47" s="230">
        <v>10279</v>
      </c>
      <c r="B47" s="230" t="s">
        <v>81</v>
      </c>
      <c r="C47" s="228" t="s">
        <v>36</v>
      </c>
      <c r="D47" s="229">
        <v>18.55</v>
      </c>
    </row>
    <row r="48" spans="1:4" ht="28.5">
      <c r="A48" s="230">
        <v>10280</v>
      </c>
      <c r="B48" s="230" t="s">
        <v>82</v>
      </c>
      <c r="C48" s="228" t="s">
        <v>28758</v>
      </c>
      <c r="D48" s="229">
        <v>6.97</v>
      </c>
    </row>
    <row r="49" spans="1:4" ht="14.25">
      <c r="A49" s="230">
        <v>10286</v>
      </c>
      <c r="B49" s="230" t="s">
        <v>83</v>
      </c>
      <c r="C49" s="228" t="s">
        <v>28758</v>
      </c>
      <c r="D49" s="229">
        <v>11.8</v>
      </c>
    </row>
    <row r="50" spans="1:4" ht="14.25">
      <c r="A50" s="230">
        <v>10292</v>
      </c>
      <c r="B50" s="230" t="s">
        <v>84</v>
      </c>
      <c r="C50" s="228" t="s">
        <v>54</v>
      </c>
      <c r="D50" s="229">
        <v>0.49</v>
      </c>
    </row>
    <row r="51" spans="1:4" ht="15">
      <c r="A51" s="227">
        <v>103</v>
      </c>
      <c r="B51" s="227" t="s">
        <v>2176</v>
      </c>
      <c r="C51" s="228"/>
      <c r="D51" s="229"/>
    </row>
    <row r="52" spans="1:4" ht="28.5">
      <c r="A52" s="230">
        <v>10315</v>
      </c>
      <c r="B52" s="230" t="s">
        <v>85</v>
      </c>
      <c r="C52" s="228" t="s">
        <v>28758</v>
      </c>
      <c r="D52" s="229">
        <v>9.15</v>
      </c>
    </row>
    <row r="53" spans="1:4" ht="28.5">
      <c r="A53" s="230">
        <v>10317</v>
      </c>
      <c r="B53" s="230" t="s">
        <v>86</v>
      </c>
      <c r="C53" s="228" t="s">
        <v>28758</v>
      </c>
      <c r="D53" s="229">
        <v>95.77</v>
      </c>
    </row>
    <row r="54" spans="1:4" ht="28.5">
      <c r="A54" s="230">
        <v>10318</v>
      </c>
      <c r="B54" s="230" t="s">
        <v>87</v>
      </c>
      <c r="C54" s="228" t="s">
        <v>28758</v>
      </c>
      <c r="D54" s="229">
        <v>11.29</v>
      </c>
    </row>
    <row r="55" spans="1:4" ht="42.75">
      <c r="A55" s="230">
        <v>10319</v>
      </c>
      <c r="B55" s="230" t="s">
        <v>88</v>
      </c>
      <c r="C55" s="228" t="s">
        <v>28758</v>
      </c>
      <c r="D55" s="229">
        <v>15.64</v>
      </c>
    </row>
    <row r="56" spans="1:4" ht="28.5">
      <c r="A56" s="230">
        <v>10320</v>
      </c>
      <c r="B56" s="230" t="s">
        <v>89</v>
      </c>
      <c r="C56" s="228" t="s">
        <v>28758</v>
      </c>
      <c r="D56" s="229">
        <v>1.6</v>
      </c>
    </row>
    <row r="57" spans="1:4" ht="14.25">
      <c r="A57" s="230">
        <v>10323</v>
      </c>
      <c r="B57" s="230" t="s">
        <v>90</v>
      </c>
      <c r="C57" s="228" t="s">
        <v>36</v>
      </c>
      <c r="D57" s="229">
        <v>8.81</v>
      </c>
    </row>
    <row r="58" spans="1:4" ht="28.5">
      <c r="A58" s="230">
        <v>10324</v>
      </c>
      <c r="B58" s="230" t="s">
        <v>91</v>
      </c>
      <c r="C58" s="228" t="s">
        <v>28758</v>
      </c>
      <c r="D58" s="229">
        <v>7.04</v>
      </c>
    </row>
    <row r="59" spans="1:4" ht="28.5">
      <c r="A59" s="230">
        <v>10325</v>
      </c>
      <c r="B59" s="230" t="s">
        <v>92</v>
      </c>
      <c r="C59" s="228" t="s">
        <v>28758</v>
      </c>
      <c r="D59" s="229">
        <v>23.46</v>
      </c>
    </row>
    <row r="60" spans="1:4" ht="28.5">
      <c r="A60" s="230">
        <v>10326</v>
      </c>
      <c r="B60" s="230" t="s">
        <v>93</v>
      </c>
      <c r="C60" s="228" t="s">
        <v>28758</v>
      </c>
      <c r="D60" s="229">
        <v>23.46</v>
      </c>
    </row>
    <row r="61" spans="1:4" ht="14.25">
      <c r="A61" s="230">
        <v>10327</v>
      </c>
      <c r="B61" s="230" t="s">
        <v>94</v>
      </c>
      <c r="C61" s="228" t="s">
        <v>54</v>
      </c>
      <c r="D61" s="229">
        <v>1.99</v>
      </c>
    </row>
    <row r="62" spans="1:4" ht="14.25">
      <c r="A62" s="230">
        <v>10329</v>
      </c>
      <c r="B62" s="230" t="s">
        <v>95</v>
      </c>
      <c r="C62" s="228" t="s">
        <v>36</v>
      </c>
      <c r="D62" s="229">
        <v>16.45</v>
      </c>
    </row>
    <row r="63" spans="1:4" ht="42.75">
      <c r="A63" s="230">
        <v>10331</v>
      </c>
      <c r="B63" s="230" t="s">
        <v>96</v>
      </c>
      <c r="C63" s="228" t="s">
        <v>28758</v>
      </c>
      <c r="D63" s="229">
        <v>8.56</v>
      </c>
    </row>
    <row r="64" spans="1:4" ht="28.5">
      <c r="A64" s="230">
        <v>10332</v>
      </c>
      <c r="B64" s="230" t="s">
        <v>97</v>
      </c>
      <c r="C64" s="228" t="s">
        <v>54</v>
      </c>
      <c r="D64" s="229">
        <v>2.97</v>
      </c>
    </row>
    <row r="65" spans="1:4" ht="14.25">
      <c r="A65" s="230">
        <v>10333</v>
      </c>
      <c r="B65" s="230" t="s">
        <v>98</v>
      </c>
      <c r="C65" s="228" t="s">
        <v>28758</v>
      </c>
      <c r="D65" s="229">
        <v>6.69</v>
      </c>
    </row>
    <row r="66" spans="1:4" ht="15">
      <c r="A66" s="227">
        <v>104</v>
      </c>
      <c r="B66" s="227" t="s">
        <v>2177</v>
      </c>
      <c r="C66" s="228"/>
      <c r="D66" s="229"/>
    </row>
    <row r="67" spans="1:4" ht="28.5">
      <c r="A67" s="230">
        <v>10401</v>
      </c>
      <c r="B67" s="230" t="s">
        <v>99</v>
      </c>
      <c r="C67" s="228" t="s">
        <v>28758</v>
      </c>
      <c r="D67" s="229">
        <v>1.0900000000000001</v>
      </c>
    </row>
    <row r="68" spans="1:4" ht="28.5">
      <c r="A68" s="230">
        <v>10402</v>
      </c>
      <c r="B68" s="230" t="s">
        <v>100</v>
      </c>
      <c r="C68" s="228" t="s">
        <v>28758</v>
      </c>
      <c r="D68" s="229">
        <v>3.51</v>
      </c>
    </row>
    <row r="69" spans="1:4" ht="28.5">
      <c r="A69" s="230">
        <v>10403</v>
      </c>
      <c r="B69" s="230" t="s">
        <v>101</v>
      </c>
      <c r="C69" s="228" t="s">
        <v>36</v>
      </c>
      <c r="D69" s="229">
        <v>42.15</v>
      </c>
    </row>
    <row r="70" spans="1:4" ht="28.5">
      <c r="A70" s="230">
        <v>10404</v>
      </c>
      <c r="B70" s="230" t="s">
        <v>102</v>
      </c>
      <c r="C70" s="228" t="s">
        <v>36</v>
      </c>
      <c r="D70" s="229">
        <v>104.81</v>
      </c>
    </row>
    <row r="71" spans="1:4" ht="15">
      <c r="A71" s="227">
        <v>105</v>
      </c>
      <c r="B71" s="227" t="s">
        <v>2178</v>
      </c>
      <c r="C71" s="228"/>
      <c r="D71" s="229"/>
    </row>
    <row r="72" spans="1:4" ht="28.5">
      <c r="A72" s="230">
        <v>10501</v>
      </c>
      <c r="B72" s="230" t="s">
        <v>103</v>
      </c>
      <c r="C72" s="228" t="s">
        <v>28758</v>
      </c>
      <c r="D72" s="229">
        <v>10.25</v>
      </c>
    </row>
    <row r="73" spans="1:4" ht="57">
      <c r="A73" s="230">
        <v>10512</v>
      </c>
      <c r="B73" s="230" t="s">
        <v>104</v>
      </c>
      <c r="C73" s="228" t="s">
        <v>105</v>
      </c>
      <c r="D73" s="231">
        <v>17193.48</v>
      </c>
    </row>
    <row r="74" spans="1:4" ht="15">
      <c r="A74" s="227">
        <v>2</v>
      </c>
      <c r="B74" s="227" t="s">
        <v>2179</v>
      </c>
      <c r="C74" s="228"/>
      <c r="D74" s="229"/>
    </row>
    <row r="75" spans="1:4" ht="30">
      <c r="A75" s="227">
        <v>203</v>
      </c>
      <c r="B75" s="227" t="s">
        <v>2180</v>
      </c>
      <c r="C75" s="228"/>
      <c r="D75" s="229"/>
    </row>
    <row r="76" spans="1:4" ht="28.5">
      <c r="A76" s="230">
        <v>20305</v>
      </c>
      <c r="B76" s="230" t="s">
        <v>28448</v>
      </c>
      <c r="C76" s="228" t="s">
        <v>28758</v>
      </c>
      <c r="D76" s="229">
        <v>269.31</v>
      </c>
    </row>
    <row r="77" spans="1:4" ht="71.25">
      <c r="A77" s="230">
        <v>20339</v>
      </c>
      <c r="B77" s="230" t="s">
        <v>106</v>
      </c>
      <c r="C77" s="228" t="s">
        <v>28758</v>
      </c>
      <c r="D77" s="229">
        <v>14.88</v>
      </c>
    </row>
    <row r="78" spans="1:4" ht="128.25">
      <c r="A78" s="230">
        <v>20343</v>
      </c>
      <c r="B78" s="230" t="s">
        <v>107</v>
      </c>
      <c r="C78" s="228" t="s">
        <v>105</v>
      </c>
      <c r="D78" s="229">
        <v>978.33</v>
      </c>
    </row>
    <row r="79" spans="1:4" ht="42.75">
      <c r="A79" s="230">
        <v>20344</v>
      </c>
      <c r="B79" s="230" t="s">
        <v>108</v>
      </c>
      <c r="C79" s="228" t="s">
        <v>36</v>
      </c>
      <c r="D79" s="231">
        <v>1400</v>
      </c>
    </row>
    <row r="80" spans="1:4" ht="42.75">
      <c r="A80" s="230">
        <v>20346</v>
      </c>
      <c r="B80" s="230" t="s">
        <v>109</v>
      </c>
      <c r="C80" s="228" t="s">
        <v>54</v>
      </c>
      <c r="D80" s="229">
        <v>14.81</v>
      </c>
    </row>
    <row r="81" spans="1:4" ht="85.5">
      <c r="A81" s="230">
        <v>20348</v>
      </c>
      <c r="B81" s="230" t="s">
        <v>110</v>
      </c>
      <c r="C81" s="228" t="s">
        <v>28758</v>
      </c>
      <c r="D81" s="229">
        <v>24.01</v>
      </c>
    </row>
    <row r="82" spans="1:4" ht="114">
      <c r="A82" s="230">
        <v>20350</v>
      </c>
      <c r="B82" s="230" t="s">
        <v>26257</v>
      </c>
      <c r="C82" s="228" t="s">
        <v>54</v>
      </c>
      <c r="D82" s="229">
        <v>207.79</v>
      </c>
    </row>
    <row r="83" spans="1:4" ht="99.75">
      <c r="A83" s="230">
        <v>20351</v>
      </c>
      <c r="B83" s="230" t="s">
        <v>26258</v>
      </c>
      <c r="C83" s="228" t="s">
        <v>54</v>
      </c>
      <c r="D83" s="229">
        <v>278.45999999999998</v>
      </c>
    </row>
    <row r="84" spans="1:4" ht="128.25">
      <c r="A84" s="230">
        <v>20352</v>
      </c>
      <c r="B84" s="230" t="s">
        <v>111</v>
      </c>
      <c r="C84" s="228" t="s">
        <v>112</v>
      </c>
      <c r="D84" s="231">
        <v>1050</v>
      </c>
    </row>
    <row r="85" spans="1:4" ht="114">
      <c r="A85" s="230">
        <v>20353</v>
      </c>
      <c r="B85" s="230" t="s">
        <v>113</v>
      </c>
      <c r="C85" s="228" t="s">
        <v>112</v>
      </c>
      <c r="D85" s="231">
        <v>1000</v>
      </c>
    </row>
    <row r="86" spans="1:4" ht="85.5">
      <c r="A86" s="230">
        <v>20354</v>
      </c>
      <c r="B86" s="230" t="s">
        <v>114</v>
      </c>
      <c r="C86" s="228" t="s">
        <v>112</v>
      </c>
      <c r="D86" s="229">
        <v>710</v>
      </c>
    </row>
    <row r="87" spans="1:4" ht="99.75">
      <c r="A87" s="230">
        <v>20355</v>
      </c>
      <c r="B87" s="230" t="s">
        <v>115</v>
      </c>
      <c r="C87" s="228" t="s">
        <v>112</v>
      </c>
      <c r="D87" s="231">
        <v>1033.33</v>
      </c>
    </row>
    <row r="88" spans="1:4" ht="85.5">
      <c r="A88" s="230">
        <v>20356</v>
      </c>
      <c r="B88" s="230" t="s">
        <v>116</v>
      </c>
      <c r="C88" s="228" t="s">
        <v>112</v>
      </c>
      <c r="D88" s="229">
        <v>710</v>
      </c>
    </row>
    <row r="89" spans="1:4" ht="75">
      <c r="A89" s="227">
        <v>207</v>
      </c>
      <c r="B89" s="227" t="s">
        <v>2181</v>
      </c>
      <c r="C89" s="228"/>
      <c r="D89" s="229"/>
    </row>
    <row r="90" spans="1:4" ht="99.75">
      <c r="A90" s="230">
        <v>20701</v>
      </c>
      <c r="B90" s="230" t="s">
        <v>117</v>
      </c>
      <c r="C90" s="228" t="s">
        <v>28758</v>
      </c>
      <c r="D90" s="229">
        <v>857.02</v>
      </c>
    </row>
    <row r="91" spans="1:4" ht="99.75">
      <c r="A91" s="230">
        <v>20702</v>
      </c>
      <c r="B91" s="230" t="s">
        <v>118</v>
      </c>
      <c r="C91" s="228" t="s">
        <v>28758</v>
      </c>
      <c r="D91" s="229">
        <v>653.87</v>
      </c>
    </row>
    <row r="92" spans="1:4" ht="99.75">
      <c r="A92" s="230">
        <v>20703</v>
      </c>
      <c r="B92" s="230" t="s">
        <v>119</v>
      </c>
      <c r="C92" s="228" t="s">
        <v>28758</v>
      </c>
      <c r="D92" s="229">
        <v>574.61</v>
      </c>
    </row>
    <row r="93" spans="1:4" ht="99.75">
      <c r="A93" s="230">
        <v>20704</v>
      </c>
      <c r="B93" s="230" t="s">
        <v>120</v>
      </c>
      <c r="C93" s="228" t="s">
        <v>28758</v>
      </c>
      <c r="D93" s="229">
        <v>502.75</v>
      </c>
    </row>
    <row r="94" spans="1:4" ht="99.75">
      <c r="A94" s="230">
        <v>20705</v>
      </c>
      <c r="B94" s="230" t="s">
        <v>121</v>
      </c>
      <c r="C94" s="228" t="s">
        <v>36</v>
      </c>
      <c r="D94" s="231">
        <v>16624.77</v>
      </c>
    </row>
    <row r="95" spans="1:4" ht="99.75">
      <c r="A95" s="230">
        <v>20706</v>
      </c>
      <c r="B95" s="230" t="s">
        <v>122</v>
      </c>
      <c r="C95" s="228" t="s">
        <v>36</v>
      </c>
      <c r="D95" s="231">
        <v>24852.69</v>
      </c>
    </row>
    <row r="96" spans="1:4" ht="99.75">
      <c r="A96" s="230">
        <v>20707</v>
      </c>
      <c r="B96" s="230" t="s">
        <v>123</v>
      </c>
      <c r="C96" s="228" t="s">
        <v>36</v>
      </c>
      <c r="D96" s="231">
        <v>30487.47</v>
      </c>
    </row>
    <row r="97" spans="1:4" ht="99.75">
      <c r="A97" s="230">
        <v>20708</v>
      </c>
      <c r="B97" s="230" t="s">
        <v>124</v>
      </c>
      <c r="C97" s="228" t="s">
        <v>28758</v>
      </c>
      <c r="D97" s="229">
        <v>233</v>
      </c>
    </row>
    <row r="98" spans="1:4" ht="114">
      <c r="A98" s="230">
        <v>20709</v>
      </c>
      <c r="B98" s="230" t="s">
        <v>125</v>
      </c>
      <c r="C98" s="228" t="s">
        <v>28758</v>
      </c>
      <c r="D98" s="229">
        <v>305.75</v>
      </c>
    </row>
    <row r="99" spans="1:4" ht="57">
      <c r="A99" s="230">
        <v>20710</v>
      </c>
      <c r="B99" s="230" t="s">
        <v>126</v>
      </c>
      <c r="C99" s="228" t="s">
        <v>36</v>
      </c>
      <c r="D99" s="231">
        <v>2719.43</v>
      </c>
    </row>
    <row r="100" spans="1:4" ht="57">
      <c r="A100" s="230">
        <v>20711</v>
      </c>
      <c r="B100" s="230" t="s">
        <v>127</v>
      </c>
      <c r="C100" s="228" t="s">
        <v>36</v>
      </c>
      <c r="D100" s="231">
        <v>3172.72</v>
      </c>
    </row>
    <row r="101" spans="1:4" ht="99.75">
      <c r="A101" s="230">
        <v>20712</v>
      </c>
      <c r="B101" s="230" t="s">
        <v>26338</v>
      </c>
      <c r="C101" s="228" t="s">
        <v>54</v>
      </c>
      <c r="D101" s="229">
        <v>47.52</v>
      </c>
    </row>
    <row r="102" spans="1:4" ht="99.75">
      <c r="A102" s="230">
        <v>20713</v>
      </c>
      <c r="B102" s="230" t="s">
        <v>128</v>
      </c>
      <c r="C102" s="228" t="s">
        <v>54</v>
      </c>
      <c r="D102" s="229">
        <v>649.57000000000005</v>
      </c>
    </row>
    <row r="103" spans="1:4" ht="71.25">
      <c r="A103" s="230">
        <v>20714</v>
      </c>
      <c r="B103" s="230" t="s">
        <v>129</v>
      </c>
      <c r="C103" s="228" t="s">
        <v>54</v>
      </c>
      <c r="D103" s="229">
        <v>348.57</v>
      </c>
    </row>
    <row r="104" spans="1:4" ht="75">
      <c r="A104" s="227">
        <v>208</v>
      </c>
      <c r="B104" s="227" t="s">
        <v>2182</v>
      </c>
      <c r="C104" s="228"/>
      <c r="D104" s="229"/>
    </row>
    <row r="105" spans="1:4" ht="99.75">
      <c r="A105" s="230">
        <v>20801</v>
      </c>
      <c r="B105" s="230" t="s">
        <v>130</v>
      </c>
      <c r="C105" s="228" t="s">
        <v>28758</v>
      </c>
      <c r="D105" s="229">
        <v>617.94000000000005</v>
      </c>
    </row>
    <row r="106" spans="1:4" ht="99.75">
      <c r="A106" s="230">
        <v>20802</v>
      </c>
      <c r="B106" s="230" t="s">
        <v>131</v>
      </c>
      <c r="C106" s="228" t="s">
        <v>28758</v>
      </c>
      <c r="D106" s="229">
        <v>472.56</v>
      </c>
    </row>
    <row r="107" spans="1:4" ht="99.75">
      <c r="A107" s="230">
        <v>20803</v>
      </c>
      <c r="B107" s="230" t="s">
        <v>132</v>
      </c>
      <c r="C107" s="228" t="s">
        <v>28758</v>
      </c>
      <c r="D107" s="229">
        <v>416.76</v>
      </c>
    </row>
    <row r="108" spans="1:4" ht="99.75">
      <c r="A108" s="230">
        <v>20804</v>
      </c>
      <c r="B108" s="230" t="s">
        <v>133</v>
      </c>
      <c r="C108" s="228" t="s">
        <v>28758</v>
      </c>
      <c r="D108" s="229">
        <v>406.19</v>
      </c>
    </row>
    <row r="109" spans="1:4" ht="99.75">
      <c r="A109" s="230">
        <v>20805</v>
      </c>
      <c r="B109" s="230" t="s">
        <v>134</v>
      </c>
      <c r="C109" s="228" t="s">
        <v>36</v>
      </c>
      <c r="D109" s="231">
        <v>12410.12</v>
      </c>
    </row>
    <row r="110" spans="1:4" ht="99.75">
      <c r="A110" s="230">
        <v>20806</v>
      </c>
      <c r="B110" s="230" t="s">
        <v>135</v>
      </c>
      <c r="C110" s="228" t="s">
        <v>36</v>
      </c>
      <c r="D110" s="231">
        <v>18642.61</v>
      </c>
    </row>
    <row r="111" spans="1:4" ht="99.75">
      <c r="A111" s="230">
        <v>20807</v>
      </c>
      <c r="B111" s="230" t="s">
        <v>136</v>
      </c>
      <c r="C111" s="228" t="s">
        <v>36</v>
      </c>
      <c r="D111" s="231">
        <v>23138.82</v>
      </c>
    </row>
    <row r="112" spans="1:4" ht="114">
      <c r="A112" s="230">
        <v>20808</v>
      </c>
      <c r="B112" s="230" t="s">
        <v>137</v>
      </c>
      <c r="C112" s="228" t="s">
        <v>28758</v>
      </c>
      <c r="D112" s="229">
        <v>154.72999999999999</v>
      </c>
    </row>
    <row r="113" spans="1:4" ht="114">
      <c r="A113" s="230">
        <v>20809</v>
      </c>
      <c r="B113" s="230" t="s">
        <v>138</v>
      </c>
      <c r="C113" s="228" t="s">
        <v>28758</v>
      </c>
      <c r="D113" s="229">
        <v>207.29</v>
      </c>
    </row>
    <row r="114" spans="1:4" ht="57">
      <c r="A114" s="230">
        <v>20810</v>
      </c>
      <c r="B114" s="230" t="s">
        <v>139</v>
      </c>
      <c r="C114" s="228" t="s">
        <v>36</v>
      </c>
      <c r="D114" s="231">
        <v>1671.64</v>
      </c>
    </row>
    <row r="115" spans="1:4" ht="71.25">
      <c r="A115" s="230">
        <v>20811</v>
      </c>
      <c r="B115" s="230" t="s">
        <v>140</v>
      </c>
      <c r="C115" s="228" t="s">
        <v>36</v>
      </c>
      <c r="D115" s="231">
        <v>1930.05</v>
      </c>
    </row>
    <row r="116" spans="1:4" ht="99.75">
      <c r="A116" s="230">
        <v>20812</v>
      </c>
      <c r="B116" s="230" t="s">
        <v>26339</v>
      </c>
      <c r="C116" s="228" t="s">
        <v>54</v>
      </c>
      <c r="D116" s="229">
        <v>32.03</v>
      </c>
    </row>
    <row r="117" spans="1:4" ht="15">
      <c r="A117" s="227">
        <v>3</v>
      </c>
      <c r="B117" s="227" t="s">
        <v>16</v>
      </c>
      <c r="C117" s="228"/>
      <c r="D117" s="229"/>
    </row>
    <row r="118" spans="1:4" ht="15">
      <c r="A118" s="227">
        <v>301</v>
      </c>
      <c r="B118" s="227" t="s">
        <v>2183</v>
      </c>
      <c r="C118" s="228"/>
      <c r="D118" s="229"/>
    </row>
    <row r="119" spans="1:4" ht="42.75">
      <c r="A119" s="230">
        <v>30101</v>
      </c>
      <c r="B119" s="230" t="s">
        <v>141</v>
      </c>
      <c r="C119" s="228" t="s">
        <v>28759</v>
      </c>
      <c r="D119" s="229">
        <v>45.66</v>
      </c>
    </row>
    <row r="120" spans="1:4" ht="42.75">
      <c r="A120" s="230">
        <v>30102</v>
      </c>
      <c r="B120" s="230" t="s">
        <v>142</v>
      </c>
      <c r="C120" s="228" t="s">
        <v>28759</v>
      </c>
      <c r="D120" s="229">
        <v>77.28</v>
      </c>
    </row>
    <row r="121" spans="1:4" ht="28.5">
      <c r="A121" s="230">
        <v>30103</v>
      </c>
      <c r="B121" s="230" t="s">
        <v>143</v>
      </c>
      <c r="C121" s="228" t="s">
        <v>28759</v>
      </c>
      <c r="D121" s="229">
        <v>10.72</v>
      </c>
    </row>
    <row r="122" spans="1:4" ht="28.5">
      <c r="A122" s="230">
        <v>30104</v>
      </c>
      <c r="B122" s="230" t="s">
        <v>144</v>
      </c>
      <c r="C122" s="228" t="s">
        <v>28759</v>
      </c>
      <c r="D122" s="229">
        <v>14.98</v>
      </c>
    </row>
    <row r="123" spans="1:4" ht="28.5">
      <c r="A123" s="230">
        <v>30119</v>
      </c>
      <c r="B123" s="230" t="s">
        <v>145</v>
      </c>
      <c r="C123" s="228" t="s">
        <v>28758</v>
      </c>
      <c r="D123" s="229">
        <v>23.89</v>
      </c>
    </row>
    <row r="124" spans="1:4" ht="15">
      <c r="A124" s="227">
        <v>302</v>
      </c>
      <c r="B124" s="227" t="s">
        <v>2184</v>
      </c>
      <c r="C124" s="228"/>
      <c r="D124" s="229"/>
    </row>
    <row r="125" spans="1:4" ht="28.5">
      <c r="A125" s="230">
        <v>30201</v>
      </c>
      <c r="B125" s="230" t="s">
        <v>146</v>
      </c>
      <c r="C125" s="228" t="s">
        <v>28759</v>
      </c>
      <c r="D125" s="229">
        <v>49.18</v>
      </c>
    </row>
    <row r="126" spans="1:4" ht="42.75">
      <c r="A126" s="230">
        <v>30202</v>
      </c>
      <c r="B126" s="230" t="s">
        <v>147</v>
      </c>
      <c r="C126" s="228" t="s">
        <v>28759</v>
      </c>
      <c r="D126" s="229">
        <v>103.5</v>
      </c>
    </row>
    <row r="127" spans="1:4" ht="28.5">
      <c r="A127" s="230">
        <v>30203</v>
      </c>
      <c r="B127" s="230" t="s">
        <v>148</v>
      </c>
      <c r="C127" s="228" t="s">
        <v>28759</v>
      </c>
      <c r="D127" s="229">
        <v>167.66</v>
      </c>
    </row>
    <row r="128" spans="1:4" ht="14.25">
      <c r="A128" s="230">
        <v>30204</v>
      </c>
      <c r="B128" s="230" t="s">
        <v>149</v>
      </c>
      <c r="C128" s="228" t="s">
        <v>28759</v>
      </c>
      <c r="D128" s="229">
        <v>152.68</v>
      </c>
    </row>
    <row r="129" spans="1:4" ht="71.25">
      <c r="A129" s="230">
        <v>30206</v>
      </c>
      <c r="B129" s="230" t="s">
        <v>150</v>
      </c>
      <c r="C129" s="228" t="s">
        <v>28759</v>
      </c>
      <c r="D129" s="229">
        <v>139.9</v>
      </c>
    </row>
    <row r="130" spans="1:4" ht="71.25">
      <c r="A130" s="230">
        <v>30208</v>
      </c>
      <c r="B130" s="230" t="s">
        <v>151</v>
      </c>
      <c r="C130" s="228" t="s">
        <v>28759</v>
      </c>
      <c r="D130" s="229">
        <v>139.06</v>
      </c>
    </row>
    <row r="131" spans="1:4" ht="42.75">
      <c r="A131" s="230">
        <v>30209</v>
      </c>
      <c r="B131" s="230" t="s">
        <v>152</v>
      </c>
      <c r="C131" s="228" t="s">
        <v>28759</v>
      </c>
      <c r="D131" s="229">
        <v>118.83</v>
      </c>
    </row>
    <row r="132" spans="1:4" ht="42.75">
      <c r="A132" s="230">
        <v>30210</v>
      </c>
      <c r="B132" s="230" t="s">
        <v>153</v>
      </c>
      <c r="C132" s="228" t="s">
        <v>28759</v>
      </c>
      <c r="D132" s="229">
        <v>24.72</v>
      </c>
    </row>
    <row r="133" spans="1:4" ht="28.5">
      <c r="A133" s="230">
        <v>30211</v>
      </c>
      <c r="B133" s="230" t="s">
        <v>154</v>
      </c>
      <c r="C133" s="228" t="s">
        <v>28759</v>
      </c>
      <c r="D133" s="229">
        <v>6.32</v>
      </c>
    </row>
    <row r="134" spans="1:4" ht="15">
      <c r="A134" s="227">
        <v>303</v>
      </c>
      <c r="B134" s="227" t="s">
        <v>2185</v>
      </c>
      <c r="C134" s="228"/>
      <c r="D134" s="229"/>
    </row>
    <row r="135" spans="1:4" ht="99.75">
      <c r="A135" s="230">
        <v>30304</v>
      </c>
      <c r="B135" s="230" t="s">
        <v>155</v>
      </c>
      <c r="C135" s="228" t="s">
        <v>28759</v>
      </c>
      <c r="D135" s="229">
        <v>60.85</v>
      </c>
    </row>
    <row r="136" spans="1:4" ht="71.25">
      <c r="A136" s="230">
        <v>30305</v>
      </c>
      <c r="B136" s="230" t="s">
        <v>156</v>
      </c>
      <c r="C136" s="228" t="s">
        <v>36</v>
      </c>
      <c r="D136" s="229">
        <v>21.08</v>
      </c>
    </row>
    <row r="137" spans="1:4" ht="71.25">
      <c r="A137" s="230">
        <v>30306</v>
      </c>
      <c r="B137" s="230" t="s">
        <v>157</v>
      </c>
      <c r="C137" s="228" t="s">
        <v>36</v>
      </c>
      <c r="D137" s="229">
        <v>14.05</v>
      </c>
    </row>
    <row r="138" spans="1:4" ht="15">
      <c r="A138" s="227">
        <v>4</v>
      </c>
      <c r="B138" s="227" t="s">
        <v>33</v>
      </c>
      <c r="C138" s="228"/>
      <c r="D138" s="229"/>
    </row>
    <row r="139" spans="1:4" ht="15">
      <c r="A139" s="227">
        <v>402</v>
      </c>
      <c r="B139" s="227" t="s">
        <v>2186</v>
      </c>
      <c r="C139" s="228"/>
      <c r="D139" s="229"/>
    </row>
    <row r="140" spans="1:4" ht="42.75">
      <c r="A140" s="230">
        <v>40202</v>
      </c>
      <c r="B140" s="230" t="s">
        <v>158</v>
      </c>
      <c r="C140" s="228" t="s">
        <v>28759</v>
      </c>
      <c r="D140" s="229">
        <v>525.27</v>
      </c>
    </row>
    <row r="141" spans="1:4" ht="85.5">
      <c r="A141" s="230">
        <v>40206</v>
      </c>
      <c r="B141" s="230" t="s">
        <v>159</v>
      </c>
      <c r="C141" s="228" t="s">
        <v>28758</v>
      </c>
      <c r="D141" s="229">
        <v>73.25</v>
      </c>
    </row>
    <row r="142" spans="1:4" ht="57">
      <c r="A142" s="230">
        <v>40224</v>
      </c>
      <c r="B142" s="230" t="s">
        <v>160</v>
      </c>
      <c r="C142" s="228" t="s">
        <v>28759</v>
      </c>
      <c r="D142" s="229">
        <v>601.77</v>
      </c>
    </row>
    <row r="143" spans="1:4" ht="71.25">
      <c r="A143" s="230">
        <v>40231</v>
      </c>
      <c r="B143" s="230" t="s">
        <v>161</v>
      </c>
      <c r="C143" s="228" t="s">
        <v>28759</v>
      </c>
      <c r="D143" s="229">
        <v>527.91</v>
      </c>
    </row>
    <row r="144" spans="1:4" ht="57">
      <c r="A144" s="230">
        <v>40233</v>
      </c>
      <c r="B144" s="230" t="s">
        <v>162</v>
      </c>
      <c r="C144" s="228" t="s">
        <v>28759</v>
      </c>
      <c r="D144" s="229">
        <v>546.41999999999996</v>
      </c>
    </row>
    <row r="145" spans="1:4" ht="57">
      <c r="A145" s="230">
        <v>40235</v>
      </c>
      <c r="B145" s="230" t="s">
        <v>163</v>
      </c>
      <c r="C145" s="228" t="s">
        <v>28759</v>
      </c>
      <c r="D145" s="229">
        <v>564.41999999999996</v>
      </c>
    </row>
    <row r="146" spans="1:4" ht="57">
      <c r="A146" s="230">
        <v>40237</v>
      </c>
      <c r="B146" s="230" t="s">
        <v>164</v>
      </c>
      <c r="C146" s="228" t="s">
        <v>28759</v>
      </c>
      <c r="D146" s="229">
        <v>584.16</v>
      </c>
    </row>
    <row r="147" spans="1:4" ht="71.25">
      <c r="A147" s="230">
        <v>40238</v>
      </c>
      <c r="B147" s="230" t="s">
        <v>165</v>
      </c>
      <c r="C147" s="228" t="s">
        <v>28758</v>
      </c>
      <c r="D147" s="229">
        <v>88.63</v>
      </c>
    </row>
    <row r="148" spans="1:4" ht="71.25">
      <c r="A148" s="230">
        <v>40239</v>
      </c>
      <c r="B148" s="230" t="s">
        <v>166</v>
      </c>
      <c r="C148" s="228" t="s">
        <v>28759</v>
      </c>
      <c r="D148" s="229">
        <v>498.44</v>
      </c>
    </row>
    <row r="149" spans="1:4" ht="71.25">
      <c r="A149" s="230">
        <v>40240</v>
      </c>
      <c r="B149" s="230" t="s">
        <v>167</v>
      </c>
      <c r="C149" s="228" t="s">
        <v>28759</v>
      </c>
      <c r="D149" s="229">
        <v>518.74</v>
      </c>
    </row>
    <row r="150" spans="1:4" ht="57">
      <c r="A150" s="230">
        <v>40243</v>
      </c>
      <c r="B150" s="230" t="s">
        <v>168</v>
      </c>
      <c r="C150" s="228" t="s">
        <v>169</v>
      </c>
      <c r="D150" s="229">
        <v>12.94</v>
      </c>
    </row>
    <row r="151" spans="1:4" ht="57">
      <c r="A151" s="230">
        <v>40245</v>
      </c>
      <c r="B151" s="230" t="s">
        <v>170</v>
      </c>
      <c r="C151" s="228" t="s">
        <v>169</v>
      </c>
      <c r="D151" s="229">
        <v>13.04</v>
      </c>
    </row>
    <row r="152" spans="1:4" ht="57">
      <c r="A152" s="230">
        <v>40246</v>
      </c>
      <c r="B152" s="230" t="s">
        <v>171</v>
      </c>
      <c r="C152" s="228" t="s">
        <v>169</v>
      </c>
      <c r="D152" s="229">
        <v>15.75</v>
      </c>
    </row>
    <row r="153" spans="1:4" ht="71.25">
      <c r="A153" s="230">
        <v>40249</v>
      </c>
      <c r="B153" s="230" t="s">
        <v>172</v>
      </c>
      <c r="C153" s="228" t="s">
        <v>28758</v>
      </c>
      <c r="D153" s="229">
        <v>127.4</v>
      </c>
    </row>
    <row r="154" spans="1:4" ht="71.25">
      <c r="A154" s="230">
        <v>40250</v>
      </c>
      <c r="B154" s="230" t="s">
        <v>173</v>
      </c>
      <c r="C154" s="228" t="s">
        <v>28758</v>
      </c>
      <c r="D154" s="229">
        <v>90.46</v>
      </c>
    </row>
    <row r="155" spans="1:4" ht="71.25">
      <c r="A155" s="230">
        <v>40253</v>
      </c>
      <c r="B155" s="230" t="s">
        <v>174</v>
      </c>
      <c r="C155" s="228" t="s">
        <v>28759</v>
      </c>
      <c r="D155" s="229">
        <v>539.04</v>
      </c>
    </row>
    <row r="156" spans="1:4" ht="15">
      <c r="A156" s="227">
        <v>403</v>
      </c>
      <c r="B156" s="227" t="s">
        <v>2187</v>
      </c>
      <c r="C156" s="228"/>
      <c r="D156" s="229"/>
    </row>
    <row r="157" spans="1:4" ht="57">
      <c r="A157" s="230">
        <v>40315</v>
      </c>
      <c r="B157" s="230" t="s">
        <v>160</v>
      </c>
      <c r="C157" s="228" t="s">
        <v>28759</v>
      </c>
      <c r="D157" s="229">
        <v>691.51</v>
      </c>
    </row>
    <row r="158" spans="1:4" ht="57">
      <c r="A158" s="230">
        <v>40320</v>
      </c>
      <c r="B158" s="230" t="s">
        <v>162</v>
      </c>
      <c r="C158" s="228" t="s">
        <v>28759</v>
      </c>
      <c r="D158" s="229">
        <v>636.16</v>
      </c>
    </row>
    <row r="159" spans="1:4" ht="57">
      <c r="A159" s="230">
        <v>40322</v>
      </c>
      <c r="B159" s="230" t="s">
        <v>163</v>
      </c>
      <c r="C159" s="228" t="s">
        <v>28759</v>
      </c>
      <c r="D159" s="229">
        <v>654.16</v>
      </c>
    </row>
    <row r="160" spans="1:4" ht="57">
      <c r="A160" s="230">
        <v>40324</v>
      </c>
      <c r="B160" s="230" t="s">
        <v>164</v>
      </c>
      <c r="C160" s="228" t="s">
        <v>28759</v>
      </c>
      <c r="D160" s="229">
        <v>673.9</v>
      </c>
    </row>
    <row r="161" spans="1:4" ht="57">
      <c r="A161" s="230">
        <v>40328</v>
      </c>
      <c r="B161" s="230" t="s">
        <v>168</v>
      </c>
      <c r="C161" s="228" t="s">
        <v>169</v>
      </c>
      <c r="D161" s="229">
        <v>12.94</v>
      </c>
    </row>
    <row r="162" spans="1:4" ht="71.25">
      <c r="A162" s="230">
        <v>40329</v>
      </c>
      <c r="B162" s="230" t="s">
        <v>175</v>
      </c>
      <c r="C162" s="228" t="s">
        <v>28759</v>
      </c>
      <c r="D162" s="229">
        <v>436.58</v>
      </c>
    </row>
    <row r="163" spans="1:4" ht="71.25">
      <c r="A163" s="230">
        <v>40330</v>
      </c>
      <c r="B163" s="230" t="s">
        <v>176</v>
      </c>
      <c r="C163" s="228" t="s">
        <v>28759</v>
      </c>
      <c r="D163" s="229">
        <v>458.04</v>
      </c>
    </row>
    <row r="164" spans="1:4" ht="71.25">
      <c r="A164" s="230">
        <v>40331</v>
      </c>
      <c r="B164" s="230" t="s">
        <v>177</v>
      </c>
      <c r="C164" s="228" t="s">
        <v>28759</v>
      </c>
      <c r="D164" s="229">
        <v>479.51</v>
      </c>
    </row>
    <row r="165" spans="1:4" ht="57">
      <c r="A165" s="230">
        <v>40332</v>
      </c>
      <c r="B165" s="230" t="s">
        <v>178</v>
      </c>
      <c r="C165" s="228" t="s">
        <v>169</v>
      </c>
      <c r="D165" s="229">
        <v>13.04</v>
      </c>
    </row>
    <row r="166" spans="1:4" ht="57">
      <c r="A166" s="230">
        <v>40333</v>
      </c>
      <c r="B166" s="230" t="s">
        <v>171</v>
      </c>
      <c r="C166" s="228" t="s">
        <v>169</v>
      </c>
      <c r="D166" s="229">
        <v>15.75</v>
      </c>
    </row>
    <row r="167" spans="1:4" ht="99.75">
      <c r="A167" s="230">
        <v>40337</v>
      </c>
      <c r="B167" s="230" t="s">
        <v>179</v>
      </c>
      <c r="C167" s="228" t="s">
        <v>28758</v>
      </c>
      <c r="D167" s="229">
        <v>104.2</v>
      </c>
    </row>
    <row r="168" spans="1:4" ht="99.75">
      <c r="A168" s="230">
        <v>40339</v>
      </c>
      <c r="B168" s="230" t="s">
        <v>180</v>
      </c>
      <c r="C168" s="228" t="s">
        <v>28758</v>
      </c>
      <c r="D168" s="229">
        <v>124.84</v>
      </c>
    </row>
    <row r="169" spans="1:4" ht="30">
      <c r="A169" s="227">
        <v>404</v>
      </c>
      <c r="B169" s="227" t="s">
        <v>2188</v>
      </c>
      <c r="C169" s="228"/>
      <c r="D169" s="229"/>
    </row>
    <row r="170" spans="1:4" ht="42.75">
      <c r="A170" s="230">
        <v>40405</v>
      </c>
      <c r="B170" s="230" t="s">
        <v>181</v>
      </c>
      <c r="C170" s="228" t="s">
        <v>28758</v>
      </c>
      <c r="D170" s="229">
        <v>121.16</v>
      </c>
    </row>
    <row r="171" spans="1:4" ht="15">
      <c r="A171" s="227">
        <v>406</v>
      </c>
      <c r="B171" s="227" t="s">
        <v>2189</v>
      </c>
      <c r="C171" s="228"/>
      <c r="D171" s="229"/>
    </row>
    <row r="172" spans="1:4" ht="57">
      <c r="A172" s="230">
        <v>40601</v>
      </c>
      <c r="B172" s="230" t="s">
        <v>182</v>
      </c>
      <c r="C172" s="228" t="s">
        <v>28758</v>
      </c>
      <c r="D172" s="229">
        <v>112.44</v>
      </c>
    </row>
    <row r="173" spans="1:4" ht="57">
      <c r="A173" s="230">
        <v>40602</v>
      </c>
      <c r="B173" s="230" t="s">
        <v>183</v>
      </c>
      <c r="C173" s="228" t="s">
        <v>28758</v>
      </c>
      <c r="D173" s="229">
        <v>124.22</v>
      </c>
    </row>
    <row r="174" spans="1:4" ht="15">
      <c r="A174" s="227">
        <v>407</v>
      </c>
      <c r="B174" s="227" t="s">
        <v>1221</v>
      </c>
      <c r="C174" s="228"/>
      <c r="D174" s="229"/>
    </row>
    <row r="175" spans="1:4" ht="71.25">
      <c r="A175" s="230">
        <v>40705</v>
      </c>
      <c r="B175" s="230" t="s">
        <v>184</v>
      </c>
      <c r="C175" s="228" t="s">
        <v>54</v>
      </c>
      <c r="D175" s="229">
        <v>73.78</v>
      </c>
    </row>
    <row r="176" spans="1:4" ht="15">
      <c r="A176" s="227">
        <v>408</v>
      </c>
      <c r="B176" s="227" t="s">
        <v>2190</v>
      </c>
      <c r="C176" s="228"/>
      <c r="D176" s="229"/>
    </row>
    <row r="177" spans="1:4" ht="28.5">
      <c r="A177" s="230">
        <v>40801</v>
      </c>
      <c r="B177" s="230" t="s">
        <v>185</v>
      </c>
      <c r="C177" s="228" t="s">
        <v>28759</v>
      </c>
      <c r="D177" s="231">
        <v>2379.89</v>
      </c>
    </row>
    <row r="178" spans="1:4" ht="57">
      <c r="A178" s="230">
        <v>40802</v>
      </c>
      <c r="B178" s="230" t="s">
        <v>186</v>
      </c>
      <c r="C178" s="228" t="s">
        <v>28758</v>
      </c>
      <c r="D178" s="229">
        <v>118.99</v>
      </c>
    </row>
    <row r="179" spans="1:4" ht="57">
      <c r="A179" s="230">
        <v>40803</v>
      </c>
      <c r="B179" s="230" t="s">
        <v>187</v>
      </c>
      <c r="C179" s="228" t="s">
        <v>28758</v>
      </c>
      <c r="D179" s="229">
        <v>70.25</v>
      </c>
    </row>
    <row r="180" spans="1:4" ht="71.25">
      <c r="A180" s="230">
        <v>40806</v>
      </c>
      <c r="B180" s="230" t="s">
        <v>188</v>
      </c>
      <c r="C180" s="228" t="s">
        <v>28758</v>
      </c>
      <c r="D180" s="229">
        <v>21.08</v>
      </c>
    </row>
    <row r="181" spans="1:4" ht="42.75">
      <c r="A181" s="230">
        <v>40807</v>
      </c>
      <c r="B181" s="230" t="s">
        <v>189</v>
      </c>
      <c r="C181" s="228" t="s">
        <v>28758</v>
      </c>
      <c r="D181" s="229">
        <v>64.33</v>
      </c>
    </row>
    <row r="182" spans="1:4" ht="14.25">
      <c r="A182" s="230">
        <v>40808</v>
      </c>
      <c r="B182" s="230" t="s">
        <v>190</v>
      </c>
      <c r="C182" s="228" t="s">
        <v>169</v>
      </c>
      <c r="D182" s="229">
        <v>4.2300000000000004</v>
      </c>
    </row>
    <row r="183" spans="1:4" ht="71.25">
      <c r="A183" s="230">
        <v>40809</v>
      </c>
      <c r="B183" s="230" t="s">
        <v>191</v>
      </c>
      <c r="C183" s="228" t="s">
        <v>28758</v>
      </c>
      <c r="D183" s="229">
        <v>373.44</v>
      </c>
    </row>
    <row r="184" spans="1:4" ht="57">
      <c r="A184" s="230">
        <v>40810</v>
      </c>
      <c r="B184" s="230" t="s">
        <v>192</v>
      </c>
      <c r="C184" s="228" t="s">
        <v>28759</v>
      </c>
      <c r="D184" s="231">
        <v>6881.68</v>
      </c>
    </row>
    <row r="185" spans="1:4" ht="28.5">
      <c r="A185" s="230">
        <v>40813</v>
      </c>
      <c r="B185" s="230" t="s">
        <v>193</v>
      </c>
      <c r="C185" s="228" t="s">
        <v>28758</v>
      </c>
      <c r="D185" s="229">
        <v>71.290000000000006</v>
      </c>
    </row>
    <row r="186" spans="1:4" ht="42.75">
      <c r="A186" s="230">
        <v>40816</v>
      </c>
      <c r="B186" s="230" t="s">
        <v>194</v>
      </c>
      <c r="C186" s="228" t="s">
        <v>28758</v>
      </c>
      <c r="D186" s="229">
        <v>13.87</v>
      </c>
    </row>
    <row r="187" spans="1:4" ht="71.25">
      <c r="A187" s="230">
        <v>40817</v>
      </c>
      <c r="B187" s="230" t="s">
        <v>195</v>
      </c>
      <c r="C187" s="228" t="s">
        <v>28759</v>
      </c>
      <c r="D187" s="231">
        <v>2812.31</v>
      </c>
    </row>
    <row r="188" spans="1:4" ht="57">
      <c r="A188" s="230">
        <v>40818</v>
      </c>
      <c r="B188" s="230" t="s">
        <v>196</v>
      </c>
      <c r="C188" s="228" t="s">
        <v>28758</v>
      </c>
      <c r="D188" s="229">
        <v>88.28</v>
      </c>
    </row>
    <row r="189" spans="1:4" ht="105">
      <c r="A189" s="227">
        <v>409</v>
      </c>
      <c r="B189" s="227" t="s">
        <v>2191</v>
      </c>
      <c r="C189" s="228"/>
      <c r="D189" s="229"/>
    </row>
    <row r="190" spans="1:4" ht="114">
      <c r="A190" s="230">
        <v>40901</v>
      </c>
      <c r="B190" s="230" t="s">
        <v>197</v>
      </c>
      <c r="C190" s="228" t="s">
        <v>54</v>
      </c>
      <c r="D190" s="229">
        <v>577.9</v>
      </c>
    </row>
    <row r="191" spans="1:4" ht="114">
      <c r="A191" s="230">
        <v>40902</v>
      </c>
      <c r="B191" s="230" t="s">
        <v>198</v>
      </c>
      <c r="C191" s="228" t="s">
        <v>54</v>
      </c>
      <c r="D191" s="229">
        <v>915.51</v>
      </c>
    </row>
    <row r="192" spans="1:4" ht="114">
      <c r="A192" s="230">
        <v>40903</v>
      </c>
      <c r="B192" s="230" t="s">
        <v>199</v>
      </c>
      <c r="C192" s="228" t="s">
        <v>54</v>
      </c>
      <c r="D192" s="231">
        <v>1294.6500000000001</v>
      </c>
    </row>
    <row r="193" spans="1:4" ht="114">
      <c r="A193" s="230">
        <v>40904</v>
      </c>
      <c r="B193" s="230" t="s">
        <v>200</v>
      </c>
      <c r="C193" s="228" t="s">
        <v>54</v>
      </c>
      <c r="D193" s="231">
        <v>1697.72</v>
      </c>
    </row>
    <row r="194" spans="1:4" ht="15">
      <c r="A194" s="227">
        <v>5</v>
      </c>
      <c r="B194" s="227" t="s">
        <v>2192</v>
      </c>
      <c r="C194" s="228"/>
      <c r="D194" s="229"/>
    </row>
    <row r="195" spans="1:4" ht="15">
      <c r="A195" s="227">
        <v>501</v>
      </c>
      <c r="B195" s="227" t="s">
        <v>2193</v>
      </c>
      <c r="C195" s="228"/>
      <c r="D195" s="229"/>
    </row>
    <row r="196" spans="1:4" ht="71.25">
      <c r="A196" s="230">
        <v>50112</v>
      </c>
      <c r="B196" s="230" t="s">
        <v>201</v>
      </c>
      <c r="C196" s="228" t="s">
        <v>28758</v>
      </c>
      <c r="D196" s="229">
        <v>128.46</v>
      </c>
    </row>
    <row r="197" spans="1:4" ht="42.75">
      <c r="A197" s="230">
        <v>50115</v>
      </c>
      <c r="B197" s="230" t="s">
        <v>202</v>
      </c>
      <c r="C197" s="228" t="s">
        <v>28759</v>
      </c>
      <c r="D197" s="229">
        <v>439.31</v>
      </c>
    </row>
    <row r="198" spans="1:4" ht="85.5">
      <c r="A198" s="230">
        <v>50122</v>
      </c>
      <c r="B198" s="230" t="s">
        <v>203</v>
      </c>
      <c r="C198" s="228" t="s">
        <v>28758</v>
      </c>
      <c r="D198" s="229">
        <v>158.22999999999999</v>
      </c>
    </row>
    <row r="199" spans="1:4" ht="15">
      <c r="A199" s="227">
        <v>502</v>
      </c>
      <c r="B199" s="227" t="s">
        <v>2194</v>
      </c>
      <c r="C199" s="228"/>
      <c r="D199" s="229"/>
    </row>
    <row r="200" spans="1:4" ht="85.5">
      <c r="A200" s="230">
        <v>50202</v>
      </c>
      <c r="B200" s="230" t="s">
        <v>204</v>
      </c>
      <c r="C200" s="228" t="s">
        <v>28758</v>
      </c>
      <c r="D200" s="229">
        <v>118.22</v>
      </c>
    </row>
    <row r="201" spans="1:4" ht="57">
      <c r="A201" s="230">
        <v>50203</v>
      </c>
      <c r="B201" s="230" t="s">
        <v>205</v>
      </c>
      <c r="C201" s="228" t="s">
        <v>36</v>
      </c>
      <c r="D201" s="229">
        <v>390.67</v>
      </c>
    </row>
    <row r="202" spans="1:4" ht="57">
      <c r="A202" s="230">
        <v>50205</v>
      </c>
      <c r="B202" s="230" t="s">
        <v>206</v>
      </c>
      <c r="C202" s="228" t="s">
        <v>28758</v>
      </c>
      <c r="D202" s="229">
        <v>413.05</v>
      </c>
    </row>
    <row r="203" spans="1:4" ht="42.75">
      <c r="A203" s="230">
        <v>50206</v>
      </c>
      <c r="B203" s="230" t="s">
        <v>207</v>
      </c>
      <c r="C203" s="228" t="s">
        <v>28758</v>
      </c>
      <c r="D203" s="229">
        <v>412.18</v>
      </c>
    </row>
    <row r="204" spans="1:4" ht="85.5">
      <c r="A204" s="230">
        <v>50208</v>
      </c>
      <c r="B204" s="230" t="s">
        <v>208</v>
      </c>
      <c r="C204" s="228" t="s">
        <v>28758</v>
      </c>
      <c r="D204" s="229">
        <v>117.28</v>
      </c>
    </row>
    <row r="205" spans="1:4" ht="15">
      <c r="A205" s="227">
        <v>503</v>
      </c>
      <c r="B205" s="227" t="s">
        <v>2195</v>
      </c>
      <c r="C205" s="228"/>
      <c r="D205" s="229"/>
    </row>
    <row r="206" spans="1:4" ht="57">
      <c r="A206" s="230">
        <v>50301</v>
      </c>
      <c r="B206" s="230" t="s">
        <v>209</v>
      </c>
      <c r="C206" s="228" t="s">
        <v>54</v>
      </c>
      <c r="D206" s="229">
        <v>9.24</v>
      </c>
    </row>
    <row r="207" spans="1:4" ht="57">
      <c r="A207" s="230">
        <v>50303</v>
      </c>
      <c r="B207" s="230" t="s">
        <v>210</v>
      </c>
      <c r="C207" s="228" t="s">
        <v>54</v>
      </c>
      <c r="D207" s="229">
        <v>82.24</v>
      </c>
    </row>
    <row r="208" spans="1:4" ht="15">
      <c r="A208" s="227">
        <v>505</v>
      </c>
      <c r="B208" s="227" t="s">
        <v>2196</v>
      </c>
      <c r="C208" s="228"/>
      <c r="D208" s="229"/>
    </row>
    <row r="209" spans="1:4" ht="99.75">
      <c r="A209" s="230">
        <v>50501</v>
      </c>
      <c r="B209" s="230" t="s">
        <v>211</v>
      </c>
      <c r="C209" s="228" t="s">
        <v>28758</v>
      </c>
      <c r="D209" s="229">
        <v>102.91</v>
      </c>
    </row>
    <row r="210" spans="1:4" ht="85.5">
      <c r="A210" s="230">
        <v>50502</v>
      </c>
      <c r="B210" s="230" t="s">
        <v>212</v>
      </c>
      <c r="C210" s="228" t="s">
        <v>28758</v>
      </c>
      <c r="D210" s="229">
        <v>191.82</v>
      </c>
    </row>
    <row r="211" spans="1:4" ht="99.75">
      <c r="A211" s="230">
        <v>50503</v>
      </c>
      <c r="B211" s="230" t="s">
        <v>213</v>
      </c>
      <c r="C211" s="228" t="s">
        <v>28758</v>
      </c>
      <c r="D211" s="229">
        <v>72.33</v>
      </c>
    </row>
    <row r="212" spans="1:4" ht="45">
      <c r="A212" s="227">
        <v>506</v>
      </c>
      <c r="B212" s="227" t="s">
        <v>2197</v>
      </c>
      <c r="C212" s="228"/>
      <c r="D212" s="229"/>
    </row>
    <row r="213" spans="1:4" ht="99.75">
      <c r="A213" s="230">
        <v>50601</v>
      </c>
      <c r="B213" s="230" t="s">
        <v>214</v>
      </c>
      <c r="C213" s="228" t="s">
        <v>28758</v>
      </c>
      <c r="D213" s="229">
        <v>54.08</v>
      </c>
    </row>
    <row r="214" spans="1:4" ht="99.75">
      <c r="A214" s="230">
        <v>50602</v>
      </c>
      <c r="B214" s="230" t="s">
        <v>215</v>
      </c>
      <c r="C214" s="228" t="s">
        <v>28758</v>
      </c>
      <c r="D214" s="229">
        <v>66.83</v>
      </c>
    </row>
    <row r="215" spans="1:4" ht="99.75">
      <c r="A215" s="230">
        <v>50603</v>
      </c>
      <c r="B215" s="230" t="s">
        <v>216</v>
      </c>
      <c r="C215" s="228" t="s">
        <v>28758</v>
      </c>
      <c r="D215" s="229">
        <v>79.83</v>
      </c>
    </row>
    <row r="216" spans="1:4" ht="114">
      <c r="A216" s="230">
        <v>50605</v>
      </c>
      <c r="B216" s="230" t="s">
        <v>217</v>
      </c>
      <c r="C216" s="228" t="s">
        <v>28758</v>
      </c>
      <c r="D216" s="229">
        <v>70.73</v>
      </c>
    </row>
    <row r="217" spans="1:4" ht="114">
      <c r="A217" s="230">
        <v>50606</v>
      </c>
      <c r="B217" s="230" t="s">
        <v>218</v>
      </c>
      <c r="C217" s="228" t="s">
        <v>28758</v>
      </c>
      <c r="D217" s="229">
        <v>58.98</v>
      </c>
    </row>
    <row r="218" spans="1:4" ht="114">
      <c r="A218" s="230">
        <v>50607</v>
      </c>
      <c r="B218" s="230" t="s">
        <v>219</v>
      </c>
      <c r="C218" s="228" t="s">
        <v>28758</v>
      </c>
      <c r="D218" s="229">
        <v>124.48</v>
      </c>
    </row>
    <row r="219" spans="1:4" ht="114">
      <c r="A219" s="230">
        <v>50608</v>
      </c>
      <c r="B219" s="230" t="s">
        <v>220</v>
      </c>
      <c r="C219" s="228" t="s">
        <v>28758</v>
      </c>
      <c r="D219" s="229">
        <v>102.39</v>
      </c>
    </row>
    <row r="220" spans="1:4" ht="15">
      <c r="A220" s="227">
        <v>6</v>
      </c>
      <c r="B220" s="227" t="s">
        <v>2198</v>
      </c>
      <c r="C220" s="228"/>
      <c r="D220" s="229"/>
    </row>
    <row r="221" spans="1:4" ht="15">
      <c r="A221" s="227">
        <v>601</v>
      </c>
      <c r="B221" s="227" t="s">
        <v>2199</v>
      </c>
      <c r="C221" s="228"/>
      <c r="D221" s="229"/>
    </row>
    <row r="222" spans="1:4" ht="71.25">
      <c r="A222" s="230">
        <v>60101</v>
      </c>
      <c r="B222" s="230" t="s">
        <v>221</v>
      </c>
      <c r="C222" s="228" t="s">
        <v>36</v>
      </c>
      <c r="D222" s="229">
        <v>350.87</v>
      </c>
    </row>
    <row r="223" spans="1:4" ht="71.25">
      <c r="A223" s="230">
        <v>60102</v>
      </c>
      <c r="B223" s="230" t="s">
        <v>222</v>
      </c>
      <c r="C223" s="228" t="s">
        <v>36</v>
      </c>
      <c r="D223" s="229">
        <v>350.87</v>
      </c>
    </row>
    <row r="224" spans="1:4" ht="71.25">
      <c r="A224" s="230">
        <v>60103</v>
      </c>
      <c r="B224" s="230" t="s">
        <v>223</v>
      </c>
      <c r="C224" s="228" t="s">
        <v>36</v>
      </c>
      <c r="D224" s="229">
        <v>350.87</v>
      </c>
    </row>
    <row r="225" spans="1:4" ht="42.75">
      <c r="A225" s="230">
        <v>60107</v>
      </c>
      <c r="B225" s="230" t="s">
        <v>224</v>
      </c>
      <c r="C225" s="228" t="s">
        <v>54</v>
      </c>
      <c r="D225" s="229">
        <v>16.600000000000001</v>
      </c>
    </row>
    <row r="226" spans="1:4" ht="71.25">
      <c r="A226" s="230">
        <v>60108</v>
      </c>
      <c r="B226" s="230" t="s">
        <v>225</v>
      </c>
      <c r="C226" s="228" t="s">
        <v>36</v>
      </c>
      <c r="D226" s="229">
        <v>350.87</v>
      </c>
    </row>
    <row r="227" spans="1:4" ht="57">
      <c r="A227" s="230">
        <v>60110</v>
      </c>
      <c r="B227" s="230" t="s">
        <v>226</v>
      </c>
      <c r="C227" s="228" t="s">
        <v>54</v>
      </c>
      <c r="D227" s="229">
        <v>84.27</v>
      </c>
    </row>
    <row r="228" spans="1:4" ht="42.75">
      <c r="A228" s="230">
        <v>60112</v>
      </c>
      <c r="B228" s="230" t="s">
        <v>227</v>
      </c>
      <c r="C228" s="228" t="s">
        <v>54</v>
      </c>
      <c r="D228" s="229">
        <v>63.09</v>
      </c>
    </row>
    <row r="229" spans="1:4" ht="42.75">
      <c r="A229" s="230">
        <v>60113</v>
      </c>
      <c r="B229" s="230" t="s">
        <v>228</v>
      </c>
      <c r="C229" s="228" t="s">
        <v>54</v>
      </c>
      <c r="D229" s="229">
        <v>22.33</v>
      </c>
    </row>
    <row r="230" spans="1:4" ht="15">
      <c r="A230" s="227">
        <v>611</v>
      </c>
      <c r="B230" s="227" t="s">
        <v>2200</v>
      </c>
      <c r="C230" s="228"/>
      <c r="D230" s="229"/>
    </row>
    <row r="231" spans="1:4" ht="42.75">
      <c r="A231" s="230">
        <v>61101</v>
      </c>
      <c r="B231" s="230" t="s">
        <v>229</v>
      </c>
      <c r="C231" s="228" t="s">
        <v>36</v>
      </c>
      <c r="D231" s="229">
        <v>9.52</v>
      </c>
    </row>
    <row r="232" spans="1:4" ht="57">
      <c r="A232" s="230">
        <v>61102</v>
      </c>
      <c r="B232" s="230" t="s">
        <v>230</v>
      </c>
      <c r="C232" s="228" t="s">
        <v>36</v>
      </c>
      <c r="D232" s="229">
        <v>100.02</v>
      </c>
    </row>
    <row r="233" spans="1:4" ht="57">
      <c r="A233" s="230">
        <v>61103</v>
      </c>
      <c r="B233" s="230" t="s">
        <v>231</v>
      </c>
      <c r="C233" s="228" t="s">
        <v>36</v>
      </c>
      <c r="D233" s="229">
        <v>254.11</v>
      </c>
    </row>
    <row r="234" spans="1:4" ht="42.75">
      <c r="A234" s="230">
        <v>61104</v>
      </c>
      <c r="B234" s="230" t="s">
        <v>232</v>
      </c>
      <c r="C234" s="228" t="s">
        <v>36</v>
      </c>
      <c r="D234" s="229">
        <v>68.14</v>
      </c>
    </row>
    <row r="235" spans="1:4" ht="42.75">
      <c r="A235" s="230">
        <v>61106</v>
      </c>
      <c r="B235" s="230" t="s">
        <v>233</v>
      </c>
      <c r="C235" s="228" t="s">
        <v>36</v>
      </c>
      <c r="D235" s="229">
        <v>177.32</v>
      </c>
    </row>
    <row r="236" spans="1:4" ht="42.75">
      <c r="A236" s="230">
        <v>61107</v>
      </c>
      <c r="B236" s="230" t="s">
        <v>234</v>
      </c>
      <c r="C236" s="228" t="s">
        <v>36</v>
      </c>
      <c r="D236" s="229">
        <v>102.69</v>
      </c>
    </row>
    <row r="237" spans="1:4" ht="57">
      <c r="A237" s="230">
        <v>61108</v>
      </c>
      <c r="B237" s="230" t="s">
        <v>235</v>
      </c>
      <c r="C237" s="228" t="s">
        <v>36</v>
      </c>
      <c r="D237" s="229">
        <v>89.37</v>
      </c>
    </row>
    <row r="238" spans="1:4" ht="42.75">
      <c r="A238" s="230">
        <v>61112</v>
      </c>
      <c r="B238" s="230" t="s">
        <v>236</v>
      </c>
      <c r="C238" s="228" t="s">
        <v>36</v>
      </c>
      <c r="D238" s="229">
        <v>58.06</v>
      </c>
    </row>
    <row r="239" spans="1:4" ht="105">
      <c r="A239" s="227">
        <v>613</v>
      </c>
      <c r="B239" s="227" t="s">
        <v>2201</v>
      </c>
      <c r="C239" s="228"/>
      <c r="D239" s="229"/>
    </row>
    <row r="240" spans="1:4" ht="128.25">
      <c r="A240" s="230">
        <v>61301</v>
      </c>
      <c r="B240" s="230" t="s">
        <v>237</v>
      </c>
      <c r="C240" s="228" t="s">
        <v>36</v>
      </c>
      <c r="D240" s="229">
        <v>888.25</v>
      </c>
    </row>
    <row r="241" spans="1:4" ht="128.25">
      <c r="A241" s="230">
        <v>61302</v>
      </c>
      <c r="B241" s="230" t="s">
        <v>2202</v>
      </c>
      <c r="C241" s="228" t="s">
        <v>36</v>
      </c>
      <c r="D241" s="229">
        <v>896.17</v>
      </c>
    </row>
    <row r="242" spans="1:4" ht="128.25">
      <c r="A242" s="230">
        <v>61303</v>
      </c>
      <c r="B242" s="230" t="s">
        <v>2203</v>
      </c>
      <c r="C242" s="228" t="s">
        <v>36</v>
      </c>
      <c r="D242" s="229">
        <v>904.42</v>
      </c>
    </row>
    <row r="243" spans="1:4" ht="128.25">
      <c r="A243" s="230">
        <v>61304</v>
      </c>
      <c r="B243" s="230" t="s">
        <v>2204</v>
      </c>
      <c r="C243" s="228" t="s">
        <v>36</v>
      </c>
      <c r="D243" s="229">
        <v>942.22</v>
      </c>
    </row>
    <row r="244" spans="1:4" ht="90">
      <c r="A244" s="227">
        <v>614</v>
      </c>
      <c r="B244" s="227" t="s">
        <v>2205</v>
      </c>
      <c r="C244" s="228"/>
      <c r="D244" s="229"/>
    </row>
    <row r="245" spans="1:4" ht="128.25">
      <c r="A245" s="230">
        <v>61401</v>
      </c>
      <c r="B245" s="230" t="s">
        <v>2206</v>
      </c>
      <c r="C245" s="228" t="s">
        <v>36</v>
      </c>
      <c r="D245" s="229">
        <v>762.6</v>
      </c>
    </row>
    <row r="246" spans="1:4" ht="128.25">
      <c r="A246" s="230">
        <v>61402</v>
      </c>
      <c r="B246" s="230" t="s">
        <v>2207</v>
      </c>
      <c r="C246" s="228" t="s">
        <v>36</v>
      </c>
      <c r="D246" s="229">
        <v>789.25</v>
      </c>
    </row>
    <row r="247" spans="1:4" ht="128.25">
      <c r="A247" s="230">
        <v>61403</v>
      </c>
      <c r="B247" s="230" t="s">
        <v>2208</v>
      </c>
      <c r="C247" s="228" t="s">
        <v>36</v>
      </c>
      <c r="D247" s="229">
        <v>762.6</v>
      </c>
    </row>
    <row r="248" spans="1:4" ht="128.25">
      <c r="A248" s="230">
        <v>61404</v>
      </c>
      <c r="B248" s="230" t="s">
        <v>2209</v>
      </c>
      <c r="C248" s="228" t="s">
        <v>36</v>
      </c>
      <c r="D248" s="229">
        <v>789.25</v>
      </c>
    </row>
    <row r="249" spans="1:4" ht="60">
      <c r="A249" s="227">
        <v>617</v>
      </c>
      <c r="B249" s="227" t="s">
        <v>2210</v>
      </c>
      <c r="C249" s="228"/>
      <c r="D249" s="229"/>
    </row>
    <row r="250" spans="1:4" ht="57">
      <c r="A250" s="230">
        <v>61701</v>
      </c>
      <c r="B250" s="230" t="s">
        <v>2211</v>
      </c>
      <c r="C250" s="228" t="s">
        <v>36</v>
      </c>
      <c r="D250" s="229">
        <v>943.07</v>
      </c>
    </row>
    <row r="251" spans="1:4" ht="57">
      <c r="A251" s="230">
        <v>61702</v>
      </c>
      <c r="B251" s="230" t="s">
        <v>2212</v>
      </c>
      <c r="C251" s="228" t="s">
        <v>36</v>
      </c>
      <c r="D251" s="231">
        <v>1068.5</v>
      </c>
    </row>
    <row r="252" spans="1:4" ht="57">
      <c r="A252" s="230">
        <v>61703</v>
      </c>
      <c r="B252" s="230" t="s">
        <v>2213</v>
      </c>
      <c r="C252" s="228" t="s">
        <v>36</v>
      </c>
      <c r="D252" s="231">
        <v>1160.4000000000001</v>
      </c>
    </row>
    <row r="253" spans="1:4" ht="120">
      <c r="A253" s="227">
        <v>619</v>
      </c>
      <c r="B253" s="227" t="s">
        <v>2214</v>
      </c>
      <c r="C253" s="228"/>
      <c r="D253" s="229"/>
    </row>
    <row r="254" spans="1:4" ht="128.25">
      <c r="A254" s="230">
        <v>61901</v>
      </c>
      <c r="B254" s="230" t="s">
        <v>2215</v>
      </c>
      <c r="C254" s="228" t="s">
        <v>36</v>
      </c>
      <c r="D254" s="231">
        <v>1237.92</v>
      </c>
    </row>
    <row r="255" spans="1:4" ht="128.25">
      <c r="A255" s="230">
        <v>61902</v>
      </c>
      <c r="B255" s="230" t="s">
        <v>2216</v>
      </c>
      <c r="C255" s="228" t="s">
        <v>36</v>
      </c>
      <c r="D255" s="231">
        <v>1295.17</v>
      </c>
    </row>
    <row r="256" spans="1:4" ht="128.25">
      <c r="A256" s="230">
        <v>61903</v>
      </c>
      <c r="B256" s="230" t="s">
        <v>2217</v>
      </c>
      <c r="C256" s="228" t="s">
        <v>36</v>
      </c>
      <c r="D256" s="231">
        <v>1365.84</v>
      </c>
    </row>
    <row r="257" spans="1:4" ht="15">
      <c r="A257" s="227">
        <v>622</v>
      </c>
      <c r="B257" s="227" t="s">
        <v>2218</v>
      </c>
      <c r="C257" s="228"/>
      <c r="D257" s="229"/>
    </row>
    <row r="258" spans="1:4" ht="42.75">
      <c r="A258" s="230">
        <v>62201</v>
      </c>
      <c r="B258" s="230" t="s">
        <v>238</v>
      </c>
      <c r="C258" s="228" t="s">
        <v>36</v>
      </c>
      <c r="D258" s="229">
        <v>76.5</v>
      </c>
    </row>
    <row r="259" spans="1:4" ht="42.75">
      <c r="A259" s="230">
        <v>62202</v>
      </c>
      <c r="B259" s="230" t="s">
        <v>239</v>
      </c>
      <c r="C259" s="228" t="s">
        <v>36</v>
      </c>
      <c r="D259" s="229">
        <v>230.59</v>
      </c>
    </row>
    <row r="260" spans="1:4" ht="42.75">
      <c r="A260" s="230">
        <v>62203</v>
      </c>
      <c r="B260" s="230" t="s">
        <v>240</v>
      </c>
      <c r="C260" s="228" t="s">
        <v>36</v>
      </c>
      <c r="D260" s="229">
        <v>153.80000000000001</v>
      </c>
    </row>
    <row r="261" spans="1:4" ht="42.75">
      <c r="A261" s="230">
        <v>62204</v>
      </c>
      <c r="B261" s="230" t="s">
        <v>241</v>
      </c>
      <c r="C261" s="228" t="s">
        <v>36</v>
      </c>
      <c r="D261" s="229">
        <v>66.55</v>
      </c>
    </row>
    <row r="262" spans="1:4" ht="28.5">
      <c r="A262" s="230">
        <v>62205</v>
      </c>
      <c r="B262" s="230" t="s">
        <v>242</v>
      </c>
      <c r="C262" s="228" t="s">
        <v>36</v>
      </c>
      <c r="D262" s="229">
        <v>56.45</v>
      </c>
    </row>
    <row r="263" spans="1:4" ht="28.5">
      <c r="A263" s="230">
        <v>62206</v>
      </c>
      <c r="B263" s="230" t="s">
        <v>243</v>
      </c>
      <c r="C263" s="228" t="s">
        <v>36</v>
      </c>
      <c r="D263" s="229">
        <v>8.32</v>
      </c>
    </row>
    <row r="264" spans="1:4" ht="14.25">
      <c r="A264" s="230">
        <v>62207</v>
      </c>
      <c r="B264" s="230" t="s">
        <v>244</v>
      </c>
      <c r="C264" s="228" t="s">
        <v>36</v>
      </c>
      <c r="D264" s="229">
        <v>53.22</v>
      </c>
    </row>
    <row r="265" spans="1:4" ht="42.75">
      <c r="A265" s="230">
        <v>62208</v>
      </c>
      <c r="B265" s="230" t="s">
        <v>245</v>
      </c>
      <c r="C265" s="228" t="s">
        <v>36</v>
      </c>
      <c r="D265" s="229">
        <v>60.67</v>
      </c>
    </row>
    <row r="266" spans="1:4" ht="28.5">
      <c r="A266" s="230">
        <v>62211</v>
      </c>
      <c r="B266" s="230" t="s">
        <v>246</v>
      </c>
      <c r="C266" s="228" t="s">
        <v>54</v>
      </c>
      <c r="D266" s="229">
        <v>2.59</v>
      </c>
    </row>
    <row r="267" spans="1:4" ht="28.5">
      <c r="A267" s="230">
        <v>62212</v>
      </c>
      <c r="B267" s="230" t="s">
        <v>247</v>
      </c>
      <c r="C267" s="228" t="s">
        <v>54</v>
      </c>
      <c r="D267" s="229">
        <v>12.46</v>
      </c>
    </row>
    <row r="268" spans="1:4" ht="105">
      <c r="A268" s="227">
        <v>623</v>
      </c>
      <c r="B268" s="227" t="s">
        <v>2219</v>
      </c>
      <c r="C268" s="228"/>
      <c r="D268" s="229"/>
    </row>
    <row r="269" spans="1:4" ht="114">
      <c r="A269" s="230">
        <v>62301</v>
      </c>
      <c r="B269" s="230" t="s">
        <v>2220</v>
      </c>
      <c r="C269" s="228" t="s">
        <v>36</v>
      </c>
      <c r="D269" s="229">
        <v>632.44000000000005</v>
      </c>
    </row>
    <row r="270" spans="1:4" ht="114">
      <c r="A270" s="230">
        <v>62302</v>
      </c>
      <c r="B270" s="230" t="s">
        <v>2221</v>
      </c>
      <c r="C270" s="228" t="s">
        <v>36</v>
      </c>
      <c r="D270" s="229">
        <v>659.09</v>
      </c>
    </row>
    <row r="271" spans="1:4" ht="105">
      <c r="A271" s="227">
        <v>625</v>
      </c>
      <c r="B271" s="227" t="s">
        <v>2222</v>
      </c>
      <c r="C271" s="228"/>
      <c r="D271" s="229"/>
    </row>
    <row r="272" spans="1:4" ht="114">
      <c r="A272" s="230">
        <v>62501</v>
      </c>
      <c r="B272" s="230" t="s">
        <v>2223</v>
      </c>
      <c r="C272" s="228" t="s">
        <v>36</v>
      </c>
      <c r="D272" s="231">
        <v>1332.65</v>
      </c>
    </row>
    <row r="273" spans="1:4" ht="114">
      <c r="A273" s="230">
        <v>62502</v>
      </c>
      <c r="B273" s="230" t="s">
        <v>2224</v>
      </c>
      <c r="C273" s="228" t="s">
        <v>36</v>
      </c>
      <c r="D273" s="231">
        <v>1410.29</v>
      </c>
    </row>
    <row r="274" spans="1:4" ht="114">
      <c r="A274" s="230">
        <v>62503</v>
      </c>
      <c r="B274" s="230" t="s">
        <v>2225</v>
      </c>
      <c r="C274" s="228" t="s">
        <v>36</v>
      </c>
      <c r="D274" s="231">
        <v>1524.32</v>
      </c>
    </row>
    <row r="275" spans="1:4" ht="114">
      <c r="A275" s="230">
        <v>62504</v>
      </c>
      <c r="B275" s="230" t="s">
        <v>2226</v>
      </c>
      <c r="C275" s="228" t="s">
        <v>36</v>
      </c>
      <c r="D275" s="231">
        <v>1585.62</v>
      </c>
    </row>
    <row r="276" spans="1:4" ht="114">
      <c r="A276" s="230">
        <v>62505</v>
      </c>
      <c r="B276" s="230" t="s">
        <v>2227</v>
      </c>
      <c r="C276" s="228" t="s">
        <v>36</v>
      </c>
      <c r="D276" s="231">
        <v>2719.51</v>
      </c>
    </row>
    <row r="277" spans="1:4" ht="15">
      <c r="A277" s="227">
        <v>7</v>
      </c>
      <c r="B277" s="227" t="s">
        <v>2228</v>
      </c>
      <c r="C277" s="228"/>
      <c r="D277" s="229"/>
    </row>
    <row r="278" spans="1:4" ht="15">
      <c r="A278" s="227">
        <v>711</v>
      </c>
      <c r="B278" s="227" t="s">
        <v>2229</v>
      </c>
      <c r="C278" s="228"/>
      <c r="D278" s="229"/>
    </row>
    <row r="279" spans="1:4" ht="71.25">
      <c r="A279" s="230">
        <v>71101</v>
      </c>
      <c r="B279" s="230" t="s">
        <v>248</v>
      </c>
      <c r="C279" s="228" t="s">
        <v>28758</v>
      </c>
      <c r="D279" s="229">
        <v>738.45</v>
      </c>
    </row>
    <row r="280" spans="1:4" ht="57">
      <c r="A280" s="230">
        <v>71103</v>
      </c>
      <c r="B280" s="230" t="s">
        <v>249</v>
      </c>
      <c r="C280" s="228" t="s">
        <v>28758</v>
      </c>
      <c r="D280" s="229">
        <v>139</v>
      </c>
    </row>
    <row r="281" spans="1:4" ht="28.5">
      <c r="A281" s="230">
        <v>71104</v>
      </c>
      <c r="B281" s="230" t="s">
        <v>250</v>
      </c>
      <c r="C281" s="228" t="s">
        <v>28758</v>
      </c>
      <c r="D281" s="229">
        <v>692.97</v>
      </c>
    </row>
    <row r="282" spans="1:4" ht="28.5">
      <c r="A282" s="230">
        <v>71105</v>
      </c>
      <c r="B282" s="230" t="s">
        <v>251</v>
      </c>
      <c r="C282" s="228" t="s">
        <v>28758</v>
      </c>
      <c r="D282" s="229">
        <v>406.5</v>
      </c>
    </row>
    <row r="283" spans="1:4" ht="28.5">
      <c r="A283" s="230">
        <v>71106</v>
      </c>
      <c r="B283" s="230" t="s">
        <v>252</v>
      </c>
      <c r="C283" s="228" t="s">
        <v>28758</v>
      </c>
      <c r="D283" s="229">
        <v>859.08</v>
      </c>
    </row>
    <row r="284" spans="1:4" ht="42.75">
      <c r="A284" s="230">
        <v>71107</v>
      </c>
      <c r="B284" s="230" t="s">
        <v>253</v>
      </c>
      <c r="C284" s="228" t="s">
        <v>28758</v>
      </c>
      <c r="D284" s="231">
        <v>1011.4</v>
      </c>
    </row>
    <row r="285" spans="1:4" ht="15">
      <c r="A285" s="227">
        <v>717</v>
      </c>
      <c r="B285" s="227" t="s">
        <v>2230</v>
      </c>
      <c r="C285" s="228"/>
      <c r="D285" s="229"/>
    </row>
    <row r="286" spans="1:4" ht="71.25">
      <c r="A286" s="230">
        <v>71701</v>
      </c>
      <c r="B286" s="230" t="s">
        <v>254</v>
      </c>
      <c r="C286" s="228" t="s">
        <v>28758</v>
      </c>
      <c r="D286" s="229">
        <v>574.22</v>
      </c>
    </row>
    <row r="287" spans="1:4" ht="71.25">
      <c r="A287" s="230">
        <v>71702</v>
      </c>
      <c r="B287" s="230" t="s">
        <v>255</v>
      </c>
      <c r="C287" s="228" t="s">
        <v>28758</v>
      </c>
      <c r="D287" s="229">
        <v>672.56</v>
      </c>
    </row>
    <row r="288" spans="1:4" ht="71.25">
      <c r="A288" s="230">
        <v>71703</v>
      </c>
      <c r="B288" s="230" t="s">
        <v>256</v>
      </c>
      <c r="C288" s="228" t="s">
        <v>28758</v>
      </c>
      <c r="D288" s="229">
        <v>479.52</v>
      </c>
    </row>
    <row r="289" spans="1:4" ht="57">
      <c r="A289" s="230">
        <v>71704</v>
      </c>
      <c r="B289" s="230" t="s">
        <v>257</v>
      </c>
      <c r="C289" s="228" t="s">
        <v>28758</v>
      </c>
      <c r="D289" s="231">
        <v>1047.1300000000001</v>
      </c>
    </row>
    <row r="290" spans="1:4" ht="57">
      <c r="A290" s="230">
        <v>71706</v>
      </c>
      <c r="B290" s="230" t="s">
        <v>258</v>
      </c>
      <c r="C290" s="228" t="s">
        <v>28758</v>
      </c>
      <c r="D290" s="229">
        <v>311.95</v>
      </c>
    </row>
    <row r="291" spans="1:4" ht="15">
      <c r="A291" s="227">
        <v>718</v>
      </c>
      <c r="B291" s="227" t="s">
        <v>2218</v>
      </c>
      <c r="C291" s="228"/>
      <c r="D291" s="229"/>
    </row>
    <row r="292" spans="1:4" ht="28.5">
      <c r="A292" s="230">
        <v>71801</v>
      </c>
      <c r="B292" s="230" t="s">
        <v>259</v>
      </c>
      <c r="C292" s="228" t="s">
        <v>28758</v>
      </c>
      <c r="D292" s="229">
        <v>21.08</v>
      </c>
    </row>
    <row r="293" spans="1:4" ht="15">
      <c r="A293" s="227">
        <v>8</v>
      </c>
      <c r="B293" s="227" t="s">
        <v>2231</v>
      </c>
      <c r="C293" s="228"/>
      <c r="D293" s="229"/>
    </row>
    <row r="294" spans="1:4" ht="15">
      <c r="A294" s="227">
        <v>801</v>
      </c>
      <c r="B294" s="227" t="s">
        <v>2232</v>
      </c>
      <c r="C294" s="228"/>
      <c r="D294" s="229"/>
    </row>
    <row r="295" spans="1:4" ht="28.5">
      <c r="A295" s="230">
        <v>80102</v>
      </c>
      <c r="B295" s="230" t="s">
        <v>260</v>
      </c>
      <c r="C295" s="228" t="s">
        <v>28758</v>
      </c>
      <c r="D295" s="229">
        <v>284.5</v>
      </c>
    </row>
    <row r="296" spans="1:4" ht="28.5">
      <c r="A296" s="230">
        <v>80103</v>
      </c>
      <c r="B296" s="230" t="s">
        <v>261</v>
      </c>
      <c r="C296" s="228" t="s">
        <v>28758</v>
      </c>
      <c r="D296" s="229">
        <v>321</v>
      </c>
    </row>
    <row r="297" spans="1:4" ht="14.25">
      <c r="A297" s="230">
        <v>80107</v>
      </c>
      <c r="B297" s="230" t="s">
        <v>262</v>
      </c>
      <c r="C297" s="228" t="s">
        <v>28758</v>
      </c>
      <c r="D297" s="231">
        <v>1084.5</v>
      </c>
    </row>
    <row r="298" spans="1:4" ht="15">
      <c r="A298" s="227">
        <v>802</v>
      </c>
      <c r="B298" s="227" t="s">
        <v>2233</v>
      </c>
      <c r="C298" s="228"/>
      <c r="D298" s="229"/>
    </row>
    <row r="299" spans="1:4" ht="71.25">
      <c r="A299" s="230">
        <v>80201</v>
      </c>
      <c r="B299" s="230" t="s">
        <v>263</v>
      </c>
      <c r="C299" s="228" t="s">
        <v>28758</v>
      </c>
      <c r="D299" s="229">
        <v>667.41</v>
      </c>
    </row>
    <row r="300" spans="1:4" ht="71.25">
      <c r="A300" s="230">
        <v>80202</v>
      </c>
      <c r="B300" s="230" t="s">
        <v>264</v>
      </c>
      <c r="C300" s="228" t="s">
        <v>28758</v>
      </c>
      <c r="D300" s="229">
        <v>855.52</v>
      </c>
    </row>
    <row r="301" spans="1:4" ht="85.5">
      <c r="A301" s="230">
        <v>80203</v>
      </c>
      <c r="B301" s="230" t="s">
        <v>265</v>
      </c>
      <c r="C301" s="228" t="s">
        <v>28758</v>
      </c>
      <c r="D301" s="229">
        <v>676.36</v>
      </c>
    </row>
    <row r="302" spans="1:4" ht="15">
      <c r="A302" s="227">
        <v>9</v>
      </c>
      <c r="B302" s="227" t="s">
        <v>11</v>
      </c>
      <c r="C302" s="228"/>
      <c r="D302" s="229"/>
    </row>
    <row r="303" spans="1:4" ht="15">
      <c r="A303" s="227">
        <v>901</v>
      </c>
      <c r="B303" s="227" t="s">
        <v>2234</v>
      </c>
      <c r="C303" s="228"/>
      <c r="D303" s="229"/>
    </row>
    <row r="304" spans="1:4" ht="99.75">
      <c r="A304" s="230">
        <v>90101</v>
      </c>
      <c r="B304" s="230" t="s">
        <v>266</v>
      </c>
      <c r="C304" s="228" t="s">
        <v>28758</v>
      </c>
      <c r="D304" s="229">
        <v>219.21</v>
      </c>
    </row>
    <row r="305" spans="1:4" ht="99.75">
      <c r="A305" s="230">
        <v>90102</v>
      </c>
      <c r="B305" s="230" t="s">
        <v>267</v>
      </c>
      <c r="C305" s="228" t="s">
        <v>28758</v>
      </c>
      <c r="D305" s="229">
        <v>113.68</v>
      </c>
    </row>
    <row r="306" spans="1:4" ht="71.25">
      <c r="A306" s="230">
        <v>90103</v>
      </c>
      <c r="B306" s="230" t="s">
        <v>268</v>
      </c>
      <c r="C306" s="228" t="s">
        <v>28758</v>
      </c>
      <c r="D306" s="229">
        <v>105.27</v>
      </c>
    </row>
    <row r="307" spans="1:4" ht="99.75">
      <c r="A307" s="230">
        <v>90104</v>
      </c>
      <c r="B307" s="230" t="s">
        <v>269</v>
      </c>
      <c r="C307" s="228" t="s">
        <v>28758</v>
      </c>
      <c r="D307" s="229">
        <v>475.1</v>
      </c>
    </row>
    <row r="308" spans="1:4" ht="99.75">
      <c r="A308" s="230">
        <v>90105</v>
      </c>
      <c r="B308" s="230" t="s">
        <v>270</v>
      </c>
      <c r="C308" s="228" t="s">
        <v>28758</v>
      </c>
      <c r="D308" s="229">
        <v>263.27</v>
      </c>
    </row>
    <row r="309" spans="1:4" ht="15">
      <c r="A309" s="227">
        <v>902</v>
      </c>
      <c r="B309" s="227" t="s">
        <v>2235</v>
      </c>
      <c r="C309" s="228"/>
      <c r="D309" s="229"/>
    </row>
    <row r="310" spans="1:4" ht="57">
      <c r="A310" s="230">
        <v>90202</v>
      </c>
      <c r="B310" s="230" t="s">
        <v>271</v>
      </c>
      <c r="C310" s="228" t="s">
        <v>28758</v>
      </c>
      <c r="D310" s="229">
        <v>56.61</v>
      </c>
    </row>
    <row r="311" spans="1:4" ht="57">
      <c r="A311" s="230">
        <v>90203</v>
      </c>
      <c r="B311" s="230" t="s">
        <v>272</v>
      </c>
      <c r="C311" s="228" t="s">
        <v>28758</v>
      </c>
      <c r="D311" s="229">
        <v>73.23</v>
      </c>
    </row>
    <row r="312" spans="1:4" ht="57">
      <c r="A312" s="230">
        <v>90206</v>
      </c>
      <c r="B312" s="230" t="s">
        <v>273</v>
      </c>
      <c r="C312" s="228" t="s">
        <v>28758</v>
      </c>
      <c r="D312" s="229">
        <v>89.67</v>
      </c>
    </row>
    <row r="313" spans="1:4" ht="85.5">
      <c r="A313" s="230">
        <v>90211</v>
      </c>
      <c r="B313" s="230" t="s">
        <v>274</v>
      </c>
      <c r="C313" s="228" t="s">
        <v>28758</v>
      </c>
      <c r="D313" s="229">
        <v>151.72999999999999</v>
      </c>
    </row>
    <row r="314" spans="1:4" ht="57">
      <c r="A314" s="230">
        <v>90212</v>
      </c>
      <c r="B314" s="230" t="s">
        <v>275</v>
      </c>
      <c r="C314" s="228" t="s">
        <v>28758</v>
      </c>
      <c r="D314" s="229">
        <v>119.57</v>
      </c>
    </row>
    <row r="315" spans="1:4" ht="28.5">
      <c r="A315" s="230">
        <v>90215</v>
      </c>
      <c r="B315" s="230" t="s">
        <v>276</v>
      </c>
      <c r="C315" s="228" t="s">
        <v>54</v>
      </c>
      <c r="D315" s="229">
        <v>32.380000000000003</v>
      </c>
    </row>
    <row r="316" spans="1:4" ht="28.5">
      <c r="A316" s="230">
        <v>90216</v>
      </c>
      <c r="B316" s="230" t="s">
        <v>277</v>
      </c>
      <c r="C316" s="228" t="s">
        <v>54</v>
      </c>
      <c r="D316" s="229">
        <v>70.209999999999994</v>
      </c>
    </row>
    <row r="317" spans="1:4" ht="42.75">
      <c r="A317" s="230">
        <v>90219</v>
      </c>
      <c r="B317" s="230" t="s">
        <v>278</v>
      </c>
      <c r="C317" s="228" t="s">
        <v>28758</v>
      </c>
      <c r="D317" s="229">
        <v>93.7</v>
      </c>
    </row>
    <row r="318" spans="1:4" ht="85.5">
      <c r="A318" s="230">
        <v>90228</v>
      </c>
      <c r="B318" s="230" t="s">
        <v>26259</v>
      </c>
      <c r="C318" s="228" t="s">
        <v>28758</v>
      </c>
      <c r="D318" s="229">
        <v>101.18</v>
      </c>
    </row>
    <row r="319" spans="1:4" ht="15">
      <c r="A319" s="227">
        <v>903</v>
      </c>
      <c r="B319" s="227" t="s">
        <v>2236</v>
      </c>
      <c r="C319" s="228"/>
      <c r="D319" s="229"/>
    </row>
    <row r="320" spans="1:4" ht="42.75">
      <c r="A320" s="230">
        <v>90301</v>
      </c>
      <c r="B320" s="230" t="s">
        <v>279</v>
      </c>
      <c r="C320" s="228" t="s">
        <v>54</v>
      </c>
      <c r="D320" s="229">
        <v>113.07</v>
      </c>
    </row>
    <row r="321" spans="1:4" ht="28.5">
      <c r="A321" s="230">
        <v>90302</v>
      </c>
      <c r="B321" s="230" t="s">
        <v>280</v>
      </c>
      <c r="C321" s="228" t="s">
        <v>54</v>
      </c>
      <c r="D321" s="229">
        <v>45.34</v>
      </c>
    </row>
    <row r="322" spans="1:4" ht="57">
      <c r="A322" s="230">
        <v>90305</v>
      </c>
      <c r="B322" s="230" t="s">
        <v>281</v>
      </c>
      <c r="C322" s="228" t="s">
        <v>54</v>
      </c>
      <c r="D322" s="229">
        <v>272.47000000000003</v>
      </c>
    </row>
    <row r="323" spans="1:4" ht="28.5">
      <c r="A323" s="230">
        <v>90312</v>
      </c>
      <c r="B323" s="230" t="s">
        <v>282</v>
      </c>
      <c r="C323" s="228" t="s">
        <v>54</v>
      </c>
      <c r="D323" s="229">
        <v>129.46</v>
      </c>
    </row>
    <row r="324" spans="1:4" ht="28.5">
      <c r="A324" s="230">
        <v>90314</v>
      </c>
      <c r="B324" s="230" t="s">
        <v>283</v>
      </c>
      <c r="C324" s="228" t="s">
        <v>54</v>
      </c>
      <c r="D324" s="229">
        <v>47.21</v>
      </c>
    </row>
    <row r="325" spans="1:4" ht="15">
      <c r="A325" s="227">
        <v>904</v>
      </c>
      <c r="B325" s="227" t="s">
        <v>2237</v>
      </c>
      <c r="C325" s="228"/>
      <c r="D325" s="229"/>
    </row>
    <row r="326" spans="1:4" ht="99.75">
      <c r="A326" s="230">
        <v>90403</v>
      </c>
      <c r="B326" s="230" t="s">
        <v>284</v>
      </c>
      <c r="C326" s="228" t="s">
        <v>54</v>
      </c>
      <c r="D326" s="229">
        <v>116.23</v>
      </c>
    </row>
    <row r="327" spans="1:4" ht="15">
      <c r="A327" s="227">
        <v>905</v>
      </c>
      <c r="B327" s="227" t="s">
        <v>2218</v>
      </c>
      <c r="C327" s="228"/>
      <c r="D327" s="229"/>
    </row>
    <row r="328" spans="1:4" ht="71.25">
      <c r="A328" s="230">
        <v>90501</v>
      </c>
      <c r="B328" s="230" t="s">
        <v>285</v>
      </c>
      <c r="C328" s="228" t="s">
        <v>28758</v>
      </c>
      <c r="D328" s="229">
        <v>54.04</v>
      </c>
    </row>
    <row r="329" spans="1:4" ht="85.5">
      <c r="A329" s="230">
        <v>90502</v>
      </c>
      <c r="B329" s="230" t="s">
        <v>286</v>
      </c>
      <c r="C329" s="228" t="s">
        <v>28758</v>
      </c>
      <c r="D329" s="229">
        <v>18.5</v>
      </c>
    </row>
    <row r="330" spans="1:4" ht="28.5">
      <c r="A330" s="230">
        <v>90506</v>
      </c>
      <c r="B330" s="230" t="s">
        <v>287</v>
      </c>
      <c r="C330" s="228" t="s">
        <v>28758</v>
      </c>
      <c r="D330" s="229">
        <v>16.02</v>
      </c>
    </row>
    <row r="331" spans="1:4" ht="42.75">
      <c r="A331" s="230">
        <v>90509</v>
      </c>
      <c r="B331" s="230" t="s">
        <v>288</v>
      </c>
      <c r="C331" s="228" t="s">
        <v>28758</v>
      </c>
      <c r="D331" s="229">
        <v>75.94</v>
      </c>
    </row>
    <row r="332" spans="1:4" ht="28.5">
      <c r="A332" s="230">
        <v>90511</v>
      </c>
      <c r="B332" s="230" t="s">
        <v>289</v>
      </c>
      <c r="C332" s="228" t="s">
        <v>28758</v>
      </c>
      <c r="D332" s="229">
        <v>41.32</v>
      </c>
    </row>
    <row r="333" spans="1:4" ht="28.5">
      <c r="A333" s="230">
        <v>90512</v>
      </c>
      <c r="B333" s="230" t="s">
        <v>290</v>
      </c>
      <c r="C333" s="228" t="s">
        <v>28759</v>
      </c>
      <c r="D333" s="229">
        <v>19.32</v>
      </c>
    </row>
    <row r="334" spans="1:4" ht="15">
      <c r="A334" s="227">
        <v>10</v>
      </c>
      <c r="B334" s="227" t="s">
        <v>34</v>
      </c>
      <c r="C334" s="228"/>
      <c r="D334" s="229"/>
    </row>
    <row r="335" spans="1:4" ht="30">
      <c r="A335" s="227">
        <v>1001</v>
      </c>
      <c r="B335" s="227" t="s">
        <v>2238</v>
      </c>
      <c r="C335" s="228"/>
      <c r="D335" s="229"/>
    </row>
    <row r="336" spans="1:4" ht="99.75">
      <c r="A336" s="230">
        <v>100102</v>
      </c>
      <c r="B336" s="230" t="s">
        <v>2239</v>
      </c>
      <c r="C336" s="228" t="s">
        <v>28758</v>
      </c>
      <c r="D336" s="229">
        <v>68.8</v>
      </c>
    </row>
    <row r="337" spans="1:4" ht="99.75">
      <c r="A337" s="230">
        <v>100105</v>
      </c>
      <c r="B337" s="230" t="s">
        <v>291</v>
      </c>
      <c r="C337" s="228" t="s">
        <v>28758</v>
      </c>
      <c r="D337" s="229">
        <v>246.2</v>
      </c>
    </row>
    <row r="338" spans="1:4" ht="45">
      <c r="A338" s="227">
        <v>1002</v>
      </c>
      <c r="B338" s="227" t="s">
        <v>2240</v>
      </c>
      <c r="C338" s="228"/>
      <c r="D338" s="229"/>
    </row>
    <row r="339" spans="1:4" ht="42.75">
      <c r="A339" s="230">
        <v>100202</v>
      </c>
      <c r="B339" s="230" t="s">
        <v>292</v>
      </c>
      <c r="C339" s="228" t="s">
        <v>28758</v>
      </c>
      <c r="D339" s="229">
        <v>50.09</v>
      </c>
    </row>
    <row r="340" spans="1:4" ht="28.5">
      <c r="A340" s="230">
        <v>100203</v>
      </c>
      <c r="B340" s="230" t="s">
        <v>293</v>
      </c>
      <c r="C340" s="228" t="s">
        <v>28758</v>
      </c>
      <c r="D340" s="229">
        <v>41.96</v>
      </c>
    </row>
    <row r="341" spans="1:4" ht="71.25">
      <c r="A341" s="230">
        <v>100204</v>
      </c>
      <c r="B341" s="230" t="s">
        <v>294</v>
      </c>
      <c r="C341" s="228" t="s">
        <v>28758</v>
      </c>
      <c r="D341" s="229">
        <v>37.659999999999997</v>
      </c>
    </row>
    <row r="342" spans="1:4" ht="99.75">
      <c r="A342" s="230">
        <v>100208</v>
      </c>
      <c r="B342" s="230" t="s">
        <v>295</v>
      </c>
      <c r="C342" s="228" t="s">
        <v>28758</v>
      </c>
      <c r="D342" s="229">
        <v>232.27</v>
      </c>
    </row>
    <row r="343" spans="1:4" ht="30">
      <c r="A343" s="227">
        <v>1003</v>
      </c>
      <c r="B343" s="227" t="s">
        <v>2241</v>
      </c>
      <c r="C343" s="228"/>
      <c r="D343" s="229"/>
    </row>
    <row r="344" spans="1:4" ht="99.75">
      <c r="A344" s="230">
        <v>100301</v>
      </c>
      <c r="B344" s="230" t="s">
        <v>2242</v>
      </c>
      <c r="C344" s="228" t="s">
        <v>28758</v>
      </c>
      <c r="D344" s="229">
        <v>78.73</v>
      </c>
    </row>
    <row r="345" spans="1:4" ht="15">
      <c r="A345" s="227">
        <v>11</v>
      </c>
      <c r="B345" s="227" t="s">
        <v>2243</v>
      </c>
      <c r="C345" s="228"/>
      <c r="D345" s="229"/>
    </row>
    <row r="346" spans="1:4" ht="15">
      <c r="A346" s="227">
        <v>1101</v>
      </c>
      <c r="B346" s="227" t="s">
        <v>2244</v>
      </c>
      <c r="C346" s="228"/>
      <c r="D346" s="229"/>
    </row>
    <row r="347" spans="1:4" ht="57">
      <c r="A347" s="230">
        <v>110101</v>
      </c>
      <c r="B347" s="230" t="s">
        <v>296</v>
      </c>
      <c r="C347" s="228" t="s">
        <v>28758</v>
      </c>
      <c r="D347" s="229">
        <v>11.13</v>
      </c>
    </row>
    <row r="348" spans="1:4" ht="15">
      <c r="A348" s="227">
        <v>1102</v>
      </c>
      <c r="B348" s="227" t="s">
        <v>2245</v>
      </c>
      <c r="C348" s="228"/>
      <c r="D348" s="229"/>
    </row>
    <row r="349" spans="1:4" ht="28.5">
      <c r="A349" s="230">
        <v>110201</v>
      </c>
      <c r="B349" s="230" t="s">
        <v>297</v>
      </c>
      <c r="C349" s="228" t="s">
        <v>28758</v>
      </c>
      <c r="D349" s="229">
        <v>41.67</v>
      </c>
    </row>
    <row r="350" spans="1:4" ht="28.5">
      <c r="A350" s="230">
        <v>110210</v>
      </c>
      <c r="B350" s="230" t="s">
        <v>298</v>
      </c>
      <c r="C350" s="228" t="s">
        <v>28758</v>
      </c>
      <c r="D350" s="229">
        <v>91.18</v>
      </c>
    </row>
    <row r="351" spans="1:4" ht="45">
      <c r="A351" s="227">
        <v>1103</v>
      </c>
      <c r="B351" s="227" t="s">
        <v>2246</v>
      </c>
      <c r="C351" s="228"/>
      <c r="D351" s="229"/>
    </row>
    <row r="352" spans="1:4" ht="42.75">
      <c r="A352" s="230">
        <v>110301</v>
      </c>
      <c r="B352" s="230" t="s">
        <v>299</v>
      </c>
      <c r="C352" s="228" t="s">
        <v>28758</v>
      </c>
      <c r="D352" s="229">
        <v>31.08</v>
      </c>
    </row>
    <row r="353" spans="1:4" ht="57">
      <c r="A353" s="230">
        <v>110302</v>
      </c>
      <c r="B353" s="230" t="s">
        <v>300</v>
      </c>
      <c r="C353" s="228" t="s">
        <v>28758</v>
      </c>
      <c r="D353" s="229">
        <v>53.64</v>
      </c>
    </row>
    <row r="354" spans="1:4" ht="15">
      <c r="A354" s="227">
        <v>1104</v>
      </c>
      <c r="B354" s="227" t="s">
        <v>2218</v>
      </c>
      <c r="C354" s="228"/>
      <c r="D354" s="229"/>
    </row>
    <row r="355" spans="1:4" ht="28.5">
      <c r="A355" s="230">
        <v>110401</v>
      </c>
      <c r="B355" s="230" t="s">
        <v>301</v>
      </c>
      <c r="C355" s="228" t="s">
        <v>28758</v>
      </c>
      <c r="D355" s="229">
        <v>48.93</v>
      </c>
    </row>
    <row r="356" spans="1:4" ht="15">
      <c r="A356" s="227">
        <v>12</v>
      </c>
      <c r="B356" s="227" t="s">
        <v>2247</v>
      </c>
      <c r="C356" s="228"/>
      <c r="D356" s="229"/>
    </row>
    <row r="357" spans="1:4" ht="15">
      <c r="A357" s="227">
        <v>1201</v>
      </c>
      <c r="B357" s="227" t="s">
        <v>2244</v>
      </c>
      <c r="C357" s="228"/>
      <c r="D357" s="229"/>
    </row>
    <row r="358" spans="1:4" ht="57">
      <c r="A358" s="230">
        <v>120101</v>
      </c>
      <c r="B358" s="230" t="s">
        <v>302</v>
      </c>
      <c r="C358" s="228" t="s">
        <v>28758</v>
      </c>
      <c r="D358" s="229">
        <v>5.69</v>
      </c>
    </row>
    <row r="359" spans="1:4" ht="15">
      <c r="A359" s="227">
        <v>1202</v>
      </c>
      <c r="B359" s="227" t="s">
        <v>2248</v>
      </c>
      <c r="C359" s="228"/>
      <c r="D359" s="229"/>
    </row>
    <row r="360" spans="1:4" ht="85.5">
      <c r="A360" s="230">
        <v>120201</v>
      </c>
      <c r="B360" s="230" t="s">
        <v>303</v>
      </c>
      <c r="C360" s="228" t="s">
        <v>28758</v>
      </c>
      <c r="D360" s="229">
        <v>88.45</v>
      </c>
    </row>
    <row r="361" spans="1:4" ht="57">
      <c r="A361" s="230">
        <v>120205</v>
      </c>
      <c r="B361" s="230" t="s">
        <v>304</v>
      </c>
      <c r="C361" s="228" t="s">
        <v>54</v>
      </c>
      <c r="D361" s="229">
        <v>46.56</v>
      </c>
    </row>
    <row r="362" spans="1:4" ht="57">
      <c r="A362" s="230">
        <v>120207</v>
      </c>
      <c r="B362" s="230" t="s">
        <v>305</v>
      </c>
      <c r="C362" s="228" t="s">
        <v>54</v>
      </c>
      <c r="D362" s="229">
        <v>64.97</v>
      </c>
    </row>
    <row r="363" spans="1:4" ht="42.75">
      <c r="A363" s="230">
        <v>120208</v>
      </c>
      <c r="B363" s="230" t="s">
        <v>306</v>
      </c>
      <c r="C363" s="228" t="s">
        <v>54</v>
      </c>
      <c r="D363" s="229">
        <v>15.72</v>
      </c>
    </row>
    <row r="364" spans="1:4" ht="28.5">
      <c r="A364" s="230">
        <v>120216</v>
      </c>
      <c r="B364" s="230" t="s">
        <v>307</v>
      </c>
      <c r="C364" s="228" t="s">
        <v>54</v>
      </c>
      <c r="D364" s="229">
        <v>15.73</v>
      </c>
    </row>
    <row r="365" spans="1:4" ht="71.25">
      <c r="A365" s="230">
        <v>120220</v>
      </c>
      <c r="B365" s="230" t="s">
        <v>308</v>
      </c>
      <c r="C365" s="228" t="s">
        <v>28758</v>
      </c>
      <c r="D365" s="229">
        <v>73.44</v>
      </c>
    </row>
    <row r="366" spans="1:4" ht="71.25">
      <c r="A366" s="230">
        <v>120221</v>
      </c>
      <c r="B366" s="230" t="s">
        <v>309</v>
      </c>
      <c r="C366" s="228" t="s">
        <v>28758</v>
      </c>
      <c r="D366" s="229">
        <v>165.48</v>
      </c>
    </row>
    <row r="367" spans="1:4" ht="42.75">
      <c r="A367" s="230">
        <v>120224</v>
      </c>
      <c r="B367" s="230" t="s">
        <v>310</v>
      </c>
      <c r="C367" s="228" t="s">
        <v>28758</v>
      </c>
      <c r="D367" s="229">
        <v>13.91</v>
      </c>
    </row>
    <row r="368" spans="1:4" ht="57">
      <c r="A368" s="230">
        <v>120227</v>
      </c>
      <c r="B368" s="230" t="s">
        <v>311</v>
      </c>
      <c r="C368" s="228" t="s">
        <v>54</v>
      </c>
      <c r="D368" s="229">
        <v>51.15</v>
      </c>
    </row>
    <row r="369" spans="1:4" ht="71.25">
      <c r="A369" s="230">
        <v>120232</v>
      </c>
      <c r="B369" s="230" t="s">
        <v>312</v>
      </c>
      <c r="C369" s="228" t="s">
        <v>28758</v>
      </c>
      <c r="D369" s="229">
        <v>79.08</v>
      </c>
    </row>
    <row r="370" spans="1:4" ht="45">
      <c r="A370" s="227">
        <v>1203</v>
      </c>
      <c r="B370" s="227" t="s">
        <v>2246</v>
      </c>
      <c r="C370" s="228"/>
      <c r="D370" s="229"/>
    </row>
    <row r="371" spans="1:4" ht="57">
      <c r="A371" s="230">
        <v>120301</v>
      </c>
      <c r="B371" s="230" t="s">
        <v>314</v>
      </c>
      <c r="C371" s="228" t="s">
        <v>28758</v>
      </c>
      <c r="D371" s="229">
        <v>27.76</v>
      </c>
    </row>
    <row r="372" spans="1:4" ht="57">
      <c r="A372" s="230">
        <v>120302</v>
      </c>
      <c r="B372" s="230" t="s">
        <v>315</v>
      </c>
      <c r="C372" s="228" t="s">
        <v>28758</v>
      </c>
      <c r="D372" s="229">
        <v>19.670000000000002</v>
      </c>
    </row>
    <row r="373" spans="1:4" ht="57">
      <c r="A373" s="230">
        <v>120303</v>
      </c>
      <c r="B373" s="230" t="s">
        <v>316</v>
      </c>
      <c r="C373" s="228" t="s">
        <v>28758</v>
      </c>
      <c r="D373" s="229">
        <v>47.53</v>
      </c>
    </row>
    <row r="374" spans="1:4" ht="85.5">
      <c r="A374" s="230">
        <v>120304</v>
      </c>
      <c r="B374" s="230" t="s">
        <v>317</v>
      </c>
      <c r="C374" s="228" t="s">
        <v>28758</v>
      </c>
      <c r="D374" s="229">
        <v>53.33</v>
      </c>
    </row>
    <row r="375" spans="1:4" ht="71.25">
      <c r="A375" s="230">
        <v>120308</v>
      </c>
      <c r="B375" s="230" t="s">
        <v>318</v>
      </c>
      <c r="C375" s="228" t="s">
        <v>28758</v>
      </c>
      <c r="D375" s="229">
        <v>6.59</v>
      </c>
    </row>
    <row r="376" spans="1:4" ht="15">
      <c r="A376" s="227">
        <v>13</v>
      </c>
      <c r="B376" s="227" t="s">
        <v>2249</v>
      </c>
      <c r="C376" s="228"/>
      <c r="D376" s="229"/>
    </row>
    <row r="377" spans="1:4" ht="15">
      <c r="A377" s="227">
        <v>1301</v>
      </c>
      <c r="B377" s="227" t="s">
        <v>2250</v>
      </c>
      <c r="C377" s="228"/>
      <c r="D377" s="229"/>
    </row>
    <row r="378" spans="1:4" ht="57">
      <c r="A378" s="230">
        <v>130103</v>
      </c>
      <c r="B378" s="230" t="s">
        <v>319</v>
      </c>
      <c r="C378" s="228" t="s">
        <v>28758</v>
      </c>
      <c r="D378" s="229">
        <v>19.829999999999998</v>
      </c>
    </row>
    <row r="379" spans="1:4" ht="57">
      <c r="A379" s="230">
        <v>130104</v>
      </c>
      <c r="B379" s="230" t="s">
        <v>320</v>
      </c>
      <c r="C379" s="228" t="s">
        <v>28758</v>
      </c>
      <c r="D379" s="229">
        <v>30.83</v>
      </c>
    </row>
    <row r="380" spans="1:4" ht="42.75">
      <c r="A380" s="230">
        <v>130109</v>
      </c>
      <c r="B380" s="230" t="s">
        <v>321</v>
      </c>
      <c r="C380" s="228" t="s">
        <v>28758</v>
      </c>
      <c r="D380" s="229">
        <v>66.37</v>
      </c>
    </row>
    <row r="381" spans="1:4" ht="28.5">
      <c r="A381" s="230">
        <v>130110</v>
      </c>
      <c r="B381" s="230" t="s">
        <v>322</v>
      </c>
      <c r="C381" s="228" t="s">
        <v>28758</v>
      </c>
      <c r="D381" s="229">
        <v>53.1</v>
      </c>
    </row>
    <row r="382" spans="1:4" ht="42.75">
      <c r="A382" s="230">
        <v>130111</v>
      </c>
      <c r="B382" s="230" t="s">
        <v>323</v>
      </c>
      <c r="C382" s="228" t="s">
        <v>28758</v>
      </c>
      <c r="D382" s="229">
        <v>50.25</v>
      </c>
    </row>
    <row r="383" spans="1:4" ht="28.5">
      <c r="A383" s="230">
        <v>130112</v>
      </c>
      <c r="B383" s="230" t="s">
        <v>324</v>
      </c>
      <c r="C383" s="228" t="s">
        <v>28758</v>
      </c>
      <c r="D383" s="229">
        <v>40.31</v>
      </c>
    </row>
    <row r="384" spans="1:4" ht="42.75">
      <c r="A384" s="230">
        <v>130113</v>
      </c>
      <c r="B384" s="230" t="s">
        <v>325</v>
      </c>
      <c r="C384" s="228" t="s">
        <v>28758</v>
      </c>
      <c r="D384" s="229">
        <v>66.84</v>
      </c>
    </row>
    <row r="385" spans="1:4" ht="15">
      <c r="A385" s="227">
        <v>1302</v>
      </c>
      <c r="B385" s="227" t="s">
        <v>2248</v>
      </c>
      <c r="C385" s="228"/>
      <c r="D385" s="229"/>
    </row>
    <row r="386" spans="1:4" ht="57">
      <c r="A386" s="230">
        <v>130202</v>
      </c>
      <c r="B386" s="230" t="s">
        <v>326</v>
      </c>
      <c r="C386" s="228" t="s">
        <v>28758</v>
      </c>
      <c r="D386" s="229">
        <v>47.17</v>
      </c>
    </row>
    <row r="387" spans="1:4" ht="71.25">
      <c r="A387" s="230">
        <v>130205</v>
      </c>
      <c r="B387" s="230" t="s">
        <v>327</v>
      </c>
      <c r="C387" s="228" t="s">
        <v>28758</v>
      </c>
      <c r="D387" s="229">
        <v>415.12</v>
      </c>
    </row>
    <row r="388" spans="1:4" ht="42.75">
      <c r="A388" s="230">
        <v>130208</v>
      </c>
      <c r="B388" s="230" t="s">
        <v>328</v>
      </c>
      <c r="C388" s="228" t="s">
        <v>54</v>
      </c>
      <c r="D388" s="229">
        <v>9.4600000000000009</v>
      </c>
    </row>
    <row r="389" spans="1:4" ht="57">
      <c r="A389" s="230">
        <v>130209</v>
      </c>
      <c r="B389" s="230" t="s">
        <v>329</v>
      </c>
      <c r="C389" s="228" t="s">
        <v>28758</v>
      </c>
      <c r="D389" s="229">
        <v>85.42</v>
      </c>
    </row>
    <row r="390" spans="1:4" ht="85.5">
      <c r="A390" s="230">
        <v>130210</v>
      </c>
      <c r="B390" s="230" t="s">
        <v>330</v>
      </c>
      <c r="C390" s="228" t="s">
        <v>28758</v>
      </c>
      <c r="D390" s="229">
        <v>54.66</v>
      </c>
    </row>
    <row r="391" spans="1:4" ht="57">
      <c r="A391" s="230">
        <v>130211</v>
      </c>
      <c r="B391" s="230" t="s">
        <v>331</v>
      </c>
      <c r="C391" s="228" t="s">
        <v>28758</v>
      </c>
      <c r="D391" s="229">
        <v>143.25</v>
      </c>
    </row>
    <row r="392" spans="1:4" ht="85.5">
      <c r="A392" s="230">
        <v>130219</v>
      </c>
      <c r="B392" s="230" t="s">
        <v>332</v>
      </c>
      <c r="C392" s="228" t="s">
        <v>28758</v>
      </c>
      <c r="D392" s="229">
        <v>71.17</v>
      </c>
    </row>
    <row r="393" spans="1:4" ht="57">
      <c r="A393" s="230">
        <v>130222</v>
      </c>
      <c r="B393" s="230" t="s">
        <v>333</v>
      </c>
      <c r="C393" s="228" t="s">
        <v>28758</v>
      </c>
      <c r="D393" s="229">
        <v>107.22</v>
      </c>
    </row>
    <row r="394" spans="1:4" ht="42.75">
      <c r="A394" s="230">
        <v>130223</v>
      </c>
      <c r="B394" s="230" t="s">
        <v>334</v>
      </c>
      <c r="C394" s="228" t="s">
        <v>28758</v>
      </c>
      <c r="D394" s="229">
        <v>12.48</v>
      </c>
    </row>
    <row r="395" spans="1:4" ht="42.75">
      <c r="A395" s="230">
        <v>130225</v>
      </c>
      <c r="B395" s="230" t="s">
        <v>335</v>
      </c>
      <c r="C395" s="228" t="s">
        <v>28758</v>
      </c>
      <c r="D395" s="229">
        <v>8.61</v>
      </c>
    </row>
    <row r="396" spans="1:4" ht="28.5">
      <c r="A396" s="230">
        <v>130226</v>
      </c>
      <c r="B396" s="230" t="s">
        <v>336</v>
      </c>
      <c r="C396" s="228" t="s">
        <v>28758</v>
      </c>
      <c r="D396" s="229">
        <v>12.5</v>
      </c>
    </row>
    <row r="397" spans="1:4" ht="99.75">
      <c r="A397" s="230">
        <v>130228</v>
      </c>
      <c r="B397" s="230" t="s">
        <v>337</v>
      </c>
      <c r="C397" s="228" t="s">
        <v>28758</v>
      </c>
      <c r="D397" s="229">
        <v>45.45</v>
      </c>
    </row>
    <row r="398" spans="1:4" ht="99.75">
      <c r="A398" s="230">
        <v>130230</v>
      </c>
      <c r="B398" s="230" t="s">
        <v>338</v>
      </c>
      <c r="C398" s="228" t="s">
        <v>28758</v>
      </c>
      <c r="D398" s="229">
        <v>103.87</v>
      </c>
    </row>
    <row r="399" spans="1:4" ht="99.75">
      <c r="A399" s="230">
        <v>130231</v>
      </c>
      <c r="B399" s="230" t="s">
        <v>339</v>
      </c>
      <c r="C399" s="228" t="s">
        <v>28758</v>
      </c>
      <c r="D399" s="229">
        <v>114.99</v>
      </c>
    </row>
    <row r="400" spans="1:4" ht="99.75">
      <c r="A400" s="230">
        <v>130232</v>
      </c>
      <c r="B400" s="230" t="s">
        <v>340</v>
      </c>
      <c r="C400" s="228" t="s">
        <v>28758</v>
      </c>
      <c r="D400" s="229">
        <v>150.94</v>
      </c>
    </row>
    <row r="401" spans="1:4" ht="99.75">
      <c r="A401" s="230">
        <v>130233</v>
      </c>
      <c r="B401" s="230" t="s">
        <v>341</v>
      </c>
      <c r="C401" s="228" t="s">
        <v>28758</v>
      </c>
      <c r="D401" s="229">
        <v>101.08</v>
      </c>
    </row>
    <row r="402" spans="1:4" ht="85.5">
      <c r="A402" s="230">
        <v>130234</v>
      </c>
      <c r="B402" s="230" t="s">
        <v>342</v>
      </c>
      <c r="C402" s="228" t="s">
        <v>28758</v>
      </c>
      <c r="D402" s="229">
        <v>143.81</v>
      </c>
    </row>
    <row r="403" spans="1:4" ht="99.75">
      <c r="A403" s="230">
        <v>130236</v>
      </c>
      <c r="B403" s="230" t="s">
        <v>343</v>
      </c>
      <c r="C403" s="228" t="s">
        <v>28758</v>
      </c>
      <c r="D403" s="229">
        <v>68.400000000000006</v>
      </c>
    </row>
    <row r="404" spans="1:4" ht="99.75">
      <c r="A404" s="230">
        <v>130237</v>
      </c>
      <c r="B404" s="230" t="s">
        <v>313</v>
      </c>
      <c r="C404" s="228" t="s">
        <v>28758</v>
      </c>
      <c r="D404" s="229">
        <v>45.45</v>
      </c>
    </row>
    <row r="405" spans="1:4" ht="30">
      <c r="A405" s="227">
        <v>1303</v>
      </c>
      <c r="B405" s="227" t="s">
        <v>2251</v>
      </c>
      <c r="C405" s="228"/>
      <c r="D405" s="229"/>
    </row>
    <row r="406" spans="1:4" ht="42.75">
      <c r="A406" s="230">
        <v>130301</v>
      </c>
      <c r="B406" s="230" t="s">
        <v>344</v>
      </c>
      <c r="C406" s="228" t="s">
        <v>54</v>
      </c>
      <c r="D406" s="229">
        <v>11.8</v>
      </c>
    </row>
    <row r="407" spans="1:4" ht="57">
      <c r="A407" s="230">
        <v>130303</v>
      </c>
      <c r="B407" s="230" t="s">
        <v>26260</v>
      </c>
      <c r="C407" s="228" t="s">
        <v>54</v>
      </c>
      <c r="D407" s="229">
        <v>14.39</v>
      </c>
    </row>
    <row r="408" spans="1:4" ht="42.75">
      <c r="A408" s="230">
        <v>130304</v>
      </c>
      <c r="B408" s="230" t="s">
        <v>345</v>
      </c>
      <c r="C408" s="228" t="s">
        <v>54</v>
      </c>
      <c r="D408" s="229">
        <v>28.03</v>
      </c>
    </row>
    <row r="409" spans="1:4" ht="28.5">
      <c r="A409" s="230">
        <v>130307</v>
      </c>
      <c r="B409" s="230" t="s">
        <v>346</v>
      </c>
      <c r="C409" s="228" t="s">
        <v>54</v>
      </c>
      <c r="D409" s="229">
        <v>134.41999999999999</v>
      </c>
    </row>
    <row r="410" spans="1:4" ht="28.5">
      <c r="A410" s="230">
        <v>130308</v>
      </c>
      <c r="B410" s="230" t="s">
        <v>347</v>
      </c>
      <c r="C410" s="228" t="s">
        <v>54</v>
      </c>
      <c r="D410" s="229">
        <v>46.5</v>
      </c>
    </row>
    <row r="411" spans="1:4" ht="42.75">
      <c r="A411" s="230">
        <v>130311</v>
      </c>
      <c r="B411" s="230" t="s">
        <v>348</v>
      </c>
      <c r="C411" s="228" t="s">
        <v>54</v>
      </c>
      <c r="D411" s="229">
        <v>24.44</v>
      </c>
    </row>
    <row r="412" spans="1:4" ht="71.25">
      <c r="A412" s="230">
        <v>130315</v>
      </c>
      <c r="B412" s="230" t="s">
        <v>349</v>
      </c>
      <c r="C412" s="228" t="s">
        <v>54</v>
      </c>
      <c r="D412" s="229">
        <v>40.94</v>
      </c>
    </row>
    <row r="413" spans="1:4" ht="28.5">
      <c r="A413" s="230">
        <v>130317</v>
      </c>
      <c r="B413" s="230" t="s">
        <v>350</v>
      </c>
      <c r="C413" s="228" t="s">
        <v>54</v>
      </c>
      <c r="D413" s="229">
        <v>75.41</v>
      </c>
    </row>
    <row r="414" spans="1:4" ht="57">
      <c r="A414" s="230">
        <v>130320</v>
      </c>
      <c r="B414" s="230" t="s">
        <v>351</v>
      </c>
      <c r="C414" s="228" t="s">
        <v>54</v>
      </c>
      <c r="D414" s="229">
        <v>28.44</v>
      </c>
    </row>
    <row r="415" spans="1:4" ht="71.25">
      <c r="A415" s="230">
        <v>130321</v>
      </c>
      <c r="B415" s="230" t="s">
        <v>352</v>
      </c>
      <c r="C415" s="228" t="s">
        <v>54</v>
      </c>
      <c r="D415" s="229">
        <v>42.69</v>
      </c>
    </row>
    <row r="416" spans="1:4" ht="114">
      <c r="A416" s="230">
        <v>130322</v>
      </c>
      <c r="B416" s="230" t="s">
        <v>353</v>
      </c>
      <c r="C416" s="228" t="s">
        <v>54</v>
      </c>
      <c r="D416" s="229">
        <v>23.37</v>
      </c>
    </row>
    <row r="417" spans="1:4" ht="85.5">
      <c r="A417" s="230">
        <v>130323</v>
      </c>
      <c r="B417" s="230" t="s">
        <v>354</v>
      </c>
      <c r="C417" s="228" t="s">
        <v>54</v>
      </c>
      <c r="D417" s="229">
        <v>40.53</v>
      </c>
    </row>
    <row r="418" spans="1:4" ht="15">
      <c r="A418" s="227">
        <v>1304</v>
      </c>
      <c r="B418" s="227" t="s">
        <v>2218</v>
      </c>
      <c r="C418" s="228"/>
      <c r="D418" s="229"/>
    </row>
    <row r="419" spans="1:4" ht="57">
      <c r="A419" s="230">
        <v>130403</v>
      </c>
      <c r="B419" s="230" t="s">
        <v>355</v>
      </c>
      <c r="C419" s="228" t="s">
        <v>28758</v>
      </c>
      <c r="D419" s="229">
        <v>105.35</v>
      </c>
    </row>
    <row r="420" spans="1:4" ht="15">
      <c r="A420" s="227">
        <v>14</v>
      </c>
      <c r="B420" s="227" t="s">
        <v>2252</v>
      </c>
      <c r="C420" s="228"/>
      <c r="D420" s="229"/>
    </row>
    <row r="421" spans="1:4" ht="30">
      <c r="A421" s="227">
        <v>1401</v>
      </c>
      <c r="B421" s="227" t="s">
        <v>2253</v>
      </c>
      <c r="C421" s="228"/>
      <c r="D421" s="229"/>
    </row>
    <row r="422" spans="1:4" ht="85.5">
      <c r="A422" s="230">
        <v>140102</v>
      </c>
      <c r="B422" s="230" t="s">
        <v>356</v>
      </c>
      <c r="C422" s="228" t="s">
        <v>36</v>
      </c>
      <c r="D422" s="231">
        <v>1941.53</v>
      </c>
    </row>
    <row r="423" spans="1:4" ht="85.5">
      <c r="A423" s="230">
        <v>140103</v>
      </c>
      <c r="B423" s="230" t="s">
        <v>357</v>
      </c>
      <c r="C423" s="228" t="s">
        <v>36</v>
      </c>
      <c r="D423" s="231">
        <v>2503.86</v>
      </c>
    </row>
    <row r="424" spans="1:4" ht="99.75">
      <c r="A424" s="230">
        <v>140108</v>
      </c>
      <c r="B424" s="230" t="s">
        <v>358</v>
      </c>
      <c r="C424" s="228" t="s">
        <v>36</v>
      </c>
      <c r="D424" s="231">
        <v>5956.69</v>
      </c>
    </row>
    <row r="425" spans="1:4" ht="99.75">
      <c r="A425" s="230">
        <v>140109</v>
      </c>
      <c r="B425" s="230" t="s">
        <v>359</v>
      </c>
      <c r="C425" s="228" t="s">
        <v>36</v>
      </c>
      <c r="D425" s="231">
        <v>5487.23</v>
      </c>
    </row>
    <row r="426" spans="1:4" ht="15">
      <c r="A426" s="227">
        <v>1402</v>
      </c>
      <c r="B426" s="227" t="s">
        <v>2254</v>
      </c>
      <c r="C426" s="228"/>
      <c r="D426" s="229"/>
    </row>
    <row r="427" spans="1:4" ht="114">
      <c r="A427" s="230">
        <v>140201</v>
      </c>
      <c r="B427" s="230" t="s">
        <v>26340</v>
      </c>
      <c r="C427" s="228" t="s">
        <v>36</v>
      </c>
      <c r="D427" s="229">
        <v>360.21</v>
      </c>
    </row>
    <row r="428" spans="1:4" ht="114">
      <c r="A428" s="230">
        <v>140207</v>
      </c>
      <c r="B428" s="230" t="s">
        <v>26341</v>
      </c>
      <c r="C428" s="228" t="s">
        <v>36</v>
      </c>
      <c r="D428" s="229">
        <v>447.18</v>
      </c>
    </row>
    <row r="429" spans="1:4" ht="114">
      <c r="A429" s="230">
        <v>140208</v>
      </c>
      <c r="B429" s="230" t="s">
        <v>26342</v>
      </c>
      <c r="C429" s="228" t="s">
        <v>36</v>
      </c>
      <c r="D429" s="229">
        <v>639.98</v>
      </c>
    </row>
    <row r="430" spans="1:4" ht="99.75">
      <c r="A430" s="230">
        <v>140209</v>
      </c>
      <c r="B430" s="230" t="s">
        <v>360</v>
      </c>
      <c r="C430" s="228" t="s">
        <v>36</v>
      </c>
      <c r="D430" s="229">
        <v>236.69</v>
      </c>
    </row>
    <row r="431" spans="1:4" ht="15">
      <c r="A431" s="227">
        <v>1407</v>
      </c>
      <c r="B431" s="227" t="s">
        <v>2255</v>
      </c>
      <c r="C431" s="228"/>
      <c r="D431" s="229"/>
    </row>
    <row r="432" spans="1:4" ht="28.5">
      <c r="A432" s="230">
        <v>140701</v>
      </c>
      <c r="B432" s="230" t="s">
        <v>361</v>
      </c>
      <c r="C432" s="228" t="s">
        <v>362</v>
      </c>
      <c r="D432" s="229">
        <v>94.74</v>
      </c>
    </row>
    <row r="433" spans="1:4" ht="28.5">
      <c r="A433" s="230">
        <v>140702</v>
      </c>
      <c r="B433" s="230" t="s">
        <v>363</v>
      </c>
      <c r="C433" s="228" t="s">
        <v>362</v>
      </c>
      <c r="D433" s="229">
        <v>211.09</v>
      </c>
    </row>
    <row r="434" spans="1:4" ht="28.5">
      <c r="A434" s="230">
        <v>140703</v>
      </c>
      <c r="B434" s="230" t="s">
        <v>364</v>
      </c>
      <c r="C434" s="228" t="s">
        <v>362</v>
      </c>
      <c r="D434" s="229">
        <v>385.76</v>
      </c>
    </row>
    <row r="435" spans="1:4" ht="28.5">
      <c r="A435" s="230">
        <v>140704</v>
      </c>
      <c r="B435" s="230" t="s">
        <v>365</v>
      </c>
      <c r="C435" s="228" t="s">
        <v>362</v>
      </c>
      <c r="D435" s="229">
        <v>380.8</v>
      </c>
    </row>
    <row r="436" spans="1:4" ht="28.5">
      <c r="A436" s="230">
        <v>140705</v>
      </c>
      <c r="B436" s="230" t="s">
        <v>366</v>
      </c>
      <c r="C436" s="228" t="s">
        <v>362</v>
      </c>
      <c r="D436" s="229">
        <v>111.23</v>
      </c>
    </row>
    <row r="437" spans="1:4" ht="42.75">
      <c r="A437" s="230">
        <v>140706</v>
      </c>
      <c r="B437" s="230" t="s">
        <v>367</v>
      </c>
      <c r="C437" s="228" t="s">
        <v>362</v>
      </c>
      <c r="D437" s="229">
        <v>86.3</v>
      </c>
    </row>
    <row r="438" spans="1:4" ht="42.75">
      <c r="A438" s="230">
        <v>140707</v>
      </c>
      <c r="B438" s="230" t="s">
        <v>368</v>
      </c>
      <c r="C438" s="228" t="s">
        <v>362</v>
      </c>
      <c r="D438" s="229">
        <v>159.07</v>
      </c>
    </row>
    <row r="439" spans="1:4" ht="42.75">
      <c r="A439" s="230">
        <v>140708</v>
      </c>
      <c r="B439" s="230" t="s">
        <v>369</v>
      </c>
      <c r="C439" s="228" t="s">
        <v>362</v>
      </c>
      <c r="D439" s="229">
        <v>79.16</v>
      </c>
    </row>
    <row r="440" spans="1:4" ht="28.5">
      <c r="A440" s="230">
        <v>140709</v>
      </c>
      <c r="B440" s="230" t="s">
        <v>370</v>
      </c>
      <c r="C440" s="228" t="s">
        <v>362</v>
      </c>
      <c r="D440" s="229">
        <v>81.66</v>
      </c>
    </row>
    <row r="441" spans="1:4" ht="42.75">
      <c r="A441" s="230">
        <v>140710</v>
      </c>
      <c r="B441" s="230" t="s">
        <v>371</v>
      </c>
      <c r="C441" s="228" t="s">
        <v>36</v>
      </c>
      <c r="D441" s="229">
        <v>202.13</v>
      </c>
    </row>
    <row r="442" spans="1:4" ht="42.75">
      <c r="A442" s="230">
        <v>140711</v>
      </c>
      <c r="B442" s="230" t="s">
        <v>372</v>
      </c>
      <c r="C442" s="228" t="s">
        <v>36</v>
      </c>
      <c r="D442" s="229">
        <v>91.23</v>
      </c>
    </row>
    <row r="443" spans="1:4" ht="57">
      <c r="A443" s="230">
        <v>140712</v>
      </c>
      <c r="B443" s="230" t="s">
        <v>373</v>
      </c>
      <c r="C443" s="228" t="s">
        <v>36</v>
      </c>
      <c r="D443" s="229">
        <v>710.37</v>
      </c>
    </row>
    <row r="444" spans="1:4" ht="85.5">
      <c r="A444" s="230">
        <v>140713</v>
      </c>
      <c r="B444" s="230" t="s">
        <v>374</v>
      </c>
      <c r="C444" s="228" t="s">
        <v>36</v>
      </c>
      <c r="D444" s="231">
        <v>1199.33</v>
      </c>
    </row>
    <row r="445" spans="1:4" ht="99.75">
      <c r="A445" s="230">
        <v>140714</v>
      </c>
      <c r="B445" s="230" t="s">
        <v>375</v>
      </c>
      <c r="C445" s="228" t="s">
        <v>36</v>
      </c>
      <c r="D445" s="231">
        <v>1208.58</v>
      </c>
    </row>
    <row r="446" spans="1:4" ht="15">
      <c r="A446" s="227">
        <v>1409</v>
      </c>
      <c r="B446" s="227" t="s">
        <v>2256</v>
      </c>
      <c r="C446" s="228"/>
      <c r="D446" s="229"/>
    </row>
    <row r="447" spans="1:4" ht="99.75">
      <c r="A447" s="230">
        <v>140901</v>
      </c>
      <c r="B447" s="230" t="s">
        <v>376</v>
      </c>
      <c r="C447" s="228" t="s">
        <v>54</v>
      </c>
      <c r="D447" s="229">
        <v>102.88</v>
      </c>
    </row>
    <row r="448" spans="1:4" ht="99.75">
      <c r="A448" s="230">
        <v>140902</v>
      </c>
      <c r="B448" s="230" t="s">
        <v>377</v>
      </c>
      <c r="C448" s="228" t="s">
        <v>54</v>
      </c>
      <c r="D448" s="229">
        <v>129.71</v>
      </c>
    </row>
    <row r="449" spans="1:4" ht="42.75">
      <c r="A449" s="230">
        <v>140903</v>
      </c>
      <c r="B449" s="230" t="s">
        <v>378</v>
      </c>
      <c r="C449" s="228" t="s">
        <v>54</v>
      </c>
      <c r="D449" s="229">
        <v>56.39</v>
      </c>
    </row>
    <row r="450" spans="1:4" ht="42.75">
      <c r="A450" s="230">
        <v>140904</v>
      </c>
      <c r="B450" s="230" t="s">
        <v>379</v>
      </c>
      <c r="C450" s="228" t="s">
        <v>54</v>
      </c>
      <c r="D450" s="229">
        <v>93</v>
      </c>
    </row>
    <row r="451" spans="1:4" ht="42.75">
      <c r="A451" s="230">
        <v>140905</v>
      </c>
      <c r="B451" s="230" t="s">
        <v>380</v>
      </c>
      <c r="C451" s="228" t="s">
        <v>54</v>
      </c>
      <c r="D451" s="229">
        <v>153</v>
      </c>
    </row>
    <row r="452" spans="1:4" ht="42.75">
      <c r="A452" s="230">
        <v>140906</v>
      </c>
      <c r="B452" s="230" t="s">
        <v>381</v>
      </c>
      <c r="C452" s="228" t="s">
        <v>54</v>
      </c>
      <c r="D452" s="229">
        <v>52.68</v>
      </c>
    </row>
    <row r="453" spans="1:4" ht="30">
      <c r="A453" s="227">
        <v>1411</v>
      </c>
      <c r="B453" s="227" t="s">
        <v>2257</v>
      </c>
      <c r="C453" s="228"/>
      <c r="D453" s="229"/>
    </row>
    <row r="454" spans="1:4" ht="114">
      <c r="A454" s="230">
        <v>141101</v>
      </c>
      <c r="B454" s="230" t="s">
        <v>382</v>
      </c>
      <c r="C454" s="228" t="s">
        <v>36</v>
      </c>
      <c r="D454" s="229">
        <v>476.23</v>
      </c>
    </row>
    <row r="455" spans="1:4" ht="114">
      <c r="A455" s="230">
        <v>141102</v>
      </c>
      <c r="B455" s="230" t="s">
        <v>383</v>
      </c>
      <c r="C455" s="228" t="s">
        <v>36</v>
      </c>
      <c r="D455" s="229">
        <v>469.76</v>
      </c>
    </row>
    <row r="456" spans="1:4" ht="114">
      <c r="A456" s="230">
        <v>141103</v>
      </c>
      <c r="B456" s="230" t="s">
        <v>384</v>
      </c>
      <c r="C456" s="228" t="s">
        <v>36</v>
      </c>
      <c r="D456" s="229">
        <v>549.21</v>
      </c>
    </row>
    <row r="457" spans="1:4" ht="114">
      <c r="A457" s="230">
        <v>141104</v>
      </c>
      <c r="B457" s="230" t="s">
        <v>385</v>
      </c>
      <c r="C457" s="228" t="s">
        <v>36</v>
      </c>
      <c r="D457" s="229">
        <v>515.5</v>
      </c>
    </row>
    <row r="458" spans="1:4" ht="99.75">
      <c r="A458" s="230">
        <v>141105</v>
      </c>
      <c r="B458" s="230" t="s">
        <v>386</v>
      </c>
      <c r="C458" s="228" t="s">
        <v>36</v>
      </c>
      <c r="D458" s="229">
        <v>507.64</v>
      </c>
    </row>
    <row r="459" spans="1:4" ht="114">
      <c r="A459" s="230">
        <v>141106</v>
      </c>
      <c r="B459" s="230" t="s">
        <v>387</v>
      </c>
      <c r="C459" s="228" t="s">
        <v>36</v>
      </c>
      <c r="D459" s="229">
        <v>686</v>
      </c>
    </row>
    <row r="460" spans="1:4" ht="114">
      <c r="A460" s="230">
        <v>141107</v>
      </c>
      <c r="B460" s="230" t="s">
        <v>388</v>
      </c>
      <c r="C460" s="228" t="s">
        <v>36</v>
      </c>
      <c r="D460" s="229">
        <v>681.79</v>
      </c>
    </row>
    <row r="461" spans="1:4" ht="114">
      <c r="A461" s="230">
        <v>141108</v>
      </c>
      <c r="B461" s="230" t="s">
        <v>389</v>
      </c>
      <c r="C461" s="228" t="s">
        <v>36</v>
      </c>
      <c r="D461" s="229">
        <v>985.25</v>
      </c>
    </row>
    <row r="462" spans="1:4" ht="71.25">
      <c r="A462" s="230">
        <v>141109</v>
      </c>
      <c r="B462" s="230" t="s">
        <v>390</v>
      </c>
      <c r="C462" s="228" t="s">
        <v>54</v>
      </c>
      <c r="D462" s="229">
        <v>238.41</v>
      </c>
    </row>
    <row r="463" spans="1:4" ht="114">
      <c r="A463" s="230">
        <v>141110</v>
      </c>
      <c r="B463" s="230" t="s">
        <v>391</v>
      </c>
      <c r="C463" s="228" t="s">
        <v>36</v>
      </c>
      <c r="D463" s="229">
        <v>636.17999999999995</v>
      </c>
    </row>
    <row r="464" spans="1:4" ht="99.75">
      <c r="A464" s="230">
        <v>141111</v>
      </c>
      <c r="B464" s="230" t="s">
        <v>392</v>
      </c>
      <c r="C464" s="228" t="s">
        <v>36</v>
      </c>
      <c r="D464" s="229">
        <v>629.72</v>
      </c>
    </row>
    <row r="465" spans="1:4" ht="114">
      <c r="A465" s="230">
        <v>141112</v>
      </c>
      <c r="B465" s="230" t="s">
        <v>393</v>
      </c>
      <c r="C465" s="228" t="s">
        <v>36</v>
      </c>
      <c r="D465" s="229">
        <v>709.15</v>
      </c>
    </row>
    <row r="466" spans="1:4" ht="99.75">
      <c r="A466" s="230">
        <v>141113</v>
      </c>
      <c r="B466" s="230" t="s">
        <v>394</v>
      </c>
      <c r="C466" s="228" t="s">
        <v>36</v>
      </c>
      <c r="D466" s="229">
        <v>675.46</v>
      </c>
    </row>
    <row r="467" spans="1:4" ht="99.75">
      <c r="A467" s="230">
        <v>141114</v>
      </c>
      <c r="B467" s="230" t="s">
        <v>395</v>
      </c>
      <c r="C467" s="228" t="s">
        <v>36</v>
      </c>
      <c r="D467" s="229">
        <v>652.47</v>
      </c>
    </row>
    <row r="468" spans="1:4" ht="30">
      <c r="A468" s="227">
        <v>1412</v>
      </c>
      <c r="B468" s="227" t="s">
        <v>2258</v>
      </c>
      <c r="C468" s="228"/>
      <c r="D468" s="229"/>
    </row>
    <row r="469" spans="1:4" ht="28.5">
      <c r="A469" s="230">
        <v>141210</v>
      </c>
      <c r="B469" s="230" t="s">
        <v>396</v>
      </c>
      <c r="C469" s="228" t="s">
        <v>54</v>
      </c>
      <c r="D469" s="229">
        <v>62.95</v>
      </c>
    </row>
    <row r="470" spans="1:4" ht="28.5">
      <c r="A470" s="230">
        <v>141211</v>
      </c>
      <c r="B470" s="230" t="s">
        <v>397</v>
      </c>
      <c r="C470" s="228" t="s">
        <v>54</v>
      </c>
      <c r="D470" s="229">
        <v>74.16</v>
      </c>
    </row>
    <row r="471" spans="1:4" ht="28.5">
      <c r="A471" s="230">
        <v>141212</v>
      </c>
      <c r="B471" s="230" t="s">
        <v>398</v>
      </c>
      <c r="C471" s="228" t="s">
        <v>54</v>
      </c>
      <c r="D471" s="229">
        <v>100.49</v>
      </c>
    </row>
    <row r="472" spans="1:4" ht="28.5">
      <c r="A472" s="230">
        <v>141213</v>
      </c>
      <c r="B472" s="230" t="s">
        <v>399</v>
      </c>
      <c r="C472" s="228" t="s">
        <v>54</v>
      </c>
      <c r="D472" s="229">
        <v>121.71</v>
      </c>
    </row>
    <row r="473" spans="1:4" ht="28.5">
      <c r="A473" s="230">
        <v>141214</v>
      </c>
      <c r="B473" s="230" t="s">
        <v>400</v>
      </c>
      <c r="C473" s="228" t="s">
        <v>54</v>
      </c>
      <c r="D473" s="229">
        <v>143</v>
      </c>
    </row>
    <row r="474" spans="1:4" ht="28.5">
      <c r="A474" s="230">
        <v>141215</v>
      </c>
      <c r="B474" s="230" t="s">
        <v>401</v>
      </c>
      <c r="C474" s="228" t="s">
        <v>54</v>
      </c>
      <c r="D474" s="229">
        <v>175.65</v>
      </c>
    </row>
    <row r="475" spans="1:4" ht="28.5">
      <c r="A475" s="230">
        <v>141216</v>
      </c>
      <c r="B475" s="230" t="s">
        <v>402</v>
      </c>
      <c r="C475" s="228" t="s">
        <v>54</v>
      </c>
      <c r="D475" s="229">
        <v>239.23</v>
      </c>
    </row>
    <row r="476" spans="1:4" ht="28.5">
      <c r="A476" s="230">
        <v>141217</v>
      </c>
      <c r="B476" s="230" t="s">
        <v>403</v>
      </c>
      <c r="C476" s="228" t="s">
        <v>54</v>
      </c>
      <c r="D476" s="229">
        <v>255.43</v>
      </c>
    </row>
    <row r="477" spans="1:4" ht="28.5">
      <c r="A477" s="230">
        <v>141218</v>
      </c>
      <c r="B477" s="230" t="s">
        <v>404</v>
      </c>
      <c r="C477" s="228" t="s">
        <v>54</v>
      </c>
      <c r="D477" s="229">
        <v>358.62</v>
      </c>
    </row>
    <row r="478" spans="1:4" ht="30">
      <c r="A478" s="227">
        <v>1414</v>
      </c>
      <c r="B478" s="227" t="s">
        <v>2259</v>
      </c>
      <c r="C478" s="228"/>
      <c r="D478" s="229"/>
    </row>
    <row r="479" spans="1:4" ht="42.75">
      <c r="A479" s="230">
        <v>141409</v>
      </c>
      <c r="B479" s="230" t="s">
        <v>405</v>
      </c>
      <c r="C479" s="228" t="s">
        <v>54</v>
      </c>
      <c r="D479" s="229">
        <v>19.510000000000002</v>
      </c>
    </row>
    <row r="480" spans="1:4" ht="42.75">
      <c r="A480" s="230">
        <v>141410</v>
      </c>
      <c r="B480" s="230" t="s">
        <v>406</v>
      </c>
      <c r="C480" s="228" t="s">
        <v>54</v>
      </c>
      <c r="D480" s="229">
        <v>23.5</v>
      </c>
    </row>
    <row r="481" spans="1:4" ht="42.75">
      <c r="A481" s="230">
        <v>141411</v>
      </c>
      <c r="B481" s="230" t="s">
        <v>407</v>
      </c>
      <c r="C481" s="228" t="s">
        <v>54</v>
      </c>
      <c r="D481" s="229">
        <v>33.51</v>
      </c>
    </row>
    <row r="482" spans="1:4" ht="42.75">
      <c r="A482" s="230">
        <v>141412</v>
      </c>
      <c r="B482" s="230" t="s">
        <v>408</v>
      </c>
      <c r="C482" s="228" t="s">
        <v>54</v>
      </c>
      <c r="D482" s="229">
        <v>46.37</v>
      </c>
    </row>
    <row r="483" spans="1:4" ht="42.75">
      <c r="A483" s="230">
        <v>141413</v>
      </c>
      <c r="B483" s="230" t="s">
        <v>409</v>
      </c>
      <c r="C483" s="228" t="s">
        <v>54</v>
      </c>
      <c r="D483" s="229">
        <v>53.03</v>
      </c>
    </row>
    <row r="484" spans="1:4" ht="42.75">
      <c r="A484" s="230">
        <v>141414</v>
      </c>
      <c r="B484" s="230" t="s">
        <v>410</v>
      </c>
      <c r="C484" s="228" t="s">
        <v>54</v>
      </c>
      <c r="D484" s="229">
        <v>77.650000000000006</v>
      </c>
    </row>
    <row r="485" spans="1:4" ht="42.75">
      <c r="A485" s="230">
        <v>141415</v>
      </c>
      <c r="B485" s="230" t="s">
        <v>411</v>
      </c>
      <c r="C485" s="228" t="s">
        <v>54</v>
      </c>
      <c r="D485" s="229">
        <v>111.1</v>
      </c>
    </row>
    <row r="486" spans="1:4" ht="42.75">
      <c r="A486" s="230">
        <v>141416</v>
      </c>
      <c r="B486" s="230" t="s">
        <v>412</v>
      </c>
      <c r="C486" s="228" t="s">
        <v>54</v>
      </c>
      <c r="D486" s="229">
        <v>134.52000000000001</v>
      </c>
    </row>
    <row r="487" spans="1:4" ht="30">
      <c r="A487" s="227">
        <v>1415</v>
      </c>
      <c r="B487" s="227" t="s">
        <v>2260</v>
      </c>
      <c r="C487" s="228"/>
      <c r="D487" s="229"/>
    </row>
    <row r="488" spans="1:4" ht="42.75">
      <c r="A488" s="230">
        <v>141522</v>
      </c>
      <c r="B488" s="230" t="s">
        <v>26343</v>
      </c>
      <c r="C488" s="228" t="s">
        <v>36</v>
      </c>
      <c r="D488" s="229">
        <v>18.78</v>
      </c>
    </row>
    <row r="489" spans="1:4" ht="42.75">
      <c r="A489" s="230">
        <v>141524</v>
      </c>
      <c r="B489" s="230" t="s">
        <v>26344</v>
      </c>
      <c r="C489" s="228" t="s">
        <v>36</v>
      </c>
      <c r="D489" s="229">
        <v>32.26</v>
      </c>
    </row>
    <row r="490" spans="1:4" ht="42.75">
      <c r="A490" s="230">
        <v>141525</v>
      </c>
      <c r="B490" s="230" t="s">
        <v>26345</v>
      </c>
      <c r="C490" s="228" t="s">
        <v>36</v>
      </c>
      <c r="D490" s="229">
        <v>38.83</v>
      </c>
    </row>
    <row r="491" spans="1:4" ht="42.75">
      <c r="A491" s="230">
        <v>141526</v>
      </c>
      <c r="B491" s="230" t="s">
        <v>26346</v>
      </c>
      <c r="C491" s="228" t="s">
        <v>36</v>
      </c>
      <c r="D491" s="229">
        <v>60.91</v>
      </c>
    </row>
    <row r="492" spans="1:4" ht="42.75">
      <c r="A492" s="230">
        <v>141527</v>
      </c>
      <c r="B492" s="230" t="s">
        <v>26347</v>
      </c>
      <c r="C492" s="228" t="s">
        <v>36</v>
      </c>
      <c r="D492" s="229">
        <v>258.92</v>
      </c>
    </row>
    <row r="493" spans="1:4" ht="28.5">
      <c r="A493" s="230">
        <v>141529</v>
      </c>
      <c r="B493" s="230" t="s">
        <v>413</v>
      </c>
      <c r="C493" s="228" t="s">
        <v>36</v>
      </c>
      <c r="D493" s="229">
        <v>8.16</v>
      </c>
    </row>
    <row r="494" spans="1:4" ht="15">
      <c r="A494" s="227">
        <v>1419</v>
      </c>
      <c r="B494" s="227" t="s">
        <v>2261</v>
      </c>
      <c r="C494" s="228"/>
      <c r="D494" s="229"/>
    </row>
    <row r="495" spans="1:4" ht="42.75">
      <c r="A495" s="230">
        <v>141906</v>
      </c>
      <c r="B495" s="230" t="s">
        <v>414</v>
      </c>
      <c r="C495" s="228" t="s">
        <v>54</v>
      </c>
      <c r="D495" s="229">
        <v>32.979999999999997</v>
      </c>
    </row>
    <row r="496" spans="1:4" ht="42.75">
      <c r="A496" s="230">
        <v>141907</v>
      </c>
      <c r="B496" s="230" t="s">
        <v>415</v>
      </c>
      <c r="C496" s="228" t="s">
        <v>54</v>
      </c>
      <c r="D496" s="229">
        <v>43.39</v>
      </c>
    </row>
    <row r="497" spans="1:4" ht="42.75">
      <c r="A497" s="230">
        <v>141908</v>
      </c>
      <c r="B497" s="230" t="s">
        <v>416</v>
      </c>
      <c r="C497" s="228" t="s">
        <v>54</v>
      </c>
      <c r="D497" s="229">
        <v>62.83</v>
      </c>
    </row>
    <row r="498" spans="1:4" ht="42.75">
      <c r="A498" s="230">
        <v>141909</v>
      </c>
      <c r="B498" s="230" t="s">
        <v>417</v>
      </c>
      <c r="C498" s="228" t="s">
        <v>54</v>
      </c>
      <c r="D498" s="229">
        <v>69.3</v>
      </c>
    </row>
    <row r="499" spans="1:4" ht="42.75">
      <c r="A499" s="230">
        <v>141910</v>
      </c>
      <c r="B499" s="230" t="s">
        <v>418</v>
      </c>
      <c r="C499" s="228" t="s">
        <v>54</v>
      </c>
      <c r="D499" s="229">
        <v>106.54</v>
      </c>
    </row>
    <row r="500" spans="1:4" ht="15">
      <c r="A500" s="227">
        <v>1421</v>
      </c>
      <c r="B500" s="227" t="s">
        <v>2262</v>
      </c>
      <c r="C500" s="228"/>
      <c r="D500" s="229"/>
    </row>
    <row r="501" spans="1:4" ht="28.5">
      <c r="A501" s="230">
        <v>142103</v>
      </c>
      <c r="B501" s="230" t="s">
        <v>419</v>
      </c>
      <c r="C501" s="228" t="s">
        <v>36</v>
      </c>
      <c r="D501" s="229">
        <v>71.7</v>
      </c>
    </row>
    <row r="502" spans="1:4" ht="28.5">
      <c r="A502" s="230">
        <v>142104</v>
      </c>
      <c r="B502" s="230" t="s">
        <v>420</v>
      </c>
      <c r="C502" s="228" t="s">
        <v>36</v>
      </c>
      <c r="D502" s="229">
        <v>33.159999999999997</v>
      </c>
    </row>
    <row r="503" spans="1:4" ht="14.25">
      <c r="A503" s="230">
        <v>142106</v>
      </c>
      <c r="B503" s="230" t="s">
        <v>421</v>
      </c>
      <c r="C503" s="228" t="s">
        <v>36</v>
      </c>
      <c r="D503" s="229">
        <v>33.28</v>
      </c>
    </row>
    <row r="504" spans="1:4" ht="28.5">
      <c r="A504" s="230">
        <v>142107</v>
      </c>
      <c r="B504" s="230" t="s">
        <v>422</v>
      </c>
      <c r="C504" s="228" t="s">
        <v>36</v>
      </c>
      <c r="D504" s="229">
        <v>54.37</v>
      </c>
    </row>
    <row r="505" spans="1:4" ht="28.5">
      <c r="A505" s="230">
        <v>142109</v>
      </c>
      <c r="B505" s="230" t="s">
        <v>423</v>
      </c>
      <c r="C505" s="228" t="s">
        <v>36</v>
      </c>
      <c r="D505" s="229">
        <v>51.77</v>
      </c>
    </row>
    <row r="506" spans="1:4" ht="42.75">
      <c r="A506" s="230">
        <v>142111</v>
      </c>
      <c r="B506" s="230" t="s">
        <v>424</v>
      </c>
      <c r="C506" s="228" t="s">
        <v>36</v>
      </c>
      <c r="D506" s="229">
        <v>122.24</v>
      </c>
    </row>
    <row r="507" spans="1:4" ht="42.75">
      <c r="A507" s="230">
        <v>142112</v>
      </c>
      <c r="B507" s="230" t="s">
        <v>425</v>
      </c>
      <c r="C507" s="228" t="s">
        <v>36</v>
      </c>
      <c r="D507" s="229">
        <v>62.51</v>
      </c>
    </row>
    <row r="508" spans="1:4" ht="28.5">
      <c r="A508" s="230">
        <v>142114</v>
      </c>
      <c r="B508" s="230" t="s">
        <v>426</v>
      </c>
      <c r="C508" s="228" t="s">
        <v>36</v>
      </c>
      <c r="D508" s="229">
        <v>14.68</v>
      </c>
    </row>
    <row r="509" spans="1:4" ht="28.5">
      <c r="A509" s="230">
        <v>142115</v>
      </c>
      <c r="B509" s="230" t="s">
        <v>427</v>
      </c>
      <c r="C509" s="228" t="s">
        <v>36</v>
      </c>
      <c r="D509" s="229">
        <v>46.12</v>
      </c>
    </row>
    <row r="510" spans="1:4" ht="28.5">
      <c r="A510" s="230">
        <v>142116</v>
      </c>
      <c r="B510" s="230" t="s">
        <v>428</v>
      </c>
      <c r="C510" s="228" t="s">
        <v>36</v>
      </c>
      <c r="D510" s="229">
        <v>9.1999999999999993</v>
      </c>
    </row>
    <row r="511" spans="1:4" ht="28.5">
      <c r="A511" s="230">
        <v>142117</v>
      </c>
      <c r="B511" s="230" t="s">
        <v>429</v>
      </c>
      <c r="C511" s="228" t="s">
        <v>36</v>
      </c>
      <c r="D511" s="229">
        <v>29.85</v>
      </c>
    </row>
    <row r="512" spans="1:4" ht="28.5">
      <c r="A512" s="230">
        <v>142118</v>
      </c>
      <c r="B512" s="230" t="s">
        <v>430</v>
      </c>
      <c r="C512" s="228" t="s">
        <v>36</v>
      </c>
      <c r="D512" s="229">
        <v>15.07</v>
      </c>
    </row>
    <row r="513" spans="1:4" ht="28.5">
      <c r="A513" s="230">
        <v>142119</v>
      </c>
      <c r="B513" s="230" t="s">
        <v>431</v>
      </c>
      <c r="C513" s="228" t="s">
        <v>36</v>
      </c>
      <c r="D513" s="229">
        <v>83.49</v>
      </c>
    </row>
    <row r="514" spans="1:4" ht="28.5">
      <c r="A514" s="230">
        <v>142120</v>
      </c>
      <c r="B514" s="230" t="s">
        <v>432</v>
      </c>
      <c r="C514" s="228" t="s">
        <v>36</v>
      </c>
      <c r="D514" s="229">
        <v>103.54</v>
      </c>
    </row>
    <row r="515" spans="1:4" ht="28.5">
      <c r="A515" s="230">
        <v>142121</v>
      </c>
      <c r="B515" s="230" t="s">
        <v>433</v>
      </c>
      <c r="C515" s="228" t="s">
        <v>36</v>
      </c>
      <c r="D515" s="229">
        <v>197.4</v>
      </c>
    </row>
    <row r="516" spans="1:4" ht="28.5">
      <c r="A516" s="230">
        <v>142122</v>
      </c>
      <c r="B516" s="230" t="s">
        <v>434</v>
      </c>
      <c r="C516" s="228" t="s">
        <v>36</v>
      </c>
      <c r="D516" s="229">
        <v>95.03</v>
      </c>
    </row>
    <row r="517" spans="1:4" ht="42.75">
      <c r="A517" s="230">
        <v>142123</v>
      </c>
      <c r="B517" s="230" t="s">
        <v>26348</v>
      </c>
      <c r="C517" s="228" t="s">
        <v>36</v>
      </c>
      <c r="D517" s="229">
        <v>17.170000000000002</v>
      </c>
    </row>
    <row r="518" spans="1:4" ht="42.75">
      <c r="A518" s="230">
        <v>142124</v>
      </c>
      <c r="B518" s="230" t="s">
        <v>26349</v>
      </c>
      <c r="C518" s="228" t="s">
        <v>36</v>
      </c>
      <c r="D518" s="229">
        <v>18.78</v>
      </c>
    </row>
    <row r="519" spans="1:4" ht="42.75">
      <c r="A519" s="230">
        <v>142125</v>
      </c>
      <c r="B519" s="230" t="s">
        <v>26350</v>
      </c>
      <c r="C519" s="228" t="s">
        <v>36</v>
      </c>
      <c r="D519" s="229">
        <v>24.9</v>
      </c>
    </row>
    <row r="520" spans="1:4" ht="45">
      <c r="A520" s="227">
        <v>1422</v>
      </c>
      <c r="B520" s="227" t="s">
        <v>2263</v>
      </c>
      <c r="C520" s="228"/>
      <c r="D520" s="229"/>
    </row>
    <row r="521" spans="1:4" ht="42.75">
      <c r="A521" s="230">
        <v>142201</v>
      </c>
      <c r="B521" s="230" t="s">
        <v>435</v>
      </c>
      <c r="C521" s="228" t="s">
        <v>54</v>
      </c>
      <c r="D521" s="229">
        <v>10.27</v>
      </c>
    </row>
    <row r="522" spans="1:4" ht="42.75">
      <c r="A522" s="230">
        <v>142202</v>
      </c>
      <c r="B522" s="230" t="s">
        <v>436</v>
      </c>
      <c r="C522" s="228" t="s">
        <v>54</v>
      </c>
      <c r="D522" s="229">
        <v>15.38</v>
      </c>
    </row>
    <row r="523" spans="1:4" ht="42.75">
      <c r="A523" s="230">
        <v>142203</v>
      </c>
      <c r="B523" s="230" t="s">
        <v>437</v>
      </c>
      <c r="C523" s="228" t="s">
        <v>54</v>
      </c>
      <c r="D523" s="229">
        <v>23.15</v>
      </c>
    </row>
    <row r="524" spans="1:4" ht="42.75">
      <c r="A524" s="230">
        <v>142204</v>
      </c>
      <c r="B524" s="230" t="s">
        <v>438</v>
      </c>
      <c r="C524" s="228" t="s">
        <v>54</v>
      </c>
      <c r="D524" s="229">
        <v>19.59</v>
      </c>
    </row>
    <row r="525" spans="1:4" ht="42.75">
      <c r="A525" s="230">
        <v>142205</v>
      </c>
      <c r="B525" s="230" t="s">
        <v>439</v>
      </c>
      <c r="C525" s="228" t="s">
        <v>54</v>
      </c>
      <c r="D525" s="229">
        <v>29.84</v>
      </c>
    </row>
    <row r="526" spans="1:4" ht="42.75">
      <c r="A526" s="230">
        <v>142206</v>
      </c>
      <c r="B526" s="230" t="s">
        <v>440</v>
      </c>
      <c r="C526" s="228" t="s">
        <v>54</v>
      </c>
      <c r="D526" s="229">
        <v>43.41</v>
      </c>
    </row>
    <row r="527" spans="1:4" ht="15">
      <c r="A527" s="227">
        <v>1423</v>
      </c>
      <c r="B527" s="227" t="s">
        <v>2218</v>
      </c>
      <c r="C527" s="228"/>
      <c r="D527" s="229"/>
    </row>
    <row r="528" spans="1:4" ht="28.5">
      <c r="A528" s="230">
        <v>142301</v>
      </c>
      <c r="B528" s="230" t="s">
        <v>441</v>
      </c>
      <c r="C528" s="228" t="s">
        <v>36</v>
      </c>
      <c r="D528" s="229">
        <v>17.63</v>
      </c>
    </row>
    <row r="529" spans="1:4" ht="28.5">
      <c r="A529" s="230">
        <v>142302</v>
      </c>
      <c r="B529" s="230" t="s">
        <v>442</v>
      </c>
      <c r="C529" s="228" t="s">
        <v>36</v>
      </c>
      <c r="D529" s="229">
        <v>24.68</v>
      </c>
    </row>
    <row r="530" spans="1:4" ht="28.5">
      <c r="A530" s="230">
        <v>142303</v>
      </c>
      <c r="B530" s="230" t="s">
        <v>443</v>
      </c>
      <c r="C530" s="228" t="s">
        <v>36</v>
      </c>
      <c r="D530" s="229">
        <v>17.63</v>
      </c>
    </row>
    <row r="531" spans="1:4" ht="28.5">
      <c r="A531" s="230">
        <v>142304</v>
      </c>
      <c r="B531" s="230" t="s">
        <v>444</v>
      </c>
      <c r="C531" s="228" t="s">
        <v>36</v>
      </c>
      <c r="D531" s="229">
        <v>20.75</v>
      </c>
    </row>
    <row r="532" spans="1:4" ht="15">
      <c r="A532" s="227">
        <v>15</v>
      </c>
      <c r="B532" s="227" t="s">
        <v>2264</v>
      </c>
      <c r="C532" s="228"/>
      <c r="D532" s="229"/>
    </row>
    <row r="533" spans="1:4" ht="15">
      <c r="A533" s="227">
        <v>1501</v>
      </c>
      <c r="B533" s="227" t="s">
        <v>2265</v>
      </c>
      <c r="C533" s="228"/>
      <c r="D533" s="229"/>
    </row>
    <row r="534" spans="1:4" ht="99.75">
      <c r="A534" s="230">
        <v>150122</v>
      </c>
      <c r="B534" s="230" t="s">
        <v>445</v>
      </c>
      <c r="C534" s="228" t="s">
        <v>36</v>
      </c>
      <c r="D534" s="231">
        <v>1310.5999999999999</v>
      </c>
    </row>
    <row r="535" spans="1:4" ht="99.75">
      <c r="A535" s="230">
        <v>150123</v>
      </c>
      <c r="B535" s="230" t="s">
        <v>446</v>
      </c>
      <c r="C535" s="228" t="s">
        <v>36</v>
      </c>
      <c r="D535" s="231">
        <v>2365.62</v>
      </c>
    </row>
    <row r="536" spans="1:4" ht="15">
      <c r="A536" s="227">
        <v>1503</v>
      </c>
      <c r="B536" s="227" t="s">
        <v>2266</v>
      </c>
      <c r="C536" s="228"/>
      <c r="D536" s="229"/>
    </row>
    <row r="537" spans="1:4" ht="42.75">
      <c r="A537" s="230">
        <v>150302</v>
      </c>
      <c r="B537" s="230" t="s">
        <v>26261</v>
      </c>
      <c r="C537" s="228" t="s">
        <v>36</v>
      </c>
      <c r="D537" s="229">
        <v>377.08</v>
      </c>
    </row>
    <row r="538" spans="1:4" ht="57">
      <c r="A538" s="230">
        <v>150306</v>
      </c>
      <c r="B538" s="230" t="s">
        <v>26262</v>
      </c>
      <c r="C538" s="228" t="s">
        <v>36</v>
      </c>
      <c r="D538" s="229">
        <v>338.51</v>
      </c>
    </row>
    <row r="539" spans="1:4" ht="42.75">
      <c r="A539" s="230">
        <v>150307</v>
      </c>
      <c r="B539" s="230" t="s">
        <v>447</v>
      </c>
      <c r="C539" s="228" t="s">
        <v>36</v>
      </c>
      <c r="D539" s="229">
        <v>627.26</v>
      </c>
    </row>
    <row r="540" spans="1:4" ht="42.75">
      <c r="A540" s="230">
        <v>150308</v>
      </c>
      <c r="B540" s="230" t="s">
        <v>448</v>
      </c>
      <c r="C540" s="228" t="s">
        <v>36</v>
      </c>
      <c r="D540" s="229">
        <v>675.2</v>
      </c>
    </row>
    <row r="541" spans="1:4" ht="42.75">
      <c r="A541" s="230">
        <v>150309</v>
      </c>
      <c r="B541" s="230" t="s">
        <v>449</v>
      </c>
      <c r="C541" s="228" t="s">
        <v>36</v>
      </c>
      <c r="D541" s="229">
        <v>805.83</v>
      </c>
    </row>
    <row r="542" spans="1:4" ht="14.25">
      <c r="A542" s="230">
        <v>150310</v>
      </c>
      <c r="B542" s="230" t="s">
        <v>450</v>
      </c>
      <c r="C542" s="228" t="s">
        <v>36</v>
      </c>
      <c r="D542" s="229">
        <v>75.47</v>
      </c>
    </row>
    <row r="543" spans="1:4" ht="42.75">
      <c r="A543" s="230">
        <v>150311</v>
      </c>
      <c r="B543" s="230" t="s">
        <v>451</v>
      </c>
      <c r="C543" s="228" t="s">
        <v>36</v>
      </c>
      <c r="D543" s="229">
        <v>142.53</v>
      </c>
    </row>
    <row r="544" spans="1:4" ht="42.75">
      <c r="A544" s="230">
        <v>150312</v>
      </c>
      <c r="B544" s="230" t="s">
        <v>452</v>
      </c>
      <c r="C544" s="228" t="s">
        <v>36</v>
      </c>
      <c r="D544" s="229">
        <v>98.09</v>
      </c>
    </row>
    <row r="545" spans="1:4" ht="57">
      <c r="A545" s="230">
        <v>150313</v>
      </c>
      <c r="B545" s="230" t="s">
        <v>26263</v>
      </c>
      <c r="C545" s="228" t="s">
        <v>36</v>
      </c>
      <c r="D545" s="229">
        <v>188.66</v>
      </c>
    </row>
    <row r="546" spans="1:4" ht="99.75">
      <c r="A546" s="230">
        <v>150315</v>
      </c>
      <c r="B546" s="230" t="s">
        <v>453</v>
      </c>
      <c r="C546" s="228" t="s">
        <v>36</v>
      </c>
      <c r="D546" s="231">
        <v>1226.7</v>
      </c>
    </row>
    <row r="547" spans="1:4" ht="99.75">
      <c r="A547" s="230">
        <v>150316</v>
      </c>
      <c r="B547" s="230" t="s">
        <v>454</v>
      </c>
      <c r="C547" s="228" t="s">
        <v>36</v>
      </c>
      <c r="D547" s="231">
        <v>1727.75</v>
      </c>
    </row>
    <row r="548" spans="1:4" ht="85.5">
      <c r="A548" s="230">
        <v>150317</v>
      </c>
      <c r="B548" s="230" t="s">
        <v>455</v>
      </c>
      <c r="C548" s="228" t="s">
        <v>36</v>
      </c>
      <c r="D548" s="231">
        <v>1926.07</v>
      </c>
    </row>
    <row r="549" spans="1:4" ht="15">
      <c r="A549" s="227">
        <v>1506</v>
      </c>
      <c r="B549" s="227" t="s">
        <v>2267</v>
      </c>
      <c r="C549" s="228"/>
      <c r="D549" s="229"/>
    </row>
    <row r="550" spans="1:4" ht="42.75">
      <c r="A550" s="230">
        <v>150609</v>
      </c>
      <c r="B550" s="230" t="s">
        <v>456</v>
      </c>
      <c r="C550" s="228" t="s">
        <v>36</v>
      </c>
      <c r="D550" s="229">
        <v>220.3</v>
      </c>
    </row>
    <row r="551" spans="1:4" ht="85.5">
      <c r="A551" s="230">
        <v>150610</v>
      </c>
      <c r="B551" s="230" t="s">
        <v>457</v>
      </c>
      <c r="C551" s="228" t="s">
        <v>36</v>
      </c>
      <c r="D551" s="229">
        <v>314.29000000000002</v>
      </c>
    </row>
    <row r="552" spans="1:4" ht="42.75">
      <c r="A552" s="230">
        <v>150612</v>
      </c>
      <c r="B552" s="230" t="s">
        <v>26264</v>
      </c>
      <c r="C552" s="228" t="s">
        <v>36</v>
      </c>
      <c r="D552" s="229">
        <v>52.14</v>
      </c>
    </row>
    <row r="553" spans="1:4" ht="85.5">
      <c r="A553" s="230">
        <v>150614</v>
      </c>
      <c r="B553" s="230" t="s">
        <v>458</v>
      </c>
      <c r="C553" s="228" t="s">
        <v>36</v>
      </c>
      <c r="D553" s="229">
        <v>120.17</v>
      </c>
    </row>
    <row r="554" spans="1:4" ht="85.5">
      <c r="A554" s="230">
        <v>150615</v>
      </c>
      <c r="B554" s="230" t="s">
        <v>459</v>
      </c>
      <c r="C554" s="228" t="s">
        <v>36</v>
      </c>
      <c r="D554" s="229">
        <v>154.4</v>
      </c>
    </row>
    <row r="555" spans="1:4" ht="85.5">
      <c r="A555" s="230">
        <v>150616</v>
      </c>
      <c r="B555" s="230" t="s">
        <v>460</v>
      </c>
      <c r="C555" s="228" t="s">
        <v>36</v>
      </c>
      <c r="D555" s="229">
        <v>215.07</v>
      </c>
    </row>
    <row r="556" spans="1:4" ht="99.75">
      <c r="A556" s="230">
        <v>150626</v>
      </c>
      <c r="B556" s="230" t="s">
        <v>461</v>
      </c>
      <c r="C556" s="228" t="s">
        <v>36</v>
      </c>
      <c r="D556" s="229">
        <v>119.55</v>
      </c>
    </row>
    <row r="557" spans="1:4" ht="28.5">
      <c r="A557" s="230">
        <v>150628</v>
      </c>
      <c r="B557" s="230" t="s">
        <v>462</v>
      </c>
      <c r="C557" s="228" t="s">
        <v>36</v>
      </c>
      <c r="D557" s="229">
        <v>8.61</v>
      </c>
    </row>
    <row r="558" spans="1:4" ht="28.5">
      <c r="A558" s="230">
        <v>150629</v>
      </c>
      <c r="B558" s="230" t="s">
        <v>463</v>
      </c>
      <c r="C558" s="228" t="s">
        <v>36</v>
      </c>
      <c r="D558" s="229">
        <v>12.68</v>
      </c>
    </row>
    <row r="559" spans="1:4" ht="42.75">
      <c r="A559" s="230">
        <v>150632</v>
      </c>
      <c r="B559" s="230" t="s">
        <v>464</v>
      </c>
      <c r="C559" s="228" t="s">
        <v>36</v>
      </c>
      <c r="D559" s="229">
        <v>70.98</v>
      </c>
    </row>
    <row r="560" spans="1:4" ht="42.75">
      <c r="A560" s="230">
        <v>150633</v>
      </c>
      <c r="B560" s="230" t="s">
        <v>465</v>
      </c>
      <c r="C560" s="228" t="s">
        <v>36</v>
      </c>
      <c r="D560" s="229">
        <v>101.13</v>
      </c>
    </row>
    <row r="561" spans="1:4" ht="42.75">
      <c r="A561" s="230">
        <v>150634</v>
      </c>
      <c r="B561" s="230" t="s">
        <v>466</v>
      </c>
      <c r="C561" s="228" t="s">
        <v>36</v>
      </c>
      <c r="D561" s="229">
        <v>155.41</v>
      </c>
    </row>
    <row r="562" spans="1:4" ht="42.75">
      <c r="A562" s="230">
        <v>150635</v>
      </c>
      <c r="B562" s="230" t="s">
        <v>467</v>
      </c>
      <c r="C562" s="228" t="s">
        <v>36</v>
      </c>
      <c r="D562" s="229">
        <v>185.01</v>
      </c>
    </row>
    <row r="563" spans="1:4" ht="28.5">
      <c r="A563" s="230">
        <v>150636</v>
      </c>
      <c r="B563" s="230" t="s">
        <v>468</v>
      </c>
      <c r="C563" s="228" t="s">
        <v>36</v>
      </c>
      <c r="D563" s="229">
        <v>10.1</v>
      </c>
    </row>
    <row r="564" spans="1:4" ht="15">
      <c r="A564" s="227">
        <v>1507</v>
      </c>
      <c r="B564" s="227" t="s">
        <v>2268</v>
      </c>
      <c r="C564" s="228"/>
      <c r="D564" s="229"/>
    </row>
    <row r="565" spans="1:4" ht="85.5">
      <c r="A565" s="230">
        <v>150701</v>
      </c>
      <c r="B565" s="230" t="s">
        <v>469</v>
      </c>
      <c r="C565" s="228" t="s">
        <v>54</v>
      </c>
      <c r="D565" s="229">
        <v>46.42</v>
      </c>
    </row>
    <row r="566" spans="1:4" ht="85.5">
      <c r="A566" s="230">
        <v>150702</v>
      </c>
      <c r="B566" s="230" t="s">
        <v>470</v>
      </c>
      <c r="C566" s="228" t="s">
        <v>54</v>
      </c>
      <c r="D566" s="229">
        <v>55.69</v>
      </c>
    </row>
    <row r="567" spans="1:4" ht="85.5">
      <c r="A567" s="230">
        <v>150703</v>
      </c>
      <c r="B567" s="230" t="s">
        <v>471</v>
      </c>
      <c r="C567" s="228" t="s">
        <v>54</v>
      </c>
      <c r="D567" s="229">
        <v>145.15</v>
      </c>
    </row>
    <row r="568" spans="1:4" ht="85.5">
      <c r="A568" s="230">
        <v>150704</v>
      </c>
      <c r="B568" s="230" t="s">
        <v>472</v>
      </c>
      <c r="C568" s="228" t="s">
        <v>54</v>
      </c>
      <c r="D568" s="229">
        <v>155.76</v>
      </c>
    </row>
    <row r="569" spans="1:4" ht="15">
      <c r="A569" s="227">
        <v>1508</v>
      </c>
      <c r="B569" s="227" t="s">
        <v>2269</v>
      </c>
      <c r="C569" s="228"/>
      <c r="D569" s="229"/>
    </row>
    <row r="570" spans="1:4" ht="42.75">
      <c r="A570" s="230">
        <v>150801</v>
      </c>
      <c r="B570" s="230" t="s">
        <v>473</v>
      </c>
      <c r="C570" s="228" t="s">
        <v>54</v>
      </c>
      <c r="D570" s="229">
        <v>16.29</v>
      </c>
    </row>
    <row r="571" spans="1:4" ht="57">
      <c r="A571" s="230">
        <v>150802</v>
      </c>
      <c r="B571" s="230" t="s">
        <v>474</v>
      </c>
      <c r="C571" s="228" t="s">
        <v>36</v>
      </c>
      <c r="D571" s="229">
        <v>21.61</v>
      </c>
    </row>
    <row r="572" spans="1:4" ht="57">
      <c r="A572" s="230">
        <v>150803</v>
      </c>
      <c r="B572" s="230" t="s">
        <v>475</v>
      </c>
      <c r="C572" s="228" t="s">
        <v>36</v>
      </c>
      <c r="D572" s="229">
        <v>25.25</v>
      </c>
    </row>
    <row r="573" spans="1:4" ht="57">
      <c r="A573" s="230">
        <v>150804</v>
      </c>
      <c r="B573" s="230" t="s">
        <v>476</v>
      </c>
      <c r="C573" s="228" t="s">
        <v>36</v>
      </c>
      <c r="D573" s="229">
        <v>23.28</v>
      </c>
    </row>
    <row r="574" spans="1:4" ht="57">
      <c r="A574" s="230">
        <v>150805</v>
      </c>
      <c r="B574" s="230" t="s">
        <v>477</v>
      </c>
      <c r="C574" s="228" t="s">
        <v>36</v>
      </c>
      <c r="D574" s="229">
        <v>25.22</v>
      </c>
    </row>
    <row r="575" spans="1:4" ht="42.75">
      <c r="A575" s="230">
        <v>150806</v>
      </c>
      <c r="B575" s="230" t="s">
        <v>478</v>
      </c>
      <c r="C575" s="228" t="s">
        <v>54</v>
      </c>
      <c r="D575" s="229">
        <v>26.27</v>
      </c>
    </row>
    <row r="576" spans="1:4" ht="28.5">
      <c r="A576" s="230">
        <v>150807</v>
      </c>
      <c r="B576" s="230" t="s">
        <v>479</v>
      </c>
      <c r="C576" s="228" t="s">
        <v>54</v>
      </c>
      <c r="D576" s="229">
        <v>13.24</v>
      </c>
    </row>
    <row r="577" spans="1:4" ht="42.75">
      <c r="A577" s="230">
        <v>150835</v>
      </c>
      <c r="B577" s="230" t="s">
        <v>480</v>
      </c>
      <c r="C577" s="228" t="s">
        <v>54</v>
      </c>
      <c r="D577" s="229">
        <v>91.55</v>
      </c>
    </row>
    <row r="578" spans="1:4" ht="42.75">
      <c r="A578" s="230">
        <v>150836</v>
      </c>
      <c r="B578" s="230" t="s">
        <v>481</v>
      </c>
      <c r="C578" s="228" t="s">
        <v>54</v>
      </c>
      <c r="D578" s="229">
        <v>136.11000000000001</v>
      </c>
    </row>
    <row r="579" spans="1:4" ht="42.75">
      <c r="A579" s="230">
        <v>150837</v>
      </c>
      <c r="B579" s="230" t="s">
        <v>482</v>
      </c>
      <c r="C579" s="228" t="s">
        <v>54</v>
      </c>
      <c r="D579" s="229">
        <v>176.92</v>
      </c>
    </row>
    <row r="580" spans="1:4" ht="42.75">
      <c r="A580" s="230">
        <v>150838</v>
      </c>
      <c r="B580" s="230" t="s">
        <v>483</v>
      </c>
      <c r="C580" s="228" t="s">
        <v>54</v>
      </c>
      <c r="D580" s="229">
        <v>207.92</v>
      </c>
    </row>
    <row r="581" spans="1:4" ht="42.75">
      <c r="A581" s="230">
        <v>150843</v>
      </c>
      <c r="B581" s="230" t="s">
        <v>484</v>
      </c>
      <c r="C581" s="228" t="s">
        <v>36</v>
      </c>
      <c r="D581" s="229">
        <v>78.599999999999994</v>
      </c>
    </row>
    <row r="582" spans="1:4" ht="42.75">
      <c r="A582" s="230">
        <v>150844</v>
      </c>
      <c r="B582" s="230" t="s">
        <v>485</v>
      </c>
      <c r="C582" s="228" t="s">
        <v>36</v>
      </c>
      <c r="D582" s="229">
        <v>100.48</v>
      </c>
    </row>
    <row r="583" spans="1:4" ht="42.75">
      <c r="A583" s="230">
        <v>150845</v>
      </c>
      <c r="B583" s="230" t="s">
        <v>486</v>
      </c>
      <c r="C583" s="228" t="s">
        <v>36</v>
      </c>
      <c r="D583" s="229">
        <v>121.44</v>
      </c>
    </row>
    <row r="584" spans="1:4" ht="28.5">
      <c r="A584" s="230">
        <v>150850</v>
      </c>
      <c r="B584" s="230" t="s">
        <v>487</v>
      </c>
      <c r="C584" s="228" t="s">
        <v>36</v>
      </c>
      <c r="D584" s="229">
        <v>10.06</v>
      </c>
    </row>
    <row r="585" spans="1:4" ht="28.5">
      <c r="A585" s="230">
        <v>150851</v>
      </c>
      <c r="B585" s="230" t="s">
        <v>488</v>
      </c>
      <c r="C585" s="228" t="s">
        <v>36</v>
      </c>
      <c r="D585" s="229">
        <v>10.47</v>
      </c>
    </row>
    <row r="586" spans="1:4" ht="28.5">
      <c r="A586" s="230">
        <v>150852</v>
      </c>
      <c r="B586" s="230" t="s">
        <v>489</v>
      </c>
      <c r="C586" s="228" t="s">
        <v>36</v>
      </c>
      <c r="D586" s="229">
        <v>12.63</v>
      </c>
    </row>
    <row r="587" spans="1:4" ht="42.75">
      <c r="A587" s="230">
        <v>150860</v>
      </c>
      <c r="B587" s="230" t="s">
        <v>490</v>
      </c>
      <c r="C587" s="228" t="s">
        <v>36</v>
      </c>
      <c r="D587" s="229">
        <v>47.8</v>
      </c>
    </row>
    <row r="588" spans="1:4" ht="42.75">
      <c r="A588" s="230">
        <v>150861</v>
      </c>
      <c r="B588" s="230" t="s">
        <v>491</v>
      </c>
      <c r="C588" s="228" t="s">
        <v>36</v>
      </c>
      <c r="D588" s="229">
        <v>60.79</v>
      </c>
    </row>
    <row r="589" spans="1:4" ht="42.75">
      <c r="A589" s="230">
        <v>150862</v>
      </c>
      <c r="B589" s="230" t="s">
        <v>492</v>
      </c>
      <c r="C589" s="228" t="s">
        <v>36</v>
      </c>
      <c r="D589" s="229">
        <v>84.32</v>
      </c>
    </row>
    <row r="590" spans="1:4" ht="42.75">
      <c r="A590" s="230">
        <v>150863</v>
      </c>
      <c r="B590" s="230" t="s">
        <v>493</v>
      </c>
      <c r="C590" s="228" t="s">
        <v>36</v>
      </c>
      <c r="D590" s="229">
        <v>108.29</v>
      </c>
    </row>
    <row r="591" spans="1:4" ht="42.75">
      <c r="A591" s="230">
        <v>150866</v>
      </c>
      <c r="B591" s="230" t="s">
        <v>494</v>
      </c>
      <c r="C591" s="228" t="s">
        <v>36</v>
      </c>
      <c r="D591" s="229">
        <v>14.41</v>
      </c>
    </row>
    <row r="592" spans="1:4" ht="42.75">
      <c r="A592" s="230">
        <v>150867</v>
      </c>
      <c r="B592" s="230" t="s">
        <v>495</v>
      </c>
      <c r="C592" s="228" t="s">
        <v>36</v>
      </c>
      <c r="D592" s="229">
        <v>17.309999999999999</v>
      </c>
    </row>
    <row r="593" spans="1:4" ht="42.75">
      <c r="A593" s="230">
        <v>150870</v>
      </c>
      <c r="B593" s="230" t="s">
        <v>496</v>
      </c>
      <c r="C593" s="228" t="s">
        <v>36</v>
      </c>
      <c r="D593" s="229">
        <v>146.32</v>
      </c>
    </row>
    <row r="594" spans="1:4" ht="42.75">
      <c r="A594" s="230">
        <v>150871</v>
      </c>
      <c r="B594" s="230" t="s">
        <v>497</v>
      </c>
      <c r="C594" s="228" t="s">
        <v>36</v>
      </c>
      <c r="D594" s="229">
        <v>193.75</v>
      </c>
    </row>
    <row r="595" spans="1:4" ht="42.75">
      <c r="A595" s="230">
        <v>150875</v>
      </c>
      <c r="B595" s="230" t="s">
        <v>498</v>
      </c>
      <c r="C595" s="228" t="s">
        <v>36</v>
      </c>
      <c r="D595" s="229">
        <v>116.23</v>
      </c>
    </row>
    <row r="596" spans="1:4" ht="42.75">
      <c r="A596" s="230">
        <v>150876</v>
      </c>
      <c r="B596" s="230" t="s">
        <v>499</v>
      </c>
      <c r="C596" s="228" t="s">
        <v>36</v>
      </c>
      <c r="D596" s="229">
        <v>168.46</v>
      </c>
    </row>
    <row r="597" spans="1:4" ht="85.5">
      <c r="A597" s="230">
        <v>150880</v>
      </c>
      <c r="B597" s="230" t="s">
        <v>500</v>
      </c>
      <c r="C597" s="228" t="s">
        <v>36</v>
      </c>
      <c r="D597" s="229">
        <v>22.54</v>
      </c>
    </row>
    <row r="598" spans="1:4" ht="71.25">
      <c r="A598" s="230">
        <v>150881</v>
      </c>
      <c r="B598" s="230" t="s">
        <v>501</v>
      </c>
      <c r="C598" s="228" t="s">
        <v>36</v>
      </c>
      <c r="D598" s="229">
        <v>30.69</v>
      </c>
    </row>
    <row r="599" spans="1:4" ht="71.25">
      <c r="A599" s="230">
        <v>150882</v>
      </c>
      <c r="B599" s="230" t="s">
        <v>502</v>
      </c>
      <c r="C599" s="228" t="s">
        <v>36</v>
      </c>
      <c r="D599" s="229">
        <v>67.41</v>
      </c>
    </row>
    <row r="600" spans="1:4" ht="71.25">
      <c r="A600" s="230">
        <v>150883</v>
      </c>
      <c r="B600" s="230" t="s">
        <v>503</v>
      </c>
      <c r="C600" s="228" t="s">
        <v>36</v>
      </c>
      <c r="D600" s="229">
        <v>76.88</v>
      </c>
    </row>
    <row r="601" spans="1:4" ht="99.75">
      <c r="A601" s="230">
        <v>150884</v>
      </c>
      <c r="B601" s="230" t="s">
        <v>504</v>
      </c>
      <c r="C601" s="228" t="s">
        <v>36</v>
      </c>
      <c r="D601" s="229">
        <v>41.44</v>
      </c>
    </row>
    <row r="602" spans="1:4" ht="99.75">
      <c r="A602" s="230">
        <v>150885</v>
      </c>
      <c r="B602" s="230" t="s">
        <v>26351</v>
      </c>
      <c r="C602" s="228" t="s">
        <v>36</v>
      </c>
      <c r="D602" s="229">
        <v>56.19</v>
      </c>
    </row>
    <row r="603" spans="1:4" ht="99.75">
      <c r="A603" s="230">
        <v>150886</v>
      </c>
      <c r="B603" s="230" t="s">
        <v>26352</v>
      </c>
      <c r="C603" s="228" t="s">
        <v>36</v>
      </c>
      <c r="D603" s="229">
        <v>60.77</v>
      </c>
    </row>
    <row r="604" spans="1:4" ht="30">
      <c r="A604" s="227">
        <v>1509</v>
      </c>
      <c r="B604" s="227" t="s">
        <v>2270</v>
      </c>
      <c r="C604" s="228"/>
      <c r="D604" s="229"/>
    </row>
    <row r="605" spans="1:4" ht="28.5">
      <c r="A605" s="230">
        <v>150906</v>
      </c>
      <c r="B605" s="230" t="s">
        <v>505</v>
      </c>
      <c r="C605" s="228" t="s">
        <v>54</v>
      </c>
      <c r="D605" s="229">
        <v>1.87</v>
      </c>
    </row>
    <row r="606" spans="1:4" ht="14.25">
      <c r="A606" s="230">
        <v>150910</v>
      </c>
      <c r="B606" s="230" t="s">
        <v>506</v>
      </c>
      <c r="C606" s="228" t="s">
        <v>36</v>
      </c>
      <c r="D606" s="229">
        <v>10.81</v>
      </c>
    </row>
    <row r="607" spans="1:4" ht="42.75">
      <c r="A607" s="230">
        <v>150916</v>
      </c>
      <c r="B607" s="230" t="s">
        <v>507</v>
      </c>
      <c r="C607" s="228" t="s">
        <v>36</v>
      </c>
      <c r="D607" s="229">
        <v>30.15</v>
      </c>
    </row>
    <row r="608" spans="1:4" ht="28.5">
      <c r="A608" s="230">
        <v>150918</v>
      </c>
      <c r="B608" s="230" t="s">
        <v>508</v>
      </c>
      <c r="C608" s="228" t="s">
        <v>36</v>
      </c>
      <c r="D608" s="229">
        <v>28.43</v>
      </c>
    </row>
    <row r="609" spans="1:4" ht="28.5">
      <c r="A609" s="230">
        <v>150932</v>
      </c>
      <c r="B609" s="230" t="s">
        <v>509</v>
      </c>
      <c r="C609" s="228" t="s">
        <v>36</v>
      </c>
      <c r="D609" s="229">
        <v>7.41</v>
      </c>
    </row>
    <row r="610" spans="1:4" ht="14.25">
      <c r="A610" s="230">
        <v>150934</v>
      </c>
      <c r="B610" s="230" t="s">
        <v>510</v>
      </c>
      <c r="C610" s="228" t="s">
        <v>36</v>
      </c>
      <c r="D610" s="229">
        <v>19.489999999999998</v>
      </c>
    </row>
    <row r="611" spans="1:4" ht="14.25">
      <c r="A611" s="230">
        <v>150937</v>
      </c>
      <c r="B611" s="230" t="s">
        <v>511</v>
      </c>
      <c r="C611" s="228" t="s">
        <v>54</v>
      </c>
      <c r="D611" s="229">
        <v>4.04</v>
      </c>
    </row>
    <row r="612" spans="1:4" ht="14.25">
      <c r="A612" s="230">
        <v>150964</v>
      </c>
      <c r="B612" s="230" t="s">
        <v>512</v>
      </c>
      <c r="C612" s="228" t="s">
        <v>36</v>
      </c>
      <c r="D612" s="229">
        <v>19.489999999999998</v>
      </c>
    </row>
    <row r="613" spans="1:4" ht="14.25">
      <c r="A613" s="230">
        <v>150967</v>
      </c>
      <c r="B613" s="230" t="s">
        <v>513</v>
      </c>
      <c r="C613" s="228" t="s">
        <v>36</v>
      </c>
      <c r="D613" s="229">
        <v>6.95</v>
      </c>
    </row>
    <row r="614" spans="1:4" ht="45">
      <c r="A614" s="227">
        <v>1510</v>
      </c>
      <c r="B614" s="227" t="s">
        <v>2271</v>
      </c>
      <c r="C614" s="228"/>
      <c r="D614" s="229"/>
    </row>
    <row r="615" spans="1:4" ht="99.75">
      <c r="A615" s="230">
        <v>151001</v>
      </c>
      <c r="B615" s="230" t="s">
        <v>514</v>
      </c>
      <c r="C615" s="228" t="s">
        <v>36</v>
      </c>
      <c r="D615" s="229">
        <v>114.17</v>
      </c>
    </row>
    <row r="616" spans="1:4" ht="99.75">
      <c r="A616" s="230">
        <v>151002</v>
      </c>
      <c r="B616" s="230" t="s">
        <v>515</v>
      </c>
      <c r="C616" s="228" t="s">
        <v>36</v>
      </c>
      <c r="D616" s="229">
        <v>259.45999999999998</v>
      </c>
    </row>
    <row r="617" spans="1:4" ht="99.75">
      <c r="A617" s="230">
        <v>151003</v>
      </c>
      <c r="B617" s="230" t="s">
        <v>516</v>
      </c>
      <c r="C617" s="228" t="s">
        <v>36</v>
      </c>
      <c r="D617" s="229">
        <v>113.14</v>
      </c>
    </row>
    <row r="618" spans="1:4" ht="114">
      <c r="A618" s="230">
        <v>151004</v>
      </c>
      <c r="B618" s="230" t="s">
        <v>2272</v>
      </c>
      <c r="C618" s="228" t="s">
        <v>36</v>
      </c>
      <c r="D618" s="229">
        <v>251.59</v>
      </c>
    </row>
    <row r="619" spans="1:4" ht="99.75">
      <c r="A619" s="230">
        <v>151015</v>
      </c>
      <c r="B619" s="230" t="s">
        <v>517</v>
      </c>
      <c r="C619" s="228" t="s">
        <v>36</v>
      </c>
      <c r="D619" s="229">
        <v>196.91</v>
      </c>
    </row>
    <row r="620" spans="1:4" ht="85.5">
      <c r="A620" s="230">
        <v>151016</v>
      </c>
      <c r="B620" s="230" t="s">
        <v>518</v>
      </c>
      <c r="C620" s="228" t="s">
        <v>36</v>
      </c>
      <c r="D620" s="229">
        <v>576.16999999999996</v>
      </c>
    </row>
    <row r="621" spans="1:4" ht="99.75">
      <c r="A621" s="230">
        <v>151017</v>
      </c>
      <c r="B621" s="230" t="s">
        <v>519</v>
      </c>
      <c r="C621" s="228" t="s">
        <v>36</v>
      </c>
      <c r="D621" s="229">
        <v>873.49</v>
      </c>
    </row>
    <row r="622" spans="1:4" ht="15">
      <c r="A622" s="227">
        <v>1511</v>
      </c>
      <c r="B622" s="227" t="s">
        <v>2273</v>
      </c>
      <c r="C622" s="228"/>
      <c r="D622" s="229"/>
    </row>
    <row r="623" spans="1:4" ht="42.75">
      <c r="A623" s="230">
        <v>151125</v>
      </c>
      <c r="B623" s="230" t="s">
        <v>520</v>
      </c>
      <c r="C623" s="228" t="s">
        <v>54</v>
      </c>
      <c r="D623" s="229">
        <v>14.82</v>
      </c>
    </row>
    <row r="624" spans="1:4" ht="42.75">
      <c r="A624" s="230">
        <v>151126</v>
      </c>
      <c r="B624" s="230" t="s">
        <v>521</v>
      </c>
      <c r="C624" s="228" t="s">
        <v>54</v>
      </c>
      <c r="D624" s="229">
        <v>16.149999999999999</v>
      </c>
    </row>
    <row r="625" spans="1:4" ht="42.75">
      <c r="A625" s="230">
        <v>151127</v>
      </c>
      <c r="B625" s="230" t="s">
        <v>522</v>
      </c>
      <c r="C625" s="228" t="s">
        <v>54</v>
      </c>
      <c r="D625" s="229">
        <v>24.24</v>
      </c>
    </row>
    <row r="626" spans="1:4" ht="42.75">
      <c r="A626" s="230">
        <v>151128</v>
      </c>
      <c r="B626" s="230" t="s">
        <v>523</v>
      </c>
      <c r="C626" s="228" t="s">
        <v>54</v>
      </c>
      <c r="D626" s="229">
        <v>29.95</v>
      </c>
    </row>
    <row r="627" spans="1:4" ht="42.75">
      <c r="A627" s="230">
        <v>151129</v>
      </c>
      <c r="B627" s="230" t="s">
        <v>524</v>
      </c>
      <c r="C627" s="228" t="s">
        <v>54</v>
      </c>
      <c r="D627" s="229">
        <v>35.74</v>
      </c>
    </row>
    <row r="628" spans="1:4" ht="42.75">
      <c r="A628" s="230">
        <v>151130</v>
      </c>
      <c r="B628" s="230" t="s">
        <v>525</v>
      </c>
      <c r="C628" s="228" t="s">
        <v>54</v>
      </c>
      <c r="D628" s="229">
        <v>44.88</v>
      </c>
    </row>
    <row r="629" spans="1:4" ht="42.75">
      <c r="A629" s="230">
        <v>151131</v>
      </c>
      <c r="B629" s="230" t="s">
        <v>526</v>
      </c>
      <c r="C629" s="228" t="s">
        <v>54</v>
      </c>
      <c r="D629" s="229">
        <v>80.67</v>
      </c>
    </row>
    <row r="630" spans="1:4" ht="28.5">
      <c r="A630" s="230">
        <v>151132</v>
      </c>
      <c r="B630" s="230" t="s">
        <v>527</v>
      </c>
      <c r="C630" s="228" t="s">
        <v>54</v>
      </c>
      <c r="D630" s="229">
        <v>8.23</v>
      </c>
    </row>
    <row r="631" spans="1:4" ht="28.5">
      <c r="A631" s="230">
        <v>151133</v>
      </c>
      <c r="B631" s="230" t="s">
        <v>528</v>
      </c>
      <c r="C631" s="228" t="s">
        <v>54</v>
      </c>
      <c r="D631" s="229">
        <v>9.68</v>
      </c>
    </row>
    <row r="632" spans="1:4" ht="42.75">
      <c r="A632" s="230">
        <v>151135</v>
      </c>
      <c r="B632" s="230" t="s">
        <v>529</v>
      </c>
      <c r="C632" s="228" t="s">
        <v>54</v>
      </c>
      <c r="D632" s="229">
        <v>120.73</v>
      </c>
    </row>
    <row r="633" spans="1:4" ht="42.75">
      <c r="A633" s="230">
        <v>151136</v>
      </c>
      <c r="B633" s="230" t="s">
        <v>530</v>
      </c>
      <c r="C633" s="228" t="s">
        <v>54</v>
      </c>
      <c r="D633" s="229">
        <v>269.22000000000003</v>
      </c>
    </row>
    <row r="634" spans="1:4" ht="42.75">
      <c r="A634" s="230">
        <v>151137</v>
      </c>
      <c r="B634" s="230" t="s">
        <v>531</v>
      </c>
      <c r="C634" s="228" t="s">
        <v>54</v>
      </c>
      <c r="D634" s="229">
        <v>21.93</v>
      </c>
    </row>
    <row r="635" spans="1:4" ht="42.75">
      <c r="A635" s="230">
        <v>151138</v>
      </c>
      <c r="B635" s="230" t="s">
        <v>532</v>
      </c>
      <c r="C635" s="228" t="s">
        <v>54</v>
      </c>
      <c r="D635" s="229">
        <v>18.95</v>
      </c>
    </row>
    <row r="636" spans="1:4" ht="42.75">
      <c r="A636" s="230">
        <v>151139</v>
      </c>
      <c r="B636" s="230" t="s">
        <v>533</v>
      </c>
      <c r="C636" s="228" t="s">
        <v>54</v>
      </c>
      <c r="D636" s="229">
        <v>22.68</v>
      </c>
    </row>
    <row r="637" spans="1:4" ht="42.75">
      <c r="A637" s="230">
        <v>151140</v>
      </c>
      <c r="B637" s="230" t="s">
        <v>534</v>
      </c>
      <c r="C637" s="228" t="s">
        <v>54</v>
      </c>
      <c r="D637" s="229">
        <v>37.14</v>
      </c>
    </row>
    <row r="638" spans="1:4" ht="42.75">
      <c r="A638" s="230">
        <v>151141</v>
      </c>
      <c r="B638" s="230" t="s">
        <v>535</v>
      </c>
      <c r="C638" s="228" t="s">
        <v>54</v>
      </c>
      <c r="D638" s="229">
        <v>50.72</v>
      </c>
    </row>
    <row r="639" spans="1:4" ht="42.75">
      <c r="A639" s="230">
        <v>151142</v>
      </c>
      <c r="B639" s="230" t="s">
        <v>536</v>
      </c>
      <c r="C639" s="228" t="s">
        <v>54</v>
      </c>
      <c r="D639" s="229">
        <v>89.44</v>
      </c>
    </row>
    <row r="640" spans="1:4" ht="15">
      <c r="A640" s="227">
        <v>1513</v>
      </c>
      <c r="B640" s="227" t="s">
        <v>2274</v>
      </c>
      <c r="C640" s="228"/>
      <c r="D640" s="229"/>
    </row>
    <row r="641" spans="1:4" ht="57">
      <c r="A641" s="230">
        <v>151301</v>
      </c>
      <c r="B641" s="230" t="s">
        <v>537</v>
      </c>
      <c r="C641" s="228" t="s">
        <v>36</v>
      </c>
      <c r="D641" s="229">
        <v>21.2</v>
      </c>
    </row>
    <row r="642" spans="1:4" ht="57">
      <c r="A642" s="230">
        <v>151302</v>
      </c>
      <c r="B642" s="230" t="s">
        <v>538</v>
      </c>
      <c r="C642" s="228" t="s">
        <v>36</v>
      </c>
      <c r="D642" s="229">
        <v>21.2</v>
      </c>
    </row>
    <row r="643" spans="1:4" ht="57">
      <c r="A643" s="230">
        <v>151303</v>
      </c>
      <c r="B643" s="230" t="s">
        <v>539</v>
      </c>
      <c r="C643" s="228" t="s">
        <v>36</v>
      </c>
      <c r="D643" s="229">
        <v>21.2</v>
      </c>
    </row>
    <row r="644" spans="1:4" ht="57">
      <c r="A644" s="230">
        <v>151304</v>
      </c>
      <c r="B644" s="230" t="s">
        <v>540</v>
      </c>
      <c r="C644" s="228" t="s">
        <v>36</v>
      </c>
      <c r="D644" s="229">
        <v>21.2</v>
      </c>
    </row>
    <row r="645" spans="1:4" ht="57">
      <c r="A645" s="230">
        <v>151305</v>
      </c>
      <c r="B645" s="230" t="s">
        <v>541</v>
      </c>
      <c r="C645" s="228" t="s">
        <v>36</v>
      </c>
      <c r="D645" s="229">
        <v>23.62</v>
      </c>
    </row>
    <row r="646" spans="1:4" ht="57">
      <c r="A646" s="230">
        <v>151306</v>
      </c>
      <c r="B646" s="230" t="s">
        <v>542</v>
      </c>
      <c r="C646" s="228" t="s">
        <v>36</v>
      </c>
      <c r="D646" s="229">
        <v>58.12</v>
      </c>
    </row>
    <row r="647" spans="1:4" ht="57">
      <c r="A647" s="230">
        <v>151307</v>
      </c>
      <c r="B647" s="230" t="s">
        <v>543</v>
      </c>
      <c r="C647" s="228" t="s">
        <v>36</v>
      </c>
      <c r="D647" s="229">
        <v>58.12</v>
      </c>
    </row>
    <row r="648" spans="1:4" ht="57">
      <c r="A648" s="230">
        <v>151308</v>
      </c>
      <c r="B648" s="230" t="s">
        <v>544</v>
      </c>
      <c r="C648" s="228" t="s">
        <v>36</v>
      </c>
      <c r="D648" s="229">
        <v>70.37</v>
      </c>
    </row>
    <row r="649" spans="1:4" ht="57">
      <c r="A649" s="230">
        <v>151309</v>
      </c>
      <c r="B649" s="230" t="s">
        <v>545</v>
      </c>
      <c r="C649" s="228" t="s">
        <v>36</v>
      </c>
      <c r="D649" s="229">
        <v>80.62</v>
      </c>
    </row>
    <row r="650" spans="1:4" ht="57">
      <c r="A650" s="230">
        <v>151310</v>
      </c>
      <c r="B650" s="230" t="s">
        <v>546</v>
      </c>
      <c r="C650" s="228" t="s">
        <v>36</v>
      </c>
      <c r="D650" s="229">
        <v>89.8</v>
      </c>
    </row>
    <row r="651" spans="1:4" ht="57">
      <c r="A651" s="230">
        <v>151311</v>
      </c>
      <c r="B651" s="230" t="s">
        <v>547</v>
      </c>
      <c r="C651" s="228" t="s">
        <v>36</v>
      </c>
      <c r="D651" s="229">
        <v>90.09</v>
      </c>
    </row>
    <row r="652" spans="1:4" ht="57">
      <c r="A652" s="230">
        <v>151313</v>
      </c>
      <c r="B652" s="230" t="s">
        <v>548</v>
      </c>
      <c r="C652" s="228" t="s">
        <v>36</v>
      </c>
      <c r="D652" s="229">
        <v>172.13</v>
      </c>
    </row>
    <row r="653" spans="1:4" ht="71.25">
      <c r="A653" s="230">
        <v>151314</v>
      </c>
      <c r="B653" s="230" t="s">
        <v>549</v>
      </c>
      <c r="C653" s="228" t="s">
        <v>36</v>
      </c>
      <c r="D653" s="229">
        <v>416.56</v>
      </c>
    </row>
    <row r="654" spans="1:4" ht="28.5">
      <c r="A654" s="230">
        <v>151315</v>
      </c>
      <c r="B654" s="230" t="s">
        <v>550</v>
      </c>
      <c r="C654" s="228" t="s">
        <v>36</v>
      </c>
      <c r="D654" s="231">
        <v>3634.54</v>
      </c>
    </row>
    <row r="655" spans="1:4" ht="57">
      <c r="A655" s="230">
        <v>151316</v>
      </c>
      <c r="B655" s="230" t="s">
        <v>551</v>
      </c>
      <c r="C655" s="228" t="s">
        <v>36</v>
      </c>
      <c r="D655" s="229">
        <v>148.07</v>
      </c>
    </row>
    <row r="656" spans="1:4" ht="57">
      <c r="A656" s="230">
        <v>151317</v>
      </c>
      <c r="B656" s="230" t="s">
        <v>552</v>
      </c>
      <c r="C656" s="228" t="s">
        <v>36</v>
      </c>
      <c r="D656" s="229">
        <v>23.84</v>
      </c>
    </row>
    <row r="657" spans="1:4" ht="57">
      <c r="A657" s="230">
        <v>151318</v>
      </c>
      <c r="B657" s="230" t="s">
        <v>553</v>
      </c>
      <c r="C657" s="228" t="s">
        <v>36</v>
      </c>
      <c r="D657" s="229">
        <v>27.15</v>
      </c>
    </row>
    <row r="658" spans="1:4" ht="57">
      <c r="A658" s="230">
        <v>151319</v>
      </c>
      <c r="B658" s="230" t="s">
        <v>554</v>
      </c>
      <c r="C658" s="228" t="s">
        <v>36</v>
      </c>
      <c r="D658" s="229">
        <v>27.15</v>
      </c>
    </row>
    <row r="659" spans="1:4" ht="57">
      <c r="A659" s="230">
        <v>151320</v>
      </c>
      <c r="B659" s="230" t="s">
        <v>555</v>
      </c>
      <c r="C659" s="228" t="s">
        <v>36</v>
      </c>
      <c r="D659" s="229">
        <v>40.98</v>
      </c>
    </row>
    <row r="660" spans="1:4" ht="57">
      <c r="A660" s="230">
        <v>151321</v>
      </c>
      <c r="B660" s="230" t="s">
        <v>556</v>
      </c>
      <c r="C660" s="228" t="s">
        <v>36</v>
      </c>
      <c r="D660" s="229">
        <v>58.12</v>
      </c>
    </row>
    <row r="661" spans="1:4" ht="57">
      <c r="A661" s="230">
        <v>151322</v>
      </c>
      <c r="B661" s="230" t="s">
        <v>557</v>
      </c>
      <c r="C661" s="228" t="s">
        <v>36</v>
      </c>
      <c r="D661" s="229">
        <v>58.12</v>
      </c>
    </row>
    <row r="662" spans="1:4" ht="57">
      <c r="A662" s="230">
        <v>151323</v>
      </c>
      <c r="B662" s="230" t="s">
        <v>558</v>
      </c>
      <c r="C662" s="228" t="s">
        <v>36</v>
      </c>
      <c r="D662" s="229">
        <v>69.47</v>
      </c>
    </row>
    <row r="663" spans="1:4" ht="57">
      <c r="A663" s="230">
        <v>151324</v>
      </c>
      <c r="B663" s="230" t="s">
        <v>559</v>
      </c>
      <c r="C663" s="228" t="s">
        <v>36</v>
      </c>
      <c r="D663" s="229">
        <v>90.57</v>
      </c>
    </row>
    <row r="664" spans="1:4" ht="57">
      <c r="A664" s="230">
        <v>151325</v>
      </c>
      <c r="B664" s="230" t="s">
        <v>560</v>
      </c>
      <c r="C664" s="228" t="s">
        <v>36</v>
      </c>
      <c r="D664" s="229">
        <v>93.19</v>
      </c>
    </row>
    <row r="665" spans="1:4" ht="57">
      <c r="A665" s="230">
        <v>151326</v>
      </c>
      <c r="B665" s="230" t="s">
        <v>561</v>
      </c>
      <c r="C665" s="228" t="s">
        <v>36</v>
      </c>
      <c r="D665" s="229">
        <v>149.37</v>
      </c>
    </row>
    <row r="666" spans="1:4" ht="57">
      <c r="A666" s="230">
        <v>151327</v>
      </c>
      <c r="B666" s="230" t="s">
        <v>562</v>
      </c>
      <c r="C666" s="228" t="s">
        <v>36</v>
      </c>
      <c r="D666" s="229">
        <v>80.62</v>
      </c>
    </row>
    <row r="667" spans="1:4" ht="57">
      <c r="A667" s="230">
        <v>151328</v>
      </c>
      <c r="B667" s="230" t="s">
        <v>563</v>
      </c>
      <c r="C667" s="228" t="s">
        <v>36</v>
      </c>
      <c r="D667" s="229">
        <v>80.62</v>
      </c>
    </row>
    <row r="668" spans="1:4" ht="57">
      <c r="A668" s="230">
        <v>151329</v>
      </c>
      <c r="B668" s="230" t="s">
        <v>564</v>
      </c>
      <c r="C668" s="228" t="s">
        <v>36</v>
      </c>
      <c r="D668" s="229">
        <v>80.62</v>
      </c>
    </row>
    <row r="669" spans="1:4" ht="57">
      <c r="A669" s="230">
        <v>151330</v>
      </c>
      <c r="B669" s="230" t="s">
        <v>565</v>
      </c>
      <c r="C669" s="228" t="s">
        <v>36</v>
      </c>
      <c r="D669" s="229">
        <v>147.38999999999999</v>
      </c>
    </row>
    <row r="670" spans="1:4" ht="57">
      <c r="A670" s="230">
        <v>151331</v>
      </c>
      <c r="B670" s="230" t="s">
        <v>566</v>
      </c>
      <c r="C670" s="228" t="s">
        <v>36</v>
      </c>
      <c r="D670" s="229">
        <v>172.13</v>
      </c>
    </row>
    <row r="671" spans="1:4" ht="28.5">
      <c r="A671" s="230">
        <v>151332</v>
      </c>
      <c r="B671" s="230" t="s">
        <v>567</v>
      </c>
      <c r="C671" s="228" t="s">
        <v>36</v>
      </c>
      <c r="D671" s="229">
        <v>431.8</v>
      </c>
    </row>
    <row r="672" spans="1:4" ht="71.25">
      <c r="A672" s="230">
        <v>151333</v>
      </c>
      <c r="B672" s="230" t="s">
        <v>568</v>
      </c>
      <c r="C672" s="228" t="s">
        <v>36</v>
      </c>
      <c r="D672" s="229">
        <v>493.4</v>
      </c>
    </row>
    <row r="673" spans="1:4" ht="85.5">
      <c r="A673" s="230">
        <v>151334</v>
      </c>
      <c r="B673" s="230" t="s">
        <v>569</v>
      </c>
      <c r="C673" s="228" t="s">
        <v>36</v>
      </c>
      <c r="D673" s="231">
        <v>1064.6600000000001</v>
      </c>
    </row>
    <row r="674" spans="1:4" ht="85.5">
      <c r="A674" s="230">
        <v>151335</v>
      </c>
      <c r="B674" s="230" t="s">
        <v>570</v>
      </c>
      <c r="C674" s="228" t="s">
        <v>36</v>
      </c>
      <c r="D674" s="231">
        <v>1337.63</v>
      </c>
    </row>
    <row r="675" spans="1:4" ht="28.5">
      <c r="A675" s="230">
        <v>151336</v>
      </c>
      <c r="B675" s="230" t="s">
        <v>571</v>
      </c>
      <c r="C675" s="228" t="s">
        <v>36</v>
      </c>
      <c r="D675" s="229">
        <v>143.83000000000001</v>
      </c>
    </row>
    <row r="676" spans="1:4" ht="57">
      <c r="A676" s="230">
        <v>151337</v>
      </c>
      <c r="B676" s="230" t="s">
        <v>572</v>
      </c>
      <c r="C676" s="228" t="s">
        <v>36</v>
      </c>
      <c r="D676" s="229">
        <v>185.11</v>
      </c>
    </row>
    <row r="677" spans="1:4" ht="57">
      <c r="A677" s="230">
        <v>151338</v>
      </c>
      <c r="B677" s="230" t="s">
        <v>573</v>
      </c>
      <c r="C677" s="228" t="s">
        <v>36</v>
      </c>
      <c r="D677" s="229">
        <v>21.2</v>
      </c>
    </row>
    <row r="678" spans="1:4" ht="57">
      <c r="A678" s="230">
        <v>151339</v>
      </c>
      <c r="B678" s="230" t="s">
        <v>574</v>
      </c>
      <c r="C678" s="228" t="s">
        <v>36</v>
      </c>
      <c r="D678" s="229">
        <v>467.05</v>
      </c>
    </row>
    <row r="679" spans="1:4" ht="14.25">
      <c r="A679" s="230">
        <v>151340</v>
      </c>
      <c r="B679" s="230" t="s">
        <v>575</v>
      </c>
      <c r="C679" s="228" t="s">
        <v>36</v>
      </c>
      <c r="D679" s="231">
        <v>2331.6</v>
      </c>
    </row>
    <row r="680" spans="1:4" ht="14.25">
      <c r="A680" s="230">
        <v>151341</v>
      </c>
      <c r="B680" s="230" t="s">
        <v>576</v>
      </c>
      <c r="C680" s="228" t="s">
        <v>36</v>
      </c>
      <c r="D680" s="231">
        <v>3492</v>
      </c>
    </row>
    <row r="681" spans="1:4" ht="14.25">
      <c r="A681" s="230">
        <v>151342</v>
      </c>
      <c r="B681" s="230" t="s">
        <v>577</v>
      </c>
      <c r="C681" s="228" t="s">
        <v>36</v>
      </c>
      <c r="D681" s="231">
        <v>4633.5600000000004</v>
      </c>
    </row>
    <row r="682" spans="1:4" ht="14.25">
      <c r="A682" s="230">
        <v>151343</v>
      </c>
      <c r="B682" s="230" t="s">
        <v>578</v>
      </c>
      <c r="C682" s="228" t="s">
        <v>36</v>
      </c>
      <c r="D682" s="231">
        <v>8822.15</v>
      </c>
    </row>
    <row r="683" spans="1:4" ht="14.25">
      <c r="A683" s="230">
        <v>151344</v>
      </c>
      <c r="B683" s="230" t="s">
        <v>579</v>
      </c>
      <c r="C683" s="228" t="s">
        <v>36</v>
      </c>
      <c r="D683" s="229">
        <v>51.24</v>
      </c>
    </row>
    <row r="684" spans="1:4" ht="14.25">
      <c r="A684" s="230">
        <v>151345</v>
      </c>
      <c r="B684" s="230" t="s">
        <v>580</v>
      </c>
      <c r="C684" s="228" t="s">
        <v>36</v>
      </c>
      <c r="D684" s="229">
        <v>51.24</v>
      </c>
    </row>
    <row r="685" spans="1:4" ht="14.25">
      <c r="A685" s="230">
        <v>151346</v>
      </c>
      <c r="B685" s="230" t="s">
        <v>581</v>
      </c>
      <c r="C685" s="228" t="s">
        <v>36</v>
      </c>
      <c r="D685" s="229">
        <v>109.63</v>
      </c>
    </row>
    <row r="686" spans="1:4" ht="14.25">
      <c r="A686" s="230">
        <v>151347</v>
      </c>
      <c r="B686" s="230" t="s">
        <v>582</v>
      </c>
      <c r="C686" s="228" t="s">
        <v>36</v>
      </c>
      <c r="D686" s="229">
        <v>109.63</v>
      </c>
    </row>
    <row r="687" spans="1:4" ht="14.25">
      <c r="A687" s="230">
        <v>151348</v>
      </c>
      <c r="B687" s="230" t="s">
        <v>583</v>
      </c>
      <c r="C687" s="228" t="s">
        <v>36</v>
      </c>
      <c r="D687" s="229">
        <v>109.63</v>
      </c>
    </row>
    <row r="688" spans="1:4" ht="14.25">
      <c r="A688" s="230">
        <v>151349</v>
      </c>
      <c r="B688" s="230" t="s">
        <v>584</v>
      </c>
      <c r="C688" s="228" t="s">
        <v>36</v>
      </c>
      <c r="D688" s="229">
        <v>51.24</v>
      </c>
    </row>
    <row r="689" spans="1:4" ht="28.5">
      <c r="A689" s="230">
        <v>151350</v>
      </c>
      <c r="B689" s="230" t="s">
        <v>585</v>
      </c>
      <c r="C689" s="228" t="s">
        <v>36</v>
      </c>
      <c r="D689" s="229">
        <v>131.13999999999999</v>
      </c>
    </row>
    <row r="690" spans="1:4" ht="28.5">
      <c r="A690" s="230">
        <v>151351</v>
      </c>
      <c r="B690" s="230" t="s">
        <v>586</v>
      </c>
      <c r="C690" s="228" t="s">
        <v>36</v>
      </c>
      <c r="D690" s="229">
        <v>143.83000000000001</v>
      </c>
    </row>
    <row r="691" spans="1:4" ht="15">
      <c r="A691" s="227">
        <v>1514</v>
      </c>
      <c r="B691" s="227" t="s">
        <v>1477</v>
      </c>
      <c r="C691" s="228"/>
      <c r="D691" s="229"/>
    </row>
    <row r="692" spans="1:4" ht="42.75">
      <c r="A692" s="230">
        <v>151401</v>
      </c>
      <c r="B692" s="230" t="s">
        <v>587</v>
      </c>
      <c r="C692" s="228" t="s">
        <v>54</v>
      </c>
      <c r="D692" s="229">
        <v>5.34</v>
      </c>
    </row>
    <row r="693" spans="1:4" ht="42.75">
      <c r="A693" s="230">
        <v>151402</v>
      </c>
      <c r="B693" s="230" t="s">
        <v>588</v>
      </c>
      <c r="C693" s="228" t="s">
        <v>54</v>
      </c>
      <c r="D693" s="229">
        <v>6.65</v>
      </c>
    </row>
    <row r="694" spans="1:4" ht="42.75">
      <c r="A694" s="230">
        <v>151403</v>
      </c>
      <c r="B694" s="230" t="s">
        <v>589</v>
      </c>
      <c r="C694" s="228" t="s">
        <v>54</v>
      </c>
      <c r="D694" s="229">
        <v>9.17</v>
      </c>
    </row>
    <row r="695" spans="1:4" ht="42.75">
      <c r="A695" s="230">
        <v>151404</v>
      </c>
      <c r="B695" s="230" t="s">
        <v>590</v>
      </c>
      <c r="C695" s="228" t="s">
        <v>54</v>
      </c>
      <c r="D695" s="229">
        <v>11.89</v>
      </c>
    </row>
    <row r="696" spans="1:4" ht="42.75">
      <c r="A696" s="230">
        <v>151405</v>
      </c>
      <c r="B696" s="230" t="s">
        <v>591</v>
      </c>
      <c r="C696" s="228" t="s">
        <v>54</v>
      </c>
      <c r="D696" s="229">
        <v>16.7</v>
      </c>
    </row>
    <row r="697" spans="1:4" ht="42.75">
      <c r="A697" s="230">
        <v>151406</v>
      </c>
      <c r="B697" s="230" t="s">
        <v>592</v>
      </c>
      <c r="C697" s="228" t="s">
        <v>54</v>
      </c>
      <c r="D697" s="229">
        <v>25.61</v>
      </c>
    </row>
    <row r="698" spans="1:4" ht="42.75">
      <c r="A698" s="230">
        <v>151407</v>
      </c>
      <c r="B698" s="230" t="s">
        <v>593</v>
      </c>
      <c r="C698" s="228" t="s">
        <v>54</v>
      </c>
      <c r="D698" s="229">
        <v>35.67</v>
      </c>
    </row>
    <row r="699" spans="1:4" ht="28.5">
      <c r="A699" s="230">
        <v>151413</v>
      </c>
      <c r="B699" s="230" t="s">
        <v>594</v>
      </c>
      <c r="C699" s="228" t="s">
        <v>54</v>
      </c>
      <c r="D699" s="229">
        <v>41.66</v>
      </c>
    </row>
    <row r="700" spans="1:4" ht="28.5">
      <c r="A700" s="230">
        <v>151414</v>
      </c>
      <c r="B700" s="230" t="s">
        <v>595</v>
      </c>
      <c r="C700" s="228" t="s">
        <v>54</v>
      </c>
      <c r="D700" s="229">
        <v>18.87</v>
      </c>
    </row>
    <row r="701" spans="1:4" ht="42.75">
      <c r="A701" s="230">
        <v>151417</v>
      </c>
      <c r="B701" s="230" t="s">
        <v>596</v>
      </c>
      <c r="C701" s="228" t="s">
        <v>54</v>
      </c>
      <c r="D701" s="229">
        <v>7.58</v>
      </c>
    </row>
    <row r="702" spans="1:4" ht="42.75">
      <c r="A702" s="230">
        <v>151418</v>
      </c>
      <c r="B702" s="230" t="s">
        <v>597</v>
      </c>
      <c r="C702" s="228" t="s">
        <v>54</v>
      </c>
      <c r="D702" s="229">
        <v>9.9600000000000009</v>
      </c>
    </row>
    <row r="703" spans="1:4" ht="42.75">
      <c r="A703" s="230">
        <v>151419</v>
      </c>
      <c r="B703" s="230" t="s">
        <v>2275</v>
      </c>
      <c r="C703" s="228" t="s">
        <v>54</v>
      </c>
      <c r="D703" s="229">
        <v>12.45</v>
      </c>
    </row>
    <row r="704" spans="1:4" ht="42.75">
      <c r="A704" s="230">
        <v>151420</v>
      </c>
      <c r="B704" s="230" t="s">
        <v>2276</v>
      </c>
      <c r="C704" s="228" t="s">
        <v>54</v>
      </c>
      <c r="D704" s="229">
        <v>17.63</v>
      </c>
    </row>
    <row r="705" spans="1:4" ht="42.75">
      <c r="A705" s="230">
        <v>151421</v>
      </c>
      <c r="B705" s="230" t="s">
        <v>2277</v>
      </c>
      <c r="C705" s="228" t="s">
        <v>54</v>
      </c>
      <c r="D705" s="229">
        <v>25.37</v>
      </c>
    </row>
    <row r="706" spans="1:4" ht="42.75">
      <c r="A706" s="230">
        <v>151422</v>
      </c>
      <c r="B706" s="230" t="s">
        <v>598</v>
      </c>
      <c r="C706" s="228" t="s">
        <v>54</v>
      </c>
      <c r="D706" s="229">
        <v>35.79</v>
      </c>
    </row>
    <row r="707" spans="1:4" ht="42.75">
      <c r="A707" s="230">
        <v>151423</v>
      </c>
      <c r="B707" s="230" t="s">
        <v>599</v>
      </c>
      <c r="C707" s="228" t="s">
        <v>54</v>
      </c>
      <c r="D707" s="229">
        <v>51.7</v>
      </c>
    </row>
    <row r="708" spans="1:4" ht="42.75">
      <c r="A708" s="230">
        <v>151425</v>
      </c>
      <c r="B708" s="230" t="s">
        <v>600</v>
      </c>
      <c r="C708" s="228" t="s">
        <v>54</v>
      </c>
      <c r="D708" s="229">
        <v>72.099999999999994</v>
      </c>
    </row>
    <row r="709" spans="1:4" ht="42.75">
      <c r="A709" s="230">
        <v>151426</v>
      </c>
      <c r="B709" s="230" t="s">
        <v>601</v>
      </c>
      <c r="C709" s="228" t="s">
        <v>54</v>
      </c>
      <c r="D709" s="229">
        <v>130.54</v>
      </c>
    </row>
    <row r="710" spans="1:4" ht="42.75">
      <c r="A710" s="230">
        <v>151427</v>
      </c>
      <c r="B710" s="230" t="s">
        <v>602</v>
      </c>
      <c r="C710" s="228" t="s">
        <v>54</v>
      </c>
      <c r="D710" s="229">
        <v>165.05</v>
      </c>
    </row>
    <row r="711" spans="1:4" ht="42.75">
      <c r="A711" s="230">
        <v>151428</v>
      </c>
      <c r="B711" s="230" t="s">
        <v>603</v>
      </c>
      <c r="C711" s="228" t="s">
        <v>54</v>
      </c>
      <c r="D711" s="229">
        <v>427.96</v>
      </c>
    </row>
    <row r="712" spans="1:4" ht="42.75">
      <c r="A712" s="230">
        <v>151429</v>
      </c>
      <c r="B712" s="230" t="s">
        <v>604</v>
      </c>
      <c r="C712" s="228" t="s">
        <v>54</v>
      </c>
      <c r="D712" s="229">
        <v>99.23</v>
      </c>
    </row>
    <row r="713" spans="1:4" ht="42.75">
      <c r="A713" s="230">
        <v>151430</v>
      </c>
      <c r="B713" s="230" t="s">
        <v>605</v>
      </c>
      <c r="C713" s="228" t="s">
        <v>54</v>
      </c>
      <c r="D713" s="229">
        <v>204.4</v>
      </c>
    </row>
    <row r="714" spans="1:4" ht="42.75">
      <c r="A714" s="230">
        <v>151431</v>
      </c>
      <c r="B714" s="230" t="s">
        <v>606</v>
      </c>
      <c r="C714" s="228" t="s">
        <v>54</v>
      </c>
      <c r="D714" s="229">
        <v>252.17</v>
      </c>
    </row>
    <row r="715" spans="1:4" ht="42.75">
      <c r="A715" s="230">
        <v>151432</v>
      </c>
      <c r="B715" s="230" t="s">
        <v>607</v>
      </c>
      <c r="C715" s="228" t="s">
        <v>54</v>
      </c>
      <c r="D715" s="229">
        <v>329.78</v>
      </c>
    </row>
    <row r="716" spans="1:4" ht="42.75">
      <c r="A716" s="230">
        <v>151433</v>
      </c>
      <c r="B716" s="230" t="s">
        <v>608</v>
      </c>
      <c r="C716" s="228" t="s">
        <v>54</v>
      </c>
      <c r="D716" s="229">
        <v>87.6</v>
      </c>
    </row>
    <row r="717" spans="1:4" ht="42.75">
      <c r="A717" s="230">
        <v>151434</v>
      </c>
      <c r="B717" s="230" t="s">
        <v>609</v>
      </c>
      <c r="C717" s="228" t="s">
        <v>54</v>
      </c>
      <c r="D717" s="229">
        <v>102.53</v>
      </c>
    </row>
    <row r="718" spans="1:4" ht="42.75">
      <c r="A718" s="230">
        <v>151438</v>
      </c>
      <c r="B718" s="230" t="s">
        <v>26265</v>
      </c>
      <c r="C718" s="228" t="s">
        <v>54</v>
      </c>
      <c r="D718" s="229">
        <v>28.93</v>
      </c>
    </row>
    <row r="719" spans="1:4" ht="42.75">
      <c r="A719" s="230">
        <v>151439</v>
      </c>
      <c r="B719" s="230" t="s">
        <v>26266</v>
      </c>
      <c r="C719" s="228" t="s">
        <v>54</v>
      </c>
      <c r="D719" s="229">
        <v>15.24</v>
      </c>
    </row>
    <row r="720" spans="1:4" ht="42.75">
      <c r="A720" s="230">
        <v>151440</v>
      </c>
      <c r="B720" s="230" t="s">
        <v>26267</v>
      </c>
      <c r="C720" s="228" t="s">
        <v>54</v>
      </c>
      <c r="D720" s="229">
        <v>21.42</v>
      </c>
    </row>
    <row r="721" spans="1:4" ht="15">
      <c r="A721" s="227">
        <v>1515</v>
      </c>
      <c r="B721" s="227" t="s">
        <v>2278</v>
      </c>
      <c r="C721" s="228"/>
      <c r="D721" s="229"/>
    </row>
    <row r="722" spans="1:4" ht="14.25">
      <c r="A722" s="230">
        <v>151503</v>
      </c>
      <c r="B722" s="230" t="s">
        <v>610</v>
      </c>
      <c r="C722" s="228" t="s">
        <v>36</v>
      </c>
      <c r="D722" s="229">
        <v>16.3</v>
      </c>
    </row>
    <row r="723" spans="1:4" ht="14.25">
      <c r="A723" s="230">
        <v>151504</v>
      </c>
      <c r="B723" s="230" t="s">
        <v>611</v>
      </c>
      <c r="C723" s="228" t="s">
        <v>36</v>
      </c>
      <c r="D723" s="229">
        <v>18.09</v>
      </c>
    </row>
    <row r="724" spans="1:4" ht="28.5">
      <c r="A724" s="230">
        <v>151506</v>
      </c>
      <c r="B724" s="230" t="s">
        <v>612</v>
      </c>
      <c r="C724" s="228" t="s">
        <v>36</v>
      </c>
      <c r="D724" s="229">
        <v>232.79</v>
      </c>
    </row>
    <row r="725" spans="1:4" ht="14.25">
      <c r="A725" s="230">
        <v>151507</v>
      </c>
      <c r="B725" s="230" t="s">
        <v>613</v>
      </c>
      <c r="C725" s="228" t="s">
        <v>36</v>
      </c>
      <c r="D725" s="229">
        <v>10.98</v>
      </c>
    </row>
    <row r="726" spans="1:4" ht="28.5">
      <c r="A726" s="230">
        <v>151508</v>
      </c>
      <c r="B726" s="230" t="s">
        <v>614</v>
      </c>
      <c r="C726" s="228" t="s">
        <v>36</v>
      </c>
      <c r="D726" s="229">
        <v>2.1</v>
      </c>
    </row>
    <row r="727" spans="1:4" ht="28.5">
      <c r="A727" s="230">
        <v>151509</v>
      </c>
      <c r="B727" s="230" t="s">
        <v>615</v>
      </c>
      <c r="C727" s="228" t="s">
        <v>36</v>
      </c>
      <c r="D727" s="229">
        <v>3.22</v>
      </c>
    </row>
    <row r="728" spans="1:4" ht="28.5">
      <c r="A728" s="230">
        <v>151510</v>
      </c>
      <c r="B728" s="230" t="s">
        <v>616</v>
      </c>
      <c r="C728" s="228" t="s">
        <v>36</v>
      </c>
      <c r="D728" s="229">
        <v>6.54</v>
      </c>
    </row>
    <row r="729" spans="1:4" ht="28.5">
      <c r="A729" s="230">
        <v>151511</v>
      </c>
      <c r="B729" s="230" t="s">
        <v>617</v>
      </c>
      <c r="C729" s="228" t="s">
        <v>36</v>
      </c>
      <c r="D729" s="229">
        <v>22.1</v>
      </c>
    </row>
    <row r="730" spans="1:4" ht="14.25">
      <c r="A730" s="230">
        <v>151512</v>
      </c>
      <c r="B730" s="230" t="s">
        <v>618</v>
      </c>
      <c r="C730" s="228" t="s">
        <v>36</v>
      </c>
      <c r="D730" s="229">
        <v>95.03</v>
      </c>
    </row>
    <row r="731" spans="1:4" ht="28.5">
      <c r="A731" s="230">
        <v>151513</v>
      </c>
      <c r="B731" s="230" t="s">
        <v>619</v>
      </c>
      <c r="C731" s="228" t="s">
        <v>36</v>
      </c>
      <c r="D731" s="229">
        <v>13.11</v>
      </c>
    </row>
    <row r="732" spans="1:4" ht="45">
      <c r="A732" s="227">
        <v>1516</v>
      </c>
      <c r="B732" s="227" t="s">
        <v>2263</v>
      </c>
      <c r="C732" s="228"/>
      <c r="D732" s="229"/>
    </row>
    <row r="733" spans="1:4" ht="42.75">
      <c r="A733" s="230">
        <v>151601</v>
      </c>
      <c r="B733" s="230" t="s">
        <v>620</v>
      </c>
      <c r="C733" s="228" t="s">
        <v>54</v>
      </c>
      <c r="D733" s="229">
        <v>10.28</v>
      </c>
    </row>
    <row r="734" spans="1:4" ht="42.75">
      <c r="A734" s="230">
        <v>151602</v>
      </c>
      <c r="B734" s="230" t="s">
        <v>621</v>
      </c>
      <c r="C734" s="228" t="s">
        <v>54</v>
      </c>
      <c r="D734" s="229">
        <v>15.38</v>
      </c>
    </row>
    <row r="735" spans="1:4" ht="42.75">
      <c r="A735" s="230">
        <v>151603</v>
      </c>
      <c r="B735" s="230" t="s">
        <v>622</v>
      </c>
      <c r="C735" s="228" t="s">
        <v>54</v>
      </c>
      <c r="D735" s="229">
        <v>23.15</v>
      </c>
    </row>
    <row r="736" spans="1:4" ht="42.75">
      <c r="A736" s="230">
        <v>151604</v>
      </c>
      <c r="B736" s="230" t="s">
        <v>623</v>
      </c>
      <c r="C736" s="228" t="s">
        <v>54</v>
      </c>
      <c r="D736" s="229">
        <v>19.600000000000001</v>
      </c>
    </row>
    <row r="737" spans="1:4" ht="42.75">
      <c r="A737" s="230">
        <v>151605</v>
      </c>
      <c r="B737" s="230" t="s">
        <v>624</v>
      </c>
      <c r="C737" s="228" t="s">
        <v>54</v>
      </c>
      <c r="D737" s="229">
        <v>29.84</v>
      </c>
    </row>
    <row r="738" spans="1:4" ht="42.75">
      <c r="A738" s="230">
        <v>151606</v>
      </c>
      <c r="B738" s="230" t="s">
        <v>625</v>
      </c>
      <c r="C738" s="228" t="s">
        <v>54</v>
      </c>
      <c r="D738" s="229">
        <v>43.41</v>
      </c>
    </row>
    <row r="739" spans="1:4" ht="30">
      <c r="A739" s="227">
        <v>1517</v>
      </c>
      <c r="B739" s="227" t="s">
        <v>2279</v>
      </c>
      <c r="C739" s="228"/>
      <c r="D739" s="229"/>
    </row>
    <row r="740" spans="1:4" ht="57">
      <c r="A740" s="230">
        <v>151701</v>
      </c>
      <c r="B740" s="230" t="s">
        <v>2280</v>
      </c>
      <c r="C740" s="228" t="s">
        <v>36</v>
      </c>
      <c r="D740" s="231">
        <v>2175.67</v>
      </c>
    </row>
    <row r="741" spans="1:4" ht="57">
      <c r="A741" s="230">
        <v>151702</v>
      </c>
      <c r="B741" s="230" t="s">
        <v>2281</v>
      </c>
      <c r="C741" s="228" t="s">
        <v>36</v>
      </c>
      <c r="D741" s="231">
        <v>2961.76</v>
      </c>
    </row>
    <row r="742" spans="1:4" ht="57">
      <c r="A742" s="230">
        <v>151703</v>
      </c>
      <c r="B742" s="230" t="s">
        <v>2282</v>
      </c>
      <c r="C742" s="228" t="s">
        <v>36</v>
      </c>
      <c r="D742" s="231">
        <v>3239.97</v>
      </c>
    </row>
    <row r="743" spans="1:4" ht="57">
      <c r="A743" s="230">
        <v>151704</v>
      </c>
      <c r="B743" s="230" t="s">
        <v>2283</v>
      </c>
      <c r="C743" s="228" t="s">
        <v>36</v>
      </c>
      <c r="D743" s="231">
        <v>3586.05</v>
      </c>
    </row>
    <row r="744" spans="1:4" ht="57">
      <c r="A744" s="230">
        <v>151705</v>
      </c>
      <c r="B744" s="230" t="s">
        <v>2284</v>
      </c>
      <c r="C744" s="228" t="s">
        <v>36</v>
      </c>
      <c r="D744" s="231">
        <v>3945.86</v>
      </c>
    </row>
    <row r="745" spans="1:4" ht="57">
      <c r="A745" s="230">
        <v>151706</v>
      </c>
      <c r="B745" s="230" t="s">
        <v>2285</v>
      </c>
      <c r="C745" s="228" t="s">
        <v>36</v>
      </c>
      <c r="D745" s="231">
        <v>8754.7199999999993</v>
      </c>
    </row>
    <row r="746" spans="1:4" ht="99.75">
      <c r="A746" s="230">
        <v>151707</v>
      </c>
      <c r="B746" s="230" t="s">
        <v>2286</v>
      </c>
      <c r="C746" s="228" t="s">
        <v>36</v>
      </c>
      <c r="D746" s="231">
        <v>6961.36</v>
      </c>
    </row>
    <row r="747" spans="1:4" ht="57">
      <c r="A747" s="230">
        <v>151708</v>
      </c>
      <c r="B747" s="230" t="s">
        <v>2287</v>
      </c>
      <c r="C747" s="228" t="s">
        <v>36</v>
      </c>
      <c r="D747" s="231">
        <v>10798.09</v>
      </c>
    </row>
    <row r="748" spans="1:4" ht="99.75">
      <c r="A748" s="230">
        <v>151709</v>
      </c>
      <c r="B748" s="230" t="s">
        <v>2288</v>
      </c>
      <c r="C748" s="228" t="s">
        <v>36</v>
      </c>
      <c r="D748" s="231">
        <v>9303.76</v>
      </c>
    </row>
    <row r="749" spans="1:4" ht="57">
      <c r="A749" s="230">
        <v>151710</v>
      </c>
      <c r="B749" s="230" t="s">
        <v>2289</v>
      </c>
      <c r="C749" s="228" t="s">
        <v>36</v>
      </c>
      <c r="D749" s="231">
        <v>11657.64</v>
      </c>
    </row>
    <row r="750" spans="1:4" ht="99.75">
      <c r="A750" s="230">
        <v>151711</v>
      </c>
      <c r="B750" s="230" t="s">
        <v>2290</v>
      </c>
      <c r="C750" s="228" t="s">
        <v>36</v>
      </c>
      <c r="D750" s="231">
        <v>10283.19</v>
      </c>
    </row>
    <row r="751" spans="1:4" ht="99.75">
      <c r="A751" s="230">
        <v>151712</v>
      </c>
      <c r="B751" s="230" t="s">
        <v>626</v>
      </c>
      <c r="C751" s="228" t="s">
        <v>36</v>
      </c>
      <c r="D751" s="231">
        <v>36757.54</v>
      </c>
    </row>
    <row r="752" spans="1:4" ht="99.75">
      <c r="A752" s="230">
        <v>151713</v>
      </c>
      <c r="B752" s="230" t="s">
        <v>627</v>
      </c>
      <c r="C752" s="228" t="s">
        <v>36</v>
      </c>
      <c r="D752" s="231">
        <v>46294.27</v>
      </c>
    </row>
    <row r="753" spans="1:4" ht="99.75">
      <c r="A753" s="230">
        <v>151714</v>
      </c>
      <c r="B753" s="230" t="s">
        <v>628</v>
      </c>
      <c r="C753" s="228" t="s">
        <v>36</v>
      </c>
      <c r="D753" s="231">
        <v>68172.86</v>
      </c>
    </row>
    <row r="754" spans="1:4" ht="99.75">
      <c r="A754" s="230">
        <v>151715</v>
      </c>
      <c r="B754" s="230" t="s">
        <v>629</v>
      </c>
      <c r="C754" s="228" t="s">
        <v>36</v>
      </c>
      <c r="D754" s="231">
        <v>90602.29</v>
      </c>
    </row>
    <row r="755" spans="1:4" ht="15">
      <c r="A755" s="227">
        <v>1518</v>
      </c>
      <c r="B755" s="227" t="s">
        <v>2291</v>
      </c>
      <c r="C755" s="228"/>
      <c r="D755" s="229"/>
    </row>
    <row r="756" spans="1:4" ht="71.25">
      <c r="A756" s="230">
        <v>151801</v>
      </c>
      <c r="B756" s="230" t="s">
        <v>26268</v>
      </c>
      <c r="C756" s="228" t="s">
        <v>36</v>
      </c>
      <c r="D756" s="229">
        <v>199.48</v>
      </c>
    </row>
    <row r="757" spans="1:4" ht="71.25">
      <c r="A757" s="230">
        <v>151802</v>
      </c>
      <c r="B757" s="230" t="s">
        <v>26269</v>
      </c>
      <c r="C757" s="228" t="s">
        <v>36</v>
      </c>
      <c r="D757" s="229">
        <v>177.36</v>
      </c>
    </row>
    <row r="758" spans="1:4" ht="85.5">
      <c r="A758" s="230">
        <v>151803</v>
      </c>
      <c r="B758" s="230" t="s">
        <v>26270</v>
      </c>
      <c r="C758" s="228" t="s">
        <v>36</v>
      </c>
      <c r="D758" s="229">
        <v>203.28</v>
      </c>
    </row>
    <row r="759" spans="1:4" ht="85.5">
      <c r="A759" s="230">
        <v>151805</v>
      </c>
      <c r="B759" s="230" t="s">
        <v>26271</v>
      </c>
      <c r="C759" s="228" t="s">
        <v>36</v>
      </c>
      <c r="D759" s="229">
        <v>544.70000000000005</v>
      </c>
    </row>
    <row r="760" spans="1:4" ht="85.5">
      <c r="A760" s="230">
        <v>151806</v>
      </c>
      <c r="B760" s="230" t="s">
        <v>26272</v>
      </c>
      <c r="C760" s="228" t="s">
        <v>36</v>
      </c>
      <c r="D760" s="229">
        <v>304.33999999999997</v>
      </c>
    </row>
    <row r="761" spans="1:4" ht="71.25">
      <c r="A761" s="230">
        <v>151807</v>
      </c>
      <c r="B761" s="230" t="s">
        <v>26273</v>
      </c>
      <c r="C761" s="228" t="s">
        <v>36</v>
      </c>
      <c r="D761" s="229">
        <v>235.4</v>
      </c>
    </row>
    <row r="762" spans="1:4" ht="85.5">
      <c r="A762" s="230">
        <v>151809</v>
      </c>
      <c r="B762" s="230" t="s">
        <v>26274</v>
      </c>
      <c r="C762" s="228" t="s">
        <v>36</v>
      </c>
      <c r="D762" s="229">
        <v>180.49</v>
      </c>
    </row>
    <row r="763" spans="1:4" ht="85.5">
      <c r="A763" s="230">
        <v>151810</v>
      </c>
      <c r="B763" s="230" t="s">
        <v>26275</v>
      </c>
      <c r="C763" s="228" t="s">
        <v>36</v>
      </c>
      <c r="D763" s="229">
        <v>341.58</v>
      </c>
    </row>
    <row r="764" spans="1:4" ht="99.75">
      <c r="A764" s="230">
        <v>151811</v>
      </c>
      <c r="B764" s="230" t="s">
        <v>26276</v>
      </c>
      <c r="C764" s="228" t="s">
        <v>36</v>
      </c>
      <c r="D764" s="229">
        <v>214.16</v>
      </c>
    </row>
    <row r="765" spans="1:4" ht="99.75">
      <c r="A765" s="230">
        <v>151812</v>
      </c>
      <c r="B765" s="230" t="s">
        <v>26277</v>
      </c>
      <c r="C765" s="228" t="s">
        <v>36</v>
      </c>
      <c r="D765" s="229">
        <v>237.44</v>
      </c>
    </row>
    <row r="766" spans="1:4" ht="71.25">
      <c r="A766" s="230">
        <v>151813</v>
      </c>
      <c r="B766" s="230" t="s">
        <v>26278</v>
      </c>
      <c r="C766" s="228" t="s">
        <v>36</v>
      </c>
      <c r="D766" s="229">
        <v>182.15</v>
      </c>
    </row>
    <row r="767" spans="1:4" ht="71.25">
      <c r="A767" s="230">
        <v>151814</v>
      </c>
      <c r="B767" s="230" t="s">
        <v>630</v>
      </c>
      <c r="C767" s="228" t="s">
        <v>36</v>
      </c>
      <c r="D767" s="229">
        <v>296.89999999999998</v>
      </c>
    </row>
    <row r="768" spans="1:4" ht="85.5">
      <c r="A768" s="230">
        <v>151815</v>
      </c>
      <c r="B768" s="230" t="s">
        <v>26279</v>
      </c>
      <c r="C768" s="228" t="s">
        <v>36</v>
      </c>
      <c r="D768" s="229">
        <v>145.9</v>
      </c>
    </row>
    <row r="769" spans="1:4" ht="85.5">
      <c r="A769" s="230">
        <v>151816</v>
      </c>
      <c r="B769" s="230" t="s">
        <v>26280</v>
      </c>
      <c r="C769" s="228" t="s">
        <v>36</v>
      </c>
      <c r="D769" s="229">
        <v>257.07</v>
      </c>
    </row>
    <row r="770" spans="1:4" ht="71.25">
      <c r="A770" s="230">
        <v>151817</v>
      </c>
      <c r="B770" s="230" t="s">
        <v>631</v>
      </c>
      <c r="C770" s="228" t="s">
        <v>36</v>
      </c>
      <c r="D770" s="229">
        <v>238.47</v>
      </c>
    </row>
    <row r="771" spans="1:4" ht="71.25">
      <c r="A771" s="230">
        <v>151819</v>
      </c>
      <c r="B771" s="230" t="s">
        <v>26281</v>
      </c>
      <c r="C771" s="228" t="s">
        <v>36</v>
      </c>
      <c r="D771" s="229">
        <v>93.22</v>
      </c>
    </row>
    <row r="772" spans="1:4" ht="85.5">
      <c r="A772" s="230">
        <v>151820</v>
      </c>
      <c r="B772" s="230" t="s">
        <v>26282</v>
      </c>
      <c r="C772" s="228" t="s">
        <v>36</v>
      </c>
      <c r="D772" s="229">
        <v>171.18</v>
      </c>
    </row>
    <row r="773" spans="1:4" ht="30">
      <c r="A773" s="227">
        <v>1519</v>
      </c>
      <c r="B773" s="227" t="s">
        <v>2292</v>
      </c>
      <c r="C773" s="228"/>
      <c r="D773" s="229"/>
    </row>
    <row r="774" spans="1:4" ht="99.75">
      <c r="A774" s="230">
        <v>151901</v>
      </c>
      <c r="B774" s="230" t="s">
        <v>632</v>
      </c>
      <c r="C774" s="228" t="s">
        <v>36</v>
      </c>
      <c r="D774" s="229">
        <v>598.02</v>
      </c>
    </row>
    <row r="775" spans="1:4" ht="99.75">
      <c r="A775" s="230">
        <v>151902</v>
      </c>
      <c r="B775" s="230" t="s">
        <v>633</v>
      </c>
      <c r="C775" s="228" t="s">
        <v>36</v>
      </c>
      <c r="D775" s="229">
        <v>688.09</v>
      </c>
    </row>
    <row r="776" spans="1:4" ht="99.75">
      <c r="A776" s="230">
        <v>151903</v>
      </c>
      <c r="B776" s="230" t="s">
        <v>634</v>
      </c>
      <c r="C776" s="228" t="s">
        <v>36</v>
      </c>
      <c r="D776" s="229">
        <v>811.66</v>
      </c>
    </row>
    <row r="777" spans="1:4" ht="99.75">
      <c r="A777" s="230">
        <v>151904</v>
      </c>
      <c r="B777" s="230" t="s">
        <v>635</v>
      </c>
      <c r="C777" s="228" t="s">
        <v>36</v>
      </c>
      <c r="D777" s="229">
        <v>876.2</v>
      </c>
    </row>
    <row r="778" spans="1:4" ht="99.75">
      <c r="A778" s="230">
        <v>151905</v>
      </c>
      <c r="B778" s="230" t="s">
        <v>636</v>
      </c>
      <c r="C778" s="228" t="s">
        <v>36</v>
      </c>
      <c r="D778" s="231">
        <v>1586.75</v>
      </c>
    </row>
    <row r="779" spans="1:4" ht="30">
      <c r="A779" s="227">
        <v>1520</v>
      </c>
      <c r="B779" s="227" t="s">
        <v>2293</v>
      </c>
      <c r="C779" s="228"/>
      <c r="D779" s="229"/>
    </row>
    <row r="780" spans="1:4" ht="28.5">
      <c r="A780" s="230">
        <v>152001</v>
      </c>
      <c r="B780" s="230" t="s">
        <v>637</v>
      </c>
      <c r="C780" s="228" t="s">
        <v>36</v>
      </c>
      <c r="D780" s="229">
        <v>11.65</v>
      </c>
    </row>
    <row r="781" spans="1:4" ht="28.5">
      <c r="A781" s="230">
        <v>152002</v>
      </c>
      <c r="B781" s="230" t="s">
        <v>638</v>
      </c>
      <c r="C781" s="228" t="s">
        <v>36</v>
      </c>
      <c r="D781" s="229">
        <v>15.04</v>
      </c>
    </row>
    <row r="782" spans="1:4" ht="28.5">
      <c r="A782" s="230">
        <v>152003</v>
      </c>
      <c r="B782" s="230" t="s">
        <v>639</v>
      </c>
      <c r="C782" s="228" t="s">
        <v>36</v>
      </c>
      <c r="D782" s="229">
        <v>23.8</v>
      </c>
    </row>
    <row r="783" spans="1:4" ht="28.5">
      <c r="A783" s="230">
        <v>152004</v>
      </c>
      <c r="B783" s="230" t="s">
        <v>640</v>
      </c>
      <c r="C783" s="228" t="s">
        <v>36</v>
      </c>
      <c r="D783" s="229">
        <v>24.09</v>
      </c>
    </row>
    <row r="784" spans="1:4" ht="28.5">
      <c r="A784" s="230">
        <v>152005</v>
      </c>
      <c r="B784" s="230" t="s">
        <v>641</v>
      </c>
      <c r="C784" s="228" t="s">
        <v>36</v>
      </c>
      <c r="D784" s="229">
        <v>25.51</v>
      </c>
    </row>
    <row r="785" spans="1:4" ht="28.5">
      <c r="A785" s="230">
        <v>152006</v>
      </c>
      <c r="B785" s="230" t="s">
        <v>642</v>
      </c>
      <c r="C785" s="228" t="s">
        <v>36</v>
      </c>
      <c r="D785" s="229">
        <v>30.08</v>
      </c>
    </row>
    <row r="786" spans="1:4" ht="28.5">
      <c r="A786" s="230">
        <v>152007</v>
      </c>
      <c r="B786" s="230" t="s">
        <v>643</v>
      </c>
      <c r="C786" s="228" t="s">
        <v>36</v>
      </c>
      <c r="D786" s="229">
        <v>38.909999999999997</v>
      </c>
    </row>
    <row r="787" spans="1:4" ht="28.5">
      <c r="A787" s="230">
        <v>152010</v>
      </c>
      <c r="B787" s="230" t="s">
        <v>644</v>
      </c>
      <c r="C787" s="228" t="s">
        <v>36</v>
      </c>
      <c r="D787" s="229">
        <v>39.4</v>
      </c>
    </row>
    <row r="788" spans="1:4" ht="28.5">
      <c r="A788" s="230">
        <v>152011</v>
      </c>
      <c r="B788" s="230" t="s">
        <v>645</v>
      </c>
      <c r="C788" s="228" t="s">
        <v>36</v>
      </c>
      <c r="D788" s="229">
        <v>48.94</v>
      </c>
    </row>
    <row r="789" spans="1:4" ht="28.5">
      <c r="A789" s="230">
        <v>152012</v>
      </c>
      <c r="B789" s="230" t="s">
        <v>646</v>
      </c>
      <c r="C789" s="228" t="s">
        <v>36</v>
      </c>
      <c r="D789" s="229">
        <v>78.36</v>
      </c>
    </row>
    <row r="790" spans="1:4" ht="28.5">
      <c r="A790" s="230">
        <v>152013</v>
      </c>
      <c r="B790" s="230" t="s">
        <v>647</v>
      </c>
      <c r="C790" s="228" t="s">
        <v>36</v>
      </c>
      <c r="D790" s="229">
        <v>81.400000000000006</v>
      </c>
    </row>
    <row r="791" spans="1:4" ht="28.5">
      <c r="A791" s="230">
        <v>152014</v>
      </c>
      <c r="B791" s="230" t="s">
        <v>648</v>
      </c>
      <c r="C791" s="228" t="s">
        <v>36</v>
      </c>
      <c r="D791" s="229">
        <v>94.53</v>
      </c>
    </row>
    <row r="792" spans="1:4" ht="28.5">
      <c r="A792" s="230">
        <v>152015</v>
      </c>
      <c r="B792" s="230" t="s">
        <v>649</v>
      </c>
      <c r="C792" s="228" t="s">
        <v>36</v>
      </c>
      <c r="D792" s="229">
        <v>100.77</v>
      </c>
    </row>
    <row r="793" spans="1:4" ht="28.5">
      <c r="A793" s="230">
        <v>152016</v>
      </c>
      <c r="B793" s="230" t="s">
        <v>650</v>
      </c>
      <c r="C793" s="228" t="s">
        <v>36</v>
      </c>
      <c r="D793" s="229">
        <v>102.97</v>
      </c>
    </row>
    <row r="794" spans="1:4" ht="28.5">
      <c r="A794" s="230">
        <v>152025</v>
      </c>
      <c r="B794" s="230" t="s">
        <v>651</v>
      </c>
      <c r="C794" s="228" t="s">
        <v>36</v>
      </c>
      <c r="D794" s="229">
        <v>328.31</v>
      </c>
    </row>
    <row r="795" spans="1:4" ht="28.5">
      <c r="A795" s="230">
        <v>152026</v>
      </c>
      <c r="B795" s="230" t="s">
        <v>652</v>
      </c>
      <c r="C795" s="228" t="s">
        <v>36</v>
      </c>
      <c r="D795" s="229">
        <v>350.32</v>
      </c>
    </row>
    <row r="796" spans="1:4" ht="28.5">
      <c r="A796" s="230">
        <v>152027</v>
      </c>
      <c r="B796" s="230" t="s">
        <v>653</v>
      </c>
      <c r="C796" s="228" t="s">
        <v>36</v>
      </c>
      <c r="D796" s="229">
        <v>396.35</v>
      </c>
    </row>
    <row r="797" spans="1:4" ht="28.5">
      <c r="A797" s="230">
        <v>152030</v>
      </c>
      <c r="B797" s="230" t="s">
        <v>654</v>
      </c>
      <c r="C797" s="228" t="s">
        <v>36</v>
      </c>
      <c r="D797" s="229">
        <v>13.86</v>
      </c>
    </row>
    <row r="798" spans="1:4" ht="28.5">
      <c r="A798" s="230">
        <v>152031</v>
      </c>
      <c r="B798" s="230" t="s">
        <v>655</v>
      </c>
      <c r="C798" s="228" t="s">
        <v>36</v>
      </c>
      <c r="D798" s="229">
        <v>23.22</v>
      </c>
    </row>
    <row r="799" spans="1:4" ht="28.5">
      <c r="A799" s="230">
        <v>152033</v>
      </c>
      <c r="B799" s="230" t="s">
        <v>656</v>
      </c>
      <c r="C799" s="228" t="s">
        <v>36</v>
      </c>
      <c r="D799" s="229">
        <v>12.88</v>
      </c>
    </row>
    <row r="800" spans="1:4" ht="28.5">
      <c r="A800" s="230">
        <v>152034</v>
      </c>
      <c r="B800" s="230" t="s">
        <v>657</v>
      </c>
      <c r="C800" s="228" t="s">
        <v>36</v>
      </c>
      <c r="D800" s="229">
        <v>13.65</v>
      </c>
    </row>
    <row r="801" spans="1:4" ht="28.5">
      <c r="A801" s="230">
        <v>152035</v>
      </c>
      <c r="B801" s="230" t="s">
        <v>658</v>
      </c>
      <c r="C801" s="228" t="s">
        <v>36</v>
      </c>
      <c r="D801" s="229">
        <v>17.53</v>
      </c>
    </row>
    <row r="802" spans="1:4" ht="14.25">
      <c r="A802" s="230">
        <v>152040</v>
      </c>
      <c r="B802" s="230" t="s">
        <v>659</v>
      </c>
      <c r="C802" s="228" t="s">
        <v>36</v>
      </c>
      <c r="D802" s="229">
        <v>25.66</v>
      </c>
    </row>
    <row r="803" spans="1:4" ht="14.25">
      <c r="A803" s="230">
        <v>152041</v>
      </c>
      <c r="B803" s="230" t="s">
        <v>660</v>
      </c>
      <c r="C803" s="228" t="s">
        <v>36</v>
      </c>
      <c r="D803" s="229">
        <v>27.65</v>
      </c>
    </row>
    <row r="804" spans="1:4" ht="14.25">
      <c r="A804" s="230">
        <v>152042</v>
      </c>
      <c r="B804" s="230" t="s">
        <v>661</v>
      </c>
      <c r="C804" s="228" t="s">
        <v>36</v>
      </c>
      <c r="D804" s="229">
        <v>33.46</v>
      </c>
    </row>
    <row r="805" spans="1:4" ht="15">
      <c r="A805" s="227">
        <v>16</v>
      </c>
      <c r="B805" s="227" t="s">
        <v>2294</v>
      </c>
      <c r="C805" s="228"/>
      <c r="D805" s="229"/>
    </row>
    <row r="806" spans="1:4" ht="15">
      <c r="A806" s="227">
        <v>1601</v>
      </c>
      <c r="B806" s="227" t="s">
        <v>2295</v>
      </c>
      <c r="C806" s="228"/>
      <c r="D806" s="229"/>
    </row>
    <row r="807" spans="1:4" ht="57">
      <c r="A807" s="230">
        <v>160105</v>
      </c>
      <c r="B807" s="230" t="s">
        <v>662</v>
      </c>
      <c r="C807" s="228" t="s">
        <v>36</v>
      </c>
      <c r="D807" s="231">
        <v>1677.3</v>
      </c>
    </row>
    <row r="808" spans="1:4" ht="71.25">
      <c r="A808" s="230">
        <v>160106</v>
      </c>
      <c r="B808" s="230" t="s">
        <v>663</v>
      </c>
      <c r="C808" s="228" t="s">
        <v>36</v>
      </c>
      <c r="D808" s="229">
        <v>506.77</v>
      </c>
    </row>
    <row r="809" spans="1:4" ht="42.75">
      <c r="A809" s="230">
        <v>160108</v>
      </c>
      <c r="B809" s="230" t="s">
        <v>664</v>
      </c>
      <c r="C809" s="228" t="s">
        <v>36</v>
      </c>
      <c r="D809" s="229">
        <v>142.13999999999999</v>
      </c>
    </row>
    <row r="810" spans="1:4" ht="42.75">
      <c r="A810" s="230">
        <v>160110</v>
      </c>
      <c r="B810" s="230" t="s">
        <v>665</v>
      </c>
      <c r="C810" s="228" t="s">
        <v>36</v>
      </c>
      <c r="D810" s="229">
        <v>453.11</v>
      </c>
    </row>
    <row r="811" spans="1:4" ht="71.25">
      <c r="A811" s="230">
        <v>160111</v>
      </c>
      <c r="B811" s="230" t="s">
        <v>666</v>
      </c>
      <c r="C811" s="228" t="s">
        <v>36</v>
      </c>
      <c r="D811" s="229">
        <v>994.92</v>
      </c>
    </row>
    <row r="812" spans="1:4" ht="28.5">
      <c r="A812" s="230">
        <v>160115</v>
      </c>
      <c r="B812" s="230" t="s">
        <v>667</v>
      </c>
      <c r="C812" s="228" t="s">
        <v>54</v>
      </c>
      <c r="D812" s="229">
        <v>29.24</v>
      </c>
    </row>
    <row r="813" spans="1:4" ht="28.5">
      <c r="A813" s="230">
        <v>160120</v>
      </c>
      <c r="B813" s="230" t="s">
        <v>668</v>
      </c>
      <c r="C813" s="228" t="s">
        <v>36</v>
      </c>
      <c r="D813" s="229">
        <v>45.22</v>
      </c>
    </row>
    <row r="814" spans="1:4" ht="15">
      <c r="A814" s="227">
        <v>1602</v>
      </c>
      <c r="B814" s="227" t="s">
        <v>2296</v>
      </c>
      <c r="C814" s="228"/>
      <c r="D814" s="229"/>
    </row>
    <row r="815" spans="1:4" ht="99.75">
      <c r="A815" s="230">
        <v>160207</v>
      </c>
      <c r="B815" s="230" t="s">
        <v>2297</v>
      </c>
      <c r="C815" s="228" t="s">
        <v>36</v>
      </c>
      <c r="D815" s="231">
        <v>7632.13</v>
      </c>
    </row>
    <row r="816" spans="1:4" ht="99.75">
      <c r="A816" s="230">
        <v>160208</v>
      </c>
      <c r="B816" s="230" t="s">
        <v>669</v>
      </c>
      <c r="C816" s="228" t="s">
        <v>36</v>
      </c>
      <c r="D816" s="231">
        <v>13514.79</v>
      </c>
    </row>
    <row r="817" spans="1:4" ht="15">
      <c r="A817" s="227">
        <v>1603</v>
      </c>
      <c r="B817" s="227" t="s">
        <v>2298</v>
      </c>
      <c r="C817" s="228"/>
      <c r="D817" s="229"/>
    </row>
    <row r="818" spans="1:4" ht="57">
      <c r="A818" s="230">
        <v>160303</v>
      </c>
      <c r="B818" s="230" t="s">
        <v>670</v>
      </c>
      <c r="C818" s="228" t="s">
        <v>36</v>
      </c>
      <c r="D818" s="229">
        <v>470.91</v>
      </c>
    </row>
    <row r="819" spans="1:4" ht="99.75">
      <c r="A819" s="230">
        <v>160304</v>
      </c>
      <c r="B819" s="230" t="s">
        <v>671</v>
      </c>
      <c r="C819" s="228" t="s">
        <v>36</v>
      </c>
      <c r="D819" s="229">
        <v>992.66</v>
      </c>
    </row>
    <row r="820" spans="1:4" ht="57">
      <c r="A820" s="230">
        <v>160305</v>
      </c>
      <c r="B820" s="230" t="s">
        <v>672</v>
      </c>
      <c r="C820" s="228" t="s">
        <v>54</v>
      </c>
      <c r="D820" s="229">
        <v>99.06</v>
      </c>
    </row>
    <row r="821" spans="1:4" ht="57">
      <c r="A821" s="230">
        <v>160308</v>
      </c>
      <c r="B821" s="230" t="s">
        <v>673</v>
      </c>
      <c r="C821" s="228" t="s">
        <v>54</v>
      </c>
      <c r="D821" s="229">
        <v>79.72</v>
      </c>
    </row>
    <row r="822" spans="1:4" ht="99.75">
      <c r="A822" s="230">
        <v>160309</v>
      </c>
      <c r="B822" s="230" t="s">
        <v>26283</v>
      </c>
      <c r="C822" s="228" t="s">
        <v>36</v>
      </c>
      <c r="D822" s="229">
        <v>116.23</v>
      </c>
    </row>
    <row r="823" spans="1:4" ht="57">
      <c r="A823" s="230">
        <v>160310</v>
      </c>
      <c r="B823" s="230" t="s">
        <v>674</v>
      </c>
      <c r="C823" s="228" t="s">
        <v>36</v>
      </c>
      <c r="D823" s="229">
        <v>56.1</v>
      </c>
    </row>
    <row r="824" spans="1:4" ht="28.5">
      <c r="A824" s="230">
        <v>160311</v>
      </c>
      <c r="B824" s="230" t="s">
        <v>612</v>
      </c>
      <c r="C824" s="228" t="s">
        <v>36</v>
      </c>
      <c r="D824" s="229">
        <v>232.79</v>
      </c>
    </row>
    <row r="825" spans="1:4" ht="85.5">
      <c r="A825" s="230">
        <v>160312</v>
      </c>
      <c r="B825" s="230" t="s">
        <v>2299</v>
      </c>
      <c r="C825" s="228" t="s">
        <v>36</v>
      </c>
      <c r="D825" s="229">
        <v>49.24</v>
      </c>
    </row>
    <row r="826" spans="1:4" ht="99.75">
      <c r="A826" s="230">
        <v>160313</v>
      </c>
      <c r="B826" s="230" t="s">
        <v>675</v>
      </c>
      <c r="C826" s="228" t="s">
        <v>36</v>
      </c>
      <c r="D826" s="229">
        <v>51.71</v>
      </c>
    </row>
    <row r="827" spans="1:4" ht="114">
      <c r="A827" s="230">
        <v>160314</v>
      </c>
      <c r="B827" s="230" t="s">
        <v>676</v>
      </c>
      <c r="C827" s="228" t="s">
        <v>36</v>
      </c>
      <c r="D827" s="229">
        <v>913.67</v>
      </c>
    </row>
    <row r="828" spans="1:4" ht="114">
      <c r="A828" s="230">
        <v>160315</v>
      </c>
      <c r="B828" s="230" t="s">
        <v>677</v>
      </c>
      <c r="C828" s="228" t="s">
        <v>36</v>
      </c>
      <c r="D828" s="231">
        <v>1356.76</v>
      </c>
    </row>
    <row r="829" spans="1:4" ht="71.25">
      <c r="A829" s="230">
        <v>160316</v>
      </c>
      <c r="B829" s="230" t="s">
        <v>678</v>
      </c>
      <c r="C829" s="228" t="s">
        <v>36</v>
      </c>
      <c r="D829" s="229">
        <v>80.849999999999994</v>
      </c>
    </row>
    <row r="830" spans="1:4" ht="42.75">
      <c r="A830" s="230">
        <v>160317</v>
      </c>
      <c r="B830" s="230" t="s">
        <v>679</v>
      </c>
      <c r="C830" s="228" t="s">
        <v>54</v>
      </c>
      <c r="D830" s="229">
        <v>79.72</v>
      </c>
    </row>
    <row r="831" spans="1:4" ht="42.75">
      <c r="A831" s="230">
        <v>160318</v>
      </c>
      <c r="B831" s="230" t="s">
        <v>680</v>
      </c>
      <c r="C831" s="228" t="s">
        <v>54</v>
      </c>
      <c r="D831" s="229">
        <v>55.86</v>
      </c>
    </row>
    <row r="832" spans="1:4" ht="85.5">
      <c r="A832" s="230">
        <v>160319</v>
      </c>
      <c r="B832" s="230" t="s">
        <v>681</v>
      </c>
      <c r="C832" s="228" t="s">
        <v>36</v>
      </c>
      <c r="D832" s="229">
        <v>9.19</v>
      </c>
    </row>
    <row r="833" spans="1:4" ht="57">
      <c r="A833" s="230">
        <v>160321</v>
      </c>
      <c r="B833" s="230" t="s">
        <v>682</v>
      </c>
      <c r="C833" s="228" t="s">
        <v>36</v>
      </c>
      <c r="D833" s="229">
        <v>114.28</v>
      </c>
    </row>
    <row r="834" spans="1:4" ht="57">
      <c r="A834" s="230">
        <v>160322</v>
      </c>
      <c r="B834" s="230" t="s">
        <v>683</v>
      </c>
      <c r="C834" s="228" t="s">
        <v>36</v>
      </c>
      <c r="D834" s="229">
        <v>5.55</v>
      </c>
    </row>
    <row r="835" spans="1:4" ht="42.75">
      <c r="A835" s="230">
        <v>160323</v>
      </c>
      <c r="B835" s="230" t="s">
        <v>684</v>
      </c>
      <c r="C835" s="228" t="s">
        <v>36</v>
      </c>
      <c r="D835" s="229">
        <v>12.9</v>
      </c>
    </row>
    <row r="836" spans="1:4" ht="99.75">
      <c r="A836" s="230">
        <v>160324</v>
      </c>
      <c r="B836" s="230" t="s">
        <v>685</v>
      </c>
      <c r="C836" s="228" t="s">
        <v>36</v>
      </c>
      <c r="D836" s="229">
        <v>216.45</v>
      </c>
    </row>
    <row r="837" spans="1:4" ht="99.75">
      <c r="A837" s="230">
        <v>160325</v>
      </c>
      <c r="B837" s="230" t="s">
        <v>686</v>
      </c>
      <c r="C837" s="228" t="s">
        <v>36</v>
      </c>
      <c r="D837" s="229">
        <v>588.79</v>
      </c>
    </row>
    <row r="838" spans="1:4" ht="71.25">
      <c r="A838" s="230">
        <v>160326</v>
      </c>
      <c r="B838" s="230" t="s">
        <v>687</v>
      </c>
      <c r="C838" s="228" t="s">
        <v>54</v>
      </c>
      <c r="D838" s="229">
        <v>35.86</v>
      </c>
    </row>
    <row r="839" spans="1:4" ht="71.25">
      <c r="A839" s="230">
        <v>160327</v>
      </c>
      <c r="B839" s="230" t="s">
        <v>688</v>
      </c>
      <c r="C839" s="228" t="s">
        <v>54</v>
      </c>
      <c r="D839" s="229">
        <v>36.22</v>
      </c>
    </row>
    <row r="840" spans="1:4" ht="57">
      <c r="A840" s="230">
        <v>160328</v>
      </c>
      <c r="B840" s="230" t="s">
        <v>689</v>
      </c>
      <c r="C840" s="228" t="s">
        <v>36</v>
      </c>
      <c r="D840" s="229">
        <v>27.11</v>
      </c>
    </row>
    <row r="841" spans="1:4" ht="57">
      <c r="A841" s="230">
        <v>160329</v>
      </c>
      <c r="B841" s="230" t="s">
        <v>690</v>
      </c>
      <c r="C841" s="228" t="s">
        <v>36</v>
      </c>
      <c r="D841" s="229">
        <v>17.29</v>
      </c>
    </row>
    <row r="842" spans="1:4" ht="85.5">
      <c r="A842" s="230">
        <v>160330</v>
      </c>
      <c r="B842" s="230" t="s">
        <v>691</v>
      </c>
      <c r="C842" s="228" t="s">
        <v>36</v>
      </c>
      <c r="D842" s="229">
        <v>10.89</v>
      </c>
    </row>
    <row r="843" spans="1:4" ht="57">
      <c r="A843" s="230">
        <v>160331</v>
      </c>
      <c r="B843" s="230" t="s">
        <v>692</v>
      </c>
      <c r="C843" s="228" t="s">
        <v>36</v>
      </c>
      <c r="D843" s="229">
        <v>35.590000000000003</v>
      </c>
    </row>
    <row r="844" spans="1:4" ht="71.25">
      <c r="A844" s="230">
        <v>160332</v>
      </c>
      <c r="B844" s="230" t="s">
        <v>693</v>
      </c>
      <c r="C844" s="228" t="s">
        <v>54</v>
      </c>
      <c r="D844" s="229">
        <v>36.119999999999997</v>
      </c>
    </row>
    <row r="845" spans="1:4" ht="85.5">
      <c r="A845" s="230">
        <v>160333</v>
      </c>
      <c r="B845" s="230" t="s">
        <v>694</v>
      </c>
      <c r="C845" s="228" t="s">
        <v>54</v>
      </c>
      <c r="D845" s="229">
        <v>90.48</v>
      </c>
    </row>
    <row r="846" spans="1:4" ht="57">
      <c r="A846" s="230">
        <v>160334</v>
      </c>
      <c r="B846" s="230" t="s">
        <v>695</v>
      </c>
      <c r="C846" s="228" t="s">
        <v>36</v>
      </c>
      <c r="D846" s="229">
        <v>37.28</v>
      </c>
    </row>
    <row r="847" spans="1:4" ht="71.25">
      <c r="A847" s="230">
        <v>160335</v>
      </c>
      <c r="B847" s="230" t="s">
        <v>26284</v>
      </c>
      <c r="C847" s="228" t="s">
        <v>54</v>
      </c>
      <c r="D847" s="229">
        <v>63.85</v>
      </c>
    </row>
    <row r="848" spans="1:4" ht="15">
      <c r="A848" s="227">
        <v>1606</v>
      </c>
      <c r="B848" s="227" t="s">
        <v>2300</v>
      </c>
      <c r="C848" s="228"/>
      <c r="D848" s="229"/>
    </row>
    <row r="849" spans="1:4" ht="85.5">
      <c r="A849" s="230">
        <v>160602</v>
      </c>
      <c r="B849" s="230" t="s">
        <v>696</v>
      </c>
      <c r="C849" s="228" t="s">
        <v>36</v>
      </c>
      <c r="D849" s="231">
        <v>1741.9</v>
      </c>
    </row>
    <row r="850" spans="1:4" ht="71.25">
      <c r="A850" s="230">
        <v>160603</v>
      </c>
      <c r="B850" s="230" t="s">
        <v>697</v>
      </c>
      <c r="C850" s="228" t="s">
        <v>36</v>
      </c>
      <c r="D850" s="229">
        <v>886.16</v>
      </c>
    </row>
    <row r="851" spans="1:4" ht="71.25">
      <c r="A851" s="230">
        <v>160604</v>
      </c>
      <c r="B851" s="230" t="s">
        <v>698</v>
      </c>
      <c r="C851" s="228" t="s">
        <v>36</v>
      </c>
      <c r="D851" s="229">
        <v>229.28</v>
      </c>
    </row>
    <row r="852" spans="1:4" ht="85.5">
      <c r="A852" s="230">
        <v>160605</v>
      </c>
      <c r="B852" s="230" t="s">
        <v>699</v>
      </c>
      <c r="C852" s="228" t="s">
        <v>36</v>
      </c>
      <c r="D852" s="229">
        <v>249.59</v>
      </c>
    </row>
    <row r="853" spans="1:4" ht="71.25">
      <c r="A853" s="230">
        <v>160606</v>
      </c>
      <c r="B853" s="230" t="s">
        <v>700</v>
      </c>
      <c r="C853" s="228" t="s">
        <v>36</v>
      </c>
      <c r="D853" s="229">
        <v>593.22</v>
      </c>
    </row>
    <row r="854" spans="1:4" ht="85.5">
      <c r="A854" s="230">
        <v>160607</v>
      </c>
      <c r="B854" s="230" t="s">
        <v>701</v>
      </c>
      <c r="C854" s="228" t="s">
        <v>36</v>
      </c>
      <c r="D854" s="229">
        <v>221.4</v>
      </c>
    </row>
    <row r="855" spans="1:4" ht="99.75">
      <c r="A855" s="230">
        <v>160608</v>
      </c>
      <c r="B855" s="230" t="s">
        <v>702</v>
      </c>
      <c r="C855" s="228" t="s">
        <v>36</v>
      </c>
      <c r="D855" s="229">
        <v>326.42</v>
      </c>
    </row>
    <row r="856" spans="1:4" ht="71.25">
      <c r="A856" s="230">
        <v>160612</v>
      </c>
      <c r="B856" s="230" t="s">
        <v>703</v>
      </c>
      <c r="C856" s="228" t="s">
        <v>36</v>
      </c>
      <c r="D856" s="229">
        <v>25.33</v>
      </c>
    </row>
    <row r="857" spans="1:4" ht="57">
      <c r="A857" s="230">
        <v>160613</v>
      </c>
      <c r="B857" s="230" t="s">
        <v>704</v>
      </c>
      <c r="C857" s="228" t="s">
        <v>36</v>
      </c>
      <c r="D857" s="229">
        <v>229.92</v>
      </c>
    </row>
    <row r="858" spans="1:4" ht="99.75">
      <c r="A858" s="230">
        <v>160625</v>
      </c>
      <c r="B858" s="230" t="s">
        <v>705</v>
      </c>
      <c r="C858" s="228" t="s">
        <v>36</v>
      </c>
      <c r="D858" s="229">
        <v>719.48</v>
      </c>
    </row>
    <row r="859" spans="1:4" ht="57">
      <c r="A859" s="230">
        <v>160663</v>
      </c>
      <c r="B859" s="230" t="s">
        <v>706</v>
      </c>
      <c r="C859" s="228" t="s">
        <v>36</v>
      </c>
      <c r="D859" s="229">
        <v>413.26</v>
      </c>
    </row>
    <row r="860" spans="1:4" ht="114">
      <c r="A860" s="230">
        <v>160665</v>
      </c>
      <c r="B860" s="230" t="s">
        <v>2301</v>
      </c>
      <c r="C860" s="228" t="s">
        <v>36</v>
      </c>
      <c r="D860" s="231">
        <v>2412.5500000000002</v>
      </c>
    </row>
    <row r="861" spans="1:4" ht="85.5">
      <c r="A861" s="230">
        <v>160671</v>
      </c>
      <c r="B861" s="230" t="s">
        <v>707</v>
      </c>
      <c r="C861" s="228" t="s">
        <v>36</v>
      </c>
      <c r="D861" s="231">
        <v>2268.54</v>
      </c>
    </row>
    <row r="862" spans="1:4" ht="85.5">
      <c r="A862" s="230">
        <v>160673</v>
      </c>
      <c r="B862" s="230" t="s">
        <v>2302</v>
      </c>
      <c r="C862" s="228" t="s">
        <v>36</v>
      </c>
      <c r="D862" s="231">
        <v>2019.44</v>
      </c>
    </row>
    <row r="863" spans="1:4" ht="57">
      <c r="A863" s="230">
        <v>160674</v>
      </c>
      <c r="B863" s="230" t="s">
        <v>708</v>
      </c>
      <c r="C863" s="228" t="s">
        <v>36</v>
      </c>
      <c r="D863" s="229">
        <v>107.98</v>
      </c>
    </row>
    <row r="864" spans="1:4" ht="57">
      <c r="A864" s="230">
        <v>160675</v>
      </c>
      <c r="B864" s="230" t="s">
        <v>709</v>
      </c>
      <c r="C864" s="228" t="s">
        <v>36</v>
      </c>
      <c r="D864" s="229">
        <v>164.48</v>
      </c>
    </row>
    <row r="865" spans="1:4" ht="28.5">
      <c r="A865" s="230">
        <v>160676</v>
      </c>
      <c r="B865" s="230" t="s">
        <v>710</v>
      </c>
      <c r="C865" s="228" t="s">
        <v>36</v>
      </c>
      <c r="D865" s="229">
        <v>151.87</v>
      </c>
    </row>
    <row r="866" spans="1:4" ht="15">
      <c r="A866" s="227">
        <v>1607</v>
      </c>
      <c r="B866" s="227" t="s">
        <v>2303</v>
      </c>
      <c r="C866" s="228"/>
      <c r="D866" s="229"/>
    </row>
    <row r="867" spans="1:4" ht="57">
      <c r="A867" s="230">
        <v>160702</v>
      </c>
      <c r="B867" s="230" t="s">
        <v>711</v>
      </c>
      <c r="C867" s="228" t="s">
        <v>28758</v>
      </c>
      <c r="D867" s="229">
        <v>5.69</v>
      </c>
    </row>
    <row r="868" spans="1:4" ht="57">
      <c r="A868" s="230">
        <v>160704</v>
      </c>
      <c r="B868" s="230" t="s">
        <v>712</v>
      </c>
      <c r="C868" s="228" t="s">
        <v>28759</v>
      </c>
      <c r="D868" s="231">
        <v>2648.84</v>
      </c>
    </row>
    <row r="869" spans="1:4" ht="57">
      <c r="A869" s="230">
        <v>160707</v>
      </c>
      <c r="B869" s="230" t="s">
        <v>713</v>
      </c>
      <c r="C869" s="228" t="s">
        <v>28758</v>
      </c>
      <c r="D869" s="229">
        <v>20.72</v>
      </c>
    </row>
    <row r="870" spans="1:4" ht="57">
      <c r="A870" s="230">
        <v>160708</v>
      </c>
      <c r="B870" s="230" t="s">
        <v>714</v>
      </c>
      <c r="C870" s="228" t="s">
        <v>28758</v>
      </c>
      <c r="D870" s="229">
        <v>21.09</v>
      </c>
    </row>
    <row r="871" spans="1:4" ht="42.75">
      <c r="A871" s="230">
        <v>160709</v>
      </c>
      <c r="B871" s="230" t="s">
        <v>715</v>
      </c>
      <c r="C871" s="228" t="s">
        <v>28758</v>
      </c>
      <c r="D871" s="231">
        <v>1380.18</v>
      </c>
    </row>
    <row r="872" spans="1:4" ht="99.75">
      <c r="A872" s="230">
        <v>160710</v>
      </c>
      <c r="B872" s="230" t="s">
        <v>716</v>
      </c>
      <c r="C872" s="228" t="s">
        <v>28758</v>
      </c>
      <c r="D872" s="229">
        <v>54.08</v>
      </c>
    </row>
    <row r="873" spans="1:4" ht="57">
      <c r="A873" s="230">
        <v>160711</v>
      </c>
      <c r="B873" s="230" t="s">
        <v>717</v>
      </c>
      <c r="C873" s="228" t="s">
        <v>28758</v>
      </c>
      <c r="D873" s="229">
        <v>47.53</v>
      </c>
    </row>
    <row r="874" spans="1:4" ht="57">
      <c r="A874" s="230">
        <v>160712</v>
      </c>
      <c r="B874" s="230" t="s">
        <v>718</v>
      </c>
      <c r="C874" s="228" t="s">
        <v>28758</v>
      </c>
      <c r="D874" s="229">
        <v>233.27</v>
      </c>
    </row>
    <row r="875" spans="1:4" ht="71.25">
      <c r="A875" s="230">
        <v>160713</v>
      </c>
      <c r="B875" s="230" t="s">
        <v>719</v>
      </c>
      <c r="C875" s="228" t="s">
        <v>28758</v>
      </c>
      <c r="D875" s="229">
        <v>654.09</v>
      </c>
    </row>
    <row r="876" spans="1:4" ht="42.75">
      <c r="A876" s="230">
        <v>160714</v>
      </c>
      <c r="B876" s="230" t="s">
        <v>720</v>
      </c>
      <c r="C876" s="228" t="s">
        <v>28758</v>
      </c>
      <c r="D876" s="229">
        <v>66.37</v>
      </c>
    </row>
    <row r="877" spans="1:4" ht="99.75">
      <c r="A877" s="230">
        <v>160715</v>
      </c>
      <c r="B877" s="230" t="s">
        <v>721</v>
      </c>
      <c r="C877" s="228" t="s">
        <v>28758</v>
      </c>
      <c r="D877" s="229">
        <v>232.27</v>
      </c>
    </row>
    <row r="878" spans="1:4" ht="42.75">
      <c r="A878" s="230">
        <v>160716</v>
      </c>
      <c r="B878" s="230" t="s">
        <v>722</v>
      </c>
      <c r="C878" s="228" t="s">
        <v>28759</v>
      </c>
      <c r="D878" s="229">
        <v>546.41999999999996</v>
      </c>
    </row>
    <row r="879" spans="1:4" ht="57">
      <c r="A879" s="230">
        <v>160718</v>
      </c>
      <c r="B879" s="230" t="s">
        <v>723</v>
      </c>
      <c r="C879" s="228" t="s">
        <v>28758</v>
      </c>
      <c r="D879" s="229">
        <v>20.010000000000002</v>
      </c>
    </row>
    <row r="880" spans="1:4" ht="15">
      <c r="A880" s="227">
        <v>1608</v>
      </c>
      <c r="B880" s="227" t="s">
        <v>26773</v>
      </c>
      <c r="C880" s="228"/>
      <c r="D880" s="229"/>
    </row>
    <row r="881" spans="1:4" ht="28.5">
      <c r="A881" s="230">
        <v>160806</v>
      </c>
      <c r="B881" s="230" t="s">
        <v>2304</v>
      </c>
      <c r="C881" s="228" t="s">
        <v>36</v>
      </c>
      <c r="D881" s="229">
        <v>36.35</v>
      </c>
    </row>
    <row r="882" spans="1:4" ht="14.25">
      <c r="A882" s="230">
        <v>160807</v>
      </c>
      <c r="B882" s="230" t="s">
        <v>724</v>
      </c>
      <c r="C882" s="228" t="s">
        <v>36</v>
      </c>
      <c r="D882" s="229">
        <v>9.76</v>
      </c>
    </row>
    <row r="883" spans="1:4" ht="42.75">
      <c r="A883" s="230">
        <v>160808</v>
      </c>
      <c r="B883" s="230" t="s">
        <v>2305</v>
      </c>
      <c r="C883" s="228" t="s">
        <v>54</v>
      </c>
      <c r="D883" s="229">
        <v>3.73</v>
      </c>
    </row>
    <row r="884" spans="1:4" ht="15">
      <c r="A884" s="227">
        <v>17</v>
      </c>
      <c r="B884" s="227" t="s">
        <v>2306</v>
      </c>
      <c r="C884" s="228"/>
      <c r="D884" s="229"/>
    </row>
    <row r="885" spans="1:4" ht="15">
      <c r="A885" s="227">
        <v>1701</v>
      </c>
      <c r="B885" s="227" t="s">
        <v>2307</v>
      </c>
      <c r="C885" s="228"/>
      <c r="D885" s="229"/>
    </row>
    <row r="886" spans="1:4" ht="71.25">
      <c r="A886" s="230">
        <v>170101</v>
      </c>
      <c r="B886" s="230" t="s">
        <v>725</v>
      </c>
      <c r="C886" s="228" t="s">
        <v>36</v>
      </c>
      <c r="D886" s="229">
        <v>574.79999999999995</v>
      </c>
    </row>
    <row r="887" spans="1:4" ht="57">
      <c r="A887" s="230">
        <v>170107</v>
      </c>
      <c r="B887" s="230" t="s">
        <v>726</v>
      </c>
      <c r="C887" s="228" t="s">
        <v>36</v>
      </c>
      <c r="D887" s="229">
        <v>588.89</v>
      </c>
    </row>
    <row r="888" spans="1:4" ht="42.75">
      <c r="A888" s="230">
        <v>170110</v>
      </c>
      <c r="B888" s="230" t="s">
        <v>727</v>
      </c>
      <c r="C888" s="228" t="s">
        <v>36</v>
      </c>
      <c r="D888" s="229">
        <v>70.25</v>
      </c>
    </row>
    <row r="889" spans="1:4" ht="57">
      <c r="A889" s="230">
        <v>170114</v>
      </c>
      <c r="B889" s="230" t="s">
        <v>728</v>
      </c>
      <c r="C889" s="228" t="s">
        <v>36</v>
      </c>
      <c r="D889" s="229">
        <v>696.14</v>
      </c>
    </row>
    <row r="890" spans="1:4" ht="71.25">
      <c r="A890" s="230">
        <v>170115</v>
      </c>
      <c r="B890" s="230" t="s">
        <v>729</v>
      </c>
      <c r="C890" s="228" t="s">
        <v>36</v>
      </c>
      <c r="D890" s="229">
        <v>338.08</v>
      </c>
    </row>
    <row r="891" spans="1:4" ht="71.25">
      <c r="A891" s="230">
        <v>170116</v>
      </c>
      <c r="B891" s="230" t="s">
        <v>730</v>
      </c>
      <c r="C891" s="228" t="s">
        <v>36</v>
      </c>
      <c r="D891" s="229">
        <v>407.69</v>
      </c>
    </row>
    <row r="892" spans="1:4" ht="71.25">
      <c r="A892" s="230">
        <v>170117</v>
      </c>
      <c r="B892" s="230" t="s">
        <v>731</v>
      </c>
      <c r="C892" s="228" t="s">
        <v>36</v>
      </c>
      <c r="D892" s="229">
        <v>251.53</v>
      </c>
    </row>
    <row r="893" spans="1:4" ht="42.75">
      <c r="A893" s="230">
        <v>170119</v>
      </c>
      <c r="B893" s="230" t="s">
        <v>732</v>
      </c>
      <c r="C893" s="228" t="s">
        <v>36</v>
      </c>
      <c r="D893" s="229">
        <v>58.24</v>
      </c>
    </row>
    <row r="894" spans="1:4" ht="71.25">
      <c r="A894" s="230">
        <v>170120</v>
      </c>
      <c r="B894" s="230" t="s">
        <v>733</v>
      </c>
      <c r="C894" s="228" t="s">
        <v>36</v>
      </c>
      <c r="D894" s="229">
        <v>331.73</v>
      </c>
    </row>
    <row r="895" spans="1:4" ht="85.5">
      <c r="A895" s="230">
        <v>170121</v>
      </c>
      <c r="B895" s="230" t="s">
        <v>734</v>
      </c>
      <c r="C895" s="228" t="s">
        <v>36</v>
      </c>
      <c r="D895" s="229">
        <v>218.57</v>
      </c>
    </row>
    <row r="896" spans="1:4" ht="57">
      <c r="A896" s="230">
        <v>170122</v>
      </c>
      <c r="B896" s="230" t="s">
        <v>735</v>
      </c>
      <c r="C896" s="228" t="s">
        <v>36</v>
      </c>
      <c r="D896" s="229">
        <v>359.26</v>
      </c>
    </row>
    <row r="897" spans="1:4" ht="57">
      <c r="A897" s="230">
        <v>170123</v>
      </c>
      <c r="B897" s="230" t="s">
        <v>736</v>
      </c>
      <c r="C897" s="228" t="s">
        <v>36</v>
      </c>
      <c r="D897" s="229">
        <v>139.87</v>
      </c>
    </row>
    <row r="898" spans="1:4" ht="57">
      <c r="A898" s="230">
        <v>170124</v>
      </c>
      <c r="B898" s="230" t="s">
        <v>737</v>
      </c>
      <c r="C898" s="228" t="s">
        <v>36</v>
      </c>
      <c r="D898" s="229">
        <v>539.88</v>
      </c>
    </row>
    <row r="899" spans="1:4" ht="114">
      <c r="A899" s="230">
        <v>170126</v>
      </c>
      <c r="B899" s="230" t="s">
        <v>738</v>
      </c>
      <c r="C899" s="228" t="s">
        <v>36</v>
      </c>
      <c r="D899" s="231">
        <v>2126.41</v>
      </c>
    </row>
    <row r="900" spans="1:4" ht="99.75">
      <c r="A900" s="230">
        <v>170128</v>
      </c>
      <c r="B900" s="230" t="s">
        <v>739</v>
      </c>
      <c r="C900" s="228" t="s">
        <v>36</v>
      </c>
      <c r="D900" s="229">
        <v>940.54</v>
      </c>
    </row>
    <row r="901" spans="1:4" ht="42.75">
      <c r="A901" s="230">
        <v>170129</v>
      </c>
      <c r="B901" s="230" t="s">
        <v>740</v>
      </c>
      <c r="C901" s="228" t="s">
        <v>36</v>
      </c>
      <c r="D901" s="229">
        <v>559.05999999999995</v>
      </c>
    </row>
    <row r="902" spans="1:4" ht="57">
      <c r="A902" s="230">
        <v>170130</v>
      </c>
      <c r="B902" s="230" t="s">
        <v>741</v>
      </c>
      <c r="C902" s="228" t="s">
        <v>36</v>
      </c>
      <c r="D902" s="229">
        <v>668.06</v>
      </c>
    </row>
    <row r="903" spans="1:4" ht="71.25">
      <c r="A903" s="230">
        <v>170131</v>
      </c>
      <c r="B903" s="230" t="s">
        <v>742</v>
      </c>
      <c r="C903" s="228" t="s">
        <v>36</v>
      </c>
      <c r="D903" s="229">
        <v>940.58</v>
      </c>
    </row>
    <row r="904" spans="1:4" ht="71.25">
      <c r="A904" s="230">
        <v>170132</v>
      </c>
      <c r="B904" s="230" t="s">
        <v>743</v>
      </c>
      <c r="C904" s="228" t="s">
        <v>36</v>
      </c>
      <c r="D904" s="231">
        <v>1646.85</v>
      </c>
    </row>
    <row r="905" spans="1:4" ht="57">
      <c r="A905" s="230">
        <v>170133</v>
      </c>
      <c r="B905" s="230" t="s">
        <v>744</v>
      </c>
      <c r="C905" s="228" t="s">
        <v>36</v>
      </c>
      <c r="D905" s="229">
        <v>347.14</v>
      </c>
    </row>
    <row r="906" spans="1:4" ht="71.25">
      <c r="A906" s="230">
        <v>170134</v>
      </c>
      <c r="B906" s="230" t="s">
        <v>745</v>
      </c>
      <c r="C906" s="228" t="s">
        <v>36</v>
      </c>
      <c r="D906" s="229">
        <v>551.95000000000005</v>
      </c>
    </row>
    <row r="907" spans="1:4" ht="99.75">
      <c r="A907" s="230">
        <v>170135</v>
      </c>
      <c r="B907" s="230" t="s">
        <v>746</v>
      </c>
      <c r="C907" s="228" t="s">
        <v>36</v>
      </c>
      <c r="D907" s="231">
        <v>2196.1</v>
      </c>
    </row>
    <row r="908" spans="1:4" ht="85.5">
      <c r="A908" s="230">
        <v>170136</v>
      </c>
      <c r="B908" s="230" t="s">
        <v>747</v>
      </c>
      <c r="C908" s="228" t="s">
        <v>36</v>
      </c>
      <c r="D908" s="229">
        <v>958.83</v>
      </c>
    </row>
    <row r="909" spans="1:4" ht="15">
      <c r="A909" s="227">
        <v>1702</v>
      </c>
      <c r="B909" s="227" t="s">
        <v>2308</v>
      </c>
      <c r="C909" s="228"/>
      <c r="D909" s="229"/>
    </row>
    <row r="910" spans="1:4" ht="14.25">
      <c r="A910" s="230">
        <v>170205</v>
      </c>
      <c r="B910" s="230" t="s">
        <v>748</v>
      </c>
      <c r="C910" s="228" t="s">
        <v>28758</v>
      </c>
      <c r="D910" s="229">
        <v>448.59</v>
      </c>
    </row>
    <row r="911" spans="1:4" ht="28.5">
      <c r="A911" s="230">
        <v>170220</v>
      </c>
      <c r="B911" s="230" t="s">
        <v>749</v>
      </c>
      <c r="C911" s="228" t="s">
        <v>28758</v>
      </c>
      <c r="D911" s="229">
        <v>364.71</v>
      </c>
    </row>
    <row r="912" spans="1:4" ht="42.75">
      <c r="A912" s="230">
        <v>170221</v>
      </c>
      <c r="B912" s="230" t="s">
        <v>750</v>
      </c>
      <c r="C912" s="228" t="s">
        <v>28758</v>
      </c>
      <c r="D912" s="229">
        <v>23.61</v>
      </c>
    </row>
    <row r="913" spans="1:4" ht="99.75">
      <c r="A913" s="230">
        <v>170222</v>
      </c>
      <c r="B913" s="230" t="s">
        <v>751</v>
      </c>
      <c r="C913" s="228" t="s">
        <v>36</v>
      </c>
      <c r="D913" s="231">
        <v>1798.91</v>
      </c>
    </row>
    <row r="914" spans="1:4" ht="30">
      <c r="A914" s="227">
        <v>1703</v>
      </c>
      <c r="B914" s="227" t="s">
        <v>2309</v>
      </c>
      <c r="C914" s="228"/>
      <c r="D914" s="229"/>
    </row>
    <row r="915" spans="1:4" ht="42.75">
      <c r="A915" s="230">
        <v>170304</v>
      </c>
      <c r="B915" s="230" t="s">
        <v>752</v>
      </c>
      <c r="C915" s="228" t="s">
        <v>36</v>
      </c>
      <c r="D915" s="229">
        <v>190.89</v>
      </c>
    </row>
    <row r="916" spans="1:4" ht="42.75">
      <c r="A916" s="230">
        <v>170306</v>
      </c>
      <c r="B916" s="230" t="s">
        <v>753</v>
      </c>
      <c r="C916" s="228" t="s">
        <v>36</v>
      </c>
      <c r="D916" s="229">
        <v>131.72</v>
      </c>
    </row>
    <row r="917" spans="1:4" ht="42.75">
      <c r="A917" s="230">
        <v>170309</v>
      </c>
      <c r="B917" s="230" t="s">
        <v>754</v>
      </c>
      <c r="C917" s="228" t="s">
        <v>36</v>
      </c>
      <c r="D917" s="229">
        <v>103.8</v>
      </c>
    </row>
    <row r="918" spans="1:4" ht="42.75">
      <c r="A918" s="230">
        <v>170310</v>
      </c>
      <c r="B918" s="230" t="s">
        <v>755</v>
      </c>
      <c r="C918" s="228" t="s">
        <v>36</v>
      </c>
      <c r="D918" s="229">
        <v>152.61000000000001</v>
      </c>
    </row>
    <row r="919" spans="1:4" ht="42.75">
      <c r="A919" s="230">
        <v>170311</v>
      </c>
      <c r="B919" s="230" t="s">
        <v>756</v>
      </c>
      <c r="C919" s="228" t="s">
        <v>36</v>
      </c>
      <c r="D919" s="229">
        <v>57.04</v>
      </c>
    </row>
    <row r="920" spans="1:4" ht="42.75">
      <c r="A920" s="230">
        <v>170313</v>
      </c>
      <c r="B920" s="230" t="s">
        <v>757</v>
      </c>
      <c r="C920" s="228" t="s">
        <v>36</v>
      </c>
      <c r="D920" s="229">
        <v>131.72</v>
      </c>
    </row>
    <row r="921" spans="1:4" ht="42.75">
      <c r="A921" s="230">
        <v>170315</v>
      </c>
      <c r="B921" s="230" t="s">
        <v>758</v>
      </c>
      <c r="C921" s="228" t="s">
        <v>36</v>
      </c>
      <c r="D921" s="229">
        <v>200.22</v>
      </c>
    </row>
    <row r="922" spans="1:4" ht="57">
      <c r="A922" s="230">
        <v>170316</v>
      </c>
      <c r="B922" s="230" t="s">
        <v>759</v>
      </c>
      <c r="C922" s="228" t="s">
        <v>36</v>
      </c>
      <c r="D922" s="229">
        <v>112.14</v>
      </c>
    </row>
    <row r="923" spans="1:4" ht="57">
      <c r="A923" s="230">
        <v>170317</v>
      </c>
      <c r="B923" s="230" t="s">
        <v>760</v>
      </c>
      <c r="C923" s="228" t="s">
        <v>36</v>
      </c>
      <c r="D923" s="229">
        <v>116.3</v>
      </c>
    </row>
    <row r="924" spans="1:4" ht="28.5">
      <c r="A924" s="230">
        <v>170318</v>
      </c>
      <c r="B924" s="230" t="s">
        <v>761</v>
      </c>
      <c r="C924" s="228" t="s">
        <v>36</v>
      </c>
      <c r="D924" s="229">
        <v>70.400000000000006</v>
      </c>
    </row>
    <row r="925" spans="1:4" ht="28.5">
      <c r="A925" s="230">
        <v>170319</v>
      </c>
      <c r="B925" s="230" t="s">
        <v>762</v>
      </c>
      <c r="C925" s="228" t="s">
        <v>36</v>
      </c>
      <c r="D925" s="229">
        <v>51.45</v>
      </c>
    </row>
    <row r="926" spans="1:4" ht="28.5">
      <c r="A926" s="230">
        <v>170320</v>
      </c>
      <c r="B926" s="230" t="s">
        <v>763</v>
      </c>
      <c r="C926" s="228" t="s">
        <v>36</v>
      </c>
      <c r="D926" s="229">
        <v>59.81</v>
      </c>
    </row>
    <row r="927" spans="1:4" ht="28.5">
      <c r="A927" s="230">
        <v>170321</v>
      </c>
      <c r="B927" s="230" t="s">
        <v>764</v>
      </c>
      <c r="C927" s="228" t="s">
        <v>36</v>
      </c>
      <c r="D927" s="229">
        <v>76</v>
      </c>
    </row>
    <row r="928" spans="1:4" ht="28.5">
      <c r="A928" s="230">
        <v>170322</v>
      </c>
      <c r="B928" s="230" t="s">
        <v>765</v>
      </c>
      <c r="C928" s="228" t="s">
        <v>36</v>
      </c>
      <c r="D928" s="229">
        <v>97.62</v>
      </c>
    </row>
    <row r="929" spans="1:4" ht="28.5">
      <c r="A929" s="230">
        <v>170323</v>
      </c>
      <c r="B929" s="230" t="s">
        <v>766</v>
      </c>
      <c r="C929" s="228" t="s">
        <v>36</v>
      </c>
      <c r="D929" s="229">
        <v>119.16</v>
      </c>
    </row>
    <row r="930" spans="1:4" ht="28.5">
      <c r="A930" s="230">
        <v>170324</v>
      </c>
      <c r="B930" s="230" t="s">
        <v>767</v>
      </c>
      <c r="C930" s="228" t="s">
        <v>36</v>
      </c>
      <c r="D930" s="229">
        <v>184.18</v>
      </c>
    </row>
    <row r="931" spans="1:4" ht="28.5">
      <c r="A931" s="230">
        <v>170325</v>
      </c>
      <c r="B931" s="230" t="s">
        <v>768</v>
      </c>
      <c r="C931" s="228" t="s">
        <v>36</v>
      </c>
      <c r="D931" s="229">
        <v>406.81</v>
      </c>
    </row>
    <row r="932" spans="1:4" ht="28.5">
      <c r="A932" s="230">
        <v>170326</v>
      </c>
      <c r="B932" s="230" t="s">
        <v>769</v>
      </c>
      <c r="C932" s="228" t="s">
        <v>36</v>
      </c>
      <c r="D932" s="229">
        <v>496.44</v>
      </c>
    </row>
    <row r="933" spans="1:4" ht="57">
      <c r="A933" s="230">
        <v>170327</v>
      </c>
      <c r="B933" s="230" t="s">
        <v>770</v>
      </c>
      <c r="C933" s="228" t="s">
        <v>36</v>
      </c>
      <c r="D933" s="229">
        <v>123.97</v>
      </c>
    </row>
    <row r="934" spans="1:4" ht="57">
      <c r="A934" s="230">
        <v>170328</v>
      </c>
      <c r="B934" s="230" t="s">
        <v>771</v>
      </c>
      <c r="C934" s="228" t="s">
        <v>36</v>
      </c>
      <c r="D934" s="229">
        <v>124.84</v>
      </c>
    </row>
    <row r="935" spans="1:4" ht="57">
      <c r="A935" s="230">
        <v>170329</v>
      </c>
      <c r="B935" s="230" t="s">
        <v>772</v>
      </c>
      <c r="C935" s="228" t="s">
        <v>36</v>
      </c>
      <c r="D935" s="229">
        <v>166.26</v>
      </c>
    </row>
    <row r="936" spans="1:4" ht="57">
      <c r="A936" s="230">
        <v>170330</v>
      </c>
      <c r="B936" s="230" t="s">
        <v>773</v>
      </c>
      <c r="C936" s="228" t="s">
        <v>36</v>
      </c>
      <c r="D936" s="229">
        <v>225.28</v>
      </c>
    </row>
    <row r="937" spans="1:4" ht="57">
      <c r="A937" s="230">
        <v>170331</v>
      </c>
      <c r="B937" s="230" t="s">
        <v>774</v>
      </c>
      <c r="C937" s="228" t="s">
        <v>36</v>
      </c>
      <c r="D937" s="229">
        <v>237.21</v>
      </c>
    </row>
    <row r="938" spans="1:4" ht="28.5">
      <c r="A938" s="230">
        <v>170332</v>
      </c>
      <c r="B938" s="230" t="s">
        <v>775</v>
      </c>
      <c r="C938" s="228" t="s">
        <v>36</v>
      </c>
      <c r="D938" s="229">
        <v>83.09</v>
      </c>
    </row>
    <row r="939" spans="1:4" ht="28.5">
      <c r="A939" s="230">
        <v>170333</v>
      </c>
      <c r="B939" s="230" t="s">
        <v>776</v>
      </c>
      <c r="C939" s="228" t="s">
        <v>36</v>
      </c>
      <c r="D939" s="229">
        <v>97.24</v>
      </c>
    </row>
    <row r="940" spans="1:4" ht="28.5">
      <c r="A940" s="230">
        <v>170334</v>
      </c>
      <c r="B940" s="230" t="s">
        <v>777</v>
      </c>
      <c r="C940" s="228" t="s">
        <v>36</v>
      </c>
      <c r="D940" s="229">
        <v>110.64</v>
      </c>
    </row>
    <row r="941" spans="1:4" ht="28.5">
      <c r="A941" s="230">
        <v>170335</v>
      </c>
      <c r="B941" s="230" t="s">
        <v>778</v>
      </c>
      <c r="C941" s="228" t="s">
        <v>36</v>
      </c>
      <c r="D941" s="229">
        <v>154.99</v>
      </c>
    </row>
    <row r="942" spans="1:4" ht="28.5">
      <c r="A942" s="230">
        <v>170336</v>
      </c>
      <c r="B942" s="230" t="s">
        <v>779</v>
      </c>
      <c r="C942" s="228" t="s">
        <v>36</v>
      </c>
      <c r="D942" s="229">
        <v>174.35</v>
      </c>
    </row>
    <row r="943" spans="1:4" ht="28.5">
      <c r="A943" s="230">
        <v>170337</v>
      </c>
      <c r="B943" s="230" t="s">
        <v>780</v>
      </c>
      <c r="C943" s="228" t="s">
        <v>36</v>
      </c>
      <c r="D943" s="229">
        <v>280.10000000000002</v>
      </c>
    </row>
    <row r="944" spans="1:4" ht="28.5">
      <c r="A944" s="230">
        <v>170338</v>
      </c>
      <c r="B944" s="230" t="s">
        <v>781</v>
      </c>
      <c r="C944" s="228" t="s">
        <v>36</v>
      </c>
      <c r="D944" s="229">
        <v>471.17</v>
      </c>
    </row>
    <row r="945" spans="1:4" ht="28.5">
      <c r="A945" s="230">
        <v>170339</v>
      </c>
      <c r="B945" s="230" t="s">
        <v>782</v>
      </c>
      <c r="C945" s="228" t="s">
        <v>36</v>
      </c>
      <c r="D945" s="229">
        <v>611.11</v>
      </c>
    </row>
    <row r="946" spans="1:4" ht="57">
      <c r="A946" s="230">
        <v>170345</v>
      </c>
      <c r="B946" s="230" t="s">
        <v>783</v>
      </c>
      <c r="C946" s="228" t="s">
        <v>36</v>
      </c>
      <c r="D946" s="229">
        <v>355.21</v>
      </c>
    </row>
    <row r="947" spans="1:4" ht="57">
      <c r="A947" s="230">
        <v>170346</v>
      </c>
      <c r="B947" s="230" t="s">
        <v>784</v>
      </c>
      <c r="C947" s="228" t="s">
        <v>36</v>
      </c>
      <c r="D947" s="229">
        <v>384.17</v>
      </c>
    </row>
    <row r="948" spans="1:4" ht="42.75">
      <c r="A948" s="230">
        <v>170347</v>
      </c>
      <c r="B948" s="230" t="s">
        <v>785</v>
      </c>
      <c r="C948" s="228" t="s">
        <v>36</v>
      </c>
      <c r="D948" s="229">
        <v>9.32</v>
      </c>
    </row>
    <row r="949" spans="1:4" ht="42.75">
      <c r="A949" s="230">
        <v>170348</v>
      </c>
      <c r="B949" s="230" t="s">
        <v>786</v>
      </c>
      <c r="C949" s="228" t="s">
        <v>36</v>
      </c>
      <c r="D949" s="229">
        <v>10.98</v>
      </c>
    </row>
    <row r="950" spans="1:4" ht="42.75">
      <c r="A950" s="230">
        <v>170349</v>
      </c>
      <c r="B950" s="230" t="s">
        <v>787</v>
      </c>
      <c r="C950" s="228" t="s">
        <v>36</v>
      </c>
      <c r="D950" s="229">
        <v>96.03</v>
      </c>
    </row>
    <row r="951" spans="1:4" ht="28.5">
      <c r="A951" s="230">
        <v>170350</v>
      </c>
      <c r="B951" s="230" t="s">
        <v>788</v>
      </c>
      <c r="C951" s="228" t="s">
        <v>36</v>
      </c>
      <c r="D951" s="229">
        <v>24.85</v>
      </c>
    </row>
    <row r="952" spans="1:4" ht="57">
      <c r="A952" s="230">
        <v>170351</v>
      </c>
      <c r="B952" s="230" t="s">
        <v>789</v>
      </c>
      <c r="C952" s="228" t="s">
        <v>36</v>
      </c>
      <c r="D952" s="229">
        <v>320.98</v>
      </c>
    </row>
    <row r="953" spans="1:4" ht="57">
      <c r="A953" s="230">
        <v>170352</v>
      </c>
      <c r="B953" s="230" t="s">
        <v>790</v>
      </c>
      <c r="C953" s="228" t="s">
        <v>36</v>
      </c>
      <c r="D953" s="229">
        <v>551.70000000000005</v>
      </c>
    </row>
    <row r="954" spans="1:4" ht="42.75">
      <c r="A954" s="230">
        <v>170353</v>
      </c>
      <c r="B954" s="230" t="s">
        <v>791</v>
      </c>
      <c r="C954" s="228" t="s">
        <v>36</v>
      </c>
      <c r="D954" s="229">
        <v>856.92</v>
      </c>
    </row>
    <row r="955" spans="1:4" ht="42.75">
      <c r="A955" s="230">
        <v>170354</v>
      </c>
      <c r="B955" s="230" t="s">
        <v>792</v>
      </c>
      <c r="C955" s="228" t="s">
        <v>36</v>
      </c>
      <c r="D955" s="229">
        <v>811.94</v>
      </c>
    </row>
    <row r="956" spans="1:4" ht="42.75">
      <c r="A956" s="230">
        <v>170357</v>
      </c>
      <c r="B956" s="230" t="s">
        <v>793</v>
      </c>
      <c r="C956" s="228" t="s">
        <v>36</v>
      </c>
      <c r="D956" s="229">
        <v>883.99</v>
      </c>
    </row>
    <row r="957" spans="1:4" ht="15">
      <c r="A957" s="227">
        <v>1705</v>
      </c>
      <c r="B957" s="227" t="s">
        <v>2310</v>
      </c>
      <c r="C957" s="228"/>
      <c r="D957" s="229"/>
    </row>
    <row r="958" spans="1:4" ht="42.75">
      <c r="A958" s="230">
        <v>170502</v>
      </c>
      <c r="B958" s="230" t="s">
        <v>794</v>
      </c>
      <c r="C958" s="228" t="s">
        <v>36</v>
      </c>
      <c r="D958" s="229">
        <v>170.7</v>
      </c>
    </row>
    <row r="959" spans="1:4" ht="57">
      <c r="A959" s="230">
        <v>170506</v>
      </c>
      <c r="B959" s="230" t="s">
        <v>795</v>
      </c>
      <c r="C959" s="228" t="s">
        <v>36</v>
      </c>
      <c r="D959" s="229">
        <v>614.11</v>
      </c>
    </row>
    <row r="960" spans="1:4" ht="99.75">
      <c r="A960" s="230">
        <v>170507</v>
      </c>
      <c r="B960" s="230" t="s">
        <v>796</v>
      </c>
      <c r="C960" s="228" t="s">
        <v>54</v>
      </c>
      <c r="D960" s="231">
        <v>1442.45</v>
      </c>
    </row>
    <row r="961" spans="1:4" ht="114">
      <c r="A961" s="230">
        <v>170508</v>
      </c>
      <c r="B961" s="230" t="s">
        <v>797</v>
      </c>
      <c r="C961" s="228" t="s">
        <v>54</v>
      </c>
      <c r="D961" s="231">
        <v>1442.45</v>
      </c>
    </row>
    <row r="962" spans="1:4" ht="57">
      <c r="A962" s="230">
        <v>170509</v>
      </c>
      <c r="B962" s="230" t="s">
        <v>798</v>
      </c>
      <c r="C962" s="228" t="s">
        <v>36</v>
      </c>
      <c r="D962" s="231">
        <v>2149.96</v>
      </c>
    </row>
    <row r="963" spans="1:4" ht="85.5">
      <c r="A963" s="230">
        <v>170510</v>
      </c>
      <c r="B963" s="230" t="s">
        <v>799</v>
      </c>
      <c r="C963" s="228" t="s">
        <v>36</v>
      </c>
      <c r="D963" s="231">
        <v>4926.97</v>
      </c>
    </row>
    <row r="964" spans="1:4" ht="71.25">
      <c r="A964" s="230">
        <v>170511</v>
      </c>
      <c r="B964" s="230" t="s">
        <v>800</v>
      </c>
      <c r="C964" s="228" t="s">
        <v>36</v>
      </c>
      <c r="D964" s="231">
        <v>2190.4299999999998</v>
      </c>
    </row>
    <row r="965" spans="1:4" ht="85.5">
      <c r="A965" s="230">
        <v>170512</v>
      </c>
      <c r="B965" s="230" t="s">
        <v>801</v>
      </c>
      <c r="C965" s="228" t="s">
        <v>36</v>
      </c>
      <c r="D965" s="229">
        <v>582.32000000000005</v>
      </c>
    </row>
    <row r="966" spans="1:4" ht="85.5">
      <c r="A966" s="230">
        <v>170514</v>
      </c>
      <c r="B966" s="230" t="s">
        <v>802</v>
      </c>
      <c r="C966" s="228" t="s">
        <v>36</v>
      </c>
      <c r="D966" s="231">
        <v>1637.64</v>
      </c>
    </row>
    <row r="967" spans="1:4" ht="85.5">
      <c r="A967" s="230">
        <v>170515</v>
      </c>
      <c r="B967" s="230" t="s">
        <v>803</v>
      </c>
      <c r="C967" s="228" t="s">
        <v>36</v>
      </c>
      <c r="D967" s="231">
        <v>1956.54</v>
      </c>
    </row>
    <row r="968" spans="1:4" ht="71.25">
      <c r="A968" s="230">
        <v>170516</v>
      </c>
      <c r="B968" s="230" t="s">
        <v>804</v>
      </c>
      <c r="C968" s="228" t="s">
        <v>36</v>
      </c>
      <c r="D968" s="231">
        <v>3113.31</v>
      </c>
    </row>
    <row r="969" spans="1:4" ht="57">
      <c r="A969" s="230">
        <v>170519</v>
      </c>
      <c r="B969" s="230" t="s">
        <v>805</v>
      </c>
      <c r="C969" s="228" t="s">
        <v>36</v>
      </c>
      <c r="D969" s="229">
        <v>295.45999999999998</v>
      </c>
    </row>
    <row r="970" spans="1:4" ht="57">
      <c r="A970" s="230">
        <v>170524</v>
      </c>
      <c r="B970" s="230" t="s">
        <v>806</v>
      </c>
      <c r="C970" s="228" t="s">
        <v>36</v>
      </c>
      <c r="D970" s="229">
        <v>71.900000000000006</v>
      </c>
    </row>
    <row r="971" spans="1:4" ht="57">
      <c r="A971" s="230">
        <v>170528</v>
      </c>
      <c r="B971" s="230" t="s">
        <v>807</v>
      </c>
      <c r="C971" s="228" t="s">
        <v>36</v>
      </c>
      <c r="D971" s="231">
        <v>4113.49</v>
      </c>
    </row>
    <row r="972" spans="1:4" ht="85.5">
      <c r="A972" s="230">
        <v>170530</v>
      </c>
      <c r="B972" s="230" t="s">
        <v>808</v>
      </c>
      <c r="C972" s="228" t="s">
        <v>36</v>
      </c>
      <c r="D972" s="229">
        <v>486.34</v>
      </c>
    </row>
    <row r="973" spans="1:4" ht="57">
      <c r="A973" s="230">
        <v>170533</v>
      </c>
      <c r="B973" s="230" t="s">
        <v>809</v>
      </c>
      <c r="C973" s="228" t="s">
        <v>36</v>
      </c>
      <c r="D973" s="231">
        <v>1692.02</v>
      </c>
    </row>
    <row r="974" spans="1:4" ht="57">
      <c r="A974" s="230">
        <v>170534</v>
      </c>
      <c r="B974" s="230" t="s">
        <v>810</v>
      </c>
      <c r="C974" s="228" t="s">
        <v>36</v>
      </c>
      <c r="D974" s="231">
        <v>2909.38</v>
      </c>
    </row>
    <row r="975" spans="1:4" ht="57">
      <c r="A975" s="230">
        <v>170535</v>
      </c>
      <c r="B975" s="230" t="s">
        <v>811</v>
      </c>
      <c r="C975" s="228" t="s">
        <v>36</v>
      </c>
      <c r="D975" s="231">
        <v>1894.47</v>
      </c>
    </row>
    <row r="976" spans="1:4" ht="57">
      <c r="A976" s="230">
        <v>170536</v>
      </c>
      <c r="B976" s="230" t="s">
        <v>812</v>
      </c>
      <c r="C976" s="228" t="s">
        <v>36</v>
      </c>
      <c r="D976" s="231">
        <v>2515.23</v>
      </c>
    </row>
    <row r="977" spans="1:4" ht="42.75">
      <c r="A977" s="230">
        <v>170537</v>
      </c>
      <c r="B977" s="230" t="s">
        <v>813</v>
      </c>
      <c r="C977" s="228" t="s">
        <v>36</v>
      </c>
      <c r="D977" s="229">
        <v>36.15</v>
      </c>
    </row>
    <row r="978" spans="1:4" ht="28.5">
      <c r="A978" s="230">
        <v>170538</v>
      </c>
      <c r="B978" s="230" t="s">
        <v>814</v>
      </c>
      <c r="C978" s="228" t="s">
        <v>36</v>
      </c>
      <c r="D978" s="229">
        <v>32.85</v>
      </c>
    </row>
    <row r="979" spans="1:4" ht="57">
      <c r="A979" s="230">
        <v>170539</v>
      </c>
      <c r="B979" s="230" t="s">
        <v>815</v>
      </c>
      <c r="C979" s="228" t="s">
        <v>36</v>
      </c>
      <c r="D979" s="229">
        <v>712</v>
      </c>
    </row>
    <row r="980" spans="1:4" ht="57">
      <c r="A980" s="230">
        <v>170540</v>
      </c>
      <c r="B980" s="230" t="s">
        <v>816</v>
      </c>
      <c r="C980" s="228" t="s">
        <v>36</v>
      </c>
      <c r="D980" s="229">
        <v>888.87</v>
      </c>
    </row>
    <row r="981" spans="1:4" ht="42.75">
      <c r="A981" s="230">
        <v>170541</v>
      </c>
      <c r="B981" s="230" t="s">
        <v>817</v>
      </c>
      <c r="C981" s="228" t="s">
        <v>36</v>
      </c>
      <c r="D981" s="229">
        <v>164.12</v>
      </c>
    </row>
    <row r="982" spans="1:4" ht="114">
      <c r="A982" s="230">
        <v>170545</v>
      </c>
      <c r="B982" s="230" t="s">
        <v>818</v>
      </c>
      <c r="C982" s="228" t="s">
        <v>54</v>
      </c>
      <c r="D982" s="231">
        <v>1440.45</v>
      </c>
    </row>
    <row r="983" spans="1:4" ht="42.75">
      <c r="A983" s="230">
        <v>170546</v>
      </c>
      <c r="B983" s="230" t="s">
        <v>819</v>
      </c>
      <c r="C983" s="228" t="s">
        <v>36</v>
      </c>
      <c r="D983" s="229">
        <v>376.82</v>
      </c>
    </row>
    <row r="984" spans="1:4" ht="57">
      <c r="A984" s="230">
        <v>170547</v>
      </c>
      <c r="B984" s="230" t="s">
        <v>820</v>
      </c>
      <c r="C984" s="228" t="s">
        <v>36</v>
      </c>
      <c r="D984" s="229">
        <v>696</v>
      </c>
    </row>
    <row r="985" spans="1:4" ht="57">
      <c r="A985" s="230">
        <v>170548</v>
      </c>
      <c r="B985" s="230" t="s">
        <v>821</v>
      </c>
      <c r="C985" s="228" t="s">
        <v>36</v>
      </c>
      <c r="D985" s="231">
        <v>1562.2</v>
      </c>
    </row>
    <row r="986" spans="1:4" ht="57">
      <c r="A986" s="230">
        <v>170549</v>
      </c>
      <c r="B986" s="230" t="s">
        <v>822</v>
      </c>
      <c r="C986" s="228" t="s">
        <v>36</v>
      </c>
      <c r="D986" s="231">
        <v>2583.09</v>
      </c>
    </row>
    <row r="987" spans="1:4" ht="57">
      <c r="A987" s="230">
        <v>170550</v>
      </c>
      <c r="B987" s="230" t="s">
        <v>823</v>
      </c>
      <c r="C987" s="228" t="s">
        <v>36</v>
      </c>
      <c r="D987" s="231">
        <v>1711.34</v>
      </c>
    </row>
    <row r="988" spans="1:4" ht="42.75">
      <c r="A988" s="230">
        <v>170555</v>
      </c>
      <c r="B988" s="230" t="s">
        <v>824</v>
      </c>
      <c r="C988" s="228" t="s">
        <v>36</v>
      </c>
      <c r="D988" s="229">
        <v>242.62</v>
      </c>
    </row>
    <row r="989" spans="1:4" ht="99.75">
      <c r="A989" s="230">
        <v>170557</v>
      </c>
      <c r="B989" s="230" t="s">
        <v>825</v>
      </c>
      <c r="C989" s="228" t="s">
        <v>54</v>
      </c>
      <c r="D989" s="231">
        <v>1776.54</v>
      </c>
    </row>
    <row r="990" spans="1:4" ht="57">
      <c r="A990" s="230">
        <v>170561</v>
      </c>
      <c r="B990" s="230" t="s">
        <v>826</v>
      </c>
      <c r="C990" s="228" t="s">
        <v>36</v>
      </c>
      <c r="D990" s="231">
        <v>12441.42</v>
      </c>
    </row>
    <row r="991" spans="1:4" ht="57">
      <c r="A991" s="230">
        <v>170562</v>
      </c>
      <c r="B991" s="230" t="s">
        <v>827</v>
      </c>
      <c r="C991" s="228" t="s">
        <v>36</v>
      </c>
      <c r="D991" s="231">
        <v>3585.02</v>
      </c>
    </row>
    <row r="992" spans="1:4" ht="15">
      <c r="A992" s="227">
        <v>18</v>
      </c>
      <c r="B992" s="227" t="s">
        <v>1593</v>
      </c>
      <c r="C992" s="228"/>
      <c r="D992" s="229"/>
    </row>
    <row r="993" spans="1:4" ht="15">
      <c r="A993" s="227">
        <v>1801</v>
      </c>
      <c r="B993" s="227" t="s">
        <v>2311</v>
      </c>
      <c r="C993" s="228"/>
      <c r="D993" s="229"/>
    </row>
    <row r="994" spans="1:4" ht="85.5">
      <c r="A994" s="230">
        <v>180101</v>
      </c>
      <c r="B994" s="230" t="s">
        <v>828</v>
      </c>
      <c r="C994" s="228" t="s">
        <v>36</v>
      </c>
      <c r="D994" s="229">
        <v>158.5</v>
      </c>
    </row>
    <row r="995" spans="1:4" ht="85.5">
      <c r="A995" s="230">
        <v>180102</v>
      </c>
      <c r="B995" s="230" t="s">
        <v>829</v>
      </c>
      <c r="C995" s="228" t="s">
        <v>36</v>
      </c>
      <c r="D995" s="229">
        <v>180.46</v>
      </c>
    </row>
    <row r="996" spans="1:4" ht="57">
      <c r="A996" s="230">
        <v>180107</v>
      </c>
      <c r="B996" s="230" t="s">
        <v>830</v>
      </c>
      <c r="C996" s="228" t="s">
        <v>36</v>
      </c>
      <c r="D996" s="229">
        <v>600.65</v>
      </c>
    </row>
    <row r="997" spans="1:4" ht="85.5">
      <c r="A997" s="230">
        <v>180108</v>
      </c>
      <c r="B997" s="230" t="s">
        <v>831</v>
      </c>
      <c r="C997" s="228" t="s">
        <v>36</v>
      </c>
      <c r="D997" s="229">
        <v>118.67</v>
      </c>
    </row>
    <row r="998" spans="1:4" ht="85.5">
      <c r="A998" s="230">
        <v>180109</v>
      </c>
      <c r="B998" s="230" t="s">
        <v>832</v>
      </c>
      <c r="C998" s="228" t="s">
        <v>36</v>
      </c>
      <c r="D998" s="229">
        <v>126.2</v>
      </c>
    </row>
    <row r="999" spans="1:4" ht="28.5">
      <c r="A999" s="230">
        <v>180110</v>
      </c>
      <c r="B999" s="230" t="s">
        <v>833</v>
      </c>
      <c r="C999" s="228" t="s">
        <v>36</v>
      </c>
      <c r="D999" s="229">
        <v>95.75</v>
      </c>
    </row>
    <row r="1000" spans="1:4" ht="28.5">
      <c r="A1000" s="230">
        <v>180115</v>
      </c>
      <c r="B1000" s="230" t="s">
        <v>834</v>
      </c>
      <c r="C1000" s="228" t="s">
        <v>36</v>
      </c>
      <c r="D1000" s="229">
        <v>70.069999999999993</v>
      </c>
    </row>
    <row r="1001" spans="1:4" ht="15">
      <c r="A1001" s="227">
        <v>1802</v>
      </c>
      <c r="B1001" s="227" t="s">
        <v>2312</v>
      </c>
      <c r="C1001" s="228"/>
      <c r="D1001" s="229"/>
    </row>
    <row r="1002" spans="1:4" ht="42.75">
      <c r="A1002" s="230">
        <v>180201</v>
      </c>
      <c r="B1002" s="230" t="s">
        <v>835</v>
      </c>
      <c r="C1002" s="228" t="s">
        <v>36</v>
      </c>
      <c r="D1002" s="229">
        <v>38.229999999999997</v>
      </c>
    </row>
    <row r="1003" spans="1:4" ht="42.75">
      <c r="A1003" s="230">
        <v>180202</v>
      </c>
      <c r="B1003" s="230" t="s">
        <v>836</v>
      </c>
      <c r="C1003" s="228" t="s">
        <v>36</v>
      </c>
      <c r="D1003" s="229">
        <v>44.93</v>
      </c>
    </row>
    <row r="1004" spans="1:4" ht="28.5">
      <c r="A1004" s="230">
        <v>180204</v>
      </c>
      <c r="B1004" s="230" t="s">
        <v>837</v>
      </c>
      <c r="C1004" s="228" t="s">
        <v>36</v>
      </c>
      <c r="D1004" s="229">
        <v>33.869999999999997</v>
      </c>
    </row>
    <row r="1005" spans="1:4" ht="28.5">
      <c r="A1005" s="230">
        <v>180205</v>
      </c>
      <c r="B1005" s="230" t="s">
        <v>838</v>
      </c>
      <c r="C1005" s="228" t="s">
        <v>36</v>
      </c>
      <c r="D1005" s="229">
        <v>57.76</v>
      </c>
    </row>
    <row r="1006" spans="1:4" ht="28.5">
      <c r="A1006" s="230">
        <v>180206</v>
      </c>
      <c r="B1006" s="230" t="s">
        <v>839</v>
      </c>
      <c r="C1006" s="228" t="s">
        <v>36</v>
      </c>
      <c r="D1006" s="229">
        <v>41.24</v>
      </c>
    </row>
    <row r="1007" spans="1:4" ht="71.25">
      <c r="A1007" s="230">
        <v>180207</v>
      </c>
      <c r="B1007" s="230" t="s">
        <v>840</v>
      </c>
      <c r="C1007" s="228" t="s">
        <v>36</v>
      </c>
      <c r="D1007" s="229">
        <v>62.12</v>
      </c>
    </row>
    <row r="1008" spans="1:4" ht="42.75">
      <c r="A1008" s="230">
        <v>180208</v>
      </c>
      <c r="B1008" s="230" t="s">
        <v>841</v>
      </c>
      <c r="C1008" s="228" t="s">
        <v>36</v>
      </c>
      <c r="D1008" s="229">
        <v>86.01</v>
      </c>
    </row>
    <row r="1009" spans="1:4" ht="28.5">
      <c r="A1009" s="230">
        <v>180209</v>
      </c>
      <c r="B1009" s="230" t="s">
        <v>842</v>
      </c>
      <c r="C1009" s="228" t="s">
        <v>36</v>
      </c>
      <c r="D1009" s="229">
        <v>33.03</v>
      </c>
    </row>
    <row r="1010" spans="1:4" ht="28.5">
      <c r="A1010" s="230">
        <v>180210</v>
      </c>
      <c r="B1010" s="230" t="s">
        <v>843</v>
      </c>
      <c r="C1010" s="228" t="s">
        <v>36</v>
      </c>
      <c r="D1010" s="229">
        <v>44.63</v>
      </c>
    </row>
    <row r="1011" spans="1:4" ht="42.75">
      <c r="A1011" s="230">
        <v>180211</v>
      </c>
      <c r="B1011" s="230" t="s">
        <v>844</v>
      </c>
      <c r="C1011" s="228" t="s">
        <v>36</v>
      </c>
      <c r="D1011" s="229">
        <v>142.97999999999999</v>
      </c>
    </row>
    <row r="1012" spans="1:4" ht="28.5">
      <c r="A1012" s="230">
        <v>180212</v>
      </c>
      <c r="B1012" s="230" t="s">
        <v>845</v>
      </c>
      <c r="C1012" s="228" t="s">
        <v>36</v>
      </c>
      <c r="D1012" s="229">
        <v>81.650000000000006</v>
      </c>
    </row>
    <row r="1013" spans="1:4" ht="28.5">
      <c r="A1013" s="230">
        <v>180217</v>
      </c>
      <c r="B1013" s="230" t="s">
        <v>846</v>
      </c>
      <c r="C1013" s="228" t="s">
        <v>36</v>
      </c>
      <c r="D1013" s="229">
        <v>8.2100000000000009</v>
      </c>
    </row>
    <row r="1014" spans="1:4" ht="28.5">
      <c r="A1014" s="230">
        <v>180218</v>
      </c>
      <c r="B1014" s="230" t="s">
        <v>847</v>
      </c>
      <c r="C1014" s="228" t="s">
        <v>36</v>
      </c>
      <c r="D1014" s="229">
        <v>20.010000000000002</v>
      </c>
    </row>
    <row r="1015" spans="1:4" ht="14.25">
      <c r="A1015" s="230">
        <v>180220</v>
      </c>
      <c r="B1015" s="230" t="s">
        <v>848</v>
      </c>
      <c r="C1015" s="228" t="s">
        <v>36</v>
      </c>
      <c r="D1015" s="229">
        <v>39.51</v>
      </c>
    </row>
    <row r="1016" spans="1:4" ht="15">
      <c r="A1016" s="227">
        <v>1803</v>
      </c>
      <c r="B1016" s="227" t="s">
        <v>2313</v>
      </c>
      <c r="C1016" s="228"/>
      <c r="D1016" s="229"/>
    </row>
    <row r="1017" spans="1:4" ht="28.5">
      <c r="A1017" s="230">
        <v>180301</v>
      </c>
      <c r="B1017" s="230" t="s">
        <v>2314</v>
      </c>
      <c r="C1017" s="228" t="s">
        <v>36</v>
      </c>
      <c r="D1017" s="231">
        <v>4028.78</v>
      </c>
    </row>
    <row r="1018" spans="1:4" ht="28.5">
      <c r="A1018" s="230">
        <v>180302</v>
      </c>
      <c r="B1018" s="230" t="s">
        <v>849</v>
      </c>
      <c r="C1018" s="228" t="s">
        <v>36</v>
      </c>
      <c r="D1018" s="229">
        <v>999.77</v>
      </c>
    </row>
    <row r="1019" spans="1:4" ht="28.5">
      <c r="A1019" s="230">
        <v>180303</v>
      </c>
      <c r="B1019" s="230" t="s">
        <v>850</v>
      </c>
      <c r="C1019" s="228" t="s">
        <v>36</v>
      </c>
      <c r="D1019" s="231">
        <v>1434.44</v>
      </c>
    </row>
    <row r="1020" spans="1:4" ht="14.25">
      <c r="A1020" s="230">
        <v>180304</v>
      </c>
      <c r="B1020" s="230" t="s">
        <v>851</v>
      </c>
      <c r="C1020" s="228" t="s">
        <v>36</v>
      </c>
      <c r="D1020" s="231">
        <v>1591.51</v>
      </c>
    </row>
    <row r="1021" spans="1:4" ht="28.5">
      <c r="A1021" s="230">
        <v>180305</v>
      </c>
      <c r="B1021" s="230" t="s">
        <v>852</v>
      </c>
      <c r="C1021" s="228" t="s">
        <v>36</v>
      </c>
      <c r="D1021" s="231">
        <v>1614.15</v>
      </c>
    </row>
    <row r="1022" spans="1:4" ht="15">
      <c r="A1022" s="227">
        <v>1804</v>
      </c>
      <c r="B1022" s="227" t="s">
        <v>1401</v>
      </c>
      <c r="C1022" s="228"/>
      <c r="D1022" s="229"/>
    </row>
    <row r="1023" spans="1:4" ht="99.75">
      <c r="A1023" s="230">
        <v>180405</v>
      </c>
      <c r="B1023" s="230" t="s">
        <v>853</v>
      </c>
      <c r="C1023" s="228" t="s">
        <v>36</v>
      </c>
      <c r="D1023" s="231">
        <v>3762.83</v>
      </c>
    </row>
    <row r="1024" spans="1:4" ht="85.5">
      <c r="A1024" s="230">
        <v>180408</v>
      </c>
      <c r="B1024" s="230" t="s">
        <v>854</v>
      </c>
      <c r="C1024" s="228" t="s">
        <v>36</v>
      </c>
      <c r="D1024" s="231">
        <v>4652.83</v>
      </c>
    </row>
    <row r="1025" spans="1:4" ht="15">
      <c r="A1025" s="227">
        <v>1807</v>
      </c>
      <c r="B1025" s="227" t="s">
        <v>2315</v>
      </c>
      <c r="C1025" s="228"/>
      <c r="D1025" s="229"/>
    </row>
    <row r="1026" spans="1:4" ht="71.25">
      <c r="A1026" s="230">
        <v>180702</v>
      </c>
      <c r="B1026" s="230" t="s">
        <v>855</v>
      </c>
      <c r="C1026" s="228" t="s">
        <v>36</v>
      </c>
      <c r="D1026" s="229">
        <v>284.02999999999997</v>
      </c>
    </row>
    <row r="1027" spans="1:4" ht="15">
      <c r="A1027" s="227">
        <v>1808</v>
      </c>
      <c r="B1027" s="227" t="s">
        <v>2310</v>
      </c>
      <c r="C1027" s="228"/>
      <c r="D1027" s="229"/>
    </row>
    <row r="1028" spans="1:4" ht="28.5">
      <c r="A1028" s="230">
        <v>180803</v>
      </c>
      <c r="B1028" s="230" t="s">
        <v>856</v>
      </c>
      <c r="C1028" s="228" t="s">
        <v>36</v>
      </c>
      <c r="D1028" s="229">
        <v>163.02000000000001</v>
      </c>
    </row>
    <row r="1029" spans="1:4" ht="28.5">
      <c r="A1029" s="230">
        <v>180804</v>
      </c>
      <c r="B1029" s="230" t="s">
        <v>857</v>
      </c>
      <c r="C1029" s="228" t="s">
        <v>36</v>
      </c>
      <c r="D1029" s="229">
        <v>928.79</v>
      </c>
    </row>
    <row r="1030" spans="1:4" ht="28.5">
      <c r="A1030" s="230">
        <v>180809</v>
      </c>
      <c r="B1030" s="230" t="s">
        <v>858</v>
      </c>
      <c r="C1030" s="228" t="s">
        <v>36</v>
      </c>
      <c r="D1030" s="229">
        <v>104.13</v>
      </c>
    </row>
    <row r="1031" spans="1:4" ht="15">
      <c r="A1031" s="227">
        <v>1810</v>
      </c>
      <c r="B1031" s="227" t="s">
        <v>26285</v>
      </c>
      <c r="C1031" s="228"/>
      <c r="D1031" s="229"/>
    </row>
    <row r="1032" spans="1:4" ht="99.75">
      <c r="A1032" s="230">
        <v>181001</v>
      </c>
      <c r="B1032" s="230" t="s">
        <v>26286</v>
      </c>
      <c r="C1032" s="228" t="s">
        <v>36</v>
      </c>
      <c r="D1032" s="229">
        <v>149.33000000000001</v>
      </c>
    </row>
    <row r="1033" spans="1:4" ht="114">
      <c r="A1033" s="230">
        <v>181002</v>
      </c>
      <c r="B1033" s="230" t="s">
        <v>26287</v>
      </c>
      <c r="C1033" s="228" t="s">
        <v>36</v>
      </c>
      <c r="D1033" s="229">
        <v>198.91</v>
      </c>
    </row>
    <row r="1034" spans="1:4" ht="99.75">
      <c r="A1034" s="230">
        <v>181003</v>
      </c>
      <c r="B1034" s="230" t="s">
        <v>26288</v>
      </c>
      <c r="C1034" s="228" t="s">
        <v>36</v>
      </c>
      <c r="D1034" s="229">
        <v>149.11000000000001</v>
      </c>
    </row>
    <row r="1035" spans="1:4" ht="114">
      <c r="A1035" s="230">
        <v>181004</v>
      </c>
      <c r="B1035" s="230" t="s">
        <v>26289</v>
      </c>
      <c r="C1035" s="228" t="s">
        <v>36</v>
      </c>
      <c r="D1035" s="229">
        <v>193.69</v>
      </c>
    </row>
    <row r="1036" spans="1:4" ht="114">
      <c r="A1036" s="230">
        <v>181005</v>
      </c>
      <c r="B1036" s="230" t="s">
        <v>26290</v>
      </c>
      <c r="C1036" s="228" t="s">
        <v>36</v>
      </c>
      <c r="D1036" s="229">
        <v>282.35000000000002</v>
      </c>
    </row>
    <row r="1037" spans="1:4" ht="99.75">
      <c r="A1037" s="230">
        <v>181007</v>
      </c>
      <c r="B1037" s="230" t="s">
        <v>26291</v>
      </c>
      <c r="C1037" s="228" t="s">
        <v>36</v>
      </c>
      <c r="D1037" s="229">
        <v>269.02</v>
      </c>
    </row>
    <row r="1038" spans="1:4" ht="15">
      <c r="A1038" s="227">
        <v>19</v>
      </c>
      <c r="B1038" s="227" t="s">
        <v>2316</v>
      </c>
      <c r="C1038" s="228"/>
      <c r="D1038" s="229"/>
    </row>
    <row r="1039" spans="1:4" ht="15">
      <c r="A1039" s="227">
        <v>1901</v>
      </c>
      <c r="B1039" s="227" t="s">
        <v>2317</v>
      </c>
      <c r="C1039" s="228"/>
      <c r="D1039" s="229"/>
    </row>
    <row r="1040" spans="1:4" ht="57">
      <c r="A1040" s="230">
        <v>190101</v>
      </c>
      <c r="B1040" s="230" t="s">
        <v>859</v>
      </c>
      <c r="C1040" s="228" t="s">
        <v>28758</v>
      </c>
      <c r="D1040" s="229">
        <v>11.43</v>
      </c>
    </row>
    <row r="1041" spans="1:4" ht="57">
      <c r="A1041" s="230">
        <v>190102</v>
      </c>
      <c r="B1041" s="230" t="s">
        <v>860</v>
      </c>
      <c r="C1041" s="228" t="s">
        <v>28758</v>
      </c>
      <c r="D1041" s="229">
        <v>20.11</v>
      </c>
    </row>
    <row r="1042" spans="1:4" ht="57">
      <c r="A1042" s="230">
        <v>190103</v>
      </c>
      <c r="B1042" s="230" t="s">
        <v>861</v>
      </c>
      <c r="C1042" s="228" t="s">
        <v>28758</v>
      </c>
      <c r="D1042" s="229">
        <v>15.85</v>
      </c>
    </row>
    <row r="1043" spans="1:4" ht="57">
      <c r="A1043" s="230">
        <v>190104</v>
      </c>
      <c r="B1043" s="230" t="s">
        <v>862</v>
      </c>
      <c r="C1043" s="228" t="s">
        <v>28758</v>
      </c>
      <c r="D1043" s="229">
        <v>20.72</v>
      </c>
    </row>
    <row r="1044" spans="1:4" ht="57">
      <c r="A1044" s="230">
        <v>190105</v>
      </c>
      <c r="B1044" s="230" t="s">
        <v>863</v>
      </c>
      <c r="C1044" s="228" t="s">
        <v>28758</v>
      </c>
      <c r="D1044" s="229">
        <v>25.13</v>
      </c>
    </row>
    <row r="1045" spans="1:4" ht="71.25">
      <c r="A1045" s="230">
        <v>190106</v>
      </c>
      <c r="B1045" s="230" t="s">
        <v>864</v>
      </c>
      <c r="C1045" s="228" t="s">
        <v>28758</v>
      </c>
      <c r="D1045" s="229">
        <v>21.09</v>
      </c>
    </row>
    <row r="1046" spans="1:4" ht="28.5">
      <c r="A1046" s="230">
        <v>190107</v>
      </c>
      <c r="B1046" s="230" t="s">
        <v>865</v>
      </c>
      <c r="C1046" s="228" t="s">
        <v>28758</v>
      </c>
      <c r="D1046" s="229">
        <v>3.27</v>
      </c>
    </row>
    <row r="1047" spans="1:4" ht="28.5">
      <c r="A1047" s="230">
        <v>190108</v>
      </c>
      <c r="B1047" s="230" t="s">
        <v>866</v>
      </c>
      <c r="C1047" s="228" t="s">
        <v>28758</v>
      </c>
      <c r="D1047" s="229">
        <v>11.69</v>
      </c>
    </row>
    <row r="1048" spans="1:4" ht="57">
      <c r="A1048" s="230">
        <v>190109</v>
      </c>
      <c r="B1048" s="230" t="s">
        <v>867</v>
      </c>
      <c r="C1048" s="228" t="s">
        <v>36</v>
      </c>
      <c r="D1048" s="229">
        <v>67.37</v>
      </c>
    </row>
    <row r="1049" spans="1:4" ht="42.75">
      <c r="A1049" s="230">
        <v>190114</v>
      </c>
      <c r="B1049" s="230" t="s">
        <v>868</v>
      </c>
      <c r="C1049" s="228" t="s">
        <v>28758</v>
      </c>
      <c r="D1049" s="229">
        <v>4.76</v>
      </c>
    </row>
    <row r="1050" spans="1:4" ht="57">
      <c r="A1050" s="230">
        <v>190115</v>
      </c>
      <c r="B1050" s="230" t="s">
        <v>869</v>
      </c>
      <c r="C1050" s="228" t="s">
        <v>28758</v>
      </c>
      <c r="D1050" s="229">
        <v>16.87</v>
      </c>
    </row>
    <row r="1051" spans="1:4" ht="71.25">
      <c r="A1051" s="230">
        <v>190116</v>
      </c>
      <c r="B1051" s="230" t="s">
        <v>870</v>
      </c>
      <c r="C1051" s="228" t="s">
        <v>28758</v>
      </c>
      <c r="D1051" s="229">
        <v>20.2</v>
      </c>
    </row>
    <row r="1052" spans="1:4" ht="71.25">
      <c r="A1052" s="230">
        <v>190117</v>
      </c>
      <c r="B1052" s="230" t="s">
        <v>871</v>
      </c>
      <c r="C1052" s="228" t="s">
        <v>28758</v>
      </c>
      <c r="D1052" s="229">
        <v>17.13</v>
      </c>
    </row>
    <row r="1053" spans="1:4" ht="42.75">
      <c r="A1053" s="230">
        <v>190121</v>
      </c>
      <c r="B1053" s="230" t="s">
        <v>872</v>
      </c>
      <c r="C1053" s="228" t="s">
        <v>28758</v>
      </c>
      <c r="D1053" s="229">
        <v>2.06</v>
      </c>
    </row>
    <row r="1054" spans="1:4" ht="30">
      <c r="A1054" s="227">
        <v>1902</v>
      </c>
      <c r="B1054" s="227" t="s">
        <v>2318</v>
      </c>
      <c r="C1054" s="228"/>
      <c r="D1054" s="229"/>
    </row>
    <row r="1055" spans="1:4" ht="57">
      <c r="A1055" s="230">
        <v>190201</v>
      </c>
      <c r="B1055" s="230" t="s">
        <v>873</v>
      </c>
      <c r="C1055" s="228" t="s">
        <v>28758</v>
      </c>
      <c r="D1055" s="229">
        <v>8.9499999999999993</v>
      </c>
    </row>
    <row r="1056" spans="1:4" ht="71.25">
      <c r="A1056" s="230">
        <v>190202</v>
      </c>
      <c r="B1056" s="230" t="s">
        <v>874</v>
      </c>
      <c r="C1056" s="228" t="s">
        <v>28758</v>
      </c>
      <c r="D1056" s="229">
        <v>18.079999999999998</v>
      </c>
    </row>
    <row r="1057" spans="1:4" ht="71.25">
      <c r="A1057" s="230">
        <v>190203</v>
      </c>
      <c r="B1057" s="230" t="s">
        <v>875</v>
      </c>
      <c r="C1057" s="228" t="s">
        <v>28758</v>
      </c>
      <c r="D1057" s="229">
        <v>19.690000000000001</v>
      </c>
    </row>
    <row r="1058" spans="1:4" ht="71.25">
      <c r="A1058" s="230">
        <v>190204</v>
      </c>
      <c r="B1058" s="230" t="s">
        <v>876</v>
      </c>
      <c r="C1058" s="228" t="s">
        <v>28758</v>
      </c>
      <c r="D1058" s="229">
        <v>25.95</v>
      </c>
    </row>
    <row r="1059" spans="1:4" ht="14.25">
      <c r="A1059" s="230">
        <v>190205</v>
      </c>
      <c r="B1059" s="230" t="s">
        <v>877</v>
      </c>
      <c r="C1059" s="228" t="s">
        <v>28758</v>
      </c>
      <c r="D1059" s="229">
        <v>9.31</v>
      </c>
    </row>
    <row r="1060" spans="1:4" ht="71.25">
      <c r="A1060" s="230">
        <v>190211</v>
      </c>
      <c r="B1060" s="230" t="s">
        <v>878</v>
      </c>
      <c r="C1060" s="228" t="s">
        <v>28758</v>
      </c>
      <c r="D1060" s="229">
        <v>16.87</v>
      </c>
    </row>
    <row r="1061" spans="1:4" ht="15">
      <c r="A1061" s="227">
        <v>1903</v>
      </c>
      <c r="B1061" s="227" t="s">
        <v>2319</v>
      </c>
      <c r="C1061" s="228"/>
      <c r="D1061" s="229"/>
    </row>
    <row r="1062" spans="1:4" ht="71.25">
      <c r="A1062" s="230">
        <v>190301</v>
      </c>
      <c r="B1062" s="230" t="s">
        <v>879</v>
      </c>
      <c r="C1062" s="228" t="s">
        <v>28758</v>
      </c>
      <c r="D1062" s="229">
        <v>18.899999999999999</v>
      </c>
    </row>
    <row r="1063" spans="1:4" ht="71.25">
      <c r="A1063" s="230">
        <v>190302</v>
      </c>
      <c r="B1063" s="230" t="s">
        <v>880</v>
      </c>
      <c r="C1063" s="228" t="s">
        <v>28758</v>
      </c>
      <c r="D1063" s="229">
        <v>22.64</v>
      </c>
    </row>
    <row r="1064" spans="1:4" ht="57">
      <c r="A1064" s="230">
        <v>190303</v>
      </c>
      <c r="B1064" s="230" t="s">
        <v>881</v>
      </c>
      <c r="C1064" s="228" t="s">
        <v>28758</v>
      </c>
      <c r="D1064" s="229">
        <v>29.6</v>
      </c>
    </row>
    <row r="1065" spans="1:4" ht="57">
      <c r="A1065" s="230">
        <v>190306</v>
      </c>
      <c r="B1065" s="230" t="s">
        <v>882</v>
      </c>
      <c r="C1065" s="228" t="s">
        <v>28758</v>
      </c>
      <c r="D1065" s="229">
        <v>21.39</v>
      </c>
    </row>
    <row r="1066" spans="1:4" ht="15">
      <c r="A1066" s="227">
        <v>1904</v>
      </c>
      <c r="B1066" s="227" t="s">
        <v>2320</v>
      </c>
      <c r="C1066" s="228"/>
      <c r="D1066" s="229"/>
    </row>
    <row r="1067" spans="1:4" ht="71.25">
      <c r="A1067" s="230">
        <v>190417</v>
      </c>
      <c r="B1067" s="230" t="s">
        <v>883</v>
      </c>
      <c r="C1067" s="228" t="s">
        <v>28758</v>
      </c>
      <c r="D1067" s="229">
        <v>20.010000000000002</v>
      </c>
    </row>
    <row r="1068" spans="1:4" ht="42.75">
      <c r="A1068" s="230">
        <v>190418</v>
      </c>
      <c r="B1068" s="230" t="s">
        <v>884</v>
      </c>
      <c r="C1068" s="228" t="s">
        <v>28758</v>
      </c>
      <c r="D1068" s="229">
        <v>38.35</v>
      </c>
    </row>
    <row r="1069" spans="1:4" ht="15">
      <c r="A1069" s="227">
        <v>1905</v>
      </c>
      <c r="B1069" s="227" t="s">
        <v>2321</v>
      </c>
      <c r="C1069" s="228"/>
      <c r="D1069" s="229"/>
    </row>
    <row r="1070" spans="1:4" ht="71.25">
      <c r="A1070" s="230">
        <v>190501</v>
      </c>
      <c r="B1070" s="230" t="s">
        <v>885</v>
      </c>
      <c r="C1070" s="228" t="s">
        <v>36</v>
      </c>
      <c r="D1070" s="229">
        <v>4.72</v>
      </c>
    </row>
    <row r="1071" spans="1:4" ht="15">
      <c r="A1071" s="227">
        <v>1906</v>
      </c>
      <c r="B1071" s="227" t="s">
        <v>2322</v>
      </c>
      <c r="C1071" s="228"/>
      <c r="D1071" s="229"/>
    </row>
    <row r="1072" spans="1:4" ht="71.25">
      <c r="A1072" s="230">
        <v>190601</v>
      </c>
      <c r="B1072" s="230" t="s">
        <v>886</v>
      </c>
      <c r="C1072" s="228" t="s">
        <v>54</v>
      </c>
      <c r="D1072" s="229">
        <v>30.04</v>
      </c>
    </row>
    <row r="1073" spans="1:4" ht="57">
      <c r="A1073" s="230">
        <v>190602</v>
      </c>
      <c r="B1073" s="230" t="s">
        <v>887</v>
      </c>
      <c r="C1073" s="228" t="s">
        <v>28758</v>
      </c>
      <c r="D1073" s="229">
        <v>32.75</v>
      </c>
    </row>
    <row r="1074" spans="1:4" ht="57">
      <c r="A1074" s="230">
        <v>190603</v>
      </c>
      <c r="B1074" s="230" t="s">
        <v>2323</v>
      </c>
      <c r="C1074" s="228" t="s">
        <v>28758</v>
      </c>
      <c r="D1074" s="229">
        <v>18.04</v>
      </c>
    </row>
    <row r="1075" spans="1:4" ht="71.25">
      <c r="A1075" s="230">
        <v>190604</v>
      </c>
      <c r="B1075" s="230" t="s">
        <v>888</v>
      </c>
      <c r="C1075" s="228" t="s">
        <v>54</v>
      </c>
      <c r="D1075" s="229">
        <v>48.05</v>
      </c>
    </row>
    <row r="1076" spans="1:4" ht="85.5">
      <c r="A1076" s="230">
        <v>190605</v>
      </c>
      <c r="B1076" s="230" t="s">
        <v>2324</v>
      </c>
      <c r="C1076" s="228" t="s">
        <v>28758</v>
      </c>
      <c r="D1076" s="229">
        <v>49.16</v>
      </c>
    </row>
    <row r="1077" spans="1:4" ht="30">
      <c r="A1077" s="227">
        <v>20</v>
      </c>
      <c r="B1077" s="227" t="s">
        <v>2325</v>
      </c>
      <c r="C1077" s="228"/>
      <c r="D1077" s="229"/>
    </row>
    <row r="1078" spans="1:4" ht="15">
      <c r="A1078" s="227">
        <v>2001</v>
      </c>
      <c r="B1078" s="227" t="s">
        <v>2326</v>
      </c>
      <c r="C1078" s="228"/>
      <c r="D1078" s="229"/>
    </row>
    <row r="1079" spans="1:4" ht="85.5">
      <c r="A1079" s="230">
        <v>200101</v>
      </c>
      <c r="B1079" s="230" t="s">
        <v>889</v>
      </c>
      <c r="C1079" s="228" t="s">
        <v>28758</v>
      </c>
      <c r="D1079" s="229">
        <v>280.45999999999998</v>
      </c>
    </row>
    <row r="1080" spans="1:4" ht="57">
      <c r="A1080" s="230">
        <v>200104</v>
      </c>
      <c r="B1080" s="230" t="s">
        <v>890</v>
      </c>
      <c r="C1080" s="228" t="s">
        <v>54</v>
      </c>
      <c r="D1080" s="229">
        <v>305.29000000000002</v>
      </c>
    </row>
    <row r="1081" spans="1:4" ht="99.75">
      <c r="A1081" s="230">
        <v>200105</v>
      </c>
      <c r="B1081" s="230" t="s">
        <v>891</v>
      </c>
      <c r="C1081" s="228" t="s">
        <v>54</v>
      </c>
      <c r="D1081" s="229">
        <v>208.9</v>
      </c>
    </row>
    <row r="1082" spans="1:4" ht="71.25">
      <c r="A1082" s="230">
        <v>200107</v>
      </c>
      <c r="B1082" s="230" t="s">
        <v>892</v>
      </c>
      <c r="C1082" s="228" t="s">
        <v>54</v>
      </c>
      <c r="D1082" s="229">
        <v>120.06</v>
      </c>
    </row>
    <row r="1083" spans="1:4" ht="57">
      <c r="A1083" s="230">
        <v>200108</v>
      </c>
      <c r="B1083" s="230" t="s">
        <v>893</v>
      </c>
      <c r="C1083" s="228" t="s">
        <v>28759</v>
      </c>
      <c r="D1083" s="229">
        <v>959.79</v>
      </c>
    </row>
    <row r="1084" spans="1:4" ht="114">
      <c r="A1084" s="230">
        <v>200120</v>
      </c>
      <c r="B1084" s="230" t="s">
        <v>894</v>
      </c>
      <c r="C1084" s="228" t="s">
        <v>54</v>
      </c>
      <c r="D1084" s="229">
        <v>248.91</v>
      </c>
    </row>
    <row r="1085" spans="1:4" ht="114">
      <c r="A1085" s="230">
        <v>200124</v>
      </c>
      <c r="B1085" s="230" t="s">
        <v>895</v>
      </c>
      <c r="C1085" s="228" t="s">
        <v>54</v>
      </c>
      <c r="D1085" s="229">
        <v>822.28</v>
      </c>
    </row>
    <row r="1086" spans="1:4" ht="85.5">
      <c r="A1086" s="230">
        <v>200128</v>
      </c>
      <c r="B1086" s="230" t="s">
        <v>896</v>
      </c>
      <c r="C1086" s="228" t="s">
        <v>28758</v>
      </c>
      <c r="D1086" s="229">
        <v>291.5</v>
      </c>
    </row>
    <row r="1087" spans="1:4" ht="71.25">
      <c r="A1087" s="230">
        <v>200129</v>
      </c>
      <c r="B1087" s="230" t="s">
        <v>897</v>
      </c>
      <c r="C1087" s="228" t="s">
        <v>54</v>
      </c>
      <c r="D1087" s="229">
        <v>108.12</v>
      </c>
    </row>
    <row r="1088" spans="1:4" ht="71.25">
      <c r="A1088" s="230">
        <v>200130</v>
      </c>
      <c r="B1088" s="230" t="s">
        <v>898</v>
      </c>
      <c r="C1088" s="228" t="s">
        <v>54</v>
      </c>
      <c r="D1088" s="231">
        <v>1139.93</v>
      </c>
    </row>
    <row r="1089" spans="1:4" ht="71.25">
      <c r="A1089" s="230">
        <v>200131</v>
      </c>
      <c r="B1089" s="230" t="s">
        <v>899</v>
      </c>
      <c r="C1089" s="228" t="s">
        <v>54</v>
      </c>
      <c r="D1089" s="231">
        <v>2058.75</v>
      </c>
    </row>
    <row r="1090" spans="1:4" ht="15">
      <c r="A1090" s="227">
        <v>2002</v>
      </c>
      <c r="B1090" s="227" t="s">
        <v>2327</v>
      </c>
      <c r="C1090" s="228"/>
      <c r="D1090" s="229"/>
    </row>
    <row r="1091" spans="1:4" ht="57">
      <c r="A1091" s="230">
        <v>200202</v>
      </c>
      <c r="B1091" s="230" t="s">
        <v>900</v>
      </c>
      <c r="C1091" s="228" t="s">
        <v>54</v>
      </c>
      <c r="D1091" s="229">
        <v>50.02</v>
      </c>
    </row>
    <row r="1092" spans="1:4" ht="85.5">
      <c r="A1092" s="230">
        <v>200206</v>
      </c>
      <c r="B1092" s="230" t="s">
        <v>901</v>
      </c>
      <c r="C1092" s="228" t="s">
        <v>28758</v>
      </c>
      <c r="D1092" s="229">
        <v>76.86</v>
      </c>
    </row>
    <row r="1093" spans="1:4" ht="71.25">
      <c r="A1093" s="230">
        <v>200209</v>
      </c>
      <c r="B1093" s="230" t="s">
        <v>902</v>
      </c>
      <c r="C1093" s="228" t="s">
        <v>28758</v>
      </c>
      <c r="D1093" s="229">
        <v>133.05000000000001</v>
      </c>
    </row>
    <row r="1094" spans="1:4" ht="85.5">
      <c r="A1094" s="230">
        <v>200214</v>
      </c>
      <c r="B1094" s="230" t="s">
        <v>903</v>
      </c>
      <c r="C1094" s="228" t="s">
        <v>28758</v>
      </c>
      <c r="D1094" s="229">
        <v>95.1</v>
      </c>
    </row>
    <row r="1095" spans="1:4" ht="42.75">
      <c r="A1095" s="230">
        <v>200223</v>
      </c>
      <c r="B1095" s="230" t="s">
        <v>904</v>
      </c>
      <c r="C1095" s="228" t="s">
        <v>28759</v>
      </c>
      <c r="D1095" s="229">
        <v>197.83</v>
      </c>
    </row>
    <row r="1096" spans="1:4" ht="71.25">
      <c r="A1096" s="230">
        <v>200229</v>
      </c>
      <c r="B1096" s="230" t="s">
        <v>905</v>
      </c>
      <c r="C1096" s="228" t="s">
        <v>54</v>
      </c>
      <c r="D1096" s="229">
        <v>72.55</v>
      </c>
    </row>
    <row r="1097" spans="1:4" ht="85.5">
      <c r="A1097" s="230">
        <v>200237</v>
      </c>
      <c r="B1097" s="230" t="s">
        <v>906</v>
      </c>
      <c r="C1097" s="228" t="s">
        <v>28758</v>
      </c>
      <c r="D1097" s="229">
        <v>66.3</v>
      </c>
    </row>
    <row r="1098" spans="1:4" ht="99.75">
      <c r="A1098" s="230">
        <v>200243</v>
      </c>
      <c r="B1098" s="230" t="s">
        <v>907</v>
      </c>
      <c r="C1098" s="228" t="s">
        <v>54</v>
      </c>
      <c r="D1098" s="229">
        <v>304.64999999999998</v>
      </c>
    </row>
    <row r="1099" spans="1:4" ht="85.5">
      <c r="A1099" s="230">
        <v>200253</v>
      </c>
      <c r="B1099" s="230" t="s">
        <v>908</v>
      </c>
      <c r="C1099" s="228" t="s">
        <v>28758</v>
      </c>
      <c r="D1099" s="229">
        <v>68.349999999999994</v>
      </c>
    </row>
    <row r="1100" spans="1:4" ht="85.5">
      <c r="A1100" s="230">
        <v>200254</v>
      </c>
      <c r="B1100" s="230" t="s">
        <v>909</v>
      </c>
      <c r="C1100" s="228" t="s">
        <v>28758</v>
      </c>
      <c r="D1100" s="229">
        <v>68.349999999999994</v>
      </c>
    </row>
    <row r="1101" spans="1:4" ht="15">
      <c r="A1101" s="227">
        <v>2003</v>
      </c>
      <c r="B1101" s="227" t="s">
        <v>1381</v>
      </c>
      <c r="C1101" s="228"/>
      <c r="D1101" s="229"/>
    </row>
    <row r="1102" spans="1:4" ht="57">
      <c r="A1102" s="230">
        <v>200303</v>
      </c>
      <c r="B1102" s="230" t="s">
        <v>910</v>
      </c>
      <c r="C1102" s="228" t="s">
        <v>28758</v>
      </c>
      <c r="D1102" s="229">
        <v>13.13</v>
      </c>
    </row>
    <row r="1103" spans="1:4" ht="28.5">
      <c r="A1103" s="230">
        <v>200305</v>
      </c>
      <c r="B1103" s="230" t="s">
        <v>911</v>
      </c>
      <c r="C1103" s="228" t="s">
        <v>28759</v>
      </c>
      <c r="D1103" s="229">
        <v>152.68</v>
      </c>
    </row>
    <row r="1104" spans="1:4" ht="28.5">
      <c r="A1104" s="230">
        <v>200306</v>
      </c>
      <c r="B1104" s="230" t="s">
        <v>912</v>
      </c>
      <c r="C1104" s="228" t="s">
        <v>28759</v>
      </c>
      <c r="D1104" s="229">
        <v>160.91999999999999</v>
      </c>
    </row>
    <row r="1105" spans="1:4" ht="28.5">
      <c r="A1105" s="230">
        <v>200307</v>
      </c>
      <c r="B1105" s="230" t="s">
        <v>913</v>
      </c>
      <c r="C1105" s="228" t="s">
        <v>28759</v>
      </c>
      <c r="D1105" s="229">
        <v>202.07</v>
      </c>
    </row>
    <row r="1106" spans="1:4" ht="28.5">
      <c r="A1106" s="230">
        <v>200323</v>
      </c>
      <c r="B1106" s="230" t="s">
        <v>914</v>
      </c>
      <c r="C1106" s="228" t="s">
        <v>28759</v>
      </c>
      <c r="D1106" s="229">
        <v>128.15</v>
      </c>
    </row>
    <row r="1107" spans="1:4" ht="42.75">
      <c r="A1107" s="230">
        <v>200326</v>
      </c>
      <c r="B1107" s="230" t="s">
        <v>915</v>
      </c>
      <c r="C1107" s="228" t="s">
        <v>28758</v>
      </c>
      <c r="D1107" s="229">
        <v>26.2</v>
      </c>
    </row>
    <row r="1108" spans="1:4" ht="30">
      <c r="A1108" s="227">
        <v>2004</v>
      </c>
      <c r="B1108" s="227" t="s">
        <v>2328</v>
      </c>
      <c r="C1108" s="228"/>
      <c r="D1108" s="229"/>
    </row>
    <row r="1109" spans="1:4" ht="14.25">
      <c r="A1109" s="230">
        <v>200401</v>
      </c>
      <c r="B1109" s="230" t="s">
        <v>2329</v>
      </c>
      <c r="C1109" s="228" t="s">
        <v>28758</v>
      </c>
      <c r="D1109" s="229">
        <v>9.84</v>
      </c>
    </row>
    <row r="1110" spans="1:4" ht="28.5">
      <c r="A1110" s="230">
        <v>200402</v>
      </c>
      <c r="B1110" s="230" t="s">
        <v>916</v>
      </c>
      <c r="C1110" s="228" t="s">
        <v>28758</v>
      </c>
      <c r="D1110" s="229">
        <v>0.98</v>
      </c>
    </row>
    <row r="1111" spans="1:4" ht="28.5">
      <c r="A1111" s="230">
        <v>200404</v>
      </c>
      <c r="B1111" s="230" t="s">
        <v>917</v>
      </c>
      <c r="C1111" s="228" t="s">
        <v>28758</v>
      </c>
      <c r="D1111" s="229">
        <v>19.13</v>
      </c>
    </row>
    <row r="1112" spans="1:4" ht="15">
      <c r="A1112" s="227">
        <v>2005</v>
      </c>
      <c r="B1112" s="227" t="s">
        <v>2330</v>
      </c>
      <c r="C1112" s="228"/>
      <c r="D1112" s="229"/>
    </row>
    <row r="1113" spans="1:4" ht="57">
      <c r="A1113" s="230">
        <v>200511</v>
      </c>
      <c r="B1113" s="230" t="s">
        <v>918</v>
      </c>
      <c r="C1113" s="228" t="s">
        <v>36</v>
      </c>
      <c r="D1113" s="229">
        <v>167.36</v>
      </c>
    </row>
    <row r="1114" spans="1:4" ht="99.75">
      <c r="A1114" s="230">
        <v>200512</v>
      </c>
      <c r="B1114" s="230" t="s">
        <v>919</v>
      </c>
      <c r="C1114" s="228" t="s">
        <v>36</v>
      </c>
      <c r="D1114" s="229">
        <v>462.38</v>
      </c>
    </row>
    <row r="1115" spans="1:4" ht="71.25">
      <c r="A1115" s="230">
        <v>200513</v>
      </c>
      <c r="B1115" s="230" t="s">
        <v>26353</v>
      </c>
      <c r="C1115" s="228" t="s">
        <v>36</v>
      </c>
      <c r="D1115" s="231">
        <v>1831.89</v>
      </c>
    </row>
    <row r="1116" spans="1:4" ht="42.75">
      <c r="A1116" s="230">
        <v>200562</v>
      </c>
      <c r="B1116" s="230" t="s">
        <v>920</v>
      </c>
      <c r="C1116" s="228" t="s">
        <v>36</v>
      </c>
      <c r="D1116" s="229">
        <v>376.67</v>
      </c>
    </row>
    <row r="1117" spans="1:4" ht="71.25">
      <c r="A1117" s="230">
        <v>200563</v>
      </c>
      <c r="B1117" s="230" t="s">
        <v>921</v>
      </c>
      <c r="C1117" s="228" t="s">
        <v>54</v>
      </c>
      <c r="D1117" s="229">
        <v>165.65</v>
      </c>
    </row>
    <row r="1118" spans="1:4" ht="42.75">
      <c r="A1118" s="230">
        <v>200572</v>
      </c>
      <c r="B1118" s="230" t="s">
        <v>922</v>
      </c>
      <c r="C1118" s="228" t="s">
        <v>36</v>
      </c>
      <c r="D1118" s="231">
        <v>2604.7199999999998</v>
      </c>
    </row>
    <row r="1119" spans="1:4" ht="57">
      <c r="A1119" s="230">
        <v>200573</v>
      </c>
      <c r="B1119" s="230" t="s">
        <v>923</v>
      </c>
      <c r="C1119" s="228" t="s">
        <v>54</v>
      </c>
      <c r="D1119" s="229">
        <v>262.58999999999997</v>
      </c>
    </row>
    <row r="1120" spans="1:4" ht="57">
      <c r="A1120" s="230">
        <v>200576</v>
      </c>
      <c r="B1120" s="230" t="s">
        <v>924</v>
      </c>
      <c r="C1120" s="228" t="s">
        <v>36</v>
      </c>
      <c r="D1120" s="229">
        <v>768.47</v>
      </c>
    </row>
    <row r="1121" spans="1:4" ht="30">
      <c r="A1121" s="227">
        <v>2007</v>
      </c>
      <c r="B1121" s="227" t="s">
        <v>2331</v>
      </c>
      <c r="C1121" s="228"/>
      <c r="D1121" s="229"/>
    </row>
    <row r="1122" spans="1:4" ht="114">
      <c r="A1122" s="230">
        <v>200702</v>
      </c>
      <c r="B1122" s="230" t="s">
        <v>925</v>
      </c>
      <c r="C1122" s="228" t="s">
        <v>28758</v>
      </c>
      <c r="D1122" s="229">
        <v>119.5</v>
      </c>
    </row>
    <row r="1123" spans="1:4" ht="71.25">
      <c r="A1123" s="230">
        <v>200703</v>
      </c>
      <c r="B1123" s="230" t="s">
        <v>926</v>
      </c>
      <c r="C1123" s="228" t="s">
        <v>54</v>
      </c>
      <c r="D1123" s="229">
        <v>30.04</v>
      </c>
    </row>
    <row r="1124" spans="1:4" ht="57">
      <c r="A1124" s="230">
        <v>200704</v>
      </c>
      <c r="B1124" s="230" t="s">
        <v>927</v>
      </c>
      <c r="C1124" s="228" t="s">
        <v>28758</v>
      </c>
      <c r="D1124" s="229">
        <v>32.75</v>
      </c>
    </row>
    <row r="1125" spans="1:4" ht="42.75">
      <c r="A1125" s="230">
        <v>200705</v>
      </c>
      <c r="B1125" s="230" t="s">
        <v>928</v>
      </c>
      <c r="C1125" s="228" t="s">
        <v>36</v>
      </c>
      <c r="D1125" s="229">
        <v>178.33</v>
      </c>
    </row>
    <row r="1126" spans="1:4" ht="57">
      <c r="A1126" s="230">
        <v>200706</v>
      </c>
      <c r="B1126" s="230" t="s">
        <v>929</v>
      </c>
      <c r="C1126" s="228" t="s">
        <v>36</v>
      </c>
      <c r="D1126" s="231">
        <v>3831.08</v>
      </c>
    </row>
    <row r="1127" spans="1:4" ht="42.75">
      <c r="A1127" s="230">
        <v>200707</v>
      </c>
      <c r="B1127" s="230" t="s">
        <v>930</v>
      </c>
      <c r="C1127" s="228" t="s">
        <v>36</v>
      </c>
      <c r="D1127" s="231">
        <v>1830.45</v>
      </c>
    </row>
    <row r="1128" spans="1:4" ht="71.25">
      <c r="A1128" s="230">
        <v>200708</v>
      </c>
      <c r="B1128" s="230" t="s">
        <v>931</v>
      </c>
      <c r="C1128" s="228" t="s">
        <v>36</v>
      </c>
      <c r="D1128" s="231">
        <v>1768.42</v>
      </c>
    </row>
    <row r="1129" spans="1:4" ht="28.5">
      <c r="A1129" s="230">
        <v>200709</v>
      </c>
      <c r="B1129" s="230" t="s">
        <v>932</v>
      </c>
      <c r="C1129" s="228" t="s">
        <v>36</v>
      </c>
      <c r="D1129" s="229">
        <v>948.77</v>
      </c>
    </row>
    <row r="1130" spans="1:4" ht="85.5">
      <c r="A1130" s="230">
        <v>200711</v>
      </c>
      <c r="B1130" s="230" t="s">
        <v>933</v>
      </c>
      <c r="C1130" s="228" t="s">
        <v>28758</v>
      </c>
      <c r="D1130" s="229">
        <v>335.31</v>
      </c>
    </row>
    <row r="1131" spans="1:4" ht="14.25">
      <c r="A1131" s="230">
        <v>200713</v>
      </c>
      <c r="B1131" s="230" t="s">
        <v>934</v>
      </c>
      <c r="C1131" s="228" t="s">
        <v>36</v>
      </c>
      <c r="D1131" s="229">
        <v>225.78</v>
      </c>
    </row>
    <row r="1132" spans="1:4" ht="57">
      <c r="A1132" s="230">
        <v>200714</v>
      </c>
      <c r="B1132" s="230" t="s">
        <v>935</v>
      </c>
      <c r="C1132" s="228" t="s">
        <v>28758</v>
      </c>
      <c r="D1132" s="229">
        <v>13.06</v>
      </c>
    </row>
    <row r="1133" spans="1:4" ht="85.5">
      <c r="A1133" s="230">
        <v>200715</v>
      </c>
      <c r="B1133" s="230" t="s">
        <v>936</v>
      </c>
      <c r="C1133" s="228" t="s">
        <v>28758</v>
      </c>
      <c r="D1133" s="229">
        <v>165.4</v>
      </c>
    </row>
    <row r="1134" spans="1:4" ht="85.5">
      <c r="A1134" s="230">
        <v>200716</v>
      </c>
      <c r="B1134" s="230" t="s">
        <v>937</v>
      </c>
      <c r="C1134" s="228" t="s">
        <v>28758</v>
      </c>
      <c r="D1134" s="229">
        <v>140.71</v>
      </c>
    </row>
    <row r="1135" spans="1:4" ht="42.75">
      <c r="A1135" s="230">
        <v>200717</v>
      </c>
      <c r="B1135" s="230" t="s">
        <v>938</v>
      </c>
      <c r="C1135" s="228" t="s">
        <v>54</v>
      </c>
      <c r="D1135" s="229">
        <v>5.0199999999999996</v>
      </c>
    </row>
    <row r="1136" spans="1:4" ht="114">
      <c r="A1136" s="230">
        <v>200720</v>
      </c>
      <c r="B1136" s="230" t="s">
        <v>939</v>
      </c>
      <c r="C1136" s="228" t="s">
        <v>28758</v>
      </c>
      <c r="D1136" s="229">
        <v>70.040000000000006</v>
      </c>
    </row>
    <row r="1137" spans="1:4" ht="42.75">
      <c r="A1137" s="230">
        <v>200721</v>
      </c>
      <c r="B1137" s="230" t="s">
        <v>940</v>
      </c>
      <c r="C1137" s="228" t="s">
        <v>28758</v>
      </c>
      <c r="D1137" s="229">
        <v>15.76</v>
      </c>
    </row>
    <row r="1138" spans="1:4" ht="42.75">
      <c r="A1138" s="230">
        <v>200722</v>
      </c>
      <c r="B1138" s="230" t="s">
        <v>941</v>
      </c>
      <c r="C1138" s="228" t="s">
        <v>36</v>
      </c>
      <c r="D1138" s="229">
        <v>462.66</v>
      </c>
    </row>
    <row r="1139" spans="1:4" ht="71.25">
      <c r="A1139" s="230">
        <v>200725</v>
      </c>
      <c r="B1139" s="230" t="s">
        <v>942</v>
      </c>
      <c r="C1139" s="228" t="s">
        <v>54</v>
      </c>
      <c r="D1139" s="229">
        <v>48.05</v>
      </c>
    </row>
    <row r="1140" spans="1:4" ht="57">
      <c r="A1140" s="230">
        <v>200726</v>
      </c>
      <c r="B1140" s="230" t="s">
        <v>943</v>
      </c>
      <c r="C1140" s="228" t="s">
        <v>28758</v>
      </c>
      <c r="D1140" s="229">
        <v>133.69999999999999</v>
      </c>
    </row>
    <row r="1141" spans="1:4" ht="99.75">
      <c r="A1141" s="230">
        <v>200728</v>
      </c>
      <c r="B1141" s="230" t="s">
        <v>944</v>
      </c>
      <c r="C1141" s="228" t="s">
        <v>28758</v>
      </c>
      <c r="D1141" s="229">
        <v>251.91</v>
      </c>
    </row>
    <row r="1142" spans="1:4" ht="99.75">
      <c r="A1142" s="230">
        <v>200738</v>
      </c>
      <c r="B1142" s="230" t="s">
        <v>945</v>
      </c>
      <c r="C1142" s="228" t="s">
        <v>169</v>
      </c>
      <c r="D1142" s="229">
        <v>37.69</v>
      </c>
    </row>
    <row r="1143" spans="1:4" ht="30">
      <c r="A1143" s="227">
        <v>21</v>
      </c>
      <c r="B1143" s="227" t="s">
        <v>2332</v>
      </c>
      <c r="C1143" s="228"/>
      <c r="D1143" s="229"/>
    </row>
    <row r="1144" spans="1:4" ht="15">
      <c r="A1144" s="227">
        <v>2101</v>
      </c>
      <c r="B1144" s="227" t="s">
        <v>2333</v>
      </c>
      <c r="C1144" s="228"/>
      <c r="D1144" s="229"/>
    </row>
    <row r="1145" spans="1:4" ht="28.5">
      <c r="A1145" s="230">
        <v>210105</v>
      </c>
      <c r="B1145" s="230" t="s">
        <v>946</v>
      </c>
      <c r="C1145" s="228" t="s">
        <v>28758</v>
      </c>
      <c r="D1145" s="229">
        <v>111.98</v>
      </c>
    </row>
    <row r="1146" spans="1:4" ht="57">
      <c r="A1146" s="230">
        <v>210109</v>
      </c>
      <c r="B1146" s="230" t="s">
        <v>947</v>
      </c>
      <c r="C1146" s="228" t="s">
        <v>36</v>
      </c>
      <c r="D1146" s="229">
        <v>744.84</v>
      </c>
    </row>
    <row r="1147" spans="1:4" ht="99.75">
      <c r="A1147" s="230">
        <v>210114</v>
      </c>
      <c r="B1147" s="230" t="s">
        <v>26774</v>
      </c>
      <c r="C1147" s="228" t="s">
        <v>36</v>
      </c>
      <c r="D1147" s="231">
        <v>3856.96</v>
      </c>
    </row>
    <row r="1148" spans="1:4" ht="15">
      <c r="A1148" s="227">
        <v>2102</v>
      </c>
      <c r="B1148" s="227" t="s">
        <v>2334</v>
      </c>
      <c r="C1148" s="228"/>
      <c r="D1148" s="229"/>
    </row>
    <row r="1149" spans="1:4" ht="28.5">
      <c r="A1149" s="230">
        <v>210210</v>
      </c>
      <c r="B1149" s="230" t="s">
        <v>948</v>
      </c>
      <c r="C1149" s="228" t="s">
        <v>28758</v>
      </c>
      <c r="D1149" s="229">
        <v>321.22000000000003</v>
      </c>
    </row>
    <row r="1150" spans="1:4" ht="15">
      <c r="A1150" s="227">
        <v>2103</v>
      </c>
      <c r="B1150" s="227" t="s">
        <v>2335</v>
      </c>
      <c r="C1150" s="228"/>
      <c r="D1150" s="229"/>
    </row>
    <row r="1151" spans="1:4" ht="42.75">
      <c r="A1151" s="230">
        <v>210301</v>
      </c>
      <c r="B1151" s="230" t="s">
        <v>949</v>
      </c>
      <c r="C1151" s="228" t="s">
        <v>54</v>
      </c>
      <c r="D1151" s="229">
        <v>423.15</v>
      </c>
    </row>
    <row r="1152" spans="1:4" ht="57">
      <c r="A1152" s="230">
        <v>210302</v>
      </c>
      <c r="B1152" s="230" t="s">
        <v>26775</v>
      </c>
      <c r="C1152" s="228" t="s">
        <v>54</v>
      </c>
      <c r="D1152" s="229">
        <v>326.61</v>
      </c>
    </row>
    <row r="1153" spans="1:4" ht="71.25">
      <c r="A1153" s="230">
        <v>210304</v>
      </c>
      <c r="B1153" s="230" t="s">
        <v>950</v>
      </c>
      <c r="C1153" s="228" t="s">
        <v>54</v>
      </c>
      <c r="D1153" s="229">
        <v>228.01</v>
      </c>
    </row>
    <row r="1154" spans="1:4" ht="71.25">
      <c r="A1154" s="230">
        <v>210316</v>
      </c>
      <c r="B1154" s="230" t="s">
        <v>951</v>
      </c>
      <c r="C1154" s="228" t="s">
        <v>36</v>
      </c>
      <c r="D1154" s="229">
        <v>652.02</v>
      </c>
    </row>
    <row r="1155" spans="1:4" ht="57">
      <c r="A1155" s="230">
        <v>210321</v>
      </c>
      <c r="B1155" s="230" t="s">
        <v>952</v>
      </c>
      <c r="C1155" s="228" t="s">
        <v>36</v>
      </c>
      <c r="D1155" s="229">
        <v>199.42</v>
      </c>
    </row>
    <row r="1156" spans="1:4" ht="42.75">
      <c r="A1156" s="230">
        <v>210322</v>
      </c>
      <c r="B1156" s="230" t="s">
        <v>953</v>
      </c>
      <c r="C1156" s="228" t="s">
        <v>54</v>
      </c>
      <c r="D1156" s="229">
        <v>160.47</v>
      </c>
    </row>
    <row r="1157" spans="1:4" ht="15">
      <c r="A1157" s="227">
        <v>22</v>
      </c>
      <c r="B1157" s="227" t="s">
        <v>2336</v>
      </c>
      <c r="C1157" s="228"/>
      <c r="D1157" s="229"/>
    </row>
    <row r="1158" spans="1:4" ht="60">
      <c r="A1158" s="227">
        <v>2208</v>
      </c>
      <c r="B1158" s="227" t="s">
        <v>2337</v>
      </c>
      <c r="C1158" s="228"/>
      <c r="D1158" s="229"/>
    </row>
    <row r="1159" spans="1:4" ht="114">
      <c r="A1159" s="230">
        <v>220803</v>
      </c>
      <c r="B1159" s="230" t="s">
        <v>954</v>
      </c>
      <c r="C1159" s="228" t="s">
        <v>105</v>
      </c>
      <c r="D1159" s="231">
        <v>4080.06</v>
      </c>
    </row>
    <row r="1160" spans="1:4" ht="15">
      <c r="A1160" s="227">
        <v>31</v>
      </c>
      <c r="B1160" s="227" t="s">
        <v>2338</v>
      </c>
      <c r="C1160" s="228"/>
      <c r="D1160" s="229"/>
    </row>
    <row r="1161" spans="1:4" ht="30">
      <c r="A1161" s="227">
        <v>3106</v>
      </c>
      <c r="B1161" s="227" t="s">
        <v>2339</v>
      </c>
      <c r="C1161" s="228"/>
      <c r="D1161" s="229"/>
    </row>
    <row r="1162" spans="1:4" ht="28.5">
      <c r="A1162" s="230">
        <v>310601</v>
      </c>
      <c r="B1162" s="230" t="s">
        <v>955</v>
      </c>
      <c r="C1162" s="228" t="s">
        <v>956</v>
      </c>
      <c r="D1162" s="231">
        <v>1155</v>
      </c>
    </row>
    <row r="1163" spans="1:4" ht="45">
      <c r="A1163" s="227">
        <v>3108</v>
      </c>
      <c r="B1163" s="227" t="s">
        <v>2340</v>
      </c>
      <c r="C1163" s="228"/>
      <c r="D1163" s="229"/>
    </row>
    <row r="1164" spans="1:4" ht="14.25">
      <c r="A1164" s="230">
        <v>310801</v>
      </c>
      <c r="B1164" s="230" t="s">
        <v>957</v>
      </c>
      <c r="C1164" s="228" t="s">
        <v>36</v>
      </c>
      <c r="D1164" s="229">
        <v>14.28</v>
      </c>
    </row>
    <row r="1165" spans="1:4" ht="14.25">
      <c r="A1165" s="230">
        <v>310802</v>
      </c>
      <c r="B1165" s="230" t="s">
        <v>958</v>
      </c>
      <c r="C1165" s="228" t="s">
        <v>36</v>
      </c>
      <c r="D1165" s="229">
        <v>109.6</v>
      </c>
    </row>
    <row r="1166" spans="1:4" ht="14.25">
      <c r="A1166" s="230">
        <v>310803</v>
      </c>
      <c r="B1166" s="230" t="s">
        <v>959</v>
      </c>
      <c r="C1166" s="228" t="s">
        <v>36</v>
      </c>
      <c r="D1166" s="229">
        <v>30.37</v>
      </c>
    </row>
    <row r="1167" spans="1:4" ht="14.25">
      <c r="A1167" s="230">
        <v>310804</v>
      </c>
      <c r="B1167" s="230" t="s">
        <v>960</v>
      </c>
      <c r="C1167" s="228" t="s">
        <v>36</v>
      </c>
      <c r="D1167" s="229">
        <v>62.07</v>
      </c>
    </row>
    <row r="1168" spans="1:4" ht="14.25">
      <c r="A1168" s="230">
        <v>310805</v>
      </c>
      <c r="B1168" s="230" t="s">
        <v>961</v>
      </c>
      <c r="C1168" s="228" t="s">
        <v>36</v>
      </c>
      <c r="D1168" s="229">
        <v>3.92</v>
      </c>
    </row>
    <row r="1169" spans="1:4" ht="14.25">
      <c r="A1169" s="230">
        <v>310806</v>
      </c>
      <c r="B1169" s="230" t="s">
        <v>962</v>
      </c>
      <c r="C1169" s="228" t="s">
        <v>36</v>
      </c>
      <c r="D1169" s="229">
        <v>11.39</v>
      </c>
    </row>
    <row r="1170" spans="1:4" ht="14.25">
      <c r="A1170" s="230">
        <v>310807</v>
      </c>
      <c r="B1170" s="230" t="s">
        <v>963</v>
      </c>
      <c r="C1170" s="228" t="s">
        <v>36</v>
      </c>
      <c r="D1170" s="229">
        <v>20.51</v>
      </c>
    </row>
    <row r="1171" spans="1:4" ht="14.25">
      <c r="A1171" s="230">
        <v>310808</v>
      </c>
      <c r="B1171" s="230" t="s">
        <v>964</v>
      </c>
      <c r="C1171" s="228" t="s">
        <v>36</v>
      </c>
      <c r="D1171" s="229">
        <v>2.93</v>
      </c>
    </row>
    <row r="1172" spans="1:4" ht="14.25">
      <c r="A1172" s="230">
        <v>310809</v>
      </c>
      <c r="B1172" s="230" t="s">
        <v>965</v>
      </c>
      <c r="C1172" s="228" t="s">
        <v>36</v>
      </c>
      <c r="D1172" s="229">
        <v>124.13</v>
      </c>
    </row>
    <row r="1173" spans="1:4" ht="30">
      <c r="A1173" s="227">
        <v>3109</v>
      </c>
      <c r="B1173" s="227" t="s">
        <v>2341</v>
      </c>
      <c r="C1173" s="228"/>
      <c r="D1173" s="229"/>
    </row>
    <row r="1174" spans="1:4" ht="14.25">
      <c r="A1174" s="230">
        <v>310901</v>
      </c>
      <c r="B1174" s="230" t="s">
        <v>966</v>
      </c>
      <c r="C1174" s="228" t="s">
        <v>36</v>
      </c>
      <c r="D1174" s="229">
        <v>88.62</v>
      </c>
    </row>
    <row r="1175" spans="1:4" ht="14.25">
      <c r="A1175" s="230">
        <v>310902</v>
      </c>
      <c r="B1175" s="230" t="s">
        <v>967</v>
      </c>
      <c r="C1175" s="228" t="s">
        <v>36</v>
      </c>
      <c r="D1175" s="229">
        <v>40.72</v>
      </c>
    </row>
    <row r="1176" spans="1:4" ht="14.25">
      <c r="A1176" s="230">
        <v>310903</v>
      </c>
      <c r="B1176" s="230" t="s">
        <v>968</v>
      </c>
      <c r="C1176" s="228" t="s">
        <v>36</v>
      </c>
      <c r="D1176" s="229">
        <v>49.09</v>
      </c>
    </row>
    <row r="1177" spans="1:4" ht="14.25">
      <c r="A1177" s="230">
        <v>310904</v>
      </c>
      <c r="B1177" s="230" t="s">
        <v>969</v>
      </c>
      <c r="C1177" s="228" t="s">
        <v>36</v>
      </c>
      <c r="D1177" s="229">
        <v>64.63</v>
      </c>
    </row>
    <row r="1178" spans="1:4" ht="14.25">
      <c r="A1178" s="230">
        <v>310905</v>
      </c>
      <c r="B1178" s="230" t="s">
        <v>970</v>
      </c>
      <c r="C1178" s="228" t="s">
        <v>36</v>
      </c>
      <c r="D1178" s="229">
        <v>30.28</v>
      </c>
    </row>
    <row r="1179" spans="1:4" ht="14.25">
      <c r="A1179" s="230">
        <v>310906</v>
      </c>
      <c r="B1179" s="230" t="s">
        <v>971</v>
      </c>
      <c r="C1179" s="228" t="s">
        <v>36</v>
      </c>
      <c r="D1179" s="229">
        <v>24.08</v>
      </c>
    </row>
    <row r="1180" spans="1:4" ht="14.25">
      <c r="A1180" s="230">
        <v>310907</v>
      </c>
      <c r="B1180" s="230" t="s">
        <v>972</v>
      </c>
      <c r="C1180" s="228" t="s">
        <v>36</v>
      </c>
      <c r="D1180" s="229">
        <v>29.78</v>
      </c>
    </row>
    <row r="1181" spans="1:4" ht="14.25">
      <c r="A1181" s="230">
        <v>310908</v>
      </c>
      <c r="B1181" s="230" t="s">
        <v>973</v>
      </c>
      <c r="C1181" s="228" t="s">
        <v>36</v>
      </c>
      <c r="D1181" s="229">
        <v>130.77000000000001</v>
      </c>
    </row>
    <row r="1182" spans="1:4" ht="14.25">
      <c r="A1182" s="230">
        <v>310909</v>
      </c>
      <c r="B1182" s="230" t="s">
        <v>974</v>
      </c>
      <c r="C1182" s="228" t="s">
        <v>36</v>
      </c>
      <c r="D1182" s="229">
        <v>44.77</v>
      </c>
    </row>
    <row r="1183" spans="1:4" ht="14.25">
      <c r="A1183" s="230">
        <v>310910</v>
      </c>
      <c r="B1183" s="230" t="s">
        <v>975</v>
      </c>
      <c r="C1183" s="228" t="s">
        <v>36</v>
      </c>
      <c r="D1183" s="229">
        <v>48.95</v>
      </c>
    </row>
    <row r="1184" spans="1:4" ht="14.25">
      <c r="A1184" s="230">
        <v>310911</v>
      </c>
      <c r="B1184" s="230" t="s">
        <v>976</v>
      </c>
      <c r="C1184" s="228" t="s">
        <v>36</v>
      </c>
      <c r="D1184" s="229">
        <v>46.9</v>
      </c>
    </row>
    <row r="1185" spans="1:4" ht="14.25">
      <c r="A1185" s="230">
        <v>310912</v>
      </c>
      <c r="B1185" s="230" t="s">
        <v>977</v>
      </c>
      <c r="C1185" s="228" t="s">
        <v>36</v>
      </c>
      <c r="D1185" s="229">
        <v>460.71</v>
      </c>
    </row>
    <row r="1186" spans="1:4" ht="14.25">
      <c r="A1186" s="230">
        <v>310913</v>
      </c>
      <c r="B1186" s="230" t="s">
        <v>978</v>
      </c>
      <c r="C1186" s="228" t="s">
        <v>36</v>
      </c>
      <c r="D1186" s="229">
        <v>654.73</v>
      </c>
    </row>
    <row r="1187" spans="1:4" ht="14.25">
      <c r="A1187" s="230">
        <v>310914</v>
      </c>
      <c r="B1187" s="230" t="s">
        <v>979</v>
      </c>
      <c r="C1187" s="228" t="s">
        <v>36</v>
      </c>
      <c r="D1187" s="229">
        <v>276.82</v>
      </c>
    </row>
    <row r="1188" spans="1:4" ht="45">
      <c r="A1188" s="227">
        <v>3125</v>
      </c>
      <c r="B1188" s="227" t="s">
        <v>26292</v>
      </c>
      <c r="C1188" s="228"/>
      <c r="D1188" s="229"/>
    </row>
    <row r="1189" spans="1:4" ht="28.5">
      <c r="A1189" s="230">
        <v>312501</v>
      </c>
      <c r="B1189" s="230" t="s">
        <v>26293</v>
      </c>
      <c r="C1189" s="228" t="s">
        <v>105</v>
      </c>
      <c r="D1189" s="231">
        <v>5495.45</v>
      </c>
    </row>
    <row r="1190" spans="1:4" ht="28.5">
      <c r="A1190" s="230">
        <v>312502</v>
      </c>
      <c r="B1190" s="230" t="s">
        <v>26294</v>
      </c>
      <c r="C1190" s="228" t="s">
        <v>105</v>
      </c>
      <c r="D1190" s="231">
        <v>20666.650000000001</v>
      </c>
    </row>
    <row r="1191" spans="1:4" ht="28.5">
      <c r="A1191" s="230">
        <v>312503</v>
      </c>
      <c r="B1191" s="230" t="s">
        <v>26295</v>
      </c>
      <c r="C1191" s="228" t="s">
        <v>105</v>
      </c>
      <c r="D1191" s="231">
        <v>8603.65</v>
      </c>
    </row>
    <row r="1192" spans="1:4" ht="28.5">
      <c r="A1192" s="230">
        <v>312504</v>
      </c>
      <c r="B1192" s="230" t="s">
        <v>26296</v>
      </c>
      <c r="C1192" s="228" t="s">
        <v>105</v>
      </c>
      <c r="D1192" s="231">
        <v>2633.28</v>
      </c>
    </row>
    <row r="1193" spans="1:4" ht="28.5">
      <c r="A1193" s="230">
        <v>312505</v>
      </c>
      <c r="B1193" s="230" t="s">
        <v>26297</v>
      </c>
      <c r="C1193" s="228" t="s">
        <v>105</v>
      </c>
      <c r="D1193" s="231">
        <v>14761.89</v>
      </c>
    </row>
    <row r="1194" spans="1:4" ht="28.5">
      <c r="A1194" s="230">
        <v>312506</v>
      </c>
      <c r="B1194" s="230" t="s">
        <v>26298</v>
      </c>
      <c r="C1194" s="228" t="s">
        <v>105</v>
      </c>
      <c r="D1194" s="231">
        <v>4391.29</v>
      </c>
    </row>
    <row r="1195" spans="1:4" ht="28.5">
      <c r="A1195" s="230">
        <v>312507</v>
      </c>
      <c r="B1195" s="230" t="s">
        <v>26299</v>
      </c>
      <c r="C1195" s="228" t="s">
        <v>105</v>
      </c>
      <c r="D1195" s="231">
        <v>3976.76</v>
      </c>
    </row>
    <row r="1196" spans="1:4" ht="28.5">
      <c r="A1196" s="230">
        <v>312508</v>
      </c>
      <c r="B1196" s="230" t="s">
        <v>26300</v>
      </c>
      <c r="C1196" s="228" t="s">
        <v>105</v>
      </c>
      <c r="D1196" s="231">
        <v>11779.69</v>
      </c>
    </row>
    <row r="1197" spans="1:4" ht="28.5">
      <c r="A1197" s="230">
        <v>312509</v>
      </c>
      <c r="B1197" s="230" t="s">
        <v>26301</v>
      </c>
      <c r="C1197" s="228" t="s">
        <v>105</v>
      </c>
      <c r="D1197" s="231">
        <v>9781.6200000000008</v>
      </c>
    </row>
    <row r="1198" spans="1:4" ht="28.5">
      <c r="A1198" s="230">
        <v>312510</v>
      </c>
      <c r="B1198" s="230" t="s">
        <v>26302</v>
      </c>
      <c r="C1198" s="228" t="s">
        <v>105</v>
      </c>
      <c r="D1198" s="231">
        <v>9781.6200000000008</v>
      </c>
    </row>
    <row r="1199" spans="1:4" ht="28.5">
      <c r="A1199" s="230">
        <v>312511</v>
      </c>
      <c r="B1199" s="230" t="s">
        <v>26303</v>
      </c>
      <c r="C1199" s="228" t="s">
        <v>105</v>
      </c>
      <c r="D1199" s="231">
        <v>9990.3700000000008</v>
      </c>
    </row>
    <row r="1200" spans="1:4" ht="28.5">
      <c r="A1200" s="230">
        <v>312512</v>
      </c>
      <c r="B1200" s="230" t="s">
        <v>26304</v>
      </c>
      <c r="C1200" s="228" t="s">
        <v>105</v>
      </c>
      <c r="D1200" s="231">
        <v>9155.35</v>
      </c>
    </row>
    <row r="1201" spans="1:4" ht="28.5">
      <c r="A1201" s="230">
        <v>312513</v>
      </c>
      <c r="B1201" s="230" t="s">
        <v>26305</v>
      </c>
      <c r="C1201" s="228" t="s">
        <v>105</v>
      </c>
      <c r="D1201" s="231">
        <v>9785.34</v>
      </c>
    </row>
    <row r="1202" spans="1:4" ht="42.75">
      <c r="A1202" s="230">
        <v>312514</v>
      </c>
      <c r="B1202" s="230" t="s">
        <v>26306</v>
      </c>
      <c r="C1202" s="228" t="s">
        <v>105</v>
      </c>
      <c r="D1202" s="231">
        <v>21173.62</v>
      </c>
    </row>
    <row r="1203" spans="1:4" ht="14.25">
      <c r="A1203" s="230">
        <v>312515</v>
      </c>
      <c r="B1203" s="230" t="s">
        <v>26307</v>
      </c>
      <c r="C1203" s="228" t="s">
        <v>105</v>
      </c>
      <c r="D1203" s="231">
        <v>5487.25</v>
      </c>
    </row>
    <row r="1204" spans="1:4" ht="28.5">
      <c r="A1204" s="230">
        <v>312516</v>
      </c>
      <c r="B1204" s="230" t="s">
        <v>26308</v>
      </c>
      <c r="C1204" s="228" t="s">
        <v>105</v>
      </c>
      <c r="D1204" s="231">
        <v>11846.79</v>
      </c>
    </row>
    <row r="1205" spans="1:4" ht="28.5">
      <c r="A1205" s="230">
        <v>312517</v>
      </c>
      <c r="B1205" s="230" t="s">
        <v>26309</v>
      </c>
      <c r="C1205" s="228" t="s">
        <v>105</v>
      </c>
      <c r="D1205" s="231">
        <v>17714.27</v>
      </c>
    </row>
    <row r="1206" spans="1:4" ht="14.25">
      <c r="A1206" s="230">
        <v>312518</v>
      </c>
      <c r="B1206" s="230" t="s">
        <v>26310</v>
      </c>
      <c r="C1206" s="228" t="s">
        <v>105</v>
      </c>
      <c r="D1206" s="231">
        <v>2450.77</v>
      </c>
    </row>
    <row r="1207" spans="1:4" ht="28.5">
      <c r="A1207" s="230">
        <v>312519</v>
      </c>
      <c r="B1207" s="230" t="s">
        <v>26311</v>
      </c>
      <c r="C1207" s="228" t="s">
        <v>105</v>
      </c>
      <c r="D1207" s="231">
        <v>4409.62</v>
      </c>
    </row>
    <row r="1208" spans="1:4" ht="14.25">
      <c r="A1208" s="230">
        <v>312520</v>
      </c>
      <c r="B1208" s="230" t="s">
        <v>26312</v>
      </c>
      <c r="C1208" s="228" t="s">
        <v>105</v>
      </c>
      <c r="D1208" s="231">
        <v>1791.11</v>
      </c>
    </row>
    <row r="1209" spans="1:4" ht="28.5">
      <c r="A1209" s="230">
        <v>312522</v>
      </c>
      <c r="B1209" s="230" t="s">
        <v>26313</v>
      </c>
      <c r="C1209" s="228" t="s">
        <v>105</v>
      </c>
      <c r="D1209" s="231">
        <v>3391.95</v>
      </c>
    </row>
    <row r="1210" spans="1:4" ht="45">
      <c r="A1210" s="227">
        <v>3126</v>
      </c>
      <c r="B1210" s="227" t="s">
        <v>26314</v>
      </c>
      <c r="C1210" s="228"/>
      <c r="D1210" s="229"/>
    </row>
    <row r="1211" spans="1:4" ht="28.5">
      <c r="A1211" s="230">
        <v>312601</v>
      </c>
      <c r="B1211" s="230" t="s">
        <v>26315</v>
      </c>
      <c r="C1211" s="228" t="s">
        <v>105</v>
      </c>
      <c r="D1211" s="231">
        <v>6364.12</v>
      </c>
    </row>
    <row r="1212" spans="1:4" ht="28.5">
      <c r="A1212" s="230">
        <v>312602</v>
      </c>
      <c r="B1212" s="230" t="s">
        <v>26316</v>
      </c>
      <c r="C1212" s="228" t="s">
        <v>105</v>
      </c>
      <c r="D1212" s="231">
        <v>23933.45</v>
      </c>
    </row>
    <row r="1213" spans="1:4" ht="28.5">
      <c r="A1213" s="230">
        <v>312603</v>
      </c>
      <c r="B1213" s="230" t="s">
        <v>26317</v>
      </c>
      <c r="C1213" s="228" t="s">
        <v>105</v>
      </c>
      <c r="D1213" s="231">
        <v>9963.64</v>
      </c>
    </row>
    <row r="1214" spans="1:4" ht="28.5">
      <c r="A1214" s="230">
        <v>312604</v>
      </c>
      <c r="B1214" s="230" t="s">
        <v>26318</v>
      </c>
      <c r="C1214" s="228" t="s">
        <v>105</v>
      </c>
      <c r="D1214" s="231">
        <v>3049.53</v>
      </c>
    </row>
    <row r="1215" spans="1:4" ht="28.5">
      <c r="A1215" s="230">
        <v>312605</v>
      </c>
      <c r="B1215" s="230" t="s">
        <v>26319</v>
      </c>
      <c r="C1215" s="228" t="s">
        <v>105</v>
      </c>
      <c r="D1215" s="231">
        <v>17095.32</v>
      </c>
    </row>
    <row r="1216" spans="1:4" ht="28.5">
      <c r="A1216" s="230">
        <v>312606</v>
      </c>
      <c r="B1216" s="230" t="s">
        <v>26320</v>
      </c>
      <c r="C1216" s="228" t="s">
        <v>105</v>
      </c>
      <c r="D1216" s="231">
        <v>5085.43</v>
      </c>
    </row>
    <row r="1217" spans="1:4" ht="28.5">
      <c r="A1217" s="230">
        <v>312607</v>
      </c>
      <c r="B1217" s="230" t="s">
        <v>26321</v>
      </c>
      <c r="C1217" s="228" t="s">
        <v>105</v>
      </c>
      <c r="D1217" s="231">
        <v>4605.38</v>
      </c>
    </row>
    <row r="1218" spans="1:4" ht="28.5">
      <c r="A1218" s="230">
        <v>312608</v>
      </c>
      <c r="B1218" s="230" t="s">
        <v>26322</v>
      </c>
      <c r="C1218" s="228" t="s">
        <v>105</v>
      </c>
      <c r="D1218" s="231">
        <v>13641.72</v>
      </c>
    </row>
    <row r="1219" spans="1:4" ht="28.5">
      <c r="A1219" s="230">
        <v>312609</v>
      </c>
      <c r="B1219" s="230" t="s">
        <v>26323</v>
      </c>
      <c r="C1219" s="228" t="s">
        <v>105</v>
      </c>
      <c r="D1219" s="231">
        <v>11327.81</v>
      </c>
    </row>
    <row r="1220" spans="1:4" ht="28.5">
      <c r="A1220" s="230">
        <v>312610</v>
      </c>
      <c r="B1220" s="230" t="s">
        <v>26324</v>
      </c>
      <c r="C1220" s="228" t="s">
        <v>105</v>
      </c>
      <c r="D1220" s="231">
        <v>11327.81</v>
      </c>
    </row>
    <row r="1221" spans="1:4" ht="28.5">
      <c r="A1221" s="230">
        <v>312611</v>
      </c>
      <c r="B1221" s="230" t="s">
        <v>26325</v>
      </c>
      <c r="C1221" s="228" t="s">
        <v>105</v>
      </c>
      <c r="D1221" s="231">
        <v>11569.56</v>
      </c>
    </row>
    <row r="1222" spans="1:4" ht="28.5">
      <c r="A1222" s="230">
        <v>312612</v>
      </c>
      <c r="B1222" s="230" t="s">
        <v>26326</v>
      </c>
      <c r="C1222" s="228" t="s">
        <v>105</v>
      </c>
      <c r="D1222" s="231">
        <v>10602.55</v>
      </c>
    </row>
    <row r="1223" spans="1:4" ht="28.5">
      <c r="A1223" s="230">
        <v>312613</v>
      </c>
      <c r="B1223" s="230" t="s">
        <v>26327</v>
      </c>
      <c r="C1223" s="228" t="s">
        <v>105</v>
      </c>
      <c r="D1223" s="231">
        <v>11332.13</v>
      </c>
    </row>
    <row r="1224" spans="1:4" ht="28.5">
      <c r="A1224" s="230">
        <v>312614</v>
      </c>
      <c r="B1224" s="230" t="s">
        <v>26328</v>
      </c>
      <c r="C1224" s="228" t="s">
        <v>105</v>
      </c>
      <c r="D1224" s="231">
        <v>24520.560000000001</v>
      </c>
    </row>
    <row r="1225" spans="1:4" ht="14.25">
      <c r="A1225" s="230">
        <v>312615</v>
      </c>
      <c r="B1225" s="230" t="s">
        <v>26329</v>
      </c>
      <c r="C1225" s="228" t="s">
        <v>105</v>
      </c>
      <c r="D1225" s="231">
        <v>6354.62</v>
      </c>
    </row>
    <row r="1226" spans="1:4" ht="28.5">
      <c r="A1226" s="230">
        <v>312616</v>
      </c>
      <c r="B1226" s="230" t="s">
        <v>26330</v>
      </c>
      <c r="C1226" s="228" t="s">
        <v>105</v>
      </c>
      <c r="D1226" s="231">
        <v>13719.43</v>
      </c>
    </row>
    <row r="1227" spans="1:4" ht="28.5">
      <c r="A1227" s="230">
        <v>312617</v>
      </c>
      <c r="B1227" s="230" t="s">
        <v>26331</v>
      </c>
      <c r="C1227" s="228" t="s">
        <v>105</v>
      </c>
      <c r="D1227" s="231">
        <v>20514.38</v>
      </c>
    </row>
    <row r="1228" spans="1:4" ht="14.25">
      <c r="A1228" s="230">
        <v>312618</v>
      </c>
      <c r="B1228" s="230" t="s">
        <v>26332</v>
      </c>
      <c r="C1228" s="228" t="s">
        <v>105</v>
      </c>
      <c r="D1228" s="231">
        <v>2838.17</v>
      </c>
    </row>
    <row r="1229" spans="1:4" ht="28.5">
      <c r="A1229" s="230">
        <v>312619</v>
      </c>
      <c r="B1229" s="230" t="s">
        <v>26333</v>
      </c>
      <c r="C1229" s="228" t="s">
        <v>105</v>
      </c>
      <c r="D1229" s="231">
        <v>5106.6499999999996</v>
      </c>
    </row>
    <row r="1230" spans="1:4" ht="14.25">
      <c r="A1230" s="230">
        <v>312620</v>
      </c>
      <c r="B1230" s="230" t="s">
        <v>26334</v>
      </c>
      <c r="C1230" s="228" t="s">
        <v>105</v>
      </c>
      <c r="D1230" s="231">
        <v>2074.23</v>
      </c>
    </row>
    <row r="1231" spans="1:4" ht="28.5">
      <c r="A1231" s="230">
        <v>312621</v>
      </c>
      <c r="B1231" s="230" t="s">
        <v>26335</v>
      </c>
      <c r="C1231" s="228" t="s">
        <v>105</v>
      </c>
      <c r="D1231" s="231">
        <v>2074.23</v>
      </c>
    </row>
    <row r="1232" spans="1:4" ht="28.5">
      <c r="A1232" s="230">
        <v>312622</v>
      </c>
      <c r="B1232" s="230" t="s">
        <v>26336</v>
      </c>
      <c r="C1232" s="228" t="s">
        <v>105</v>
      </c>
      <c r="D1232" s="231">
        <v>3928.12</v>
      </c>
    </row>
    <row r="1233" spans="1:4" ht="45">
      <c r="A1233" s="227">
        <v>3127</v>
      </c>
      <c r="B1233" s="227" t="s">
        <v>28449</v>
      </c>
      <c r="C1233" s="228"/>
      <c r="D1233" s="229"/>
    </row>
    <row r="1234" spans="1:4" ht="28.5">
      <c r="A1234" s="230">
        <v>312701</v>
      </c>
      <c r="B1234" s="230" t="s">
        <v>28450</v>
      </c>
      <c r="C1234" s="228" t="s">
        <v>105</v>
      </c>
      <c r="D1234" s="231">
        <v>5485.5</v>
      </c>
    </row>
    <row r="1235" spans="1:4" ht="28.5">
      <c r="A1235" s="230">
        <v>312702</v>
      </c>
      <c r="B1235" s="230" t="s">
        <v>28451</v>
      </c>
      <c r="C1235" s="228" t="s">
        <v>105</v>
      </c>
      <c r="D1235" s="231">
        <v>20629.22</v>
      </c>
    </row>
    <row r="1236" spans="1:4" ht="28.5">
      <c r="A1236" s="230">
        <v>312703</v>
      </c>
      <c r="B1236" s="230" t="s">
        <v>28452</v>
      </c>
      <c r="C1236" s="228" t="s">
        <v>105</v>
      </c>
      <c r="D1236" s="231">
        <v>8588.07</v>
      </c>
    </row>
    <row r="1237" spans="1:4" ht="28.5">
      <c r="A1237" s="230">
        <v>312704</v>
      </c>
      <c r="B1237" s="230" t="s">
        <v>28453</v>
      </c>
      <c r="C1237" s="228" t="s">
        <v>105</v>
      </c>
      <c r="D1237" s="231">
        <v>2628.51</v>
      </c>
    </row>
    <row r="1238" spans="1:4" ht="28.5">
      <c r="A1238" s="230">
        <v>312705</v>
      </c>
      <c r="B1238" s="230" t="s">
        <v>28454</v>
      </c>
      <c r="C1238" s="228" t="s">
        <v>105</v>
      </c>
      <c r="D1238" s="231">
        <v>14735.16</v>
      </c>
    </row>
    <row r="1239" spans="1:4" ht="28.5">
      <c r="A1239" s="230">
        <v>312706</v>
      </c>
      <c r="B1239" s="230" t="s">
        <v>28455</v>
      </c>
      <c r="C1239" s="228" t="s">
        <v>105</v>
      </c>
      <c r="D1239" s="231">
        <v>4383.34</v>
      </c>
    </row>
    <row r="1240" spans="1:4" ht="28.5">
      <c r="A1240" s="230">
        <v>312707</v>
      </c>
      <c r="B1240" s="230" t="s">
        <v>28456</v>
      </c>
      <c r="C1240" s="228" t="s">
        <v>105</v>
      </c>
      <c r="D1240" s="231">
        <v>3969.56</v>
      </c>
    </row>
    <row r="1241" spans="1:4" ht="28.5">
      <c r="A1241" s="230">
        <v>312708</v>
      </c>
      <c r="B1241" s="230" t="s">
        <v>28457</v>
      </c>
      <c r="C1241" s="228" t="s">
        <v>105</v>
      </c>
      <c r="D1241" s="231">
        <v>11758.36</v>
      </c>
    </row>
    <row r="1242" spans="1:4" ht="28.5">
      <c r="A1242" s="230">
        <v>312709</v>
      </c>
      <c r="B1242" s="230" t="s">
        <v>28458</v>
      </c>
      <c r="C1242" s="228" t="s">
        <v>105</v>
      </c>
      <c r="D1242" s="231">
        <v>9763.9</v>
      </c>
    </row>
    <row r="1243" spans="1:4" ht="28.5">
      <c r="A1243" s="230">
        <v>312710</v>
      </c>
      <c r="B1243" s="230" t="s">
        <v>28459</v>
      </c>
      <c r="C1243" s="228" t="s">
        <v>105</v>
      </c>
      <c r="D1243" s="231">
        <v>9763.9</v>
      </c>
    </row>
    <row r="1244" spans="1:4" ht="28.5">
      <c r="A1244" s="230">
        <v>312711</v>
      </c>
      <c r="B1244" s="230" t="s">
        <v>28460</v>
      </c>
      <c r="C1244" s="228" t="s">
        <v>105</v>
      </c>
      <c r="D1244" s="231">
        <v>9972.2800000000007</v>
      </c>
    </row>
    <row r="1245" spans="1:4" ht="28.5">
      <c r="A1245" s="230">
        <v>312712</v>
      </c>
      <c r="B1245" s="230" t="s">
        <v>28461</v>
      </c>
      <c r="C1245" s="228" t="s">
        <v>105</v>
      </c>
      <c r="D1245" s="231">
        <v>9138.7800000000007</v>
      </c>
    </row>
    <row r="1246" spans="1:4" ht="28.5">
      <c r="A1246" s="230">
        <v>312713</v>
      </c>
      <c r="B1246" s="230" t="s">
        <v>28462</v>
      </c>
      <c r="C1246" s="228" t="s">
        <v>105</v>
      </c>
      <c r="D1246" s="231">
        <v>9767.6299999999992</v>
      </c>
    </row>
    <row r="1247" spans="1:4" ht="42.75">
      <c r="A1247" s="230">
        <v>312714</v>
      </c>
      <c r="B1247" s="230" t="s">
        <v>28463</v>
      </c>
      <c r="C1247" s="228" t="s">
        <v>105</v>
      </c>
      <c r="D1247" s="231">
        <v>21135.279999999999</v>
      </c>
    </row>
    <row r="1248" spans="1:4" ht="14.25">
      <c r="A1248" s="230">
        <v>312715</v>
      </c>
      <c r="B1248" s="230" t="s">
        <v>28464</v>
      </c>
      <c r="C1248" s="228" t="s">
        <v>105</v>
      </c>
      <c r="D1248" s="231">
        <v>5477.31</v>
      </c>
    </row>
    <row r="1249" spans="1:4" ht="28.5">
      <c r="A1249" s="230">
        <v>312716</v>
      </c>
      <c r="B1249" s="230" t="s">
        <v>28465</v>
      </c>
      <c r="C1249" s="228" t="s">
        <v>105</v>
      </c>
      <c r="D1249" s="231">
        <v>11825.34</v>
      </c>
    </row>
    <row r="1250" spans="1:4" ht="28.5">
      <c r="A1250" s="230">
        <v>312717</v>
      </c>
      <c r="B1250" s="230" t="s">
        <v>28466</v>
      </c>
      <c r="C1250" s="228" t="s">
        <v>105</v>
      </c>
      <c r="D1250" s="231">
        <v>17682.189999999999</v>
      </c>
    </row>
    <row r="1251" spans="1:4" ht="14.25">
      <c r="A1251" s="230">
        <v>312718</v>
      </c>
      <c r="B1251" s="230" t="s">
        <v>28467</v>
      </c>
      <c r="C1251" s="228" t="s">
        <v>105</v>
      </c>
      <c r="D1251" s="231">
        <v>2446.33</v>
      </c>
    </row>
    <row r="1252" spans="1:4" ht="28.5">
      <c r="A1252" s="230">
        <v>312719</v>
      </c>
      <c r="B1252" s="230" t="s">
        <v>28468</v>
      </c>
      <c r="C1252" s="228" t="s">
        <v>105</v>
      </c>
      <c r="D1252" s="231">
        <v>4401.63</v>
      </c>
    </row>
    <row r="1253" spans="1:4" ht="14.25">
      <c r="A1253" s="230">
        <v>312720</v>
      </c>
      <c r="B1253" s="230" t="s">
        <v>28469</v>
      </c>
      <c r="C1253" s="228" t="s">
        <v>105</v>
      </c>
      <c r="D1253" s="231">
        <v>1787.87</v>
      </c>
    </row>
    <row r="1254" spans="1:4" ht="28.5">
      <c r="A1254" s="230">
        <v>312721</v>
      </c>
      <c r="B1254" s="230" t="s">
        <v>28470</v>
      </c>
      <c r="C1254" s="228" t="s">
        <v>105</v>
      </c>
      <c r="D1254" s="231">
        <v>1787.87</v>
      </c>
    </row>
    <row r="1255" spans="1:4" ht="28.5">
      <c r="A1255" s="230">
        <v>312722</v>
      </c>
      <c r="B1255" s="230" t="s">
        <v>28471</v>
      </c>
      <c r="C1255" s="228" t="s">
        <v>105</v>
      </c>
      <c r="D1255" s="231">
        <v>3385.81</v>
      </c>
    </row>
    <row r="1256" spans="1:4" ht="30">
      <c r="A1256" s="227">
        <v>3128</v>
      </c>
      <c r="B1256" s="227" t="s">
        <v>28472</v>
      </c>
      <c r="C1256" s="228"/>
      <c r="D1256" s="229"/>
    </row>
    <row r="1257" spans="1:4" ht="28.5">
      <c r="A1257" s="230">
        <v>312801</v>
      </c>
      <c r="B1257" s="230" t="s">
        <v>28473</v>
      </c>
      <c r="C1257" s="228" t="s">
        <v>105</v>
      </c>
      <c r="D1257" s="231">
        <v>6352.33</v>
      </c>
    </row>
    <row r="1258" spans="1:4" ht="28.5">
      <c r="A1258" s="230">
        <v>312802</v>
      </c>
      <c r="B1258" s="230" t="s">
        <v>28474</v>
      </c>
      <c r="C1258" s="228" t="s">
        <v>105</v>
      </c>
      <c r="D1258" s="231">
        <v>23889.1</v>
      </c>
    </row>
    <row r="1259" spans="1:4" ht="28.5">
      <c r="A1259" s="230">
        <v>312803</v>
      </c>
      <c r="B1259" s="230" t="s">
        <v>28475</v>
      </c>
      <c r="C1259" s="228" t="s">
        <v>105</v>
      </c>
      <c r="D1259" s="231">
        <v>9945.17</v>
      </c>
    </row>
    <row r="1260" spans="1:4" ht="28.5">
      <c r="A1260" s="230">
        <v>312804</v>
      </c>
      <c r="B1260" s="230" t="s">
        <v>28476</v>
      </c>
      <c r="C1260" s="228" t="s">
        <v>105</v>
      </c>
      <c r="D1260" s="231">
        <v>3043.88</v>
      </c>
    </row>
    <row r="1261" spans="1:4" ht="28.5">
      <c r="A1261" s="230">
        <v>312805</v>
      </c>
      <c r="B1261" s="230" t="s">
        <v>28477</v>
      </c>
      <c r="C1261" s="228" t="s">
        <v>105</v>
      </c>
      <c r="D1261" s="231">
        <v>17063.64</v>
      </c>
    </row>
    <row r="1262" spans="1:4" ht="28.5">
      <c r="A1262" s="230">
        <v>312806</v>
      </c>
      <c r="B1262" s="230" t="s">
        <v>28478</v>
      </c>
      <c r="C1262" s="228" t="s">
        <v>105</v>
      </c>
      <c r="D1262" s="231">
        <v>5076</v>
      </c>
    </row>
    <row r="1263" spans="1:4" ht="28.5">
      <c r="A1263" s="230">
        <v>312807</v>
      </c>
      <c r="B1263" s="230" t="s">
        <v>28479</v>
      </c>
      <c r="C1263" s="228" t="s">
        <v>105</v>
      </c>
      <c r="D1263" s="231">
        <v>4596.84</v>
      </c>
    </row>
    <row r="1264" spans="1:4" ht="28.5">
      <c r="A1264" s="230">
        <v>312808</v>
      </c>
      <c r="B1264" s="230" t="s">
        <v>28480</v>
      </c>
      <c r="C1264" s="228" t="s">
        <v>105</v>
      </c>
      <c r="D1264" s="231">
        <v>13616.44</v>
      </c>
    </row>
    <row r="1265" spans="1:4" ht="28.5">
      <c r="A1265" s="230">
        <v>312809</v>
      </c>
      <c r="B1265" s="230" t="s">
        <v>28481</v>
      </c>
      <c r="C1265" s="228" t="s">
        <v>105</v>
      </c>
      <c r="D1265" s="231">
        <v>11306.82</v>
      </c>
    </row>
    <row r="1266" spans="1:4" ht="28.5">
      <c r="A1266" s="230">
        <v>312810</v>
      </c>
      <c r="B1266" s="230" t="s">
        <v>28482</v>
      </c>
      <c r="C1266" s="228" t="s">
        <v>105</v>
      </c>
      <c r="D1266" s="231">
        <v>11306.82</v>
      </c>
    </row>
    <row r="1267" spans="1:4" ht="28.5">
      <c r="A1267" s="230">
        <v>312811</v>
      </c>
      <c r="B1267" s="230" t="s">
        <v>28483</v>
      </c>
      <c r="C1267" s="228" t="s">
        <v>105</v>
      </c>
      <c r="D1267" s="231">
        <v>11548.12</v>
      </c>
    </row>
    <row r="1268" spans="1:4" ht="28.5">
      <c r="A1268" s="230">
        <v>312812</v>
      </c>
      <c r="B1268" s="230" t="s">
        <v>28484</v>
      </c>
      <c r="C1268" s="228" t="s">
        <v>105</v>
      </c>
      <c r="D1268" s="231">
        <v>10582.9</v>
      </c>
    </row>
    <row r="1269" spans="1:4" ht="28.5">
      <c r="A1269" s="230">
        <v>312813</v>
      </c>
      <c r="B1269" s="230" t="s">
        <v>28485</v>
      </c>
      <c r="C1269" s="228" t="s">
        <v>105</v>
      </c>
      <c r="D1269" s="231">
        <v>11311.13</v>
      </c>
    </row>
    <row r="1270" spans="1:4" ht="42.75">
      <c r="A1270" s="230">
        <v>312814</v>
      </c>
      <c r="B1270" s="230" t="s">
        <v>28486</v>
      </c>
      <c r="C1270" s="228" t="s">
        <v>105</v>
      </c>
      <c r="D1270" s="231">
        <v>24475.119999999999</v>
      </c>
    </row>
    <row r="1271" spans="1:4" ht="14.25">
      <c r="A1271" s="230">
        <v>312815</v>
      </c>
      <c r="B1271" s="230" t="s">
        <v>28487</v>
      </c>
      <c r="C1271" s="228" t="s">
        <v>105</v>
      </c>
      <c r="D1271" s="231">
        <v>6342.85</v>
      </c>
    </row>
    <row r="1272" spans="1:4" ht="28.5">
      <c r="A1272" s="230">
        <v>312816</v>
      </c>
      <c r="B1272" s="230" t="s">
        <v>28488</v>
      </c>
      <c r="C1272" s="228" t="s">
        <v>105</v>
      </c>
      <c r="D1272" s="231">
        <v>13694</v>
      </c>
    </row>
    <row r="1273" spans="1:4" ht="28.5">
      <c r="A1273" s="230">
        <v>312817</v>
      </c>
      <c r="B1273" s="230" t="s">
        <v>28489</v>
      </c>
      <c r="C1273" s="228" t="s">
        <v>105</v>
      </c>
      <c r="D1273" s="231">
        <v>20476.37</v>
      </c>
    </row>
    <row r="1274" spans="1:4" ht="14.25">
      <c r="A1274" s="230">
        <v>312818</v>
      </c>
      <c r="B1274" s="230" t="s">
        <v>28490</v>
      </c>
      <c r="C1274" s="228" t="s">
        <v>105</v>
      </c>
      <c r="D1274" s="231">
        <v>2832.91</v>
      </c>
    </row>
    <row r="1275" spans="1:4" ht="28.5">
      <c r="A1275" s="230">
        <v>312819</v>
      </c>
      <c r="B1275" s="230" t="s">
        <v>28491</v>
      </c>
      <c r="C1275" s="228" t="s">
        <v>105</v>
      </c>
      <c r="D1275" s="231">
        <v>5097.1899999999996</v>
      </c>
    </row>
    <row r="1276" spans="1:4" ht="14.25">
      <c r="A1276" s="230">
        <v>312820</v>
      </c>
      <c r="B1276" s="230" t="s">
        <v>28492</v>
      </c>
      <c r="C1276" s="228" t="s">
        <v>105</v>
      </c>
      <c r="D1276" s="231">
        <v>2070.39</v>
      </c>
    </row>
    <row r="1277" spans="1:4" ht="28.5">
      <c r="A1277" s="230">
        <v>312821</v>
      </c>
      <c r="B1277" s="230" t="s">
        <v>28493</v>
      </c>
      <c r="C1277" s="228" t="s">
        <v>105</v>
      </c>
      <c r="D1277" s="231">
        <v>2070.39</v>
      </c>
    </row>
    <row r="1278" spans="1:4" ht="28.5">
      <c r="A1278" s="230">
        <v>312822</v>
      </c>
      <c r="B1278" s="230" t="s">
        <v>28494</v>
      </c>
      <c r="C1278" s="228" t="s">
        <v>105</v>
      </c>
      <c r="D1278" s="231">
        <v>3920.85</v>
      </c>
    </row>
  </sheetData>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B24" sqref="B24"/>
    </sheetView>
  </sheetViews>
  <sheetFormatPr defaultRowHeight="15"/>
  <cols>
    <col min="1" max="1" width="5.625" style="307" customWidth="1"/>
    <col min="2" max="2" width="25.625" style="307" customWidth="1"/>
    <col min="3" max="3" width="12.625" style="307" customWidth="1"/>
    <col min="4" max="4" width="8.625" style="307" customWidth="1"/>
    <col min="5" max="10" width="5.625" style="307" hidden="1" customWidth="1"/>
    <col min="11" max="16384" width="9" style="307"/>
  </cols>
  <sheetData>
    <row r="1" spans="1:10" ht="30" customHeight="1">
      <c r="A1" s="439" t="s">
        <v>28872</v>
      </c>
      <c r="B1" s="439"/>
      <c r="C1" s="439"/>
      <c r="D1" s="439"/>
      <c r="E1" s="439"/>
      <c r="F1" s="439"/>
      <c r="G1" s="439"/>
      <c r="H1" s="439"/>
      <c r="I1" s="439"/>
      <c r="J1" s="439"/>
    </row>
    <row r="2" spans="1:10">
      <c r="A2" s="315" t="s">
        <v>1013</v>
      </c>
      <c r="B2" s="315" t="s">
        <v>1025</v>
      </c>
      <c r="C2" s="315" t="s">
        <v>28874</v>
      </c>
      <c r="D2" s="315" t="s">
        <v>28797</v>
      </c>
      <c r="E2" s="315" t="s">
        <v>28947</v>
      </c>
      <c r="F2" s="315" t="s">
        <v>28948</v>
      </c>
      <c r="G2" s="315" t="s">
        <v>28949</v>
      </c>
      <c r="H2" s="315" t="s">
        <v>28950</v>
      </c>
      <c r="I2" s="315" t="s">
        <v>28951</v>
      </c>
      <c r="J2" s="315" t="s">
        <v>28952</v>
      </c>
    </row>
    <row r="3" spans="1:10">
      <c r="A3" s="332">
        <v>1</v>
      </c>
      <c r="B3" s="334" t="s">
        <v>28921</v>
      </c>
      <c r="C3" s="335">
        <v>150</v>
      </c>
      <c r="D3" s="308">
        <v>8</v>
      </c>
      <c r="E3" s="308">
        <f>2*2</f>
        <v>4</v>
      </c>
      <c r="F3" s="308">
        <v>3</v>
      </c>
      <c r="G3" s="308"/>
      <c r="H3" s="308"/>
      <c r="I3" s="308"/>
      <c r="J3" s="308">
        <v>2</v>
      </c>
    </row>
    <row r="4" spans="1:10">
      <c r="A4" s="332">
        <v>2</v>
      </c>
      <c r="B4" s="333" t="s">
        <v>28916</v>
      </c>
      <c r="C4" s="330" t="s">
        <v>28882</v>
      </c>
      <c r="D4" s="308">
        <v>14</v>
      </c>
      <c r="E4" s="308">
        <f>3*2</f>
        <v>6</v>
      </c>
      <c r="F4" s="308">
        <v>2</v>
      </c>
      <c r="G4" s="308">
        <v>2</v>
      </c>
      <c r="H4" s="308">
        <v>2</v>
      </c>
      <c r="I4" s="308">
        <v>2</v>
      </c>
      <c r="J4" s="308"/>
    </row>
    <row r="5" spans="1:10">
      <c r="A5" s="332">
        <v>3</v>
      </c>
      <c r="B5" s="333" t="s">
        <v>28916</v>
      </c>
      <c r="C5" s="330" t="s">
        <v>28915</v>
      </c>
      <c r="D5" s="308">
        <v>6</v>
      </c>
      <c r="E5" s="308">
        <f>1*2</f>
        <v>2</v>
      </c>
      <c r="F5" s="308">
        <f>2*2</f>
        <v>4</v>
      </c>
      <c r="G5" s="308"/>
      <c r="H5" s="308"/>
      <c r="I5" s="308"/>
      <c r="J5" s="308"/>
    </row>
    <row r="6" spans="1:10">
      <c r="A6" s="332">
        <v>4</v>
      </c>
      <c r="B6" s="333" t="s">
        <v>28913</v>
      </c>
      <c r="C6" s="330" t="s">
        <v>28914</v>
      </c>
      <c r="D6" s="308">
        <v>23</v>
      </c>
      <c r="E6" s="308">
        <f>7*2</f>
        <v>14</v>
      </c>
      <c r="F6" s="308">
        <f>3*2+3</f>
        <v>9</v>
      </c>
      <c r="G6" s="308"/>
      <c r="H6" s="308"/>
      <c r="I6" s="308"/>
      <c r="J6" s="308"/>
    </row>
    <row r="7" spans="1:10">
      <c r="A7" s="332">
        <v>5</v>
      </c>
      <c r="B7" s="333" t="s">
        <v>28913</v>
      </c>
      <c r="C7" s="330" t="s">
        <v>28882</v>
      </c>
      <c r="D7" s="308">
        <v>14</v>
      </c>
      <c r="E7" s="308">
        <f>2*2</f>
        <v>4</v>
      </c>
      <c r="F7" s="308"/>
      <c r="G7" s="308">
        <v>4</v>
      </c>
      <c r="H7" s="308">
        <v>3</v>
      </c>
      <c r="I7" s="308">
        <v>3</v>
      </c>
      <c r="J7" s="308"/>
    </row>
    <row r="8" spans="1:10">
      <c r="A8" s="332">
        <v>6</v>
      </c>
      <c r="B8" s="333" t="s">
        <v>28913</v>
      </c>
      <c r="C8" s="330" t="s">
        <v>28915</v>
      </c>
      <c r="D8" s="308">
        <v>13</v>
      </c>
      <c r="E8" s="308">
        <f>2*2</f>
        <v>4</v>
      </c>
      <c r="F8" s="308">
        <f>2*2</f>
        <v>4</v>
      </c>
      <c r="G8" s="308"/>
      <c r="H8" s="308"/>
      <c r="I8" s="308"/>
      <c r="J8" s="308">
        <v>5</v>
      </c>
    </row>
    <row r="9" spans="1:10">
      <c r="A9" s="332">
        <v>7</v>
      </c>
      <c r="B9" s="336" t="s">
        <v>28920</v>
      </c>
      <c r="C9" s="330" t="s">
        <v>28919</v>
      </c>
      <c r="D9" s="308">
        <v>9</v>
      </c>
      <c r="E9" s="308">
        <f>3*2</f>
        <v>6</v>
      </c>
      <c r="F9" s="308">
        <v>3</v>
      </c>
      <c r="G9" s="308"/>
      <c r="H9" s="308"/>
      <c r="I9" s="308"/>
      <c r="J9" s="308"/>
    </row>
    <row r="10" spans="1:10">
      <c r="A10" s="332">
        <v>8</v>
      </c>
      <c r="B10" s="333" t="s">
        <v>28917</v>
      </c>
      <c r="C10" s="330" t="s">
        <v>28882</v>
      </c>
      <c r="D10" s="308">
        <v>20</v>
      </c>
      <c r="E10" s="308">
        <f>3*2</f>
        <v>6</v>
      </c>
      <c r="F10" s="308">
        <v>2</v>
      </c>
      <c r="G10" s="308">
        <v>4</v>
      </c>
      <c r="H10" s="308">
        <v>4</v>
      </c>
      <c r="I10" s="308">
        <v>4</v>
      </c>
      <c r="J10" s="308"/>
    </row>
    <row r="11" spans="1:10">
      <c r="A11" s="332">
        <v>9</v>
      </c>
      <c r="B11" s="333" t="s">
        <v>28917</v>
      </c>
      <c r="C11" s="330" t="s">
        <v>28915</v>
      </c>
      <c r="D11" s="308">
        <v>24</v>
      </c>
      <c r="E11" s="308">
        <v>11</v>
      </c>
      <c r="F11" s="308">
        <v>8</v>
      </c>
      <c r="G11" s="308"/>
      <c r="H11" s="308"/>
      <c r="I11" s="308"/>
      <c r="J11" s="308">
        <v>6</v>
      </c>
    </row>
    <row r="12" spans="1:10">
      <c r="A12" s="332">
        <v>10</v>
      </c>
      <c r="B12" s="337" t="s">
        <v>28946</v>
      </c>
      <c r="C12" s="330" t="s">
        <v>28919</v>
      </c>
      <c r="D12" s="308">
        <v>1</v>
      </c>
      <c r="E12" s="308"/>
      <c r="F12" s="308"/>
      <c r="G12" s="308"/>
      <c r="H12" s="308"/>
      <c r="I12" s="308"/>
      <c r="J12" s="308">
        <v>2</v>
      </c>
    </row>
    <row r="13" spans="1:10">
      <c r="A13" s="332">
        <v>11</v>
      </c>
      <c r="B13" s="334" t="s">
        <v>28918</v>
      </c>
      <c r="C13" s="330" t="s">
        <v>28882</v>
      </c>
      <c r="D13" s="308">
        <v>10</v>
      </c>
      <c r="E13" s="308">
        <f>2*2</f>
        <v>4</v>
      </c>
      <c r="F13" s="308">
        <v>2</v>
      </c>
      <c r="G13" s="308"/>
      <c r="H13" s="308">
        <v>3</v>
      </c>
      <c r="I13" s="308">
        <v>1</v>
      </c>
      <c r="J13" s="308"/>
    </row>
    <row r="14" spans="1:10">
      <c r="A14" s="332">
        <v>12</v>
      </c>
      <c r="B14" s="333" t="s">
        <v>28918</v>
      </c>
      <c r="C14" s="330" t="s">
        <v>28915</v>
      </c>
      <c r="D14" s="308">
        <v>5</v>
      </c>
      <c r="E14" s="308">
        <v>1</v>
      </c>
      <c r="F14" s="308">
        <v>1</v>
      </c>
      <c r="G14" s="308"/>
      <c r="H14" s="308"/>
      <c r="I14" s="308"/>
      <c r="J14" s="308">
        <v>1</v>
      </c>
    </row>
    <row r="15" spans="1:10">
      <c r="A15" s="332"/>
      <c r="B15" s="337" t="s">
        <v>28890</v>
      </c>
      <c r="C15" s="338" t="s">
        <v>28914</v>
      </c>
      <c r="D15" s="308">
        <f>ROUNDUP(SUM(E15:J15),0)</f>
        <v>10</v>
      </c>
      <c r="E15" s="308">
        <f>1.8*2+4*0.6</f>
        <v>6</v>
      </c>
      <c r="F15" s="308">
        <f>(0.7+0.6)*2+0.8</f>
        <v>3.3999999999999995</v>
      </c>
      <c r="G15" s="308"/>
      <c r="H15" s="308"/>
      <c r="I15" s="308"/>
      <c r="J15" s="308"/>
    </row>
    <row r="16" spans="1:10">
      <c r="A16" s="308"/>
      <c r="B16" s="329" t="s">
        <v>28890</v>
      </c>
      <c r="C16" s="331" t="s">
        <v>28882</v>
      </c>
      <c r="D16" s="308">
        <f t="shared" ref="D16:D17" si="0">ROUNDUP(SUM(E16:J16),0)</f>
        <v>40</v>
      </c>
      <c r="E16" s="308">
        <f>1.6*2+0.5*2</f>
        <v>4.2</v>
      </c>
      <c r="F16" s="308">
        <v>1.6</v>
      </c>
      <c r="G16" s="308">
        <f>1.6+5+1</f>
        <v>7.6</v>
      </c>
      <c r="H16" s="308">
        <f>4+8</f>
        <v>12</v>
      </c>
      <c r="I16" s="308">
        <f>2.7*2+8</f>
        <v>13.4</v>
      </c>
      <c r="J16" s="308">
        <v>0.4</v>
      </c>
    </row>
    <row r="17" spans="1:10">
      <c r="A17" s="308"/>
      <c r="B17" s="329" t="s">
        <v>28890</v>
      </c>
      <c r="C17" s="331" t="s">
        <v>28915</v>
      </c>
      <c r="D17" s="308">
        <f t="shared" si="0"/>
        <v>73</v>
      </c>
      <c r="E17" s="308">
        <f>5.3+5+13</f>
        <v>23.3</v>
      </c>
      <c r="F17" s="308">
        <f>6.4+5+1</f>
        <v>12.4</v>
      </c>
      <c r="G17" s="308"/>
      <c r="H17" s="308"/>
      <c r="I17" s="308"/>
      <c r="J17" s="308">
        <f>8.55+8+19.3+1</f>
        <v>36.85</v>
      </c>
    </row>
  </sheetData>
  <sortState ref="A3:J17">
    <sortCondition ref="B3"/>
  </sortState>
  <mergeCells count="1">
    <mergeCell ref="A1:J1"/>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5"/>
  <sheetViews>
    <sheetView workbookViewId="0">
      <selection activeCell="M14" sqref="M12:M14"/>
    </sheetView>
  </sheetViews>
  <sheetFormatPr defaultRowHeight="15"/>
  <cols>
    <col min="1" max="1" width="9" style="343"/>
    <col min="2" max="2" width="21.875" style="343" bestFit="1" customWidth="1"/>
    <col min="3" max="3" width="12" style="343" bestFit="1" customWidth="1"/>
    <col min="4" max="4" width="9.875" style="343" bestFit="1" customWidth="1"/>
    <col min="5" max="5" width="16.75" style="343" bestFit="1" customWidth="1"/>
    <col min="6" max="6" width="10.625" style="343" bestFit="1" customWidth="1"/>
    <col min="7" max="7" width="10.625" style="343" customWidth="1"/>
    <col min="8" max="8" width="12.5" style="343" bestFit="1" customWidth="1"/>
    <col min="9" max="16384" width="9" style="342"/>
  </cols>
  <sheetData>
    <row r="2" spans="1:9">
      <c r="A2" s="345" t="s">
        <v>29043</v>
      </c>
    </row>
    <row r="3" spans="1:9">
      <c r="A3" s="343" t="s">
        <v>29021</v>
      </c>
      <c r="B3" s="343" t="s">
        <v>1025</v>
      </c>
      <c r="C3" s="343" t="s">
        <v>29023</v>
      </c>
      <c r="D3" s="343" t="s">
        <v>29022</v>
      </c>
      <c r="E3" s="343" t="s">
        <v>29024</v>
      </c>
      <c r="F3" s="343" t="s">
        <v>29025</v>
      </c>
      <c r="H3" s="343" t="s">
        <v>29027</v>
      </c>
    </row>
    <row r="4" spans="1:9">
      <c r="A4" s="343">
        <v>1</v>
      </c>
      <c r="B4" s="343" t="s">
        <v>29037</v>
      </c>
      <c r="C4" s="343">
        <f>350*4+100*4</f>
        <v>1800</v>
      </c>
      <c r="D4" s="343">
        <v>220</v>
      </c>
      <c r="E4" s="343">
        <v>1</v>
      </c>
      <c r="F4" s="344">
        <v>4</v>
      </c>
      <c r="G4" s="343">
        <f>ROUNDUP(C4/D4,0)</f>
        <v>9</v>
      </c>
      <c r="H4" s="343">
        <v>16</v>
      </c>
      <c r="I4" s="342" t="s">
        <v>29046</v>
      </c>
    </row>
    <row r="5" spans="1:9">
      <c r="A5" s="343">
        <v>2</v>
      </c>
      <c r="B5" s="343" t="s">
        <v>29038</v>
      </c>
      <c r="C5" s="343">
        <f>29*100</f>
        <v>2900</v>
      </c>
      <c r="D5" s="343">
        <v>220</v>
      </c>
      <c r="E5" s="343">
        <v>1</v>
      </c>
      <c r="F5" s="343">
        <v>2.5</v>
      </c>
      <c r="G5" s="343">
        <f t="shared" ref="G5:G11" si="0">ROUNDUP(C5/D5,0)</f>
        <v>14</v>
      </c>
      <c r="H5" s="343">
        <v>20</v>
      </c>
      <c r="I5" s="342" t="s">
        <v>29046</v>
      </c>
    </row>
    <row r="6" spans="1:9">
      <c r="A6" s="343">
        <v>3</v>
      </c>
      <c r="B6" s="343" t="s">
        <v>29040</v>
      </c>
      <c r="C6" s="343">
        <f>1400</f>
        <v>1400</v>
      </c>
      <c r="D6" s="343">
        <v>127</v>
      </c>
      <c r="E6" s="343">
        <v>1</v>
      </c>
      <c r="F6" s="343">
        <v>2.5</v>
      </c>
      <c r="G6" s="343">
        <f t="shared" ref="G6" si="1">ROUNDUP(C6/D6,0)</f>
        <v>12</v>
      </c>
      <c r="H6" s="343">
        <v>16</v>
      </c>
      <c r="I6" s="342" t="s">
        <v>29059</v>
      </c>
    </row>
    <row r="7" spans="1:9">
      <c r="A7" s="343">
        <v>4</v>
      </c>
      <c r="B7" s="343" t="s">
        <v>29039</v>
      </c>
      <c r="C7" s="343">
        <f>50*6*10</f>
        <v>3000</v>
      </c>
      <c r="D7" s="343">
        <v>220</v>
      </c>
      <c r="E7" s="343">
        <v>1</v>
      </c>
      <c r="F7" s="344">
        <v>4</v>
      </c>
      <c r="G7" s="343">
        <f t="shared" si="0"/>
        <v>14</v>
      </c>
      <c r="H7" s="343">
        <v>20</v>
      </c>
      <c r="I7" s="342" t="s">
        <v>29046</v>
      </c>
    </row>
    <row r="8" spans="1:9">
      <c r="A8" s="343">
        <v>5</v>
      </c>
      <c r="B8" s="343" t="s">
        <v>29026</v>
      </c>
      <c r="C8" s="343">
        <v>900</v>
      </c>
      <c r="D8" s="343">
        <v>127</v>
      </c>
      <c r="E8" s="343">
        <v>1</v>
      </c>
      <c r="F8" s="343">
        <v>1.5</v>
      </c>
      <c r="G8" s="343">
        <f t="shared" si="0"/>
        <v>8</v>
      </c>
      <c r="H8" s="343">
        <v>10</v>
      </c>
      <c r="I8" s="342" t="s">
        <v>29059</v>
      </c>
    </row>
    <row r="9" spans="1:9">
      <c r="A9" s="343">
        <v>6</v>
      </c>
      <c r="B9" s="343" t="s">
        <v>29028</v>
      </c>
      <c r="C9" s="343">
        <f>10*100</f>
        <v>1000</v>
      </c>
      <c r="D9" s="343">
        <v>127</v>
      </c>
      <c r="E9" s="343">
        <v>1</v>
      </c>
      <c r="F9" s="343">
        <v>2.5</v>
      </c>
      <c r="G9" s="343">
        <f t="shared" si="0"/>
        <v>8</v>
      </c>
      <c r="H9" s="343">
        <v>10</v>
      </c>
      <c r="I9" s="342" t="s">
        <v>29059</v>
      </c>
    </row>
    <row r="10" spans="1:9">
      <c r="A10" s="343">
        <v>7</v>
      </c>
      <c r="B10" s="343" t="s">
        <v>29028</v>
      </c>
      <c r="C10" s="343">
        <f>6*500</f>
        <v>3000</v>
      </c>
      <c r="D10" s="343">
        <v>220</v>
      </c>
      <c r="E10" s="343">
        <v>1</v>
      </c>
      <c r="F10" s="343">
        <v>2.5</v>
      </c>
      <c r="G10" s="343">
        <f t="shared" si="0"/>
        <v>14</v>
      </c>
      <c r="H10" s="343">
        <v>20</v>
      </c>
      <c r="I10" s="342" t="s">
        <v>29046</v>
      </c>
    </row>
    <row r="11" spans="1:9">
      <c r="C11" s="343">
        <f>SUM(C4:C10)</f>
        <v>14000</v>
      </c>
      <c r="D11" s="343">
        <v>330</v>
      </c>
      <c r="G11" s="343">
        <f t="shared" si="0"/>
        <v>43</v>
      </c>
      <c r="H11" s="343">
        <v>60</v>
      </c>
      <c r="I11" s="342" t="s">
        <v>29058</v>
      </c>
    </row>
    <row r="13" spans="1:9">
      <c r="A13" s="345" t="s">
        <v>29042</v>
      </c>
    </row>
    <row r="14" spans="1:9">
      <c r="A14" s="343" t="s">
        <v>29021</v>
      </c>
      <c r="B14" s="343" t="s">
        <v>1025</v>
      </c>
      <c r="C14" s="343" t="s">
        <v>29023</v>
      </c>
      <c r="D14" s="343" t="s">
        <v>29022</v>
      </c>
      <c r="E14" s="343" t="s">
        <v>29024</v>
      </c>
      <c r="F14" s="343" t="s">
        <v>29025</v>
      </c>
      <c r="H14" s="343" t="s">
        <v>29027</v>
      </c>
    </row>
    <row r="15" spans="1:9">
      <c r="A15" s="343">
        <v>1</v>
      </c>
      <c r="B15" s="343" t="s">
        <v>29026</v>
      </c>
      <c r="C15" s="343">
        <f>600*3+200</f>
        <v>2000</v>
      </c>
      <c r="D15" s="343">
        <v>127</v>
      </c>
      <c r="E15" s="343">
        <v>1</v>
      </c>
      <c r="F15" s="343">
        <v>1.5</v>
      </c>
      <c r="G15" s="343">
        <f>ROUNDUP(C15/D15,0)</f>
        <v>16</v>
      </c>
      <c r="H15" s="343">
        <v>20</v>
      </c>
      <c r="I15" s="342" t="s">
        <v>29059</v>
      </c>
    </row>
    <row r="16" spans="1:9">
      <c r="A16" s="343">
        <v>2</v>
      </c>
      <c r="B16" s="343" t="s">
        <v>29026</v>
      </c>
      <c r="C16" s="343">
        <f>600+300</f>
        <v>900</v>
      </c>
      <c r="D16" s="343">
        <v>127</v>
      </c>
      <c r="E16" s="343">
        <v>1</v>
      </c>
      <c r="F16" s="343">
        <v>1.5</v>
      </c>
      <c r="G16" s="343">
        <f t="shared" ref="G16:G22" si="2">ROUNDUP(C16/D16,0)</f>
        <v>8</v>
      </c>
      <c r="H16" s="343">
        <v>10</v>
      </c>
      <c r="I16" s="342" t="s">
        <v>29059</v>
      </c>
    </row>
    <row r="17" spans="1:9">
      <c r="A17" s="343">
        <v>3</v>
      </c>
      <c r="B17" s="343" t="s">
        <v>29026</v>
      </c>
      <c r="C17" s="343">
        <f>600*3</f>
        <v>1800</v>
      </c>
      <c r="D17" s="343">
        <v>127</v>
      </c>
      <c r="E17" s="343">
        <v>1</v>
      </c>
      <c r="F17" s="343">
        <v>1.5</v>
      </c>
      <c r="G17" s="343">
        <f t="shared" si="2"/>
        <v>15</v>
      </c>
      <c r="H17" s="343">
        <v>20</v>
      </c>
      <c r="I17" s="342" t="s">
        <v>29059</v>
      </c>
    </row>
    <row r="18" spans="1:9">
      <c r="A18" s="343">
        <v>4</v>
      </c>
      <c r="B18" s="343" t="s">
        <v>29028</v>
      </c>
      <c r="C18" s="343">
        <f>1500</f>
        <v>1500</v>
      </c>
      <c r="D18" s="343">
        <v>127</v>
      </c>
      <c r="E18" s="343">
        <v>1</v>
      </c>
      <c r="F18" s="343">
        <v>2.5</v>
      </c>
      <c r="G18" s="343">
        <f t="shared" si="2"/>
        <v>12</v>
      </c>
      <c r="H18" s="343">
        <v>16</v>
      </c>
      <c r="I18" s="342" t="s">
        <v>29059</v>
      </c>
    </row>
    <row r="19" spans="1:9">
      <c r="A19" s="343">
        <v>5</v>
      </c>
      <c r="B19" s="343" t="s">
        <v>29028</v>
      </c>
      <c r="C19" s="343">
        <v>800</v>
      </c>
      <c r="D19" s="343">
        <v>127</v>
      </c>
      <c r="E19" s="343">
        <v>1</v>
      </c>
      <c r="F19" s="343">
        <v>2.5</v>
      </c>
      <c r="G19" s="343">
        <f t="shared" si="2"/>
        <v>7</v>
      </c>
      <c r="H19" s="343">
        <v>10</v>
      </c>
      <c r="I19" s="342" t="s">
        <v>29059</v>
      </c>
    </row>
    <row r="20" spans="1:9">
      <c r="A20" s="343">
        <v>6</v>
      </c>
      <c r="B20" s="343" t="s">
        <v>29028</v>
      </c>
      <c r="C20" s="343">
        <v>1500</v>
      </c>
      <c r="D20" s="343">
        <v>127</v>
      </c>
      <c r="E20" s="343">
        <v>1</v>
      </c>
      <c r="F20" s="343">
        <v>2.5</v>
      </c>
      <c r="G20" s="343">
        <f t="shared" si="2"/>
        <v>12</v>
      </c>
      <c r="H20" s="343">
        <v>16</v>
      </c>
      <c r="I20" s="342" t="s">
        <v>29059</v>
      </c>
    </row>
    <row r="21" spans="1:9">
      <c r="A21" s="343">
        <v>7</v>
      </c>
      <c r="B21" s="343" t="s">
        <v>29026</v>
      </c>
      <c r="C21" s="343">
        <v>600</v>
      </c>
      <c r="D21" s="343">
        <v>220</v>
      </c>
      <c r="E21" s="343">
        <v>1</v>
      </c>
      <c r="F21" s="343">
        <v>2.5</v>
      </c>
      <c r="G21" s="343">
        <f t="shared" si="2"/>
        <v>3</v>
      </c>
      <c r="H21" s="343">
        <v>10</v>
      </c>
      <c r="I21" s="342" t="s">
        <v>29046</v>
      </c>
    </row>
    <row r="22" spans="1:9">
      <c r="C22" s="343">
        <f>SUM(C15:C21)</f>
        <v>9100</v>
      </c>
      <c r="D22" s="343">
        <v>330</v>
      </c>
      <c r="G22" s="343">
        <f t="shared" si="2"/>
        <v>28</v>
      </c>
      <c r="H22" s="343">
        <v>50</v>
      </c>
      <c r="I22" s="342" t="s">
        <v>29058</v>
      </c>
    </row>
    <row r="24" spans="1:9">
      <c r="A24" s="345" t="s">
        <v>29044</v>
      </c>
    </row>
    <row r="25" spans="1:9">
      <c r="A25" s="343" t="s">
        <v>29021</v>
      </c>
      <c r="B25" s="343" t="s">
        <v>1025</v>
      </c>
      <c r="C25" s="343" t="s">
        <v>29023</v>
      </c>
      <c r="D25" s="343" t="s">
        <v>29022</v>
      </c>
      <c r="E25" s="343" t="s">
        <v>29024</v>
      </c>
      <c r="F25" s="343" t="s">
        <v>29025</v>
      </c>
      <c r="H25" s="343" t="s">
        <v>29027</v>
      </c>
    </row>
    <row r="26" spans="1:9">
      <c r="A26" s="343">
        <v>1</v>
      </c>
      <c r="B26" s="343" t="s">
        <v>29026</v>
      </c>
      <c r="C26" s="343">
        <f>900</f>
        <v>900</v>
      </c>
      <c r="D26" s="343">
        <v>127</v>
      </c>
      <c r="E26" s="343">
        <v>1</v>
      </c>
      <c r="F26" s="343">
        <v>1.5</v>
      </c>
      <c r="G26" s="343">
        <f>ROUNDUP(C26/D26,0)</f>
        <v>8</v>
      </c>
      <c r="H26" s="343">
        <v>10</v>
      </c>
      <c r="I26" s="342" t="s">
        <v>29059</v>
      </c>
    </row>
    <row r="27" spans="1:9">
      <c r="A27" s="343">
        <v>2</v>
      </c>
      <c r="B27" s="343" t="s">
        <v>1775</v>
      </c>
      <c r="C27" s="343">
        <f>600+500</f>
        <v>1100</v>
      </c>
      <c r="D27" s="343">
        <v>127</v>
      </c>
      <c r="E27" s="343">
        <v>1</v>
      </c>
      <c r="F27" s="343">
        <v>1.5</v>
      </c>
      <c r="G27" s="343">
        <f t="shared" ref="G27" si="3">ROUNDUP(C27/D27,0)</f>
        <v>9</v>
      </c>
      <c r="H27" s="343">
        <v>10</v>
      </c>
      <c r="I27" s="342" t="s">
        <v>29059</v>
      </c>
    </row>
    <row r="28" spans="1:9">
      <c r="A28" s="343">
        <v>3</v>
      </c>
      <c r="B28" s="343" t="s">
        <v>29041</v>
      </c>
      <c r="C28" s="343">
        <v>2000</v>
      </c>
      <c r="D28" s="343">
        <v>220</v>
      </c>
      <c r="E28" s="343">
        <v>1</v>
      </c>
      <c r="F28" s="343">
        <v>2.5</v>
      </c>
      <c r="G28" s="343">
        <f t="shared" ref="G28:G29" si="4">ROUNDUP(C28/D28,0)</f>
        <v>10</v>
      </c>
      <c r="H28" s="343">
        <v>10</v>
      </c>
      <c r="I28" s="342" t="s">
        <v>29046</v>
      </c>
    </row>
    <row r="29" spans="1:9">
      <c r="C29" s="343">
        <f>SUM(C26:C28)</f>
        <v>4000</v>
      </c>
      <c r="D29" s="343">
        <v>220</v>
      </c>
      <c r="G29" s="343">
        <f t="shared" si="4"/>
        <v>19</v>
      </c>
      <c r="H29" s="343">
        <v>25</v>
      </c>
      <c r="I29" s="342" t="s">
        <v>29046</v>
      </c>
    </row>
    <row r="31" spans="1:9">
      <c r="A31" s="345" t="s">
        <v>29045</v>
      </c>
    </row>
    <row r="32" spans="1:9">
      <c r="A32" s="343" t="s">
        <v>29021</v>
      </c>
      <c r="B32" s="343" t="s">
        <v>1025</v>
      </c>
      <c r="C32" s="343" t="s">
        <v>29023</v>
      </c>
      <c r="D32" s="343" t="s">
        <v>29022</v>
      </c>
      <c r="E32" s="343" t="s">
        <v>29024</v>
      </c>
      <c r="F32" s="343" t="s">
        <v>29025</v>
      </c>
      <c r="H32" s="343" t="s">
        <v>29027</v>
      </c>
    </row>
    <row r="33" spans="1:9">
      <c r="A33" s="343">
        <v>1</v>
      </c>
      <c r="B33" s="343" t="s">
        <v>29026</v>
      </c>
      <c r="C33" s="343">
        <f>900</f>
        <v>900</v>
      </c>
      <c r="D33" s="343">
        <v>127</v>
      </c>
      <c r="E33" s="343">
        <v>1</v>
      </c>
      <c r="F33" s="343">
        <v>1.5</v>
      </c>
      <c r="G33" s="343">
        <f>ROUNDUP(C33/D33,0)</f>
        <v>8</v>
      </c>
      <c r="H33" s="343">
        <v>10</v>
      </c>
      <c r="I33" s="342" t="s">
        <v>29059</v>
      </c>
    </row>
    <row r="34" spans="1:9">
      <c r="A34" s="343">
        <v>2</v>
      </c>
      <c r="B34" s="343" t="s">
        <v>1775</v>
      </c>
      <c r="C34" s="343">
        <f>600+500*2</f>
        <v>1600</v>
      </c>
      <c r="D34" s="343">
        <v>220</v>
      </c>
      <c r="E34" s="343">
        <v>1</v>
      </c>
      <c r="F34" s="343">
        <v>2.5</v>
      </c>
      <c r="G34" s="343">
        <f t="shared" ref="G34:G35" si="5">ROUNDUP(C34/D34,0)</f>
        <v>8</v>
      </c>
      <c r="H34" s="343">
        <v>10</v>
      </c>
      <c r="I34" s="342" t="s">
        <v>29046</v>
      </c>
    </row>
    <row r="35" spans="1:9">
      <c r="C35" s="343">
        <f>SUM(C33:C34)</f>
        <v>2500</v>
      </c>
      <c r="D35" s="343">
        <v>220</v>
      </c>
      <c r="G35" s="343">
        <f t="shared" si="5"/>
        <v>12</v>
      </c>
      <c r="H35" s="343">
        <v>16</v>
      </c>
      <c r="I35" s="342" t="s">
        <v>29046</v>
      </c>
    </row>
  </sheetData>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265"/>
  <sheetViews>
    <sheetView topLeftCell="A331" workbookViewId="0">
      <selection activeCell="H351" sqref="H351"/>
    </sheetView>
  </sheetViews>
  <sheetFormatPr defaultRowHeight="11.25"/>
  <cols>
    <col min="1" max="1" width="9.75" style="13" customWidth="1"/>
    <col min="2" max="2" width="29.25" style="13" customWidth="1"/>
    <col min="3" max="3" width="4.25" style="13" customWidth="1"/>
    <col min="4" max="4" width="4" style="13" customWidth="1"/>
    <col min="5" max="5" width="16.75" style="13" bestFit="1" customWidth="1"/>
    <col min="6" max="1024" width="8.375" style="13" customWidth="1"/>
    <col min="1025" max="16384" width="9" style="13"/>
  </cols>
  <sheetData>
    <row r="1" spans="1:5">
      <c r="A1" s="20" t="s">
        <v>2175</v>
      </c>
      <c r="B1" s="46" t="s">
        <v>28171</v>
      </c>
    </row>
    <row r="2" spans="1:5">
      <c r="A2" s="13">
        <v>1</v>
      </c>
      <c r="B2" s="13">
        <v>2</v>
      </c>
      <c r="C2" s="13">
        <v>3</v>
      </c>
      <c r="D2" s="13">
        <v>5</v>
      </c>
      <c r="E2" s="13">
        <v>5</v>
      </c>
    </row>
    <row r="3" spans="1:5">
      <c r="A3" s="13" t="s">
        <v>19</v>
      </c>
      <c r="B3" s="13" t="s">
        <v>20</v>
      </c>
      <c r="C3" s="13" t="s">
        <v>5</v>
      </c>
      <c r="D3" s="13" t="s">
        <v>21</v>
      </c>
      <c r="E3" s="13" t="s">
        <v>22</v>
      </c>
    </row>
    <row r="4" spans="1:5" ht="14.25">
      <c r="A4" s="37">
        <v>2418</v>
      </c>
      <c r="B4" s="37" t="s">
        <v>26823</v>
      </c>
      <c r="C4" s="37" t="s">
        <v>2348</v>
      </c>
      <c r="D4" s="37" t="s">
        <v>2353</v>
      </c>
      <c r="E4" s="212">
        <v>7.98</v>
      </c>
    </row>
    <row r="5" spans="1:5" ht="14.25">
      <c r="A5" s="37">
        <v>3378</v>
      </c>
      <c r="B5" s="37" t="s">
        <v>26824</v>
      </c>
      <c r="C5" s="37" t="s">
        <v>2348</v>
      </c>
      <c r="D5" s="37" t="s">
        <v>2349</v>
      </c>
      <c r="E5" s="212">
        <v>85.71</v>
      </c>
    </row>
    <row r="6" spans="1:5" ht="14.25">
      <c r="A6" s="37">
        <v>3380</v>
      </c>
      <c r="B6" s="37" t="s">
        <v>26825</v>
      </c>
      <c r="C6" s="37" t="s">
        <v>2348</v>
      </c>
      <c r="D6" s="37" t="s">
        <v>2353</v>
      </c>
      <c r="E6" s="212">
        <v>60</v>
      </c>
    </row>
    <row r="7" spans="1:5" ht="14.25">
      <c r="A7" s="37">
        <v>3379</v>
      </c>
      <c r="B7" s="37" t="s">
        <v>26826</v>
      </c>
      <c r="C7" s="37" t="s">
        <v>2348</v>
      </c>
      <c r="D7" s="37" t="s">
        <v>2349</v>
      </c>
      <c r="E7" s="212">
        <v>57.93</v>
      </c>
    </row>
    <row r="8" spans="1:5" ht="14.25">
      <c r="A8" s="37">
        <v>615</v>
      </c>
      <c r="B8" s="37" t="s">
        <v>26827</v>
      </c>
      <c r="C8" s="37" t="s">
        <v>28761</v>
      </c>
      <c r="D8" s="37" t="s">
        <v>2351</v>
      </c>
      <c r="E8" s="212">
        <v>440.78</v>
      </c>
    </row>
    <row r="9" spans="1:5" ht="14.25">
      <c r="A9" s="37">
        <v>606</v>
      </c>
      <c r="B9" s="37" t="s">
        <v>26828</v>
      </c>
      <c r="C9" s="37" t="s">
        <v>28761</v>
      </c>
      <c r="D9" s="37" t="s">
        <v>2351</v>
      </c>
      <c r="E9" s="212">
        <v>692.41</v>
      </c>
    </row>
    <row r="10" spans="1:5" ht="14.25">
      <c r="A10" s="37">
        <v>13382</v>
      </c>
      <c r="B10" s="37" t="s">
        <v>26829</v>
      </c>
      <c r="C10" s="37" t="s">
        <v>2348</v>
      </c>
      <c r="D10" s="37" t="s">
        <v>2351</v>
      </c>
      <c r="E10" s="212">
        <v>492.71</v>
      </c>
    </row>
    <row r="11" spans="1:5" ht="14.25">
      <c r="A11" s="37">
        <v>11199</v>
      </c>
      <c r="B11" s="37" t="s">
        <v>26830</v>
      </c>
      <c r="C11" s="37" t="s">
        <v>2348</v>
      </c>
      <c r="D11" s="37" t="s">
        <v>2351</v>
      </c>
      <c r="E11" s="212">
        <v>993.55</v>
      </c>
    </row>
    <row r="12" spans="1:5" ht="14.25">
      <c r="A12" s="37">
        <v>21136</v>
      </c>
      <c r="B12" s="37" t="s">
        <v>26831</v>
      </c>
      <c r="C12" s="37" t="s">
        <v>2355</v>
      </c>
      <c r="D12" s="37" t="s">
        <v>2351</v>
      </c>
      <c r="E12" s="212">
        <v>17.13</v>
      </c>
    </row>
    <row r="13" spans="1:5" ht="14.25">
      <c r="A13" s="37">
        <v>21128</v>
      </c>
      <c r="B13" s="37" t="s">
        <v>26832</v>
      </c>
      <c r="C13" s="37" t="s">
        <v>2355</v>
      </c>
      <c r="D13" s="37" t="s">
        <v>2351</v>
      </c>
      <c r="E13" s="212">
        <v>13.26</v>
      </c>
    </row>
    <row r="14" spans="1:5" ht="14.25">
      <c r="A14" s="37">
        <v>21130</v>
      </c>
      <c r="B14" s="37" t="s">
        <v>26833</v>
      </c>
      <c r="C14" s="37" t="s">
        <v>2355</v>
      </c>
      <c r="D14" s="37" t="s">
        <v>2351</v>
      </c>
      <c r="E14" s="212">
        <v>33.49</v>
      </c>
    </row>
    <row r="15" spans="1:5" ht="14.25">
      <c r="A15" s="37">
        <v>21135</v>
      </c>
      <c r="B15" s="37" t="s">
        <v>26834</v>
      </c>
      <c r="C15" s="37" t="s">
        <v>2355</v>
      </c>
      <c r="D15" s="37" t="s">
        <v>2351</v>
      </c>
      <c r="E15" s="212">
        <v>32.97</v>
      </c>
    </row>
    <row r="16" spans="1:5" ht="14.25">
      <c r="A16" s="37">
        <v>38605</v>
      </c>
      <c r="B16" s="37" t="s">
        <v>26835</v>
      </c>
      <c r="C16" s="37" t="s">
        <v>2348</v>
      </c>
      <c r="D16" s="37" t="s">
        <v>2349</v>
      </c>
      <c r="E16" s="212">
        <v>97.73</v>
      </c>
    </row>
    <row r="17" spans="1:5" ht="14.25">
      <c r="A17" s="37">
        <v>11270</v>
      </c>
      <c r="B17" s="37" t="s">
        <v>26836</v>
      </c>
      <c r="C17" s="37" t="s">
        <v>2348</v>
      </c>
      <c r="D17" s="37" t="s">
        <v>2351</v>
      </c>
      <c r="E17" s="212">
        <v>2.46</v>
      </c>
    </row>
    <row r="18" spans="1:5" ht="14.25">
      <c r="A18" s="37">
        <v>412</v>
      </c>
      <c r="B18" s="37" t="s">
        <v>26837</v>
      </c>
      <c r="C18" s="37" t="s">
        <v>2348</v>
      </c>
      <c r="D18" s="37" t="s">
        <v>2349</v>
      </c>
      <c r="E18" s="212">
        <v>1.1299999999999999</v>
      </c>
    </row>
    <row r="19" spans="1:5" ht="14.25">
      <c r="A19" s="37">
        <v>414</v>
      </c>
      <c r="B19" s="37" t="s">
        <v>26838</v>
      </c>
      <c r="C19" s="37" t="s">
        <v>2348</v>
      </c>
      <c r="D19" s="37" t="s">
        <v>2349</v>
      </c>
      <c r="E19" s="212">
        <v>7.0000000000000007E-2</v>
      </c>
    </row>
    <row r="20" spans="1:5" ht="14.25">
      <c r="A20" s="37">
        <v>410</v>
      </c>
      <c r="B20" s="37" t="s">
        <v>26839</v>
      </c>
      <c r="C20" s="37" t="s">
        <v>2348</v>
      </c>
      <c r="D20" s="37" t="s">
        <v>2349</v>
      </c>
      <c r="E20" s="212">
        <v>0.17</v>
      </c>
    </row>
    <row r="21" spans="1:5" ht="14.25">
      <c r="A21" s="37">
        <v>411</v>
      </c>
      <c r="B21" s="37" t="s">
        <v>26840</v>
      </c>
      <c r="C21" s="37" t="s">
        <v>2348</v>
      </c>
      <c r="D21" s="37" t="s">
        <v>2353</v>
      </c>
      <c r="E21" s="212">
        <v>0.22</v>
      </c>
    </row>
    <row r="22" spans="1:5" ht="14.25">
      <c r="A22" s="37">
        <v>408</v>
      </c>
      <c r="B22" s="37" t="s">
        <v>26841</v>
      </c>
      <c r="C22" s="37" t="s">
        <v>2348</v>
      </c>
      <c r="D22" s="37" t="s">
        <v>2349</v>
      </c>
      <c r="E22" s="212">
        <v>1.0900000000000001</v>
      </c>
    </row>
    <row r="23" spans="1:5" ht="14.25">
      <c r="A23" s="37">
        <v>39131</v>
      </c>
      <c r="B23" s="37" t="s">
        <v>26842</v>
      </c>
      <c r="C23" s="37" t="s">
        <v>2348</v>
      </c>
      <c r="D23" s="37" t="s">
        <v>2349</v>
      </c>
      <c r="E23" s="212">
        <v>4.13</v>
      </c>
    </row>
    <row r="24" spans="1:5" ht="14.25">
      <c r="A24" s="37">
        <v>394</v>
      </c>
      <c r="B24" s="37" t="s">
        <v>26843</v>
      </c>
      <c r="C24" s="37" t="s">
        <v>2348</v>
      </c>
      <c r="D24" s="37" t="s">
        <v>2349</v>
      </c>
      <c r="E24" s="212">
        <v>4.18</v>
      </c>
    </row>
    <row r="25" spans="1:5" ht="14.25">
      <c r="A25" s="37">
        <v>39130</v>
      </c>
      <c r="B25" s="37" t="s">
        <v>26844</v>
      </c>
      <c r="C25" s="37" t="s">
        <v>2348</v>
      </c>
      <c r="D25" s="37" t="s">
        <v>2349</v>
      </c>
      <c r="E25" s="212">
        <v>3.77</v>
      </c>
    </row>
    <row r="26" spans="1:5" ht="14.25">
      <c r="A26" s="37">
        <v>395</v>
      </c>
      <c r="B26" s="37" t="s">
        <v>26845</v>
      </c>
      <c r="C26" s="37" t="s">
        <v>2348</v>
      </c>
      <c r="D26" s="37" t="s">
        <v>2349</v>
      </c>
      <c r="E26" s="212">
        <v>4.03</v>
      </c>
    </row>
    <row r="27" spans="1:5" ht="14.25">
      <c r="A27" s="37">
        <v>39127</v>
      </c>
      <c r="B27" s="37" t="s">
        <v>26846</v>
      </c>
      <c r="C27" s="37" t="s">
        <v>2348</v>
      </c>
      <c r="D27" s="37" t="s">
        <v>2349</v>
      </c>
      <c r="E27" s="212">
        <v>1.99</v>
      </c>
    </row>
    <row r="28" spans="1:5" ht="14.25">
      <c r="A28" s="37">
        <v>392</v>
      </c>
      <c r="B28" s="37" t="s">
        <v>26847</v>
      </c>
      <c r="C28" s="37" t="s">
        <v>2348</v>
      </c>
      <c r="D28" s="37" t="s">
        <v>2349</v>
      </c>
      <c r="E28" s="212">
        <v>2.04</v>
      </c>
    </row>
    <row r="29" spans="1:5" ht="14.25">
      <c r="A29" s="37">
        <v>39129</v>
      </c>
      <c r="B29" s="37" t="s">
        <v>26848</v>
      </c>
      <c r="C29" s="37" t="s">
        <v>2348</v>
      </c>
      <c r="D29" s="37" t="s">
        <v>2349</v>
      </c>
      <c r="E29" s="212">
        <v>2.3199999999999998</v>
      </c>
    </row>
    <row r="30" spans="1:5" ht="14.25">
      <c r="A30" s="37">
        <v>393</v>
      </c>
      <c r="B30" s="37" t="s">
        <v>26849</v>
      </c>
      <c r="C30" s="37" t="s">
        <v>2348</v>
      </c>
      <c r="D30" s="37" t="s">
        <v>2353</v>
      </c>
      <c r="E30" s="212">
        <v>2.4300000000000002</v>
      </c>
    </row>
    <row r="31" spans="1:5" ht="14.25">
      <c r="A31" s="37">
        <v>39133</v>
      </c>
      <c r="B31" s="37" t="s">
        <v>26850</v>
      </c>
      <c r="C31" s="37" t="s">
        <v>2348</v>
      </c>
      <c r="D31" s="37" t="s">
        <v>2349</v>
      </c>
      <c r="E31" s="212">
        <v>5.42</v>
      </c>
    </row>
    <row r="32" spans="1:5" ht="14.25">
      <c r="A32" s="37">
        <v>397</v>
      </c>
      <c r="B32" s="37" t="s">
        <v>26851</v>
      </c>
      <c r="C32" s="37" t="s">
        <v>2348</v>
      </c>
      <c r="D32" s="37" t="s">
        <v>2349</v>
      </c>
      <c r="E32" s="212">
        <v>5.99</v>
      </c>
    </row>
    <row r="33" spans="1:5" ht="14.25">
      <c r="A33" s="37">
        <v>39132</v>
      </c>
      <c r="B33" s="37" t="s">
        <v>26852</v>
      </c>
      <c r="C33" s="37" t="s">
        <v>2348</v>
      </c>
      <c r="D33" s="37" t="s">
        <v>2349</v>
      </c>
      <c r="E33" s="212">
        <v>4.34</v>
      </c>
    </row>
    <row r="34" spans="1:5" ht="14.25">
      <c r="A34" s="37">
        <v>396</v>
      </c>
      <c r="B34" s="37" t="s">
        <v>26853</v>
      </c>
      <c r="C34" s="37" t="s">
        <v>2348</v>
      </c>
      <c r="D34" s="37" t="s">
        <v>2349</v>
      </c>
      <c r="E34" s="212">
        <v>4.6500000000000004</v>
      </c>
    </row>
    <row r="35" spans="1:5" ht="14.25">
      <c r="A35" s="37">
        <v>39135</v>
      </c>
      <c r="B35" s="37" t="s">
        <v>26854</v>
      </c>
      <c r="C35" s="37" t="s">
        <v>2348</v>
      </c>
      <c r="D35" s="37" t="s">
        <v>2349</v>
      </c>
      <c r="E35" s="212">
        <v>8.68</v>
      </c>
    </row>
    <row r="36" spans="1:5" ht="14.25">
      <c r="A36" s="37">
        <v>39128</v>
      </c>
      <c r="B36" s="37" t="s">
        <v>26855</v>
      </c>
      <c r="C36" s="37" t="s">
        <v>2348</v>
      </c>
      <c r="D36" s="37" t="s">
        <v>2349</v>
      </c>
      <c r="E36" s="212">
        <v>2.17</v>
      </c>
    </row>
    <row r="37" spans="1:5" ht="14.25">
      <c r="A37" s="37">
        <v>400</v>
      </c>
      <c r="B37" s="37" t="s">
        <v>26856</v>
      </c>
      <c r="C37" s="37" t="s">
        <v>2348</v>
      </c>
      <c r="D37" s="37" t="s">
        <v>2349</v>
      </c>
      <c r="E37" s="212">
        <v>2.11</v>
      </c>
    </row>
    <row r="38" spans="1:5" ht="14.25">
      <c r="A38" s="37">
        <v>39125</v>
      </c>
      <c r="B38" s="37" t="s">
        <v>26857</v>
      </c>
      <c r="C38" s="37" t="s">
        <v>2348</v>
      </c>
      <c r="D38" s="37" t="s">
        <v>2349</v>
      </c>
      <c r="E38" s="212">
        <v>2.17</v>
      </c>
    </row>
    <row r="39" spans="1:5" ht="14.25">
      <c r="A39" s="37">
        <v>39134</v>
      </c>
      <c r="B39" s="37" t="s">
        <v>26858</v>
      </c>
      <c r="C39" s="37" t="s">
        <v>2348</v>
      </c>
      <c r="D39" s="37" t="s">
        <v>2349</v>
      </c>
      <c r="E39" s="212">
        <v>7.23</v>
      </c>
    </row>
    <row r="40" spans="1:5" ht="14.25">
      <c r="A40" s="37">
        <v>398</v>
      </c>
      <c r="B40" s="37" t="s">
        <v>26859</v>
      </c>
      <c r="C40" s="37" t="s">
        <v>2348</v>
      </c>
      <c r="D40" s="37" t="s">
        <v>2349</v>
      </c>
      <c r="E40" s="212">
        <v>6.66</v>
      </c>
    </row>
    <row r="41" spans="1:5" ht="14.25">
      <c r="A41" s="37">
        <v>39126</v>
      </c>
      <c r="B41" s="37" t="s">
        <v>26860</v>
      </c>
      <c r="C41" s="37" t="s">
        <v>2348</v>
      </c>
      <c r="D41" s="37" t="s">
        <v>2349</v>
      </c>
      <c r="E41" s="212">
        <v>9.77</v>
      </c>
    </row>
    <row r="42" spans="1:5" ht="14.25">
      <c r="A42" s="37">
        <v>399</v>
      </c>
      <c r="B42" s="37" t="s">
        <v>26861</v>
      </c>
      <c r="C42" s="37" t="s">
        <v>2348</v>
      </c>
      <c r="D42" s="37" t="s">
        <v>2349</v>
      </c>
      <c r="E42" s="212">
        <v>8.6</v>
      </c>
    </row>
    <row r="43" spans="1:5" ht="14.25">
      <c r="A43" s="37">
        <v>39158</v>
      </c>
      <c r="B43" s="37" t="s">
        <v>26862</v>
      </c>
      <c r="C43" s="37" t="s">
        <v>2348</v>
      </c>
      <c r="D43" s="37" t="s">
        <v>2349</v>
      </c>
      <c r="E43" s="212">
        <v>23.11</v>
      </c>
    </row>
    <row r="44" spans="1:5" ht="14.25">
      <c r="A44" s="37">
        <v>39141</v>
      </c>
      <c r="B44" s="37" t="s">
        <v>26863</v>
      </c>
      <c r="C44" s="37" t="s">
        <v>2348</v>
      </c>
      <c r="D44" s="37" t="s">
        <v>2349</v>
      </c>
      <c r="E44" s="212">
        <v>1.68</v>
      </c>
    </row>
    <row r="45" spans="1:5" ht="14.25">
      <c r="A45" s="37">
        <v>39140</v>
      </c>
      <c r="B45" s="37" t="s">
        <v>26864</v>
      </c>
      <c r="C45" s="37" t="s">
        <v>2348</v>
      </c>
      <c r="D45" s="37" t="s">
        <v>2349</v>
      </c>
      <c r="E45" s="212">
        <v>1.52</v>
      </c>
    </row>
    <row r="46" spans="1:5" ht="14.25">
      <c r="A46" s="37">
        <v>39137</v>
      </c>
      <c r="B46" s="37" t="s">
        <v>26865</v>
      </c>
      <c r="C46" s="37" t="s">
        <v>2348</v>
      </c>
      <c r="D46" s="37" t="s">
        <v>2349</v>
      </c>
      <c r="E46" s="212">
        <v>0.87</v>
      </c>
    </row>
    <row r="47" spans="1:5" ht="14.25">
      <c r="A47" s="37">
        <v>39139</v>
      </c>
      <c r="B47" s="37" t="s">
        <v>26866</v>
      </c>
      <c r="C47" s="37" t="s">
        <v>2348</v>
      </c>
      <c r="D47" s="37" t="s">
        <v>2349</v>
      </c>
      <c r="E47" s="212">
        <v>1.26</v>
      </c>
    </row>
    <row r="48" spans="1:5" ht="14.25">
      <c r="A48" s="37">
        <v>39143</v>
      </c>
      <c r="B48" s="37" t="s">
        <v>26867</v>
      </c>
      <c r="C48" s="37" t="s">
        <v>2348</v>
      </c>
      <c r="D48" s="37" t="s">
        <v>2349</v>
      </c>
      <c r="E48" s="212">
        <v>3.46</v>
      </c>
    </row>
    <row r="49" spans="1:5" ht="14.25">
      <c r="A49" s="37">
        <v>39142</v>
      </c>
      <c r="B49" s="37" t="s">
        <v>26868</v>
      </c>
      <c r="C49" s="37" t="s">
        <v>2348</v>
      </c>
      <c r="D49" s="37" t="s">
        <v>2349</v>
      </c>
      <c r="E49" s="212">
        <v>2.48</v>
      </c>
    </row>
    <row r="50" spans="1:5" ht="14.25">
      <c r="A50" s="37">
        <v>39138</v>
      </c>
      <c r="B50" s="37" t="s">
        <v>26869</v>
      </c>
      <c r="C50" s="37" t="s">
        <v>2348</v>
      </c>
      <c r="D50" s="37" t="s">
        <v>2349</v>
      </c>
      <c r="E50" s="212">
        <v>0.93</v>
      </c>
    </row>
    <row r="51" spans="1:5" ht="14.25">
      <c r="A51" s="37">
        <v>39136</v>
      </c>
      <c r="B51" s="37" t="s">
        <v>26870</v>
      </c>
      <c r="C51" s="37" t="s">
        <v>2348</v>
      </c>
      <c r="D51" s="37" t="s">
        <v>2349</v>
      </c>
      <c r="E51" s="212">
        <v>0.62</v>
      </c>
    </row>
    <row r="52" spans="1:5" ht="14.25">
      <c r="A52" s="37">
        <v>39144</v>
      </c>
      <c r="B52" s="37" t="s">
        <v>26871</v>
      </c>
      <c r="C52" s="37" t="s">
        <v>2348</v>
      </c>
      <c r="D52" s="37" t="s">
        <v>2349</v>
      </c>
      <c r="E52" s="212">
        <v>4.03</v>
      </c>
    </row>
    <row r="53" spans="1:5" ht="14.25">
      <c r="A53" s="37">
        <v>39145</v>
      </c>
      <c r="B53" s="37" t="s">
        <v>26872</v>
      </c>
      <c r="C53" s="37" t="s">
        <v>2348</v>
      </c>
      <c r="D53" s="37" t="s">
        <v>2349</v>
      </c>
      <c r="E53" s="212">
        <v>6.64</v>
      </c>
    </row>
    <row r="54" spans="1:5" ht="14.25">
      <c r="A54" s="37">
        <v>12615</v>
      </c>
      <c r="B54" s="37" t="s">
        <v>26873</v>
      </c>
      <c r="C54" s="37" t="s">
        <v>2348</v>
      </c>
      <c r="D54" s="37" t="s">
        <v>2351</v>
      </c>
      <c r="E54" s="212">
        <v>4.93</v>
      </c>
    </row>
    <row r="55" spans="1:5" ht="14.25">
      <c r="A55" s="37">
        <v>11927</v>
      </c>
      <c r="B55" s="37" t="s">
        <v>26874</v>
      </c>
      <c r="C55" s="37" t="s">
        <v>2348</v>
      </c>
      <c r="D55" s="37" t="s">
        <v>2351</v>
      </c>
      <c r="E55" s="212">
        <v>7.34</v>
      </c>
    </row>
    <row r="56" spans="1:5" ht="14.25">
      <c r="A56" s="37">
        <v>11928</v>
      </c>
      <c r="B56" s="37" t="s">
        <v>26875</v>
      </c>
      <c r="C56" s="37" t="s">
        <v>2348</v>
      </c>
      <c r="D56" s="37" t="s">
        <v>2351</v>
      </c>
      <c r="E56" s="212">
        <v>8.41</v>
      </c>
    </row>
    <row r="57" spans="1:5" ht="14.25">
      <c r="A57" s="37">
        <v>11929</v>
      </c>
      <c r="B57" s="37" t="s">
        <v>26876</v>
      </c>
      <c r="C57" s="37" t="s">
        <v>2348</v>
      </c>
      <c r="D57" s="37" t="s">
        <v>2351</v>
      </c>
      <c r="E57" s="212">
        <v>13.01</v>
      </c>
    </row>
    <row r="58" spans="1:5" ht="14.25">
      <c r="A58" s="37">
        <v>36801</v>
      </c>
      <c r="B58" s="37" t="s">
        <v>26877</v>
      </c>
      <c r="C58" s="37" t="s">
        <v>2348</v>
      </c>
      <c r="D58" s="37" t="s">
        <v>2349</v>
      </c>
      <c r="E58" s="212">
        <v>24.28</v>
      </c>
    </row>
    <row r="59" spans="1:5" ht="14.25">
      <c r="A59" s="37">
        <v>36246</v>
      </c>
      <c r="B59" s="37" t="s">
        <v>26878</v>
      </c>
      <c r="C59" s="37" t="s">
        <v>2355</v>
      </c>
      <c r="D59" s="37" t="s">
        <v>2349</v>
      </c>
      <c r="E59" s="212">
        <v>3.99</v>
      </c>
    </row>
    <row r="60" spans="1:5" ht="14.25">
      <c r="A60" s="37">
        <v>37600</v>
      </c>
      <c r="B60" s="37" t="s">
        <v>26879</v>
      </c>
      <c r="C60" s="37" t="s">
        <v>2348</v>
      </c>
      <c r="D60" s="37" t="s">
        <v>2351</v>
      </c>
      <c r="E60" s="212">
        <v>114.61</v>
      </c>
    </row>
    <row r="61" spans="1:5" ht="14.25">
      <c r="A61" s="37">
        <v>37599</v>
      </c>
      <c r="B61" s="37" t="s">
        <v>26880</v>
      </c>
      <c r="C61" s="37" t="s">
        <v>2348</v>
      </c>
      <c r="D61" s="37" t="s">
        <v>2351</v>
      </c>
      <c r="E61" s="212">
        <v>106.68</v>
      </c>
    </row>
    <row r="62" spans="1:5" ht="14.25">
      <c r="A62" s="37">
        <v>1</v>
      </c>
      <c r="B62" s="37" t="s">
        <v>26881</v>
      </c>
      <c r="C62" s="37" t="s">
        <v>2356</v>
      </c>
      <c r="D62" s="37" t="s">
        <v>2353</v>
      </c>
      <c r="E62" s="212">
        <v>50</v>
      </c>
    </row>
    <row r="63" spans="1:5" ht="14.25">
      <c r="A63" s="37">
        <v>3</v>
      </c>
      <c r="B63" s="37" t="s">
        <v>26882</v>
      </c>
      <c r="C63" s="37" t="s">
        <v>2363</v>
      </c>
      <c r="D63" s="37" t="s">
        <v>2349</v>
      </c>
      <c r="E63" s="212">
        <v>12.02</v>
      </c>
    </row>
    <row r="64" spans="1:5" ht="14.25">
      <c r="A64" s="37">
        <v>43054</v>
      </c>
      <c r="B64" s="37" t="s">
        <v>26883</v>
      </c>
      <c r="C64" s="37" t="s">
        <v>2356</v>
      </c>
      <c r="D64" s="37" t="s">
        <v>2349</v>
      </c>
      <c r="E64" s="212">
        <v>13.07</v>
      </c>
    </row>
    <row r="65" spans="1:5" ht="14.25">
      <c r="A65" s="37">
        <v>42402</v>
      </c>
      <c r="B65" s="37" t="s">
        <v>26884</v>
      </c>
      <c r="C65" s="37" t="s">
        <v>2356</v>
      </c>
      <c r="D65" s="37" t="s">
        <v>2349</v>
      </c>
      <c r="E65" s="212">
        <v>12.49</v>
      </c>
    </row>
    <row r="66" spans="1:5" ht="14.25">
      <c r="A66" s="37">
        <v>42403</v>
      </c>
      <c r="B66" s="37" t="s">
        <v>26885</v>
      </c>
      <c r="C66" s="37" t="s">
        <v>2356</v>
      </c>
      <c r="D66" s="37" t="s">
        <v>2349</v>
      </c>
      <c r="E66" s="212">
        <v>16.03</v>
      </c>
    </row>
    <row r="67" spans="1:5" ht="14.25">
      <c r="A67" s="37">
        <v>42404</v>
      </c>
      <c r="B67" s="37" t="s">
        <v>26886</v>
      </c>
      <c r="C67" s="37" t="s">
        <v>2356</v>
      </c>
      <c r="D67" s="37" t="s">
        <v>2349</v>
      </c>
      <c r="E67" s="212">
        <v>15.94</v>
      </c>
    </row>
    <row r="68" spans="1:5" ht="14.25">
      <c r="A68" s="37">
        <v>42405</v>
      </c>
      <c r="B68" s="37" t="s">
        <v>26887</v>
      </c>
      <c r="C68" s="37" t="s">
        <v>2356</v>
      </c>
      <c r="D68" s="37" t="s">
        <v>2349</v>
      </c>
      <c r="E68" s="212">
        <v>16.98</v>
      </c>
    </row>
    <row r="69" spans="1:5" ht="14.25">
      <c r="A69" s="37">
        <v>34341</v>
      </c>
      <c r="B69" s="37" t="s">
        <v>26888</v>
      </c>
      <c r="C69" s="37" t="s">
        <v>2356</v>
      </c>
      <c r="D69" s="37" t="s">
        <v>2349</v>
      </c>
      <c r="E69" s="212">
        <v>14.74</v>
      </c>
    </row>
    <row r="70" spans="1:5" ht="14.25">
      <c r="A70" s="37">
        <v>43053</v>
      </c>
      <c r="B70" s="37" t="s">
        <v>26889</v>
      </c>
      <c r="C70" s="37" t="s">
        <v>2356</v>
      </c>
      <c r="D70" s="37" t="s">
        <v>2349</v>
      </c>
      <c r="E70" s="212">
        <v>11.68</v>
      </c>
    </row>
    <row r="71" spans="1:5" ht="14.25">
      <c r="A71" s="37">
        <v>43058</v>
      </c>
      <c r="B71" s="37" t="s">
        <v>26890</v>
      </c>
      <c r="C71" s="37" t="s">
        <v>2356</v>
      </c>
      <c r="D71" s="37" t="s">
        <v>2349</v>
      </c>
      <c r="E71" s="212">
        <v>12.11</v>
      </c>
    </row>
    <row r="72" spans="1:5" ht="14.25">
      <c r="A72" s="37">
        <v>34</v>
      </c>
      <c r="B72" s="37" t="s">
        <v>26891</v>
      </c>
      <c r="C72" s="37" t="s">
        <v>2356</v>
      </c>
      <c r="D72" s="37" t="s">
        <v>2349</v>
      </c>
      <c r="E72" s="212">
        <v>12.17</v>
      </c>
    </row>
    <row r="73" spans="1:5" ht="14.25">
      <c r="A73" s="37">
        <v>43055</v>
      </c>
      <c r="B73" s="37" t="s">
        <v>26892</v>
      </c>
      <c r="C73" s="37" t="s">
        <v>2356</v>
      </c>
      <c r="D73" s="37" t="s">
        <v>2353</v>
      </c>
      <c r="E73" s="212">
        <v>10.54</v>
      </c>
    </row>
    <row r="74" spans="1:5" ht="14.25">
      <c r="A74" s="37">
        <v>43056</v>
      </c>
      <c r="B74" s="37" t="s">
        <v>26893</v>
      </c>
      <c r="C74" s="37" t="s">
        <v>2356</v>
      </c>
      <c r="D74" s="37" t="s">
        <v>2349</v>
      </c>
      <c r="E74" s="212">
        <v>12.15</v>
      </c>
    </row>
    <row r="75" spans="1:5" ht="14.25">
      <c r="A75" s="37">
        <v>43057</v>
      </c>
      <c r="B75" s="37" t="s">
        <v>26894</v>
      </c>
      <c r="C75" s="37" t="s">
        <v>2356</v>
      </c>
      <c r="D75" s="37" t="s">
        <v>2349</v>
      </c>
      <c r="E75" s="212">
        <v>13.36</v>
      </c>
    </row>
    <row r="76" spans="1:5" ht="14.25">
      <c r="A76" s="37">
        <v>34449</v>
      </c>
      <c r="B76" s="37" t="s">
        <v>26895</v>
      </c>
      <c r="C76" s="37" t="s">
        <v>2356</v>
      </c>
      <c r="D76" s="37" t="s">
        <v>2349</v>
      </c>
      <c r="E76" s="212">
        <v>14.28</v>
      </c>
    </row>
    <row r="77" spans="1:5" ht="14.25">
      <c r="A77" s="37">
        <v>32</v>
      </c>
      <c r="B77" s="37" t="s">
        <v>26896</v>
      </c>
      <c r="C77" s="37" t="s">
        <v>2356</v>
      </c>
      <c r="D77" s="37" t="s">
        <v>2349</v>
      </c>
      <c r="E77" s="212">
        <v>12.84</v>
      </c>
    </row>
    <row r="78" spans="1:5" ht="14.25">
      <c r="A78" s="37">
        <v>33</v>
      </c>
      <c r="B78" s="37" t="s">
        <v>26897</v>
      </c>
      <c r="C78" s="37" t="s">
        <v>2356</v>
      </c>
      <c r="D78" s="37" t="s">
        <v>2349</v>
      </c>
      <c r="E78" s="212">
        <v>12.91</v>
      </c>
    </row>
    <row r="79" spans="1:5" ht="14.25">
      <c r="A79" s="37">
        <v>43061</v>
      </c>
      <c r="B79" s="37" t="s">
        <v>26898</v>
      </c>
      <c r="C79" s="37" t="s">
        <v>2356</v>
      </c>
      <c r="D79" s="37" t="s">
        <v>2349</v>
      </c>
      <c r="E79" s="212">
        <v>12.06</v>
      </c>
    </row>
    <row r="80" spans="1:5" ht="14.25">
      <c r="A80" s="37">
        <v>43059</v>
      </c>
      <c r="B80" s="37" t="s">
        <v>26899</v>
      </c>
      <c r="C80" s="37" t="s">
        <v>2356</v>
      </c>
      <c r="D80" s="37" t="s">
        <v>2349</v>
      </c>
      <c r="E80" s="212">
        <v>11.51</v>
      </c>
    </row>
    <row r="81" spans="1:5" ht="14.25">
      <c r="A81" s="37">
        <v>43062</v>
      </c>
      <c r="B81" s="37" t="s">
        <v>26900</v>
      </c>
      <c r="C81" s="37" t="s">
        <v>2356</v>
      </c>
      <c r="D81" s="37" t="s">
        <v>2349</v>
      </c>
      <c r="E81" s="212">
        <v>12.76</v>
      </c>
    </row>
    <row r="82" spans="1:5" ht="14.25">
      <c r="A82" s="37">
        <v>43060</v>
      </c>
      <c r="B82" s="37" t="s">
        <v>26901</v>
      </c>
      <c r="C82" s="37" t="s">
        <v>2356</v>
      </c>
      <c r="D82" s="37" t="s">
        <v>2349</v>
      </c>
      <c r="E82" s="212">
        <v>10.029999999999999</v>
      </c>
    </row>
    <row r="83" spans="1:5" ht="14.25">
      <c r="A83" s="37">
        <v>20063</v>
      </c>
      <c r="B83" s="37" t="s">
        <v>26902</v>
      </c>
      <c r="C83" s="37" t="s">
        <v>2348</v>
      </c>
      <c r="D83" s="37" t="s">
        <v>2351</v>
      </c>
      <c r="E83" s="212">
        <v>4.9000000000000004</v>
      </c>
    </row>
    <row r="84" spans="1:5" ht="14.25">
      <c r="A84" s="37">
        <v>40410</v>
      </c>
      <c r="B84" s="37" t="s">
        <v>26903</v>
      </c>
      <c r="C84" s="37" t="s">
        <v>2348</v>
      </c>
      <c r="D84" s="37" t="s">
        <v>2351</v>
      </c>
      <c r="E84" s="212">
        <v>31.27</v>
      </c>
    </row>
    <row r="85" spans="1:5" ht="14.25">
      <c r="A85" s="37">
        <v>40411</v>
      </c>
      <c r="B85" s="37" t="s">
        <v>26904</v>
      </c>
      <c r="C85" s="37" t="s">
        <v>2348</v>
      </c>
      <c r="D85" s="37" t="s">
        <v>2351</v>
      </c>
      <c r="E85" s="212">
        <v>33.93</v>
      </c>
    </row>
    <row r="86" spans="1:5" ht="14.25">
      <c r="A86" s="37">
        <v>40412</v>
      </c>
      <c r="B86" s="37" t="s">
        <v>26905</v>
      </c>
      <c r="C86" s="37" t="s">
        <v>2348</v>
      </c>
      <c r="D86" s="37" t="s">
        <v>2351</v>
      </c>
      <c r="E86" s="212">
        <v>38.090000000000003</v>
      </c>
    </row>
    <row r="87" spans="1:5" ht="14.25">
      <c r="A87" s="37">
        <v>38838</v>
      </c>
      <c r="B87" s="37" t="s">
        <v>26906</v>
      </c>
      <c r="C87" s="37" t="s">
        <v>2348</v>
      </c>
      <c r="D87" s="37" t="s">
        <v>2351</v>
      </c>
      <c r="E87" s="212">
        <v>10.85</v>
      </c>
    </row>
    <row r="88" spans="1:5" ht="14.25">
      <c r="A88" s="37">
        <v>38839</v>
      </c>
      <c r="B88" s="37" t="s">
        <v>26907</v>
      </c>
      <c r="C88" s="37" t="s">
        <v>2348</v>
      </c>
      <c r="D88" s="37" t="s">
        <v>2351</v>
      </c>
      <c r="E88" s="212">
        <v>12.78</v>
      </c>
    </row>
    <row r="89" spans="1:5" ht="14.25">
      <c r="A89" s="37">
        <v>55</v>
      </c>
      <c r="B89" s="37" t="s">
        <v>26908</v>
      </c>
      <c r="C89" s="37" t="s">
        <v>2348</v>
      </c>
      <c r="D89" s="37" t="s">
        <v>2351</v>
      </c>
      <c r="E89" s="212">
        <v>4.5</v>
      </c>
    </row>
    <row r="90" spans="1:5" ht="14.25">
      <c r="A90" s="37">
        <v>61</v>
      </c>
      <c r="B90" s="37" t="s">
        <v>26909</v>
      </c>
      <c r="C90" s="37" t="s">
        <v>2348</v>
      </c>
      <c r="D90" s="37" t="s">
        <v>2351</v>
      </c>
      <c r="E90" s="212">
        <v>4.25</v>
      </c>
    </row>
    <row r="91" spans="1:5" ht="14.25">
      <c r="A91" s="37">
        <v>62</v>
      </c>
      <c r="B91" s="37" t="s">
        <v>26910</v>
      </c>
      <c r="C91" s="37" t="s">
        <v>2348</v>
      </c>
      <c r="D91" s="37" t="s">
        <v>2351</v>
      </c>
      <c r="E91" s="212">
        <v>8.82</v>
      </c>
    </row>
    <row r="92" spans="1:5" ht="14.25">
      <c r="A92" s="37">
        <v>77</v>
      </c>
      <c r="B92" s="37" t="s">
        <v>26911</v>
      </c>
      <c r="C92" s="37" t="s">
        <v>2348</v>
      </c>
      <c r="D92" s="37" t="s">
        <v>2349</v>
      </c>
      <c r="E92" s="212">
        <v>1.84</v>
      </c>
    </row>
    <row r="93" spans="1:5" ht="14.25">
      <c r="A93" s="37">
        <v>76</v>
      </c>
      <c r="B93" s="37" t="s">
        <v>26912</v>
      </c>
      <c r="C93" s="37" t="s">
        <v>2348</v>
      </c>
      <c r="D93" s="37" t="s">
        <v>2349</v>
      </c>
      <c r="E93" s="212">
        <v>1.87</v>
      </c>
    </row>
    <row r="94" spans="1:5" ht="14.25">
      <c r="A94" s="37">
        <v>67</v>
      </c>
      <c r="B94" s="37" t="s">
        <v>26913</v>
      </c>
      <c r="C94" s="37" t="s">
        <v>2348</v>
      </c>
      <c r="D94" s="37" t="s">
        <v>2349</v>
      </c>
      <c r="E94" s="212">
        <v>18.05</v>
      </c>
    </row>
    <row r="95" spans="1:5" ht="14.25">
      <c r="A95" s="37">
        <v>71</v>
      </c>
      <c r="B95" s="37" t="s">
        <v>26914</v>
      </c>
      <c r="C95" s="37" t="s">
        <v>2348</v>
      </c>
      <c r="D95" s="37" t="s">
        <v>2349</v>
      </c>
      <c r="E95" s="212">
        <v>33.17</v>
      </c>
    </row>
    <row r="96" spans="1:5" ht="14.25">
      <c r="A96" s="37">
        <v>73</v>
      </c>
      <c r="B96" s="37" t="s">
        <v>26915</v>
      </c>
      <c r="C96" s="37" t="s">
        <v>2348</v>
      </c>
      <c r="D96" s="37" t="s">
        <v>2349</v>
      </c>
      <c r="E96" s="212">
        <v>24.77</v>
      </c>
    </row>
    <row r="97" spans="1:5" ht="14.25">
      <c r="A97" s="37">
        <v>103</v>
      </c>
      <c r="B97" s="37" t="s">
        <v>26916</v>
      </c>
      <c r="C97" s="37" t="s">
        <v>2348</v>
      </c>
      <c r="D97" s="37" t="s">
        <v>2349</v>
      </c>
      <c r="E97" s="212">
        <v>73.67</v>
      </c>
    </row>
    <row r="98" spans="1:5" ht="14.25">
      <c r="A98" s="37">
        <v>107</v>
      </c>
      <c r="B98" s="37" t="s">
        <v>26917</v>
      </c>
      <c r="C98" s="37" t="s">
        <v>2348</v>
      </c>
      <c r="D98" s="37" t="s">
        <v>2349</v>
      </c>
      <c r="E98" s="212">
        <v>1.1499999999999999</v>
      </c>
    </row>
    <row r="99" spans="1:5" ht="14.25">
      <c r="A99" s="37">
        <v>65</v>
      </c>
      <c r="B99" s="37" t="s">
        <v>26918</v>
      </c>
      <c r="C99" s="37" t="s">
        <v>2348</v>
      </c>
      <c r="D99" s="37" t="s">
        <v>2349</v>
      </c>
      <c r="E99" s="212">
        <v>1.42</v>
      </c>
    </row>
    <row r="100" spans="1:5" ht="14.25">
      <c r="A100" s="37">
        <v>108</v>
      </c>
      <c r="B100" s="37" t="s">
        <v>26919</v>
      </c>
      <c r="C100" s="37" t="s">
        <v>2348</v>
      </c>
      <c r="D100" s="37" t="s">
        <v>2349</v>
      </c>
      <c r="E100" s="212">
        <v>2.94</v>
      </c>
    </row>
    <row r="101" spans="1:5" ht="14.25">
      <c r="A101" s="37">
        <v>110</v>
      </c>
      <c r="B101" s="37" t="s">
        <v>26920</v>
      </c>
      <c r="C101" s="37" t="s">
        <v>2348</v>
      </c>
      <c r="D101" s="37" t="s">
        <v>2349</v>
      </c>
      <c r="E101" s="212">
        <v>11.38</v>
      </c>
    </row>
    <row r="102" spans="1:5" ht="14.25">
      <c r="A102" s="37">
        <v>109</v>
      </c>
      <c r="B102" s="37" t="s">
        <v>26921</v>
      </c>
      <c r="C102" s="37" t="s">
        <v>2348</v>
      </c>
      <c r="D102" s="37" t="s">
        <v>2349</v>
      </c>
      <c r="E102" s="212">
        <v>5.61</v>
      </c>
    </row>
    <row r="103" spans="1:5" ht="14.25">
      <c r="A103" s="37">
        <v>111</v>
      </c>
      <c r="B103" s="37" t="s">
        <v>26922</v>
      </c>
      <c r="C103" s="37" t="s">
        <v>2348</v>
      </c>
      <c r="D103" s="37" t="s">
        <v>2349</v>
      </c>
      <c r="E103" s="212">
        <v>13.12</v>
      </c>
    </row>
    <row r="104" spans="1:5" ht="14.25">
      <c r="A104" s="37">
        <v>112</v>
      </c>
      <c r="B104" s="37" t="s">
        <v>26923</v>
      </c>
      <c r="C104" s="37" t="s">
        <v>2348</v>
      </c>
      <c r="D104" s="37" t="s">
        <v>2349</v>
      </c>
      <c r="E104" s="212">
        <v>7.14</v>
      </c>
    </row>
    <row r="105" spans="1:5" ht="14.25">
      <c r="A105" s="37">
        <v>113</v>
      </c>
      <c r="B105" s="37" t="s">
        <v>26924</v>
      </c>
      <c r="C105" s="37" t="s">
        <v>2348</v>
      </c>
      <c r="D105" s="37" t="s">
        <v>2349</v>
      </c>
      <c r="E105" s="212">
        <v>19.38</v>
      </c>
    </row>
    <row r="106" spans="1:5" ht="14.25">
      <c r="A106" s="37">
        <v>104</v>
      </c>
      <c r="B106" s="37" t="s">
        <v>26925</v>
      </c>
      <c r="C106" s="37" t="s">
        <v>2348</v>
      </c>
      <c r="D106" s="37" t="s">
        <v>2349</v>
      </c>
      <c r="E106" s="212">
        <v>28.18</v>
      </c>
    </row>
    <row r="107" spans="1:5" ht="14.25">
      <c r="A107" s="37">
        <v>102</v>
      </c>
      <c r="B107" s="37" t="s">
        <v>26926</v>
      </c>
      <c r="C107" s="37" t="s">
        <v>2348</v>
      </c>
      <c r="D107" s="37" t="s">
        <v>2349</v>
      </c>
      <c r="E107" s="212">
        <v>46.27</v>
      </c>
    </row>
    <row r="108" spans="1:5" ht="14.25">
      <c r="A108" s="37">
        <v>95</v>
      </c>
      <c r="B108" s="37" t="s">
        <v>26927</v>
      </c>
      <c r="C108" s="37" t="s">
        <v>2348</v>
      </c>
      <c r="D108" s="37" t="s">
        <v>2349</v>
      </c>
      <c r="E108" s="212">
        <v>15.66</v>
      </c>
    </row>
    <row r="109" spans="1:5" ht="14.25">
      <c r="A109" s="37">
        <v>96</v>
      </c>
      <c r="B109" s="37" t="s">
        <v>26928</v>
      </c>
      <c r="C109" s="37" t="s">
        <v>2348</v>
      </c>
      <c r="D109" s="37" t="s">
        <v>2349</v>
      </c>
      <c r="E109" s="212">
        <v>18.010000000000002</v>
      </c>
    </row>
    <row r="110" spans="1:5" ht="14.25">
      <c r="A110" s="37">
        <v>97</v>
      </c>
      <c r="B110" s="37" t="s">
        <v>26929</v>
      </c>
      <c r="C110" s="37" t="s">
        <v>2348</v>
      </c>
      <c r="D110" s="37" t="s">
        <v>2349</v>
      </c>
      <c r="E110" s="212">
        <v>23.39</v>
      </c>
    </row>
    <row r="111" spans="1:5" ht="14.25">
      <c r="A111" s="37">
        <v>98</v>
      </c>
      <c r="B111" s="37" t="s">
        <v>26930</v>
      </c>
      <c r="C111" s="37" t="s">
        <v>2348</v>
      </c>
      <c r="D111" s="37" t="s">
        <v>2349</v>
      </c>
      <c r="E111" s="212">
        <v>31.52</v>
      </c>
    </row>
    <row r="112" spans="1:5" ht="14.25">
      <c r="A112" s="37">
        <v>99</v>
      </c>
      <c r="B112" s="37" t="s">
        <v>26931</v>
      </c>
      <c r="C112" s="37" t="s">
        <v>2348</v>
      </c>
      <c r="D112" s="37" t="s">
        <v>2349</v>
      </c>
      <c r="E112" s="212">
        <v>38.229999999999997</v>
      </c>
    </row>
    <row r="113" spans="1:5" ht="14.25">
      <c r="A113" s="37">
        <v>100</v>
      </c>
      <c r="B113" s="37" t="s">
        <v>26932</v>
      </c>
      <c r="C113" s="37" t="s">
        <v>2348</v>
      </c>
      <c r="D113" s="37" t="s">
        <v>2349</v>
      </c>
      <c r="E113" s="212">
        <v>53.34</v>
      </c>
    </row>
    <row r="114" spans="1:5" ht="14.25">
      <c r="A114" s="37">
        <v>75</v>
      </c>
      <c r="B114" s="37" t="s">
        <v>26933</v>
      </c>
      <c r="C114" s="37" t="s">
        <v>2348</v>
      </c>
      <c r="D114" s="37" t="s">
        <v>2349</v>
      </c>
      <c r="E114" s="212">
        <v>555.88</v>
      </c>
    </row>
    <row r="115" spans="1:5" ht="14.25">
      <c r="A115" s="37">
        <v>114</v>
      </c>
      <c r="B115" s="37" t="s">
        <v>26934</v>
      </c>
      <c r="C115" s="37" t="s">
        <v>2348</v>
      </c>
      <c r="D115" s="37" t="s">
        <v>2349</v>
      </c>
      <c r="E115" s="212">
        <v>20.260000000000002</v>
      </c>
    </row>
    <row r="116" spans="1:5" ht="14.25">
      <c r="A116" s="37">
        <v>68</v>
      </c>
      <c r="B116" s="37" t="s">
        <v>26935</v>
      </c>
      <c r="C116" s="37" t="s">
        <v>2348</v>
      </c>
      <c r="D116" s="37" t="s">
        <v>2349</v>
      </c>
      <c r="E116" s="212">
        <v>30.97</v>
      </c>
    </row>
    <row r="117" spans="1:5" ht="14.25">
      <c r="A117" s="37">
        <v>86</v>
      </c>
      <c r="B117" s="37" t="s">
        <v>26936</v>
      </c>
      <c r="C117" s="37" t="s">
        <v>2348</v>
      </c>
      <c r="D117" s="37" t="s">
        <v>2349</v>
      </c>
      <c r="E117" s="212">
        <v>57.58</v>
      </c>
    </row>
    <row r="118" spans="1:5" ht="14.25">
      <c r="A118" s="37">
        <v>66</v>
      </c>
      <c r="B118" s="37" t="s">
        <v>26937</v>
      </c>
      <c r="C118" s="37" t="s">
        <v>2348</v>
      </c>
      <c r="D118" s="37" t="s">
        <v>2349</v>
      </c>
      <c r="E118" s="212">
        <v>57.79</v>
      </c>
    </row>
    <row r="119" spans="1:5" ht="14.25">
      <c r="A119" s="37">
        <v>69</v>
      </c>
      <c r="B119" s="37" t="s">
        <v>26938</v>
      </c>
      <c r="C119" s="37" t="s">
        <v>2348</v>
      </c>
      <c r="D119" s="37" t="s">
        <v>2349</v>
      </c>
      <c r="E119" s="212">
        <v>88.33</v>
      </c>
    </row>
    <row r="120" spans="1:5" ht="14.25">
      <c r="A120" s="37">
        <v>83</v>
      </c>
      <c r="B120" s="37" t="s">
        <v>26939</v>
      </c>
      <c r="C120" s="37" t="s">
        <v>2348</v>
      </c>
      <c r="D120" s="37" t="s">
        <v>2349</v>
      </c>
      <c r="E120" s="212">
        <v>282.11</v>
      </c>
    </row>
    <row r="121" spans="1:5" ht="14.25">
      <c r="A121" s="37">
        <v>74</v>
      </c>
      <c r="B121" s="37" t="s">
        <v>26940</v>
      </c>
      <c r="C121" s="37" t="s">
        <v>2348</v>
      </c>
      <c r="D121" s="37" t="s">
        <v>2349</v>
      </c>
      <c r="E121" s="212">
        <v>393.85</v>
      </c>
    </row>
    <row r="122" spans="1:5" ht="14.25">
      <c r="A122" s="37">
        <v>106</v>
      </c>
      <c r="B122" s="37" t="s">
        <v>26941</v>
      </c>
      <c r="C122" s="37" t="s">
        <v>2348</v>
      </c>
      <c r="D122" s="37" t="s">
        <v>2349</v>
      </c>
      <c r="E122" s="212">
        <v>598.32000000000005</v>
      </c>
    </row>
    <row r="123" spans="1:5" ht="14.25">
      <c r="A123" s="37">
        <v>87</v>
      </c>
      <c r="B123" s="37" t="s">
        <v>26942</v>
      </c>
      <c r="C123" s="37" t="s">
        <v>2348</v>
      </c>
      <c r="D123" s="37" t="s">
        <v>2349</v>
      </c>
      <c r="E123" s="212">
        <v>28.44</v>
      </c>
    </row>
    <row r="124" spans="1:5" ht="14.25">
      <c r="A124" s="37">
        <v>88</v>
      </c>
      <c r="B124" s="37" t="s">
        <v>26943</v>
      </c>
      <c r="C124" s="37" t="s">
        <v>2348</v>
      </c>
      <c r="D124" s="37" t="s">
        <v>2349</v>
      </c>
      <c r="E124" s="212">
        <v>31.74</v>
      </c>
    </row>
    <row r="125" spans="1:5" ht="14.25">
      <c r="A125" s="37">
        <v>89</v>
      </c>
      <c r="B125" s="37" t="s">
        <v>26944</v>
      </c>
      <c r="C125" s="37" t="s">
        <v>2348</v>
      </c>
      <c r="D125" s="37" t="s">
        <v>2349</v>
      </c>
      <c r="E125" s="212">
        <v>46.93</v>
      </c>
    </row>
    <row r="126" spans="1:5" ht="14.25">
      <c r="A126" s="37">
        <v>90</v>
      </c>
      <c r="B126" s="37" t="s">
        <v>26945</v>
      </c>
      <c r="C126" s="37" t="s">
        <v>2348</v>
      </c>
      <c r="D126" s="37" t="s">
        <v>2349</v>
      </c>
      <c r="E126" s="212">
        <v>53.77</v>
      </c>
    </row>
    <row r="127" spans="1:5" ht="14.25">
      <c r="A127" s="37">
        <v>81</v>
      </c>
      <c r="B127" s="37" t="s">
        <v>26946</v>
      </c>
      <c r="C127" s="37" t="s">
        <v>2348</v>
      </c>
      <c r="D127" s="37" t="s">
        <v>2349</v>
      </c>
      <c r="E127" s="212">
        <v>91.96</v>
      </c>
    </row>
    <row r="128" spans="1:5" ht="14.25">
      <c r="A128" s="37">
        <v>82</v>
      </c>
      <c r="B128" s="37" t="s">
        <v>26947</v>
      </c>
      <c r="C128" s="37" t="s">
        <v>2348</v>
      </c>
      <c r="D128" s="37" t="s">
        <v>2349</v>
      </c>
      <c r="E128" s="212">
        <v>357</v>
      </c>
    </row>
    <row r="129" spans="1:5" ht="14.25">
      <c r="A129" s="37">
        <v>105</v>
      </c>
      <c r="B129" s="37" t="s">
        <v>26948</v>
      </c>
      <c r="C129" s="37" t="s">
        <v>2348</v>
      </c>
      <c r="D129" s="37" t="s">
        <v>2349</v>
      </c>
      <c r="E129" s="212">
        <v>417.96</v>
      </c>
    </row>
    <row r="130" spans="1:5" ht="14.25">
      <c r="A130" s="37">
        <v>60</v>
      </c>
      <c r="B130" s="37" t="s">
        <v>26949</v>
      </c>
      <c r="C130" s="37" t="s">
        <v>2348</v>
      </c>
      <c r="D130" s="37" t="s">
        <v>2351</v>
      </c>
      <c r="E130" s="212">
        <v>5.84</v>
      </c>
    </row>
    <row r="131" spans="1:5" ht="14.25">
      <c r="A131" s="37">
        <v>72</v>
      </c>
      <c r="B131" s="37" t="s">
        <v>26950</v>
      </c>
      <c r="C131" s="37" t="s">
        <v>2348</v>
      </c>
      <c r="D131" s="37" t="s">
        <v>2349</v>
      </c>
      <c r="E131" s="212">
        <v>56.22</v>
      </c>
    </row>
    <row r="132" spans="1:5" ht="14.25">
      <c r="A132" s="37">
        <v>70</v>
      </c>
      <c r="B132" s="37" t="s">
        <v>26951</v>
      </c>
      <c r="C132" s="37" t="s">
        <v>2348</v>
      </c>
      <c r="D132" s="37" t="s">
        <v>2349</v>
      </c>
      <c r="E132" s="212">
        <v>47.01</v>
      </c>
    </row>
    <row r="133" spans="1:5" ht="14.25">
      <c r="A133" s="37">
        <v>85</v>
      </c>
      <c r="B133" s="37" t="s">
        <v>26952</v>
      </c>
      <c r="C133" s="37" t="s">
        <v>2348</v>
      </c>
      <c r="D133" s="37" t="s">
        <v>2349</v>
      </c>
      <c r="E133" s="212">
        <v>68.23</v>
      </c>
    </row>
    <row r="134" spans="1:5" ht="14.25">
      <c r="A134" s="37">
        <v>84</v>
      </c>
      <c r="B134" s="37" t="s">
        <v>26953</v>
      </c>
      <c r="C134" s="37" t="s">
        <v>2348</v>
      </c>
      <c r="D134" s="37" t="s">
        <v>2349</v>
      </c>
      <c r="E134" s="212">
        <v>0.79</v>
      </c>
    </row>
    <row r="135" spans="1:5" ht="14.25">
      <c r="A135" s="37">
        <v>37997</v>
      </c>
      <c r="B135" s="37" t="s">
        <v>26954</v>
      </c>
      <c r="C135" s="37" t="s">
        <v>2348</v>
      </c>
      <c r="D135" s="37" t="s">
        <v>2349</v>
      </c>
      <c r="E135" s="212">
        <v>8.61</v>
      </c>
    </row>
    <row r="136" spans="1:5" ht="14.25">
      <c r="A136" s="37">
        <v>37998</v>
      </c>
      <c r="B136" s="37" t="s">
        <v>26955</v>
      </c>
      <c r="C136" s="37" t="s">
        <v>2348</v>
      </c>
      <c r="D136" s="37" t="s">
        <v>2349</v>
      </c>
      <c r="E136" s="212">
        <v>8.92</v>
      </c>
    </row>
    <row r="137" spans="1:5" ht="14.25">
      <c r="A137" s="37">
        <v>10899</v>
      </c>
      <c r="B137" s="37" t="s">
        <v>26956</v>
      </c>
      <c r="C137" s="37" t="s">
        <v>2348</v>
      </c>
      <c r="D137" s="37" t="s">
        <v>2349</v>
      </c>
      <c r="E137" s="212">
        <v>80.39</v>
      </c>
    </row>
    <row r="138" spans="1:5" ht="14.25">
      <c r="A138" s="37">
        <v>10900</v>
      </c>
      <c r="B138" s="37" t="s">
        <v>26957</v>
      </c>
      <c r="C138" s="37" t="s">
        <v>2348</v>
      </c>
      <c r="D138" s="37" t="s">
        <v>2349</v>
      </c>
      <c r="E138" s="212">
        <v>62.91</v>
      </c>
    </row>
    <row r="139" spans="1:5" ht="14.25">
      <c r="A139" s="37">
        <v>46</v>
      </c>
      <c r="B139" s="37" t="s">
        <v>26958</v>
      </c>
      <c r="C139" s="37" t="s">
        <v>2348</v>
      </c>
      <c r="D139" s="37" t="s">
        <v>2351</v>
      </c>
      <c r="E139" s="212">
        <v>59.99</v>
      </c>
    </row>
    <row r="140" spans="1:5" ht="14.25">
      <c r="A140" s="37">
        <v>51</v>
      </c>
      <c r="B140" s="37" t="s">
        <v>26959</v>
      </c>
      <c r="C140" s="37" t="s">
        <v>2348</v>
      </c>
      <c r="D140" s="37" t="s">
        <v>2351</v>
      </c>
      <c r="E140" s="212">
        <v>165.5</v>
      </c>
    </row>
    <row r="141" spans="1:5" ht="14.25">
      <c r="A141" s="37">
        <v>12863</v>
      </c>
      <c r="B141" s="37" t="s">
        <v>26960</v>
      </c>
      <c r="C141" s="37" t="s">
        <v>2348</v>
      </c>
      <c r="D141" s="37" t="s">
        <v>2351</v>
      </c>
      <c r="E141" s="212">
        <v>38.119999999999997</v>
      </c>
    </row>
    <row r="142" spans="1:5" ht="14.25">
      <c r="A142" s="37">
        <v>50</v>
      </c>
      <c r="B142" s="37" t="s">
        <v>26961</v>
      </c>
      <c r="C142" s="37" t="s">
        <v>2348</v>
      </c>
      <c r="D142" s="37" t="s">
        <v>2351</v>
      </c>
      <c r="E142" s="212">
        <v>86.42</v>
      </c>
    </row>
    <row r="143" spans="1:5" ht="14.25">
      <c r="A143" s="37">
        <v>47</v>
      </c>
      <c r="B143" s="37" t="s">
        <v>26962</v>
      </c>
      <c r="C143" s="37" t="s">
        <v>2348</v>
      </c>
      <c r="D143" s="37" t="s">
        <v>2351</v>
      </c>
      <c r="E143" s="212">
        <v>102.58</v>
      </c>
    </row>
    <row r="144" spans="1:5" ht="14.25">
      <c r="A144" s="37">
        <v>48</v>
      </c>
      <c r="B144" s="37" t="s">
        <v>26963</v>
      </c>
      <c r="C144" s="37" t="s">
        <v>2348</v>
      </c>
      <c r="D144" s="37" t="s">
        <v>2351</v>
      </c>
      <c r="E144" s="212">
        <v>26.76</v>
      </c>
    </row>
    <row r="145" spans="1:5" ht="14.25">
      <c r="A145" s="37">
        <v>52</v>
      </c>
      <c r="B145" s="37" t="s">
        <v>26964</v>
      </c>
      <c r="C145" s="37" t="s">
        <v>2348</v>
      </c>
      <c r="D145" s="37" t="s">
        <v>2351</v>
      </c>
      <c r="E145" s="212">
        <v>20.329999999999998</v>
      </c>
    </row>
    <row r="146" spans="1:5" ht="14.25">
      <c r="A146" s="37">
        <v>43</v>
      </c>
      <c r="B146" s="37" t="s">
        <v>26965</v>
      </c>
      <c r="C146" s="37" t="s">
        <v>2348</v>
      </c>
      <c r="D146" s="37" t="s">
        <v>2351</v>
      </c>
      <c r="E146" s="212">
        <v>68.599999999999994</v>
      </c>
    </row>
    <row r="147" spans="1:5" ht="14.25">
      <c r="A147" s="37">
        <v>39719</v>
      </c>
      <c r="B147" s="37" t="s">
        <v>26966</v>
      </c>
      <c r="C147" s="37" t="s">
        <v>2363</v>
      </c>
      <c r="D147" s="37" t="s">
        <v>2349</v>
      </c>
      <c r="E147" s="212">
        <v>186.74</v>
      </c>
    </row>
    <row r="148" spans="1:5" ht="14.25">
      <c r="A148" s="37">
        <v>3410</v>
      </c>
      <c r="B148" s="37" t="s">
        <v>26967</v>
      </c>
      <c r="C148" s="37" t="s">
        <v>2356</v>
      </c>
      <c r="D148" s="37" t="s">
        <v>2349</v>
      </c>
      <c r="E148" s="212">
        <v>42</v>
      </c>
    </row>
    <row r="149" spans="1:5" ht="14.25">
      <c r="A149" s="37">
        <v>4791</v>
      </c>
      <c r="B149" s="37" t="s">
        <v>26968</v>
      </c>
      <c r="C149" s="37" t="s">
        <v>2356</v>
      </c>
      <c r="D149" s="37" t="s">
        <v>2349</v>
      </c>
      <c r="E149" s="212">
        <v>43.94</v>
      </c>
    </row>
    <row r="150" spans="1:5" ht="14.25">
      <c r="A150" s="37">
        <v>157</v>
      </c>
      <c r="B150" s="37" t="s">
        <v>26969</v>
      </c>
      <c r="C150" s="37" t="s">
        <v>2356</v>
      </c>
      <c r="D150" s="37" t="s">
        <v>2349</v>
      </c>
      <c r="E150" s="212">
        <v>131.76</v>
      </c>
    </row>
    <row r="151" spans="1:5" ht="14.25">
      <c r="A151" s="37">
        <v>156</v>
      </c>
      <c r="B151" s="37" t="s">
        <v>26970</v>
      </c>
      <c r="C151" s="37" t="s">
        <v>2356</v>
      </c>
      <c r="D151" s="37" t="s">
        <v>2349</v>
      </c>
      <c r="E151" s="212">
        <v>46.91</v>
      </c>
    </row>
    <row r="152" spans="1:5" ht="14.25">
      <c r="A152" s="37">
        <v>131</v>
      </c>
      <c r="B152" s="37" t="s">
        <v>26971</v>
      </c>
      <c r="C152" s="37" t="s">
        <v>2356</v>
      </c>
      <c r="D152" s="37" t="s">
        <v>2349</v>
      </c>
      <c r="E152" s="212">
        <v>40.119999999999997</v>
      </c>
    </row>
    <row r="153" spans="1:5" ht="14.25">
      <c r="A153" s="37">
        <v>21114</v>
      </c>
      <c r="B153" s="37" t="s">
        <v>26972</v>
      </c>
      <c r="C153" s="37" t="s">
        <v>2348</v>
      </c>
      <c r="D153" s="37" t="s">
        <v>2349</v>
      </c>
      <c r="E153" s="212">
        <v>36.81</v>
      </c>
    </row>
    <row r="154" spans="1:5" ht="14.25">
      <c r="A154" s="37">
        <v>119</v>
      </c>
      <c r="B154" s="37" t="s">
        <v>26973</v>
      </c>
      <c r="C154" s="37" t="s">
        <v>2348</v>
      </c>
      <c r="D154" s="37" t="s">
        <v>2353</v>
      </c>
      <c r="E154" s="212">
        <v>9.33</v>
      </c>
    </row>
    <row r="155" spans="1:5" ht="14.25">
      <c r="A155" s="37">
        <v>122</v>
      </c>
      <c r="B155" s="37" t="s">
        <v>26974</v>
      </c>
      <c r="C155" s="37" t="s">
        <v>2348</v>
      </c>
      <c r="D155" s="37" t="s">
        <v>2349</v>
      </c>
      <c r="E155" s="212">
        <v>71.78</v>
      </c>
    </row>
    <row r="156" spans="1:5" ht="14.25">
      <c r="A156" s="37">
        <v>20080</v>
      </c>
      <c r="B156" s="37" t="s">
        <v>26975</v>
      </c>
      <c r="C156" s="37" t="s">
        <v>2348</v>
      </c>
      <c r="D156" s="37" t="s">
        <v>2349</v>
      </c>
      <c r="E156" s="212">
        <v>23.43</v>
      </c>
    </row>
    <row r="157" spans="1:5" ht="14.25">
      <c r="A157" s="37">
        <v>124</v>
      </c>
      <c r="B157" s="37" t="s">
        <v>26976</v>
      </c>
      <c r="C157" s="37" t="s">
        <v>2363</v>
      </c>
      <c r="D157" s="37" t="s">
        <v>2349</v>
      </c>
      <c r="E157" s="212">
        <v>15.47</v>
      </c>
    </row>
    <row r="158" spans="1:5" ht="14.25">
      <c r="A158" s="37">
        <v>7334</v>
      </c>
      <c r="B158" s="37" t="s">
        <v>26977</v>
      </c>
      <c r="C158" s="37" t="s">
        <v>2363</v>
      </c>
      <c r="D158" s="37" t="s">
        <v>2349</v>
      </c>
      <c r="E158" s="212">
        <v>12.99</v>
      </c>
    </row>
    <row r="159" spans="1:5" ht="14.25">
      <c r="A159" s="37">
        <v>123</v>
      </c>
      <c r="B159" s="37" t="s">
        <v>26978</v>
      </c>
      <c r="C159" s="37" t="s">
        <v>2363</v>
      </c>
      <c r="D159" s="37" t="s">
        <v>2353</v>
      </c>
      <c r="E159" s="212">
        <v>6.33</v>
      </c>
    </row>
    <row r="160" spans="1:5" ht="14.25">
      <c r="A160" s="37">
        <v>127</v>
      </c>
      <c r="B160" s="37" t="s">
        <v>26979</v>
      </c>
      <c r="C160" s="37" t="s">
        <v>2363</v>
      </c>
      <c r="D160" s="37" t="s">
        <v>2349</v>
      </c>
      <c r="E160" s="212">
        <v>15.11</v>
      </c>
    </row>
    <row r="161" spans="1:5" ht="14.25">
      <c r="A161" s="37">
        <v>41373</v>
      </c>
      <c r="B161" s="37" t="s">
        <v>26980</v>
      </c>
      <c r="C161" s="37" t="s">
        <v>2363</v>
      </c>
      <c r="D161" s="37" t="s">
        <v>2349</v>
      </c>
      <c r="E161" s="212">
        <v>21.05</v>
      </c>
    </row>
    <row r="162" spans="1:5" ht="14.25">
      <c r="A162" s="37">
        <v>133</v>
      </c>
      <c r="B162" s="37" t="s">
        <v>26981</v>
      </c>
      <c r="C162" s="37" t="s">
        <v>2363</v>
      </c>
      <c r="D162" s="37" t="s">
        <v>2349</v>
      </c>
      <c r="E162" s="212">
        <v>6.27</v>
      </c>
    </row>
    <row r="163" spans="1:5" ht="14.25">
      <c r="A163" s="37">
        <v>43617</v>
      </c>
      <c r="B163" s="37" t="s">
        <v>26982</v>
      </c>
      <c r="C163" s="37" t="s">
        <v>2363</v>
      </c>
      <c r="D163" s="37" t="s">
        <v>2349</v>
      </c>
      <c r="E163" s="212">
        <v>7.01</v>
      </c>
    </row>
    <row r="164" spans="1:5" ht="14.25">
      <c r="A164" s="37">
        <v>132</v>
      </c>
      <c r="B164" s="37" t="s">
        <v>26983</v>
      </c>
      <c r="C164" s="37" t="s">
        <v>2363</v>
      </c>
      <c r="D164" s="37" t="s">
        <v>2349</v>
      </c>
      <c r="E164" s="212">
        <v>6.5</v>
      </c>
    </row>
    <row r="165" spans="1:5" ht="14.25">
      <c r="A165" s="37">
        <v>43618</v>
      </c>
      <c r="B165" s="37" t="s">
        <v>26984</v>
      </c>
      <c r="C165" s="37" t="s">
        <v>2356</v>
      </c>
      <c r="D165" s="37" t="s">
        <v>2349</v>
      </c>
      <c r="E165" s="212">
        <v>16.38</v>
      </c>
    </row>
    <row r="166" spans="1:5" ht="14.25">
      <c r="A166" s="37">
        <v>37476</v>
      </c>
      <c r="B166" s="37" t="s">
        <v>26985</v>
      </c>
      <c r="C166" s="37" t="s">
        <v>2348</v>
      </c>
      <c r="D166" s="37" t="s">
        <v>2349</v>
      </c>
      <c r="E166" s="213">
        <v>2246.21</v>
      </c>
    </row>
    <row r="167" spans="1:5" ht="14.25">
      <c r="A167" s="37">
        <v>37478</v>
      </c>
      <c r="B167" s="37" t="s">
        <v>26986</v>
      </c>
      <c r="C167" s="37" t="s">
        <v>2348</v>
      </c>
      <c r="D167" s="37" t="s">
        <v>2349</v>
      </c>
      <c r="E167" s="213">
        <v>2813.44</v>
      </c>
    </row>
    <row r="168" spans="1:5" ht="14.25">
      <c r="A168" s="37">
        <v>37477</v>
      </c>
      <c r="B168" s="37" t="s">
        <v>26987</v>
      </c>
      <c r="C168" s="37" t="s">
        <v>2348</v>
      </c>
      <c r="D168" s="37" t="s">
        <v>2349</v>
      </c>
      <c r="E168" s="213">
        <v>3811.76</v>
      </c>
    </row>
    <row r="169" spans="1:5" ht="14.25">
      <c r="A169" s="37">
        <v>37479</v>
      </c>
      <c r="B169" s="37" t="s">
        <v>26988</v>
      </c>
      <c r="C169" s="37" t="s">
        <v>2348</v>
      </c>
      <c r="D169" s="37" t="s">
        <v>2349</v>
      </c>
      <c r="E169" s="213">
        <v>4520.79</v>
      </c>
    </row>
    <row r="170" spans="1:5" ht="14.25">
      <c r="A170" s="37">
        <v>4319</v>
      </c>
      <c r="B170" s="37" t="s">
        <v>26989</v>
      </c>
      <c r="C170" s="37" t="s">
        <v>2348</v>
      </c>
      <c r="D170" s="37" t="s">
        <v>2349</v>
      </c>
      <c r="E170" s="212">
        <v>2.23</v>
      </c>
    </row>
    <row r="171" spans="1:5" ht="14.25">
      <c r="A171" s="37">
        <v>42409</v>
      </c>
      <c r="B171" s="37" t="s">
        <v>26990</v>
      </c>
      <c r="C171" s="37" t="s">
        <v>2356</v>
      </c>
      <c r="D171" s="37" t="s">
        <v>2349</v>
      </c>
      <c r="E171" s="212">
        <v>10.31</v>
      </c>
    </row>
    <row r="172" spans="1:5" ht="14.25">
      <c r="A172" s="37">
        <v>40553</v>
      </c>
      <c r="B172" s="37" t="s">
        <v>26991</v>
      </c>
      <c r="C172" s="37" t="s">
        <v>28760</v>
      </c>
      <c r="D172" s="37" t="s">
        <v>2351</v>
      </c>
      <c r="E172" s="212">
        <v>36.58</v>
      </c>
    </row>
    <row r="173" spans="1:5" ht="14.25">
      <c r="A173" s="37">
        <v>6114</v>
      </c>
      <c r="B173" s="37" t="s">
        <v>26992</v>
      </c>
      <c r="C173" s="37" t="s">
        <v>2352</v>
      </c>
      <c r="D173" s="37" t="s">
        <v>2349</v>
      </c>
      <c r="E173" s="212">
        <v>13.02</v>
      </c>
    </row>
    <row r="174" spans="1:5" ht="14.25">
      <c r="A174" s="37">
        <v>40912</v>
      </c>
      <c r="B174" s="37" t="s">
        <v>26993</v>
      </c>
      <c r="C174" s="37" t="s">
        <v>2369</v>
      </c>
      <c r="D174" s="37" t="s">
        <v>2349</v>
      </c>
      <c r="E174" s="213">
        <v>2290.6799999999998</v>
      </c>
    </row>
    <row r="175" spans="1:5" ht="14.25">
      <c r="A175" s="37">
        <v>247</v>
      </c>
      <c r="B175" s="37" t="s">
        <v>26994</v>
      </c>
      <c r="C175" s="37" t="s">
        <v>2352</v>
      </c>
      <c r="D175" s="37" t="s">
        <v>2349</v>
      </c>
      <c r="E175" s="212">
        <v>13.95</v>
      </c>
    </row>
    <row r="176" spans="1:5" ht="14.25">
      <c r="A176" s="37">
        <v>40919</v>
      </c>
      <c r="B176" s="37" t="s">
        <v>26995</v>
      </c>
      <c r="C176" s="37" t="s">
        <v>2369</v>
      </c>
      <c r="D176" s="37" t="s">
        <v>2349</v>
      </c>
      <c r="E176" s="213">
        <v>2456.6799999999998</v>
      </c>
    </row>
    <row r="177" spans="1:5" ht="14.25">
      <c r="A177" s="37">
        <v>40984</v>
      </c>
      <c r="B177" s="37" t="s">
        <v>26996</v>
      </c>
      <c r="C177" s="37" t="s">
        <v>2369</v>
      </c>
      <c r="D177" s="37" t="s">
        <v>2349</v>
      </c>
      <c r="E177" s="213">
        <v>2670.56</v>
      </c>
    </row>
    <row r="178" spans="1:5" ht="14.25">
      <c r="A178" s="37">
        <v>44499</v>
      </c>
      <c r="B178" s="37" t="s">
        <v>26997</v>
      </c>
      <c r="C178" s="37" t="s">
        <v>2352</v>
      </c>
      <c r="D178" s="37" t="s">
        <v>2349</v>
      </c>
      <c r="E178" s="212">
        <v>15.18</v>
      </c>
    </row>
    <row r="179" spans="1:5" ht="14.25">
      <c r="A179" s="37">
        <v>248</v>
      </c>
      <c r="B179" s="37" t="s">
        <v>26998</v>
      </c>
      <c r="C179" s="37" t="s">
        <v>2352</v>
      </c>
      <c r="D179" s="37" t="s">
        <v>2349</v>
      </c>
      <c r="E179" s="212">
        <v>13.47</v>
      </c>
    </row>
    <row r="180" spans="1:5" ht="14.25">
      <c r="A180" s="37">
        <v>41086</v>
      </c>
      <c r="B180" s="37" t="s">
        <v>26999</v>
      </c>
      <c r="C180" s="37" t="s">
        <v>2369</v>
      </c>
      <c r="D180" s="37" t="s">
        <v>2349</v>
      </c>
      <c r="E180" s="213">
        <v>2370.3200000000002</v>
      </c>
    </row>
    <row r="181" spans="1:5" ht="14.25">
      <c r="A181" s="37">
        <v>34466</v>
      </c>
      <c r="B181" s="37" t="s">
        <v>27000</v>
      </c>
      <c r="C181" s="37" t="s">
        <v>2352</v>
      </c>
      <c r="D181" s="37" t="s">
        <v>2349</v>
      </c>
      <c r="E181" s="212">
        <v>13.54</v>
      </c>
    </row>
    <row r="182" spans="1:5" ht="14.25">
      <c r="A182" s="37">
        <v>41083</v>
      </c>
      <c r="B182" s="37" t="s">
        <v>27001</v>
      </c>
      <c r="C182" s="37" t="s">
        <v>2369</v>
      </c>
      <c r="D182" s="37" t="s">
        <v>2349</v>
      </c>
      <c r="E182" s="213">
        <v>2384.0100000000002</v>
      </c>
    </row>
    <row r="183" spans="1:5" ht="14.25">
      <c r="A183" s="37">
        <v>252</v>
      </c>
      <c r="B183" s="37" t="s">
        <v>27002</v>
      </c>
      <c r="C183" s="37" t="s">
        <v>2352</v>
      </c>
      <c r="D183" s="37" t="s">
        <v>2349</v>
      </c>
      <c r="E183" s="212">
        <v>13.95</v>
      </c>
    </row>
    <row r="184" spans="1:5" ht="14.25">
      <c r="A184" s="37">
        <v>40909</v>
      </c>
      <c r="B184" s="37" t="s">
        <v>27003</v>
      </c>
      <c r="C184" s="37" t="s">
        <v>2369</v>
      </c>
      <c r="D184" s="37" t="s">
        <v>2349</v>
      </c>
      <c r="E184" s="213">
        <v>2456.9899999999998</v>
      </c>
    </row>
    <row r="185" spans="1:5" ht="14.25">
      <c r="A185" s="37">
        <v>242</v>
      </c>
      <c r="B185" s="37" t="s">
        <v>27004</v>
      </c>
      <c r="C185" s="37" t="s">
        <v>2352</v>
      </c>
      <c r="D185" s="37" t="s">
        <v>2349</v>
      </c>
      <c r="E185" s="212">
        <v>15.26</v>
      </c>
    </row>
    <row r="186" spans="1:5" ht="14.25">
      <c r="A186" s="37">
        <v>41085</v>
      </c>
      <c r="B186" s="37" t="s">
        <v>27005</v>
      </c>
      <c r="C186" s="37" t="s">
        <v>2369</v>
      </c>
      <c r="D186" s="37" t="s">
        <v>2349</v>
      </c>
      <c r="E186" s="213">
        <v>2687.09</v>
      </c>
    </row>
    <row r="187" spans="1:5" ht="14.25">
      <c r="A187" s="37">
        <v>427</v>
      </c>
      <c r="B187" s="37" t="s">
        <v>27006</v>
      </c>
      <c r="C187" s="37" t="s">
        <v>2348</v>
      </c>
      <c r="D187" s="37" t="s">
        <v>2349</v>
      </c>
      <c r="E187" s="212">
        <v>7.16</v>
      </c>
    </row>
    <row r="188" spans="1:5" ht="14.25">
      <c r="A188" s="37">
        <v>417</v>
      </c>
      <c r="B188" s="37" t="s">
        <v>27007</v>
      </c>
      <c r="C188" s="37" t="s">
        <v>2348</v>
      </c>
      <c r="D188" s="37" t="s">
        <v>2349</v>
      </c>
      <c r="E188" s="212">
        <v>3.37</v>
      </c>
    </row>
    <row r="189" spans="1:5" ht="14.25">
      <c r="A189" s="37">
        <v>11273</v>
      </c>
      <c r="B189" s="37" t="s">
        <v>27008</v>
      </c>
      <c r="C189" s="37" t="s">
        <v>2348</v>
      </c>
      <c r="D189" s="37" t="s">
        <v>2349</v>
      </c>
      <c r="E189" s="212">
        <v>10.47</v>
      </c>
    </row>
    <row r="190" spans="1:5" ht="14.25">
      <c r="A190" s="37">
        <v>11272</v>
      </c>
      <c r="B190" s="37" t="s">
        <v>27009</v>
      </c>
      <c r="C190" s="37" t="s">
        <v>2348</v>
      </c>
      <c r="D190" s="37" t="s">
        <v>2349</v>
      </c>
      <c r="E190" s="212">
        <v>6.32</v>
      </c>
    </row>
    <row r="191" spans="1:5" ht="14.25">
      <c r="A191" s="37">
        <v>11275</v>
      </c>
      <c r="B191" s="37" t="s">
        <v>27010</v>
      </c>
      <c r="C191" s="37" t="s">
        <v>2348</v>
      </c>
      <c r="D191" s="37" t="s">
        <v>2349</v>
      </c>
      <c r="E191" s="212">
        <v>2.5299999999999998</v>
      </c>
    </row>
    <row r="192" spans="1:5" ht="14.25">
      <c r="A192" s="37">
        <v>11274</v>
      </c>
      <c r="B192" s="37" t="s">
        <v>27011</v>
      </c>
      <c r="C192" s="37" t="s">
        <v>2348</v>
      </c>
      <c r="D192" s="37" t="s">
        <v>2349</v>
      </c>
      <c r="E192" s="212">
        <v>1.93</v>
      </c>
    </row>
    <row r="193" spans="1:5" ht="14.25">
      <c r="A193" s="37">
        <v>38470</v>
      </c>
      <c r="B193" s="37" t="s">
        <v>27012</v>
      </c>
      <c r="C193" s="37" t="s">
        <v>2348</v>
      </c>
      <c r="D193" s="37" t="s">
        <v>2353</v>
      </c>
      <c r="E193" s="212">
        <v>36.5</v>
      </c>
    </row>
    <row r="194" spans="1:5" ht="14.25">
      <c r="A194" s="37">
        <v>38547</v>
      </c>
      <c r="B194" s="37" t="s">
        <v>27013</v>
      </c>
      <c r="C194" s="37" t="s">
        <v>2348</v>
      </c>
      <c r="D194" s="37" t="s">
        <v>2349</v>
      </c>
      <c r="E194" s="212">
        <v>99.6</v>
      </c>
    </row>
    <row r="195" spans="1:5" ht="14.25">
      <c r="A195" s="37">
        <v>38469</v>
      </c>
      <c r="B195" s="37" t="s">
        <v>27014</v>
      </c>
      <c r="C195" s="37" t="s">
        <v>2348</v>
      </c>
      <c r="D195" s="37" t="s">
        <v>2349</v>
      </c>
      <c r="E195" s="212">
        <v>107.1</v>
      </c>
    </row>
    <row r="196" spans="1:5" ht="14.25">
      <c r="A196" s="37">
        <v>38467</v>
      </c>
      <c r="B196" s="37" t="s">
        <v>27015</v>
      </c>
      <c r="C196" s="37" t="s">
        <v>2348</v>
      </c>
      <c r="D196" s="37" t="s">
        <v>2349</v>
      </c>
      <c r="E196" s="212">
        <v>60.26</v>
      </c>
    </row>
    <row r="197" spans="1:5" ht="14.25">
      <c r="A197" s="37">
        <v>38468</v>
      </c>
      <c r="B197" s="37" t="s">
        <v>27016</v>
      </c>
      <c r="C197" s="37" t="s">
        <v>2348</v>
      </c>
      <c r="D197" s="37" t="s">
        <v>2349</v>
      </c>
      <c r="E197" s="212">
        <v>66.31</v>
      </c>
    </row>
    <row r="198" spans="1:5" ht="14.25">
      <c r="A198" s="37">
        <v>38471</v>
      </c>
      <c r="B198" s="37" t="s">
        <v>27017</v>
      </c>
      <c r="C198" s="37" t="s">
        <v>2348</v>
      </c>
      <c r="D198" s="37" t="s">
        <v>2349</v>
      </c>
      <c r="E198" s="212">
        <v>86.11</v>
      </c>
    </row>
    <row r="199" spans="1:5" ht="14.25">
      <c r="A199" s="37">
        <v>37370</v>
      </c>
      <c r="B199" s="37" t="s">
        <v>27018</v>
      </c>
      <c r="C199" s="37" t="s">
        <v>2352</v>
      </c>
      <c r="D199" s="37" t="s">
        <v>2353</v>
      </c>
      <c r="E199" s="212">
        <v>2.94</v>
      </c>
    </row>
    <row r="200" spans="1:5" ht="14.25">
      <c r="A200" s="37">
        <v>40862</v>
      </c>
      <c r="B200" s="37" t="s">
        <v>27019</v>
      </c>
      <c r="C200" s="37" t="s">
        <v>2369</v>
      </c>
      <c r="D200" s="37" t="s">
        <v>2353</v>
      </c>
      <c r="E200" s="212">
        <v>554.46</v>
      </c>
    </row>
    <row r="201" spans="1:5" ht="14.25">
      <c r="A201" s="37">
        <v>10658</v>
      </c>
      <c r="B201" s="37" t="s">
        <v>27020</v>
      </c>
      <c r="C201" s="37" t="s">
        <v>2348</v>
      </c>
      <c r="D201" s="37" t="s">
        <v>2351</v>
      </c>
      <c r="E201" s="213">
        <v>6724.5</v>
      </c>
    </row>
    <row r="202" spans="1:5" ht="14.25">
      <c r="A202" s="37">
        <v>253</v>
      </c>
      <c r="B202" s="37" t="s">
        <v>27021</v>
      </c>
      <c r="C202" s="37" t="s">
        <v>2352</v>
      </c>
      <c r="D202" s="37" t="s">
        <v>2353</v>
      </c>
      <c r="E202" s="212">
        <v>21.69</v>
      </c>
    </row>
    <row r="203" spans="1:5" ht="14.25">
      <c r="A203" s="37">
        <v>40809</v>
      </c>
      <c r="B203" s="37" t="s">
        <v>27022</v>
      </c>
      <c r="C203" s="37" t="s">
        <v>2369</v>
      </c>
      <c r="D203" s="37" t="s">
        <v>2349</v>
      </c>
      <c r="E203" s="213">
        <v>3814.67</v>
      </c>
    </row>
    <row r="204" spans="1:5" ht="14.25">
      <c r="A204" s="37">
        <v>42428</v>
      </c>
      <c r="B204" s="37" t="s">
        <v>27023</v>
      </c>
      <c r="C204" s="37" t="s">
        <v>2348</v>
      </c>
      <c r="D204" s="37" t="s">
        <v>2351</v>
      </c>
      <c r="E204" s="213">
        <v>1994</v>
      </c>
    </row>
    <row r="205" spans="1:5" ht="14.25">
      <c r="A205" s="37">
        <v>583</v>
      </c>
      <c r="B205" s="37" t="s">
        <v>27024</v>
      </c>
      <c r="C205" s="37" t="s">
        <v>2356</v>
      </c>
      <c r="D205" s="37" t="s">
        <v>2351</v>
      </c>
      <c r="E205" s="212">
        <v>44.63</v>
      </c>
    </row>
    <row r="206" spans="1:5" ht="14.25">
      <c r="A206" s="37">
        <v>301</v>
      </c>
      <c r="B206" s="37" t="s">
        <v>27025</v>
      </c>
      <c r="C206" s="37" t="s">
        <v>2348</v>
      </c>
      <c r="D206" s="37" t="s">
        <v>2353</v>
      </c>
      <c r="E206" s="212">
        <v>3.53</v>
      </c>
    </row>
    <row r="207" spans="1:5" ht="14.25">
      <c r="A207" s="37">
        <v>296</v>
      </c>
      <c r="B207" s="37" t="s">
        <v>27026</v>
      </c>
      <c r="C207" s="37" t="s">
        <v>2348</v>
      </c>
      <c r="D207" s="37" t="s">
        <v>2349</v>
      </c>
      <c r="E207" s="212">
        <v>1.99</v>
      </c>
    </row>
    <row r="208" spans="1:5" ht="14.25">
      <c r="A208" s="37">
        <v>297</v>
      </c>
      <c r="B208" s="37" t="s">
        <v>27027</v>
      </c>
      <c r="C208" s="37" t="s">
        <v>2348</v>
      </c>
      <c r="D208" s="37" t="s">
        <v>2349</v>
      </c>
      <c r="E208" s="212">
        <v>2.93</v>
      </c>
    </row>
    <row r="209" spans="1:5" ht="14.25">
      <c r="A209" s="37">
        <v>299</v>
      </c>
      <c r="B209" s="37" t="s">
        <v>27028</v>
      </c>
      <c r="C209" s="37" t="s">
        <v>2348</v>
      </c>
      <c r="D209" s="37" t="s">
        <v>2349</v>
      </c>
      <c r="E209" s="212">
        <v>4.1399999999999997</v>
      </c>
    </row>
    <row r="210" spans="1:5" ht="14.25">
      <c r="A210" s="37">
        <v>300</v>
      </c>
      <c r="B210" s="37" t="s">
        <v>27029</v>
      </c>
      <c r="C210" s="37" t="s">
        <v>2348</v>
      </c>
      <c r="D210" s="37" t="s">
        <v>2349</v>
      </c>
      <c r="E210" s="212">
        <v>14.33</v>
      </c>
    </row>
    <row r="211" spans="1:5" ht="14.25">
      <c r="A211" s="37">
        <v>20085</v>
      </c>
      <c r="B211" s="37" t="s">
        <v>27030</v>
      </c>
      <c r="C211" s="37" t="s">
        <v>2348</v>
      </c>
      <c r="D211" s="37" t="s">
        <v>2349</v>
      </c>
      <c r="E211" s="212">
        <v>2.62</v>
      </c>
    </row>
    <row r="212" spans="1:5" ht="14.25">
      <c r="A212" s="37">
        <v>298</v>
      </c>
      <c r="B212" s="37" t="s">
        <v>27031</v>
      </c>
      <c r="C212" s="37" t="s">
        <v>2348</v>
      </c>
      <c r="D212" s="37" t="s">
        <v>2349</v>
      </c>
      <c r="E212" s="212">
        <v>3.18</v>
      </c>
    </row>
    <row r="213" spans="1:5" ht="14.25">
      <c r="A213" s="37">
        <v>311</v>
      </c>
      <c r="B213" s="37" t="s">
        <v>27032</v>
      </c>
      <c r="C213" s="37" t="s">
        <v>2348</v>
      </c>
      <c r="D213" s="37" t="s">
        <v>2349</v>
      </c>
      <c r="E213" s="212">
        <v>11.82</v>
      </c>
    </row>
    <row r="214" spans="1:5" ht="14.25">
      <c r="A214" s="37">
        <v>318</v>
      </c>
      <c r="B214" s="37" t="s">
        <v>27033</v>
      </c>
      <c r="C214" s="37" t="s">
        <v>2348</v>
      </c>
      <c r="D214" s="37" t="s">
        <v>2349</v>
      </c>
      <c r="E214" s="212">
        <v>23.8</v>
      </c>
    </row>
    <row r="215" spans="1:5" ht="14.25">
      <c r="A215" s="37">
        <v>319</v>
      </c>
      <c r="B215" s="37" t="s">
        <v>27034</v>
      </c>
      <c r="C215" s="37" t="s">
        <v>2348</v>
      </c>
      <c r="D215" s="37" t="s">
        <v>2349</v>
      </c>
      <c r="E215" s="212">
        <v>37.31</v>
      </c>
    </row>
    <row r="216" spans="1:5" ht="14.25">
      <c r="A216" s="37">
        <v>303</v>
      </c>
      <c r="B216" s="37" t="s">
        <v>27035</v>
      </c>
      <c r="C216" s="37" t="s">
        <v>2348</v>
      </c>
      <c r="D216" s="37" t="s">
        <v>2349</v>
      </c>
      <c r="E216" s="212">
        <v>3.91</v>
      </c>
    </row>
    <row r="217" spans="1:5" ht="14.25">
      <c r="A217" s="37">
        <v>305</v>
      </c>
      <c r="B217" s="37" t="s">
        <v>27036</v>
      </c>
      <c r="C217" s="37" t="s">
        <v>2348</v>
      </c>
      <c r="D217" s="37" t="s">
        <v>2349</v>
      </c>
      <c r="E217" s="212">
        <v>12.3</v>
      </c>
    </row>
    <row r="218" spans="1:5" ht="14.25">
      <c r="A218" s="37">
        <v>306</v>
      </c>
      <c r="B218" s="37" t="s">
        <v>27037</v>
      </c>
      <c r="C218" s="37" t="s">
        <v>2348</v>
      </c>
      <c r="D218" s="37" t="s">
        <v>2349</v>
      </c>
      <c r="E218" s="212">
        <v>18.649999999999999</v>
      </c>
    </row>
    <row r="219" spans="1:5" ht="14.25">
      <c r="A219" s="37">
        <v>307</v>
      </c>
      <c r="B219" s="37" t="s">
        <v>27038</v>
      </c>
      <c r="C219" s="37" t="s">
        <v>2348</v>
      </c>
      <c r="D219" s="37" t="s">
        <v>2349</v>
      </c>
      <c r="E219" s="212">
        <v>47.14</v>
      </c>
    </row>
    <row r="220" spans="1:5" ht="14.25">
      <c r="A220" s="37">
        <v>309</v>
      </c>
      <c r="B220" s="37" t="s">
        <v>27039</v>
      </c>
      <c r="C220" s="37" t="s">
        <v>2348</v>
      </c>
      <c r="D220" s="37" t="s">
        <v>2349</v>
      </c>
      <c r="E220" s="212">
        <v>77.209999999999994</v>
      </c>
    </row>
    <row r="221" spans="1:5" ht="14.25">
      <c r="A221" s="37">
        <v>310</v>
      </c>
      <c r="B221" s="37" t="s">
        <v>27040</v>
      </c>
      <c r="C221" s="37" t="s">
        <v>2348</v>
      </c>
      <c r="D221" s="37" t="s">
        <v>2349</v>
      </c>
      <c r="E221" s="212">
        <v>107.01</v>
      </c>
    </row>
    <row r="222" spans="1:5" ht="14.25">
      <c r="A222" s="37">
        <v>328</v>
      </c>
      <c r="B222" s="37" t="s">
        <v>27041</v>
      </c>
      <c r="C222" s="37" t="s">
        <v>2348</v>
      </c>
      <c r="D222" s="37" t="s">
        <v>2349</v>
      </c>
      <c r="E222" s="212">
        <v>9.35</v>
      </c>
    </row>
    <row r="223" spans="1:5" ht="14.25">
      <c r="A223" s="37">
        <v>325</v>
      </c>
      <c r="B223" s="37" t="s">
        <v>27042</v>
      </c>
      <c r="C223" s="37" t="s">
        <v>2348</v>
      </c>
      <c r="D223" s="37" t="s">
        <v>2349</v>
      </c>
      <c r="E223" s="212">
        <v>2.76</v>
      </c>
    </row>
    <row r="224" spans="1:5" ht="14.25">
      <c r="A224" s="37">
        <v>20326</v>
      </c>
      <c r="B224" s="37" t="s">
        <v>27043</v>
      </c>
      <c r="C224" s="37" t="s">
        <v>2348</v>
      </c>
      <c r="D224" s="37" t="s">
        <v>2349</v>
      </c>
      <c r="E224" s="212">
        <v>5.05</v>
      </c>
    </row>
    <row r="225" spans="1:5" ht="14.25">
      <c r="A225" s="37">
        <v>329</v>
      </c>
      <c r="B225" s="37" t="s">
        <v>27044</v>
      </c>
      <c r="C225" s="37" t="s">
        <v>2348</v>
      </c>
      <c r="D225" s="37" t="s">
        <v>2349</v>
      </c>
      <c r="E225" s="212">
        <v>7.82</v>
      </c>
    </row>
    <row r="226" spans="1:5" ht="14.25">
      <c r="A226" s="37">
        <v>308</v>
      </c>
      <c r="B226" s="37" t="s">
        <v>27045</v>
      </c>
      <c r="C226" s="37" t="s">
        <v>2348</v>
      </c>
      <c r="D226" s="37" t="s">
        <v>2349</v>
      </c>
      <c r="E226" s="212">
        <v>105.2</v>
      </c>
    </row>
    <row r="227" spans="1:5" ht="14.25">
      <c r="A227" s="37">
        <v>39642</v>
      </c>
      <c r="B227" s="37" t="s">
        <v>27046</v>
      </c>
      <c r="C227" s="37" t="s">
        <v>2348</v>
      </c>
      <c r="D227" s="37" t="s">
        <v>2349</v>
      </c>
      <c r="E227" s="212">
        <v>3.46</v>
      </c>
    </row>
    <row r="228" spans="1:5" ht="14.25">
      <c r="A228" s="37">
        <v>39641</v>
      </c>
      <c r="B228" s="37" t="s">
        <v>27047</v>
      </c>
      <c r="C228" s="37" t="s">
        <v>2348</v>
      </c>
      <c r="D228" s="37" t="s">
        <v>2349</v>
      </c>
      <c r="E228" s="212">
        <v>3.04</v>
      </c>
    </row>
    <row r="229" spans="1:5" ht="14.25">
      <c r="A229" s="37">
        <v>39643</v>
      </c>
      <c r="B229" s="37" t="s">
        <v>27048</v>
      </c>
      <c r="C229" s="37" t="s">
        <v>2348</v>
      </c>
      <c r="D229" s="37" t="s">
        <v>2349</v>
      </c>
      <c r="E229" s="212">
        <v>4.07</v>
      </c>
    </row>
    <row r="230" spans="1:5" ht="14.25">
      <c r="A230" s="37">
        <v>39644</v>
      </c>
      <c r="B230" s="37" t="s">
        <v>27049</v>
      </c>
      <c r="C230" s="37" t="s">
        <v>2348</v>
      </c>
      <c r="D230" s="37" t="s">
        <v>2349</v>
      </c>
      <c r="E230" s="212">
        <v>6.31</v>
      </c>
    </row>
    <row r="231" spans="1:5" ht="14.25">
      <c r="A231" s="37">
        <v>39645</v>
      </c>
      <c r="B231" s="37" t="s">
        <v>27050</v>
      </c>
      <c r="C231" s="37" t="s">
        <v>2348</v>
      </c>
      <c r="D231" s="37" t="s">
        <v>2349</v>
      </c>
      <c r="E231" s="212">
        <v>6.91</v>
      </c>
    </row>
    <row r="232" spans="1:5" ht="14.25">
      <c r="A232" s="37">
        <v>41610</v>
      </c>
      <c r="B232" s="37" t="s">
        <v>27051</v>
      </c>
      <c r="C232" s="37" t="s">
        <v>2348</v>
      </c>
      <c r="D232" s="37" t="s">
        <v>2349</v>
      </c>
      <c r="E232" s="212">
        <v>416.73</v>
      </c>
    </row>
    <row r="233" spans="1:5" ht="14.25">
      <c r="A233" s="37">
        <v>41611</v>
      </c>
      <c r="B233" s="37" t="s">
        <v>27052</v>
      </c>
      <c r="C233" s="37" t="s">
        <v>2348</v>
      </c>
      <c r="D233" s="37" t="s">
        <v>2349</v>
      </c>
      <c r="E233" s="212">
        <v>656.84</v>
      </c>
    </row>
    <row r="234" spans="1:5" ht="14.25">
      <c r="A234" s="37">
        <v>41612</v>
      </c>
      <c r="B234" s="37" t="s">
        <v>27053</v>
      </c>
      <c r="C234" s="37" t="s">
        <v>2348</v>
      </c>
      <c r="D234" s="37" t="s">
        <v>2349</v>
      </c>
      <c r="E234" s="212">
        <v>922.31</v>
      </c>
    </row>
    <row r="235" spans="1:5" ht="14.25">
      <c r="A235" s="37">
        <v>41637</v>
      </c>
      <c r="B235" s="37" t="s">
        <v>27054</v>
      </c>
      <c r="C235" s="37" t="s">
        <v>2348</v>
      </c>
      <c r="D235" s="37" t="s">
        <v>2349</v>
      </c>
      <c r="E235" s="212">
        <v>86.21</v>
      </c>
    </row>
    <row r="236" spans="1:5" ht="14.25">
      <c r="A236" s="37">
        <v>41638</v>
      </c>
      <c r="B236" s="37" t="s">
        <v>27055</v>
      </c>
      <c r="C236" s="37" t="s">
        <v>2348</v>
      </c>
      <c r="D236" s="37" t="s">
        <v>2349</v>
      </c>
      <c r="E236" s="212">
        <v>112.31</v>
      </c>
    </row>
    <row r="237" spans="1:5" ht="14.25">
      <c r="A237" s="37">
        <v>41639</v>
      </c>
      <c r="B237" s="37" t="s">
        <v>27056</v>
      </c>
      <c r="C237" s="37" t="s">
        <v>2348</v>
      </c>
      <c r="D237" s="37" t="s">
        <v>2349</v>
      </c>
      <c r="E237" s="212">
        <v>271.7</v>
      </c>
    </row>
    <row r="238" spans="1:5" ht="14.25">
      <c r="A238" s="37">
        <v>11789</v>
      </c>
      <c r="B238" s="37" t="s">
        <v>27057</v>
      </c>
      <c r="C238" s="37" t="s">
        <v>2348</v>
      </c>
      <c r="D238" s="37" t="s">
        <v>2349</v>
      </c>
      <c r="E238" s="212">
        <v>0.95</v>
      </c>
    </row>
    <row r="239" spans="1:5" ht="14.25">
      <c r="A239" s="37">
        <v>20975</v>
      </c>
      <c r="B239" s="37" t="s">
        <v>27058</v>
      </c>
      <c r="C239" s="37" t="s">
        <v>2348</v>
      </c>
      <c r="D239" s="37" t="s">
        <v>2349</v>
      </c>
      <c r="E239" s="212">
        <v>12.6</v>
      </c>
    </row>
    <row r="240" spans="1:5" ht="14.25">
      <c r="A240" s="37">
        <v>20976</v>
      </c>
      <c r="B240" s="37" t="s">
        <v>27059</v>
      </c>
      <c r="C240" s="37" t="s">
        <v>2348</v>
      </c>
      <c r="D240" s="37" t="s">
        <v>2349</v>
      </c>
      <c r="E240" s="212">
        <v>19.04</v>
      </c>
    </row>
    <row r="241" spans="1:5" ht="14.25">
      <c r="A241" s="37">
        <v>40340</v>
      </c>
      <c r="B241" s="37" t="s">
        <v>27060</v>
      </c>
      <c r="C241" s="37" t="s">
        <v>2348</v>
      </c>
      <c r="D241" s="37" t="s">
        <v>2349</v>
      </c>
      <c r="E241" s="212">
        <v>25.97</v>
      </c>
    </row>
    <row r="242" spans="1:5" ht="14.25">
      <c r="A242" s="37">
        <v>40341</v>
      </c>
      <c r="B242" s="37" t="s">
        <v>27061</v>
      </c>
      <c r="C242" s="37" t="s">
        <v>2348</v>
      </c>
      <c r="D242" s="37" t="s">
        <v>2349</v>
      </c>
      <c r="E242" s="212">
        <v>30.99</v>
      </c>
    </row>
    <row r="243" spans="1:5" ht="14.25">
      <c r="A243" s="37">
        <v>40342</v>
      </c>
      <c r="B243" s="37" t="s">
        <v>27062</v>
      </c>
      <c r="C243" s="37" t="s">
        <v>2348</v>
      </c>
      <c r="D243" s="37" t="s">
        <v>2349</v>
      </c>
      <c r="E243" s="212">
        <v>36.96</v>
      </c>
    </row>
    <row r="244" spans="1:5" ht="14.25">
      <c r="A244" s="37">
        <v>40343</v>
      </c>
      <c r="B244" s="37" t="s">
        <v>27063</v>
      </c>
      <c r="C244" s="37" t="s">
        <v>2348</v>
      </c>
      <c r="D244" s="37" t="s">
        <v>2349</v>
      </c>
      <c r="E244" s="212">
        <v>43.84</v>
      </c>
    </row>
    <row r="245" spans="1:5" ht="14.25">
      <c r="A245" s="37">
        <v>40344</v>
      </c>
      <c r="B245" s="37" t="s">
        <v>27064</v>
      </c>
      <c r="C245" s="37" t="s">
        <v>2348</v>
      </c>
      <c r="D245" s="37" t="s">
        <v>2349</v>
      </c>
      <c r="E245" s="212">
        <v>59.76</v>
      </c>
    </row>
    <row r="246" spans="1:5" ht="14.25">
      <c r="A246" s="37">
        <v>40345</v>
      </c>
      <c r="B246" s="37" t="s">
        <v>27065</v>
      </c>
      <c r="C246" s="37" t="s">
        <v>2348</v>
      </c>
      <c r="D246" s="37" t="s">
        <v>2349</v>
      </c>
      <c r="E246" s="212">
        <v>73.64</v>
      </c>
    </row>
    <row r="247" spans="1:5" ht="14.25">
      <c r="A247" s="37">
        <v>40346</v>
      </c>
      <c r="B247" s="37" t="s">
        <v>27066</v>
      </c>
      <c r="C247" s="37" t="s">
        <v>2348</v>
      </c>
      <c r="D247" s="37" t="s">
        <v>2349</v>
      </c>
      <c r="E247" s="212">
        <v>85.42</v>
      </c>
    </row>
    <row r="248" spans="1:5" ht="14.25">
      <c r="A248" s="37">
        <v>40347</v>
      </c>
      <c r="B248" s="37" t="s">
        <v>27067</v>
      </c>
      <c r="C248" s="37" t="s">
        <v>2348</v>
      </c>
      <c r="D248" s="37" t="s">
        <v>2349</v>
      </c>
      <c r="E248" s="212">
        <v>107.33</v>
      </c>
    </row>
    <row r="249" spans="1:5" ht="14.25">
      <c r="A249" s="37">
        <v>6138</v>
      </c>
      <c r="B249" s="37" t="s">
        <v>27068</v>
      </c>
      <c r="C249" s="37" t="s">
        <v>2348</v>
      </c>
      <c r="D249" s="37" t="s">
        <v>2349</v>
      </c>
      <c r="E249" s="212">
        <v>12.86</v>
      </c>
    </row>
    <row r="250" spans="1:5" ht="14.25">
      <c r="A250" s="37">
        <v>38840</v>
      </c>
      <c r="B250" s="37" t="s">
        <v>27069</v>
      </c>
      <c r="C250" s="37" t="s">
        <v>2348</v>
      </c>
      <c r="D250" s="37" t="s">
        <v>2351</v>
      </c>
      <c r="E250" s="212">
        <v>3.04</v>
      </c>
    </row>
    <row r="251" spans="1:5" ht="14.25">
      <c r="A251" s="37">
        <v>38841</v>
      </c>
      <c r="B251" s="37" t="s">
        <v>27070</v>
      </c>
      <c r="C251" s="37" t="s">
        <v>2348</v>
      </c>
      <c r="D251" s="37" t="s">
        <v>2351</v>
      </c>
      <c r="E251" s="212">
        <v>3.37</v>
      </c>
    </row>
    <row r="252" spans="1:5" ht="14.25">
      <c r="A252" s="37">
        <v>38842</v>
      </c>
      <c r="B252" s="37" t="s">
        <v>27071</v>
      </c>
      <c r="C252" s="37" t="s">
        <v>2348</v>
      </c>
      <c r="D252" s="37" t="s">
        <v>2351</v>
      </c>
      <c r="E252" s="212">
        <v>6.66</v>
      </c>
    </row>
    <row r="253" spans="1:5" ht="14.25">
      <c r="A253" s="37">
        <v>38843</v>
      </c>
      <c r="B253" s="37" t="s">
        <v>27072</v>
      </c>
      <c r="C253" s="37" t="s">
        <v>2348</v>
      </c>
      <c r="D253" s="37" t="s">
        <v>2351</v>
      </c>
      <c r="E253" s="212">
        <v>10.41</v>
      </c>
    </row>
    <row r="254" spans="1:5" ht="14.25">
      <c r="A254" s="37">
        <v>43424</v>
      </c>
      <c r="B254" s="37" t="s">
        <v>27073</v>
      </c>
      <c r="C254" s="37" t="s">
        <v>2348</v>
      </c>
      <c r="D254" s="37" t="s">
        <v>2349</v>
      </c>
      <c r="E254" s="212">
        <v>349.15</v>
      </c>
    </row>
    <row r="255" spans="1:5" ht="14.25">
      <c r="A255" s="37">
        <v>43426</v>
      </c>
      <c r="B255" s="37" t="s">
        <v>27074</v>
      </c>
      <c r="C255" s="37" t="s">
        <v>2348</v>
      </c>
      <c r="D255" s="37" t="s">
        <v>2349</v>
      </c>
      <c r="E255" s="213">
        <v>1204.22</v>
      </c>
    </row>
    <row r="256" spans="1:5" ht="14.25">
      <c r="A256" s="37">
        <v>12565</v>
      </c>
      <c r="B256" s="37" t="s">
        <v>27075</v>
      </c>
      <c r="C256" s="37" t="s">
        <v>2348</v>
      </c>
      <c r="D256" s="37" t="s">
        <v>2349</v>
      </c>
      <c r="E256" s="212">
        <v>422.3</v>
      </c>
    </row>
    <row r="257" spans="1:5" ht="14.25">
      <c r="A257" s="37">
        <v>12567</v>
      </c>
      <c r="B257" s="37" t="s">
        <v>27076</v>
      </c>
      <c r="C257" s="37" t="s">
        <v>2348</v>
      </c>
      <c r="D257" s="37" t="s">
        <v>2349</v>
      </c>
      <c r="E257" s="212">
        <v>567.22</v>
      </c>
    </row>
    <row r="258" spans="1:5" ht="14.25">
      <c r="A258" s="37">
        <v>12568</v>
      </c>
      <c r="B258" s="37" t="s">
        <v>27077</v>
      </c>
      <c r="C258" s="37" t="s">
        <v>2348</v>
      </c>
      <c r="D258" s="37" t="s">
        <v>2349</v>
      </c>
      <c r="E258" s="212">
        <v>794.11</v>
      </c>
    </row>
    <row r="259" spans="1:5" ht="14.25">
      <c r="A259" s="37">
        <v>43441</v>
      </c>
      <c r="B259" s="37" t="s">
        <v>27078</v>
      </c>
      <c r="C259" s="37" t="s">
        <v>2348</v>
      </c>
      <c r="D259" s="37" t="s">
        <v>2349</v>
      </c>
      <c r="E259" s="212">
        <v>102.1</v>
      </c>
    </row>
    <row r="260" spans="1:5" ht="14.25">
      <c r="A260" s="37">
        <v>43423</v>
      </c>
      <c r="B260" s="37" t="s">
        <v>27079</v>
      </c>
      <c r="C260" s="37" t="s">
        <v>2348</v>
      </c>
      <c r="D260" s="37" t="s">
        <v>2349</v>
      </c>
      <c r="E260" s="212">
        <v>47.64</v>
      </c>
    </row>
    <row r="261" spans="1:5" ht="14.25">
      <c r="A261" s="37">
        <v>12532</v>
      </c>
      <c r="B261" s="37" t="s">
        <v>27080</v>
      </c>
      <c r="C261" s="37" t="s">
        <v>2348</v>
      </c>
      <c r="D261" s="37" t="s">
        <v>2349</v>
      </c>
      <c r="E261" s="212">
        <v>73.48</v>
      </c>
    </row>
    <row r="262" spans="1:5" ht="14.25">
      <c r="A262" s="37">
        <v>43444</v>
      </c>
      <c r="B262" s="37" t="s">
        <v>27081</v>
      </c>
      <c r="C262" s="37" t="s">
        <v>2348</v>
      </c>
      <c r="D262" s="37" t="s">
        <v>2349</v>
      </c>
      <c r="E262" s="212">
        <v>246.74</v>
      </c>
    </row>
    <row r="263" spans="1:5" ht="14.25">
      <c r="A263" s="37">
        <v>12551</v>
      </c>
      <c r="B263" s="37" t="s">
        <v>27082</v>
      </c>
      <c r="C263" s="37" t="s">
        <v>2348</v>
      </c>
      <c r="D263" s="37" t="s">
        <v>2349</v>
      </c>
      <c r="E263" s="212">
        <v>176.04</v>
      </c>
    </row>
    <row r="264" spans="1:5" ht="14.25">
      <c r="A264" s="37">
        <v>43442</v>
      </c>
      <c r="B264" s="37" t="s">
        <v>27083</v>
      </c>
      <c r="C264" s="37" t="s">
        <v>2348</v>
      </c>
      <c r="D264" s="37" t="s">
        <v>2349</v>
      </c>
      <c r="E264" s="212">
        <v>136.13</v>
      </c>
    </row>
    <row r="265" spans="1:5" ht="14.25">
      <c r="A265" s="37">
        <v>43443</v>
      </c>
      <c r="B265" s="37" t="s">
        <v>27084</v>
      </c>
      <c r="C265" s="37" t="s">
        <v>2348</v>
      </c>
      <c r="D265" s="37" t="s">
        <v>2349</v>
      </c>
      <c r="E265" s="212">
        <v>178.67</v>
      </c>
    </row>
    <row r="266" spans="1:5" ht="14.25">
      <c r="A266" s="37">
        <v>12544</v>
      </c>
      <c r="B266" s="37" t="s">
        <v>27085</v>
      </c>
      <c r="C266" s="37" t="s">
        <v>2348</v>
      </c>
      <c r="D266" s="37" t="s">
        <v>2349</v>
      </c>
      <c r="E266" s="212">
        <v>96.42</v>
      </c>
    </row>
    <row r="267" spans="1:5" ht="14.25">
      <c r="A267" s="37">
        <v>12547</v>
      </c>
      <c r="B267" s="37" t="s">
        <v>27086</v>
      </c>
      <c r="C267" s="37" t="s">
        <v>2348</v>
      </c>
      <c r="D267" s="37" t="s">
        <v>2349</v>
      </c>
      <c r="E267" s="212">
        <v>129.69</v>
      </c>
    </row>
    <row r="268" spans="1:5" ht="14.25">
      <c r="A268" s="37">
        <v>43445</v>
      </c>
      <c r="B268" s="37" t="s">
        <v>27087</v>
      </c>
      <c r="C268" s="37" t="s">
        <v>2348</v>
      </c>
      <c r="D268" s="37" t="s">
        <v>2349</v>
      </c>
      <c r="E268" s="212">
        <v>340.33</v>
      </c>
    </row>
    <row r="269" spans="1:5" ht="14.25">
      <c r="A269" s="37">
        <v>12563</v>
      </c>
      <c r="B269" s="37" t="s">
        <v>27088</v>
      </c>
      <c r="C269" s="37" t="s">
        <v>2348</v>
      </c>
      <c r="D269" s="37" t="s">
        <v>2349</v>
      </c>
      <c r="E269" s="212">
        <v>243.49</v>
      </c>
    </row>
    <row r="270" spans="1:5" ht="14.25">
      <c r="A270" s="37">
        <v>43425</v>
      </c>
      <c r="B270" s="37" t="s">
        <v>27089</v>
      </c>
      <c r="C270" s="37" t="s">
        <v>2348</v>
      </c>
      <c r="D270" s="37" t="s">
        <v>2349</v>
      </c>
      <c r="E270" s="212">
        <v>153.15</v>
      </c>
    </row>
    <row r="271" spans="1:5" ht="14.25">
      <c r="A271" s="37">
        <v>43446</v>
      </c>
      <c r="B271" s="37" t="s">
        <v>27090</v>
      </c>
      <c r="C271" s="37" t="s">
        <v>2348</v>
      </c>
      <c r="D271" s="37" t="s">
        <v>2349</v>
      </c>
      <c r="E271" s="212">
        <v>323.31</v>
      </c>
    </row>
    <row r="272" spans="1:5" ht="14.25">
      <c r="A272" s="37">
        <v>43447</v>
      </c>
      <c r="B272" s="37" t="s">
        <v>27091</v>
      </c>
      <c r="C272" s="37" t="s">
        <v>2348</v>
      </c>
      <c r="D272" s="37" t="s">
        <v>2349</v>
      </c>
      <c r="E272" s="212">
        <v>397.05</v>
      </c>
    </row>
    <row r="273" spans="1:5" ht="14.25">
      <c r="A273" s="37">
        <v>43448</v>
      </c>
      <c r="B273" s="37" t="s">
        <v>27092</v>
      </c>
      <c r="C273" s="37" t="s">
        <v>2348</v>
      </c>
      <c r="D273" s="37" t="s">
        <v>2349</v>
      </c>
      <c r="E273" s="212">
        <v>555.88</v>
      </c>
    </row>
    <row r="274" spans="1:5" ht="14.25">
      <c r="A274" s="37">
        <v>13761</v>
      </c>
      <c r="B274" s="37" t="s">
        <v>27093</v>
      </c>
      <c r="C274" s="37" t="s">
        <v>2348</v>
      </c>
      <c r="D274" s="37" t="s">
        <v>2349</v>
      </c>
      <c r="E274" s="213">
        <v>3929.47</v>
      </c>
    </row>
    <row r="275" spans="1:5" ht="14.25">
      <c r="A275" s="37">
        <v>4814</v>
      </c>
      <c r="B275" s="37" t="s">
        <v>27094</v>
      </c>
      <c r="C275" s="37" t="s">
        <v>2348</v>
      </c>
      <c r="D275" s="37" t="s">
        <v>2349</v>
      </c>
      <c r="E275" s="212">
        <v>99.49</v>
      </c>
    </row>
    <row r="276" spans="1:5" ht="14.25">
      <c r="A276" s="37">
        <v>44473</v>
      </c>
      <c r="B276" s="37" t="s">
        <v>27095</v>
      </c>
      <c r="C276" s="37" t="s">
        <v>2348</v>
      </c>
      <c r="D276" s="37" t="s">
        <v>2351</v>
      </c>
      <c r="E276" s="213">
        <v>3113</v>
      </c>
    </row>
    <row r="277" spans="1:5" ht="14.25">
      <c r="A277" s="37">
        <v>6122</v>
      </c>
      <c r="B277" s="37" t="s">
        <v>27096</v>
      </c>
      <c r="C277" s="37" t="s">
        <v>2352</v>
      </c>
      <c r="D277" s="37" t="s">
        <v>2349</v>
      </c>
      <c r="E277" s="212">
        <v>22.62</v>
      </c>
    </row>
    <row r="278" spans="1:5" ht="14.25">
      <c r="A278" s="37">
        <v>40810</v>
      </c>
      <c r="B278" s="37" t="s">
        <v>27097</v>
      </c>
      <c r="C278" s="37" t="s">
        <v>2369</v>
      </c>
      <c r="D278" s="37" t="s">
        <v>2349</v>
      </c>
      <c r="E278" s="213">
        <v>3979.58</v>
      </c>
    </row>
    <row r="279" spans="1:5" ht="14.25">
      <c r="A279" s="37">
        <v>21100</v>
      </c>
      <c r="B279" s="37" t="s">
        <v>27098</v>
      </c>
      <c r="C279" s="37" t="s">
        <v>2348</v>
      </c>
      <c r="D279" s="37" t="s">
        <v>2351</v>
      </c>
      <c r="E279" s="213">
        <v>3047.95</v>
      </c>
    </row>
    <row r="280" spans="1:5" ht="14.25">
      <c r="A280" s="37">
        <v>11816</v>
      </c>
      <c r="B280" s="37" t="s">
        <v>27099</v>
      </c>
      <c r="C280" s="37" t="s">
        <v>2348</v>
      </c>
      <c r="D280" s="37" t="s">
        <v>2351</v>
      </c>
      <c r="E280" s="213">
        <v>3250</v>
      </c>
    </row>
    <row r="281" spans="1:5" ht="14.25">
      <c r="A281" s="37">
        <v>11814</v>
      </c>
      <c r="B281" s="37" t="s">
        <v>27100</v>
      </c>
      <c r="C281" s="37" t="s">
        <v>2348</v>
      </c>
      <c r="D281" s="37" t="s">
        <v>2351</v>
      </c>
      <c r="E281" s="213">
        <v>7074.43</v>
      </c>
    </row>
    <row r="282" spans="1:5" ht="14.25">
      <c r="A282" s="37">
        <v>14186</v>
      </c>
      <c r="B282" s="37" t="s">
        <v>27101</v>
      </c>
      <c r="C282" s="37" t="s">
        <v>2348</v>
      </c>
      <c r="D282" s="37" t="s">
        <v>2351</v>
      </c>
      <c r="E282" s="213">
        <v>8882.91</v>
      </c>
    </row>
    <row r="283" spans="1:5" ht="14.25">
      <c r="A283" s="37">
        <v>14185</v>
      </c>
      <c r="B283" s="37" t="s">
        <v>27102</v>
      </c>
      <c r="C283" s="37" t="s">
        <v>2348</v>
      </c>
      <c r="D283" s="37" t="s">
        <v>2351</v>
      </c>
      <c r="E283" s="213">
        <v>11506.83</v>
      </c>
    </row>
    <row r="284" spans="1:5" ht="14.25">
      <c r="A284" s="37">
        <v>11811</v>
      </c>
      <c r="B284" s="37" t="s">
        <v>27103</v>
      </c>
      <c r="C284" s="37" t="s">
        <v>2348</v>
      </c>
      <c r="D284" s="37" t="s">
        <v>2351</v>
      </c>
      <c r="E284" s="213">
        <v>4399.7700000000004</v>
      </c>
    </row>
    <row r="285" spans="1:5" ht="14.25">
      <c r="A285" s="37">
        <v>44498</v>
      </c>
      <c r="B285" s="37" t="s">
        <v>27104</v>
      </c>
      <c r="C285" s="37" t="s">
        <v>2348</v>
      </c>
      <c r="D285" s="37" t="s">
        <v>2351</v>
      </c>
      <c r="E285" s="213">
        <v>298453.86</v>
      </c>
    </row>
    <row r="286" spans="1:5" ht="14.25">
      <c r="A286" s="37">
        <v>34469</v>
      </c>
      <c r="B286" s="37" t="s">
        <v>27105</v>
      </c>
      <c r="C286" s="37" t="s">
        <v>2348</v>
      </c>
      <c r="D286" s="37" t="s">
        <v>2351</v>
      </c>
      <c r="E286" s="213">
        <v>10486.93</v>
      </c>
    </row>
    <row r="287" spans="1:5" ht="14.25">
      <c r="A287" s="37">
        <v>34476</v>
      </c>
      <c r="B287" s="37" t="s">
        <v>27106</v>
      </c>
      <c r="C287" s="37" t="s">
        <v>2348</v>
      </c>
      <c r="D287" s="37" t="s">
        <v>2351</v>
      </c>
      <c r="E287" s="213">
        <v>5469.37</v>
      </c>
    </row>
    <row r="288" spans="1:5" ht="14.25">
      <c r="A288" s="37">
        <v>34477</v>
      </c>
      <c r="B288" s="37" t="s">
        <v>27107</v>
      </c>
      <c r="C288" s="37" t="s">
        <v>2348</v>
      </c>
      <c r="D288" s="37" t="s">
        <v>2351</v>
      </c>
      <c r="E288" s="213">
        <v>7258.92</v>
      </c>
    </row>
    <row r="289" spans="1:5" ht="14.25">
      <c r="A289" s="37">
        <v>34482</v>
      </c>
      <c r="B289" s="37" t="s">
        <v>27108</v>
      </c>
      <c r="C289" s="37" t="s">
        <v>2348</v>
      </c>
      <c r="D289" s="37" t="s">
        <v>2351</v>
      </c>
      <c r="E289" s="213">
        <v>6779.43</v>
      </c>
    </row>
    <row r="290" spans="1:5" ht="14.25">
      <c r="A290" s="37">
        <v>34472</v>
      </c>
      <c r="B290" s="37" t="s">
        <v>27109</v>
      </c>
      <c r="C290" s="37" t="s">
        <v>2348</v>
      </c>
      <c r="D290" s="37" t="s">
        <v>2351</v>
      </c>
      <c r="E290" s="213">
        <v>3226.5</v>
      </c>
    </row>
    <row r="291" spans="1:5" ht="14.25">
      <c r="A291" s="37">
        <v>42425</v>
      </c>
      <c r="B291" s="37" t="s">
        <v>27110</v>
      </c>
      <c r="C291" s="37" t="s">
        <v>2348</v>
      </c>
      <c r="D291" s="37" t="s">
        <v>2349</v>
      </c>
      <c r="E291" s="213">
        <v>2178.1</v>
      </c>
    </row>
    <row r="292" spans="1:5" ht="14.25">
      <c r="A292" s="37">
        <v>42422</v>
      </c>
      <c r="B292" s="37" t="s">
        <v>27111</v>
      </c>
      <c r="C292" s="37" t="s">
        <v>2348</v>
      </c>
      <c r="D292" s="37" t="s">
        <v>2353</v>
      </c>
      <c r="E292" s="213">
        <v>3233.46</v>
      </c>
    </row>
    <row r="293" spans="1:5" ht="14.25">
      <c r="A293" s="37">
        <v>43184</v>
      </c>
      <c r="B293" s="37" t="s">
        <v>27112</v>
      </c>
      <c r="C293" s="37" t="s">
        <v>2348</v>
      </c>
      <c r="D293" s="37" t="s">
        <v>2349</v>
      </c>
      <c r="E293" s="213">
        <v>4468.95</v>
      </c>
    </row>
    <row r="294" spans="1:5" ht="14.25">
      <c r="A294" s="37">
        <v>42424</v>
      </c>
      <c r="B294" s="37" t="s">
        <v>27113</v>
      </c>
      <c r="C294" s="37" t="s">
        <v>2348</v>
      </c>
      <c r="D294" s="37" t="s">
        <v>2349</v>
      </c>
      <c r="E294" s="213">
        <v>1945.23</v>
      </c>
    </row>
    <row r="295" spans="1:5" ht="14.25">
      <c r="A295" s="37">
        <v>42421</v>
      </c>
      <c r="B295" s="37" t="s">
        <v>27114</v>
      </c>
      <c r="C295" s="37" t="s">
        <v>2348</v>
      </c>
      <c r="D295" s="37" t="s">
        <v>2349</v>
      </c>
      <c r="E295" s="213">
        <v>17711.12</v>
      </c>
    </row>
    <row r="296" spans="1:5" ht="14.25">
      <c r="A296" s="37">
        <v>42416</v>
      </c>
      <c r="B296" s="37" t="s">
        <v>27115</v>
      </c>
      <c r="C296" s="37" t="s">
        <v>2348</v>
      </c>
      <c r="D296" s="37" t="s">
        <v>2349</v>
      </c>
      <c r="E296" s="213">
        <v>8385.67</v>
      </c>
    </row>
    <row r="297" spans="1:5" ht="14.25">
      <c r="A297" s="37">
        <v>42417</v>
      </c>
      <c r="B297" s="37" t="s">
        <v>27116</v>
      </c>
      <c r="C297" s="37" t="s">
        <v>2348</v>
      </c>
      <c r="D297" s="37" t="s">
        <v>2349</v>
      </c>
      <c r="E297" s="213">
        <v>9401.02</v>
      </c>
    </row>
    <row r="298" spans="1:5" ht="14.25">
      <c r="A298" s="37">
        <v>42419</v>
      </c>
      <c r="B298" s="37" t="s">
        <v>27117</v>
      </c>
      <c r="C298" s="37" t="s">
        <v>2348</v>
      </c>
      <c r="D298" s="37" t="s">
        <v>2349</v>
      </c>
      <c r="E298" s="213">
        <v>10621.16</v>
      </c>
    </row>
    <row r="299" spans="1:5" ht="14.25">
      <c r="A299" s="37">
        <v>42420</v>
      </c>
      <c r="B299" s="37" t="s">
        <v>27118</v>
      </c>
      <c r="C299" s="37" t="s">
        <v>2348</v>
      </c>
      <c r="D299" s="37" t="s">
        <v>2349</v>
      </c>
      <c r="E299" s="213">
        <v>14597.99</v>
      </c>
    </row>
    <row r="300" spans="1:5" ht="14.25">
      <c r="A300" s="37">
        <v>43195</v>
      </c>
      <c r="B300" s="37" t="s">
        <v>27119</v>
      </c>
      <c r="C300" s="37" t="s">
        <v>2348</v>
      </c>
      <c r="D300" s="37" t="s">
        <v>2349</v>
      </c>
      <c r="E300" s="213">
        <v>5140.16</v>
      </c>
    </row>
    <row r="301" spans="1:5" ht="14.25">
      <c r="A301" s="37">
        <v>43196</v>
      </c>
      <c r="B301" s="37" t="s">
        <v>27120</v>
      </c>
      <c r="C301" s="37" t="s">
        <v>2348</v>
      </c>
      <c r="D301" s="37" t="s">
        <v>2349</v>
      </c>
      <c r="E301" s="213">
        <v>6370.49</v>
      </c>
    </row>
    <row r="302" spans="1:5" ht="14.25">
      <c r="A302" s="37">
        <v>43198</v>
      </c>
      <c r="B302" s="37" t="s">
        <v>27121</v>
      </c>
      <c r="C302" s="37" t="s">
        <v>2348</v>
      </c>
      <c r="D302" s="37" t="s">
        <v>2349</v>
      </c>
      <c r="E302" s="213">
        <v>9466.4</v>
      </c>
    </row>
    <row r="303" spans="1:5" ht="14.25">
      <c r="A303" s="37">
        <v>43199</v>
      </c>
      <c r="B303" s="37" t="s">
        <v>27122</v>
      </c>
      <c r="C303" s="37" t="s">
        <v>2348</v>
      </c>
      <c r="D303" s="37" t="s">
        <v>2349</v>
      </c>
      <c r="E303" s="213">
        <v>9813.2800000000007</v>
      </c>
    </row>
    <row r="304" spans="1:5" ht="14.25">
      <c r="A304" s="37">
        <v>43200</v>
      </c>
      <c r="B304" s="37" t="s">
        <v>27123</v>
      </c>
      <c r="C304" s="37" t="s">
        <v>2348</v>
      </c>
      <c r="D304" s="37" t="s">
        <v>2349</v>
      </c>
      <c r="E304" s="213">
        <v>11261.45</v>
      </c>
    </row>
    <row r="305" spans="1:5" ht="14.25">
      <c r="A305" s="37">
        <v>39556</v>
      </c>
      <c r="B305" s="37" t="s">
        <v>27124</v>
      </c>
      <c r="C305" s="37" t="s">
        <v>2348</v>
      </c>
      <c r="D305" s="37" t="s">
        <v>2349</v>
      </c>
      <c r="E305" s="213">
        <v>6150.67</v>
      </c>
    </row>
    <row r="306" spans="1:5" ht="14.25">
      <c r="A306" s="37">
        <v>39557</v>
      </c>
      <c r="B306" s="37" t="s">
        <v>27125</v>
      </c>
      <c r="C306" s="37" t="s">
        <v>2348</v>
      </c>
      <c r="D306" s="37" t="s">
        <v>2349</v>
      </c>
      <c r="E306" s="213">
        <v>6622.93</v>
      </c>
    </row>
    <row r="307" spans="1:5" ht="14.25">
      <c r="A307" s="37">
        <v>39559</v>
      </c>
      <c r="B307" s="37" t="s">
        <v>27126</v>
      </c>
      <c r="C307" s="37" t="s">
        <v>2348</v>
      </c>
      <c r="D307" s="37" t="s">
        <v>2349</v>
      </c>
      <c r="E307" s="213">
        <v>9787.42</v>
      </c>
    </row>
    <row r="308" spans="1:5" ht="14.25">
      <c r="A308" s="37">
        <v>39560</v>
      </c>
      <c r="B308" s="37" t="s">
        <v>27127</v>
      </c>
      <c r="C308" s="37" t="s">
        <v>2348</v>
      </c>
      <c r="D308" s="37" t="s">
        <v>2349</v>
      </c>
      <c r="E308" s="213">
        <v>11323.09</v>
      </c>
    </row>
    <row r="309" spans="1:5" ht="14.25">
      <c r="A309" s="37">
        <v>39561</v>
      </c>
      <c r="B309" s="37" t="s">
        <v>27128</v>
      </c>
      <c r="C309" s="37" t="s">
        <v>2348</v>
      </c>
      <c r="D309" s="37" t="s">
        <v>2349</v>
      </c>
      <c r="E309" s="213">
        <v>11845.4</v>
      </c>
    </row>
    <row r="310" spans="1:5" ht="14.25">
      <c r="A310" s="37">
        <v>43190</v>
      </c>
      <c r="B310" s="37" t="s">
        <v>27129</v>
      </c>
      <c r="C310" s="37" t="s">
        <v>2348</v>
      </c>
      <c r="D310" s="37" t="s">
        <v>2349</v>
      </c>
      <c r="E310" s="213">
        <v>1748.06</v>
      </c>
    </row>
    <row r="311" spans="1:5" ht="14.25">
      <c r="A311" s="37">
        <v>39555</v>
      </c>
      <c r="B311" s="37" t="s">
        <v>27130</v>
      </c>
      <c r="C311" s="37" t="s">
        <v>2348</v>
      </c>
      <c r="D311" s="37" t="s">
        <v>2349</v>
      </c>
      <c r="E311" s="213">
        <v>1890.96</v>
      </c>
    </row>
    <row r="312" spans="1:5" ht="14.25">
      <c r="A312" s="37">
        <v>43191</v>
      </c>
      <c r="B312" s="37" t="s">
        <v>27131</v>
      </c>
      <c r="C312" s="37" t="s">
        <v>2348</v>
      </c>
      <c r="D312" s="37" t="s">
        <v>2349</v>
      </c>
      <c r="E312" s="213">
        <v>2515.23</v>
      </c>
    </row>
    <row r="313" spans="1:5" ht="14.25">
      <c r="A313" s="37">
        <v>39548</v>
      </c>
      <c r="B313" s="37" t="s">
        <v>27132</v>
      </c>
      <c r="C313" s="37" t="s">
        <v>2348</v>
      </c>
      <c r="D313" s="37" t="s">
        <v>2349</v>
      </c>
      <c r="E313" s="213">
        <v>2804.87</v>
      </c>
    </row>
    <row r="314" spans="1:5" ht="14.25">
      <c r="A314" s="37">
        <v>43192</v>
      </c>
      <c r="B314" s="37" t="s">
        <v>27133</v>
      </c>
      <c r="C314" s="37" t="s">
        <v>2348</v>
      </c>
      <c r="D314" s="37" t="s">
        <v>2349</v>
      </c>
      <c r="E314" s="213">
        <v>3294.73</v>
      </c>
    </row>
    <row r="315" spans="1:5" ht="14.25">
      <c r="A315" s="37">
        <v>39554</v>
      </c>
      <c r="B315" s="37" t="s">
        <v>27134</v>
      </c>
      <c r="C315" s="37" t="s">
        <v>2348</v>
      </c>
      <c r="D315" s="37" t="s">
        <v>2349</v>
      </c>
      <c r="E315" s="213">
        <v>3709.03</v>
      </c>
    </row>
    <row r="316" spans="1:5" ht="14.25">
      <c r="A316" s="37">
        <v>43194</v>
      </c>
      <c r="B316" s="37" t="s">
        <v>27135</v>
      </c>
      <c r="C316" s="37" t="s">
        <v>2348</v>
      </c>
      <c r="D316" s="37" t="s">
        <v>2349</v>
      </c>
      <c r="E316" s="213">
        <v>1497.52</v>
      </c>
    </row>
    <row r="317" spans="1:5" ht="14.25">
      <c r="A317" s="37">
        <v>39551</v>
      </c>
      <c r="B317" s="37" t="s">
        <v>27136</v>
      </c>
      <c r="C317" s="37" t="s">
        <v>2348</v>
      </c>
      <c r="D317" s="37" t="s">
        <v>2349</v>
      </c>
      <c r="E317" s="213">
        <v>1648.93</v>
      </c>
    </row>
    <row r="318" spans="1:5" ht="14.25">
      <c r="A318" s="37">
        <v>43185</v>
      </c>
      <c r="B318" s="37" t="s">
        <v>27137</v>
      </c>
      <c r="C318" s="37" t="s">
        <v>2348</v>
      </c>
      <c r="D318" s="37" t="s">
        <v>2349</v>
      </c>
      <c r="E318" s="213">
        <v>4685.95</v>
      </c>
    </row>
    <row r="319" spans="1:5" ht="14.25">
      <c r="A319" s="37">
        <v>43186</v>
      </c>
      <c r="B319" s="37" t="s">
        <v>27138</v>
      </c>
      <c r="C319" s="37" t="s">
        <v>2348</v>
      </c>
      <c r="D319" s="37" t="s">
        <v>2349</v>
      </c>
      <c r="E319" s="213">
        <v>4942.7299999999996</v>
      </c>
    </row>
    <row r="320" spans="1:5" ht="14.25">
      <c r="A320" s="37">
        <v>43187</v>
      </c>
      <c r="B320" s="37" t="s">
        <v>27139</v>
      </c>
      <c r="C320" s="37" t="s">
        <v>2348</v>
      </c>
      <c r="D320" s="37" t="s">
        <v>2349</v>
      </c>
      <c r="E320" s="213">
        <v>6559.06</v>
      </c>
    </row>
    <row r="321" spans="1:5" ht="14.25">
      <c r="A321" s="37">
        <v>43188</v>
      </c>
      <c r="B321" s="37" t="s">
        <v>27140</v>
      </c>
      <c r="C321" s="37" t="s">
        <v>2348</v>
      </c>
      <c r="D321" s="37" t="s">
        <v>2349</v>
      </c>
      <c r="E321" s="213">
        <v>7947.17</v>
      </c>
    </row>
    <row r="322" spans="1:5" ht="14.25">
      <c r="A322" s="37">
        <v>43189</v>
      </c>
      <c r="B322" s="37" t="s">
        <v>27141</v>
      </c>
      <c r="C322" s="37" t="s">
        <v>2348</v>
      </c>
      <c r="D322" s="37" t="s">
        <v>2349</v>
      </c>
      <c r="E322" s="213">
        <v>8939.24</v>
      </c>
    </row>
    <row r="323" spans="1:5" ht="14.25">
      <c r="A323" s="37">
        <v>39580</v>
      </c>
      <c r="B323" s="37" t="s">
        <v>27142</v>
      </c>
      <c r="C323" s="37" t="s">
        <v>2348</v>
      </c>
      <c r="D323" s="37" t="s">
        <v>2349</v>
      </c>
      <c r="E323" s="213">
        <v>70444.87</v>
      </c>
    </row>
    <row r="324" spans="1:5" ht="14.25">
      <c r="A324" s="37">
        <v>39577</v>
      </c>
      <c r="B324" s="37" t="s">
        <v>27143</v>
      </c>
      <c r="C324" s="37" t="s">
        <v>2348</v>
      </c>
      <c r="D324" s="37" t="s">
        <v>2349</v>
      </c>
      <c r="E324" s="213">
        <v>22049.09</v>
      </c>
    </row>
    <row r="325" spans="1:5" ht="14.25">
      <c r="A325" s="37">
        <v>39578</v>
      </c>
      <c r="B325" s="37" t="s">
        <v>27144</v>
      </c>
      <c r="C325" s="37" t="s">
        <v>2348</v>
      </c>
      <c r="D325" s="37" t="s">
        <v>2349</v>
      </c>
      <c r="E325" s="213">
        <v>28454.79</v>
      </c>
    </row>
    <row r="326" spans="1:5" ht="14.25">
      <c r="A326" s="37">
        <v>39579</v>
      </c>
      <c r="B326" s="37" t="s">
        <v>27145</v>
      </c>
      <c r="C326" s="37" t="s">
        <v>2348</v>
      </c>
      <c r="D326" s="37" t="s">
        <v>2349</v>
      </c>
      <c r="E326" s="213">
        <v>41399.49</v>
      </c>
    </row>
    <row r="327" spans="1:5" ht="14.25">
      <c r="A327" s="37">
        <v>39826</v>
      </c>
      <c r="B327" s="37" t="s">
        <v>27146</v>
      </c>
      <c r="C327" s="37" t="s">
        <v>2348</v>
      </c>
      <c r="D327" s="37" t="s">
        <v>2349</v>
      </c>
      <c r="E327" s="213">
        <v>5084.6099999999997</v>
      </c>
    </row>
    <row r="328" spans="1:5" ht="14.25">
      <c r="A328" s="37">
        <v>10700</v>
      </c>
      <c r="B328" s="37" t="s">
        <v>27147</v>
      </c>
      <c r="C328" s="37" t="s">
        <v>2348</v>
      </c>
      <c r="D328" s="37" t="s">
        <v>2351</v>
      </c>
      <c r="E328" s="213">
        <v>28703.46</v>
      </c>
    </row>
    <row r="329" spans="1:5" ht="14.25">
      <c r="A329" s="37">
        <v>346</v>
      </c>
      <c r="B329" s="37" t="s">
        <v>27148</v>
      </c>
      <c r="C329" s="37" t="s">
        <v>2356</v>
      </c>
      <c r="D329" s="37" t="s">
        <v>2349</v>
      </c>
      <c r="E329" s="212">
        <v>37.81</v>
      </c>
    </row>
    <row r="330" spans="1:5" ht="14.25">
      <c r="A330" s="37">
        <v>3312</v>
      </c>
      <c r="B330" s="37" t="s">
        <v>27149</v>
      </c>
      <c r="C330" s="37" t="s">
        <v>2356</v>
      </c>
      <c r="D330" s="37" t="s">
        <v>2351</v>
      </c>
      <c r="E330" s="212">
        <v>23.27</v>
      </c>
    </row>
    <row r="331" spans="1:5" ht="14.25">
      <c r="A331" s="37">
        <v>339</v>
      </c>
      <c r="B331" s="37" t="s">
        <v>27150</v>
      </c>
      <c r="C331" s="37" t="s">
        <v>2355</v>
      </c>
      <c r="D331" s="37" t="s">
        <v>2349</v>
      </c>
      <c r="E331" s="212">
        <v>1.95</v>
      </c>
    </row>
    <row r="332" spans="1:5" ht="14.25">
      <c r="A332" s="37">
        <v>340</v>
      </c>
      <c r="B332" s="37" t="s">
        <v>27151</v>
      </c>
      <c r="C332" s="37" t="s">
        <v>2355</v>
      </c>
      <c r="D332" s="37" t="s">
        <v>2349</v>
      </c>
      <c r="E332" s="212">
        <v>1.76</v>
      </c>
    </row>
    <row r="333" spans="1:5" ht="14.25">
      <c r="A333" s="37">
        <v>43130</v>
      </c>
      <c r="B333" s="37" t="s">
        <v>27152</v>
      </c>
      <c r="C333" s="37" t="s">
        <v>2356</v>
      </c>
      <c r="D333" s="37" t="s">
        <v>2353</v>
      </c>
      <c r="E333" s="212">
        <v>31.92</v>
      </c>
    </row>
    <row r="334" spans="1:5" ht="14.25">
      <c r="A334" s="37">
        <v>344</v>
      </c>
      <c r="B334" s="37" t="s">
        <v>27153</v>
      </c>
      <c r="C334" s="37" t="s">
        <v>2356</v>
      </c>
      <c r="D334" s="37" t="s">
        <v>2349</v>
      </c>
      <c r="E334" s="212">
        <v>41.96</v>
      </c>
    </row>
    <row r="335" spans="1:5" ht="14.25">
      <c r="A335" s="37">
        <v>345</v>
      </c>
      <c r="B335" s="37" t="s">
        <v>27154</v>
      </c>
      <c r="C335" s="37" t="s">
        <v>2356</v>
      </c>
      <c r="D335" s="37" t="s">
        <v>2349</v>
      </c>
      <c r="E335" s="212">
        <v>45.53</v>
      </c>
    </row>
    <row r="336" spans="1:5" ht="14.25">
      <c r="A336" s="37">
        <v>43131</v>
      </c>
      <c r="B336" s="37" t="s">
        <v>27155</v>
      </c>
      <c r="C336" s="37" t="s">
        <v>2356</v>
      </c>
      <c r="D336" s="37" t="s">
        <v>2349</v>
      </c>
      <c r="E336" s="212">
        <v>37.08</v>
      </c>
    </row>
    <row r="337" spans="1:5" ht="14.25">
      <c r="A337" s="37">
        <v>3313</v>
      </c>
      <c r="B337" s="37" t="s">
        <v>27156</v>
      </c>
      <c r="C337" s="37" t="s">
        <v>2356</v>
      </c>
      <c r="D337" s="37" t="s">
        <v>2351</v>
      </c>
      <c r="E337" s="212">
        <v>29.95</v>
      </c>
    </row>
    <row r="338" spans="1:5" ht="14.25">
      <c r="A338" s="37">
        <v>43132</v>
      </c>
      <c r="B338" s="37" t="s">
        <v>27157</v>
      </c>
      <c r="C338" s="37" t="s">
        <v>2356</v>
      </c>
      <c r="D338" s="37" t="s">
        <v>2349</v>
      </c>
      <c r="E338" s="212">
        <v>31.92</v>
      </c>
    </row>
    <row r="339" spans="1:5" ht="14.25">
      <c r="A339" s="37">
        <v>366</v>
      </c>
      <c r="B339" s="37" t="s">
        <v>27158</v>
      </c>
      <c r="C339" s="37" t="s">
        <v>28760</v>
      </c>
      <c r="D339" s="37" t="s">
        <v>2353</v>
      </c>
      <c r="E339" s="212">
        <v>58.33</v>
      </c>
    </row>
    <row r="340" spans="1:5" ht="14.25">
      <c r="A340" s="37">
        <v>367</v>
      </c>
      <c r="B340" s="37" t="s">
        <v>27159</v>
      </c>
      <c r="C340" s="37" t="s">
        <v>28760</v>
      </c>
      <c r="D340" s="37" t="s">
        <v>2353</v>
      </c>
      <c r="E340" s="212">
        <v>74</v>
      </c>
    </row>
    <row r="341" spans="1:5" ht="14.25">
      <c r="A341" s="37">
        <v>370</v>
      </c>
      <c r="B341" s="37" t="s">
        <v>27160</v>
      </c>
      <c r="C341" s="37" t="s">
        <v>28760</v>
      </c>
      <c r="D341" s="37" t="s">
        <v>2353</v>
      </c>
      <c r="E341" s="212">
        <v>53.34</v>
      </c>
    </row>
    <row r="342" spans="1:5" ht="14.25">
      <c r="A342" s="37">
        <v>368</v>
      </c>
      <c r="B342" s="37" t="s">
        <v>27161</v>
      </c>
      <c r="C342" s="37" t="s">
        <v>28760</v>
      </c>
      <c r="D342" s="37" t="s">
        <v>2349</v>
      </c>
      <c r="E342" s="212">
        <v>55.5</v>
      </c>
    </row>
    <row r="343" spans="1:5" ht="14.25">
      <c r="A343" s="37">
        <v>11075</v>
      </c>
      <c r="B343" s="37" t="s">
        <v>27162</v>
      </c>
      <c r="C343" s="37" t="s">
        <v>28760</v>
      </c>
      <c r="D343" s="37" t="s">
        <v>2349</v>
      </c>
      <c r="E343" s="213">
        <v>1211.75</v>
      </c>
    </row>
    <row r="344" spans="1:5" ht="14.25">
      <c r="A344" s="37">
        <v>1381</v>
      </c>
      <c r="B344" s="37" t="s">
        <v>27163</v>
      </c>
      <c r="C344" s="37" t="s">
        <v>2356</v>
      </c>
      <c r="D344" s="37" t="s">
        <v>2353</v>
      </c>
      <c r="E344" s="212">
        <v>0.54</v>
      </c>
    </row>
    <row r="345" spans="1:5" ht="14.25">
      <c r="A345" s="37">
        <v>34353</v>
      </c>
      <c r="B345" s="37" t="s">
        <v>27164</v>
      </c>
      <c r="C345" s="37" t="s">
        <v>2356</v>
      </c>
      <c r="D345" s="37" t="s">
        <v>2349</v>
      </c>
      <c r="E345" s="212">
        <v>1</v>
      </c>
    </row>
    <row r="346" spans="1:5" ht="14.25">
      <c r="A346" s="37">
        <v>37595</v>
      </c>
      <c r="B346" s="37" t="s">
        <v>27165</v>
      </c>
      <c r="C346" s="37" t="s">
        <v>2356</v>
      </c>
      <c r="D346" s="37" t="s">
        <v>2349</v>
      </c>
      <c r="E346" s="212">
        <v>1.66</v>
      </c>
    </row>
    <row r="347" spans="1:5" ht="14.25">
      <c r="A347" s="37">
        <v>37596</v>
      </c>
      <c r="B347" s="37" t="s">
        <v>27166</v>
      </c>
      <c r="C347" s="37" t="s">
        <v>2356</v>
      </c>
      <c r="D347" s="37" t="s">
        <v>2349</v>
      </c>
      <c r="E347" s="212">
        <v>1.9</v>
      </c>
    </row>
    <row r="348" spans="1:5" ht="14.25">
      <c r="A348" s="37">
        <v>371</v>
      </c>
      <c r="B348" s="37" t="s">
        <v>27167</v>
      </c>
      <c r="C348" s="37" t="s">
        <v>2356</v>
      </c>
      <c r="D348" s="37" t="s">
        <v>2349</v>
      </c>
      <c r="E348" s="212">
        <v>0.59</v>
      </c>
    </row>
    <row r="349" spans="1:5" ht="14.25">
      <c r="A349" s="37">
        <v>37553</v>
      </c>
      <c r="B349" s="37" t="s">
        <v>27168</v>
      </c>
      <c r="C349" s="37" t="s">
        <v>2356</v>
      </c>
      <c r="D349" s="37" t="s">
        <v>2349</v>
      </c>
      <c r="E349" s="212">
        <v>1.1000000000000001</v>
      </c>
    </row>
    <row r="350" spans="1:5" ht="14.25">
      <c r="A350" s="37">
        <v>37552</v>
      </c>
      <c r="B350" s="37" t="s">
        <v>27169</v>
      </c>
      <c r="C350" s="37" t="s">
        <v>2356</v>
      </c>
      <c r="D350" s="37" t="s">
        <v>2349</v>
      </c>
      <c r="E350" s="212">
        <v>1.77</v>
      </c>
    </row>
    <row r="351" spans="1:5" ht="14.25">
      <c r="A351" s="37">
        <v>36880</v>
      </c>
      <c r="B351" s="37" t="s">
        <v>27170</v>
      </c>
      <c r="C351" s="37" t="s">
        <v>2356</v>
      </c>
      <c r="D351" s="37" t="s">
        <v>2349</v>
      </c>
      <c r="E351" s="212">
        <v>1.8</v>
      </c>
    </row>
    <row r="352" spans="1:5" ht="14.25">
      <c r="A352" s="37">
        <v>34355</v>
      </c>
      <c r="B352" s="37" t="s">
        <v>27171</v>
      </c>
      <c r="C352" s="37" t="s">
        <v>2356</v>
      </c>
      <c r="D352" s="37" t="s">
        <v>2349</v>
      </c>
      <c r="E352" s="212">
        <v>1.55</v>
      </c>
    </row>
    <row r="353" spans="1:5" ht="14.25">
      <c r="A353" s="37">
        <v>130</v>
      </c>
      <c r="B353" s="37" t="s">
        <v>27172</v>
      </c>
      <c r="C353" s="37" t="s">
        <v>2356</v>
      </c>
      <c r="D353" s="37" t="s">
        <v>2349</v>
      </c>
      <c r="E353" s="212">
        <v>3.61</v>
      </c>
    </row>
    <row r="354" spans="1:5" ht="14.25">
      <c r="A354" s="37">
        <v>135</v>
      </c>
      <c r="B354" s="37" t="s">
        <v>27173</v>
      </c>
      <c r="C354" s="37" t="s">
        <v>2356</v>
      </c>
      <c r="D354" s="37" t="s">
        <v>2349</v>
      </c>
      <c r="E354" s="212">
        <v>2.9</v>
      </c>
    </row>
    <row r="355" spans="1:5" ht="14.25">
      <c r="A355" s="37">
        <v>36886</v>
      </c>
      <c r="B355" s="37" t="s">
        <v>27174</v>
      </c>
      <c r="C355" s="37" t="s">
        <v>2356</v>
      </c>
      <c r="D355" s="37" t="s">
        <v>2349</v>
      </c>
      <c r="E355" s="212">
        <v>0.56000000000000005</v>
      </c>
    </row>
    <row r="356" spans="1:5" ht="14.25">
      <c r="A356" s="37">
        <v>38546</v>
      </c>
      <c r="B356" s="37" t="s">
        <v>27175</v>
      </c>
      <c r="C356" s="37" t="s">
        <v>28760</v>
      </c>
      <c r="D356" s="37" t="s">
        <v>2349</v>
      </c>
      <c r="E356" s="212">
        <v>366.62</v>
      </c>
    </row>
    <row r="357" spans="1:5" ht="14.25">
      <c r="A357" s="37">
        <v>34549</v>
      </c>
      <c r="B357" s="37" t="s">
        <v>27176</v>
      </c>
      <c r="C357" s="37" t="s">
        <v>28760</v>
      </c>
      <c r="D357" s="37" t="s">
        <v>2349</v>
      </c>
      <c r="E357" s="212">
        <v>223.72</v>
      </c>
    </row>
    <row r="358" spans="1:5" ht="14.25">
      <c r="A358" s="37">
        <v>6081</v>
      </c>
      <c r="B358" s="37" t="s">
        <v>27177</v>
      </c>
      <c r="C358" s="37" t="s">
        <v>28760</v>
      </c>
      <c r="D358" s="37" t="s">
        <v>2349</v>
      </c>
      <c r="E358" s="212">
        <v>31.69</v>
      </c>
    </row>
    <row r="359" spans="1:5" ht="14.25">
      <c r="A359" s="37">
        <v>6077</v>
      </c>
      <c r="B359" s="37" t="s">
        <v>27178</v>
      </c>
      <c r="C359" s="37" t="s">
        <v>28760</v>
      </c>
      <c r="D359" s="37" t="s">
        <v>2349</v>
      </c>
      <c r="E359" s="212">
        <v>18.27</v>
      </c>
    </row>
    <row r="360" spans="1:5" ht="14.25">
      <c r="A360" s="37">
        <v>6079</v>
      </c>
      <c r="B360" s="37" t="s">
        <v>27179</v>
      </c>
      <c r="C360" s="37" t="s">
        <v>28760</v>
      </c>
      <c r="D360" s="37" t="s">
        <v>2349</v>
      </c>
      <c r="E360" s="212">
        <v>10.44</v>
      </c>
    </row>
    <row r="361" spans="1:5" ht="14.25">
      <c r="A361" s="37">
        <v>1091</v>
      </c>
      <c r="B361" s="37" t="s">
        <v>27180</v>
      </c>
      <c r="C361" s="37" t="s">
        <v>2348</v>
      </c>
      <c r="D361" s="37" t="s">
        <v>2349</v>
      </c>
      <c r="E361" s="212">
        <v>28.52</v>
      </c>
    </row>
    <row r="362" spans="1:5" ht="14.25">
      <c r="A362" s="37">
        <v>1094</v>
      </c>
      <c r="B362" s="37" t="s">
        <v>27181</v>
      </c>
      <c r="C362" s="37" t="s">
        <v>2348</v>
      </c>
      <c r="D362" s="37" t="s">
        <v>2349</v>
      </c>
      <c r="E362" s="212">
        <v>19.95</v>
      </c>
    </row>
    <row r="363" spans="1:5" ht="14.25">
      <c r="A363" s="37">
        <v>1095</v>
      </c>
      <c r="B363" s="37" t="s">
        <v>27182</v>
      </c>
      <c r="C363" s="37" t="s">
        <v>2348</v>
      </c>
      <c r="D363" s="37" t="s">
        <v>2349</v>
      </c>
      <c r="E363" s="212">
        <v>42.4</v>
      </c>
    </row>
    <row r="364" spans="1:5" ht="14.25">
      <c r="A364" s="37">
        <v>1092</v>
      </c>
      <c r="B364" s="37" t="s">
        <v>27183</v>
      </c>
      <c r="C364" s="37" t="s">
        <v>2348</v>
      </c>
      <c r="D364" s="37" t="s">
        <v>2353</v>
      </c>
      <c r="E364" s="212">
        <v>32.81</v>
      </c>
    </row>
    <row r="365" spans="1:5" ht="14.25">
      <c r="A365" s="37">
        <v>1093</v>
      </c>
      <c r="B365" s="37" t="s">
        <v>27184</v>
      </c>
      <c r="C365" s="37" t="s">
        <v>2348</v>
      </c>
      <c r="D365" s="37" t="s">
        <v>2349</v>
      </c>
      <c r="E365" s="212">
        <v>76.62</v>
      </c>
    </row>
    <row r="366" spans="1:5" ht="14.25">
      <c r="A366" s="37">
        <v>1090</v>
      </c>
      <c r="B366" s="37" t="s">
        <v>27185</v>
      </c>
      <c r="C366" s="37" t="s">
        <v>2348</v>
      </c>
      <c r="D366" s="37" t="s">
        <v>2349</v>
      </c>
      <c r="E366" s="212">
        <v>54.86</v>
      </c>
    </row>
    <row r="367" spans="1:5" ht="14.25">
      <c r="A367" s="37">
        <v>1096</v>
      </c>
      <c r="B367" s="37" t="s">
        <v>27186</v>
      </c>
      <c r="C367" s="37" t="s">
        <v>2348</v>
      </c>
      <c r="D367" s="37" t="s">
        <v>2349</v>
      </c>
      <c r="E367" s="212">
        <v>98.73</v>
      </c>
    </row>
    <row r="368" spans="1:5" ht="14.25">
      <c r="A368" s="37">
        <v>1097</v>
      </c>
      <c r="B368" s="37" t="s">
        <v>27187</v>
      </c>
      <c r="C368" s="37" t="s">
        <v>2348</v>
      </c>
      <c r="D368" s="37" t="s">
        <v>2349</v>
      </c>
      <c r="E368" s="212">
        <v>83.81</v>
      </c>
    </row>
    <row r="369" spans="1:5" ht="14.25">
      <c r="A369" s="37">
        <v>378</v>
      </c>
      <c r="B369" s="37" t="s">
        <v>27188</v>
      </c>
      <c r="C369" s="37" t="s">
        <v>2352</v>
      </c>
      <c r="D369" s="37" t="s">
        <v>2349</v>
      </c>
      <c r="E369" s="212">
        <v>18.670000000000002</v>
      </c>
    </row>
    <row r="370" spans="1:5" ht="14.25">
      <c r="A370" s="37">
        <v>40911</v>
      </c>
      <c r="B370" s="37" t="s">
        <v>27189</v>
      </c>
      <c r="C370" s="37" t="s">
        <v>2369</v>
      </c>
      <c r="D370" s="37" t="s">
        <v>2349</v>
      </c>
      <c r="E370" s="213">
        <v>3283.8</v>
      </c>
    </row>
    <row r="371" spans="1:5" ht="14.25">
      <c r="A371" s="37">
        <v>33939</v>
      </c>
      <c r="B371" s="37" t="s">
        <v>27190</v>
      </c>
      <c r="C371" s="37" t="s">
        <v>2352</v>
      </c>
      <c r="D371" s="37" t="s">
        <v>2349</v>
      </c>
      <c r="E371" s="212">
        <v>67.540000000000006</v>
      </c>
    </row>
    <row r="372" spans="1:5" ht="14.25">
      <c r="A372" s="37">
        <v>40815</v>
      </c>
      <c r="B372" s="37" t="s">
        <v>27191</v>
      </c>
      <c r="C372" s="37" t="s">
        <v>2369</v>
      </c>
      <c r="D372" s="37" t="s">
        <v>2349</v>
      </c>
      <c r="E372" s="213">
        <v>11878.86</v>
      </c>
    </row>
    <row r="373" spans="1:5" ht="14.25">
      <c r="A373" s="37">
        <v>34760</v>
      </c>
      <c r="B373" s="37" t="s">
        <v>27192</v>
      </c>
      <c r="C373" s="37" t="s">
        <v>2352</v>
      </c>
      <c r="D373" s="37" t="s">
        <v>2349</v>
      </c>
      <c r="E373" s="212">
        <v>70.489999999999995</v>
      </c>
    </row>
    <row r="374" spans="1:5" ht="14.25">
      <c r="A374" s="37">
        <v>40935</v>
      </c>
      <c r="B374" s="37" t="s">
        <v>27193</v>
      </c>
      <c r="C374" s="37" t="s">
        <v>2369</v>
      </c>
      <c r="D374" s="37" t="s">
        <v>2349</v>
      </c>
      <c r="E374" s="213">
        <v>12396.09</v>
      </c>
    </row>
    <row r="375" spans="1:5" ht="14.25">
      <c r="A375" s="37">
        <v>33952</v>
      </c>
      <c r="B375" s="37" t="s">
        <v>27194</v>
      </c>
      <c r="C375" s="37" t="s">
        <v>2352</v>
      </c>
      <c r="D375" s="37" t="s">
        <v>2349</v>
      </c>
      <c r="E375" s="212">
        <v>95.94</v>
      </c>
    </row>
    <row r="376" spans="1:5" ht="14.25">
      <c r="A376" s="37">
        <v>40816</v>
      </c>
      <c r="B376" s="37" t="s">
        <v>27195</v>
      </c>
      <c r="C376" s="37" t="s">
        <v>2369</v>
      </c>
      <c r="D376" s="37" t="s">
        <v>2349</v>
      </c>
      <c r="E376" s="213">
        <v>16872.919999999998</v>
      </c>
    </row>
    <row r="377" spans="1:5" ht="14.25">
      <c r="A377" s="37">
        <v>33953</v>
      </c>
      <c r="B377" s="37" t="s">
        <v>27196</v>
      </c>
      <c r="C377" s="37" t="s">
        <v>2352</v>
      </c>
      <c r="D377" s="37" t="s">
        <v>2349</v>
      </c>
      <c r="E377" s="212">
        <v>126.85</v>
      </c>
    </row>
    <row r="378" spans="1:5" ht="14.25">
      <c r="A378" s="37">
        <v>40817</v>
      </c>
      <c r="B378" s="37" t="s">
        <v>27197</v>
      </c>
      <c r="C378" s="37" t="s">
        <v>2369</v>
      </c>
      <c r="D378" s="37" t="s">
        <v>2349</v>
      </c>
      <c r="E378" s="213">
        <v>22307.5</v>
      </c>
    </row>
    <row r="379" spans="1:5" ht="14.25">
      <c r="A379" s="37">
        <v>13348</v>
      </c>
      <c r="B379" s="37" t="s">
        <v>27198</v>
      </c>
      <c r="C379" s="37" t="s">
        <v>2348</v>
      </c>
      <c r="D379" s="37" t="s">
        <v>2351</v>
      </c>
      <c r="E379" s="212">
        <v>0.92</v>
      </c>
    </row>
    <row r="380" spans="1:5" ht="14.25">
      <c r="A380" s="37">
        <v>39211</v>
      </c>
      <c r="B380" s="37" t="s">
        <v>27199</v>
      </c>
      <c r="C380" s="37" t="s">
        <v>2348</v>
      </c>
      <c r="D380" s="37" t="s">
        <v>2349</v>
      </c>
      <c r="E380" s="212">
        <v>1.83</v>
      </c>
    </row>
    <row r="381" spans="1:5" ht="14.25">
      <c r="A381" s="37">
        <v>39212</v>
      </c>
      <c r="B381" s="37" t="s">
        <v>27200</v>
      </c>
      <c r="C381" s="37" t="s">
        <v>2348</v>
      </c>
      <c r="D381" s="37" t="s">
        <v>2349</v>
      </c>
      <c r="E381" s="212">
        <v>2.04</v>
      </c>
    </row>
    <row r="382" spans="1:5" ht="14.25">
      <c r="A382" s="37">
        <v>39208</v>
      </c>
      <c r="B382" s="37" t="s">
        <v>27201</v>
      </c>
      <c r="C382" s="37" t="s">
        <v>2348</v>
      </c>
      <c r="D382" s="37" t="s">
        <v>2349</v>
      </c>
      <c r="E382" s="212">
        <v>0.56000000000000005</v>
      </c>
    </row>
    <row r="383" spans="1:5" ht="14.25">
      <c r="A383" s="37">
        <v>39210</v>
      </c>
      <c r="B383" s="37" t="s">
        <v>27202</v>
      </c>
      <c r="C383" s="37" t="s">
        <v>2348</v>
      </c>
      <c r="D383" s="37" t="s">
        <v>2349</v>
      </c>
      <c r="E383" s="212">
        <v>1.03</v>
      </c>
    </row>
    <row r="384" spans="1:5" ht="14.25">
      <c r="A384" s="37">
        <v>39214</v>
      </c>
      <c r="B384" s="37" t="s">
        <v>27203</v>
      </c>
      <c r="C384" s="37" t="s">
        <v>2348</v>
      </c>
      <c r="D384" s="37" t="s">
        <v>2349</v>
      </c>
      <c r="E384" s="212">
        <v>3.79</v>
      </c>
    </row>
    <row r="385" spans="1:5" ht="14.25">
      <c r="A385" s="37">
        <v>39213</v>
      </c>
      <c r="B385" s="37" t="s">
        <v>27204</v>
      </c>
      <c r="C385" s="37" t="s">
        <v>2348</v>
      </c>
      <c r="D385" s="37" t="s">
        <v>2349</v>
      </c>
      <c r="E385" s="212">
        <v>2.68</v>
      </c>
    </row>
    <row r="386" spans="1:5" ht="14.25">
      <c r="A386" s="37">
        <v>39209</v>
      </c>
      <c r="B386" s="37" t="s">
        <v>27205</v>
      </c>
      <c r="C386" s="37" t="s">
        <v>2348</v>
      </c>
      <c r="D386" s="37" t="s">
        <v>2349</v>
      </c>
      <c r="E386" s="212">
        <v>0.66</v>
      </c>
    </row>
    <row r="387" spans="1:5" ht="14.25">
      <c r="A387" s="37">
        <v>39207</v>
      </c>
      <c r="B387" s="37" t="s">
        <v>27206</v>
      </c>
      <c r="C387" s="37" t="s">
        <v>2348</v>
      </c>
      <c r="D387" s="37" t="s">
        <v>2349</v>
      </c>
      <c r="E387" s="212">
        <v>1.03</v>
      </c>
    </row>
    <row r="388" spans="1:5" ht="14.25">
      <c r="A388" s="37">
        <v>39215</v>
      </c>
      <c r="B388" s="37" t="s">
        <v>27207</v>
      </c>
      <c r="C388" s="37" t="s">
        <v>2348</v>
      </c>
      <c r="D388" s="37" t="s">
        <v>2349</v>
      </c>
      <c r="E388" s="212">
        <v>6.91</v>
      </c>
    </row>
    <row r="389" spans="1:5" ht="14.25">
      <c r="A389" s="37">
        <v>39216</v>
      </c>
      <c r="B389" s="37" t="s">
        <v>27208</v>
      </c>
      <c r="C389" s="37" t="s">
        <v>2348</v>
      </c>
      <c r="D389" s="37" t="s">
        <v>2349</v>
      </c>
      <c r="E389" s="212">
        <v>9.64</v>
      </c>
    </row>
    <row r="390" spans="1:5" ht="14.25">
      <c r="A390" s="37">
        <v>11267</v>
      </c>
      <c r="B390" s="37" t="s">
        <v>27209</v>
      </c>
      <c r="C390" s="37" t="s">
        <v>2348</v>
      </c>
      <c r="D390" s="37" t="s">
        <v>2351</v>
      </c>
      <c r="E390" s="212">
        <v>0.8</v>
      </c>
    </row>
    <row r="391" spans="1:5" ht="14.25">
      <c r="A391" s="37">
        <v>379</v>
      </c>
      <c r="B391" s="37" t="s">
        <v>27210</v>
      </c>
      <c r="C391" s="37" t="s">
        <v>2348</v>
      </c>
      <c r="D391" s="37" t="s">
        <v>2351</v>
      </c>
      <c r="E391" s="212">
        <v>0.81</v>
      </c>
    </row>
    <row r="392" spans="1:5" ht="14.25">
      <c r="A392" s="37">
        <v>510</v>
      </c>
      <c r="B392" s="37" t="s">
        <v>27211</v>
      </c>
      <c r="C392" s="37" t="s">
        <v>2356</v>
      </c>
      <c r="D392" s="37" t="s">
        <v>2349</v>
      </c>
      <c r="E392" s="212">
        <v>7.06</v>
      </c>
    </row>
    <row r="393" spans="1:5" ht="14.25">
      <c r="A393" s="37">
        <v>516</v>
      </c>
      <c r="B393" s="37" t="s">
        <v>27212</v>
      </c>
      <c r="C393" s="37" t="s">
        <v>2356</v>
      </c>
      <c r="D393" s="37" t="s">
        <v>2349</v>
      </c>
      <c r="E393" s="212">
        <v>8.3699999999999992</v>
      </c>
    </row>
    <row r="394" spans="1:5" ht="14.25">
      <c r="A394" s="37">
        <v>509</v>
      </c>
      <c r="B394" s="37" t="s">
        <v>27213</v>
      </c>
      <c r="C394" s="37" t="s">
        <v>2356</v>
      </c>
      <c r="D394" s="37" t="s">
        <v>2349</v>
      </c>
      <c r="E394" s="212">
        <v>9.39</v>
      </c>
    </row>
    <row r="395" spans="1:5" ht="14.25">
      <c r="A395" s="37">
        <v>40331</v>
      </c>
      <c r="B395" s="37" t="s">
        <v>27214</v>
      </c>
      <c r="C395" s="37" t="s">
        <v>2352</v>
      </c>
      <c r="D395" s="37" t="s">
        <v>2349</v>
      </c>
      <c r="E395" s="212">
        <v>22.7</v>
      </c>
    </row>
    <row r="396" spans="1:5" ht="14.25">
      <c r="A396" s="37">
        <v>40930</v>
      </c>
      <c r="B396" s="37" t="s">
        <v>27215</v>
      </c>
      <c r="C396" s="37" t="s">
        <v>2369</v>
      </c>
      <c r="D396" s="37" t="s">
        <v>2349</v>
      </c>
      <c r="E396" s="213">
        <v>3993.35</v>
      </c>
    </row>
    <row r="397" spans="1:5" ht="14.25">
      <c r="A397" s="37">
        <v>11761</v>
      </c>
      <c r="B397" s="37" t="s">
        <v>27216</v>
      </c>
      <c r="C397" s="37" t="s">
        <v>2348</v>
      </c>
      <c r="D397" s="37" t="s">
        <v>2349</v>
      </c>
      <c r="E397" s="212">
        <v>84.91</v>
      </c>
    </row>
    <row r="398" spans="1:5" ht="14.25">
      <c r="A398" s="37">
        <v>377</v>
      </c>
      <c r="B398" s="37" t="s">
        <v>27217</v>
      </c>
      <c r="C398" s="37" t="s">
        <v>2348</v>
      </c>
      <c r="D398" s="37" t="s">
        <v>2353</v>
      </c>
      <c r="E398" s="212">
        <v>39.9</v>
      </c>
    </row>
    <row r="399" spans="1:5" ht="14.25">
      <c r="A399" s="37">
        <v>7588</v>
      </c>
      <c r="B399" s="37" t="s">
        <v>27218</v>
      </c>
      <c r="C399" s="37" t="s">
        <v>2348</v>
      </c>
      <c r="D399" s="37" t="s">
        <v>2353</v>
      </c>
      <c r="E399" s="212">
        <v>42.81</v>
      </c>
    </row>
    <row r="400" spans="1:5" ht="14.25">
      <c r="A400" s="37">
        <v>34392</v>
      </c>
      <c r="B400" s="37" t="s">
        <v>27219</v>
      </c>
      <c r="C400" s="37" t="s">
        <v>2352</v>
      </c>
      <c r="D400" s="37" t="s">
        <v>2349</v>
      </c>
      <c r="E400" s="212">
        <v>16.600000000000001</v>
      </c>
    </row>
    <row r="401" spans="1:5" ht="14.25">
      <c r="A401" s="37">
        <v>40908</v>
      </c>
      <c r="B401" s="37" t="s">
        <v>27220</v>
      </c>
      <c r="C401" s="37" t="s">
        <v>2369</v>
      </c>
      <c r="D401" s="37" t="s">
        <v>2349</v>
      </c>
      <c r="E401" s="213">
        <v>2922.98</v>
      </c>
    </row>
    <row r="402" spans="1:5" ht="14.25">
      <c r="A402" s="37">
        <v>34551</v>
      </c>
      <c r="B402" s="37" t="s">
        <v>27221</v>
      </c>
      <c r="C402" s="37" t="s">
        <v>2352</v>
      </c>
      <c r="D402" s="37" t="s">
        <v>2349</v>
      </c>
      <c r="E402" s="212">
        <v>13.6</v>
      </c>
    </row>
    <row r="403" spans="1:5" ht="14.25">
      <c r="A403" s="37">
        <v>41078</v>
      </c>
      <c r="B403" s="37" t="s">
        <v>27222</v>
      </c>
      <c r="C403" s="37" t="s">
        <v>2369</v>
      </c>
      <c r="D403" s="37" t="s">
        <v>2349</v>
      </c>
      <c r="E403" s="213">
        <v>2393.75</v>
      </c>
    </row>
    <row r="404" spans="1:5" ht="14.25">
      <c r="A404" s="37">
        <v>246</v>
      </c>
      <c r="B404" s="37" t="s">
        <v>27223</v>
      </c>
      <c r="C404" s="37" t="s">
        <v>2352</v>
      </c>
      <c r="D404" s="37" t="s">
        <v>2349</v>
      </c>
      <c r="E404" s="212">
        <v>11.34</v>
      </c>
    </row>
    <row r="405" spans="1:5" ht="14.25">
      <c r="A405" s="37">
        <v>40927</v>
      </c>
      <c r="B405" s="37" t="s">
        <v>27224</v>
      </c>
      <c r="C405" s="37" t="s">
        <v>2369</v>
      </c>
      <c r="D405" s="37" t="s">
        <v>2349</v>
      </c>
      <c r="E405" s="213">
        <v>1997.49</v>
      </c>
    </row>
    <row r="406" spans="1:5" ht="14.25">
      <c r="A406" s="37">
        <v>2350</v>
      </c>
      <c r="B406" s="37" t="s">
        <v>27225</v>
      </c>
      <c r="C406" s="37" t="s">
        <v>2352</v>
      </c>
      <c r="D406" s="37" t="s">
        <v>2349</v>
      </c>
      <c r="E406" s="212">
        <v>15.93</v>
      </c>
    </row>
    <row r="407" spans="1:5" ht="14.25">
      <c r="A407" s="37">
        <v>40812</v>
      </c>
      <c r="B407" s="37" t="s">
        <v>27226</v>
      </c>
      <c r="C407" s="37" t="s">
        <v>2369</v>
      </c>
      <c r="D407" s="37" t="s">
        <v>2349</v>
      </c>
      <c r="E407" s="213">
        <v>2803.15</v>
      </c>
    </row>
    <row r="408" spans="1:5" ht="14.25">
      <c r="A408" s="37">
        <v>245</v>
      </c>
      <c r="B408" s="37" t="s">
        <v>27227</v>
      </c>
      <c r="C408" s="37" t="s">
        <v>2352</v>
      </c>
      <c r="D408" s="37" t="s">
        <v>2349</v>
      </c>
      <c r="E408" s="212">
        <v>22.21</v>
      </c>
    </row>
    <row r="409" spans="1:5" ht="14.25">
      <c r="A409" s="37">
        <v>41090</v>
      </c>
      <c r="B409" s="37" t="s">
        <v>27228</v>
      </c>
      <c r="C409" s="37" t="s">
        <v>2369</v>
      </c>
      <c r="D409" s="37" t="s">
        <v>2349</v>
      </c>
      <c r="E409" s="213">
        <v>3906.59</v>
      </c>
    </row>
    <row r="410" spans="1:5" ht="14.25">
      <c r="A410" s="37">
        <v>251</v>
      </c>
      <c r="B410" s="37" t="s">
        <v>27229</v>
      </c>
      <c r="C410" s="37" t="s">
        <v>2352</v>
      </c>
      <c r="D410" s="37" t="s">
        <v>2349</v>
      </c>
      <c r="E410" s="212">
        <v>15.57</v>
      </c>
    </row>
    <row r="411" spans="1:5" ht="14.25">
      <c r="A411" s="37">
        <v>40975</v>
      </c>
      <c r="B411" s="37" t="s">
        <v>27230</v>
      </c>
      <c r="C411" s="37" t="s">
        <v>2369</v>
      </c>
      <c r="D411" s="37" t="s">
        <v>2349</v>
      </c>
      <c r="E411" s="213">
        <v>2741.16</v>
      </c>
    </row>
    <row r="412" spans="1:5" ht="14.25">
      <c r="A412" s="37">
        <v>6127</v>
      </c>
      <c r="B412" s="37" t="s">
        <v>27231</v>
      </c>
      <c r="C412" s="37" t="s">
        <v>2352</v>
      </c>
      <c r="D412" s="37" t="s">
        <v>2349</v>
      </c>
      <c r="E412" s="212">
        <v>11.62</v>
      </c>
    </row>
    <row r="413" spans="1:5" ht="14.25">
      <c r="A413" s="37">
        <v>41072</v>
      </c>
      <c r="B413" s="37" t="s">
        <v>27232</v>
      </c>
      <c r="C413" s="37" t="s">
        <v>2369</v>
      </c>
      <c r="D413" s="37" t="s">
        <v>2349</v>
      </c>
      <c r="E413" s="213">
        <v>2047.22</v>
      </c>
    </row>
    <row r="414" spans="1:5" ht="14.25">
      <c r="A414" s="37">
        <v>6121</v>
      </c>
      <c r="B414" s="37" t="s">
        <v>27233</v>
      </c>
      <c r="C414" s="37" t="s">
        <v>2352</v>
      </c>
      <c r="D414" s="37" t="s">
        <v>2349</v>
      </c>
      <c r="E414" s="212">
        <v>12.65</v>
      </c>
    </row>
    <row r="415" spans="1:5" ht="14.25">
      <c r="A415" s="37">
        <v>41071</v>
      </c>
      <c r="B415" s="37" t="s">
        <v>27234</v>
      </c>
      <c r="C415" s="37" t="s">
        <v>2369</v>
      </c>
      <c r="D415" s="37" t="s">
        <v>2349</v>
      </c>
      <c r="E415" s="213">
        <v>2228.9499999999998</v>
      </c>
    </row>
    <row r="416" spans="1:5" ht="14.25">
      <c r="A416" s="37">
        <v>244</v>
      </c>
      <c r="B416" s="37" t="s">
        <v>27235</v>
      </c>
      <c r="C416" s="37" t="s">
        <v>2352</v>
      </c>
      <c r="D416" s="37" t="s">
        <v>2349</v>
      </c>
      <c r="E416" s="212">
        <v>10.71</v>
      </c>
    </row>
    <row r="417" spans="1:5" ht="14.25">
      <c r="A417" s="37">
        <v>41093</v>
      </c>
      <c r="B417" s="37" t="s">
        <v>27236</v>
      </c>
      <c r="C417" s="37" t="s">
        <v>2369</v>
      </c>
      <c r="D417" s="37" t="s">
        <v>2349</v>
      </c>
      <c r="E417" s="213">
        <v>1886.61</v>
      </c>
    </row>
    <row r="418" spans="1:5" ht="14.25">
      <c r="A418" s="37">
        <v>532</v>
      </c>
      <c r="B418" s="37" t="s">
        <v>27237</v>
      </c>
      <c r="C418" s="37" t="s">
        <v>2352</v>
      </c>
      <c r="D418" s="37" t="s">
        <v>2349</v>
      </c>
      <c r="E418" s="212">
        <v>34.799999999999997</v>
      </c>
    </row>
    <row r="419" spans="1:5" ht="14.25">
      <c r="A419" s="37">
        <v>40931</v>
      </c>
      <c r="B419" s="37" t="s">
        <v>27238</v>
      </c>
      <c r="C419" s="37" t="s">
        <v>2369</v>
      </c>
      <c r="D419" s="37" t="s">
        <v>2349</v>
      </c>
      <c r="E419" s="213">
        <v>6123.76</v>
      </c>
    </row>
    <row r="420" spans="1:5" ht="14.25">
      <c r="A420" s="37">
        <v>36150</v>
      </c>
      <c r="B420" s="37" t="s">
        <v>27239</v>
      </c>
      <c r="C420" s="37" t="s">
        <v>2348</v>
      </c>
      <c r="D420" s="37" t="s">
        <v>2349</v>
      </c>
      <c r="E420" s="212">
        <v>44.25</v>
      </c>
    </row>
    <row r="421" spans="1:5" ht="14.25">
      <c r="A421" s="37">
        <v>4760</v>
      </c>
      <c r="B421" s="37" t="s">
        <v>27240</v>
      </c>
      <c r="C421" s="37" t="s">
        <v>2352</v>
      </c>
      <c r="D421" s="37" t="s">
        <v>2349</v>
      </c>
      <c r="E421" s="212">
        <v>19.62</v>
      </c>
    </row>
    <row r="422" spans="1:5" ht="14.25">
      <c r="A422" s="37">
        <v>41069</v>
      </c>
      <c r="B422" s="37" t="s">
        <v>27241</v>
      </c>
      <c r="C422" s="37" t="s">
        <v>2369</v>
      </c>
      <c r="D422" s="37" t="s">
        <v>2349</v>
      </c>
      <c r="E422" s="213">
        <v>3451.57</v>
      </c>
    </row>
    <row r="423" spans="1:5" ht="14.25">
      <c r="A423" s="37">
        <v>10422</v>
      </c>
      <c r="B423" s="37" t="s">
        <v>27242</v>
      </c>
      <c r="C423" s="37" t="s">
        <v>2348</v>
      </c>
      <c r="D423" s="37" t="s">
        <v>2349</v>
      </c>
      <c r="E423" s="212">
        <v>298.88</v>
      </c>
    </row>
    <row r="424" spans="1:5" ht="14.25">
      <c r="A424" s="37">
        <v>44019</v>
      </c>
      <c r="B424" s="37" t="s">
        <v>27243</v>
      </c>
      <c r="C424" s="37" t="s">
        <v>2348</v>
      </c>
      <c r="D424" s="37" t="s">
        <v>2349</v>
      </c>
      <c r="E424" s="212">
        <v>413.73</v>
      </c>
    </row>
    <row r="425" spans="1:5" ht="14.25">
      <c r="A425" s="37">
        <v>36520</v>
      </c>
      <c r="B425" s="37" t="s">
        <v>27244</v>
      </c>
      <c r="C425" s="37" t="s">
        <v>2348</v>
      </c>
      <c r="D425" s="37" t="s">
        <v>2349</v>
      </c>
      <c r="E425" s="212">
        <v>503.05</v>
      </c>
    </row>
    <row r="426" spans="1:5" ht="14.25">
      <c r="A426" s="37">
        <v>42319</v>
      </c>
      <c r="B426" s="37" t="s">
        <v>27245</v>
      </c>
      <c r="C426" s="37" t="s">
        <v>2348</v>
      </c>
      <c r="D426" s="37" t="s">
        <v>2349</v>
      </c>
      <c r="E426" s="212">
        <v>450.76</v>
      </c>
    </row>
    <row r="427" spans="1:5" ht="14.25">
      <c r="A427" s="37">
        <v>10420</v>
      </c>
      <c r="B427" s="37" t="s">
        <v>27246</v>
      </c>
      <c r="C427" s="37" t="s">
        <v>2348</v>
      </c>
      <c r="D427" s="37" t="s">
        <v>2353</v>
      </c>
      <c r="E427" s="212">
        <v>159.9</v>
      </c>
    </row>
    <row r="428" spans="1:5" ht="14.25">
      <c r="A428" s="37">
        <v>10421</v>
      </c>
      <c r="B428" s="37" t="s">
        <v>27247</v>
      </c>
      <c r="C428" s="37" t="s">
        <v>2348</v>
      </c>
      <c r="D428" s="37" t="s">
        <v>2349</v>
      </c>
      <c r="E428" s="212">
        <v>175.71</v>
      </c>
    </row>
    <row r="429" spans="1:5" ht="14.25">
      <c r="A429" s="37">
        <v>11786</v>
      </c>
      <c r="B429" s="37" t="s">
        <v>27248</v>
      </c>
      <c r="C429" s="37" t="s">
        <v>2348</v>
      </c>
      <c r="D429" s="37" t="s">
        <v>2349</v>
      </c>
      <c r="E429" s="212">
        <v>354.3</v>
      </c>
    </row>
    <row r="430" spans="1:5" ht="14.25">
      <c r="A430" s="37">
        <v>10</v>
      </c>
      <c r="B430" s="37" t="s">
        <v>27249</v>
      </c>
      <c r="C430" s="37" t="s">
        <v>2348</v>
      </c>
      <c r="D430" s="37" t="s">
        <v>2349</v>
      </c>
      <c r="E430" s="212">
        <v>7.71</v>
      </c>
    </row>
    <row r="431" spans="1:5" ht="14.25">
      <c r="A431" s="37">
        <v>4815</v>
      </c>
      <c r="B431" s="37" t="s">
        <v>27250</v>
      </c>
      <c r="C431" s="37" t="s">
        <v>2348</v>
      </c>
      <c r="D431" s="37" t="s">
        <v>2349</v>
      </c>
      <c r="E431" s="212">
        <v>6.25</v>
      </c>
    </row>
    <row r="432" spans="1:5" ht="14.25">
      <c r="A432" s="37">
        <v>541</v>
      </c>
      <c r="B432" s="37" t="s">
        <v>27251</v>
      </c>
      <c r="C432" s="37" t="s">
        <v>2348</v>
      </c>
      <c r="D432" s="37" t="s">
        <v>2353</v>
      </c>
      <c r="E432" s="212">
        <v>135</v>
      </c>
    </row>
    <row r="433" spans="1:5" ht="14.25">
      <c r="A433" s="37">
        <v>542</v>
      </c>
      <c r="B433" s="37" t="s">
        <v>27252</v>
      </c>
      <c r="C433" s="37" t="s">
        <v>2348</v>
      </c>
      <c r="D433" s="37" t="s">
        <v>2349</v>
      </c>
      <c r="E433" s="212">
        <v>169.22</v>
      </c>
    </row>
    <row r="434" spans="1:5" ht="14.25">
      <c r="A434" s="37">
        <v>540</v>
      </c>
      <c r="B434" s="37" t="s">
        <v>27253</v>
      </c>
      <c r="C434" s="37" t="s">
        <v>2348</v>
      </c>
      <c r="D434" s="37" t="s">
        <v>2349</v>
      </c>
      <c r="E434" s="212">
        <v>381.34</v>
      </c>
    </row>
    <row r="435" spans="1:5" ht="14.25">
      <c r="A435" s="37">
        <v>38364</v>
      </c>
      <c r="B435" s="37" t="s">
        <v>27254</v>
      </c>
      <c r="C435" s="37" t="s">
        <v>2348</v>
      </c>
      <c r="D435" s="37" t="s">
        <v>2349</v>
      </c>
      <c r="E435" s="212">
        <v>366.87</v>
      </c>
    </row>
    <row r="436" spans="1:5" ht="14.25">
      <c r="A436" s="37">
        <v>11692</v>
      </c>
      <c r="B436" s="37" t="s">
        <v>27255</v>
      </c>
      <c r="C436" s="37" t="s">
        <v>28761</v>
      </c>
      <c r="D436" s="37" t="s">
        <v>2349</v>
      </c>
      <c r="E436" s="212">
        <v>330.78</v>
      </c>
    </row>
    <row r="437" spans="1:5" ht="14.25">
      <c r="A437" s="37">
        <v>1746</v>
      </c>
      <c r="B437" s="37" t="s">
        <v>27256</v>
      </c>
      <c r="C437" s="37" t="s">
        <v>2348</v>
      </c>
      <c r="D437" s="37" t="s">
        <v>2353</v>
      </c>
      <c r="E437" s="212">
        <v>242.15</v>
      </c>
    </row>
    <row r="438" spans="1:5" ht="14.25">
      <c r="A438" s="37">
        <v>1748</v>
      </c>
      <c r="B438" s="37" t="s">
        <v>27257</v>
      </c>
      <c r="C438" s="37" t="s">
        <v>2348</v>
      </c>
      <c r="D438" s="37" t="s">
        <v>2349</v>
      </c>
      <c r="E438" s="212">
        <v>322</v>
      </c>
    </row>
    <row r="439" spans="1:5" ht="14.25">
      <c r="A439" s="37">
        <v>1749</v>
      </c>
      <c r="B439" s="37" t="s">
        <v>27258</v>
      </c>
      <c r="C439" s="37" t="s">
        <v>2348</v>
      </c>
      <c r="D439" s="37" t="s">
        <v>2349</v>
      </c>
      <c r="E439" s="212">
        <v>466.52</v>
      </c>
    </row>
    <row r="440" spans="1:5" ht="14.25">
      <c r="A440" s="37">
        <v>37412</v>
      </c>
      <c r="B440" s="37" t="s">
        <v>27259</v>
      </c>
      <c r="C440" s="37" t="s">
        <v>2348</v>
      </c>
      <c r="D440" s="37" t="s">
        <v>2349</v>
      </c>
      <c r="E440" s="212">
        <v>236.7</v>
      </c>
    </row>
    <row r="441" spans="1:5" ht="14.25">
      <c r="A441" s="37">
        <v>1745</v>
      </c>
      <c r="B441" s="37" t="s">
        <v>27260</v>
      </c>
      <c r="C441" s="37" t="s">
        <v>2348</v>
      </c>
      <c r="D441" s="37" t="s">
        <v>2349</v>
      </c>
      <c r="E441" s="212">
        <v>281.47000000000003</v>
      </c>
    </row>
    <row r="442" spans="1:5" ht="14.25">
      <c r="A442" s="37">
        <v>1750</v>
      </c>
      <c r="B442" s="37" t="s">
        <v>27261</v>
      </c>
      <c r="C442" s="37" t="s">
        <v>2348</v>
      </c>
      <c r="D442" s="37" t="s">
        <v>2349</v>
      </c>
      <c r="E442" s="212">
        <v>657.75</v>
      </c>
    </row>
    <row r="443" spans="1:5" ht="14.25">
      <c r="A443" s="37">
        <v>11687</v>
      </c>
      <c r="B443" s="37" t="s">
        <v>27262</v>
      </c>
      <c r="C443" s="37" t="s">
        <v>2355</v>
      </c>
      <c r="D443" s="37" t="s">
        <v>2349</v>
      </c>
      <c r="E443" s="213">
        <v>1048</v>
      </c>
    </row>
    <row r="444" spans="1:5" ht="14.25">
      <c r="A444" s="37">
        <v>11689</v>
      </c>
      <c r="B444" s="37" t="s">
        <v>27263</v>
      </c>
      <c r="C444" s="37" t="s">
        <v>2355</v>
      </c>
      <c r="D444" s="37" t="s">
        <v>2349</v>
      </c>
      <c r="E444" s="213">
        <v>1313.08</v>
      </c>
    </row>
    <row r="445" spans="1:5" ht="14.25">
      <c r="A445" s="37">
        <v>11693</v>
      </c>
      <c r="B445" s="37" t="s">
        <v>27264</v>
      </c>
      <c r="C445" s="37" t="s">
        <v>28761</v>
      </c>
      <c r="D445" s="37" t="s">
        <v>2349</v>
      </c>
      <c r="E445" s="212">
        <v>149.68</v>
      </c>
    </row>
    <row r="446" spans="1:5" ht="14.25">
      <c r="A446" s="37">
        <v>36215</v>
      </c>
      <c r="B446" s="37" t="s">
        <v>27265</v>
      </c>
      <c r="C446" s="37" t="s">
        <v>2348</v>
      </c>
      <c r="D446" s="37" t="s">
        <v>2351</v>
      </c>
      <c r="E446" s="212">
        <v>809.32</v>
      </c>
    </row>
    <row r="447" spans="1:5" ht="14.25">
      <c r="A447" s="37">
        <v>42439</v>
      </c>
      <c r="B447" s="37" t="s">
        <v>27266</v>
      </c>
      <c r="C447" s="37" t="s">
        <v>2348</v>
      </c>
      <c r="D447" s="37" t="s">
        <v>2351</v>
      </c>
      <c r="E447" s="213">
        <v>1060.52</v>
      </c>
    </row>
    <row r="448" spans="1:5" ht="14.25">
      <c r="A448" s="37">
        <v>38381</v>
      </c>
      <c r="B448" s="37" t="s">
        <v>27267</v>
      </c>
      <c r="C448" s="37" t="s">
        <v>2348</v>
      </c>
      <c r="D448" s="37" t="s">
        <v>2349</v>
      </c>
      <c r="E448" s="212">
        <v>9.1</v>
      </c>
    </row>
    <row r="449" spans="1:5" ht="14.25">
      <c r="A449" s="37">
        <v>39621</v>
      </c>
      <c r="B449" s="37" t="s">
        <v>27268</v>
      </c>
      <c r="C449" s="37" t="s">
        <v>2382</v>
      </c>
      <c r="D449" s="37" t="s">
        <v>2349</v>
      </c>
      <c r="E449" s="212">
        <v>932.85</v>
      </c>
    </row>
    <row r="450" spans="1:5" ht="14.25">
      <c r="A450" s="37">
        <v>39624</v>
      </c>
      <c r="B450" s="37" t="s">
        <v>27269</v>
      </c>
      <c r="C450" s="37" t="s">
        <v>2382</v>
      </c>
      <c r="D450" s="37" t="s">
        <v>2349</v>
      </c>
      <c r="E450" s="213">
        <v>1029.04</v>
      </c>
    </row>
    <row r="451" spans="1:5" ht="14.25">
      <c r="A451" s="37">
        <v>39615</v>
      </c>
      <c r="B451" s="37" t="s">
        <v>27270</v>
      </c>
      <c r="C451" s="37" t="s">
        <v>2348</v>
      </c>
      <c r="D451" s="37" t="s">
        <v>2349</v>
      </c>
      <c r="E451" s="212">
        <v>415.82</v>
      </c>
    </row>
    <row r="452" spans="1:5" ht="14.25">
      <c r="A452" s="37">
        <v>39620</v>
      </c>
      <c r="B452" s="37" t="s">
        <v>27271</v>
      </c>
      <c r="C452" s="37" t="s">
        <v>2348</v>
      </c>
      <c r="D452" s="37" t="s">
        <v>2349</v>
      </c>
      <c r="E452" s="212">
        <v>635.08000000000004</v>
      </c>
    </row>
    <row r="453" spans="1:5" ht="14.25">
      <c r="A453" s="37">
        <v>39623</v>
      </c>
      <c r="B453" s="37" t="s">
        <v>27272</v>
      </c>
      <c r="C453" s="37" t="s">
        <v>2348</v>
      </c>
      <c r="D453" s="37" t="s">
        <v>2349</v>
      </c>
      <c r="E453" s="212">
        <v>680.22</v>
      </c>
    </row>
    <row r="454" spans="1:5" ht="14.25">
      <c r="A454" s="37">
        <v>36207</v>
      </c>
      <c r="B454" s="37" t="s">
        <v>27273</v>
      </c>
      <c r="C454" s="37" t="s">
        <v>2348</v>
      </c>
      <c r="D454" s="37" t="s">
        <v>2351</v>
      </c>
      <c r="E454" s="212">
        <v>358.47</v>
      </c>
    </row>
    <row r="455" spans="1:5" ht="14.25">
      <c r="A455" s="37">
        <v>36209</v>
      </c>
      <c r="B455" s="37" t="s">
        <v>27274</v>
      </c>
      <c r="C455" s="37" t="s">
        <v>2348</v>
      </c>
      <c r="D455" s="37" t="s">
        <v>2351</v>
      </c>
      <c r="E455" s="212">
        <v>411.4</v>
      </c>
    </row>
    <row r="456" spans="1:5" ht="14.25">
      <c r="A456" s="37">
        <v>36210</v>
      </c>
      <c r="B456" s="37" t="s">
        <v>27275</v>
      </c>
      <c r="C456" s="37" t="s">
        <v>2348</v>
      </c>
      <c r="D456" s="37" t="s">
        <v>2351</v>
      </c>
      <c r="E456" s="212">
        <v>445.12</v>
      </c>
    </row>
    <row r="457" spans="1:5" ht="14.25">
      <c r="A457" s="37">
        <v>36204</v>
      </c>
      <c r="B457" s="37" t="s">
        <v>27276</v>
      </c>
      <c r="C457" s="37" t="s">
        <v>2348</v>
      </c>
      <c r="D457" s="37" t="s">
        <v>2351</v>
      </c>
      <c r="E457" s="212">
        <v>157.82</v>
      </c>
    </row>
    <row r="458" spans="1:5" ht="14.25">
      <c r="A458" s="37">
        <v>36205</v>
      </c>
      <c r="B458" s="37" t="s">
        <v>27277</v>
      </c>
      <c r="C458" s="37" t="s">
        <v>2348</v>
      </c>
      <c r="D458" s="37" t="s">
        <v>2351</v>
      </c>
      <c r="E458" s="212">
        <v>175.28</v>
      </c>
    </row>
    <row r="459" spans="1:5" ht="14.25">
      <c r="A459" s="37">
        <v>36081</v>
      </c>
      <c r="B459" s="37" t="s">
        <v>27278</v>
      </c>
      <c r="C459" s="37" t="s">
        <v>2348</v>
      </c>
      <c r="D459" s="37" t="s">
        <v>2351</v>
      </c>
      <c r="E459" s="212">
        <v>186.89</v>
      </c>
    </row>
    <row r="460" spans="1:5" ht="14.25">
      <c r="A460" s="37">
        <v>36206</v>
      </c>
      <c r="B460" s="37" t="s">
        <v>27279</v>
      </c>
      <c r="C460" s="37" t="s">
        <v>2348</v>
      </c>
      <c r="D460" s="37" t="s">
        <v>2351</v>
      </c>
      <c r="E460" s="212">
        <v>195.8</v>
      </c>
    </row>
    <row r="461" spans="1:5" ht="14.25">
      <c r="A461" s="37">
        <v>36218</v>
      </c>
      <c r="B461" s="37" t="s">
        <v>27280</v>
      </c>
      <c r="C461" s="37" t="s">
        <v>2348</v>
      </c>
      <c r="D461" s="37" t="s">
        <v>2351</v>
      </c>
      <c r="E461" s="212">
        <v>136.26</v>
      </c>
    </row>
    <row r="462" spans="1:5" ht="14.25">
      <c r="A462" s="37">
        <v>36220</v>
      </c>
      <c r="B462" s="37" t="s">
        <v>27281</v>
      </c>
      <c r="C462" s="37" t="s">
        <v>2348</v>
      </c>
      <c r="D462" s="37" t="s">
        <v>2351</v>
      </c>
      <c r="E462" s="212">
        <v>156.24</v>
      </c>
    </row>
    <row r="463" spans="1:5" ht="14.25">
      <c r="A463" s="37">
        <v>36080</v>
      </c>
      <c r="B463" s="37" t="s">
        <v>27282</v>
      </c>
      <c r="C463" s="37" t="s">
        <v>2348</v>
      </c>
      <c r="D463" s="37" t="s">
        <v>2351</v>
      </c>
      <c r="E463" s="212">
        <v>169</v>
      </c>
    </row>
    <row r="464" spans="1:5" ht="14.25">
      <c r="A464" s="37">
        <v>36223</v>
      </c>
      <c r="B464" s="37" t="s">
        <v>27283</v>
      </c>
      <c r="C464" s="37" t="s">
        <v>2348</v>
      </c>
      <c r="D464" s="37" t="s">
        <v>2351</v>
      </c>
      <c r="E464" s="212">
        <v>176.97</v>
      </c>
    </row>
    <row r="465" spans="1:5" ht="14.25">
      <c r="A465" s="37">
        <v>546</v>
      </c>
      <c r="B465" s="37" t="s">
        <v>27284</v>
      </c>
      <c r="C465" s="37" t="s">
        <v>2356</v>
      </c>
      <c r="D465" s="37" t="s">
        <v>2353</v>
      </c>
      <c r="E465" s="212">
        <v>13.01</v>
      </c>
    </row>
    <row r="466" spans="1:5" ht="14.25">
      <c r="A466" s="37">
        <v>566</v>
      </c>
      <c r="B466" s="37" t="s">
        <v>27285</v>
      </c>
      <c r="C466" s="37" t="s">
        <v>2355</v>
      </c>
      <c r="D466" s="37" t="s">
        <v>2349</v>
      </c>
      <c r="E466" s="212">
        <v>6.17</v>
      </c>
    </row>
    <row r="467" spans="1:5" ht="14.25">
      <c r="A467" s="37">
        <v>565</v>
      </c>
      <c r="B467" s="37" t="s">
        <v>27286</v>
      </c>
      <c r="C467" s="37" t="s">
        <v>2355</v>
      </c>
      <c r="D467" s="37" t="s">
        <v>2349</v>
      </c>
      <c r="E467" s="212">
        <v>22.5</v>
      </c>
    </row>
    <row r="468" spans="1:5" ht="14.25">
      <c r="A468" s="37">
        <v>555</v>
      </c>
      <c r="B468" s="37" t="s">
        <v>27287</v>
      </c>
      <c r="C468" s="37" t="s">
        <v>2355</v>
      </c>
      <c r="D468" s="37" t="s">
        <v>2349</v>
      </c>
      <c r="E468" s="212">
        <v>15.95</v>
      </c>
    </row>
    <row r="469" spans="1:5" ht="14.25">
      <c r="A469" s="37">
        <v>557</v>
      </c>
      <c r="B469" s="37" t="s">
        <v>27288</v>
      </c>
      <c r="C469" s="37" t="s">
        <v>2355</v>
      </c>
      <c r="D469" s="37" t="s">
        <v>2349</v>
      </c>
      <c r="E469" s="212">
        <v>50.06</v>
      </c>
    </row>
    <row r="470" spans="1:5" ht="14.25">
      <c r="A470" s="37">
        <v>552</v>
      </c>
      <c r="B470" s="37" t="s">
        <v>27289</v>
      </c>
      <c r="C470" s="37" t="s">
        <v>2355</v>
      </c>
      <c r="D470" s="37" t="s">
        <v>2349</v>
      </c>
      <c r="E470" s="212">
        <v>24.83</v>
      </c>
    </row>
    <row r="471" spans="1:5" ht="14.25">
      <c r="A471" s="37">
        <v>563</v>
      </c>
      <c r="B471" s="37" t="s">
        <v>27290</v>
      </c>
      <c r="C471" s="37" t="s">
        <v>2355</v>
      </c>
      <c r="D471" s="37" t="s">
        <v>2349</v>
      </c>
      <c r="E471" s="212">
        <v>37.32</v>
      </c>
    </row>
    <row r="472" spans="1:5" ht="14.25">
      <c r="A472" s="37">
        <v>549</v>
      </c>
      <c r="B472" s="37" t="s">
        <v>27291</v>
      </c>
      <c r="C472" s="37" t="s">
        <v>2355</v>
      </c>
      <c r="D472" s="37" t="s">
        <v>2349</v>
      </c>
      <c r="E472" s="212">
        <v>67.17</v>
      </c>
    </row>
    <row r="473" spans="1:5" ht="14.25">
      <c r="A473" s="37">
        <v>551</v>
      </c>
      <c r="B473" s="37" t="s">
        <v>27292</v>
      </c>
      <c r="C473" s="37" t="s">
        <v>2355</v>
      </c>
      <c r="D473" s="37" t="s">
        <v>2349</v>
      </c>
      <c r="E473" s="212">
        <v>133</v>
      </c>
    </row>
    <row r="474" spans="1:5" ht="14.25">
      <c r="A474" s="37">
        <v>559</v>
      </c>
      <c r="B474" s="37" t="s">
        <v>27293</v>
      </c>
      <c r="C474" s="37" t="s">
        <v>2355</v>
      </c>
      <c r="D474" s="37" t="s">
        <v>2349</v>
      </c>
      <c r="E474" s="212">
        <v>33.25</v>
      </c>
    </row>
    <row r="475" spans="1:5" ht="14.25">
      <c r="A475" s="37">
        <v>560</v>
      </c>
      <c r="B475" s="37" t="s">
        <v>27294</v>
      </c>
      <c r="C475" s="37" t="s">
        <v>2355</v>
      </c>
      <c r="D475" s="37" t="s">
        <v>2349</v>
      </c>
      <c r="E475" s="212">
        <v>41.59</v>
      </c>
    </row>
    <row r="476" spans="1:5" ht="14.25">
      <c r="A476" s="37">
        <v>547</v>
      </c>
      <c r="B476" s="37" t="s">
        <v>27295</v>
      </c>
      <c r="C476" s="37" t="s">
        <v>2355</v>
      </c>
      <c r="D476" s="37" t="s">
        <v>2349</v>
      </c>
      <c r="E476" s="212">
        <v>49.81</v>
      </c>
    </row>
    <row r="477" spans="1:5" ht="14.25">
      <c r="A477" s="37">
        <v>38127</v>
      </c>
      <c r="B477" s="37" t="s">
        <v>27296</v>
      </c>
      <c r="C477" s="37" t="s">
        <v>2348</v>
      </c>
      <c r="D477" s="37" t="s">
        <v>2349</v>
      </c>
      <c r="E477" s="212">
        <v>309.12</v>
      </c>
    </row>
    <row r="478" spans="1:5" ht="14.25">
      <c r="A478" s="37">
        <v>38060</v>
      </c>
      <c r="B478" s="37" t="s">
        <v>27297</v>
      </c>
      <c r="C478" s="37" t="s">
        <v>2348</v>
      </c>
      <c r="D478" s="37" t="s">
        <v>2349</v>
      </c>
      <c r="E478" s="212">
        <v>41.12</v>
      </c>
    </row>
    <row r="479" spans="1:5" ht="14.25">
      <c r="A479" s="37">
        <v>10956</v>
      </c>
      <c r="B479" s="37" t="s">
        <v>27298</v>
      </c>
      <c r="C479" s="37" t="s">
        <v>2348</v>
      </c>
      <c r="D479" s="37" t="s">
        <v>2349</v>
      </c>
      <c r="E479" s="212">
        <v>45.1</v>
      </c>
    </row>
    <row r="480" spans="1:5" ht="14.25">
      <c r="A480" s="37">
        <v>39380</v>
      </c>
      <c r="B480" s="37" t="s">
        <v>27299</v>
      </c>
      <c r="C480" s="37" t="s">
        <v>2348</v>
      </c>
      <c r="D480" s="37" t="s">
        <v>2351</v>
      </c>
      <c r="E480" s="212">
        <v>25.63</v>
      </c>
    </row>
    <row r="481" spans="1:5" ht="14.25">
      <c r="A481" s="37">
        <v>13374</v>
      </c>
      <c r="B481" s="37" t="s">
        <v>27300</v>
      </c>
      <c r="C481" s="37" t="s">
        <v>2348</v>
      </c>
      <c r="D481" s="37" t="s">
        <v>2351</v>
      </c>
      <c r="E481" s="212">
        <v>49.36</v>
      </c>
    </row>
    <row r="482" spans="1:5" ht="14.25">
      <c r="A482" s="37">
        <v>37597</v>
      </c>
      <c r="B482" s="37" t="s">
        <v>27301</v>
      </c>
      <c r="C482" s="37" t="s">
        <v>2348</v>
      </c>
      <c r="D482" s="37" t="s">
        <v>2351</v>
      </c>
      <c r="E482" s="213">
        <v>554625</v>
      </c>
    </row>
    <row r="483" spans="1:5" ht="14.25">
      <c r="A483" s="37">
        <v>183</v>
      </c>
      <c r="B483" s="37" t="s">
        <v>27302</v>
      </c>
      <c r="C483" s="37" t="s">
        <v>2386</v>
      </c>
      <c r="D483" s="37" t="s">
        <v>2353</v>
      </c>
      <c r="E483" s="212">
        <v>220</v>
      </c>
    </row>
    <row r="484" spans="1:5" ht="14.25">
      <c r="A484" s="37">
        <v>184</v>
      </c>
      <c r="B484" s="37" t="s">
        <v>27303</v>
      </c>
      <c r="C484" s="37" t="s">
        <v>2386</v>
      </c>
      <c r="D484" s="37" t="s">
        <v>2349</v>
      </c>
      <c r="E484" s="212">
        <v>136.25</v>
      </c>
    </row>
    <row r="485" spans="1:5" ht="14.25">
      <c r="A485" s="37">
        <v>181</v>
      </c>
      <c r="B485" s="37" t="s">
        <v>27304</v>
      </c>
      <c r="C485" s="37" t="s">
        <v>2386</v>
      </c>
      <c r="D485" s="37" t="s">
        <v>2349</v>
      </c>
      <c r="E485" s="212">
        <v>293.8</v>
      </c>
    </row>
    <row r="486" spans="1:5" ht="14.25">
      <c r="A486" s="37">
        <v>20001</v>
      </c>
      <c r="B486" s="37" t="s">
        <v>27305</v>
      </c>
      <c r="C486" s="37" t="s">
        <v>2386</v>
      </c>
      <c r="D486" s="37" t="s">
        <v>2349</v>
      </c>
      <c r="E486" s="212">
        <v>170.32</v>
      </c>
    </row>
    <row r="487" spans="1:5" ht="14.25">
      <c r="A487" s="37">
        <v>39837</v>
      </c>
      <c r="B487" s="37" t="s">
        <v>27306</v>
      </c>
      <c r="C487" s="37" t="s">
        <v>2386</v>
      </c>
      <c r="D487" s="37" t="s">
        <v>2351</v>
      </c>
      <c r="E487" s="212">
        <v>345.99</v>
      </c>
    </row>
    <row r="488" spans="1:5" ht="14.25">
      <c r="A488" s="37">
        <v>10535</v>
      </c>
      <c r="B488" s="37" t="s">
        <v>27307</v>
      </c>
      <c r="C488" s="37" t="s">
        <v>2348</v>
      </c>
      <c r="D488" s="37" t="s">
        <v>2351</v>
      </c>
      <c r="E488" s="213">
        <v>4871.5</v>
      </c>
    </row>
    <row r="489" spans="1:5" ht="14.25">
      <c r="A489" s="37">
        <v>10537</v>
      </c>
      <c r="B489" s="37" t="s">
        <v>27308</v>
      </c>
      <c r="C489" s="37" t="s">
        <v>2348</v>
      </c>
      <c r="D489" s="37" t="s">
        <v>2351</v>
      </c>
      <c r="E489" s="213">
        <v>6643.4</v>
      </c>
    </row>
    <row r="490" spans="1:5" ht="14.25">
      <c r="A490" s="37">
        <v>13891</v>
      </c>
      <c r="B490" s="37" t="s">
        <v>27309</v>
      </c>
      <c r="C490" s="37" t="s">
        <v>2348</v>
      </c>
      <c r="D490" s="37" t="s">
        <v>2351</v>
      </c>
      <c r="E490" s="213">
        <v>6093.5</v>
      </c>
    </row>
    <row r="491" spans="1:5" ht="14.25">
      <c r="A491" s="37">
        <v>44492</v>
      </c>
      <c r="B491" s="37" t="s">
        <v>27310</v>
      </c>
      <c r="C491" s="37" t="s">
        <v>2348</v>
      </c>
      <c r="D491" s="37" t="s">
        <v>2351</v>
      </c>
      <c r="E491" s="213">
        <v>26504.26</v>
      </c>
    </row>
    <row r="492" spans="1:5" ht="14.25">
      <c r="A492" s="37">
        <v>36396</v>
      </c>
      <c r="B492" s="37" t="s">
        <v>27311</v>
      </c>
      <c r="C492" s="37" t="s">
        <v>2348</v>
      </c>
      <c r="D492" s="37" t="s">
        <v>2351</v>
      </c>
      <c r="E492" s="213">
        <v>5573.32</v>
      </c>
    </row>
    <row r="493" spans="1:5" ht="14.25">
      <c r="A493" s="37">
        <v>36397</v>
      </c>
      <c r="B493" s="37" t="s">
        <v>27312</v>
      </c>
      <c r="C493" s="37" t="s">
        <v>2348</v>
      </c>
      <c r="D493" s="37" t="s">
        <v>2351</v>
      </c>
      <c r="E493" s="213">
        <v>19816.27</v>
      </c>
    </row>
    <row r="494" spans="1:5" ht="14.25">
      <c r="A494" s="37">
        <v>36398</v>
      </c>
      <c r="B494" s="37" t="s">
        <v>27313</v>
      </c>
      <c r="C494" s="37" t="s">
        <v>2348</v>
      </c>
      <c r="D494" s="37" t="s">
        <v>2351</v>
      </c>
      <c r="E494" s="213">
        <v>24085.02</v>
      </c>
    </row>
    <row r="495" spans="1:5" ht="14.25">
      <c r="A495" s="37">
        <v>647</v>
      </c>
      <c r="B495" s="37" t="s">
        <v>27314</v>
      </c>
      <c r="C495" s="37" t="s">
        <v>2352</v>
      </c>
      <c r="D495" s="37" t="s">
        <v>2349</v>
      </c>
      <c r="E495" s="212">
        <v>20.66</v>
      </c>
    </row>
    <row r="496" spans="1:5" ht="14.25">
      <c r="A496" s="37">
        <v>40920</v>
      </c>
      <c r="B496" s="37" t="s">
        <v>27315</v>
      </c>
      <c r="C496" s="37" t="s">
        <v>2369</v>
      </c>
      <c r="D496" s="37" t="s">
        <v>2349</v>
      </c>
      <c r="E496" s="213">
        <v>3634.57</v>
      </c>
    </row>
    <row r="497" spans="1:5" ht="14.25">
      <c r="A497" s="37">
        <v>715</v>
      </c>
      <c r="B497" s="37" t="s">
        <v>27316</v>
      </c>
      <c r="C497" s="37" t="s">
        <v>2348</v>
      </c>
      <c r="D497" s="37" t="s">
        <v>2353</v>
      </c>
      <c r="E497" s="212">
        <v>19.5</v>
      </c>
    </row>
    <row r="498" spans="1:5" ht="14.25">
      <c r="A498" s="37">
        <v>716</v>
      </c>
      <c r="B498" s="37" t="s">
        <v>27317</v>
      </c>
      <c r="C498" s="37" t="s">
        <v>2348</v>
      </c>
      <c r="D498" s="37" t="s">
        <v>2349</v>
      </c>
      <c r="E498" s="212">
        <v>22.05</v>
      </c>
    </row>
    <row r="499" spans="1:5" ht="14.25">
      <c r="A499" s="37">
        <v>38783</v>
      </c>
      <c r="B499" s="37" t="s">
        <v>27318</v>
      </c>
      <c r="C499" s="37" t="s">
        <v>2348</v>
      </c>
      <c r="D499" s="37" t="s">
        <v>2349</v>
      </c>
      <c r="E499" s="212">
        <v>0.67</v>
      </c>
    </row>
    <row r="500" spans="1:5" ht="14.25">
      <c r="A500" s="37">
        <v>37593</v>
      </c>
      <c r="B500" s="37" t="s">
        <v>27319</v>
      </c>
      <c r="C500" s="37" t="s">
        <v>2348</v>
      </c>
      <c r="D500" s="37" t="s">
        <v>2349</v>
      </c>
      <c r="E500" s="212">
        <v>1.64</v>
      </c>
    </row>
    <row r="501" spans="1:5" ht="14.25">
      <c r="A501" s="37">
        <v>37594</v>
      </c>
      <c r="B501" s="37" t="s">
        <v>27320</v>
      </c>
      <c r="C501" s="37" t="s">
        <v>2348</v>
      </c>
      <c r="D501" s="37" t="s">
        <v>2349</v>
      </c>
      <c r="E501" s="212">
        <v>2.04</v>
      </c>
    </row>
    <row r="502" spans="1:5" ht="14.25">
      <c r="A502" s="37">
        <v>37592</v>
      </c>
      <c r="B502" s="37" t="s">
        <v>27321</v>
      </c>
      <c r="C502" s="37" t="s">
        <v>2348</v>
      </c>
      <c r="D502" s="37" t="s">
        <v>2349</v>
      </c>
      <c r="E502" s="212">
        <v>1.29</v>
      </c>
    </row>
    <row r="503" spans="1:5" ht="14.25">
      <c r="A503" s="37">
        <v>7270</v>
      </c>
      <c r="B503" s="37" t="s">
        <v>27322</v>
      </c>
      <c r="C503" s="37" t="s">
        <v>2348</v>
      </c>
      <c r="D503" s="37" t="s">
        <v>2349</v>
      </c>
      <c r="E503" s="212">
        <v>0.56999999999999995</v>
      </c>
    </row>
    <row r="504" spans="1:5" ht="14.25">
      <c r="A504" s="37">
        <v>7267</v>
      </c>
      <c r="B504" s="37" t="s">
        <v>27323</v>
      </c>
      <c r="C504" s="37" t="s">
        <v>2348</v>
      </c>
      <c r="D504" s="37" t="s">
        <v>2349</v>
      </c>
      <c r="E504" s="212">
        <v>0.45</v>
      </c>
    </row>
    <row r="505" spans="1:5" ht="14.25">
      <c r="A505" s="37">
        <v>7271</v>
      </c>
      <c r="B505" s="37" t="s">
        <v>27324</v>
      </c>
      <c r="C505" s="37" t="s">
        <v>2348</v>
      </c>
      <c r="D505" s="37" t="s">
        <v>2349</v>
      </c>
      <c r="E505" s="212">
        <v>0.5</v>
      </c>
    </row>
    <row r="506" spans="1:5" ht="14.25">
      <c r="A506" s="37">
        <v>7266</v>
      </c>
      <c r="B506" s="37" t="s">
        <v>27325</v>
      </c>
      <c r="C506" s="37" t="s">
        <v>2387</v>
      </c>
      <c r="D506" s="37" t="s">
        <v>2353</v>
      </c>
      <c r="E506" s="212">
        <v>500</v>
      </c>
    </row>
    <row r="507" spans="1:5" ht="14.25">
      <c r="A507" s="37">
        <v>7268</v>
      </c>
      <c r="B507" s="37" t="s">
        <v>27326</v>
      </c>
      <c r="C507" s="37" t="s">
        <v>2348</v>
      </c>
      <c r="D507" s="37" t="s">
        <v>2349</v>
      </c>
      <c r="E507" s="212">
        <v>0.69</v>
      </c>
    </row>
    <row r="508" spans="1:5" ht="14.25">
      <c r="A508" s="37">
        <v>34556</v>
      </c>
      <c r="B508" s="37" t="s">
        <v>27327</v>
      </c>
      <c r="C508" s="37" t="s">
        <v>2348</v>
      </c>
      <c r="D508" s="37" t="s">
        <v>2349</v>
      </c>
      <c r="E508" s="212">
        <v>3.17</v>
      </c>
    </row>
    <row r="509" spans="1:5" ht="14.25">
      <c r="A509" s="37">
        <v>37873</v>
      </c>
      <c r="B509" s="37" t="s">
        <v>27328</v>
      </c>
      <c r="C509" s="37" t="s">
        <v>2348</v>
      </c>
      <c r="D509" s="37" t="s">
        <v>2349</v>
      </c>
      <c r="E509" s="212">
        <v>3.23</v>
      </c>
    </row>
    <row r="510" spans="1:5" ht="14.25">
      <c r="A510" s="37">
        <v>34564</v>
      </c>
      <c r="B510" s="37" t="s">
        <v>27329</v>
      </c>
      <c r="C510" s="37" t="s">
        <v>2348</v>
      </c>
      <c r="D510" s="37" t="s">
        <v>2349</v>
      </c>
      <c r="E510" s="212">
        <v>3.38</v>
      </c>
    </row>
    <row r="511" spans="1:5" ht="14.25">
      <c r="A511" s="37">
        <v>34565</v>
      </c>
      <c r="B511" s="37" t="s">
        <v>27330</v>
      </c>
      <c r="C511" s="37" t="s">
        <v>2348</v>
      </c>
      <c r="D511" s="37" t="s">
        <v>2349</v>
      </c>
      <c r="E511" s="212">
        <v>3.58</v>
      </c>
    </row>
    <row r="512" spans="1:5" ht="14.25">
      <c r="A512" s="37">
        <v>38590</v>
      </c>
      <c r="B512" s="37" t="s">
        <v>27331</v>
      </c>
      <c r="C512" s="37" t="s">
        <v>2348</v>
      </c>
      <c r="D512" s="37" t="s">
        <v>2349</v>
      </c>
      <c r="E512" s="212">
        <v>2.64</v>
      </c>
    </row>
    <row r="513" spans="1:5" ht="14.25">
      <c r="A513" s="37">
        <v>34566</v>
      </c>
      <c r="B513" s="37" t="s">
        <v>27332</v>
      </c>
      <c r="C513" s="37" t="s">
        <v>2348</v>
      </c>
      <c r="D513" s="37" t="s">
        <v>2349</v>
      </c>
      <c r="E513" s="212">
        <v>2.78</v>
      </c>
    </row>
    <row r="514" spans="1:5" ht="14.25">
      <c r="A514" s="37">
        <v>34567</v>
      </c>
      <c r="B514" s="37" t="s">
        <v>27333</v>
      </c>
      <c r="C514" s="37" t="s">
        <v>2348</v>
      </c>
      <c r="D514" s="37" t="s">
        <v>2349</v>
      </c>
      <c r="E514" s="212">
        <v>2.94</v>
      </c>
    </row>
    <row r="515" spans="1:5" ht="14.25">
      <c r="A515" s="37">
        <v>38591</v>
      </c>
      <c r="B515" s="37" t="s">
        <v>27334</v>
      </c>
      <c r="C515" s="37" t="s">
        <v>2348</v>
      </c>
      <c r="D515" s="37" t="s">
        <v>2349</v>
      </c>
      <c r="E515" s="212">
        <v>2.67</v>
      </c>
    </row>
    <row r="516" spans="1:5" ht="14.25">
      <c r="A516" s="37">
        <v>34568</v>
      </c>
      <c r="B516" s="37" t="s">
        <v>27335</v>
      </c>
      <c r="C516" s="37" t="s">
        <v>2348</v>
      </c>
      <c r="D516" s="37" t="s">
        <v>2349</v>
      </c>
      <c r="E516" s="212">
        <v>3.48</v>
      </c>
    </row>
    <row r="517" spans="1:5" ht="14.25">
      <c r="A517" s="37">
        <v>34569</v>
      </c>
      <c r="B517" s="37" t="s">
        <v>27336</v>
      </c>
      <c r="C517" s="37" t="s">
        <v>2348</v>
      </c>
      <c r="D517" s="37" t="s">
        <v>2349</v>
      </c>
      <c r="E517" s="212">
        <v>3.58</v>
      </c>
    </row>
    <row r="518" spans="1:5" ht="14.25">
      <c r="A518" s="37">
        <v>34570</v>
      </c>
      <c r="B518" s="37" t="s">
        <v>27337</v>
      </c>
      <c r="C518" s="37" t="s">
        <v>2348</v>
      </c>
      <c r="D518" s="37" t="s">
        <v>2349</v>
      </c>
      <c r="E518" s="212">
        <v>3.89</v>
      </c>
    </row>
    <row r="519" spans="1:5" ht="14.25">
      <c r="A519" s="37">
        <v>25070</v>
      </c>
      <c r="B519" s="37" t="s">
        <v>27338</v>
      </c>
      <c r="C519" s="37" t="s">
        <v>2348</v>
      </c>
      <c r="D519" s="37" t="s">
        <v>2349</v>
      </c>
      <c r="E519" s="212">
        <v>2.92</v>
      </c>
    </row>
    <row r="520" spans="1:5" ht="14.25">
      <c r="A520" s="37">
        <v>34571</v>
      </c>
      <c r="B520" s="37" t="s">
        <v>27339</v>
      </c>
      <c r="C520" s="37" t="s">
        <v>2348</v>
      </c>
      <c r="D520" s="37" t="s">
        <v>2349</v>
      </c>
      <c r="E520" s="212">
        <v>2.95</v>
      </c>
    </row>
    <row r="521" spans="1:5" ht="14.25">
      <c r="A521" s="37">
        <v>34573</v>
      </c>
      <c r="B521" s="37" t="s">
        <v>27340</v>
      </c>
      <c r="C521" s="37" t="s">
        <v>2348</v>
      </c>
      <c r="D521" s="37" t="s">
        <v>2349</v>
      </c>
      <c r="E521" s="212">
        <v>3.1</v>
      </c>
    </row>
    <row r="522" spans="1:5" ht="14.25">
      <c r="A522" s="37">
        <v>37107</v>
      </c>
      <c r="B522" s="37" t="s">
        <v>27341</v>
      </c>
      <c r="C522" s="37" t="s">
        <v>2348</v>
      </c>
      <c r="D522" s="37" t="s">
        <v>2349</v>
      </c>
      <c r="E522" s="212">
        <v>4.0999999999999996</v>
      </c>
    </row>
    <row r="523" spans="1:5" ht="14.25">
      <c r="A523" s="37">
        <v>34576</v>
      </c>
      <c r="B523" s="37" t="s">
        <v>27342</v>
      </c>
      <c r="C523" s="37" t="s">
        <v>2348</v>
      </c>
      <c r="D523" s="37" t="s">
        <v>2349</v>
      </c>
      <c r="E523" s="212">
        <v>4.53</v>
      </c>
    </row>
    <row r="524" spans="1:5" ht="14.25">
      <c r="A524" s="37">
        <v>34577</v>
      </c>
      <c r="B524" s="37" t="s">
        <v>27343</v>
      </c>
      <c r="C524" s="37" t="s">
        <v>2348</v>
      </c>
      <c r="D524" s="37" t="s">
        <v>2349</v>
      </c>
      <c r="E524" s="212">
        <v>4.72</v>
      </c>
    </row>
    <row r="525" spans="1:5" ht="14.25">
      <c r="A525" s="37">
        <v>34578</v>
      </c>
      <c r="B525" s="37" t="s">
        <v>27344</v>
      </c>
      <c r="C525" s="37" t="s">
        <v>2348</v>
      </c>
      <c r="D525" s="37" t="s">
        <v>2349</v>
      </c>
      <c r="E525" s="212">
        <v>5.12</v>
      </c>
    </row>
    <row r="526" spans="1:5" ht="14.25">
      <c r="A526" s="37">
        <v>34579</v>
      </c>
      <c r="B526" s="37" t="s">
        <v>27345</v>
      </c>
      <c r="C526" s="37" t="s">
        <v>2348</v>
      </c>
      <c r="D526" s="37" t="s">
        <v>2349</v>
      </c>
      <c r="E526" s="212">
        <v>5.46</v>
      </c>
    </row>
    <row r="527" spans="1:5" ht="14.25">
      <c r="A527" s="37">
        <v>25067</v>
      </c>
      <c r="B527" s="37" t="s">
        <v>27346</v>
      </c>
      <c r="C527" s="37" t="s">
        <v>2348</v>
      </c>
      <c r="D527" s="37" t="s">
        <v>2349</v>
      </c>
      <c r="E527" s="212">
        <v>3.66</v>
      </c>
    </row>
    <row r="528" spans="1:5" ht="14.25">
      <c r="A528" s="37">
        <v>34580</v>
      </c>
      <c r="B528" s="37" t="s">
        <v>27347</v>
      </c>
      <c r="C528" s="37" t="s">
        <v>2348</v>
      </c>
      <c r="D528" s="37" t="s">
        <v>2349</v>
      </c>
      <c r="E528" s="212">
        <v>4.08</v>
      </c>
    </row>
    <row r="529" spans="1:5" ht="14.25">
      <c r="A529" s="37">
        <v>25071</v>
      </c>
      <c r="B529" s="37" t="s">
        <v>27348</v>
      </c>
      <c r="C529" s="37" t="s">
        <v>2348</v>
      </c>
      <c r="D529" s="37" t="s">
        <v>2349</v>
      </c>
      <c r="E529" s="212">
        <v>2.0299999999999998</v>
      </c>
    </row>
    <row r="530" spans="1:5" ht="14.25">
      <c r="A530" s="37">
        <v>38395</v>
      </c>
      <c r="B530" s="37" t="s">
        <v>27349</v>
      </c>
      <c r="C530" s="37" t="s">
        <v>2348</v>
      </c>
      <c r="D530" s="37" t="s">
        <v>2349</v>
      </c>
      <c r="E530" s="212">
        <v>7.6</v>
      </c>
    </row>
    <row r="531" spans="1:5" ht="14.25">
      <c r="A531" s="37">
        <v>34583</v>
      </c>
      <c r="B531" s="37" t="s">
        <v>27350</v>
      </c>
      <c r="C531" s="37" t="s">
        <v>28761</v>
      </c>
      <c r="D531" s="37" t="s">
        <v>2349</v>
      </c>
      <c r="E531" s="212">
        <v>52.92</v>
      </c>
    </row>
    <row r="532" spans="1:5" ht="14.25">
      <c r="A532" s="37">
        <v>34584</v>
      </c>
      <c r="B532" s="37" t="s">
        <v>27351</v>
      </c>
      <c r="C532" s="37" t="s">
        <v>28761</v>
      </c>
      <c r="D532" s="37" t="s">
        <v>2349</v>
      </c>
      <c r="E532" s="212">
        <v>38.81</v>
      </c>
    </row>
    <row r="533" spans="1:5" ht="14.25">
      <c r="A533" s="37">
        <v>709</v>
      </c>
      <c r="B533" s="37" t="s">
        <v>27352</v>
      </c>
      <c r="C533" s="37" t="s">
        <v>28761</v>
      </c>
      <c r="D533" s="37" t="s">
        <v>2351</v>
      </c>
      <c r="E533" s="212">
        <v>783.47</v>
      </c>
    </row>
    <row r="534" spans="1:5" ht="14.25">
      <c r="A534" s="37">
        <v>34599</v>
      </c>
      <c r="B534" s="37" t="s">
        <v>27353</v>
      </c>
      <c r="C534" s="37" t="s">
        <v>2348</v>
      </c>
      <c r="D534" s="37" t="s">
        <v>2349</v>
      </c>
      <c r="E534" s="212">
        <v>2.09</v>
      </c>
    </row>
    <row r="535" spans="1:5" ht="14.25">
      <c r="A535" s="37">
        <v>34592</v>
      </c>
      <c r="B535" s="37" t="s">
        <v>27354</v>
      </c>
      <c r="C535" s="37" t="s">
        <v>2348</v>
      </c>
      <c r="D535" s="37" t="s">
        <v>2349</v>
      </c>
      <c r="E535" s="212">
        <v>2.3199999999999998</v>
      </c>
    </row>
    <row r="536" spans="1:5" ht="14.25">
      <c r="A536" s="37">
        <v>37103</v>
      </c>
      <c r="B536" s="37" t="s">
        <v>27355</v>
      </c>
      <c r="C536" s="37" t="s">
        <v>2348</v>
      </c>
      <c r="D536" s="37" t="s">
        <v>2349</v>
      </c>
      <c r="E536" s="212">
        <v>2.66</v>
      </c>
    </row>
    <row r="537" spans="1:5" ht="14.25">
      <c r="A537" s="37">
        <v>34555</v>
      </c>
      <c r="B537" s="37" t="s">
        <v>27356</v>
      </c>
      <c r="C537" s="37" t="s">
        <v>2348</v>
      </c>
      <c r="D537" s="37" t="s">
        <v>2349</v>
      </c>
      <c r="E537" s="212">
        <v>3.38</v>
      </c>
    </row>
    <row r="538" spans="1:5" ht="14.25">
      <c r="A538" s="37">
        <v>674</v>
      </c>
      <c r="B538" s="37" t="s">
        <v>27357</v>
      </c>
      <c r="C538" s="37" t="s">
        <v>28761</v>
      </c>
      <c r="D538" s="37" t="s">
        <v>2351</v>
      </c>
      <c r="E538" s="212">
        <v>68.150000000000006</v>
      </c>
    </row>
    <row r="539" spans="1:5" ht="14.25">
      <c r="A539" s="37">
        <v>34600</v>
      </c>
      <c r="B539" s="37" t="s">
        <v>27358</v>
      </c>
      <c r="C539" s="37" t="s">
        <v>28761</v>
      </c>
      <c r="D539" s="37" t="s">
        <v>2351</v>
      </c>
      <c r="E539" s="212">
        <v>100.11</v>
      </c>
    </row>
    <row r="540" spans="1:5" ht="14.25">
      <c r="A540" s="37">
        <v>652</v>
      </c>
      <c r="B540" s="37" t="s">
        <v>27359</v>
      </c>
      <c r="C540" s="37" t="s">
        <v>28761</v>
      </c>
      <c r="D540" s="37" t="s">
        <v>2351</v>
      </c>
      <c r="E540" s="212">
        <v>153.35</v>
      </c>
    </row>
    <row r="541" spans="1:5" ht="14.25">
      <c r="A541" s="37">
        <v>651</v>
      </c>
      <c r="B541" s="37" t="s">
        <v>27360</v>
      </c>
      <c r="C541" s="37" t="s">
        <v>2348</v>
      </c>
      <c r="D541" s="37" t="s">
        <v>2349</v>
      </c>
      <c r="E541" s="212">
        <v>2.56</v>
      </c>
    </row>
    <row r="542" spans="1:5" ht="14.25">
      <c r="A542" s="37">
        <v>654</v>
      </c>
      <c r="B542" s="37" t="s">
        <v>27361</v>
      </c>
      <c r="C542" s="37" t="s">
        <v>2348</v>
      </c>
      <c r="D542" s="37" t="s">
        <v>2349</v>
      </c>
      <c r="E542" s="212">
        <v>3.17</v>
      </c>
    </row>
    <row r="543" spans="1:5" ht="14.25">
      <c r="A543" s="37">
        <v>650</v>
      </c>
      <c r="B543" s="37" t="s">
        <v>27362</v>
      </c>
      <c r="C543" s="37" t="s">
        <v>2348</v>
      </c>
      <c r="D543" s="37" t="s">
        <v>2353</v>
      </c>
      <c r="E543" s="212">
        <v>2.0499999999999998</v>
      </c>
    </row>
    <row r="544" spans="1:5" ht="14.25">
      <c r="A544" s="37">
        <v>718</v>
      </c>
      <c r="B544" s="37" t="s">
        <v>27363</v>
      </c>
      <c r="C544" s="37" t="s">
        <v>2348</v>
      </c>
      <c r="D544" s="37" t="s">
        <v>2349</v>
      </c>
      <c r="E544" s="212">
        <v>19.27</v>
      </c>
    </row>
    <row r="545" spans="1:5" ht="14.25">
      <c r="A545" s="37">
        <v>11981</v>
      </c>
      <c r="B545" s="37" t="s">
        <v>27364</v>
      </c>
      <c r="C545" s="37" t="s">
        <v>2348</v>
      </c>
      <c r="D545" s="37" t="s">
        <v>2349</v>
      </c>
      <c r="E545" s="212">
        <v>18.72</v>
      </c>
    </row>
    <row r="546" spans="1:5" ht="14.25">
      <c r="A546" s="37">
        <v>34586</v>
      </c>
      <c r="B546" s="37" t="s">
        <v>27365</v>
      </c>
      <c r="C546" s="37" t="s">
        <v>2348</v>
      </c>
      <c r="D546" s="37" t="s">
        <v>2349</v>
      </c>
      <c r="E546" s="212">
        <v>1.4</v>
      </c>
    </row>
    <row r="547" spans="1:5" ht="14.25">
      <c r="A547" s="37">
        <v>38603</v>
      </c>
      <c r="B547" s="37" t="s">
        <v>27366</v>
      </c>
      <c r="C547" s="37" t="s">
        <v>2348</v>
      </c>
      <c r="D547" s="37" t="s">
        <v>2349</v>
      </c>
      <c r="E547" s="212">
        <v>1.7</v>
      </c>
    </row>
    <row r="548" spans="1:5" ht="14.25">
      <c r="A548" s="37">
        <v>34588</v>
      </c>
      <c r="B548" s="37" t="s">
        <v>27367</v>
      </c>
      <c r="C548" s="37" t="s">
        <v>2348</v>
      </c>
      <c r="D548" s="37" t="s">
        <v>2349</v>
      </c>
      <c r="E548" s="212">
        <v>1.83</v>
      </c>
    </row>
    <row r="549" spans="1:5" ht="14.25">
      <c r="A549" s="37">
        <v>34590</v>
      </c>
      <c r="B549" s="37" t="s">
        <v>27368</v>
      </c>
      <c r="C549" s="37" t="s">
        <v>2348</v>
      </c>
      <c r="D549" s="37" t="s">
        <v>2349</v>
      </c>
      <c r="E549" s="212">
        <v>1.67</v>
      </c>
    </row>
    <row r="550" spans="1:5" ht="14.25">
      <c r="A550" s="37">
        <v>34591</v>
      </c>
      <c r="B550" s="37" t="s">
        <v>27369</v>
      </c>
      <c r="C550" s="37" t="s">
        <v>2348</v>
      </c>
      <c r="D550" s="37" t="s">
        <v>2349</v>
      </c>
      <c r="E550" s="212">
        <v>2.2599999999999998</v>
      </c>
    </row>
    <row r="551" spans="1:5" ht="14.25">
      <c r="A551" s="37">
        <v>41372</v>
      </c>
      <c r="B551" s="37" t="s">
        <v>27370</v>
      </c>
      <c r="C551" s="37" t="s">
        <v>28761</v>
      </c>
      <c r="D551" s="37" t="s">
        <v>2351</v>
      </c>
      <c r="E551" s="212">
        <v>95.65</v>
      </c>
    </row>
    <row r="552" spans="1:5" ht="14.25">
      <c r="A552" s="37">
        <v>41371</v>
      </c>
      <c r="B552" s="37" t="s">
        <v>27371</v>
      </c>
      <c r="C552" s="37" t="s">
        <v>28761</v>
      </c>
      <c r="D552" s="37" t="s">
        <v>2351</v>
      </c>
      <c r="E552" s="212">
        <v>56.54</v>
      </c>
    </row>
    <row r="553" spans="1:5" ht="14.25">
      <c r="A553" s="37">
        <v>40517</v>
      </c>
      <c r="B553" s="37" t="s">
        <v>27372</v>
      </c>
      <c r="C553" s="37" t="s">
        <v>28761</v>
      </c>
      <c r="D553" s="37" t="s">
        <v>2349</v>
      </c>
      <c r="E553" s="212">
        <v>44.36</v>
      </c>
    </row>
    <row r="554" spans="1:5" ht="14.25">
      <c r="A554" s="37">
        <v>40515</v>
      </c>
      <c r="B554" s="37" t="s">
        <v>27373</v>
      </c>
      <c r="C554" s="37" t="s">
        <v>28761</v>
      </c>
      <c r="D554" s="37" t="s">
        <v>2349</v>
      </c>
      <c r="E554" s="212">
        <v>99.81</v>
      </c>
    </row>
    <row r="555" spans="1:5" ht="14.25">
      <c r="A555" s="37">
        <v>40529</v>
      </c>
      <c r="B555" s="37" t="s">
        <v>27374</v>
      </c>
      <c r="C555" s="37" t="s">
        <v>28761</v>
      </c>
      <c r="D555" s="37" t="s">
        <v>2349</v>
      </c>
      <c r="E555" s="212">
        <v>63.77</v>
      </c>
    </row>
    <row r="556" spans="1:5" ht="14.25">
      <c r="A556" s="37">
        <v>36170</v>
      </c>
      <c r="B556" s="37" t="s">
        <v>27375</v>
      </c>
      <c r="C556" s="37" t="s">
        <v>28761</v>
      </c>
      <c r="D556" s="37" t="s">
        <v>2353</v>
      </c>
      <c r="E556" s="212">
        <v>52.91</v>
      </c>
    </row>
    <row r="557" spans="1:5" ht="14.25">
      <c r="A557" s="37">
        <v>40524</v>
      </c>
      <c r="B557" s="37" t="s">
        <v>27376</v>
      </c>
      <c r="C557" s="37" t="s">
        <v>28761</v>
      </c>
      <c r="D557" s="37" t="s">
        <v>2349</v>
      </c>
      <c r="E557" s="212">
        <v>62.38</v>
      </c>
    </row>
    <row r="558" spans="1:5" ht="14.25">
      <c r="A558" s="37">
        <v>36156</v>
      </c>
      <c r="B558" s="37" t="s">
        <v>27377</v>
      </c>
      <c r="C558" s="37" t="s">
        <v>28761</v>
      </c>
      <c r="D558" s="37" t="s">
        <v>2349</v>
      </c>
      <c r="E558" s="212">
        <v>48.52</v>
      </c>
    </row>
    <row r="559" spans="1:5" ht="14.25">
      <c r="A559" s="37">
        <v>36155</v>
      </c>
      <c r="B559" s="37" t="s">
        <v>27378</v>
      </c>
      <c r="C559" s="37" t="s">
        <v>28761</v>
      </c>
      <c r="D559" s="37" t="s">
        <v>2349</v>
      </c>
      <c r="E559" s="212">
        <v>41.88</v>
      </c>
    </row>
    <row r="560" spans="1:5" ht="14.25">
      <c r="A560" s="37">
        <v>36154</v>
      </c>
      <c r="B560" s="37" t="s">
        <v>27379</v>
      </c>
      <c r="C560" s="37" t="s">
        <v>28761</v>
      </c>
      <c r="D560" s="37" t="s">
        <v>2349</v>
      </c>
      <c r="E560" s="212">
        <v>58.22</v>
      </c>
    </row>
    <row r="561" spans="1:5" ht="14.25">
      <c r="A561" s="37">
        <v>695</v>
      </c>
      <c r="B561" s="37" t="s">
        <v>27380</v>
      </c>
      <c r="C561" s="37" t="s">
        <v>28761</v>
      </c>
      <c r="D561" s="37" t="s">
        <v>2349</v>
      </c>
      <c r="E561" s="212">
        <v>42.76</v>
      </c>
    </row>
    <row r="562" spans="1:5" ht="14.25">
      <c r="A562" s="37">
        <v>679</v>
      </c>
      <c r="B562" s="37" t="s">
        <v>27381</v>
      </c>
      <c r="C562" s="37" t="s">
        <v>28761</v>
      </c>
      <c r="D562" s="37" t="s">
        <v>2349</v>
      </c>
      <c r="E562" s="212">
        <v>63.77</v>
      </c>
    </row>
    <row r="563" spans="1:5" ht="14.25">
      <c r="A563" s="37">
        <v>711</v>
      </c>
      <c r="B563" s="37" t="s">
        <v>27382</v>
      </c>
      <c r="C563" s="37" t="s">
        <v>28761</v>
      </c>
      <c r="D563" s="37" t="s">
        <v>2349</v>
      </c>
      <c r="E563" s="212">
        <v>42.18</v>
      </c>
    </row>
    <row r="564" spans="1:5" ht="14.25">
      <c r="A564" s="37">
        <v>712</v>
      </c>
      <c r="B564" s="37" t="s">
        <v>27383</v>
      </c>
      <c r="C564" s="37" t="s">
        <v>28761</v>
      </c>
      <c r="D564" s="37" t="s">
        <v>2349</v>
      </c>
      <c r="E564" s="212">
        <v>53.13</v>
      </c>
    </row>
    <row r="565" spans="1:5" ht="14.25">
      <c r="A565" s="37">
        <v>12614</v>
      </c>
      <c r="B565" s="37" t="s">
        <v>27384</v>
      </c>
      <c r="C565" s="37" t="s">
        <v>2348</v>
      </c>
      <c r="D565" s="37" t="s">
        <v>2351</v>
      </c>
      <c r="E565" s="212">
        <v>22.93</v>
      </c>
    </row>
    <row r="566" spans="1:5" ht="14.25">
      <c r="A566" s="37">
        <v>6140</v>
      </c>
      <c r="B566" s="37" t="s">
        <v>27385</v>
      </c>
      <c r="C566" s="37" t="s">
        <v>2348</v>
      </c>
      <c r="D566" s="37" t="s">
        <v>2349</v>
      </c>
      <c r="E566" s="212">
        <v>4.53</v>
      </c>
    </row>
    <row r="567" spans="1:5" ht="14.25">
      <c r="A567" s="37">
        <v>38399</v>
      </c>
      <c r="B567" s="37" t="s">
        <v>27386</v>
      </c>
      <c r="C567" s="37" t="s">
        <v>2348</v>
      </c>
      <c r="D567" s="37" t="s">
        <v>2349</v>
      </c>
      <c r="E567" s="212">
        <v>243.31</v>
      </c>
    </row>
    <row r="568" spans="1:5" ht="14.25">
      <c r="A568" s="37">
        <v>735</v>
      </c>
      <c r="B568" s="37" t="s">
        <v>27387</v>
      </c>
      <c r="C568" s="37" t="s">
        <v>2348</v>
      </c>
      <c r="D568" s="37" t="s">
        <v>2349</v>
      </c>
      <c r="E568" s="213">
        <v>2382.21</v>
      </c>
    </row>
    <row r="569" spans="1:5" ht="14.25">
      <c r="A569" s="37">
        <v>736</v>
      </c>
      <c r="B569" s="37" t="s">
        <v>27388</v>
      </c>
      <c r="C569" s="37" t="s">
        <v>2348</v>
      </c>
      <c r="D569" s="37" t="s">
        <v>2349</v>
      </c>
      <c r="E569" s="213">
        <v>2003.01</v>
      </c>
    </row>
    <row r="570" spans="1:5" ht="14.25">
      <c r="A570" s="37">
        <v>729</v>
      </c>
      <c r="B570" s="37" t="s">
        <v>27389</v>
      </c>
      <c r="C570" s="37" t="s">
        <v>2348</v>
      </c>
      <c r="D570" s="37" t="s">
        <v>2353</v>
      </c>
      <c r="E570" s="212">
        <v>816.25</v>
      </c>
    </row>
    <row r="571" spans="1:5" ht="14.25">
      <c r="A571" s="37">
        <v>39925</v>
      </c>
      <c r="B571" s="37" t="s">
        <v>27390</v>
      </c>
      <c r="C571" s="37" t="s">
        <v>2348</v>
      </c>
      <c r="D571" s="37" t="s">
        <v>2349</v>
      </c>
      <c r="E571" s="213">
        <v>11794.74</v>
      </c>
    </row>
    <row r="572" spans="1:5" ht="14.25">
      <c r="A572" s="37">
        <v>731</v>
      </c>
      <c r="B572" s="37" t="s">
        <v>27391</v>
      </c>
      <c r="C572" s="37" t="s">
        <v>2348</v>
      </c>
      <c r="D572" s="37" t="s">
        <v>2349</v>
      </c>
      <c r="E572" s="212">
        <v>794.41</v>
      </c>
    </row>
    <row r="573" spans="1:5" ht="14.25">
      <c r="A573" s="37">
        <v>10575</v>
      </c>
      <c r="B573" s="37" t="s">
        <v>27392</v>
      </c>
      <c r="C573" s="37" t="s">
        <v>2348</v>
      </c>
      <c r="D573" s="37" t="s">
        <v>2349</v>
      </c>
      <c r="E573" s="213">
        <v>1239.74</v>
      </c>
    </row>
    <row r="574" spans="1:5" ht="14.25">
      <c r="A574" s="37">
        <v>733</v>
      </c>
      <c r="B574" s="37" t="s">
        <v>27393</v>
      </c>
      <c r="C574" s="37" t="s">
        <v>2348</v>
      </c>
      <c r="D574" s="37" t="s">
        <v>2349</v>
      </c>
      <c r="E574" s="213">
        <v>1357.36</v>
      </c>
    </row>
    <row r="575" spans="1:5" ht="14.25">
      <c r="A575" s="37">
        <v>732</v>
      </c>
      <c r="B575" s="37" t="s">
        <v>27394</v>
      </c>
      <c r="C575" s="37" t="s">
        <v>2348</v>
      </c>
      <c r="D575" s="37" t="s">
        <v>2349</v>
      </c>
      <c r="E575" s="213">
        <v>1339.11</v>
      </c>
    </row>
    <row r="576" spans="1:5" ht="14.25">
      <c r="A576" s="37">
        <v>737</v>
      </c>
      <c r="B576" s="37" t="s">
        <v>27395</v>
      </c>
      <c r="C576" s="37" t="s">
        <v>2348</v>
      </c>
      <c r="D576" s="37" t="s">
        <v>2349</v>
      </c>
      <c r="E576" s="213">
        <v>7509.37</v>
      </c>
    </row>
    <row r="577" spans="1:5" ht="14.25">
      <c r="A577" s="37">
        <v>738</v>
      </c>
      <c r="B577" s="37" t="s">
        <v>27396</v>
      </c>
      <c r="C577" s="37" t="s">
        <v>2348</v>
      </c>
      <c r="D577" s="37" t="s">
        <v>2349</v>
      </c>
      <c r="E577" s="213">
        <v>3482.04</v>
      </c>
    </row>
    <row r="578" spans="1:5" ht="14.25">
      <c r="A578" s="37">
        <v>740</v>
      </c>
      <c r="B578" s="37" t="s">
        <v>27397</v>
      </c>
      <c r="C578" s="37" t="s">
        <v>2348</v>
      </c>
      <c r="D578" s="37" t="s">
        <v>2349</v>
      </c>
      <c r="E578" s="213">
        <v>7064.34</v>
      </c>
    </row>
    <row r="579" spans="1:5" ht="14.25">
      <c r="A579" s="37">
        <v>734</v>
      </c>
      <c r="B579" s="37" t="s">
        <v>27398</v>
      </c>
      <c r="C579" s="37" t="s">
        <v>2348</v>
      </c>
      <c r="D579" s="37" t="s">
        <v>2349</v>
      </c>
      <c r="E579" s="213">
        <v>1435.53</v>
      </c>
    </row>
    <row r="580" spans="1:5" ht="14.25">
      <c r="A580" s="37">
        <v>39008</v>
      </c>
      <c r="B580" s="37" t="s">
        <v>27399</v>
      </c>
      <c r="C580" s="37" t="s">
        <v>2348</v>
      </c>
      <c r="D580" s="37" t="s">
        <v>2351</v>
      </c>
      <c r="E580" s="213">
        <v>59385.07</v>
      </c>
    </row>
    <row r="581" spans="1:5" ht="14.25">
      <c r="A581" s="37">
        <v>39009</v>
      </c>
      <c r="B581" s="37" t="s">
        <v>27400</v>
      </c>
      <c r="C581" s="37" t="s">
        <v>2348</v>
      </c>
      <c r="D581" s="37" t="s">
        <v>2351</v>
      </c>
      <c r="E581" s="213">
        <v>63623.74</v>
      </c>
    </row>
    <row r="582" spans="1:5" ht="14.25">
      <c r="A582" s="37">
        <v>10587</v>
      </c>
      <c r="B582" s="37" t="s">
        <v>27401</v>
      </c>
      <c r="C582" s="37" t="s">
        <v>2348</v>
      </c>
      <c r="D582" s="37" t="s">
        <v>2351</v>
      </c>
      <c r="E582" s="213">
        <v>2926.82</v>
      </c>
    </row>
    <row r="583" spans="1:5" ht="14.25">
      <c r="A583" s="37">
        <v>759</v>
      </c>
      <c r="B583" s="37" t="s">
        <v>27402</v>
      </c>
      <c r="C583" s="37" t="s">
        <v>2348</v>
      </c>
      <c r="D583" s="37" t="s">
        <v>2351</v>
      </c>
      <c r="E583" s="213">
        <v>4208.1899999999996</v>
      </c>
    </row>
    <row r="584" spans="1:5" ht="14.25">
      <c r="A584" s="37">
        <v>761</v>
      </c>
      <c r="B584" s="37" t="s">
        <v>27403</v>
      </c>
      <c r="C584" s="37" t="s">
        <v>2348</v>
      </c>
      <c r="D584" s="37" t="s">
        <v>2351</v>
      </c>
      <c r="E584" s="213">
        <v>7133.24</v>
      </c>
    </row>
    <row r="585" spans="1:5" ht="14.25">
      <c r="A585" s="37">
        <v>750</v>
      </c>
      <c r="B585" s="37" t="s">
        <v>27404</v>
      </c>
      <c r="C585" s="37" t="s">
        <v>2348</v>
      </c>
      <c r="D585" s="37" t="s">
        <v>2351</v>
      </c>
      <c r="E585" s="213">
        <v>6772.44</v>
      </c>
    </row>
    <row r="586" spans="1:5" ht="14.25">
      <c r="A586" s="37">
        <v>755</v>
      </c>
      <c r="B586" s="37" t="s">
        <v>27405</v>
      </c>
      <c r="C586" s="37" t="s">
        <v>2348</v>
      </c>
      <c r="D586" s="37" t="s">
        <v>2351</v>
      </c>
      <c r="E586" s="213">
        <v>27790.82</v>
      </c>
    </row>
    <row r="587" spans="1:5" ht="14.25">
      <c r="A587" s="37">
        <v>749</v>
      </c>
      <c r="B587" s="37" t="s">
        <v>27406</v>
      </c>
      <c r="C587" s="37" t="s">
        <v>2348</v>
      </c>
      <c r="D587" s="37" t="s">
        <v>2351</v>
      </c>
      <c r="E587" s="213">
        <v>10220.950000000001</v>
      </c>
    </row>
    <row r="588" spans="1:5" ht="14.25">
      <c r="A588" s="37">
        <v>756</v>
      </c>
      <c r="B588" s="37" t="s">
        <v>27407</v>
      </c>
      <c r="C588" s="37" t="s">
        <v>2348</v>
      </c>
      <c r="D588" s="37" t="s">
        <v>2351</v>
      </c>
      <c r="E588" s="213">
        <v>30309.61</v>
      </c>
    </row>
    <row r="589" spans="1:5" ht="14.25">
      <c r="A589" s="37">
        <v>757</v>
      </c>
      <c r="B589" s="37" t="s">
        <v>27408</v>
      </c>
      <c r="C589" s="37" t="s">
        <v>2348</v>
      </c>
      <c r="D589" s="37" t="s">
        <v>2351</v>
      </c>
      <c r="E589" s="213">
        <v>13762.5</v>
      </c>
    </row>
    <row r="590" spans="1:5" ht="14.25">
      <c r="A590" s="37">
        <v>10588</v>
      </c>
      <c r="B590" s="37" t="s">
        <v>27409</v>
      </c>
      <c r="C590" s="37" t="s">
        <v>2348</v>
      </c>
      <c r="D590" s="37" t="s">
        <v>2351</v>
      </c>
      <c r="E590" s="213">
        <v>3038.41</v>
      </c>
    </row>
    <row r="591" spans="1:5" ht="14.25">
      <c r="A591" s="37">
        <v>10592</v>
      </c>
      <c r="B591" s="37" t="s">
        <v>27410</v>
      </c>
      <c r="C591" s="37" t="s">
        <v>2348</v>
      </c>
      <c r="D591" s="37" t="s">
        <v>2351</v>
      </c>
      <c r="E591" s="213">
        <v>3670</v>
      </c>
    </row>
    <row r="592" spans="1:5" ht="14.25">
      <c r="A592" s="37">
        <v>10589</v>
      </c>
      <c r="B592" s="37" t="s">
        <v>27411</v>
      </c>
      <c r="C592" s="37" t="s">
        <v>2348</v>
      </c>
      <c r="D592" s="37" t="s">
        <v>2351</v>
      </c>
      <c r="E592" s="213">
        <v>4930.41</v>
      </c>
    </row>
    <row r="593" spans="1:5" ht="14.25">
      <c r="A593" s="37">
        <v>760</v>
      </c>
      <c r="B593" s="37" t="s">
        <v>27412</v>
      </c>
      <c r="C593" s="37" t="s">
        <v>2348</v>
      </c>
      <c r="D593" s="37" t="s">
        <v>2351</v>
      </c>
      <c r="E593" s="213">
        <v>27525</v>
      </c>
    </row>
    <row r="594" spans="1:5" ht="14.25">
      <c r="A594" s="37">
        <v>751</v>
      </c>
      <c r="B594" s="37" t="s">
        <v>27413</v>
      </c>
      <c r="C594" s="37" t="s">
        <v>2348</v>
      </c>
      <c r="D594" s="37" t="s">
        <v>2351</v>
      </c>
      <c r="E594" s="213">
        <v>4335.18</v>
      </c>
    </row>
    <row r="595" spans="1:5" ht="14.25">
      <c r="A595" s="37">
        <v>754</v>
      </c>
      <c r="B595" s="37" t="s">
        <v>27414</v>
      </c>
      <c r="C595" s="37" t="s">
        <v>2348</v>
      </c>
      <c r="D595" s="37" t="s">
        <v>2351</v>
      </c>
      <c r="E595" s="213">
        <v>6881.25</v>
      </c>
    </row>
    <row r="596" spans="1:5" ht="14.25">
      <c r="A596" s="37">
        <v>44489</v>
      </c>
      <c r="B596" s="37" t="s">
        <v>27415</v>
      </c>
      <c r="C596" s="37" t="s">
        <v>2348</v>
      </c>
      <c r="D596" s="37" t="s">
        <v>2349</v>
      </c>
      <c r="E596" s="213">
        <v>202919.38</v>
      </c>
    </row>
    <row r="597" spans="1:5" ht="14.25">
      <c r="A597" s="37">
        <v>39917</v>
      </c>
      <c r="B597" s="37" t="s">
        <v>27416</v>
      </c>
      <c r="C597" s="37" t="s">
        <v>2348</v>
      </c>
      <c r="D597" s="37" t="s">
        <v>2351</v>
      </c>
      <c r="E597" s="213">
        <v>91219.75</v>
      </c>
    </row>
    <row r="598" spans="1:5" ht="14.25">
      <c r="A598" s="37">
        <v>38167</v>
      </c>
      <c r="B598" s="37" t="s">
        <v>27417</v>
      </c>
      <c r="C598" s="37" t="s">
        <v>2382</v>
      </c>
      <c r="D598" s="37" t="s">
        <v>2349</v>
      </c>
      <c r="E598" s="212">
        <v>24.38</v>
      </c>
    </row>
    <row r="599" spans="1:5" ht="14.25">
      <c r="A599" s="37">
        <v>36145</v>
      </c>
      <c r="B599" s="37" t="s">
        <v>27418</v>
      </c>
      <c r="C599" s="37" t="s">
        <v>2382</v>
      </c>
      <c r="D599" s="37" t="s">
        <v>2349</v>
      </c>
      <c r="E599" s="212">
        <v>42.91</v>
      </c>
    </row>
    <row r="600" spans="1:5" ht="14.25">
      <c r="A600" s="37">
        <v>12893</v>
      </c>
      <c r="B600" s="37" t="s">
        <v>27419</v>
      </c>
      <c r="C600" s="37" t="s">
        <v>2382</v>
      </c>
      <c r="D600" s="37" t="s">
        <v>2349</v>
      </c>
      <c r="E600" s="212">
        <v>71.52</v>
      </c>
    </row>
    <row r="601" spans="1:5" ht="14.25">
      <c r="A601" s="37">
        <v>11685</v>
      </c>
      <c r="B601" s="37" t="s">
        <v>27420</v>
      </c>
      <c r="C601" s="37" t="s">
        <v>2348</v>
      </c>
      <c r="D601" s="37" t="s">
        <v>2349</v>
      </c>
      <c r="E601" s="212">
        <v>27.45</v>
      </c>
    </row>
    <row r="602" spans="1:5" ht="14.25">
      <c r="A602" s="37">
        <v>11680</v>
      </c>
      <c r="B602" s="37" t="s">
        <v>27421</v>
      </c>
      <c r="C602" s="37" t="s">
        <v>2348</v>
      </c>
      <c r="D602" s="37" t="s">
        <v>2349</v>
      </c>
      <c r="E602" s="212">
        <v>19.68</v>
      </c>
    </row>
    <row r="603" spans="1:5" ht="14.25">
      <c r="A603" s="37">
        <v>11679</v>
      </c>
      <c r="B603" s="37" t="s">
        <v>27422</v>
      </c>
      <c r="C603" s="37" t="s">
        <v>2348</v>
      </c>
      <c r="D603" s="37" t="s">
        <v>2349</v>
      </c>
      <c r="E603" s="212">
        <v>26.69</v>
      </c>
    </row>
    <row r="604" spans="1:5" ht="14.25">
      <c r="A604" s="37">
        <v>2512</v>
      </c>
      <c r="B604" s="37" t="s">
        <v>27423</v>
      </c>
      <c r="C604" s="37" t="s">
        <v>2348</v>
      </c>
      <c r="D604" s="37" t="s">
        <v>2351</v>
      </c>
      <c r="E604" s="212">
        <v>49.27</v>
      </c>
    </row>
    <row r="605" spans="1:5" ht="14.25">
      <c r="A605" s="37">
        <v>4374</v>
      </c>
      <c r="B605" s="37" t="s">
        <v>27424</v>
      </c>
      <c r="C605" s="37" t="s">
        <v>2348</v>
      </c>
      <c r="D605" s="37" t="s">
        <v>2349</v>
      </c>
      <c r="E605" s="212">
        <v>0.44</v>
      </c>
    </row>
    <row r="606" spans="1:5" ht="14.25">
      <c r="A606" s="37">
        <v>7568</v>
      </c>
      <c r="B606" s="37" t="s">
        <v>27425</v>
      </c>
      <c r="C606" s="37" t="s">
        <v>2348</v>
      </c>
      <c r="D606" s="37" t="s">
        <v>2349</v>
      </c>
      <c r="E606" s="212">
        <v>0.73</v>
      </c>
    </row>
    <row r="607" spans="1:5" ht="14.25">
      <c r="A607" s="37">
        <v>7584</v>
      </c>
      <c r="B607" s="37" t="s">
        <v>27426</v>
      </c>
      <c r="C607" s="37" t="s">
        <v>2348</v>
      </c>
      <c r="D607" s="37" t="s">
        <v>2349</v>
      </c>
      <c r="E607" s="212">
        <v>1.1200000000000001</v>
      </c>
    </row>
    <row r="608" spans="1:5" ht="14.25">
      <c r="A608" s="37">
        <v>11945</v>
      </c>
      <c r="B608" s="37" t="s">
        <v>27427</v>
      </c>
      <c r="C608" s="37" t="s">
        <v>2348</v>
      </c>
      <c r="D608" s="37" t="s">
        <v>2349</v>
      </c>
      <c r="E608" s="212">
        <v>7.0000000000000007E-2</v>
      </c>
    </row>
    <row r="609" spans="1:5" ht="14.25">
      <c r="A609" s="37">
        <v>11946</v>
      </c>
      <c r="B609" s="37" t="s">
        <v>27428</v>
      </c>
      <c r="C609" s="37" t="s">
        <v>2348</v>
      </c>
      <c r="D609" s="37" t="s">
        <v>2349</v>
      </c>
      <c r="E609" s="212">
        <v>0.08</v>
      </c>
    </row>
    <row r="610" spans="1:5" ht="14.25">
      <c r="A610" s="37">
        <v>4375</v>
      </c>
      <c r="B610" s="37" t="s">
        <v>27429</v>
      </c>
      <c r="C610" s="37" t="s">
        <v>2348</v>
      </c>
      <c r="D610" s="37" t="s">
        <v>2353</v>
      </c>
      <c r="E610" s="212">
        <v>0.12</v>
      </c>
    </row>
    <row r="611" spans="1:5" ht="14.25">
      <c r="A611" s="37">
        <v>11950</v>
      </c>
      <c r="B611" s="37" t="s">
        <v>27430</v>
      </c>
      <c r="C611" s="37" t="s">
        <v>2348</v>
      </c>
      <c r="D611" s="37" t="s">
        <v>2349</v>
      </c>
      <c r="E611" s="212">
        <v>0.24</v>
      </c>
    </row>
    <row r="612" spans="1:5" ht="14.25">
      <c r="A612" s="37">
        <v>4376</v>
      </c>
      <c r="B612" s="37" t="s">
        <v>27431</v>
      </c>
      <c r="C612" s="37" t="s">
        <v>2348</v>
      </c>
      <c r="D612" s="37" t="s">
        <v>2349</v>
      </c>
      <c r="E612" s="212">
        <v>0.23</v>
      </c>
    </row>
    <row r="613" spans="1:5" ht="14.25">
      <c r="A613" s="37">
        <v>7583</v>
      </c>
      <c r="B613" s="37" t="s">
        <v>27432</v>
      </c>
      <c r="C613" s="37" t="s">
        <v>2348</v>
      </c>
      <c r="D613" s="37" t="s">
        <v>2349</v>
      </c>
      <c r="E613" s="212">
        <v>0.5</v>
      </c>
    </row>
    <row r="614" spans="1:5" ht="14.25">
      <c r="A614" s="37">
        <v>4350</v>
      </c>
      <c r="B614" s="37" t="s">
        <v>27433</v>
      </c>
      <c r="C614" s="37" t="s">
        <v>2348</v>
      </c>
      <c r="D614" s="37" t="s">
        <v>2351</v>
      </c>
      <c r="E614" s="212">
        <v>0.6</v>
      </c>
    </row>
    <row r="615" spans="1:5" ht="14.25">
      <c r="A615" s="37">
        <v>39886</v>
      </c>
      <c r="B615" s="37" t="s">
        <v>27434</v>
      </c>
      <c r="C615" s="37" t="s">
        <v>2348</v>
      </c>
      <c r="D615" s="37" t="s">
        <v>2351</v>
      </c>
      <c r="E615" s="212">
        <v>6.89</v>
      </c>
    </row>
    <row r="616" spans="1:5" ht="14.25">
      <c r="A616" s="37">
        <v>39887</v>
      </c>
      <c r="B616" s="37" t="s">
        <v>27435</v>
      </c>
      <c r="C616" s="37" t="s">
        <v>2348</v>
      </c>
      <c r="D616" s="37" t="s">
        <v>2351</v>
      </c>
      <c r="E616" s="212">
        <v>10.34</v>
      </c>
    </row>
    <row r="617" spans="1:5" ht="14.25">
      <c r="A617" s="37">
        <v>39888</v>
      </c>
      <c r="B617" s="37" t="s">
        <v>27436</v>
      </c>
      <c r="C617" s="37" t="s">
        <v>2348</v>
      </c>
      <c r="D617" s="37" t="s">
        <v>2351</v>
      </c>
      <c r="E617" s="212">
        <v>23.65</v>
      </c>
    </row>
    <row r="618" spans="1:5" ht="14.25">
      <c r="A618" s="37">
        <v>39890</v>
      </c>
      <c r="B618" s="37" t="s">
        <v>27437</v>
      </c>
      <c r="C618" s="37" t="s">
        <v>2348</v>
      </c>
      <c r="D618" s="37" t="s">
        <v>2351</v>
      </c>
      <c r="E618" s="212">
        <v>40.36</v>
      </c>
    </row>
    <row r="619" spans="1:5" ht="14.25">
      <c r="A619" s="37">
        <v>39891</v>
      </c>
      <c r="B619" s="37" t="s">
        <v>27438</v>
      </c>
      <c r="C619" s="37" t="s">
        <v>2348</v>
      </c>
      <c r="D619" s="37" t="s">
        <v>2351</v>
      </c>
      <c r="E619" s="212">
        <v>56.91</v>
      </c>
    </row>
    <row r="620" spans="1:5" ht="14.25">
      <c r="A620" s="37">
        <v>39892</v>
      </c>
      <c r="B620" s="37" t="s">
        <v>27439</v>
      </c>
      <c r="C620" s="37" t="s">
        <v>2348</v>
      </c>
      <c r="D620" s="37" t="s">
        <v>2351</v>
      </c>
      <c r="E620" s="212">
        <v>177.4</v>
      </c>
    </row>
    <row r="621" spans="1:5" ht="14.25">
      <c r="A621" s="37">
        <v>790</v>
      </c>
      <c r="B621" s="37" t="s">
        <v>27440</v>
      </c>
      <c r="C621" s="37" t="s">
        <v>2348</v>
      </c>
      <c r="D621" s="37" t="s">
        <v>2351</v>
      </c>
      <c r="E621" s="212">
        <v>18.579999999999998</v>
      </c>
    </row>
    <row r="622" spans="1:5" ht="14.25">
      <c r="A622" s="37">
        <v>766</v>
      </c>
      <c r="B622" s="37" t="s">
        <v>27441</v>
      </c>
      <c r="C622" s="37" t="s">
        <v>2348</v>
      </c>
      <c r="D622" s="37" t="s">
        <v>2351</v>
      </c>
      <c r="E622" s="212">
        <v>18.579999999999998</v>
      </c>
    </row>
    <row r="623" spans="1:5" ht="14.25">
      <c r="A623" s="37">
        <v>791</v>
      </c>
      <c r="B623" s="37" t="s">
        <v>27442</v>
      </c>
      <c r="C623" s="37" t="s">
        <v>2348</v>
      </c>
      <c r="D623" s="37" t="s">
        <v>2351</v>
      </c>
      <c r="E623" s="212">
        <v>18.579999999999998</v>
      </c>
    </row>
    <row r="624" spans="1:5" ht="14.25">
      <c r="A624" s="37">
        <v>767</v>
      </c>
      <c r="B624" s="37" t="s">
        <v>27443</v>
      </c>
      <c r="C624" s="37" t="s">
        <v>2348</v>
      </c>
      <c r="D624" s="37" t="s">
        <v>2351</v>
      </c>
      <c r="E624" s="212">
        <v>18.579999999999998</v>
      </c>
    </row>
    <row r="625" spans="1:5" ht="14.25">
      <c r="A625" s="37">
        <v>768</v>
      </c>
      <c r="B625" s="37" t="s">
        <v>27444</v>
      </c>
      <c r="C625" s="37" t="s">
        <v>2348</v>
      </c>
      <c r="D625" s="37" t="s">
        <v>2351</v>
      </c>
      <c r="E625" s="212">
        <v>14.59</v>
      </c>
    </row>
    <row r="626" spans="1:5" ht="14.25">
      <c r="A626" s="37">
        <v>789</v>
      </c>
      <c r="B626" s="37" t="s">
        <v>27445</v>
      </c>
      <c r="C626" s="37" t="s">
        <v>2348</v>
      </c>
      <c r="D626" s="37" t="s">
        <v>2351</v>
      </c>
      <c r="E626" s="212">
        <v>14.28</v>
      </c>
    </row>
    <row r="627" spans="1:5" ht="14.25">
      <c r="A627" s="37">
        <v>769</v>
      </c>
      <c r="B627" s="37" t="s">
        <v>27446</v>
      </c>
      <c r="C627" s="37" t="s">
        <v>2348</v>
      </c>
      <c r="D627" s="37" t="s">
        <v>2351</v>
      </c>
      <c r="E627" s="212">
        <v>14.59</v>
      </c>
    </row>
    <row r="628" spans="1:5" ht="14.25">
      <c r="A628" s="37">
        <v>770</v>
      </c>
      <c r="B628" s="37" t="s">
        <v>27447</v>
      </c>
      <c r="C628" s="37" t="s">
        <v>2348</v>
      </c>
      <c r="D628" s="37" t="s">
        <v>2351</v>
      </c>
      <c r="E628" s="212">
        <v>5.15</v>
      </c>
    </row>
    <row r="629" spans="1:5" ht="14.25">
      <c r="A629" s="37">
        <v>12394</v>
      </c>
      <c r="B629" s="37" t="s">
        <v>27448</v>
      </c>
      <c r="C629" s="37" t="s">
        <v>2348</v>
      </c>
      <c r="D629" s="37" t="s">
        <v>2351</v>
      </c>
      <c r="E629" s="212">
        <v>5.15</v>
      </c>
    </row>
    <row r="630" spans="1:5" ht="14.25">
      <c r="A630" s="37">
        <v>764</v>
      </c>
      <c r="B630" s="37" t="s">
        <v>27449</v>
      </c>
      <c r="C630" s="37" t="s">
        <v>2348</v>
      </c>
      <c r="D630" s="37" t="s">
        <v>2351</v>
      </c>
      <c r="E630" s="212">
        <v>8.98</v>
      </c>
    </row>
    <row r="631" spans="1:5" ht="14.25">
      <c r="A631" s="37">
        <v>765</v>
      </c>
      <c r="B631" s="37" t="s">
        <v>27450</v>
      </c>
      <c r="C631" s="37" t="s">
        <v>2348</v>
      </c>
      <c r="D631" s="37" t="s">
        <v>2351</v>
      </c>
      <c r="E631" s="212">
        <v>8.98</v>
      </c>
    </row>
    <row r="632" spans="1:5" ht="14.25">
      <c r="A632" s="37">
        <v>787</v>
      </c>
      <c r="B632" s="37" t="s">
        <v>27451</v>
      </c>
      <c r="C632" s="37" t="s">
        <v>2348</v>
      </c>
      <c r="D632" s="37" t="s">
        <v>2351</v>
      </c>
      <c r="E632" s="212">
        <v>40.11</v>
      </c>
    </row>
    <row r="633" spans="1:5" ht="14.25">
      <c r="A633" s="37">
        <v>774</v>
      </c>
      <c r="B633" s="37" t="s">
        <v>27452</v>
      </c>
      <c r="C633" s="37" t="s">
        <v>2348</v>
      </c>
      <c r="D633" s="37" t="s">
        <v>2351</v>
      </c>
      <c r="E633" s="212">
        <v>40.11</v>
      </c>
    </row>
    <row r="634" spans="1:5" ht="14.25">
      <c r="A634" s="37">
        <v>773</v>
      </c>
      <c r="B634" s="37" t="s">
        <v>27453</v>
      </c>
      <c r="C634" s="37" t="s">
        <v>2348</v>
      </c>
      <c r="D634" s="37" t="s">
        <v>2351</v>
      </c>
      <c r="E634" s="212">
        <v>40.11</v>
      </c>
    </row>
    <row r="635" spans="1:5" ht="14.25">
      <c r="A635" s="37">
        <v>775</v>
      </c>
      <c r="B635" s="37" t="s">
        <v>27454</v>
      </c>
      <c r="C635" s="37" t="s">
        <v>2348</v>
      </c>
      <c r="D635" s="37" t="s">
        <v>2351</v>
      </c>
      <c r="E635" s="212">
        <v>40.11</v>
      </c>
    </row>
    <row r="636" spans="1:5" ht="14.25">
      <c r="A636" s="37">
        <v>788</v>
      </c>
      <c r="B636" s="37" t="s">
        <v>27455</v>
      </c>
      <c r="C636" s="37" t="s">
        <v>2348</v>
      </c>
      <c r="D636" s="37" t="s">
        <v>2351</v>
      </c>
      <c r="E636" s="212">
        <v>24.93</v>
      </c>
    </row>
    <row r="637" spans="1:5" ht="14.25">
      <c r="A637" s="37">
        <v>772</v>
      </c>
      <c r="B637" s="37" t="s">
        <v>27456</v>
      </c>
      <c r="C637" s="37" t="s">
        <v>2348</v>
      </c>
      <c r="D637" s="37" t="s">
        <v>2351</v>
      </c>
      <c r="E637" s="212">
        <v>24.93</v>
      </c>
    </row>
    <row r="638" spans="1:5" ht="14.25">
      <c r="A638" s="37">
        <v>771</v>
      </c>
      <c r="B638" s="37" t="s">
        <v>27457</v>
      </c>
      <c r="C638" s="37" t="s">
        <v>2348</v>
      </c>
      <c r="D638" s="37" t="s">
        <v>2351</v>
      </c>
      <c r="E638" s="212">
        <v>24.93</v>
      </c>
    </row>
    <row r="639" spans="1:5" ht="14.25">
      <c r="A639" s="37">
        <v>779</v>
      </c>
      <c r="B639" s="37" t="s">
        <v>27458</v>
      </c>
      <c r="C639" s="37" t="s">
        <v>2348</v>
      </c>
      <c r="D639" s="37" t="s">
        <v>2351</v>
      </c>
      <c r="E639" s="212">
        <v>6.2</v>
      </c>
    </row>
    <row r="640" spans="1:5" ht="14.25">
      <c r="A640" s="37">
        <v>776</v>
      </c>
      <c r="B640" s="37" t="s">
        <v>27459</v>
      </c>
      <c r="C640" s="37" t="s">
        <v>2348</v>
      </c>
      <c r="D640" s="37" t="s">
        <v>2351</v>
      </c>
      <c r="E640" s="212">
        <v>59.13</v>
      </c>
    </row>
    <row r="641" spans="1:5" ht="14.25">
      <c r="A641" s="37">
        <v>777</v>
      </c>
      <c r="B641" s="37" t="s">
        <v>27460</v>
      </c>
      <c r="C641" s="37" t="s">
        <v>2348</v>
      </c>
      <c r="D641" s="37" t="s">
        <v>2351</v>
      </c>
      <c r="E641" s="212">
        <v>57.48</v>
      </c>
    </row>
    <row r="642" spans="1:5" ht="14.25">
      <c r="A642" s="37">
        <v>780</v>
      </c>
      <c r="B642" s="37" t="s">
        <v>27461</v>
      </c>
      <c r="C642" s="37" t="s">
        <v>2348</v>
      </c>
      <c r="D642" s="37" t="s">
        <v>2351</v>
      </c>
      <c r="E642" s="212">
        <v>57.77</v>
      </c>
    </row>
    <row r="643" spans="1:5" ht="14.25">
      <c r="A643" s="37">
        <v>778</v>
      </c>
      <c r="B643" s="37" t="s">
        <v>27462</v>
      </c>
      <c r="C643" s="37" t="s">
        <v>2348</v>
      </c>
      <c r="D643" s="37" t="s">
        <v>2351</v>
      </c>
      <c r="E643" s="212">
        <v>59.13</v>
      </c>
    </row>
    <row r="644" spans="1:5" ht="14.25">
      <c r="A644" s="37">
        <v>781</v>
      </c>
      <c r="B644" s="37" t="s">
        <v>27463</v>
      </c>
      <c r="C644" s="37" t="s">
        <v>2348</v>
      </c>
      <c r="D644" s="37" t="s">
        <v>2351</v>
      </c>
      <c r="E644" s="212">
        <v>109.25</v>
      </c>
    </row>
    <row r="645" spans="1:5" ht="14.25">
      <c r="A645" s="37">
        <v>786</v>
      </c>
      <c r="B645" s="37" t="s">
        <v>27464</v>
      </c>
      <c r="C645" s="37" t="s">
        <v>2348</v>
      </c>
      <c r="D645" s="37" t="s">
        <v>2351</v>
      </c>
      <c r="E645" s="212">
        <v>109.25</v>
      </c>
    </row>
    <row r="646" spans="1:5" ht="14.25">
      <c r="A646" s="37">
        <v>782</v>
      </c>
      <c r="B646" s="37" t="s">
        <v>27465</v>
      </c>
      <c r="C646" s="37" t="s">
        <v>2348</v>
      </c>
      <c r="D646" s="37" t="s">
        <v>2351</v>
      </c>
      <c r="E646" s="212">
        <v>109.25</v>
      </c>
    </row>
    <row r="647" spans="1:5" ht="14.25">
      <c r="A647" s="37">
        <v>783</v>
      </c>
      <c r="B647" s="37" t="s">
        <v>27466</v>
      </c>
      <c r="C647" s="37" t="s">
        <v>2348</v>
      </c>
      <c r="D647" s="37" t="s">
        <v>2351</v>
      </c>
      <c r="E647" s="212">
        <v>299.02</v>
      </c>
    </row>
    <row r="648" spans="1:5" ht="14.25">
      <c r="A648" s="37">
        <v>785</v>
      </c>
      <c r="B648" s="37" t="s">
        <v>27467</v>
      </c>
      <c r="C648" s="37" t="s">
        <v>2348</v>
      </c>
      <c r="D648" s="37" t="s">
        <v>2351</v>
      </c>
      <c r="E648" s="212">
        <v>315.94</v>
      </c>
    </row>
    <row r="649" spans="1:5" ht="14.25">
      <c r="A649" s="37">
        <v>784</v>
      </c>
      <c r="B649" s="37" t="s">
        <v>27468</v>
      </c>
      <c r="C649" s="37" t="s">
        <v>2348</v>
      </c>
      <c r="D649" s="37" t="s">
        <v>2351</v>
      </c>
      <c r="E649" s="212">
        <v>338.93</v>
      </c>
    </row>
    <row r="650" spans="1:5" ht="14.25">
      <c r="A650" s="37">
        <v>831</v>
      </c>
      <c r="B650" s="37" t="s">
        <v>27469</v>
      </c>
      <c r="C650" s="37" t="s">
        <v>2348</v>
      </c>
      <c r="D650" s="37" t="s">
        <v>2349</v>
      </c>
      <c r="E650" s="212">
        <v>120.57</v>
      </c>
    </row>
    <row r="651" spans="1:5" ht="14.25">
      <c r="A651" s="37">
        <v>828</v>
      </c>
      <c r="B651" s="37" t="s">
        <v>27470</v>
      </c>
      <c r="C651" s="37" t="s">
        <v>2348</v>
      </c>
      <c r="D651" s="37" t="s">
        <v>2349</v>
      </c>
      <c r="E651" s="212">
        <v>0.69</v>
      </c>
    </row>
    <row r="652" spans="1:5" ht="14.25">
      <c r="A652" s="37">
        <v>829</v>
      </c>
      <c r="B652" s="37" t="s">
        <v>27471</v>
      </c>
      <c r="C652" s="37" t="s">
        <v>2348</v>
      </c>
      <c r="D652" s="37" t="s">
        <v>2349</v>
      </c>
      <c r="E652" s="212">
        <v>1.46</v>
      </c>
    </row>
    <row r="653" spans="1:5" ht="14.25">
      <c r="A653" s="37">
        <v>812</v>
      </c>
      <c r="B653" s="37" t="s">
        <v>27472</v>
      </c>
      <c r="C653" s="37" t="s">
        <v>2348</v>
      </c>
      <c r="D653" s="37" t="s">
        <v>2349</v>
      </c>
      <c r="E653" s="212">
        <v>3.17</v>
      </c>
    </row>
    <row r="654" spans="1:5" ht="14.25">
      <c r="A654" s="37">
        <v>819</v>
      </c>
      <c r="B654" s="37" t="s">
        <v>27473</v>
      </c>
      <c r="C654" s="37" t="s">
        <v>2348</v>
      </c>
      <c r="D654" s="37" t="s">
        <v>2349</v>
      </c>
      <c r="E654" s="212">
        <v>5.21</v>
      </c>
    </row>
    <row r="655" spans="1:5" ht="14.25">
      <c r="A655" s="37">
        <v>818</v>
      </c>
      <c r="B655" s="37" t="s">
        <v>27474</v>
      </c>
      <c r="C655" s="37" t="s">
        <v>2348</v>
      </c>
      <c r="D655" s="37" t="s">
        <v>2349</v>
      </c>
      <c r="E655" s="212">
        <v>8.76</v>
      </c>
    </row>
    <row r="656" spans="1:5" ht="14.25">
      <c r="A656" s="37">
        <v>823</v>
      </c>
      <c r="B656" s="37" t="s">
        <v>27475</v>
      </c>
      <c r="C656" s="37" t="s">
        <v>2348</v>
      </c>
      <c r="D656" s="37" t="s">
        <v>2349</v>
      </c>
      <c r="E656" s="212">
        <v>26.38</v>
      </c>
    </row>
    <row r="657" spans="1:5" ht="14.25">
      <c r="A657" s="37">
        <v>830</v>
      </c>
      <c r="B657" s="37" t="s">
        <v>27476</v>
      </c>
      <c r="C657" s="37" t="s">
        <v>2348</v>
      </c>
      <c r="D657" s="37" t="s">
        <v>2349</v>
      </c>
      <c r="E657" s="212">
        <v>21.72</v>
      </c>
    </row>
    <row r="658" spans="1:5" ht="14.25">
      <c r="A658" s="37">
        <v>826</v>
      </c>
      <c r="B658" s="37" t="s">
        <v>27477</v>
      </c>
      <c r="C658" s="37" t="s">
        <v>2348</v>
      </c>
      <c r="D658" s="37" t="s">
        <v>2349</v>
      </c>
      <c r="E658" s="212">
        <v>67.62</v>
      </c>
    </row>
    <row r="659" spans="1:5" ht="14.25">
      <c r="A659" s="37">
        <v>827</v>
      </c>
      <c r="B659" s="37" t="s">
        <v>27478</v>
      </c>
      <c r="C659" s="37" t="s">
        <v>2348</v>
      </c>
      <c r="D659" s="37" t="s">
        <v>2349</v>
      </c>
      <c r="E659" s="212">
        <v>57.13</v>
      </c>
    </row>
    <row r="660" spans="1:5" ht="14.25">
      <c r="A660" s="37">
        <v>832</v>
      </c>
      <c r="B660" s="37" t="s">
        <v>27479</v>
      </c>
      <c r="C660" s="37" t="s">
        <v>2348</v>
      </c>
      <c r="D660" s="37" t="s">
        <v>2349</v>
      </c>
      <c r="E660" s="212">
        <v>3.95</v>
      </c>
    </row>
    <row r="661" spans="1:5" ht="14.25">
      <c r="A661" s="37">
        <v>833</v>
      </c>
      <c r="B661" s="37" t="s">
        <v>27480</v>
      </c>
      <c r="C661" s="37" t="s">
        <v>2348</v>
      </c>
      <c r="D661" s="37" t="s">
        <v>2349</v>
      </c>
      <c r="E661" s="212">
        <v>5.6</v>
      </c>
    </row>
    <row r="662" spans="1:5" ht="14.25">
      <c r="A662" s="37">
        <v>834</v>
      </c>
      <c r="B662" s="37" t="s">
        <v>27481</v>
      </c>
      <c r="C662" s="37" t="s">
        <v>2348</v>
      </c>
      <c r="D662" s="37" t="s">
        <v>2349</v>
      </c>
      <c r="E662" s="212">
        <v>6.15</v>
      </c>
    </row>
    <row r="663" spans="1:5" ht="14.25">
      <c r="A663" s="37">
        <v>825</v>
      </c>
      <c r="B663" s="37" t="s">
        <v>27482</v>
      </c>
      <c r="C663" s="37" t="s">
        <v>2348</v>
      </c>
      <c r="D663" s="37" t="s">
        <v>2349</v>
      </c>
      <c r="E663" s="212">
        <v>6.86</v>
      </c>
    </row>
    <row r="664" spans="1:5" ht="14.25">
      <c r="A664" s="37">
        <v>813</v>
      </c>
      <c r="B664" s="37" t="s">
        <v>27483</v>
      </c>
      <c r="C664" s="37" t="s">
        <v>2348</v>
      </c>
      <c r="D664" s="37" t="s">
        <v>2349</v>
      </c>
      <c r="E664" s="212">
        <v>6.74</v>
      </c>
    </row>
    <row r="665" spans="1:5" ht="14.25">
      <c r="A665" s="37">
        <v>820</v>
      </c>
      <c r="B665" s="37" t="s">
        <v>27484</v>
      </c>
      <c r="C665" s="37" t="s">
        <v>2348</v>
      </c>
      <c r="D665" s="37" t="s">
        <v>2349</v>
      </c>
      <c r="E665" s="212">
        <v>8.5500000000000007</v>
      </c>
    </row>
    <row r="666" spans="1:5" ht="14.25">
      <c r="A666" s="37">
        <v>816</v>
      </c>
      <c r="B666" s="37" t="s">
        <v>27485</v>
      </c>
      <c r="C666" s="37" t="s">
        <v>2348</v>
      </c>
      <c r="D666" s="37" t="s">
        <v>2349</v>
      </c>
      <c r="E666" s="212">
        <v>14.56</v>
      </c>
    </row>
    <row r="667" spans="1:5" ht="14.25">
      <c r="A667" s="37">
        <v>814</v>
      </c>
      <c r="B667" s="37" t="s">
        <v>27486</v>
      </c>
      <c r="C667" s="37" t="s">
        <v>2348</v>
      </c>
      <c r="D667" s="37" t="s">
        <v>2349</v>
      </c>
      <c r="E667" s="212">
        <v>17.59</v>
      </c>
    </row>
    <row r="668" spans="1:5" ht="14.25">
      <c r="A668" s="37">
        <v>815</v>
      </c>
      <c r="B668" s="37" t="s">
        <v>27487</v>
      </c>
      <c r="C668" s="37" t="s">
        <v>2348</v>
      </c>
      <c r="D668" s="37" t="s">
        <v>2349</v>
      </c>
      <c r="E668" s="212">
        <v>19</v>
      </c>
    </row>
    <row r="669" spans="1:5" ht="14.25">
      <c r="A669" s="37">
        <v>822</v>
      </c>
      <c r="B669" s="37" t="s">
        <v>27488</v>
      </c>
      <c r="C669" s="37" t="s">
        <v>2348</v>
      </c>
      <c r="D669" s="37" t="s">
        <v>2349</v>
      </c>
      <c r="E669" s="212">
        <v>23.15</v>
      </c>
    </row>
    <row r="670" spans="1:5" ht="14.25">
      <c r="A670" s="37">
        <v>821</v>
      </c>
      <c r="B670" s="37" t="s">
        <v>27489</v>
      </c>
      <c r="C670" s="37" t="s">
        <v>2348</v>
      </c>
      <c r="D670" s="37" t="s">
        <v>2349</v>
      </c>
      <c r="E670" s="212">
        <v>27.06</v>
      </c>
    </row>
    <row r="671" spans="1:5" ht="14.25">
      <c r="A671" s="37">
        <v>817</v>
      </c>
      <c r="B671" s="37" t="s">
        <v>27490</v>
      </c>
      <c r="C671" s="37" t="s">
        <v>2348</v>
      </c>
      <c r="D671" s="37" t="s">
        <v>2349</v>
      </c>
      <c r="E671" s="212">
        <v>32.17</v>
      </c>
    </row>
    <row r="672" spans="1:5" ht="14.25">
      <c r="A672" s="37">
        <v>20086</v>
      </c>
      <c r="B672" s="37" t="s">
        <v>27491</v>
      </c>
      <c r="C672" s="37" t="s">
        <v>2348</v>
      </c>
      <c r="D672" s="37" t="s">
        <v>2349</v>
      </c>
      <c r="E672" s="212">
        <v>3.56</v>
      </c>
    </row>
    <row r="673" spans="1:5" ht="14.25">
      <c r="A673" s="37">
        <v>39191</v>
      </c>
      <c r="B673" s="37" t="s">
        <v>27492</v>
      </c>
      <c r="C673" s="37" t="s">
        <v>2348</v>
      </c>
      <c r="D673" s="37" t="s">
        <v>2349</v>
      </c>
      <c r="E673" s="212">
        <v>21.53</v>
      </c>
    </row>
    <row r="674" spans="1:5" ht="14.25">
      <c r="A674" s="37">
        <v>39190</v>
      </c>
      <c r="B674" s="37" t="s">
        <v>27493</v>
      </c>
      <c r="C674" s="37" t="s">
        <v>2348</v>
      </c>
      <c r="D674" s="37" t="s">
        <v>2349</v>
      </c>
      <c r="E674" s="212">
        <v>22.49</v>
      </c>
    </row>
    <row r="675" spans="1:5" ht="14.25">
      <c r="A675" s="37">
        <v>39189</v>
      </c>
      <c r="B675" s="37" t="s">
        <v>27494</v>
      </c>
      <c r="C675" s="37" t="s">
        <v>2348</v>
      </c>
      <c r="D675" s="37" t="s">
        <v>2349</v>
      </c>
      <c r="E675" s="212">
        <v>23.8</v>
      </c>
    </row>
    <row r="676" spans="1:5" ht="14.25">
      <c r="A676" s="37">
        <v>39186</v>
      </c>
      <c r="B676" s="37" t="s">
        <v>27495</v>
      </c>
      <c r="C676" s="37" t="s">
        <v>2348</v>
      </c>
      <c r="D676" s="37" t="s">
        <v>2349</v>
      </c>
      <c r="E676" s="212">
        <v>21.29</v>
      </c>
    </row>
    <row r="677" spans="1:5" ht="14.25">
      <c r="A677" s="37">
        <v>39188</v>
      </c>
      <c r="B677" s="37" t="s">
        <v>27496</v>
      </c>
      <c r="C677" s="37" t="s">
        <v>2348</v>
      </c>
      <c r="D677" s="37" t="s">
        <v>2349</v>
      </c>
      <c r="E677" s="212">
        <v>17.52</v>
      </c>
    </row>
    <row r="678" spans="1:5" ht="14.25">
      <c r="A678" s="37">
        <v>39187</v>
      </c>
      <c r="B678" s="37" t="s">
        <v>27497</v>
      </c>
      <c r="C678" s="37" t="s">
        <v>2348</v>
      </c>
      <c r="D678" s="37" t="s">
        <v>2349</v>
      </c>
      <c r="E678" s="212">
        <v>18.36</v>
      </c>
    </row>
    <row r="679" spans="1:5" ht="14.25">
      <c r="A679" s="37">
        <v>39184</v>
      </c>
      <c r="B679" s="37" t="s">
        <v>27498</v>
      </c>
      <c r="C679" s="37" t="s">
        <v>2348</v>
      </c>
      <c r="D679" s="37" t="s">
        <v>2349</v>
      </c>
      <c r="E679" s="212">
        <v>6.91</v>
      </c>
    </row>
    <row r="680" spans="1:5" ht="14.25">
      <c r="A680" s="37">
        <v>39185</v>
      </c>
      <c r="B680" s="37" t="s">
        <v>27499</v>
      </c>
      <c r="C680" s="37" t="s">
        <v>2348</v>
      </c>
      <c r="D680" s="37" t="s">
        <v>2349</v>
      </c>
      <c r="E680" s="212">
        <v>6.3</v>
      </c>
    </row>
    <row r="681" spans="1:5" ht="14.25">
      <c r="A681" s="37">
        <v>39198</v>
      </c>
      <c r="B681" s="37" t="s">
        <v>27500</v>
      </c>
      <c r="C681" s="37" t="s">
        <v>2348</v>
      </c>
      <c r="D681" s="37" t="s">
        <v>2349</v>
      </c>
      <c r="E681" s="212">
        <v>70.62</v>
      </c>
    </row>
    <row r="682" spans="1:5" ht="14.25">
      <c r="A682" s="37">
        <v>39197</v>
      </c>
      <c r="B682" s="37" t="s">
        <v>27501</v>
      </c>
      <c r="C682" s="37" t="s">
        <v>2348</v>
      </c>
      <c r="D682" s="37" t="s">
        <v>2349</v>
      </c>
      <c r="E682" s="212">
        <v>73.77</v>
      </c>
    </row>
    <row r="683" spans="1:5" ht="14.25">
      <c r="A683" s="37">
        <v>39196</v>
      </c>
      <c r="B683" s="37" t="s">
        <v>27502</v>
      </c>
      <c r="C683" s="37" t="s">
        <v>2348</v>
      </c>
      <c r="D683" s="37" t="s">
        <v>2349</v>
      </c>
      <c r="E683" s="212">
        <v>76.08</v>
      </c>
    </row>
    <row r="684" spans="1:5" ht="14.25">
      <c r="A684" s="37">
        <v>39199</v>
      </c>
      <c r="B684" s="37" t="s">
        <v>27503</v>
      </c>
      <c r="C684" s="37" t="s">
        <v>2348</v>
      </c>
      <c r="D684" s="37" t="s">
        <v>2349</v>
      </c>
      <c r="E684" s="212">
        <v>67.959999999999994</v>
      </c>
    </row>
    <row r="685" spans="1:5" ht="14.25">
      <c r="A685" s="37">
        <v>39195</v>
      </c>
      <c r="B685" s="37" t="s">
        <v>27504</v>
      </c>
      <c r="C685" s="37" t="s">
        <v>2348</v>
      </c>
      <c r="D685" s="37" t="s">
        <v>2349</v>
      </c>
      <c r="E685" s="212">
        <v>39.229999999999997</v>
      </c>
    </row>
    <row r="686" spans="1:5" ht="14.25">
      <c r="A686" s="37">
        <v>39194</v>
      </c>
      <c r="B686" s="37" t="s">
        <v>27505</v>
      </c>
      <c r="C686" s="37" t="s">
        <v>2348</v>
      </c>
      <c r="D686" s="37" t="s">
        <v>2349</v>
      </c>
      <c r="E686" s="212">
        <v>41.98</v>
      </c>
    </row>
    <row r="687" spans="1:5" ht="14.25">
      <c r="A687" s="37">
        <v>39193</v>
      </c>
      <c r="B687" s="37" t="s">
        <v>27506</v>
      </c>
      <c r="C687" s="37" t="s">
        <v>2348</v>
      </c>
      <c r="D687" s="37" t="s">
        <v>2349</v>
      </c>
      <c r="E687" s="212">
        <v>46.01</v>
      </c>
    </row>
    <row r="688" spans="1:5" ht="14.25">
      <c r="A688" s="37">
        <v>39192</v>
      </c>
      <c r="B688" s="37" t="s">
        <v>27507</v>
      </c>
      <c r="C688" s="37" t="s">
        <v>2348</v>
      </c>
      <c r="D688" s="37" t="s">
        <v>2349</v>
      </c>
      <c r="E688" s="212">
        <v>47.86</v>
      </c>
    </row>
    <row r="689" spans="1:5" ht="14.25">
      <c r="A689" s="37">
        <v>39920</v>
      </c>
      <c r="B689" s="37" t="s">
        <v>27508</v>
      </c>
      <c r="C689" s="37" t="s">
        <v>2348</v>
      </c>
      <c r="D689" s="37" t="s">
        <v>2349</v>
      </c>
      <c r="E689" s="212">
        <v>5.79</v>
      </c>
    </row>
    <row r="690" spans="1:5" ht="14.25">
      <c r="A690" s="37">
        <v>39201</v>
      </c>
      <c r="B690" s="37" t="s">
        <v>27509</v>
      </c>
      <c r="C690" s="37" t="s">
        <v>2348</v>
      </c>
      <c r="D690" s="37" t="s">
        <v>2349</v>
      </c>
      <c r="E690" s="212">
        <v>84.43</v>
      </c>
    </row>
    <row r="691" spans="1:5" ht="14.25">
      <c r="A691" s="37">
        <v>39200</v>
      </c>
      <c r="B691" s="37" t="s">
        <v>27510</v>
      </c>
      <c r="C691" s="37" t="s">
        <v>2348</v>
      </c>
      <c r="D691" s="37" t="s">
        <v>2349</v>
      </c>
      <c r="E691" s="212">
        <v>85.11</v>
      </c>
    </row>
    <row r="692" spans="1:5" ht="14.25">
      <c r="A692" s="37">
        <v>39203</v>
      </c>
      <c r="B692" s="37" t="s">
        <v>27511</v>
      </c>
      <c r="C692" s="37" t="s">
        <v>2348</v>
      </c>
      <c r="D692" s="37" t="s">
        <v>2349</v>
      </c>
      <c r="E692" s="212">
        <v>68.72</v>
      </c>
    </row>
    <row r="693" spans="1:5" ht="14.25">
      <c r="A693" s="37">
        <v>39202</v>
      </c>
      <c r="B693" s="37" t="s">
        <v>27512</v>
      </c>
      <c r="C693" s="37" t="s">
        <v>2348</v>
      </c>
      <c r="D693" s="37" t="s">
        <v>2349</v>
      </c>
      <c r="E693" s="212">
        <v>80.73</v>
      </c>
    </row>
    <row r="694" spans="1:5" ht="14.25">
      <c r="A694" s="37">
        <v>39205</v>
      </c>
      <c r="B694" s="37" t="s">
        <v>27513</v>
      </c>
      <c r="C694" s="37" t="s">
        <v>2348</v>
      </c>
      <c r="D694" s="37" t="s">
        <v>2349</v>
      </c>
      <c r="E694" s="212">
        <v>134.68</v>
      </c>
    </row>
    <row r="695" spans="1:5" ht="14.25">
      <c r="A695" s="37">
        <v>39204</v>
      </c>
      <c r="B695" s="37" t="s">
        <v>27514</v>
      </c>
      <c r="C695" s="37" t="s">
        <v>2348</v>
      </c>
      <c r="D695" s="37" t="s">
        <v>2349</v>
      </c>
      <c r="E695" s="212">
        <v>137.94</v>
      </c>
    </row>
    <row r="696" spans="1:5" ht="14.25">
      <c r="A696" s="37">
        <v>39206</v>
      </c>
      <c r="B696" s="37" t="s">
        <v>27515</v>
      </c>
      <c r="C696" s="37" t="s">
        <v>2348</v>
      </c>
      <c r="D696" s="37" t="s">
        <v>2349</v>
      </c>
      <c r="E696" s="212">
        <v>130.86000000000001</v>
      </c>
    </row>
    <row r="697" spans="1:5" ht="14.25">
      <c r="A697" s="37">
        <v>797</v>
      </c>
      <c r="B697" s="37" t="s">
        <v>27516</v>
      </c>
      <c r="C697" s="37" t="s">
        <v>2348</v>
      </c>
      <c r="D697" s="37" t="s">
        <v>2349</v>
      </c>
      <c r="E697" s="212">
        <v>12.58</v>
      </c>
    </row>
    <row r="698" spans="1:5" ht="14.25">
      <c r="A698" s="37">
        <v>798</v>
      </c>
      <c r="B698" s="37" t="s">
        <v>27517</v>
      </c>
      <c r="C698" s="37" t="s">
        <v>2348</v>
      </c>
      <c r="D698" s="37" t="s">
        <v>2349</v>
      </c>
      <c r="E698" s="212">
        <v>1.73</v>
      </c>
    </row>
    <row r="699" spans="1:5" ht="14.25">
      <c r="A699" s="37">
        <v>796</v>
      </c>
      <c r="B699" s="37" t="s">
        <v>27518</v>
      </c>
      <c r="C699" s="37" t="s">
        <v>2348</v>
      </c>
      <c r="D699" s="37" t="s">
        <v>2349</v>
      </c>
      <c r="E699" s="212">
        <v>12.06</v>
      </c>
    </row>
    <row r="700" spans="1:5" ht="14.25">
      <c r="A700" s="37">
        <v>799</v>
      </c>
      <c r="B700" s="37" t="s">
        <v>27519</v>
      </c>
      <c r="C700" s="37" t="s">
        <v>2348</v>
      </c>
      <c r="D700" s="37" t="s">
        <v>2349</v>
      </c>
      <c r="E700" s="212">
        <v>5.67</v>
      </c>
    </row>
    <row r="701" spans="1:5" ht="14.25">
      <c r="A701" s="37">
        <v>792</v>
      </c>
      <c r="B701" s="37" t="s">
        <v>27520</v>
      </c>
      <c r="C701" s="37" t="s">
        <v>2348</v>
      </c>
      <c r="D701" s="37" t="s">
        <v>2349</v>
      </c>
      <c r="E701" s="212">
        <v>5.76</v>
      </c>
    </row>
    <row r="702" spans="1:5" ht="14.25">
      <c r="A702" s="37">
        <v>804</v>
      </c>
      <c r="B702" s="37" t="s">
        <v>27521</v>
      </c>
      <c r="C702" s="37" t="s">
        <v>2348</v>
      </c>
      <c r="D702" s="37" t="s">
        <v>2349</v>
      </c>
      <c r="E702" s="212">
        <v>28.58</v>
      </c>
    </row>
    <row r="703" spans="1:5" ht="14.25">
      <c r="A703" s="37">
        <v>793</v>
      </c>
      <c r="B703" s="37" t="s">
        <v>27522</v>
      </c>
      <c r="C703" s="37" t="s">
        <v>2348</v>
      </c>
      <c r="D703" s="37" t="s">
        <v>2349</v>
      </c>
      <c r="E703" s="212">
        <v>12.27</v>
      </c>
    </row>
    <row r="704" spans="1:5" ht="14.25">
      <c r="A704" s="37">
        <v>801</v>
      </c>
      <c r="B704" s="37" t="s">
        <v>27523</v>
      </c>
      <c r="C704" s="37" t="s">
        <v>2348</v>
      </c>
      <c r="D704" s="37" t="s">
        <v>2349</v>
      </c>
      <c r="E704" s="212">
        <v>8.75</v>
      </c>
    </row>
    <row r="705" spans="1:5" ht="14.25">
      <c r="A705" s="37">
        <v>794</v>
      </c>
      <c r="B705" s="37" t="s">
        <v>27524</v>
      </c>
      <c r="C705" s="37" t="s">
        <v>2348</v>
      </c>
      <c r="D705" s="37" t="s">
        <v>2349</v>
      </c>
      <c r="E705" s="212">
        <v>9.0299999999999994</v>
      </c>
    </row>
    <row r="706" spans="1:5" ht="14.25">
      <c r="A706" s="37">
        <v>802</v>
      </c>
      <c r="B706" s="37" t="s">
        <v>27525</v>
      </c>
      <c r="C706" s="37" t="s">
        <v>2348</v>
      </c>
      <c r="D706" s="37" t="s">
        <v>2349</v>
      </c>
      <c r="E706" s="212">
        <v>25.2</v>
      </c>
    </row>
    <row r="707" spans="1:5" ht="14.25">
      <c r="A707" s="37">
        <v>803</v>
      </c>
      <c r="B707" s="37" t="s">
        <v>27526</v>
      </c>
      <c r="C707" s="37" t="s">
        <v>2348</v>
      </c>
      <c r="D707" s="37" t="s">
        <v>2349</v>
      </c>
      <c r="E707" s="212">
        <v>21.98</v>
      </c>
    </row>
    <row r="708" spans="1:5" ht="14.25">
      <c r="A708" s="37">
        <v>38001</v>
      </c>
      <c r="B708" s="37" t="s">
        <v>27527</v>
      </c>
      <c r="C708" s="37" t="s">
        <v>2348</v>
      </c>
      <c r="D708" s="37" t="s">
        <v>2349</v>
      </c>
      <c r="E708" s="212">
        <v>1.41</v>
      </c>
    </row>
    <row r="709" spans="1:5" ht="14.25">
      <c r="A709" s="37">
        <v>38002</v>
      </c>
      <c r="B709" s="37" t="s">
        <v>27528</v>
      </c>
      <c r="C709" s="37" t="s">
        <v>2348</v>
      </c>
      <c r="D709" s="37" t="s">
        <v>2349</v>
      </c>
      <c r="E709" s="212">
        <v>2.62</v>
      </c>
    </row>
    <row r="710" spans="1:5" ht="14.25">
      <c r="A710" s="37">
        <v>38003</v>
      </c>
      <c r="B710" s="37" t="s">
        <v>27529</v>
      </c>
      <c r="C710" s="37" t="s">
        <v>2348</v>
      </c>
      <c r="D710" s="37" t="s">
        <v>2349</v>
      </c>
      <c r="E710" s="212">
        <v>31.51</v>
      </c>
    </row>
    <row r="711" spans="1:5" ht="14.25">
      <c r="A711" s="37">
        <v>38004</v>
      </c>
      <c r="B711" s="37" t="s">
        <v>27530</v>
      </c>
      <c r="C711" s="37" t="s">
        <v>2348</v>
      </c>
      <c r="D711" s="37" t="s">
        <v>2349</v>
      </c>
      <c r="E711" s="212">
        <v>42.13</v>
      </c>
    </row>
    <row r="712" spans="1:5" ht="14.25">
      <c r="A712" s="37">
        <v>36327</v>
      </c>
      <c r="B712" s="37" t="s">
        <v>27531</v>
      </c>
      <c r="C712" s="37" t="s">
        <v>2348</v>
      </c>
      <c r="D712" s="37" t="s">
        <v>2351</v>
      </c>
      <c r="E712" s="212">
        <v>2.76</v>
      </c>
    </row>
    <row r="713" spans="1:5" ht="14.25">
      <c r="A713" s="37">
        <v>38992</v>
      </c>
      <c r="B713" s="37" t="s">
        <v>27532</v>
      </c>
      <c r="C713" s="37" t="s">
        <v>2348</v>
      </c>
      <c r="D713" s="37" t="s">
        <v>2351</v>
      </c>
      <c r="E713" s="212">
        <v>4.42</v>
      </c>
    </row>
    <row r="714" spans="1:5" ht="14.25">
      <c r="A714" s="37">
        <v>38993</v>
      </c>
      <c r="B714" s="37" t="s">
        <v>27533</v>
      </c>
      <c r="C714" s="37" t="s">
        <v>2348</v>
      </c>
      <c r="D714" s="37" t="s">
        <v>2351</v>
      </c>
      <c r="E714" s="212">
        <v>12.6</v>
      </c>
    </row>
    <row r="715" spans="1:5" ht="14.25">
      <c r="A715" s="37">
        <v>38418</v>
      </c>
      <c r="B715" s="37" t="s">
        <v>27534</v>
      </c>
      <c r="C715" s="37" t="s">
        <v>2348</v>
      </c>
      <c r="D715" s="37" t="s">
        <v>2349</v>
      </c>
      <c r="E715" s="212">
        <v>10.33</v>
      </c>
    </row>
    <row r="716" spans="1:5" ht="14.25">
      <c r="A716" s="37">
        <v>39178</v>
      </c>
      <c r="B716" s="37" t="s">
        <v>27535</v>
      </c>
      <c r="C716" s="37" t="s">
        <v>2348</v>
      </c>
      <c r="D716" s="37" t="s">
        <v>2349</v>
      </c>
      <c r="E716" s="212">
        <v>2.33</v>
      </c>
    </row>
    <row r="717" spans="1:5" ht="14.25">
      <c r="A717" s="37">
        <v>39177</v>
      </c>
      <c r="B717" s="37" t="s">
        <v>27536</v>
      </c>
      <c r="C717" s="37" t="s">
        <v>2348</v>
      </c>
      <c r="D717" s="37" t="s">
        <v>2349</v>
      </c>
      <c r="E717" s="212">
        <v>2.1</v>
      </c>
    </row>
    <row r="718" spans="1:5" ht="14.25">
      <c r="A718" s="37">
        <v>39174</v>
      </c>
      <c r="B718" s="37" t="s">
        <v>27537</v>
      </c>
      <c r="C718" s="37" t="s">
        <v>2348</v>
      </c>
      <c r="D718" s="37" t="s">
        <v>2349</v>
      </c>
      <c r="E718" s="212">
        <v>1.05</v>
      </c>
    </row>
    <row r="719" spans="1:5" ht="14.25">
      <c r="A719" s="37">
        <v>39176</v>
      </c>
      <c r="B719" s="37" t="s">
        <v>27538</v>
      </c>
      <c r="C719" s="37" t="s">
        <v>2348</v>
      </c>
      <c r="D719" s="37" t="s">
        <v>2349</v>
      </c>
      <c r="E719" s="212">
        <v>1.38</v>
      </c>
    </row>
    <row r="720" spans="1:5" ht="14.25">
      <c r="A720" s="37">
        <v>39180</v>
      </c>
      <c r="B720" s="37" t="s">
        <v>27539</v>
      </c>
      <c r="C720" s="37" t="s">
        <v>2348</v>
      </c>
      <c r="D720" s="37" t="s">
        <v>2349</v>
      </c>
      <c r="E720" s="212">
        <v>6.32</v>
      </c>
    </row>
    <row r="721" spans="1:5" ht="14.25">
      <c r="A721" s="37">
        <v>39179</v>
      </c>
      <c r="B721" s="37" t="s">
        <v>27540</v>
      </c>
      <c r="C721" s="37" t="s">
        <v>2348</v>
      </c>
      <c r="D721" s="37" t="s">
        <v>2349</v>
      </c>
      <c r="E721" s="212">
        <v>5.59</v>
      </c>
    </row>
    <row r="722" spans="1:5" ht="14.25">
      <c r="A722" s="37">
        <v>39175</v>
      </c>
      <c r="B722" s="37" t="s">
        <v>27541</v>
      </c>
      <c r="C722" s="37" t="s">
        <v>2348</v>
      </c>
      <c r="D722" s="37" t="s">
        <v>2349</v>
      </c>
      <c r="E722" s="212">
        <v>1.28</v>
      </c>
    </row>
    <row r="723" spans="1:5" ht="14.25">
      <c r="A723" s="37">
        <v>39217</v>
      </c>
      <c r="B723" s="37" t="s">
        <v>27542</v>
      </c>
      <c r="C723" s="37" t="s">
        <v>2348</v>
      </c>
      <c r="D723" s="37" t="s">
        <v>2349</v>
      </c>
      <c r="E723" s="212">
        <v>0.99</v>
      </c>
    </row>
    <row r="724" spans="1:5" ht="14.25">
      <c r="A724" s="37">
        <v>39181</v>
      </c>
      <c r="B724" s="37" t="s">
        <v>27543</v>
      </c>
      <c r="C724" s="37" t="s">
        <v>2348</v>
      </c>
      <c r="D724" s="37" t="s">
        <v>2349</v>
      </c>
      <c r="E724" s="212">
        <v>8.48</v>
      </c>
    </row>
    <row r="725" spans="1:5" ht="14.25">
      <c r="A725" s="37">
        <v>39182</v>
      </c>
      <c r="B725" s="37" t="s">
        <v>27544</v>
      </c>
      <c r="C725" s="37" t="s">
        <v>2348</v>
      </c>
      <c r="D725" s="37" t="s">
        <v>2349</v>
      </c>
      <c r="E725" s="212">
        <v>11.92</v>
      </c>
    </row>
    <row r="726" spans="1:5" ht="14.25">
      <c r="A726" s="37">
        <v>12616</v>
      </c>
      <c r="B726" s="37" t="s">
        <v>27545</v>
      </c>
      <c r="C726" s="37" t="s">
        <v>2348</v>
      </c>
      <c r="D726" s="37" t="s">
        <v>2351</v>
      </c>
      <c r="E726" s="212">
        <v>6.8</v>
      </c>
    </row>
    <row r="727" spans="1:5" ht="14.25">
      <c r="A727" s="37">
        <v>1049</v>
      </c>
      <c r="B727" s="37" t="s">
        <v>27546</v>
      </c>
      <c r="C727" s="37" t="s">
        <v>2348</v>
      </c>
      <c r="D727" s="37" t="s">
        <v>2349</v>
      </c>
      <c r="E727" s="212">
        <v>9.98</v>
      </c>
    </row>
    <row r="728" spans="1:5" ht="14.25">
      <c r="A728" s="37">
        <v>1099</v>
      </c>
      <c r="B728" s="37" t="s">
        <v>27547</v>
      </c>
      <c r="C728" s="37" t="s">
        <v>2348</v>
      </c>
      <c r="D728" s="37" t="s">
        <v>2349</v>
      </c>
      <c r="E728" s="212">
        <v>7.63</v>
      </c>
    </row>
    <row r="729" spans="1:5" ht="14.25">
      <c r="A729" s="37">
        <v>39678</v>
      </c>
      <c r="B729" s="37" t="s">
        <v>27548</v>
      </c>
      <c r="C729" s="37" t="s">
        <v>2348</v>
      </c>
      <c r="D729" s="37" t="s">
        <v>2349</v>
      </c>
      <c r="E729" s="212">
        <v>3.08</v>
      </c>
    </row>
    <row r="730" spans="1:5" ht="14.25">
      <c r="A730" s="37">
        <v>1050</v>
      </c>
      <c r="B730" s="37" t="s">
        <v>27549</v>
      </c>
      <c r="C730" s="37" t="s">
        <v>2348</v>
      </c>
      <c r="D730" s="37" t="s">
        <v>2349</v>
      </c>
      <c r="E730" s="212">
        <v>5.22</v>
      </c>
    </row>
    <row r="731" spans="1:5" ht="14.25">
      <c r="A731" s="37">
        <v>1101</v>
      </c>
      <c r="B731" s="37" t="s">
        <v>27550</v>
      </c>
      <c r="C731" s="37" t="s">
        <v>2348</v>
      </c>
      <c r="D731" s="37" t="s">
        <v>2349</v>
      </c>
      <c r="E731" s="212">
        <v>32.909999999999997</v>
      </c>
    </row>
    <row r="732" spans="1:5" ht="14.25">
      <c r="A732" s="37">
        <v>1100</v>
      </c>
      <c r="B732" s="37" t="s">
        <v>27551</v>
      </c>
      <c r="C732" s="37" t="s">
        <v>2348</v>
      </c>
      <c r="D732" s="37" t="s">
        <v>2349</v>
      </c>
      <c r="E732" s="212">
        <v>16.98</v>
      </c>
    </row>
    <row r="733" spans="1:5" ht="14.25">
      <c r="A733" s="37">
        <v>39679</v>
      </c>
      <c r="B733" s="37" t="s">
        <v>27552</v>
      </c>
      <c r="C733" s="37" t="s">
        <v>2348</v>
      </c>
      <c r="D733" s="37" t="s">
        <v>2349</v>
      </c>
      <c r="E733" s="212">
        <v>65.59</v>
      </c>
    </row>
    <row r="734" spans="1:5" ht="14.25">
      <c r="A734" s="37">
        <v>1098</v>
      </c>
      <c r="B734" s="37" t="s">
        <v>27553</v>
      </c>
      <c r="C734" s="37" t="s">
        <v>2348</v>
      </c>
      <c r="D734" s="37" t="s">
        <v>2349</v>
      </c>
      <c r="E734" s="212">
        <v>4.07</v>
      </c>
    </row>
    <row r="735" spans="1:5" ht="14.25">
      <c r="A735" s="37">
        <v>1102</v>
      </c>
      <c r="B735" s="37" t="s">
        <v>27554</v>
      </c>
      <c r="C735" s="37" t="s">
        <v>2348</v>
      </c>
      <c r="D735" s="37" t="s">
        <v>2349</v>
      </c>
      <c r="E735" s="212">
        <v>49.08</v>
      </c>
    </row>
    <row r="736" spans="1:5" ht="14.25">
      <c r="A736" s="37">
        <v>1051</v>
      </c>
      <c r="B736" s="37" t="s">
        <v>27555</v>
      </c>
      <c r="C736" s="37" t="s">
        <v>2348</v>
      </c>
      <c r="D736" s="37" t="s">
        <v>2349</v>
      </c>
      <c r="E736" s="212">
        <v>71.33</v>
      </c>
    </row>
    <row r="737" spans="1:5" ht="14.25">
      <c r="A737" s="37">
        <v>37399</v>
      </c>
      <c r="B737" s="37" t="s">
        <v>27556</v>
      </c>
      <c r="C737" s="37" t="s">
        <v>2348</v>
      </c>
      <c r="D737" s="37" t="s">
        <v>2349</v>
      </c>
      <c r="E737" s="212">
        <v>19.63</v>
      </c>
    </row>
    <row r="738" spans="1:5" ht="14.25">
      <c r="A738" s="37">
        <v>41955</v>
      </c>
      <c r="B738" s="37" t="s">
        <v>27557</v>
      </c>
      <c r="C738" s="37" t="s">
        <v>2356</v>
      </c>
      <c r="D738" s="37" t="s">
        <v>2349</v>
      </c>
      <c r="E738" s="212">
        <v>106.83</v>
      </c>
    </row>
    <row r="739" spans="1:5" ht="14.25">
      <c r="A739" s="37">
        <v>41953</v>
      </c>
      <c r="B739" s="37" t="s">
        <v>27558</v>
      </c>
      <c r="C739" s="37" t="s">
        <v>2356</v>
      </c>
      <c r="D739" s="37" t="s">
        <v>2349</v>
      </c>
      <c r="E739" s="212">
        <v>101.95</v>
      </c>
    </row>
    <row r="740" spans="1:5" ht="14.25">
      <c r="A740" s="37">
        <v>41954</v>
      </c>
      <c r="B740" s="37" t="s">
        <v>27559</v>
      </c>
      <c r="C740" s="37" t="s">
        <v>2356</v>
      </c>
      <c r="D740" s="37" t="s">
        <v>2349</v>
      </c>
      <c r="E740" s="212">
        <v>100.98</v>
      </c>
    </row>
    <row r="741" spans="1:5" ht="14.25">
      <c r="A741" s="37">
        <v>25004</v>
      </c>
      <c r="B741" s="37" t="s">
        <v>27560</v>
      </c>
      <c r="C741" s="37" t="s">
        <v>2356</v>
      </c>
      <c r="D741" s="37" t="s">
        <v>2349</v>
      </c>
      <c r="E741" s="212">
        <v>45.42</v>
      </c>
    </row>
    <row r="742" spans="1:5" ht="14.25">
      <c r="A742" s="37">
        <v>25002</v>
      </c>
      <c r="B742" s="37" t="s">
        <v>27561</v>
      </c>
      <c r="C742" s="37" t="s">
        <v>2356</v>
      </c>
      <c r="D742" s="37" t="s">
        <v>2349</v>
      </c>
      <c r="E742" s="212">
        <v>45.8</v>
      </c>
    </row>
    <row r="743" spans="1:5" ht="14.25">
      <c r="A743" s="37">
        <v>37409</v>
      </c>
      <c r="B743" s="37" t="s">
        <v>27562</v>
      </c>
      <c r="C743" s="37" t="s">
        <v>2356</v>
      </c>
      <c r="D743" s="37" t="s">
        <v>2349</v>
      </c>
      <c r="E743" s="212">
        <v>45.05</v>
      </c>
    </row>
    <row r="744" spans="1:5" ht="14.25">
      <c r="A744" s="37">
        <v>841</v>
      </c>
      <c r="B744" s="37" t="s">
        <v>27563</v>
      </c>
      <c r="C744" s="37" t="s">
        <v>2356</v>
      </c>
      <c r="D744" s="37" t="s">
        <v>2353</v>
      </c>
      <c r="E744" s="212">
        <v>46.53</v>
      </c>
    </row>
    <row r="745" spans="1:5" ht="14.25">
      <c r="A745" s="37">
        <v>25005</v>
      </c>
      <c r="B745" s="37" t="s">
        <v>27564</v>
      </c>
      <c r="C745" s="37" t="s">
        <v>2356</v>
      </c>
      <c r="D745" s="37" t="s">
        <v>2349</v>
      </c>
      <c r="E745" s="212">
        <v>51.02</v>
      </c>
    </row>
    <row r="746" spans="1:5" ht="14.25">
      <c r="A746" s="37">
        <v>25003</v>
      </c>
      <c r="B746" s="37" t="s">
        <v>27565</v>
      </c>
      <c r="C746" s="37" t="s">
        <v>2356</v>
      </c>
      <c r="D746" s="37" t="s">
        <v>2349</v>
      </c>
      <c r="E746" s="212">
        <v>54.5</v>
      </c>
    </row>
    <row r="747" spans="1:5" ht="14.25">
      <c r="A747" s="37">
        <v>37410</v>
      </c>
      <c r="B747" s="37" t="s">
        <v>27566</v>
      </c>
      <c r="C747" s="37" t="s">
        <v>2356</v>
      </c>
      <c r="D747" s="37" t="s">
        <v>2349</v>
      </c>
      <c r="E747" s="212">
        <v>51.02</v>
      </c>
    </row>
    <row r="748" spans="1:5" ht="14.25">
      <c r="A748" s="37">
        <v>842</v>
      </c>
      <c r="B748" s="37" t="s">
        <v>27567</v>
      </c>
      <c r="C748" s="37" t="s">
        <v>2356</v>
      </c>
      <c r="D748" s="37" t="s">
        <v>2349</v>
      </c>
      <c r="E748" s="212">
        <v>57.4</v>
      </c>
    </row>
    <row r="749" spans="1:5" ht="14.25">
      <c r="A749" s="37">
        <v>862</v>
      </c>
      <c r="B749" s="37" t="s">
        <v>27568</v>
      </c>
      <c r="C749" s="37" t="s">
        <v>2355</v>
      </c>
      <c r="D749" s="37" t="s">
        <v>2349</v>
      </c>
      <c r="E749" s="212">
        <v>10.47</v>
      </c>
    </row>
    <row r="750" spans="1:5" ht="14.25">
      <c r="A750" s="37">
        <v>866</v>
      </c>
      <c r="B750" s="37" t="s">
        <v>27569</v>
      </c>
      <c r="C750" s="37" t="s">
        <v>2355</v>
      </c>
      <c r="D750" s="37" t="s">
        <v>2349</v>
      </c>
      <c r="E750" s="212">
        <v>128.77000000000001</v>
      </c>
    </row>
    <row r="751" spans="1:5" ht="14.25">
      <c r="A751" s="37">
        <v>892</v>
      </c>
      <c r="B751" s="37" t="s">
        <v>27570</v>
      </c>
      <c r="C751" s="37" t="s">
        <v>2355</v>
      </c>
      <c r="D751" s="37" t="s">
        <v>2349</v>
      </c>
      <c r="E751" s="212">
        <v>163.75</v>
      </c>
    </row>
    <row r="752" spans="1:5" ht="14.25">
      <c r="A752" s="37">
        <v>857</v>
      </c>
      <c r="B752" s="37" t="s">
        <v>27571</v>
      </c>
      <c r="C752" s="37" t="s">
        <v>2355</v>
      </c>
      <c r="D752" s="37" t="s">
        <v>2353</v>
      </c>
      <c r="E752" s="212">
        <v>16.670000000000002</v>
      </c>
    </row>
    <row r="753" spans="1:5" ht="14.25">
      <c r="A753" s="37">
        <v>37404</v>
      </c>
      <c r="B753" s="37" t="s">
        <v>27572</v>
      </c>
      <c r="C753" s="37" t="s">
        <v>2355</v>
      </c>
      <c r="D753" s="37" t="s">
        <v>2349</v>
      </c>
      <c r="E753" s="212">
        <v>196.91</v>
      </c>
    </row>
    <row r="754" spans="1:5" ht="14.25">
      <c r="A754" s="37">
        <v>868</v>
      </c>
      <c r="B754" s="37" t="s">
        <v>27573</v>
      </c>
      <c r="C754" s="37" t="s">
        <v>2355</v>
      </c>
      <c r="D754" s="37" t="s">
        <v>2349</v>
      </c>
      <c r="E754" s="212">
        <v>25.74</v>
      </c>
    </row>
    <row r="755" spans="1:5" ht="14.25">
      <c r="A755" s="37">
        <v>870</v>
      </c>
      <c r="B755" s="37" t="s">
        <v>27574</v>
      </c>
      <c r="C755" s="37" t="s">
        <v>2355</v>
      </c>
      <c r="D755" s="37" t="s">
        <v>2349</v>
      </c>
      <c r="E755" s="212">
        <v>339.31</v>
      </c>
    </row>
    <row r="756" spans="1:5" ht="14.25">
      <c r="A756" s="37">
        <v>863</v>
      </c>
      <c r="B756" s="37" t="s">
        <v>27575</v>
      </c>
      <c r="C756" s="37" t="s">
        <v>2355</v>
      </c>
      <c r="D756" s="37" t="s">
        <v>2349</v>
      </c>
      <c r="E756" s="212">
        <v>35.57</v>
      </c>
    </row>
    <row r="757" spans="1:5" ht="14.25">
      <c r="A757" s="37">
        <v>867</v>
      </c>
      <c r="B757" s="37" t="s">
        <v>27576</v>
      </c>
      <c r="C757" s="37" t="s">
        <v>2355</v>
      </c>
      <c r="D757" s="37" t="s">
        <v>2349</v>
      </c>
      <c r="E757" s="212">
        <v>49.54</v>
      </c>
    </row>
    <row r="758" spans="1:5" ht="14.25">
      <c r="A758" s="37">
        <v>891</v>
      </c>
      <c r="B758" s="37" t="s">
        <v>27577</v>
      </c>
      <c r="C758" s="37" t="s">
        <v>2355</v>
      </c>
      <c r="D758" s="37" t="s">
        <v>2349</v>
      </c>
      <c r="E758" s="212">
        <v>569.83000000000004</v>
      </c>
    </row>
    <row r="759" spans="1:5" ht="14.25">
      <c r="A759" s="37">
        <v>864</v>
      </c>
      <c r="B759" s="37" t="s">
        <v>27578</v>
      </c>
      <c r="C759" s="37" t="s">
        <v>2355</v>
      </c>
      <c r="D759" s="37" t="s">
        <v>2349</v>
      </c>
      <c r="E759" s="212">
        <v>69.790000000000006</v>
      </c>
    </row>
    <row r="760" spans="1:5" ht="14.25">
      <c r="A760" s="37">
        <v>865</v>
      </c>
      <c r="B760" s="37" t="s">
        <v>27579</v>
      </c>
      <c r="C760" s="37" t="s">
        <v>2355</v>
      </c>
      <c r="D760" s="37" t="s">
        <v>2349</v>
      </c>
      <c r="E760" s="212">
        <v>98.3</v>
      </c>
    </row>
    <row r="761" spans="1:5" ht="14.25">
      <c r="A761" s="37">
        <v>1006</v>
      </c>
      <c r="B761" s="37" t="s">
        <v>27580</v>
      </c>
      <c r="C761" s="37" t="s">
        <v>2355</v>
      </c>
      <c r="D761" s="37" t="s">
        <v>2349</v>
      </c>
      <c r="E761" s="212">
        <v>115.12</v>
      </c>
    </row>
    <row r="762" spans="1:5" ht="14.25">
      <c r="A762" s="37">
        <v>948</v>
      </c>
      <c r="B762" s="37" t="s">
        <v>27581</v>
      </c>
      <c r="C762" s="37" t="s">
        <v>2355</v>
      </c>
      <c r="D762" s="37" t="s">
        <v>2349</v>
      </c>
      <c r="E762" s="212">
        <v>59.95</v>
      </c>
    </row>
    <row r="763" spans="1:5" ht="14.25">
      <c r="A763" s="37">
        <v>947</v>
      </c>
      <c r="B763" s="37" t="s">
        <v>27582</v>
      </c>
      <c r="C763" s="37" t="s">
        <v>2355</v>
      </c>
      <c r="D763" s="37" t="s">
        <v>2349</v>
      </c>
      <c r="E763" s="212">
        <v>60.98</v>
      </c>
    </row>
    <row r="764" spans="1:5" ht="14.25">
      <c r="A764" s="37">
        <v>911</v>
      </c>
      <c r="B764" s="37" t="s">
        <v>27583</v>
      </c>
      <c r="C764" s="37" t="s">
        <v>2355</v>
      </c>
      <c r="D764" s="37" t="s">
        <v>2349</v>
      </c>
      <c r="E764" s="212">
        <v>88.68</v>
      </c>
    </row>
    <row r="765" spans="1:5" ht="14.25">
      <c r="A765" s="37">
        <v>925</v>
      </c>
      <c r="B765" s="37" t="s">
        <v>27584</v>
      </c>
      <c r="C765" s="37" t="s">
        <v>2355</v>
      </c>
      <c r="D765" s="37" t="s">
        <v>2349</v>
      </c>
      <c r="E765" s="212">
        <v>81.96</v>
      </c>
    </row>
    <row r="766" spans="1:5" ht="14.25">
      <c r="A766" s="37">
        <v>954</v>
      </c>
      <c r="B766" s="37" t="s">
        <v>27585</v>
      </c>
      <c r="C766" s="37" t="s">
        <v>2355</v>
      </c>
      <c r="D766" s="37" t="s">
        <v>2349</v>
      </c>
      <c r="E766" s="212">
        <v>90.55</v>
      </c>
    </row>
    <row r="767" spans="1:5" ht="14.25">
      <c r="A767" s="37">
        <v>901</v>
      </c>
      <c r="B767" s="37" t="s">
        <v>27586</v>
      </c>
      <c r="C767" s="37" t="s">
        <v>2355</v>
      </c>
      <c r="D767" s="37" t="s">
        <v>2349</v>
      </c>
      <c r="E767" s="212">
        <v>96.9</v>
      </c>
    </row>
    <row r="768" spans="1:5" ht="14.25">
      <c r="A768" s="37">
        <v>926</v>
      </c>
      <c r="B768" s="37" t="s">
        <v>27587</v>
      </c>
      <c r="C768" s="37" t="s">
        <v>2355</v>
      </c>
      <c r="D768" s="37" t="s">
        <v>2349</v>
      </c>
      <c r="E768" s="212">
        <v>102.41</v>
      </c>
    </row>
    <row r="769" spans="1:5" ht="14.25">
      <c r="A769" s="37">
        <v>912</v>
      </c>
      <c r="B769" s="37" t="s">
        <v>27588</v>
      </c>
      <c r="C769" s="37" t="s">
        <v>2355</v>
      </c>
      <c r="D769" s="37" t="s">
        <v>2349</v>
      </c>
      <c r="E769" s="212">
        <v>103.04</v>
      </c>
    </row>
    <row r="770" spans="1:5" ht="14.25">
      <c r="A770" s="37">
        <v>955</v>
      </c>
      <c r="B770" s="37" t="s">
        <v>27589</v>
      </c>
      <c r="C770" s="37" t="s">
        <v>2355</v>
      </c>
      <c r="D770" s="37" t="s">
        <v>2349</v>
      </c>
      <c r="E770" s="212">
        <v>122.99</v>
      </c>
    </row>
    <row r="771" spans="1:5" ht="14.25">
      <c r="A771" s="37">
        <v>946</v>
      </c>
      <c r="B771" s="37" t="s">
        <v>27590</v>
      </c>
      <c r="C771" s="37" t="s">
        <v>2355</v>
      </c>
      <c r="D771" s="37" t="s">
        <v>2349</v>
      </c>
      <c r="E771" s="212">
        <v>138.28</v>
      </c>
    </row>
    <row r="772" spans="1:5" ht="14.25">
      <c r="A772" s="37">
        <v>953</v>
      </c>
      <c r="B772" s="37" t="s">
        <v>27591</v>
      </c>
      <c r="C772" s="37" t="s">
        <v>2355</v>
      </c>
      <c r="D772" s="37" t="s">
        <v>2349</v>
      </c>
      <c r="E772" s="212">
        <v>125.83</v>
      </c>
    </row>
    <row r="773" spans="1:5" ht="14.25">
      <c r="A773" s="37">
        <v>902</v>
      </c>
      <c r="B773" s="37" t="s">
        <v>27592</v>
      </c>
      <c r="C773" s="37" t="s">
        <v>2355</v>
      </c>
      <c r="D773" s="37" t="s">
        <v>2349</v>
      </c>
      <c r="E773" s="212">
        <v>152.97</v>
      </c>
    </row>
    <row r="774" spans="1:5" ht="14.25">
      <c r="A774" s="37">
        <v>927</v>
      </c>
      <c r="B774" s="37" t="s">
        <v>27593</v>
      </c>
      <c r="C774" s="37" t="s">
        <v>2355</v>
      </c>
      <c r="D774" s="37" t="s">
        <v>2349</v>
      </c>
      <c r="E774" s="212">
        <v>148.27000000000001</v>
      </c>
    </row>
    <row r="775" spans="1:5" ht="14.25">
      <c r="A775" s="37">
        <v>913</v>
      </c>
      <c r="B775" s="37" t="s">
        <v>27594</v>
      </c>
      <c r="C775" s="37" t="s">
        <v>2355</v>
      </c>
      <c r="D775" s="37" t="s">
        <v>2349</v>
      </c>
      <c r="E775" s="212">
        <v>165.49</v>
      </c>
    </row>
    <row r="776" spans="1:5" ht="14.25">
      <c r="A776" s="37">
        <v>903</v>
      </c>
      <c r="B776" s="37" t="s">
        <v>27595</v>
      </c>
      <c r="C776" s="37" t="s">
        <v>2355</v>
      </c>
      <c r="D776" s="37" t="s">
        <v>2349</v>
      </c>
      <c r="E776" s="212">
        <v>187.28</v>
      </c>
    </row>
    <row r="777" spans="1:5" ht="14.25">
      <c r="A777" s="37">
        <v>945</v>
      </c>
      <c r="B777" s="37" t="s">
        <v>27596</v>
      </c>
      <c r="C777" s="37" t="s">
        <v>2355</v>
      </c>
      <c r="D777" s="37" t="s">
        <v>2349</v>
      </c>
      <c r="E777" s="212">
        <v>198.12</v>
      </c>
    </row>
    <row r="778" spans="1:5" ht="14.25">
      <c r="A778" s="37">
        <v>914</v>
      </c>
      <c r="B778" s="37" t="s">
        <v>27597</v>
      </c>
      <c r="C778" s="37" t="s">
        <v>2355</v>
      </c>
      <c r="D778" s="37" t="s">
        <v>2349</v>
      </c>
      <c r="E778" s="212">
        <v>202.96</v>
      </c>
    </row>
    <row r="779" spans="1:5" ht="14.25">
      <c r="A779" s="37">
        <v>993</v>
      </c>
      <c r="B779" s="37" t="s">
        <v>27598</v>
      </c>
      <c r="C779" s="37" t="s">
        <v>2355</v>
      </c>
      <c r="D779" s="37" t="s">
        <v>2349</v>
      </c>
      <c r="E779" s="212">
        <v>2.48</v>
      </c>
    </row>
    <row r="780" spans="1:5" ht="14.25">
      <c r="A780" s="37">
        <v>1020</v>
      </c>
      <c r="B780" s="37" t="s">
        <v>27599</v>
      </c>
      <c r="C780" s="37" t="s">
        <v>2355</v>
      </c>
      <c r="D780" s="37" t="s">
        <v>2349</v>
      </c>
      <c r="E780" s="212">
        <v>10.79</v>
      </c>
    </row>
    <row r="781" spans="1:5" ht="14.25">
      <c r="A781" s="37">
        <v>1017</v>
      </c>
      <c r="B781" s="37" t="s">
        <v>27600</v>
      </c>
      <c r="C781" s="37" t="s">
        <v>2355</v>
      </c>
      <c r="D781" s="37" t="s">
        <v>2349</v>
      </c>
      <c r="E781" s="212">
        <v>118.6</v>
      </c>
    </row>
    <row r="782" spans="1:5" ht="14.25">
      <c r="A782" s="37">
        <v>999</v>
      </c>
      <c r="B782" s="37" t="s">
        <v>27601</v>
      </c>
      <c r="C782" s="37" t="s">
        <v>2355</v>
      </c>
      <c r="D782" s="37" t="s">
        <v>2349</v>
      </c>
      <c r="E782" s="212">
        <v>146.94999999999999</v>
      </c>
    </row>
    <row r="783" spans="1:5" ht="14.25">
      <c r="A783" s="37">
        <v>995</v>
      </c>
      <c r="B783" s="37" t="s">
        <v>27602</v>
      </c>
      <c r="C783" s="37" t="s">
        <v>2355</v>
      </c>
      <c r="D783" s="37" t="s">
        <v>2349</v>
      </c>
      <c r="E783" s="212">
        <v>16.55</v>
      </c>
    </row>
    <row r="784" spans="1:5" ht="14.25">
      <c r="A784" s="37">
        <v>1000</v>
      </c>
      <c r="B784" s="37" t="s">
        <v>27603</v>
      </c>
      <c r="C784" s="37" t="s">
        <v>2355</v>
      </c>
      <c r="D784" s="37" t="s">
        <v>2349</v>
      </c>
      <c r="E784" s="212">
        <v>180.13</v>
      </c>
    </row>
    <row r="785" spans="1:5" ht="14.25">
      <c r="A785" s="37">
        <v>1022</v>
      </c>
      <c r="B785" s="37" t="s">
        <v>27604</v>
      </c>
      <c r="C785" s="37" t="s">
        <v>2355</v>
      </c>
      <c r="D785" s="37" t="s">
        <v>2349</v>
      </c>
      <c r="E785" s="212">
        <v>3.44</v>
      </c>
    </row>
    <row r="786" spans="1:5" ht="14.25">
      <c r="A786" s="37">
        <v>1015</v>
      </c>
      <c r="B786" s="37" t="s">
        <v>27605</v>
      </c>
      <c r="C786" s="37" t="s">
        <v>2355</v>
      </c>
      <c r="D786" s="37" t="s">
        <v>2349</v>
      </c>
      <c r="E786" s="212">
        <v>237.2</v>
      </c>
    </row>
    <row r="787" spans="1:5" ht="14.25">
      <c r="A787" s="37">
        <v>996</v>
      </c>
      <c r="B787" s="37" t="s">
        <v>27606</v>
      </c>
      <c r="C787" s="37" t="s">
        <v>2355</v>
      </c>
      <c r="D787" s="37" t="s">
        <v>2349</v>
      </c>
      <c r="E787" s="212">
        <v>25.2</v>
      </c>
    </row>
    <row r="788" spans="1:5" ht="14.25">
      <c r="A788" s="37">
        <v>1001</v>
      </c>
      <c r="B788" s="37" t="s">
        <v>27607</v>
      </c>
      <c r="C788" s="37" t="s">
        <v>2355</v>
      </c>
      <c r="D788" s="37" t="s">
        <v>2349</v>
      </c>
      <c r="E788" s="212">
        <v>296.83999999999997</v>
      </c>
    </row>
    <row r="789" spans="1:5" ht="14.25">
      <c r="A789" s="37">
        <v>1019</v>
      </c>
      <c r="B789" s="37" t="s">
        <v>27608</v>
      </c>
      <c r="C789" s="37" t="s">
        <v>2355</v>
      </c>
      <c r="D789" s="37" t="s">
        <v>2349</v>
      </c>
      <c r="E789" s="212">
        <v>34.74</v>
      </c>
    </row>
    <row r="790" spans="1:5" ht="14.25">
      <c r="A790" s="37">
        <v>1021</v>
      </c>
      <c r="B790" s="37" t="s">
        <v>27609</v>
      </c>
      <c r="C790" s="37" t="s">
        <v>2355</v>
      </c>
      <c r="D790" s="37" t="s">
        <v>2349</v>
      </c>
      <c r="E790" s="212">
        <v>4.93</v>
      </c>
    </row>
    <row r="791" spans="1:5" ht="14.25">
      <c r="A791" s="37">
        <v>39249</v>
      </c>
      <c r="B791" s="37" t="s">
        <v>27610</v>
      </c>
      <c r="C791" s="37" t="s">
        <v>2355</v>
      </c>
      <c r="D791" s="37" t="s">
        <v>2349</v>
      </c>
      <c r="E791" s="212">
        <v>387.23</v>
      </c>
    </row>
    <row r="792" spans="1:5" ht="14.25">
      <c r="A792" s="37">
        <v>1018</v>
      </c>
      <c r="B792" s="37" t="s">
        <v>27611</v>
      </c>
      <c r="C792" s="37" t="s">
        <v>2355</v>
      </c>
      <c r="D792" s="37" t="s">
        <v>2349</v>
      </c>
      <c r="E792" s="212">
        <v>49.51</v>
      </c>
    </row>
    <row r="793" spans="1:5" ht="14.25">
      <c r="A793" s="37">
        <v>39250</v>
      </c>
      <c r="B793" s="37" t="s">
        <v>27612</v>
      </c>
      <c r="C793" s="37" t="s">
        <v>2355</v>
      </c>
      <c r="D793" s="37" t="s">
        <v>2349</v>
      </c>
      <c r="E793" s="212">
        <v>497.43</v>
      </c>
    </row>
    <row r="794" spans="1:5" ht="14.25">
      <c r="A794" s="37">
        <v>994</v>
      </c>
      <c r="B794" s="37" t="s">
        <v>27613</v>
      </c>
      <c r="C794" s="37" t="s">
        <v>2355</v>
      </c>
      <c r="D794" s="37" t="s">
        <v>2349</v>
      </c>
      <c r="E794" s="212">
        <v>6.73</v>
      </c>
    </row>
    <row r="795" spans="1:5" ht="14.25">
      <c r="A795" s="37">
        <v>977</v>
      </c>
      <c r="B795" s="37" t="s">
        <v>27614</v>
      </c>
      <c r="C795" s="37" t="s">
        <v>2355</v>
      </c>
      <c r="D795" s="37" t="s">
        <v>2349</v>
      </c>
      <c r="E795" s="212">
        <v>68.59</v>
      </c>
    </row>
    <row r="796" spans="1:5" ht="14.25">
      <c r="A796" s="37">
        <v>998</v>
      </c>
      <c r="B796" s="37" t="s">
        <v>27615</v>
      </c>
      <c r="C796" s="37" t="s">
        <v>2355</v>
      </c>
      <c r="D796" s="37" t="s">
        <v>2349</v>
      </c>
      <c r="E796" s="212">
        <v>91.11</v>
      </c>
    </row>
    <row r="797" spans="1:5" ht="14.25">
      <c r="A797" s="37">
        <v>39251</v>
      </c>
      <c r="B797" s="37" t="s">
        <v>27616</v>
      </c>
      <c r="C797" s="37" t="s">
        <v>2355</v>
      </c>
      <c r="D797" s="37" t="s">
        <v>2349</v>
      </c>
      <c r="E797" s="212">
        <v>0.66</v>
      </c>
    </row>
    <row r="798" spans="1:5" ht="14.25">
      <c r="A798" s="37">
        <v>1011</v>
      </c>
      <c r="B798" s="37" t="s">
        <v>27617</v>
      </c>
      <c r="C798" s="37" t="s">
        <v>2355</v>
      </c>
      <c r="D798" s="37" t="s">
        <v>2349</v>
      </c>
      <c r="E798" s="212">
        <v>0.91</v>
      </c>
    </row>
    <row r="799" spans="1:5" ht="14.25">
      <c r="A799" s="37">
        <v>39252</v>
      </c>
      <c r="B799" s="37" t="s">
        <v>27618</v>
      </c>
      <c r="C799" s="37" t="s">
        <v>2355</v>
      </c>
      <c r="D799" s="37" t="s">
        <v>2349</v>
      </c>
      <c r="E799" s="212">
        <v>1.0900000000000001</v>
      </c>
    </row>
    <row r="800" spans="1:5" ht="14.25">
      <c r="A800" s="37">
        <v>1013</v>
      </c>
      <c r="B800" s="37" t="s">
        <v>27619</v>
      </c>
      <c r="C800" s="37" t="s">
        <v>2355</v>
      </c>
      <c r="D800" s="37" t="s">
        <v>2349</v>
      </c>
      <c r="E800" s="212">
        <v>1.45</v>
      </c>
    </row>
    <row r="801" spans="1:5" ht="14.25">
      <c r="A801" s="37">
        <v>980</v>
      </c>
      <c r="B801" s="37" t="s">
        <v>27620</v>
      </c>
      <c r="C801" s="37" t="s">
        <v>2355</v>
      </c>
      <c r="D801" s="37" t="s">
        <v>2349</v>
      </c>
      <c r="E801" s="212">
        <v>9.9</v>
      </c>
    </row>
    <row r="802" spans="1:5" ht="14.25">
      <c r="A802" s="37">
        <v>39237</v>
      </c>
      <c r="B802" s="37" t="s">
        <v>27621</v>
      </c>
      <c r="C802" s="37" t="s">
        <v>2355</v>
      </c>
      <c r="D802" s="37" t="s">
        <v>2349</v>
      </c>
      <c r="E802" s="212">
        <v>117.35</v>
      </c>
    </row>
    <row r="803" spans="1:5" ht="14.25">
      <c r="A803" s="37">
        <v>39238</v>
      </c>
      <c r="B803" s="37" t="s">
        <v>27622</v>
      </c>
      <c r="C803" s="37" t="s">
        <v>2355</v>
      </c>
      <c r="D803" s="37" t="s">
        <v>2349</v>
      </c>
      <c r="E803" s="212">
        <v>146.52000000000001</v>
      </c>
    </row>
    <row r="804" spans="1:5" ht="14.25">
      <c r="A804" s="37">
        <v>979</v>
      </c>
      <c r="B804" s="37" t="s">
        <v>27623</v>
      </c>
      <c r="C804" s="37" t="s">
        <v>2355</v>
      </c>
      <c r="D804" s="37" t="s">
        <v>2349</v>
      </c>
      <c r="E804" s="212">
        <v>15.25</v>
      </c>
    </row>
    <row r="805" spans="1:5" ht="14.25">
      <c r="A805" s="37">
        <v>39239</v>
      </c>
      <c r="B805" s="37" t="s">
        <v>27624</v>
      </c>
      <c r="C805" s="37" t="s">
        <v>2355</v>
      </c>
      <c r="D805" s="37" t="s">
        <v>2349</v>
      </c>
      <c r="E805" s="212">
        <v>178.31</v>
      </c>
    </row>
    <row r="806" spans="1:5" ht="14.25">
      <c r="A806" s="37">
        <v>1014</v>
      </c>
      <c r="B806" s="37" t="s">
        <v>27625</v>
      </c>
      <c r="C806" s="37" t="s">
        <v>2355</v>
      </c>
      <c r="D806" s="37" t="s">
        <v>2349</v>
      </c>
      <c r="E806" s="212">
        <v>2.31</v>
      </c>
    </row>
    <row r="807" spans="1:5" ht="14.25">
      <c r="A807" s="37">
        <v>39240</v>
      </c>
      <c r="B807" s="37" t="s">
        <v>27626</v>
      </c>
      <c r="C807" s="37" t="s">
        <v>2355</v>
      </c>
      <c r="D807" s="37" t="s">
        <v>2349</v>
      </c>
      <c r="E807" s="212">
        <v>235.67</v>
      </c>
    </row>
    <row r="808" spans="1:5" ht="14.25">
      <c r="A808" s="37">
        <v>39232</v>
      </c>
      <c r="B808" s="37" t="s">
        <v>27627</v>
      </c>
      <c r="C808" s="37" t="s">
        <v>2355</v>
      </c>
      <c r="D808" s="37" t="s">
        <v>2349</v>
      </c>
      <c r="E808" s="212">
        <v>24.47</v>
      </c>
    </row>
    <row r="809" spans="1:5" ht="14.25">
      <c r="A809" s="37">
        <v>39233</v>
      </c>
      <c r="B809" s="37" t="s">
        <v>27628</v>
      </c>
      <c r="C809" s="37" t="s">
        <v>2355</v>
      </c>
      <c r="D809" s="37" t="s">
        <v>2349</v>
      </c>
      <c r="E809" s="212">
        <v>33.64</v>
      </c>
    </row>
    <row r="810" spans="1:5" ht="14.25">
      <c r="A810" s="37">
        <v>981</v>
      </c>
      <c r="B810" s="37" t="s">
        <v>27629</v>
      </c>
      <c r="C810" s="37" t="s">
        <v>2355</v>
      </c>
      <c r="D810" s="37" t="s">
        <v>2353</v>
      </c>
      <c r="E810" s="212">
        <v>4.1399999999999997</v>
      </c>
    </row>
    <row r="811" spans="1:5" ht="14.25">
      <c r="A811" s="37">
        <v>39234</v>
      </c>
      <c r="B811" s="37" t="s">
        <v>27630</v>
      </c>
      <c r="C811" s="37" t="s">
        <v>2355</v>
      </c>
      <c r="D811" s="37" t="s">
        <v>2349</v>
      </c>
      <c r="E811" s="212">
        <v>49.38</v>
      </c>
    </row>
    <row r="812" spans="1:5" ht="14.25">
      <c r="A812" s="37">
        <v>982</v>
      </c>
      <c r="B812" s="37" t="s">
        <v>27631</v>
      </c>
      <c r="C812" s="37" t="s">
        <v>2355</v>
      </c>
      <c r="D812" s="37" t="s">
        <v>2349</v>
      </c>
      <c r="E812" s="212">
        <v>5.79</v>
      </c>
    </row>
    <row r="813" spans="1:5" ht="14.25">
      <c r="A813" s="37">
        <v>39235</v>
      </c>
      <c r="B813" s="37" t="s">
        <v>27632</v>
      </c>
      <c r="C813" s="37" t="s">
        <v>2355</v>
      </c>
      <c r="D813" s="37" t="s">
        <v>2349</v>
      </c>
      <c r="E813" s="212">
        <v>69.45</v>
      </c>
    </row>
    <row r="814" spans="1:5" ht="14.25">
      <c r="A814" s="37">
        <v>39236</v>
      </c>
      <c r="B814" s="37" t="s">
        <v>27633</v>
      </c>
      <c r="C814" s="37" t="s">
        <v>2355</v>
      </c>
      <c r="D814" s="37" t="s">
        <v>2349</v>
      </c>
      <c r="E814" s="212">
        <v>91.04</v>
      </c>
    </row>
    <row r="815" spans="1:5" ht="14.25">
      <c r="A815" s="37">
        <v>876</v>
      </c>
      <c r="B815" s="37" t="s">
        <v>27634</v>
      </c>
      <c r="C815" s="37" t="s">
        <v>2355</v>
      </c>
      <c r="D815" s="37" t="s">
        <v>2349</v>
      </c>
      <c r="E815" s="212">
        <v>235.01</v>
      </c>
    </row>
    <row r="816" spans="1:5" ht="14.25">
      <c r="A816" s="37">
        <v>877</v>
      </c>
      <c r="B816" s="37" t="s">
        <v>27635</v>
      </c>
      <c r="C816" s="37" t="s">
        <v>2355</v>
      </c>
      <c r="D816" s="37" t="s">
        <v>2349</v>
      </c>
      <c r="E816" s="212">
        <v>276.27999999999997</v>
      </c>
    </row>
    <row r="817" spans="1:5" ht="14.25">
      <c r="A817" s="37">
        <v>882</v>
      </c>
      <c r="B817" s="37" t="s">
        <v>27636</v>
      </c>
      <c r="C817" s="37" t="s">
        <v>2355</v>
      </c>
      <c r="D817" s="37" t="s">
        <v>2349</v>
      </c>
      <c r="E817" s="212">
        <v>301.05</v>
      </c>
    </row>
    <row r="818" spans="1:5" ht="14.25">
      <c r="A818" s="37">
        <v>878</v>
      </c>
      <c r="B818" s="37" t="s">
        <v>27637</v>
      </c>
      <c r="C818" s="37" t="s">
        <v>2355</v>
      </c>
      <c r="D818" s="37" t="s">
        <v>2349</v>
      </c>
      <c r="E818" s="212">
        <v>374.28</v>
      </c>
    </row>
    <row r="819" spans="1:5" ht="14.25">
      <c r="A819" s="37">
        <v>879</v>
      </c>
      <c r="B819" s="37" t="s">
        <v>27638</v>
      </c>
      <c r="C819" s="37" t="s">
        <v>2355</v>
      </c>
      <c r="D819" s="37" t="s">
        <v>2349</v>
      </c>
      <c r="E819" s="212">
        <v>441.15</v>
      </c>
    </row>
    <row r="820" spans="1:5" ht="14.25">
      <c r="A820" s="37">
        <v>880</v>
      </c>
      <c r="B820" s="37" t="s">
        <v>27639</v>
      </c>
      <c r="C820" s="37" t="s">
        <v>2355</v>
      </c>
      <c r="D820" s="37" t="s">
        <v>2349</v>
      </c>
      <c r="E820" s="212">
        <v>519.05999999999995</v>
      </c>
    </row>
    <row r="821" spans="1:5" ht="14.25">
      <c r="A821" s="37">
        <v>873</v>
      </c>
      <c r="B821" s="37" t="s">
        <v>27640</v>
      </c>
      <c r="C821" s="37" t="s">
        <v>2355</v>
      </c>
      <c r="D821" s="37" t="s">
        <v>2349</v>
      </c>
      <c r="E821" s="212">
        <v>157.83000000000001</v>
      </c>
    </row>
    <row r="822" spans="1:5" ht="14.25">
      <c r="A822" s="37">
        <v>881</v>
      </c>
      <c r="B822" s="37" t="s">
        <v>27641</v>
      </c>
      <c r="C822" s="37" t="s">
        <v>2355</v>
      </c>
      <c r="D822" s="37" t="s">
        <v>2349</v>
      </c>
      <c r="E822" s="212">
        <v>709.46</v>
      </c>
    </row>
    <row r="823" spans="1:5" ht="14.25">
      <c r="A823" s="37">
        <v>874</v>
      </c>
      <c r="B823" s="37" t="s">
        <v>27642</v>
      </c>
      <c r="C823" s="37" t="s">
        <v>2355</v>
      </c>
      <c r="D823" s="37" t="s">
        <v>2349</v>
      </c>
      <c r="E823" s="212">
        <v>187.3</v>
      </c>
    </row>
    <row r="824" spans="1:5" ht="14.25">
      <c r="A824" s="37">
        <v>875</v>
      </c>
      <c r="B824" s="37" t="s">
        <v>27643</v>
      </c>
      <c r="C824" s="37" t="s">
        <v>2355</v>
      </c>
      <c r="D824" s="37" t="s">
        <v>2349</v>
      </c>
      <c r="E824" s="212">
        <v>223.47</v>
      </c>
    </row>
    <row r="825" spans="1:5" ht="14.25">
      <c r="A825" s="37">
        <v>983</v>
      </c>
      <c r="B825" s="37" t="s">
        <v>27644</v>
      </c>
      <c r="C825" s="37" t="s">
        <v>2355</v>
      </c>
      <c r="D825" s="37" t="s">
        <v>2349</v>
      </c>
      <c r="E825" s="212">
        <v>1.4</v>
      </c>
    </row>
    <row r="826" spans="1:5" ht="14.25">
      <c r="A826" s="37">
        <v>985</v>
      </c>
      <c r="B826" s="37" t="s">
        <v>27645</v>
      </c>
      <c r="C826" s="37" t="s">
        <v>2355</v>
      </c>
      <c r="D826" s="37" t="s">
        <v>2349</v>
      </c>
      <c r="E826" s="212">
        <v>10.49</v>
      </c>
    </row>
    <row r="827" spans="1:5" ht="14.25">
      <c r="A827" s="37">
        <v>990</v>
      </c>
      <c r="B827" s="37" t="s">
        <v>27646</v>
      </c>
      <c r="C827" s="37" t="s">
        <v>2355</v>
      </c>
      <c r="D827" s="37" t="s">
        <v>2349</v>
      </c>
      <c r="E827" s="212">
        <v>143.66</v>
      </c>
    </row>
    <row r="828" spans="1:5" ht="14.25">
      <c r="A828" s="37">
        <v>39241</v>
      </c>
      <c r="B828" s="37" t="s">
        <v>27647</v>
      </c>
      <c r="C828" s="37" t="s">
        <v>2355</v>
      </c>
      <c r="D828" s="37" t="s">
        <v>2349</v>
      </c>
      <c r="E828" s="212">
        <v>16.420000000000002</v>
      </c>
    </row>
    <row r="829" spans="1:5" ht="14.25">
      <c r="A829" s="37">
        <v>1005</v>
      </c>
      <c r="B829" s="37" t="s">
        <v>27648</v>
      </c>
      <c r="C829" s="37" t="s">
        <v>2355</v>
      </c>
      <c r="D829" s="37" t="s">
        <v>2349</v>
      </c>
      <c r="E829" s="212">
        <v>176.32</v>
      </c>
    </row>
    <row r="830" spans="1:5" ht="14.25">
      <c r="A830" s="37">
        <v>984</v>
      </c>
      <c r="B830" s="37" t="s">
        <v>27649</v>
      </c>
      <c r="C830" s="37" t="s">
        <v>2355</v>
      </c>
      <c r="D830" s="37" t="s">
        <v>2349</v>
      </c>
      <c r="E830" s="212">
        <v>3.62</v>
      </c>
    </row>
    <row r="831" spans="1:5" ht="14.25">
      <c r="A831" s="37">
        <v>991</v>
      </c>
      <c r="B831" s="37" t="s">
        <v>27650</v>
      </c>
      <c r="C831" s="37" t="s">
        <v>2355</v>
      </c>
      <c r="D831" s="37" t="s">
        <v>2349</v>
      </c>
      <c r="E831" s="212">
        <v>232.99</v>
      </c>
    </row>
    <row r="832" spans="1:5" ht="14.25">
      <c r="A832" s="37">
        <v>986</v>
      </c>
      <c r="B832" s="37" t="s">
        <v>27651</v>
      </c>
      <c r="C832" s="37" t="s">
        <v>2355</v>
      </c>
      <c r="D832" s="37" t="s">
        <v>2349</v>
      </c>
      <c r="E832" s="212">
        <v>25.1</v>
      </c>
    </row>
    <row r="833" spans="1:5" ht="14.25">
      <c r="A833" s="37">
        <v>1024</v>
      </c>
      <c r="B833" s="37" t="s">
        <v>27652</v>
      </c>
      <c r="C833" s="37" t="s">
        <v>2355</v>
      </c>
      <c r="D833" s="37" t="s">
        <v>2349</v>
      </c>
      <c r="E833" s="212">
        <v>288.36</v>
      </c>
    </row>
    <row r="834" spans="1:5" ht="14.25">
      <c r="A834" s="37">
        <v>987</v>
      </c>
      <c r="B834" s="37" t="s">
        <v>27653</v>
      </c>
      <c r="C834" s="37" t="s">
        <v>2355</v>
      </c>
      <c r="D834" s="37" t="s">
        <v>2349</v>
      </c>
      <c r="E834" s="212">
        <v>34.11</v>
      </c>
    </row>
    <row r="835" spans="1:5" ht="14.25">
      <c r="A835" s="37">
        <v>1003</v>
      </c>
      <c r="B835" s="37" t="s">
        <v>27654</v>
      </c>
      <c r="C835" s="37" t="s">
        <v>2355</v>
      </c>
      <c r="D835" s="37" t="s">
        <v>2349</v>
      </c>
      <c r="E835" s="212">
        <v>5.31</v>
      </c>
    </row>
    <row r="836" spans="1:5" ht="14.25">
      <c r="A836" s="37">
        <v>992</v>
      </c>
      <c r="B836" s="37" t="s">
        <v>27655</v>
      </c>
      <c r="C836" s="37" t="s">
        <v>2355</v>
      </c>
      <c r="D836" s="37" t="s">
        <v>2349</v>
      </c>
      <c r="E836" s="212">
        <v>373.08</v>
      </c>
    </row>
    <row r="837" spans="1:5" ht="14.25">
      <c r="A837" s="37">
        <v>1007</v>
      </c>
      <c r="B837" s="37" t="s">
        <v>27656</v>
      </c>
      <c r="C837" s="37" t="s">
        <v>2355</v>
      </c>
      <c r="D837" s="37" t="s">
        <v>2349</v>
      </c>
      <c r="E837" s="212">
        <v>48.38</v>
      </c>
    </row>
    <row r="838" spans="1:5" ht="14.25">
      <c r="A838" s="37">
        <v>39242</v>
      </c>
      <c r="B838" s="37" t="s">
        <v>27657</v>
      </c>
      <c r="C838" s="37" t="s">
        <v>2355</v>
      </c>
      <c r="D838" s="37" t="s">
        <v>2349</v>
      </c>
      <c r="E838" s="212">
        <v>462.26</v>
      </c>
    </row>
    <row r="839" spans="1:5" ht="14.25">
      <c r="A839" s="37">
        <v>1008</v>
      </c>
      <c r="B839" s="37" t="s">
        <v>27658</v>
      </c>
      <c r="C839" s="37" t="s">
        <v>2355</v>
      </c>
      <c r="D839" s="37" t="s">
        <v>2349</v>
      </c>
      <c r="E839" s="212">
        <v>6.02</v>
      </c>
    </row>
    <row r="840" spans="1:5" ht="14.25">
      <c r="A840" s="37">
        <v>988</v>
      </c>
      <c r="B840" s="37" t="s">
        <v>27659</v>
      </c>
      <c r="C840" s="37" t="s">
        <v>2355</v>
      </c>
      <c r="D840" s="37" t="s">
        <v>2349</v>
      </c>
      <c r="E840" s="212">
        <v>66.83</v>
      </c>
    </row>
    <row r="841" spans="1:5" ht="14.25">
      <c r="A841" s="37">
        <v>989</v>
      </c>
      <c r="B841" s="37" t="s">
        <v>27660</v>
      </c>
      <c r="C841" s="37" t="s">
        <v>2355</v>
      </c>
      <c r="D841" s="37" t="s">
        <v>2349</v>
      </c>
      <c r="E841" s="212">
        <v>90.53</v>
      </c>
    </row>
    <row r="842" spans="1:5" ht="14.25">
      <c r="A842" s="37">
        <v>39598</v>
      </c>
      <c r="B842" s="37" t="s">
        <v>27661</v>
      </c>
      <c r="C842" s="37" t="s">
        <v>2355</v>
      </c>
      <c r="D842" s="37" t="s">
        <v>2349</v>
      </c>
      <c r="E842" s="212">
        <v>3.77</v>
      </c>
    </row>
    <row r="843" spans="1:5" ht="14.25">
      <c r="A843" s="37">
        <v>39599</v>
      </c>
      <c r="B843" s="37" t="s">
        <v>27662</v>
      </c>
      <c r="C843" s="37" t="s">
        <v>2355</v>
      </c>
      <c r="D843" s="37" t="s">
        <v>2349</v>
      </c>
      <c r="E843" s="212">
        <v>5.68</v>
      </c>
    </row>
    <row r="844" spans="1:5" ht="14.25">
      <c r="A844" s="37">
        <v>34602</v>
      </c>
      <c r="B844" s="37" t="s">
        <v>27663</v>
      </c>
      <c r="C844" s="37" t="s">
        <v>2355</v>
      </c>
      <c r="D844" s="37" t="s">
        <v>2349</v>
      </c>
      <c r="E844" s="212">
        <v>5.65</v>
      </c>
    </row>
    <row r="845" spans="1:5" ht="14.25">
      <c r="A845" s="37">
        <v>34603</v>
      </c>
      <c r="B845" s="37" t="s">
        <v>27664</v>
      </c>
      <c r="C845" s="37" t="s">
        <v>2355</v>
      </c>
      <c r="D845" s="37" t="s">
        <v>2349</v>
      </c>
      <c r="E845" s="212">
        <v>27.16</v>
      </c>
    </row>
    <row r="846" spans="1:5" ht="14.25">
      <c r="A846" s="37">
        <v>34607</v>
      </c>
      <c r="B846" s="37" t="s">
        <v>27665</v>
      </c>
      <c r="C846" s="37" t="s">
        <v>2355</v>
      </c>
      <c r="D846" s="37" t="s">
        <v>2349</v>
      </c>
      <c r="E846" s="212">
        <v>12.11</v>
      </c>
    </row>
    <row r="847" spans="1:5" ht="14.25">
      <c r="A847" s="37">
        <v>34609</v>
      </c>
      <c r="B847" s="37" t="s">
        <v>27666</v>
      </c>
      <c r="C847" s="37" t="s">
        <v>2355</v>
      </c>
      <c r="D847" s="37" t="s">
        <v>2349</v>
      </c>
      <c r="E847" s="212">
        <v>18.170000000000002</v>
      </c>
    </row>
    <row r="848" spans="1:5" ht="14.25">
      <c r="A848" s="37">
        <v>34618</v>
      </c>
      <c r="B848" s="37" t="s">
        <v>27667</v>
      </c>
      <c r="C848" s="37" t="s">
        <v>2355</v>
      </c>
      <c r="D848" s="37" t="s">
        <v>2349</v>
      </c>
      <c r="E848" s="212">
        <v>7.49</v>
      </c>
    </row>
    <row r="849" spans="1:5" ht="14.25">
      <c r="A849" s="37">
        <v>34620</v>
      </c>
      <c r="B849" s="37" t="s">
        <v>27668</v>
      </c>
      <c r="C849" s="37" t="s">
        <v>2355</v>
      </c>
      <c r="D849" s="37" t="s">
        <v>2349</v>
      </c>
      <c r="E849" s="212">
        <v>37.479999999999997</v>
      </c>
    </row>
    <row r="850" spans="1:5" ht="14.25">
      <c r="A850" s="37">
        <v>34621</v>
      </c>
      <c r="B850" s="37" t="s">
        <v>27669</v>
      </c>
      <c r="C850" s="37" t="s">
        <v>2355</v>
      </c>
      <c r="D850" s="37" t="s">
        <v>2349</v>
      </c>
      <c r="E850" s="212">
        <v>17.39</v>
      </c>
    </row>
    <row r="851" spans="1:5" ht="14.25">
      <c r="A851" s="37">
        <v>34622</v>
      </c>
      <c r="B851" s="37" t="s">
        <v>27670</v>
      </c>
      <c r="C851" s="37" t="s">
        <v>2355</v>
      </c>
      <c r="D851" s="37" t="s">
        <v>2349</v>
      </c>
      <c r="E851" s="212">
        <v>24.63</v>
      </c>
    </row>
    <row r="852" spans="1:5" ht="14.25">
      <c r="A852" s="37">
        <v>34624</v>
      </c>
      <c r="B852" s="37" t="s">
        <v>27671</v>
      </c>
      <c r="C852" s="37" t="s">
        <v>2355</v>
      </c>
      <c r="D852" s="37" t="s">
        <v>2349</v>
      </c>
      <c r="E852" s="212">
        <v>9.57</v>
      </c>
    </row>
    <row r="853" spans="1:5" ht="14.25">
      <c r="A853" s="37">
        <v>34626</v>
      </c>
      <c r="B853" s="37" t="s">
        <v>27672</v>
      </c>
      <c r="C853" s="37" t="s">
        <v>2355</v>
      </c>
      <c r="D853" s="37" t="s">
        <v>2349</v>
      </c>
      <c r="E853" s="212">
        <v>51.52</v>
      </c>
    </row>
    <row r="854" spans="1:5" ht="14.25">
      <c r="A854" s="37">
        <v>34627</v>
      </c>
      <c r="B854" s="37" t="s">
        <v>27673</v>
      </c>
      <c r="C854" s="37" t="s">
        <v>2355</v>
      </c>
      <c r="D854" s="37" t="s">
        <v>2349</v>
      </c>
      <c r="E854" s="212">
        <v>22.2</v>
      </c>
    </row>
    <row r="855" spans="1:5" ht="14.25">
      <c r="A855" s="37">
        <v>34629</v>
      </c>
      <c r="B855" s="37" t="s">
        <v>27674</v>
      </c>
      <c r="C855" s="37" t="s">
        <v>2355</v>
      </c>
      <c r="D855" s="37" t="s">
        <v>2349</v>
      </c>
      <c r="E855" s="212">
        <v>32.5</v>
      </c>
    </row>
    <row r="856" spans="1:5" ht="14.25">
      <c r="A856" s="37">
        <v>39257</v>
      </c>
      <c r="B856" s="37" t="s">
        <v>27675</v>
      </c>
      <c r="C856" s="37" t="s">
        <v>2355</v>
      </c>
      <c r="D856" s="37" t="s">
        <v>2349</v>
      </c>
      <c r="E856" s="212">
        <v>6.32</v>
      </c>
    </row>
    <row r="857" spans="1:5" ht="14.25">
      <c r="A857" s="37">
        <v>39261</v>
      </c>
      <c r="B857" s="37" t="s">
        <v>27676</v>
      </c>
      <c r="C857" s="37" t="s">
        <v>2355</v>
      </c>
      <c r="D857" s="37" t="s">
        <v>2349</v>
      </c>
      <c r="E857" s="212">
        <v>33.68</v>
      </c>
    </row>
    <row r="858" spans="1:5" ht="14.25">
      <c r="A858" s="37">
        <v>39268</v>
      </c>
      <c r="B858" s="37" t="s">
        <v>27677</v>
      </c>
      <c r="C858" s="37" t="s">
        <v>2355</v>
      </c>
      <c r="D858" s="37" t="s">
        <v>2349</v>
      </c>
      <c r="E858" s="212">
        <v>388.55</v>
      </c>
    </row>
    <row r="859" spans="1:5" ht="14.25">
      <c r="A859" s="37">
        <v>39262</v>
      </c>
      <c r="B859" s="37" t="s">
        <v>27678</v>
      </c>
      <c r="C859" s="37" t="s">
        <v>2355</v>
      </c>
      <c r="D859" s="37" t="s">
        <v>2349</v>
      </c>
      <c r="E859" s="212">
        <v>52.65</v>
      </c>
    </row>
    <row r="860" spans="1:5" ht="14.25">
      <c r="A860" s="37">
        <v>39258</v>
      </c>
      <c r="B860" s="37" t="s">
        <v>27679</v>
      </c>
      <c r="C860" s="37" t="s">
        <v>2355</v>
      </c>
      <c r="D860" s="37" t="s">
        <v>2349</v>
      </c>
      <c r="E860" s="212">
        <v>9.3699999999999992</v>
      </c>
    </row>
    <row r="861" spans="1:5" ht="14.25">
      <c r="A861" s="37">
        <v>39263</v>
      </c>
      <c r="B861" s="37" t="s">
        <v>27680</v>
      </c>
      <c r="C861" s="37" t="s">
        <v>2355</v>
      </c>
      <c r="D861" s="37" t="s">
        <v>2349</v>
      </c>
      <c r="E861" s="212">
        <v>81.47</v>
      </c>
    </row>
    <row r="862" spans="1:5" ht="14.25">
      <c r="A862" s="37">
        <v>39264</v>
      </c>
      <c r="B862" s="37" t="s">
        <v>27681</v>
      </c>
      <c r="C862" s="37" t="s">
        <v>2355</v>
      </c>
      <c r="D862" s="37" t="s">
        <v>2349</v>
      </c>
      <c r="E862" s="212">
        <v>110.32</v>
      </c>
    </row>
    <row r="863" spans="1:5" ht="14.25">
      <c r="A863" s="37">
        <v>39259</v>
      </c>
      <c r="B863" s="37" t="s">
        <v>27682</v>
      </c>
      <c r="C863" s="37" t="s">
        <v>2355</v>
      </c>
      <c r="D863" s="37" t="s">
        <v>2349</v>
      </c>
      <c r="E863" s="212">
        <v>14.27</v>
      </c>
    </row>
    <row r="864" spans="1:5" ht="14.25">
      <c r="A864" s="37">
        <v>39265</v>
      </c>
      <c r="B864" s="37" t="s">
        <v>27683</v>
      </c>
      <c r="C864" s="37" t="s">
        <v>2355</v>
      </c>
      <c r="D864" s="37" t="s">
        <v>2349</v>
      </c>
      <c r="E864" s="212">
        <v>162.51</v>
      </c>
    </row>
    <row r="865" spans="1:5" ht="14.25">
      <c r="A865" s="37">
        <v>39260</v>
      </c>
      <c r="B865" s="37" t="s">
        <v>27684</v>
      </c>
      <c r="C865" s="37" t="s">
        <v>2355</v>
      </c>
      <c r="D865" s="37" t="s">
        <v>2349</v>
      </c>
      <c r="E865" s="212">
        <v>20.309999999999999</v>
      </c>
    </row>
    <row r="866" spans="1:5" ht="14.25">
      <c r="A866" s="37">
        <v>39266</v>
      </c>
      <c r="B866" s="37" t="s">
        <v>27685</v>
      </c>
      <c r="C866" s="37" t="s">
        <v>2355</v>
      </c>
      <c r="D866" s="37" t="s">
        <v>2349</v>
      </c>
      <c r="E866" s="212">
        <v>228.02</v>
      </c>
    </row>
    <row r="867" spans="1:5" ht="14.25">
      <c r="A867" s="37">
        <v>39267</v>
      </c>
      <c r="B867" s="37" t="s">
        <v>27686</v>
      </c>
      <c r="C867" s="37" t="s">
        <v>2355</v>
      </c>
      <c r="D867" s="37" t="s">
        <v>2349</v>
      </c>
      <c r="E867" s="212">
        <v>298.89999999999998</v>
      </c>
    </row>
    <row r="868" spans="1:5" ht="14.25">
      <c r="A868" s="37">
        <v>11901</v>
      </c>
      <c r="B868" s="37" t="s">
        <v>27687</v>
      </c>
      <c r="C868" s="37" t="s">
        <v>2355</v>
      </c>
      <c r="D868" s="37" t="s">
        <v>2353</v>
      </c>
      <c r="E868" s="212">
        <v>0.54</v>
      </c>
    </row>
    <row r="869" spans="1:5" ht="14.25">
      <c r="A869" s="37">
        <v>11902</v>
      </c>
      <c r="B869" s="37" t="s">
        <v>27688</v>
      </c>
      <c r="C869" s="37" t="s">
        <v>2355</v>
      </c>
      <c r="D869" s="37" t="s">
        <v>2349</v>
      </c>
      <c r="E869" s="212">
        <v>0.94</v>
      </c>
    </row>
    <row r="870" spans="1:5" ht="14.25">
      <c r="A870" s="37">
        <v>11903</v>
      </c>
      <c r="B870" s="37" t="s">
        <v>27689</v>
      </c>
      <c r="C870" s="37" t="s">
        <v>2355</v>
      </c>
      <c r="D870" s="37" t="s">
        <v>2349</v>
      </c>
      <c r="E870" s="212">
        <v>1.45</v>
      </c>
    </row>
    <row r="871" spans="1:5" ht="14.25">
      <c r="A871" s="37">
        <v>11904</v>
      </c>
      <c r="B871" s="37" t="s">
        <v>27690</v>
      </c>
      <c r="C871" s="37" t="s">
        <v>2355</v>
      </c>
      <c r="D871" s="37" t="s">
        <v>2349</v>
      </c>
      <c r="E871" s="212">
        <v>1.85</v>
      </c>
    </row>
    <row r="872" spans="1:5" ht="14.25">
      <c r="A872" s="37">
        <v>11905</v>
      </c>
      <c r="B872" s="37" t="s">
        <v>27691</v>
      </c>
      <c r="C872" s="37" t="s">
        <v>2355</v>
      </c>
      <c r="D872" s="37" t="s">
        <v>2349</v>
      </c>
      <c r="E872" s="212">
        <v>2.4900000000000002</v>
      </c>
    </row>
    <row r="873" spans="1:5" ht="14.25">
      <c r="A873" s="37">
        <v>11906</v>
      </c>
      <c r="B873" s="37" t="s">
        <v>27692</v>
      </c>
      <c r="C873" s="37" t="s">
        <v>2355</v>
      </c>
      <c r="D873" s="37" t="s">
        <v>2349</v>
      </c>
      <c r="E873" s="212">
        <v>2.86</v>
      </c>
    </row>
    <row r="874" spans="1:5" ht="14.25">
      <c r="A874" s="37">
        <v>11919</v>
      </c>
      <c r="B874" s="37" t="s">
        <v>27693</v>
      </c>
      <c r="C874" s="37" t="s">
        <v>2355</v>
      </c>
      <c r="D874" s="37" t="s">
        <v>2349</v>
      </c>
      <c r="E874" s="212">
        <v>5.62</v>
      </c>
    </row>
    <row r="875" spans="1:5" ht="14.25">
      <c r="A875" s="37">
        <v>11920</v>
      </c>
      <c r="B875" s="37" t="s">
        <v>27694</v>
      </c>
      <c r="C875" s="37" t="s">
        <v>2355</v>
      </c>
      <c r="D875" s="37" t="s">
        <v>2349</v>
      </c>
      <c r="E875" s="212">
        <v>10.89</v>
      </c>
    </row>
    <row r="876" spans="1:5" ht="14.25">
      <c r="A876" s="37">
        <v>11924</v>
      </c>
      <c r="B876" s="37" t="s">
        <v>27695</v>
      </c>
      <c r="C876" s="37" t="s">
        <v>2355</v>
      </c>
      <c r="D876" s="37" t="s">
        <v>2349</v>
      </c>
      <c r="E876" s="212">
        <v>105.97</v>
      </c>
    </row>
    <row r="877" spans="1:5" ht="14.25">
      <c r="A877" s="37">
        <v>11921</v>
      </c>
      <c r="B877" s="37" t="s">
        <v>27696</v>
      </c>
      <c r="C877" s="37" t="s">
        <v>2355</v>
      </c>
      <c r="D877" s="37" t="s">
        <v>2349</v>
      </c>
      <c r="E877" s="212">
        <v>14.83</v>
      </c>
    </row>
    <row r="878" spans="1:5" ht="14.25">
      <c r="A878" s="37">
        <v>11922</v>
      </c>
      <c r="B878" s="37" t="s">
        <v>27697</v>
      </c>
      <c r="C878" s="37" t="s">
        <v>2355</v>
      </c>
      <c r="D878" s="37" t="s">
        <v>2349</v>
      </c>
      <c r="E878" s="212">
        <v>26.34</v>
      </c>
    </row>
    <row r="879" spans="1:5" ht="14.25">
      <c r="A879" s="37">
        <v>11923</v>
      </c>
      <c r="B879" s="37" t="s">
        <v>27698</v>
      </c>
      <c r="C879" s="37" t="s">
        <v>2355</v>
      </c>
      <c r="D879" s="37" t="s">
        <v>2349</v>
      </c>
      <c r="E879" s="212">
        <v>43.02</v>
      </c>
    </row>
    <row r="880" spans="1:5" ht="14.25">
      <c r="A880" s="37">
        <v>11916</v>
      </c>
      <c r="B880" s="37" t="s">
        <v>27699</v>
      </c>
      <c r="C880" s="37" t="s">
        <v>2355</v>
      </c>
      <c r="D880" s="37" t="s">
        <v>2349</v>
      </c>
      <c r="E880" s="212">
        <v>7.3</v>
      </c>
    </row>
    <row r="881" spans="1:5" ht="14.25">
      <c r="A881" s="37">
        <v>11914</v>
      </c>
      <c r="B881" s="37" t="s">
        <v>27700</v>
      </c>
      <c r="C881" s="37" t="s">
        <v>2355</v>
      </c>
      <c r="D881" s="37" t="s">
        <v>2349</v>
      </c>
      <c r="E881" s="212">
        <v>53</v>
      </c>
    </row>
    <row r="882" spans="1:5" ht="14.25">
      <c r="A882" s="37">
        <v>11917</v>
      </c>
      <c r="B882" s="37" t="s">
        <v>27701</v>
      </c>
      <c r="C882" s="37" t="s">
        <v>2355</v>
      </c>
      <c r="D882" s="37" t="s">
        <v>2349</v>
      </c>
      <c r="E882" s="212">
        <v>12.7</v>
      </c>
    </row>
    <row r="883" spans="1:5" ht="14.25">
      <c r="A883" s="37">
        <v>11918</v>
      </c>
      <c r="B883" s="37" t="s">
        <v>27702</v>
      </c>
      <c r="C883" s="37" t="s">
        <v>2355</v>
      </c>
      <c r="D883" s="37" t="s">
        <v>2349</v>
      </c>
      <c r="E883" s="212">
        <v>17.23</v>
      </c>
    </row>
    <row r="884" spans="1:5" ht="14.25">
      <c r="A884" s="37">
        <v>37734</v>
      </c>
      <c r="B884" s="37" t="s">
        <v>27703</v>
      </c>
      <c r="C884" s="37" t="s">
        <v>2348</v>
      </c>
      <c r="D884" s="37" t="s">
        <v>2351</v>
      </c>
      <c r="E884" s="213">
        <v>74596.399999999994</v>
      </c>
    </row>
    <row r="885" spans="1:5" ht="14.25">
      <c r="A885" s="37">
        <v>42251</v>
      </c>
      <c r="B885" s="37" t="s">
        <v>27704</v>
      </c>
      <c r="C885" s="37" t="s">
        <v>2348</v>
      </c>
      <c r="D885" s="37" t="s">
        <v>2351</v>
      </c>
      <c r="E885" s="213">
        <v>84708.77</v>
      </c>
    </row>
    <row r="886" spans="1:5" ht="14.25">
      <c r="A886" s="37">
        <v>37733</v>
      </c>
      <c r="B886" s="37" t="s">
        <v>27705</v>
      </c>
      <c r="C886" s="37" t="s">
        <v>2348</v>
      </c>
      <c r="D886" s="37" t="s">
        <v>2351</v>
      </c>
      <c r="E886" s="213">
        <v>55932.1</v>
      </c>
    </row>
    <row r="887" spans="1:5" ht="14.25">
      <c r="A887" s="37">
        <v>37735</v>
      </c>
      <c r="B887" s="37" t="s">
        <v>27706</v>
      </c>
      <c r="C887" s="37" t="s">
        <v>2348</v>
      </c>
      <c r="D887" s="37" t="s">
        <v>2351</v>
      </c>
      <c r="E887" s="213">
        <v>67398.19</v>
      </c>
    </row>
    <row r="888" spans="1:5" ht="14.25">
      <c r="A888" s="37">
        <v>5090</v>
      </c>
      <c r="B888" s="37" t="s">
        <v>27707</v>
      </c>
      <c r="C888" s="37" t="s">
        <v>2348</v>
      </c>
      <c r="D888" s="37" t="s">
        <v>2353</v>
      </c>
      <c r="E888" s="212">
        <v>17.899999999999999</v>
      </c>
    </row>
    <row r="889" spans="1:5" ht="14.25">
      <c r="A889" s="37">
        <v>5085</v>
      </c>
      <c r="B889" s="37" t="s">
        <v>27708</v>
      </c>
      <c r="C889" s="37" t="s">
        <v>2348</v>
      </c>
      <c r="D889" s="37" t="s">
        <v>2349</v>
      </c>
      <c r="E889" s="212">
        <v>26.65</v>
      </c>
    </row>
    <row r="890" spans="1:5" ht="14.25">
      <c r="A890" s="37">
        <v>43603</v>
      </c>
      <c r="B890" s="37" t="s">
        <v>27709</v>
      </c>
      <c r="C890" s="37" t="s">
        <v>2348</v>
      </c>
      <c r="D890" s="37" t="s">
        <v>2349</v>
      </c>
      <c r="E890" s="212">
        <v>38.07</v>
      </c>
    </row>
    <row r="891" spans="1:5" ht="14.25">
      <c r="A891" s="37">
        <v>38374</v>
      </c>
      <c r="B891" s="37" t="s">
        <v>27710</v>
      </c>
      <c r="C891" s="37" t="s">
        <v>2348</v>
      </c>
      <c r="D891" s="37" t="s">
        <v>2349</v>
      </c>
      <c r="E891" s="213">
        <v>1075.7</v>
      </c>
    </row>
    <row r="892" spans="1:5" ht="14.25">
      <c r="A892" s="37">
        <v>20209</v>
      </c>
      <c r="B892" s="37" t="s">
        <v>27711</v>
      </c>
      <c r="C892" s="37" t="s">
        <v>2355</v>
      </c>
      <c r="D892" s="37" t="s">
        <v>2349</v>
      </c>
      <c r="E892" s="212">
        <v>27.76</v>
      </c>
    </row>
    <row r="893" spans="1:5" ht="14.25">
      <c r="A893" s="37">
        <v>20212</v>
      </c>
      <c r="B893" s="37" t="s">
        <v>27712</v>
      </c>
      <c r="C893" s="37" t="s">
        <v>2355</v>
      </c>
      <c r="D893" s="37" t="s">
        <v>2349</v>
      </c>
      <c r="E893" s="212">
        <v>23.24</v>
      </c>
    </row>
    <row r="894" spans="1:5" ht="14.25">
      <c r="A894" s="37">
        <v>4433</v>
      </c>
      <c r="B894" s="37" t="s">
        <v>27713</v>
      </c>
      <c r="C894" s="37" t="s">
        <v>2355</v>
      </c>
      <c r="D894" s="37" t="s">
        <v>2349</v>
      </c>
      <c r="E894" s="212">
        <v>26.59</v>
      </c>
    </row>
    <row r="895" spans="1:5" ht="14.25">
      <c r="A895" s="37">
        <v>4430</v>
      </c>
      <c r="B895" s="37" t="s">
        <v>27714</v>
      </c>
      <c r="C895" s="37" t="s">
        <v>2355</v>
      </c>
      <c r="D895" s="37" t="s">
        <v>2353</v>
      </c>
      <c r="E895" s="212">
        <v>13.6</v>
      </c>
    </row>
    <row r="896" spans="1:5" ht="14.25">
      <c r="A896" s="37">
        <v>4400</v>
      </c>
      <c r="B896" s="37" t="s">
        <v>27715</v>
      </c>
      <c r="C896" s="37" t="s">
        <v>2355</v>
      </c>
      <c r="D896" s="37" t="s">
        <v>2349</v>
      </c>
      <c r="E896" s="212">
        <v>21.64</v>
      </c>
    </row>
    <row r="897" spans="1:5" ht="14.25">
      <c r="A897" s="37">
        <v>2729</v>
      </c>
      <c r="B897" s="37" t="s">
        <v>27716</v>
      </c>
      <c r="C897" s="37" t="s">
        <v>2348</v>
      </c>
      <c r="D897" s="37" t="s">
        <v>2351</v>
      </c>
      <c r="E897" s="212">
        <v>21.9</v>
      </c>
    </row>
    <row r="898" spans="1:5" ht="14.25">
      <c r="A898" s="37">
        <v>4513</v>
      </c>
      <c r="B898" s="37" t="s">
        <v>27717</v>
      </c>
      <c r="C898" s="37" t="s">
        <v>2355</v>
      </c>
      <c r="D898" s="37" t="s">
        <v>2349</v>
      </c>
      <c r="E898" s="212">
        <v>5.37</v>
      </c>
    </row>
    <row r="899" spans="1:5" ht="14.25">
      <c r="A899" s="37">
        <v>11871</v>
      </c>
      <c r="B899" s="37" t="s">
        <v>27718</v>
      </c>
      <c r="C899" s="37" t="s">
        <v>2348</v>
      </c>
      <c r="D899" s="37" t="s">
        <v>2351</v>
      </c>
      <c r="E899" s="212">
        <v>375</v>
      </c>
    </row>
    <row r="900" spans="1:5" ht="14.25">
      <c r="A900" s="37">
        <v>34636</v>
      </c>
      <c r="B900" s="37" t="s">
        <v>27719</v>
      </c>
      <c r="C900" s="37" t="s">
        <v>2348</v>
      </c>
      <c r="D900" s="37" t="s">
        <v>2353</v>
      </c>
      <c r="E900" s="212">
        <v>480.02</v>
      </c>
    </row>
    <row r="901" spans="1:5" ht="14.25">
      <c r="A901" s="37">
        <v>34639</v>
      </c>
      <c r="B901" s="37" t="s">
        <v>27720</v>
      </c>
      <c r="C901" s="37" t="s">
        <v>2348</v>
      </c>
      <c r="D901" s="37" t="s">
        <v>2349</v>
      </c>
      <c r="E901" s="212">
        <v>974.92</v>
      </c>
    </row>
    <row r="902" spans="1:5" ht="14.25">
      <c r="A902" s="37">
        <v>34640</v>
      </c>
      <c r="B902" s="37" t="s">
        <v>27721</v>
      </c>
      <c r="C902" s="37" t="s">
        <v>2348</v>
      </c>
      <c r="D902" s="37" t="s">
        <v>2349</v>
      </c>
      <c r="E902" s="213">
        <v>1095.08</v>
      </c>
    </row>
    <row r="903" spans="1:5" ht="14.25">
      <c r="A903" s="37">
        <v>34637</v>
      </c>
      <c r="B903" s="37" t="s">
        <v>27722</v>
      </c>
      <c r="C903" s="37" t="s">
        <v>2348</v>
      </c>
      <c r="D903" s="37" t="s">
        <v>2349</v>
      </c>
      <c r="E903" s="212">
        <v>275.60000000000002</v>
      </c>
    </row>
    <row r="904" spans="1:5" ht="14.25">
      <c r="A904" s="37">
        <v>34638</v>
      </c>
      <c r="B904" s="37" t="s">
        <v>27723</v>
      </c>
      <c r="C904" s="37" t="s">
        <v>2348</v>
      </c>
      <c r="D904" s="37" t="s">
        <v>2349</v>
      </c>
      <c r="E904" s="212">
        <v>472.62</v>
      </c>
    </row>
    <row r="905" spans="1:5" ht="14.25">
      <c r="A905" s="37">
        <v>11868</v>
      </c>
      <c r="B905" s="37" t="s">
        <v>27724</v>
      </c>
      <c r="C905" s="37" t="s">
        <v>2348</v>
      </c>
      <c r="D905" s="37" t="s">
        <v>2351</v>
      </c>
      <c r="E905" s="212">
        <v>515.39</v>
      </c>
    </row>
    <row r="906" spans="1:5" ht="14.25">
      <c r="A906" s="37">
        <v>37106</v>
      </c>
      <c r="B906" s="37" t="s">
        <v>27725</v>
      </c>
      <c r="C906" s="37" t="s">
        <v>2348</v>
      </c>
      <c r="D906" s="37" t="s">
        <v>2351</v>
      </c>
      <c r="E906" s="213">
        <v>4978.04</v>
      </c>
    </row>
    <row r="907" spans="1:5" ht="14.25">
      <c r="A907" s="37">
        <v>11869</v>
      </c>
      <c r="B907" s="37" t="s">
        <v>27726</v>
      </c>
      <c r="C907" s="37" t="s">
        <v>2348</v>
      </c>
      <c r="D907" s="37" t="s">
        <v>2351</v>
      </c>
      <c r="E907" s="212">
        <v>836.2</v>
      </c>
    </row>
    <row r="908" spans="1:5" ht="14.25">
      <c r="A908" s="37">
        <v>37104</v>
      </c>
      <c r="B908" s="37" t="s">
        <v>27727</v>
      </c>
      <c r="C908" s="37" t="s">
        <v>2348</v>
      </c>
      <c r="D908" s="37" t="s">
        <v>2351</v>
      </c>
      <c r="E908" s="213">
        <v>1077.92</v>
      </c>
    </row>
    <row r="909" spans="1:5" ht="14.25">
      <c r="A909" s="37">
        <v>37105</v>
      </c>
      <c r="B909" s="37" t="s">
        <v>27728</v>
      </c>
      <c r="C909" s="37" t="s">
        <v>2348</v>
      </c>
      <c r="D909" s="37" t="s">
        <v>2351</v>
      </c>
      <c r="E909" s="213">
        <v>2400.6999999999998</v>
      </c>
    </row>
    <row r="910" spans="1:5" ht="14.25">
      <c r="A910" s="37">
        <v>34641</v>
      </c>
      <c r="B910" s="37" t="s">
        <v>27729</v>
      </c>
      <c r="C910" s="37" t="s">
        <v>2348</v>
      </c>
      <c r="D910" s="37" t="s">
        <v>2349</v>
      </c>
      <c r="E910" s="212">
        <v>62.95</v>
      </c>
    </row>
    <row r="911" spans="1:5" ht="14.25">
      <c r="A911" s="37">
        <v>43434</v>
      </c>
      <c r="B911" s="37" t="s">
        <v>27730</v>
      </c>
      <c r="C911" s="37" t="s">
        <v>2348</v>
      </c>
      <c r="D911" s="37" t="s">
        <v>2349</v>
      </c>
      <c r="E911" s="212">
        <v>68.06</v>
      </c>
    </row>
    <row r="912" spans="1:5" ht="14.25">
      <c r="A912" s="37">
        <v>43435</v>
      </c>
      <c r="B912" s="37" t="s">
        <v>27731</v>
      </c>
      <c r="C912" s="37" t="s">
        <v>2348</v>
      </c>
      <c r="D912" s="37" t="s">
        <v>2349</v>
      </c>
      <c r="E912" s="212">
        <v>124.78</v>
      </c>
    </row>
    <row r="913" spans="1:5" ht="14.25">
      <c r="A913" s="37">
        <v>43436</v>
      </c>
      <c r="B913" s="37" t="s">
        <v>27732</v>
      </c>
      <c r="C913" s="37" t="s">
        <v>2348</v>
      </c>
      <c r="D913" s="37" t="s">
        <v>2349</v>
      </c>
      <c r="E913" s="212">
        <v>218.38</v>
      </c>
    </row>
    <row r="914" spans="1:5" ht="14.25">
      <c r="A914" s="37">
        <v>43437</v>
      </c>
      <c r="B914" s="37" t="s">
        <v>27733</v>
      </c>
      <c r="C914" s="37" t="s">
        <v>2348</v>
      </c>
      <c r="D914" s="37" t="s">
        <v>2349</v>
      </c>
      <c r="E914" s="212">
        <v>395.92</v>
      </c>
    </row>
    <row r="915" spans="1:5" ht="14.25">
      <c r="A915" s="37">
        <v>43438</v>
      </c>
      <c r="B915" s="37" t="s">
        <v>27734</v>
      </c>
      <c r="C915" s="37" t="s">
        <v>2348</v>
      </c>
      <c r="D915" s="37" t="s">
        <v>2349</v>
      </c>
      <c r="E915" s="212">
        <v>709.03</v>
      </c>
    </row>
    <row r="916" spans="1:5" ht="14.25">
      <c r="A916" s="37">
        <v>41627</v>
      </c>
      <c r="B916" s="37" t="s">
        <v>27735</v>
      </c>
      <c r="C916" s="37" t="s">
        <v>2348</v>
      </c>
      <c r="D916" s="37" t="s">
        <v>2349</v>
      </c>
      <c r="E916" s="212">
        <v>104.93</v>
      </c>
    </row>
    <row r="917" spans="1:5" ht="14.25">
      <c r="A917" s="37">
        <v>41628</v>
      </c>
      <c r="B917" s="37" t="s">
        <v>27736</v>
      </c>
      <c r="C917" s="37" t="s">
        <v>2348</v>
      </c>
      <c r="D917" s="37" t="s">
        <v>2349</v>
      </c>
      <c r="E917" s="212">
        <v>192.85</v>
      </c>
    </row>
    <row r="918" spans="1:5" ht="14.25">
      <c r="A918" s="37">
        <v>41629</v>
      </c>
      <c r="B918" s="37" t="s">
        <v>27737</v>
      </c>
      <c r="C918" s="37" t="s">
        <v>2348</v>
      </c>
      <c r="D918" s="37" t="s">
        <v>2349</v>
      </c>
      <c r="E918" s="212">
        <v>245.04</v>
      </c>
    </row>
    <row r="919" spans="1:5" ht="14.25">
      <c r="A919" s="37">
        <v>43429</v>
      </c>
      <c r="B919" s="37" t="s">
        <v>27738</v>
      </c>
      <c r="C919" s="37" t="s">
        <v>2348</v>
      </c>
      <c r="D919" s="37" t="s">
        <v>2349</v>
      </c>
      <c r="E919" s="212">
        <v>54.29</v>
      </c>
    </row>
    <row r="920" spans="1:5" ht="14.25">
      <c r="A920" s="37">
        <v>43430</v>
      </c>
      <c r="B920" s="37" t="s">
        <v>27739</v>
      </c>
      <c r="C920" s="37" t="s">
        <v>2348</v>
      </c>
      <c r="D920" s="37" t="s">
        <v>2349</v>
      </c>
      <c r="E920" s="212">
        <v>90.18</v>
      </c>
    </row>
    <row r="921" spans="1:5" ht="14.25">
      <c r="A921" s="37">
        <v>43431</v>
      </c>
      <c r="B921" s="37" t="s">
        <v>27740</v>
      </c>
      <c r="C921" s="37" t="s">
        <v>2348</v>
      </c>
      <c r="D921" s="37" t="s">
        <v>2349</v>
      </c>
      <c r="E921" s="212">
        <v>174.7</v>
      </c>
    </row>
    <row r="922" spans="1:5" ht="14.25">
      <c r="A922" s="37">
        <v>43432</v>
      </c>
      <c r="B922" s="37" t="s">
        <v>27741</v>
      </c>
      <c r="C922" s="37" t="s">
        <v>2348</v>
      </c>
      <c r="D922" s="37" t="s">
        <v>2349</v>
      </c>
      <c r="E922" s="212">
        <v>363.02</v>
      </c>
    </row>
    <row r="923" spans="1:5" ht="14.25">
      <c r="A923" s="37">
        <v>43433</v>
      </c>
      <c r="B923" s="37" t="s">
        <v>27742</v>
      </c>
      <c r="C923" s="37" t="s">
        <v>2348</v>
      </c>
      <c r="D923" s="37" t="s">
        <v>2349</v>
      </c>
      <c r="E923" s="212">
        <v>572.33000000000004</v>
      </c>
    </row>
    <row r="924" spans="1:5" ht="14.25">
      <c r="A924" s="37">
        <v>43094</v>
      </c>
      <c r="B924" s="37" t="s">
        <v>27743</v>
      </c>
      <c r="C924" s="37" t="s">
        <v>2348</v>
      </c>
      <c r="D924" s="37" t="s">
        <v>2349</v>
      </c>
      <c r="E924" s="212">
        <v>224.61</v>
      </c>
    </row>
    <row r="925" spans="1:5" ht="14.25">
      <c r="A925" s="37">
        <v>43093</v>
      </c>
      <c r="B925" s="37" t="s">
        <v>27744</v>
      </c>
      <c r="C925" s="37" t="s">
        <v>2348</v>
      </c>
      <c r="D925" s="37" t="s">
        <v>2349</v>
      </c>
      <c r="E925" s="212">
        <v>238.69</v>
      </c>
    </row>
    <row r="926" spans="1:5" ht="14.25">
      <c r="A926" s="37">
        <v>1030</v>
      </c>
      <c r="B926" s="37" t="s">
        <v>27745</v>
      </c>
      <c r="C926" s="37" t="s">
        <v>2348</v>
      </c>
      <c r="D926" s="37" t="s">
        <v>2353</v>
      </c>
      <c r="E926" s="212">
        <v>52.04</v>
      </c>
    </row>
    <row r="927" spans="1:5" ht="14.25">
      <c r="A927" s="37">
        <v>11694</v>
      </c>
      <c r="B927" s="37" t="s">
        <v>27746</v>
      </c>
      <c r="C927" s="37" t="s">
        <v>2348</v>
      </c>
      <c r="D927" s="37" t="s">
        <v>2349</v>
      </c>
      <c r="E927" s="213">
        <v>1150.3499999999999</v>
      </c>
    </row>
    <row r="928" spans="1:5" ht="14.25">
      <c r="A928" s="37">
        <v>11881</v>
      </c>
      <c r="B928" s="37" t="s">
        <v>27747</v>
      </c>
      <c r="C928" s="37" t="s">
        <v>2348</v>
      </c>
      <c r="D928" s="37" t="s">
        <v>2349</v>
      </c>
      <c r="E928" s="212">
        <v>96.42</v>
      </c>
    </row>
    <row r="929" spans="1:5" ht="14.25">
      <c r="A929" s="37">
        <v>35277</v>
      </c>
      <c r="B929" s="37" t="s">
        <v>27748</v>
      </c>
      <c r="C929" s="37" t="s">
        <v>2348</v>
      </c>
      <c r="D929" s="37" t="s">
        <v>2349</v>
      </c>
      <c r="E929" s="212">
        <v>422.11</v>
      </c>
    </row>
    <row r="930" spans="1:5" ht="14.25">
      <c r="A930" s="37">
        <v>10521</v>
      </c>
      <c r="B930" s="37" t="s">
        <v>27749</v>
      </c>
      <c r="C930" s="37" t="s">
        <v>2348</v>
      </c>
      <c r="D930" s="37" t="s">
        <v>2349</v>
      </c>
      <c r="E930" s="212">
        <v>372.27</v>
      </c>
    </row>
    <row r="931" spans="1:5" ht="14.25">
      <c r="A931" s="37">
        <v>10885</v>
      </c>
      <c r="B931" s="37" t="s">
        <v>27750</v>
      </c>
      <c r="C931" s="37" t="s">
        <v>2348</v>
      </c>
      <c r="D931" s="37" t="s">
        <v>2349</v>
      </c>
      <c r="E931" s="212">
        <v>470.88</v>
      </c>
    </row>
    <row r="932" spans="1:5" ht="14.25">
      <c r="A932" s="37">
        <v>20962</v>
      </c>
      <c r="B932" s="37" t="s">
        <v>27751</v>
      </c>
      <c r="C932" s="37" t="s">
        <v>2348</v>
      </c>
      <c r="D932" s="37" t="s">
        <v>2353</v>
      </c>
      <c r="E932" s="212">
        <v>390</v>
      </c>
    </row>
    <row r="933" spans="1:5" ht="14.25">
      <c r="A933" s="37">
        <v>20963</v>
      </c>
      <c r="B933" s="37" t="s">
        <v>27752</v>
      </c>
      <c r="C933" s="37" t="s">
        <v>2348</v>
      </c>
      <c r="D933" s="37" t="s">
        <v>2349</v>
      </c>
      <c r="E933" s="212">
        <v>476.42</v>
      </c>
    </row>
    <row r="934" spans="1:5" ht="14.25">
      <c r="A934" s="37">
        <v>34643</v>
      </c>
      <c r="B934" s="37" t="s">
        <v>27753</v>
      </c>
      <c r="C934" s="37" t="s">
        <v>2348</v>
      </c>
      <c r="D934" s="37" t="s">
        <v>2349</v>
      </c>
      <c r="E934" s="212">
        <v>48.61</v>
      </c>
    </row>
    <row r="935" spans="1:5" ht="14.25">
      <c r="A935" s="37">
        <v>41480</v>
      </c>
      <c r="B935" s="37" t="s">
        <v>27754</v>
      </c>
      <c r="C935" s="37" t="s">
        <v>2348</v>
      </c>
      <c r="D935" s="37" t="s">
        <v>2349</v>
      </c>
      <c r="E935" s="212">
        <v>56.36</v>
      </c>
    </row>
    <row r="936" spans="1:5" ht="14.25">
      <c r="A936" s="37">
        <v>41474</v>
      </c>
      <c r="B936" s="37" t="s">
        <v>27755</v>
      </c>
      <c r="C936" s="37" t="s">
        <v>2348</v>
      </c>
      <c r="D936" s="37" t="s">
        <v>2349</v>
      </c>
      <c r="E936" s="212">
        <v>90.04</v>
      </c>
    </row>
    <row r="937" spans="1:5" ht="14.25">
      <c r="A937" s="37">
        <v>41475</v>
      </c>
      <c r="B937" s="37" t="s">
        <v>27756</v>
      </c>
      <c r="C937" s="37" t="s">
        <v>2348</v>
      </c>
      <c r="D937" s="37" t="s">
        <v>2349</v>
      </c>
      <c r="E937" s="212">
        <v>76.819999999999993</v>
      </c>
    </row>
    <row r="938" spans="1:5" ht="14.25">
      <c r="A938" s="37">
        <v>41476</v>
      </c>
      <c r="B938" s="37" t="s">
        <v>27757</v>
      </c>
      <c r="C938" s="37" t="s">
        <v>2348</v>
      </c>
      <c r="D938" s="37" t="s">
        <v>2349</v>
      </c>
      <c r="E938" s="212">
        <v>168.22</v>
      </c>
    </row>
    <row r="939" spans="1:5" ht="14.25">
      <c r="A939" s="37">
        <v>2555</v>
      </c>
      <c r="B939" s="37" t="s">
        <v>27758</v>
      </c>
      <c r="C939" s="37" t="s">
        <v>2348</v>
      </c>
      <c r="D939" s="37" t="s">
        <v>2349</v>
      </c>
      <c r="E939" s="212">
        <v>2.29</v>
      </c>
    </row>
    <row r="940" spans="1:5" ht="14.25">
      <c r="A940" s="37">
        <v>2556</v>
      </c>
      <c r="B940" s="37" t="s">
        <v>27759</v>
      </c>
      <c r="C940" s="37" t="s">
        <v>2348</v>
      </c>
      <c r="D940" s="37" t="s">
        <v>2349</v>
      </c>
      <c r="E940" s="212">
        <v>2.37</v>
      </c>
    </row>
    <row r="941" spans="1:5" ht="14.25">
      <c r="A941" s="37">
        <v>2557</v>
      </c>
      <c r="B941" s="37" t="s">
        <v>27760</v>
      </c>
      <c r="C941" s="37" t="s">
        <v>2348</v>
      </c>
      <c r="D941" s="37" t="s">
        <v>2349</v>
      </c>
      <c r="E941" s="212">
        <v>5</v>
      </c>
    </row>
    <row r="942" spans="1:5" ht="14.25">
      <c r="A942" s="37">
        <v>10569</v>
      </c>
      <c r="B942" s="37" t="s">
        <v>27761</v>
      </c>
      <c r="C942" s="37" t="s">
        <v>2348</v>
      </c>
      <c r="D942" s="37" t="s">
        <v>2349</v>
      </c>
      <c r="E942" s="212">
        <v>5</v>
      </c>
    </row>
    <row r="943" spans="1:5" ht="14.25">
      <c r="A943" s="37">
        <v>39810</v>
      </c>
      <c r="B943" s="37" t="s">
        <v>27762</v>
      </c>
      <c r="C943" s="37" t="s">
        <v>2348</v>
      </c>
      <c r="D943" s="37" t="s">
        <v>2349</v>
      </c>
      <c r="E943" s="212">
        <v>30.31</v>
      </c>
    </row>
    <row r="944" spans="1:5" ht="14.25">
      <c r="A944" s="37">
        <v>39811</v>
      </c>
      <c r="B944" s="37" t="s">
        <v>27763</v>
      </c>
      <c r="C944" s="37" t="s">
        <v>2348</v>
      </c>
      <c r="D944" s="37" t="s">
        <v>2349</v>
      </c>
      <c r="E944" s="212">
        <v>37.07</v>
      </c>
    </row>
    <row r="945" spans="1:5" ht="14.25">
      <c r="A945" s="37">
        <v>39812</v>
      </c>
      <c r="B945" s="37" t="s">
        <v>27764</v>
      </c>
      <c r="C945" s="37" t="s">
        <v>2348</v>
      </c>
      <c r="D945" s="37" t="s">
        <v>2349</v>
      </c>
      <c r="E945" s="212">
        <v>60.96</v>
      </c>
    </row>
    <row r="946" spans="1:5" ht="14.25">
      <c r="A946" s="37">
        <v>43096</v>
      </c>
      <c r="B946" s="37" t="s">
        <v>27765</v>
      </c>
      <c r="C946" s="37" t="s">
        <v>2348</v>
      </c>
      <c r="D946" s="37" t="s">
        <v>2349</v>
      </c>
      <c r="E946" s="212">
        <v>202.07</v>
      </c>
    </row>
    <row r="947" spans="1:5" ht="14.25">
      <c r="A947" s="37">
        <v>43102</v>
      </c>
      <c r="B947" s="37" t="s">
        <v>27766</v>
      </c>
      <c r="C947" s="37" t="s">
        <v>2348</v>
      </c>
      <c r="D947" s="37" t="s">
        <v>2349</v>
      </c>
      <c r="E947" s="212">
        <v>122.87</v>
      </c>
    </row>
    <row r="948" spans="1:5" ht="14.25">
      <c r="A948" s="37">
        <v>43103</v>
      </c>
      <c r="B948" s="37" t="s">
        <v>27767</v>
      </c>
      <c r="C948" s="37" t="s">
        <v>2348</v>
      </c>
      <c r="D948" s="37" t="s">
        <v>2349</v>
      </c>
      <c r="E948" s="212">
        <v>180.93</v>
      </c>
    </row>
    <row r="949" spans="1:5" ht="14.25">
      <c r="A949" s="37">
        <v>43098</v>
      </c>
      <c r="B949" s="37" t="s">
        <v>27768</v>
      </c>
      <c r="C949" s="37" t="s">
        <v>2348</v>
      </c>
      <c r="D949" s="37" t="s">
        <v>2349</v>
      </c>
      <c r="E949" s="212">
        <v>68.45</v>
      </c>
    </row>
    <row r="950" spans="1:5" ht="14.25">
      <c r="A950" s="37">
        <v>43097</v>
      </c>
      <c r="B950" s="37" t="s">
        <v>27769</v>
      </c>
      <c r="C950" s="37" t="s">
        <v>2348</v>
      </c>
      <c r="D950" s="37" t="s">
        <v>2349</v>
      </c>
      <c r="E950" s="212">
        <v>40.549999999999997</v>
      </c>
    </row>
    <row r="951" spans="1:5" ht="14.25">
      <c r="A951" s="37">
        <v>43104</v>
      </c>
      <c r="B951" s="37" t="s">
        <v>27770</v>
      </c>
      <c r="C951" s="37" t="s">
        <v>2348</v>
      </c>
      <c r="D951" s="37" t="s">
        <v>2349</v>
      </c>
      <c r="E951" s="212">
        <v>479.7</v>
      </c>
    </row>
    <row r="952" spans="1:5" ht="14.25">
      <c r="A952" s="37">
        <v>39771</v>
      </c>
      <c r="B952" s="37" t="s">
        <v>27771</v>
      </c>
      <c r="C952" s="37" t="s">
        <v>2348</v>
      </c>
      <c r="D952" s="37" t="s">
        <v>2349</v>
      </c>
      <c r="E952" s="212">
        <v>48.04</v>
      </c>
    </row>
    <row r="953" spans="1:5" ht="14.25">
      <c r="A953" s="37">
        <v>39772</v>
      </c>
      <c r="B953" s="37" t="s">
        <v>27772</v>
      </c>
      <c r="C953" s="37" t="s">
        <v>2348</v>
      </c>
      <c r="D953" s="37" t="s">
        <v>2349</v>
      </c>
      <c r="E953" s="212">
        <v>94.43</v>
      </c>
    </row>
    <row r="954" spans="1:5" ht="14.25">
      <c r="A954" s="37">
        <v>39773</v>
      </c>
      <c r="B954" s="37" t="s">
        <v>27773</v>
      </c>
      <c r="C954" s="37" t="s">
        <v>2348</v>
      </c>
      <c r="D954" s="37" t="s">
        <v>2349</v>
      </c>
      <c r="E954" s="212">
        <v>151.78</v>
      </c>
    </row>
    <row r="955" spans="1:5" ht="14.25">
      <c r="A955" s="37">
        <v>39774</v>
      </c>
      <c r="B955" s="37" t="s">
        <v>27774</v>
      </c>
      <c r="C955" s="37" t="s">
        <v>2348</v>
      </c>
      <c r="D955" s="37" t="s">
        <v>2349</v>
      </c>
      <c r="E955" s="212">
        <v>227.03</v>
      </c>
    </row>
    <row r="956" spans="1:5" ht="14.25">
      <c r="A956" s="37">
        <v>39775</v>
      </c>
      <c r="B956" s="37" t="s">
        <v>27775</v>
      </c>
      <c r="C956" s="37" t="s">
        <v>2348</v>
      </c>
      <c r="D956" s="37" t="s">
        <v>2349</v>
      </c>
      <c r="E956" s="212">
        <v>303</v>
      </c>
    </row>
    <row r="957" spans="1:5" ht="14.25">
      <c r="A957" s="37">
        <v>39776</v>
      </c>
      <c r="B957" s="37" t="s">
        <v>27776</v>
      </c>
      <c r="C957" s="37" t="s">
        <v>2348</v>
      </c>
      <c r="D957" s="37" t="s">
        <v>2349</v>
      </c>
      <c r="E957" s="212">
        <v>366.19</v>
      </c>
    </row>
    <row r="958" spans="1:5" ht="14.25">
      <c r="A958" s="37">
        <v>39777</v>
      </c>
      <c r="B958" s="37" t="s">
        <v>27777</v>
      </c>
      <c r="C958" s="37" t="s">
        <v>2348</v>
      </c>
      <c r="D958" s="37" t="s">
        <v>2349</v>
      </c>
      <c r="E958" s="212">
        <v>464.13</v>
      </c>
    </row>
    <row r="959" spans="1:5" ht="14.25">
      <c r="A959" s="37">
        <v>20254</v>
      </c>
      <c r="B959" s="37" t="s">
        <v>27778</v>
      </c>
      <c r="C959" s="37" t="s">
        <v>2348</v>
      </c>
      <c r="D959" s="37" t="s">
        <v>2349</v>
      </c>
      <c r="E959" s="212">
        <v>33.69</v>
      </c>
    </row>
    <row r="960" spans="1:5" ht="14.25">
      <c r="A960" s="37">
        <v>20253</v>
      </c>
      <c r="B960" s="37" t="s">
        <v>27779</v>
      </c>
      <c r="C960" s="37" t="s">
        <v>2348</v>
      </c>
      <c r="D960" s="37" t="s">
        <v>2349</v>
      </c>
      <c r="E960" s="212">
        <v>110.62</v>
      </c>
    </row>
    <row r="961" spans="1:5" ht="14.25">
      <c r="A961" s="37">
        <v>11247</v>
      </c>
      <c r="B961" s="37" t="s">
        <v>27780</v>
      </c>
      <c r="C961" s="37" t="s">
        <v>2348</v>
      </c>
      <c r="D961" s="37" t="s">
        <v>2349</v>
      </c>
      <c r="E961" s="213">
        <v>2127.1</v>
      </c>
    </row>
    <row r="962" spans="1:5" ht="14.25">
      <c r="A962" s="37">
        <v>11250</v>
      </c>
      <c r="B962" s="37" t="s">
        <v>27781</v>
      </c>
      <c r="C962" s="37" t="s">
        <v>2348</v>
      </c>
      <c r="D962" s="37" t="s">
        <v>2349</v>
      </c>
      <c r="E962" s="212">
        <v>91.58</v>
      </c>
    </row>
    <row r="963" spans="1:5" ht="14.25">
      <c r="A963" s="37">
        <v>11249</v>
      </c>
      <c r="B963" s="37" t="s">
        <v>27782</v>
      </c>
      <c r="C963" s="37" t="s">
        <v>2348</v>
      </c>
      <c r="D963" s="37" t="s">
        <v>2349</v>
      </c>
      <c r="E963" s="213">
        <v>4154.97</v>
      </c>
    </row>
    <row r="964" spans="1:5" ht="14.25">
      <c r="A964" s="37">
        <v>11251</v>
      </c>
      <c r="B964" s="37" t="s">
        <v>27783</v>
      </c>
      <c r="C964" s="37" t="s">
        <v>2348</v>
      </c>
      <c r="D964" s="37" t="s">
        <v>2349</v>
      </c>
      <c r="E964" s="212">
        <v>202.84</v>
      </c>
    </row>
    <row r="965" spans="1:5" ht="14.25">
      <c r="A965" s="37">
        <v>11253</v>
      </c>
      <c r="B965" s="37" t="s">
        <v>27784</v>
      </c>
      <c r="C965" s="37" t="s">
        <v>2348</v>
      </c>
      <c r="D965" s="37" t="s">
        <v>2349</v>
      </c>
      <c r="E965" s="212">
        <v>336.13</v>
      </c>
    </row>
    <row r="966" spans="1:5" ht="14.25">
      <c r="A966" s="37">
        <v>11255</v>
      </c>
      <c r="B966" s="37" t="s">
        <v>27785</v>
      </c>
      <c r="C966" s="37" t="s">
        <v>2348</v>
      </c>
      <c r="D966" s="37" t="s">
        <v>2349</v>
      </c>
      <c r="E966" s="212">
        <v>502.51</v>
      </c>
    </row>
    <row r="967" spans="1:5" ht="14.25">
      <c r="A967" s="37">
        <v>14055</v>
      </c>
      <c r="B967" s="37" t="s">
        <v>27786</v>
      </c>
      <c r="C967" s="37" t="s">
        <v>2348</v>
      </c>
      <c r="D967" s="37" t="s">
        <v>2349</v>
      </c>
      <c r="E967" s="213">
        <v>1010.88</v>
      </c>
    </row>
    <row r="968" spans="1:5" ht="14.25">
      <c r="A968" s="37">
        <v>11256</v>
      </c>
      <c r="B968" s="37" t="s">
        <v>27787</v>
      </c>
      <c r="C968" s="37" t="s">
        <v>2348</v>
      </c>
      <c r="D968" s="37" t="s">
        <v>2349</v>
      </c>
      <c r="E968" s="212">
        <v>629.44000000000005</v>
      </c>
    </row>
    <row r="969" spans="1:5" ht="14.25">
      <c r="A969" s="37">
        <v>1872</v>
      </c>
      <c r="B969" s="37" t="s">
        <v>27788</v>
      </c>
      <c r="C969" s="37" t="s">
        <v>2348</v>
      </c>
      <c r="D969" s="37" t="s">
        <v>2349</v>
      </c>
      <c r="E969" s="212">
        <v>3.01</v>
      </c>
    </row>
    <row r="970" spans="1:5" ht="14.25">
      <c r="A970" s="37">
        <v>1873</v>
      </c>
      <c r="B970" s="37" t="s">
        <v>27789</v>
      </c>
      <c r="C970" s="37" t="s">
        <v>2348</v>
      </c>
      <c r="D970" s="37" t="s">
        <v>2349</v>
      </c>
      <c r="E970" s="212">
        <v>5.98</v>
      </c>
    </row>
    <row r="971" spans="1:5" ht="14.25">
      <c r="A971" s="37">
        <v>39693</v>
      </c>
      <c r="B971" s="37" t="s">
        <v>27790</v>
      </c>
      <c r="C971" s="37" t="s">
        <v>2348</v>
      </c>
      <c r="D971" s="37" t="s">
        <v>2349</v>
      </c>
      <c r="E971" s="213">
        <v>3953.21</v>
      </c>
    </row>
    <row r="972" spans="1:5" ht="14.25">
      <c r="A972" s="37">
        <v>39692</v>
      </c>
      <c r="B972" s="37" t="s">
        <v>27791</v>
      </c>
      <c r="C972" s="37" t="s">
        <v>2348</v>
      </c>
      <c r="D972" s="37" t="s">
        <v>2349</v>
      </c>
      <c r="E972" s="213">
        <v>1264.94</v>
      </c>
    </row>
    <row r="973" spans="1:5" ht="14.25">
      <c r="A973" s="37">
        <v>1062</v>
      </c>
      <c r="B973" s="37" t="s">
        <v>27792</v>
      </c>
      <c r="C973" s="37" t="s">
        <v>2348</v>
      </c>
      <c r="D973" s="37" t="s">
        <v>2349</v>
      </c>
      <c r="E973" s="212">
        <v>400.88</v>
      </c>
    </row>
    <row r="974" spans="1:5" ht="14.25">
      <c r="A974" s="37">
        <v>39686</v>
      </c>
      <c r="B974" s="37" t="s">
        <v>27793</v>
      </c>
      <c r="C974" s="37" t="s">
        <v>2348</v>
      </c>
      <c r="D974" s="37" t="s">
        <v>2349</v>
      </c>
      <c r="E974" s="212">
        <v>649.11</v>
      </c>
    </row>
    <row r="975" spans="1:5" ht="14.25">
      <c r="A975" s="37">
        <v>43095</v>
      </c>
      <c r="B975" s="37" t="s">
        <v>27794</v>
      </c>
      <c r="C975" s="37" t="s">
        <v>2348</v>
      </c>
      <c r="D975" s="37" t="s">
        <v>2349</v>
      </c>
      <c r="E975" s="212">
        <v>133.16</v>
      </c>
    </row>
    <row r="976" spans="1:5" ht="14.25">
      <c r="A976" s="37">
        <v>1871</v>
      </c>
      <c r="B976" s="37" t="s">
        <v>27795</v>
      </c>
      <c r="C976" s="37" t="s">
        <v>2348</v>
      </c>
      <c r="D976" s="37" t="s">
        <v>2349</v>
      </c>
      <c r="E976" s="212">
        <v>5.38</v>
      </c>
    </row>
    <row r="977" spans="1:5" ht="14.25">
      <c r="A977" s="37">
        <v>12001</v>
      </c>
      <c r="B977" s="37" t="s">
        <v>27796</v>
      </c>
      <c r="C977" s="37" t="s">
        <v>2348</v>
      </c>
      <c r="D977" s="37" t="s">
        <v>2349</v>
      </c>
      <c r="E977" s="212">
        <v>7.77</v>
      </c>
    </row>
    <row r="978" spans="1:5" ht="14.25">
      <c r="A978" s="37">
        <v>11882</v>
      </c>
      <c r="B978" s="37" t="s">
        <v>27797</v>
      </c>
      <c r="C978" s="37" t="s">
        <v>2348</v>
      </c>
      <c r="D978" s="37" t="s">
        <v>2349</v>
      </c>
      <c r="E978" s="212">
        <v>69.2</v>
      </c>
    </row>
    <row r="979" spans="1:5" ht="14.25">
      <c r="A979" s="37">
        <v>1068</v>
      </c>
      <c r="B979" s="37" t="s">
        <v>27798</v>
      </c>
      <c r="C979" s="37" t="s">
        <v>2348</v>
      </c>
      <c r="D979" s="37" t="s">
        <v>2349</v>
      </c>
      <c r="E979" s="213">
        <v>2644.23</v>
      </c>
    </row>
    <row r="980" spans="1:5" ht="14.25">
      <c r="A980" s="37">
        <v>39690</v>
      </c>
      <c r="B980" s="37" t="s">
        <v>27799</v>
      </c>
      <c r="C980" s="37" t="s">
        <v>2348</v>
      </c>
      <c r="D980" s="37" t="s">
        <v>2349</v>
      </c>
      <c r="E980" s="213">
        <v>4436.13</v>
      </c>
    </row>
    <row r="981" spans="1:5" ht="14.25">
      <c r="A981" s="37">
        <v>39691</v>
      </c>
      <c r="B981" s="37" t="s">
        <v>27800</v>
      </c>
      <c r="C981" s="37" t="s">
        <v>2348</v>
      </c>
      <c r="D981" s="37" t="s">
        <v>2349</v>
      </c>
      <c r="E981" s="213">
        <v>5579.41</v>
      </c>
    </row>
    <row r="982" spans="1:5" ht="14.25">
      <c r="A982" s="37">
        <v>39808</v>
      </c>
      <c r="B982" s="37" t="s">
        <v>27801</v>
      </c>
      <c r="C982" s="37" t="s">
        <v>2348</v>
      </c>
      <c r="D982" s="37" t="s">
        <v>2349</v>
      </c>
      <c r="E982" s="212">
        <v>69.52</v>
      </c>
    </row>
    <row r="983" spans="1:5" ht="14.25">
      <c r="A983" s="37">
        <v>39809</v>
      </c>
      <c r="B983" s="37" t="s">
        <v>27802</v>
      </c>
      <c r="C983" s="37" t="s">
        <v>2348</v>
      </c>
      <c r="D983" s="37" t="s">
        <v>2349</v>
      </c>
      <c r="E983" s="212">
        <v>164.89</v>
      </c>
    </row>
    <row r="984" spans="1:5" ht="14.25">
      <c r="A984" s="37">
        <v>43439</v>
      </c>
      <c r="B984" s="37" t="s">
        <v>27803</v>
      </c>
      <c r="C984" s="37" t="s">
        <v>2348</v>
      </c>
      <c r="D984" s="37" t="s">
        <v>2349</v>
      </c>
      <c r="E984" s="212">
        <v>317.64</v>
      </c>
    </row>
    <row r="985" spans="1:5" ht="14.25">
      <c r="A985" s="37">
        <v>5103</v>
      </c>
      <c r="B985" s="37" t="s">
        <v>27804</v>
      </c>
      <c r="C985" s="37" t="s">
        <v>2348</v>
      </c>
      <c r="D985" s="37" t="s">
        <v>2349</v>
      </c>
      <c r="E985" s="212">
        <v>26.72</v>
      </c>
    </row>
    <row r="986" spans="1:5" ht="14.25">
      <c r="A986" s="37">
        <v>11880</v>
      </c>
      <c r="B986" s="37" t="s">
        <v>27805</v>
      </c>
      <c r="C986" s="37" t="s">
        <v>2348</v>
      </c>
      <c r="D986" s="37" t="s">
        <v>2349</v>
      </c>
      <c r="E986" s="212">
        <v>112.4</v>
      </c>
    </row>
    <row r="987" spans="1:5" ht="14.25">
      <c r="A987" s="37">
        <v>11714</v>
      </c>
      <c r="B987" s="37" t="s">
        <v>27806</v>
      </c>
      <c r="C987" s="37" t="s">
        <v>2348</v>
      </c>
      <c r="D987" s="37" t="s">
        <v>2349</v>
      </c>
      <c r="E987" s="212">
        <v>76.569999999999993</v>
      </c>
    </row>
    <row r="988" spans="1:5" ht="14.25">
      <c r="A988" s="37">
        <v>11712</v>
      </c>
      <c r="B988" s="37" t="s">
        <v>27807</v>
      </c>
      <c r="C988" s="37" t="s">
        <v>2348</v>
      </c>
      <c r="D988" s="37" t="s">
        <v>2353</v>
      </c>
      <c r="E988" s="212">
        <v>50</v>
      </c>
    </row>
    <row r="989" spans="1:5" ht="14.25">
      <c r="A989" s="37">
        <v>11717</v>
      </c>
      <c r="B989" s="37" t="s">
        <v>27808</v>
      </c>
      <c r="C989" s="37" t="s">
        <v>2348</v>
      </c>
      <c r="D989" s="37" t="s">
        <v>2349</v>
      </c>
      <c r="E989" s="212">
        <v>60.27</v>
      </c>
    </row>
    <row r="990" spans="1:5" ht="14.25">
      <c r="A990" s="37">
        <v>1106</v>
      </c>
      <c r="B990" s="37" t="s">
        <v>27809</v>
      </c>
      <c r="C990" s="37" t="s">
        <v>2356</v>
      </c>
      <c r="D990" s="37" t="s">
        <v>2353</v>
      </c>
      <c r="E990" s="212">
        <v>0.95</v>
      </c>
    </row>
    <row r="991" spans="1:5" ht="14.25">
      <c r="A991" s="37">
        <v>11161</v>
      </c>
      <c r="B991" s="37" t="s">
        <v>27810</v>
      </c>
      <c r="C991" s="37" t="s">
        <v>2356</v>
      </c>
      <c r="D991" s="37" t="s">
        <v>2349</v>
      </c>
      <c r="E991" s="212">
        <v>1.58</v>
      </c>
    </row>
    <row r="992" spans="1:5" ht="14.25">
      <c r="A992" s="37">
        <v>1107</v>
      </c>
      <c r="B992" s="37" t="s">
        <v>27811</v>
      </c>
      <c r="C992" s="37" t="s">
        <v>2356</v>
      </c>
      <c r="D992" s="37" t="s">
        <v>2349</v>
      </c>
      <c r="E992" s="212">
        <v>0.81</v>
      </c>
    </row>
    <row r="993" spans="1:5" ht="14.25">
      <c r="A993" s="37">
        <v>44479</v>
      </c>
      <c r="B993" s="37" t="s">
        <v>27812</v>
      </c>
      <c r="C993" s="37" t="s">
        <v>2356</v>
      </c>
      <c r="D993" s="37" t="s">
        <v>2349</v>
      </c>
      <c r="E993" s="212">
        <v>0.14000000000000001</v>
      </c>
    </row>
    <row r="994" spans="1:5" ht="14.25">
      <c r="A994" s="37">
        <v>4759</v>
      </c>
      <c r="B994" s="37" t="s">
        <v>27813</v>
      </c>
      <c r="C994" s="37" t="s">
        <v>2352</v>
      </c>
      <c r="D994" s="37" t="s">
        <v>2349</v>
      </c>
      <c r="E994" s="212">
        <v>16.28</v>
      </c>
    </row>
    <row r="995" spans="1:5" ht="14.25">
      <c r="A995" s="37">
        <v>41068</v>
      </c>
      <c r="B995" s="37" t="s">
        <v>27814</v>
      </c>
      <c r="C995" s="37" t="s">
        <v>2369</v>
      </c>
      <c r="D995" s="37" t="s">
        <v>2349</v>
      </c>
      <c r="E995" s="213">
        <v>2864.5</v>
      </c>
    </row>
    <row r="996" spans="1:5" ht="14.25">
      <c r="A996" s="37">
        <v>1108</v>
      </c>
      <c r="B996" s="37" t="s">
        <v>27815</v>
      </c>
      <c r="C996" s="37" t="s">
        <v>2355</v>
      </c>
      <c r="D996" s="37" t="s">
        <v>2349</v>
      </c>
      <c r="E996" s="212">
        <v>43.12</v>
      </c>
    </row>
    <row r="997" spans="1:5" ht="14.25">
      <c r="A997" s="37">
        <v>1117</v>
      </c>
      <c r="B997" s="37" t="s">
        <v>27816</v>
      </c>
      <c r="C997" s="37" t="s">
        <v>2355</v>
      </c>
      <c r="D997" s="37" t="s">
        <v>2349</v>
      </c>
      <c r="E997" s="212">
        <v>43.46</v>
      </c>
    </row>
    <row r="998" spans="1:5" ht="14.25">
      <c r="A998" s="37">
        <v>1118</v>
      </c>
      <c r="B998" s="37" t="s">
        <v>27817</v>
      </c>
      <c r="C998" s="37" t="s">
        <v>2355</v>
      </c>
      <c r="D998" s="37" t="s">
        <v>2349</v>
      </c>
      <c r="E998" s="212">
        <v>51.36</v>
      </c>
    </row>
    <row r="999" spans="1:5" ht="14.25">
      <c r="A999" s="37">
        <v>1110</v>
      </c>
      <c r="B999" s="37" t="s">
        <v>27818</v>
      </c>
      <c r="C999" s="37" t="s">
        <v>2355</v>
      </c>
      <c r="D999" s="37" t="s">
        <v>2349</v>
      </c>
      <c r="E999" s="212">
        <v>51.36</v>
      </c>
    </row>
    <row r="1000" spans="1:5" ht="14.25">
      <c r="A1000" s="37">
        <v>12618</v>
      </c>
      <c r="B1000" s="37" t="s">
        <v>27819</v>
      </c>
      <c r="C1000" s="37" t="s">
        <v>2348</v>
      </c>
      <c r="D1000" s="37" t="s">
        <v>2351</v>
      </c>
      <c r="E1000" s="212">
        <v>54.68</v>
      </c>
    </row>
    <row r="1001" spans="1:5" ht="14.25">
      <c r="A1001" s="37">
        <v>40784</v>
      </c>
      <c r="B1001" s="37" t="s">
        <v>27820</v>
      </c>
      <c r="C1001" s="37" t="s">
        <v>2355</v>
      </c>
      <c r="D1001" s="37" t="s">
        <v>2349</v>
      </c>
      <c r="E1001" s="212">
        <v>141.68</v>
      </c>
    </row>
    <row r="1002" spans="1:5" ht="14.25">
      <c r="A1002" s="37">
        <v>40782</v>
      </c>
      <c r="B1002" s="37" t="s">
        <v>27821</v>
      </c>
      <c r="C1002" s="37" t="s">
        <v>2355</v>
      </c>
      <c r="D1002" s="37" t="s">
        <v>2349</v>
      </c>
      <c r="E1002" s="212">
        <v>55.6</v>
      </c>
    </row>
    <row r="1003" spans="1:5" ht="14.25">
      <c r="A1003" s="37">
        <v>40783</v>
      </c>
      <c r="B1003" s="37" t="s">
        <v>27822</v>
      </c>
      <c r="C1003" s="37" t="s">
        <v>2355</v>
      </c>
      <c r="D1003" s="37" t="s">
        <v>2349</v>
      </c>
      <c r="E1003" s="212">
        <v>72.42</v>
      </c>
    </row>
    <row r="1004" spans="1:5" ht="14.25">
      <c r="A1004" s="37">
        <v>1109</v>
      </c>
      <c r="B1004" s="37" t="s">
        <v>27823</v>
      </c>
      <c r="C1004" s="37" t="s">
        <v>2355</v>
      </c>
      <c r="D1004" s="37" t="s">
        <v>2349</v>
      </c>
      <c r="E1004" s="212">
        <v>43.12</v>
      </c>
    </row>
    <row r="1005" spans="1:5" ht="14.25">
      <c r="A1005" s="37">
        <v>1119</v>
      </c>
      <c r="B1005" s="37" t="s">
        <v>27824</v>
      </c>
      <c r="C1005" s="37" t="s">
        <v>2355</v>
      </c>
      <c r="D1005" s="37" t="s">
        <v>2349</v>
      </c>
      <c r="E1005" s="212">
        <v>27.8</v>
      </c>
    </row>
    <row r="1006" spans="1:5" ht="14.25">
      <c r="A1006" s="37">
        <v>13115</v>
      </c>
      <c r="B1006" s="37" t="s">
        <v>27825</v>
      </c>
      <c r="C1006" s="37" t="s">
        <v>2355</v>
      </c>
      <c r="D1006" s="37" t="s">
        <v>2351</v>
      </c>
      <c r="E1006" s="212">
        <v>17.02</v>
      </c>
    </row>
    <row r="1007" spans="1:5" ht="14.25">
      <c r="A1007" s="37">
        <v>10541</v>
      </c>
      <c r="B1007" s="37" t="s">
        <v>27826</v>
      </c>
      <c r="C1007" s="37" t="s">
        <v>2355</v>
      </c>
      <c r="D1007" s="37" t="s">
        <v>2351</v>
      </c>
      <c r="E1007" s="212">
        <v>20.8</v>
      </c>
    </row>
    <row r="1008" spans="1:5" ht="14.25">
      <c r="A1008" s="37">
        <v>10542</v>
      </c>
      <c r="B1008" s="37" t="s">
        <v>27827</v>
      </c>
      <c r="C1008" s="37" t="s">
        <v>2355</v>
      </c>
      <c r="D1008" s="37" t="s">
        <v>2351</v>
      </c>
      <c r="E1008" s="212">
        <v>27.2</v>
      </c>
    </row>
    <row r="1009" spans="1:5" ht="14.25">
      <c r="A1009" s="37">
        <v>10543</v>
      </c>
      <c r="B1009" s="37" t="s">
        <v>27828</v>
      </c>
      <c r="C1009" s="37" t="s">
        <v>2355</v>
      </c>
      <c r="D1009" s="37" t="s">
        <v>2351</v>
      </c>
      <c r="E1009" s="212">
        <v>44.13</v>
      </c>
    </row>
    <row r="1010" spans="1:5" ht="14.25">
      <c r="A1010" s="37">
        <v>10544</v>
      </c>
      <c r="B1010" s="37" t="s">
        <v>27829</v>
      </c>
      <c r="C1010" s="37" t="s">
        <v>2355</v>
      </c>
      <c r="D1010" s="37" t="s">
        <v>2351</v>
      </c>
      <c r="E1010" s="212">
        <v>57.08</v>
      </c>
    </row>
    <row r="1011" spans="1:5" ht="14.25">
      <c r="A1011" s="37">
        <v>10545</v>
      </c>
      <c r="B1011" s="37" t="s">
        <v>27830</v>
      </c>
      <c r="C1011" s="37" t="s">
        <v>2355</v>
      </c>
      <c r="D1011" s="37" t="s">
        <v>2351</v>
      </c>
      <c r="E1011" s="212">
        <v>106.67</v>
      </c>
    </row>
    <row r="1012" spans="1:5" ht="14.25">
      <c r="A1012" s="37">
        <v>38365</v>
      </c>
      <c r="B1012" s="37" t="s">
        <v>27831</v>
      </c>
      <c r="C1012" s="37" t="s">
        <v>28761</v>
      </c>
      <c r="D1012" s="37" t="s">
        <v>2349</v>
      </c>
      <c r="E1012" s="212">
        <v>2.42</v>
      </c>
    </row>
    <row r="1013" spans="1:5" ht="14.25">
      <c r="A1013" s="37">
        <v>37745</v>
      </c>
      <c r="B1013" s="37" t="s">
        <v>27832</v>
      </c>
      <c r="C1013" s="37" t="s">
        <v>2348</v>
      </c>
      <c r="D1013" s="37" t="s">
        <v>2351</v>
      </c>
      <c r="E1013" s="213">
        <v>388042.2</v>
      </c>
    </row>
    <row r="1014" spans="1:5" ht="14.25">
      <c r="A1014" s="37">
        <v>37754</v>
      </c>
      <c r="B1014" s="37" t="s">
        <v>27833</v>
      </c>
      <c r="C1014" s="37" t="s">
        <v>2348</v>
      </c>
      <c r="D1014" s="37" t="s">
        <v>2351</v>
      </c>
      <c r="E1014" s="213">
        <v>405233.94</v>
      </c>
    </row>
    <row r="1015" spans="1:5" ht="14.25">
      <c r="A1015" s="37">
        <v>37748</v>
      </c>
      <c r="B1015" s="37" t="s">
        <v>27834</v>
      </c>
      <c r="C1015" s="37" t="s">
        <v>2348</v>
      </c>
      <c r="D1015" s="37" t="s">
        <v>2351</v>
      </c>
      <c r="E1015" s="213">
        <v>412540.42</v>
      </c>
    </row>
    <row r="1016" spans="1:5" ht="14.25">
      <c r="A1016" s="37">
        <v>37761</v>
      </c>
      <c r="B1016" s="37" t="s">
        <v>27835</v>
      </c>
      <c r="C1016" s="37" t="s">
        <v>2348</v>
      </c>
      <c r="D1016" s="37" t="s">
        <v>2351</v>
      </c>
      <c r="E1016" s="213">
        <v>341378.88</v>
      </c>
    </row>
    <row r="1017" spans="1:5" ht="14.25">
      <c r="A1017" s="37">
        <v>37757</v>
      </c>
      <c r="B1017" s="37" t="s">
        <v>27836</v>
      </c>
      <c r="C1017" s="37" t="s">
        <v>2348</v>
      </c>
      <c r="D1017" s="37" t="s">
        <v>2351</v>
      </c>
      <c r="E1017" s="213">
        <v>475228.87</v>
      </c>
    </row>
    <row r="1018" spans="1:5" ht="14.25">
      <c r="A1018" s="37">
        <v>37759</v>
      </c>
      <c r="B1018" s="37" t="s">
        <v>27837</v>
      </c>
      <c r="C1018" s="37" t="s">
        <v>2348</v>
      </c>
      <c r="D1018" s="37" t="s">
        <v>2351</v>
      </c>
      <c r="E1018" s="213">
        <v>477070.87</v>
      </c>
    </row>
    <row r="1019" spans="1:5" ht="14.25">
      <c r="A1019" s="37">
        <v>37766</v>
      </c>
      <c r="B1019" s="37" t="s">
        <v>27838</v>
      </c>
      <c r="C1019" s="37" t="s">
        <v>2348</v>
      </c>
      <c r="D1019" s="37" t="s">
        <v>2351</v>
      </c>
      <c r="E1019" s="213">
        <v>477070.83</v>
      </c>
    </row>
    <row r="1020" spans="1:5" ht="14.25">
      <c r="A1020" s="37">
        <v>37752</v>
      </c>
      <c r="B1020" s="37" t="s">
        <v>27839</v>
      </c>
      <c r="C1020" s="37" t="s">
        <v>2348</v>
      </c>
      <c r="D1020" s="37" t="s">
        <v>2351</v>
      </c>
      <c r="E1020" s="213">
        <v>432617.92</v>
      </c>
    </row>
    <row r="1021" spans="1:5" ht="14.25">
      <c r="A1021" s="37">
        <v>37760</v>
      </c>
      <c r="B1021" s="37" t="s">
        <v>27840</v>
      </c>
      <c r="C1021" s="37" t="s">
        <v>2348</v>
      </c>
      <c r="D1021" s="37" t="s">
        <v>2351</v>
      </c>
      <c r="E1021" s="213">
        <v>455581.17</v>
      </c>
    </row>
    <row r="1022" spans="1:5" ht="14.25">
      <c r="A1022" s="37">
        <v>37765</v>
      </c>
      <c r="B1022" s="37" t="s">
        <v>27841</v>
      </c>
      <c r="C1022" s="37" t="s">
        <v>2348</v>
      </c>
      <c r="D1022" s="37" t="s">
        <v>2351</v>
      </c>
      <c r="E1022" s="213">
        <v>318047.26</v>
      </c>
    </row>
    <row r="1023" spans="1:5" ht="14.25">
      <c r="A1023" s="37">
        <v>37746</v>
      </c>
      <c r="B1023" s="37" t="s">
        <v>27842</v>
      </c>
      <c r="C1023" s="37" t="s">
        <v>2348</v>
      </c>
      <c r="D1023" s="37" t="s">
        <v>2351</v>
      </c>
      <c r="E1023" s="213">
        <v>348685.36</v>
      </c>
    </row>
    <row r="1024" spans="1:5" ht="14.25">
      <c r="A1024" s="37">
        <v>37750</v>
      </c>
      <c r="B1024" s="37" t="s">
        <v>27843</v>
      </c>
      <c r="C1024" s="37" t="s">
        <v>2348</v>
      </c>
      <c r="D1024" s="37" t="s">
        <v>2351</v>
      </c>
      <c r="E1024" s="213">
        <v>347457.4</v>
      </c>
    </row>
    <row r="1025" spans="1:5" ht="14.25">
      <c r="A1025" s="37">
        <v>37753</v>
      </c>
      <c r="B1025" s="37" t="s">
        <v>27844</v>
      </c>
      <c r="C1025" s="37" t="s">
        <v>2348</v>
      </c>
      <c r="D1025" s="37" t="s">
        <v>2351</v>
      </c>
      <c r="E1025" s="213">
        <v>346229.41</v>
      </c>
    </row>
    <row r="1026" spans="1:5" ht="14.25">
      <c r="A1026" s="37">
        <v>37756</v>
      </c>
      <c r="B1026" s="37" t="s">
        <v>27845</v>
      </c>
      <c r="C1026" s="37" t="s">
        <v>2348</v>
      </c>
      <c r="D1026" s="37" t="s">
        <v>2351</v>
      </c>
      <c r="E1026" s="213">
        <v>341378.88</v>
      </c>
    </row>
    <row r="1027" spans="1:5" ht="14.25">
      <c r="A1027" s="37">
        <v>37755</v>
      </c>
      <c r="B1027" s="37" t="s">
        <v>27846</v>
      </c>
      <c r="C1027" s="37" t="s">
        <v>2348</v>
      </c>
      <c r="D1027" s="37" t="s">
        <v>2351</v>
      </c>
      <c r="E1027" s="213">
        <v>496104.57</v>
      </c>
    </row>
    <row r="1028" spans="1:5" ht="14.25">
      <c r="A1028" s="37">
        <v>37758</v>
      </c>
      <c r="B1028" s="37" t="s">
        <v>27847</v>
      </c>
      <c r="C1028" s="37" t="s">
        <v>2348</v>
      </c>
      <c r="D1028" s="37" t="s">
        <v>2351</v>
      </c>
      <c r="E1028" s="213">
        <v>559959.64</v>
      </c>
    </row>
    <row r="1029" spans="1:5" ht="14.25">
      <c r="A1029" s="37">
        <v>37747</v>
      </c>
      <c r="B1029" s="37" t="s">
        <v>27848</v>
      </c>
      <c r="C1029" s="37" t="s">
        <v>2348</v>
      </c>
      <c r="D1029" s="37" t="s">
        <v>2351</v>
      </c>
      <c r="E1029" s="213">
        <v>503840.86</v>
      </c>
    </row>
    <row r="1030" spans="1:5" ht="14.25">
      <c r="A1030" s="37">
        <v>37767</v>
      </c>
      <c r="B1030" s="37" t="s">
        <v>27849</v>
      </c>
      <c r="C1030" s="37" t="s">
        <v>2348</v>
      </c>
      <c r="D1030" s="37" t="s">
        <v>2351</v>
      </c>
      <c r="E1030" s="213">
        <v>531716.06000000006</v>
      </c>
    </row>
    <row r="1031" spans="1:5" ht="14.25">
      <c r="A1031" s="37">
        <v>37751</v>
      </c>
      <c r="B1031" s="37" t="s">
        <v>27850</v>
      </c>
      <c r="C1031" s="37" t="s">
        <v>2348</v>
      </c>
      <c r="D1031" s="37" t="s">
        <v>2351</v>
      </c>
      <c r="E1031" s="213">
        <v>531716.06000000006</v>
      </c>
    </row>
    <row r="1032" spans="1:5" ht="14.25">
      <c r="A1032" s="37">
        <v>37749</v>
      </c>
      <c r="B1032" s="37" t="s">
        <v>27851</v>
      </c>
      <c r="C1032" s="37" t="s">
        <v>2348</v>
      </c>
      <c r="D1032" s="37" t="s">
        <v>2351</v>
      </c>
      <c r="E1032" s="213">
        <v>525576.15</v>
      </c>
    </row>
    <row r="1033" spans="1:5" ht="14.25">
      <c r="A1033" s="37">
        <v>1159</v>
      </c>
      <c r="B1033" s="37" t="s">
        <v>27852</v>
      </c>
      <c r="C1033" s="37" t="s">
        <v>2348</v>
      </c>
      <c r="D1033" s="37" t="s">
        <v>2353</v>
      </c>
      <c r="E1033" s="213">
        <v>235044.83</v>
      </c>
    </row>
    <row r="1034" spans="1:5" ht="14.25">
      <c r="A1034" s="37">
        <v>12114</v>
      </c>
      <c r="B1034" s="37" t="s">
        <v>27853</v>
      </c>
      <c r="C1034" s="37" t="s">
        <v>2348</v>
      </c>
      <c r="D1034" s="37" t="s">
        <v>2349</v>
      </c>
      <c r="E1034" s="212">
        <v>125.34</v>
      </c>
    </row>
    <row r="1035" spans="1:5" ht="14.25">
      <c r="A1035" s="37">
        <v>38106</v>
      </c>
      <c r="B1035" s="37" t="s">
        <v>27854</v>
      </c>
      <c r="C1035" s="37" t="s">
        <v>2348</v>
      </c>
      <c r="D1035" s="37" t="s">
        <v>2349</v>
      </c>
      <c r="E1035" s="212">
        <v>17.03</v>
      </c>
    </row>
    <row r="1036" spans="1:5" ht="14.25">
      <c r="A1036" s="37">
        <v>38085</v>
      </c>
      <c r="B1036" s="37" t="s">
        <v>27855</v>
      </c>
      <c r="C1036" s="37" t="s">
        <v>2348</v>
      </c>
      <c r="D1036" s="37" t="s">
        <v>2349</v>
      </c>
      <c r="E1036" s="212">
        <v>20.12</v>
      </c>
    </row>
    <row r="1037" spans="1:5" ht="14.25">
      <c r="A1037" s="37">
        <v>38599</v>
      </c>
      <c r="B1037" s="37" t="s">
        <v>27856</v>
      </c>
      <c r="C1037" s="37" t="s">
        <v>2348</v>
      </c>
      <c r="D1037" s="37" t="s">
        <v>2349</v>
      </c>
      <c r="E1037" s="212">
        <v>3.94</v>
      </c>
    </row>
    <row r="1038" spans="1:5" ht="14.25">
      <c r="A1038" s="37">
        <v>38596</v>
      </c>
      <c r="B1038" s="37" t="s">
        <v>27857</v>
      </c>
      <c r="C1038" s="37" t="s">
        <v>2348</v>
      </c>
      <c r="D1038" s="37" t="s">
        <v>2349</v>
      </c>
      <c r="E1038" s="212">
        <v>3.27</v>
      </c>
    </row>
    <row r="1039" spans="1:5" ht="14.25">
      <c r="A1039" s="37">
        <v>38600</v>
      </c>
      <c r="B1039" s="37" t="s">
        <v>27858</v>
      </c>
      <c r="C1039" s="37" t="s">
        <v>2348</v>
      </c>
      <c r="D1039" s="37" t="s">
        <v>2349</v>
      </c>
      <c r="E1039" s="212">
        <v>4.18</v>
      </c>
    </row>
    <row r="1040" spans="1:5" ht="14.25">
      <c r="A1040" s="37">
        <v>38597</v>
      </c>
      <c r="B1040" s="37" t="s">
        <v>27859</v>
      </c>
      <c r="C1040" s="37" t="s">
        <v>2348</v>
      </c>
      <c r="D1040" s="37" t="s">
        <v>2349</v>
      </c>
      <c r="E1040" s="212">
        <v>3.29</v>
      </c>
    </row>
    <row r="1041" spans="1:5" ht="14.25">
      <c r="A1041" s="37">
        <v>659</v>
      </c>
      <c r="B1041" s="37" t="s">
        <v>27860</v>
      </c>
      <c r="C1041" s="37" t="s">
        <v>2348</v>
      </c>
      <c r="D1041" s="37" t="s">
        <v>2349</v>
      </c>
      <c r="E1041" s="212">
        <v>1.89</v>
      </c>
    </row>
    <row r="1042" spans="1:5" ht="14.25">
      <c r="A1042" s="37">
        <v>660</v>
      </c>
      <c r="B1042" s="37" t="s">
        <v>27861</v>
      </c>
      <c r="C1042" s="37" t="s">
        <v>2348</v>
      </c>
      <c r="D1042" s="37" t="s">
        <v>2349</v>
      </c>
      <c r="E1042" s="212">
        <v>2.27</v>
      </c>
    </row>
    <row r="1043" spans="1:5" ht="14.25">
      <c r="A1043" s="37">
        <v>658</v>
      </c>
      <c r="B1043" s="37" t="s">
        <v>27862</v>
      </c>
      <c r="C1043" s="37" t="s">
        <v>2348</v>
      </c>
      <c r="D1043" s="37" t="s">
        <v>2349</v>
      </c>
      <c r="E1043" s="212">
        <v>1.28</v>
      </c>
    </row>
    <row r="1044" spans="1:5" ht="14.25">
      <c r="A1044" s="37">
        <v>38548</v>
      </c>
      <c r="B1044" s="37" t="s">
        <v>27863</v>
      </c>
      <c r="C1044" s="37" t="s">
        <v>2348</v>
      </c>
      <c r="D1044" s="37" t="s">
        <v>2349</v>
      </c>
      <c r="E1044" s="212">
        <v>1.22</v>
      </c>
    </row>
    <row r="1045" spans="1:5" ht="14.25">
      <c r="A1045" s="37">
        <v>34649</v>
      </c>
      <c r="B1045" s="37" t="s">
        <v>27864</v>
      </c>
      <c r="C1045" s="37" t="s">
        <v>2348</v>
      </c>
      <c r="D1045" s="37" t="s">
        <v>2349</v>
      </c>
      <c r="E1045" s="212">
        <v>1.64</v>
      </c>
    </row>
    <row r="1046" spans="1:5" ht="14.25">
      <c r="A1046" s="37">
        <v>34655</v>
      </c>
      <c r="B1046" s="37" t="s">
        <v>27865</v>
      </c>
      <c r="C1046" s="37" t="s">
        <v>2348</v>
      </c>
      <c r="D1046" s="37" t="s">
        <v>2349</v>
      </c>
      <c r="E1046" s="212">
        <v>2.1800000000000002</v>
      </c>
    </row>
    <row r="1047" spans="1:5" ht="14.25">
      <c r="A1047" s="37">
        <v>40607</v>
      </c>
      <c r="B1047" s="37" t="s">
        <v>27866</v>
      </c>
      <c r="C1047" s="37" t="s">
        <v>2348</v>
      </c>
      <c r="D1047" s="37" t="s">
        <v>2349</v>
      </c>
      <c r="E1047" s="212">
        <v>6.53</v>
      </c>
    </row>
    <row r="1048" spans="1:5" ht="14.25">
      <c r="A1048" s="37">
        <v>567</v>
      </c>
      <c r="B1048" s="37" t="s">
        <v>27867</v>
      </c>
      <c r="C1048" s="37" t="s">
        <v>2355</v>
      </c>
      <c r="D1048" s="37" t="s">
        <v>2349</v>
      </c>
      <c r="E1048" s="212">
        <v>16.5</v>
      </c>
    </row>
    <row r="1049" spans="1:5" ht="14.25">
      <c r="A1049" s="37">
        <v>574</v>
      </c>
      <c r="B1049" s="37" t="s">
        <v>27868</v>
      </c>
      <c r="C1049" s="37" t="s">
        <v>2355</v>
      </c>
      <c r="D1049" s="37" t="s">
        <v>2349</v>
      </c>
      <c r="E1049" s="212">
        <v>43.38</v>
      </c>
    </row>
    <row r="1050" spans="1:5" ht="14.25">
      <c r="A1050" s="37">
        <v>568</v>
      </c>
      <c r="B1050" s="37" t="s">
        <v>27869</v>
      </c>
      <c r="C1050" s="37" t="s">
        <v>2355</v>
      </c>
      <c r="D1050" s="37" t="s">
        <v>2349</v>
      </c>
      <c r="E1050" s="212">
        <v>91.4</v>
      </c>
    </row>
    <row r="1051" spans="1:5" ht="14.25">
      <c r="A1051" s="37">
        <v>585</v>
      </c>
      <c r="B1051" s="37" t="s">
        <v>27870</v>
      </c>
      <c r="C1051" s="37" t="s">
        <v>2356</v>
      </c>
      <c r="D1051" s="37" t="s">
        <v>2351</v>
      </c>
      <c r="E1051" s="212">
        <v>36.22</v>
      </c>
    </row>
    <row r="1052" spans="1:5" ht="14.25">
      <c r="A1052" s="37">
        <v>4777</v>
      </c>
      <c r="B1052" s="37" t="s">
        <v>27871</v>
      </c>
      <c r="C1052" s="37" t="s">
        <v>2356</v>
      </c>
      <c r="D1052" s="37" t="s">
        <v>2349</v>
      </c>
      <c r="E1052" s="212">
        <v>11.83</v>
      </c>
    </row>
    <row r="1053" spans="1:5" ht="14.25">
      <c r="A1053" s="37">
        <v>587</v>
      </c>
      <c r="B1053" s="37" t="s">
        <v>27872</v>
      </c>
      <c r="C1053" s="37" t="s">
        <v>2356</v>
      </c>
      <c r="D1053" s="37" t="s">
        <v>2351</v>
      </c>
      <c r="E1053" s="212">
        <v>38.81</v>
      </c>
    </row>
    <row r="1054" spans="1:5" ht="14.25">
      <c r="A1054" s="37">
        <v>590</v>
      </c>
      <c r="B1054" s="37" t="s">
        <v>27873</v>
      </c>
      <c r="C1054" s="37" t="s">
        <v>2356</v>
      </c>
      <c r="D1054" s="37" t="s">
        <v>2351</v>
      </c>
      <c r="E1054" s="212">
        <v>37.51</v>
      </c>
    </row>
    <row r="1055" spans="1:5" ht="14.25">
      <c r="A1055" s="37">
        <v>592</v>
      </c>
      <c r="B1055" s="37" t="s">
        <v>27874</v>
      </c>
      <c r="C1055" s="37" t="s">
        <v>2356</v>
      </c>
      <c r="D1055" s="37" t="s">
        <v>2351</v>
      </c>
      <c r="E1055" s="212">
        <v>38.81</v>
      </c>
    </row>
    <row r="1056" spans="1:5" ht="14.25">
      <c r="A1056" s="37">
        <v>586</v>
      </c>
      <c r="B1056" s="37" t="s">
        <v>27875</v>
      </c>
      <c r="C1056" s="37" t="s">
        <v>2355</v>
      </c>
      <c r="D1056" s="37" t="s">
        <v>2351</v>
      </c>
      <c r="E1056" s="212">
        <v>22.82</v>
      </c>
    </row>
    <row r="1057" spans="1:5" ht="14.25">
      <c r="A1057" s="37">
        <v>591</v>
      </c>
      <c r="B1057" s="37" t="s">
        <v>27876</v>
      </c>
      <c r="C1057" s="37" t="s">
        <v>2356</v>
      </c>
      <c r="D1057" s="37" t="s">
        <v>2351</v>
      </c>
      <c r="E1057" s="212">
        <v>36.22</v>
      </c>
    </row>
    <row r="1058" spans="1:5" ht="14.25">
      <c r="A1058" s="37">
        <v>588</v>
      </c>
      <c r="B1058" s="37" t="s">
        <v>27877</v>
      </c>
      <c r="C1058" s="37" t="s">
        <v>2355</v>
      </c>
      <c r="D1058" s="37" t="s">
        <v>2351</v>
      </c>
      <c r="E1058" s="212">
        <v>36.090000000000003</v>
      </c>
    </row>
    <row r="1059" spans="1:5" ht="14.25">
      <c r="A1059" s="37">
        <v>589</v>
      </c>
      <c r="B1059" s="37" t="s">
        <v>27878</v>
      </c>
      <c r="C1059" s="37" t="s">
        <v>2355</v>
      </c>
      <c r="D1059" s="37" t="s">
        <v>2351</v>
      </c>
      <c r="E1059" s="212">
        <v>61</v>
      </c>
    </row>
    <row r="1060" spans="1:5" ht="14.25">
      <c r="A1060" s="37">
        <v>584</v>
      </c>
      <c r="B1060" s="37" t="s">
        <v>27879</v>
      </c>
      <c r="C1060" s="37" t="s">
        <v>2355</v>
      </c>
      <c r="D1060" s="37" t="s">
        <v>2351</v>
      </c>
      <c r="E1060" s="212">
        <v>38.549999999999997</v>
      </c>
    </row>
    <row r="1061" spans="1:5" ht="14.25">
      <c r="A1061" s="37">
        <v>1165</v>
      </c>
      <c r="B1061" s="37" t="s">
        <v>27880</v>
      </c>
      <c r="C1061" s="37" t="s">
        <v>2348</v>
      </c>
      <c r="D1061" s="37" t="s">
        <v>2351</v>
      </c>
      <c r="E1061" s="212">
        <v>17.22</v>
      </c>
    </row>
    <row r="1062" spans="1:5" ht="14.25">
      <c r="A1062" s="37">
        <v>1164</v>
      </c>
      <c r="B1062" s="37" t="s">
        <v>27881</v>
      </c>
      <c r="C1062" s="37" t="s">
        <v>2348</v>
      </c>
      <c r="D1062" s="37" t="s">
        <v>2351</v>
      </c>
      <c r="E1062" s="212">
        <v>13.94</v>
      </c>
    </row>
    <row r="1063" spans="1:5" ht="14.25">
      <c r="A1063" s="37">
        <v>1162</v>
      </c>
      <c r="B1063" s="37" t="s">
        <v>27882</v>
      </c>
      <c r="C1063" s="37" t="s">
        <v>2348</v>
      </c>
      <c r="D1063" s="37" t="s">
        <v>2351</v>
      </c>
      <c r="E1063" s="212">
        <v>4.8499999999999996</v>
      </c>
    </row>
    <row r="1064" spans="1:5" ht="14.25">
      <c r="A1064" s="37">
        <v>12395</v>
      </c>
      <c r="B1064" s="37" t="s">
        <v>27883</v>
      </c>
      <c r="C1064" s="37" t="s">
        <v>2348</v>
      </c>
      <c r="D1064" s="37" t="s">
        <v>2351</v>
      </c>
      <c r="E1064" s="212">
        <v>4.71</v>
      </c>
    </row>
    <row r="1065" spans="1:5" ht="14.25">
      <c r="A1065" s="37">
        <v>1170</v>
      </c>
      <c r="B1065" s="37" t="s">
        <v>27884</v>
      </c>
      <c r="C1065" s="37" t="s">
        <v>2348</v>
      </c>
      <c r="D1065" s="37" t="s">
        <v>2351</v>
      </c>
      <c r="E1065" s="212">
        <v>9.14</v>
      </c>
    </row>
    <row r="1066" spans="1:5" ht="14.25">
      <c r="A1066" s="37">
        <v>1169</v>
      </c>
      <c r="B1066" s="37" t="s">
        <v>27885</v>
      </c>
      <c r="C1066" s="37" t="s">
        <v>2348</v>
      </c>
      <c r="D1066" s="37" t="s">
        <v>2351</v>
      </c>
      <c r="E1066" s="212">
        <v>44.86</v>
      </c>
    </row>
    <row r="1067" spans="1:5" ht="14.25">
      <c r="A1067" s="37">
        <v>1166</v>
      </c>
      <c r="B1067" s="37" t="s">
        <v>27886</v>
      </c>
      <c r="C1067" s="37" t="s">
        <v>2348</v>
      </c>
      <c r="D1067" s="37" t="s">
        <v>2351</v>
      </c>
      <c r="E1067" s="212">
        <v>24.87</v>
      </c>
    </row>
    <row r="1068" spans="1:5" ht="14.25">
      <c r="A1068" s="37">
        <v>1163</v>
      </c>
      <c r="B1068" s="37" t="s">
        <v>27887</v>
      </c>
      <c r="C1068" s="37" t="s">
        <v>2348</v>
      </c>
      <c r="D1068" s="37" t="s">
        <v>2351</v>
      </c>
      <c r="E1068" s="212">
        <v>6.27</v>
      </c>
    </row>
    <row r="1069" spans="1:5" ht="14.25">
      <c r="A1069" s="37">
        <v>12396</v>
      </c>
      <c r="B1069" s="37" t="s">
        <v>27888</v>
      </c>
      <c r="C1069" s="37" t="s">
        <v>2348</v>
      </c>
      <c r="D1069" s="37" t="s">
        <v>2351</v>
      </c>
      <c r="E1069" s="212">
        <v>4.71</v>
      </c>
    </row>
    <row r="1070" spans="1:5" ht="14.25">
      <c r="A1070" s="37">
        <v>1168</v>
      </c>
      <c r="B1070" s="37" t="s">
        <v>27889</v>
      </c>
      <c r="C1070" s="37" t="s">
        <v>2348</v>
      </c>
      <c r="D1070" s="37" t="s">
        <v>2351</v>
      </c>
      <c r="E1070" s="212">
        <v>63.95</v>
      </c>
    </row>
    <row r="1071" spans="1:5" ht="14.25">
      <c r="A1071" s="37">
        <v>1167</v>
      </c>
      <c r="B1071" s="37" t="s">
        <v>27890</v>
      </c>
      <c r="C1071" s="37" t="s">
        <v>2348</v>
      </c>
      <c r="D1071" s="37" t="s">
        <v>2351</v>
      </c>
      <c r="E1071" s="212">
        <v>106.97</v>
      </c>
    </row>
    <row r="1072" spans="1:5" ht="14.25">
      <c r="A1072" s="37">
        <v>36331</v>
      </c>
      <c r="B1072" s="37" t="s">
        <v>27891</v>
      </c>
      <c r="C1072" s="37" t="s">
        <v>2348</v>
      </c>
      <c r="D1072" s="37" t="s">
        <v>2351</v>
      </c>
      <c r="E1072" s="212">
        <v>2.13</v>
      </c>
    </row>
    <row r="1073" spans="1:5" ht="14.25">
      <c r="A1073" s="37">
        <v>36346</v>
      </c>
      <c r="B1073" s="37" t="s">
        <v>27892</v>
      </c>
      <c r="C1073" s="37" t="s">
        <v>2348</v>
      </c>
      <c r="D1073" s="37" t="s">
        <v>2351</v>
      </c>
      <c r="E1073" s="212">
        <v>3.66</v>
      </c>
    </row>
    <row r="1074" spans="1:5" ht="14.25">
      <c r="A1074" s="37">
        <v>1210</v>
      </c>
      <c r="B1074" s="37" t="s">
        <v>27893</v>
      </c>
      <c r="C1074" s="37" t="s">
        <v>2348</v>
      </c>
      <c r="D1074" s="37" t="s">
        <v>2349</v>
      </c>
      <c r="E1074" s="212">
        <v>19.48</v>
      </c>
    </row>
    <row r="1075" spans="1:5" ht="14.25">
      <c r="A1075" s="37">
        <v>1203</v>
      </c>
      <c r="B1075" s="37" t="s">
        <v>27894</v>
      </c>
      <c r="C1075" s="37" t="s">
        <v>2348</v>
      </c>
      <c r="D1075" s="37" t="s">
        <v>2349</v>
      </c>
      <c r="E1075" s="212">
        <v>18.88</v>
      </c>
    </row>
    <row r="1076" spans="1:5" ht="14.25">
      <c r="A1076" s="37">
        <v>1197</v>
      </c>
      <c r="B1076" s="37" t="s">
        <v>27895</v>
      </c>
      <c r="C1076" s="37" t="s">
        <v>2348</v>
      </c>
      <c r="D1076" s="37" t="s">
        <v>2349</v>
      </c>
      <c r="E1076" s="212">
        <v>2.41</v>
      </c>
    </row>
    <row r="1077" spans="1:5" ht="14.25">
      <c r="A1077" s="37">
        <v>1202</v>
      </c>
      <c r="B1077" s="37" t="s">
        <v>27896</v>
      </c>
      <c r="C1077" s="37" t="s">
        <v>2348</v>
      </c>
      <c r="D1077" s="37" t="s">
        <v>2349</v>
      </c>
      <c r="E1077" s="212">
        <v>6.49</v>
      </c>
    </row>
    <row r="1078" spans="1:5" ht="14.25">
      <c r="A1078" s="37">
        <v>1188</v>
      </c>
      <c r="B1078" s="37" t="s">
        <v>27897</v>
      </c>
      <c r="C1078" s="37" t="s">
        <v>2348</v>
      </c>
      <c r="D1078" s="37" t="s">
        <v>2349</v>
      </c>
      <c r="E1078" s="212">
        <v>38.369999999999997</v>
      </c>
    </row>
    <row r="1079" spans="1:5" ht="14.25">
      <c r="A1079" s="37">
        <v>1211</v>
      </c>
      <c r="B1079" s="37" t="s">
        <v>27898</v>
      </c>
      <c r="C1079" s="37" t="s">
        <v>2348</v>
      </c>
      <c r="D1079" s="37" t="s">
        <v>2349</v>
      </c>
      <c r="E1079" s="212">
        <v>19.809999999999999</v>
      </c>
    </row>
    <row r="1080" spans="1:5" ht="14.25">
      <c r="A1080" s="37">
        <v>1198</v>
      </c>
      <c r="B1080" s="37" t="s">
        <v>27899</v>
      </c>
      <c r="C1080" s="37" t="s">
        <v>2348</v>
      </c>
      <c r="D1080" s="37" t="s">
        <v>2349</v>
      </c>
      <c r="E1080" s="212">
        <v>3.57</v>
      </c>
    </row>
    <row r="1081" spans="1:5" ht="14.25">
      <c r="A1081" s="37">
        <v>1199</v>
      </c>
      <c r="B1081" s="37" t="s">
        <v>27900</v>
      </c>
      <c r="C1081" s="37" t="s">
        <v>2348</v>
      </c>
      <c r="D1081" s="37" t="s">
        <v>2349</v>
      </c>
      <c r="E1081" s="212">
        <v>50.12</v>
      </c>
    </row>
    <row r="1082" spans="1:5" ht="14.25">
      <c r="A1082" s="37">
        <v>20088</v>
      </c>
      <c r="B1082" s="37" t="s">
        <v>27901</v>
      </c>
      <c r="C1082" s="37" t="s">
        <v>2348</v>
      </c>
      <c r="D1082" s="37" t="s">
        <v>2349</v>
      </c>
      <c r="E1082" s="212">
        <v>23.78</v>
      </c>
    </row>
    <row r="1083" spans="1:5" ht="14.25">
      <c r="A1083" s="37">
        <v>20089</v>
      </c>
      <c r="B1083" s="37" t="s">
        <v>27902</v>
      </c>
      <c r="C1083" s="37" t="s">
        <v>2348</v>
      </c>
      <c r="D1083" s="37" t="s">
        <v>2349</v>
      </c>
      <c r="E1083" s="212">
        <v>113.35</v>
      </c>
    </row>
    <row r="1084" spans="1:5" ht="14.25">
      <c r="A1084" s="37">
        <v>20087</v>
      </c>
      <c r="B1084" s="37" t="s">
        <v>27903</v>
      </c>
      <c r="C1084" s="37" t="s">
        <v>2348</v>
      </c>
      <c r="D1084" s="37" t="s">
        <v>2349</v>
      </c>
      <c r="E1084" s="212">
        <v>17.12</v>
      </c>
    </row>
    <row r="1085" spans="1:5" ht="14.25">
      <c r="A1085" s="37">
        <v>1200</v>
      </c>
      <c r="B1085" s="37" t="s">
        <v>27904</v>
      </c>
      <c r="C1085" s="37" t="s">
        <v>2348</v>
      </c>
      <c r="D1085" s="37" t="s">
        <v>2349</v>
      </c>
      <c r="E1085" s="212">
        <v>13.91</v>
      </c>
    </row>
    <row r="1086" spans="1:5" ht="14.25">
      <c r="A1086" s="37">
        <v>12909</v>
      </c>
      <c r="B1086" s="37" t="s">
        <v>27905</v>
      </c>
      <c r="C1086" s="37" t="s">
        <v>2348</v>
      </c>
      <c r="D1086" s="37" t="s">
        <v>2349</v>
      </c>
      <c r="E1086" s="212">
        <v>6.31</v>
      </c>
    </row>
    <row r="1087" spans="1:5" ht="14.25">
      <c r="A1087" s="37">
        <v>12910</v>
      </c>
      <c r="B1087" s="37" t="s">
        <v>27906</v>
      </c>
      <c r="C1087" s="37" t="s">
        <v>2348</v>
      </c>
      <c r="D1087" s="37" t="s">
        <v>2349</v>
      </c>
      <c r="E1087" s="212">
        <v>10.52</v>
      </c>
    </row>
    <row r="1088" spans="1:5" ht="14.25">
      <c r="A1088" s="37">
        <v>1184</v>
      </c>
      <c r="B1088" s="37" t="s">
        <v>27907</v>
      </c>
      <c r="C1088" s="37" t="s">
        <v>2348</v>
      </c>
      <c r="D1088" s="37" t="s">
        <v>2349</v>
      </c>
      <c r="E1088" s="212">
        <v>123.23</v>
      </c>
    </row>
    <row r="1089" spans="1:5" ht="14.25">
      <c r="A1089" s="37">
        <v>1191</v>
      </c>
      <c r="B1089" s="37" t="s">
        <v>27908</v>
      </c>
      <c r="C1089" s="37" t="s">
        <v>2348</v>
      </c>
      <c r="D1089" s="37" t="s">
        <v>2349</v>
      </c>
      <c r="E1089" s="212">
        <v>1.75</v>
      </c>
    </row>
    <row r="1090" spans="1:5" ht="14.25">
      <c r="A1090" s="37">
        <v>1185</v>
      </c>
      <c r="B1090" s="37" t="s">
        <v>27909</v>
      </c>
      <c r="C1090" s="37" t="s">
        <v>2348</v>
      </c>
      <c r="D1090" s="37" t="s">
        <v>2349</v>
      </c>
      <c r="E1090" s="212">
        <v>2</v>
      </c>
    </row>
    <row r="1091" spans="1:5" ht="14.25">
      <c r="A1091" s="37">
        <v>1189</v>
      </c>
      <c r="B1091" s="37" t="s">
        <v>27910</v>
      </c>
      <c r="C1091" s="37" t="s">
        <v>2348</v>
      </c>
      <c r="D1091" s="37" t="s">
        <v>2349</v>
      </c>
      <c r="E1091" s="212">
        <v>3.47</v>
      </c>
    </row>
    <row r="1092" spans="1:5" ht="14.25">
      <c r="A1092" s="37">
        <v>1193</v>
      </c>
      <c r="B1092" s="37" t="s">
        <v>27911</v>
      </c>
      <c r="C1092" s="37" t="s">
        <v>2348</v>
      </c>
      <c r="D1092" s="37" t="s">
        <v>2349</v>
      </c>
      <c r="E1092" s="212">
        <v>6.68</v>
      </c>
    </row>
    <row r="1093" spans="1:5" ht="14.25">
      <c r="A1093" s="37">
        <v>1194</v>
      </c>
      <c r="B1093" s="37" t="s">
        <v>27912</v>
      </c>
      <c r="C1093" s="37" t="s">
        <v>2348</v>
      </c>
      <c r="D1093" s="37" t="s">
        <v>2349</v>
      </c>
      <c r="E1093" s="212">
        <v>12.64</v>
      </c>
    </row>
    <row r="1094" spans="1:5" ht="14.25">
      <c r="A1094" s="37">
        <v>1195</v>
      </c>
      <c r="B1094" s="37" t="s">
        <v>27913</v>
      </c>
      <c r="C1094" s="37" t="s">
        <v>2348</v>
      </c>
      <c r="D1094" s="37" t="s">
        <v>2349</v>
      </c>
      <c r="E1094" s="212">
        <v>19.010000000000002</v>
      </c>
    </row>
    <row r="1095" spans="1:5" ht="14.25">
      <c r="A1095" s="37">
        <v>1204</v>
      </c>
      <c r="B1095" s="37" t="s">
        <v>27914</v>
      </c>
      <c r="C1095" s="37" t="s">
        <v>2348</v>
      </c>
      <c r="D1095" s="37" t="s">
        <v>2349</v>
      </c>
      <c r="E1095" s="212">
        <v>34.57</v>
      </c>
    </row>
    <row r="1096" spans="1:5" ht="14.25">
      <c r="A1096" s="37">
        <v>1205</v>
      </c>
      <c r="B1096" s="37" t="s">
        <v>27915</v>
      </c>
      <c r="C1096" s="37" t="s">
        <v>2348</v>
      </c>
      <c r="D1096" s="37" t="s">
        <v>2349</v>
      </c>
      <c r="E1096" s="212">
        <v>81.99</v>
      </c>
    </row>
    <row r="1097" spans="1:5" ht="14.25">
      <c r="A1097" s="37">
        <v>1207</v>
      </c>
      <c r="B1097" s="37" t="s">
        <v>27916</v>
      </c>
      <c r="C1097" s="37" t="s">
        <v>2348</v>
      </c>
      <c r="D1097" s="37" t="s">
        <v>2351</v>
      </c>
      <c r="E1097" s="212">
        <v>42.02</v>
      </c>
    </row>
    <row r="1098" spans="1:5" ht="14.25">
      <c r="A1098" s="37">
        <v>1206</v>
      </c>
      <c r="B1098" s="37" t="s">
        <v>27917</v>
      </c>
      <c r="C1098" s="37" t="s">
        <v>2348</v>
      </c>
      <c r="D1098" s="37" t="s">
        <v>2351</v>
      </c>
      <c r="E1098" s="212">
        <v>10.53</v>
      </c>
    </row>
    <row r="1099" spans="1:5" ht="14.25">
      <c r="A1099" s="37">
        <v>1183</v>
      </c>
      <c r="B1099" s="37" t="s">
        <v>27918</v>
      </c>
      <c r="C1099" s="37" t="s">
        <v>2348</v>
      </c>
      <c r="D1099" s="37" t="s">
        <v>2351</v>
      </c>
      <c r="E1099" s="212">
        <v>27.44</v>
      </c>
    </row>
    <row r="1100" spans="1:5" ht="14.25">
      <c r="A1100" s="37">
        <v>42685</v>
      </c>
      <c r="B1100" s="37" t="s">
        <v>27919</v>
      </c>
      <c r="C1100" s="37" t="s">
        <v>2348</v>
      </c>
      <c r="D1100" s="37" t="s">
        <v>2351</v>
      </c>
      <c r="E1100" s="212">
        <v>102.12</v>
      </c>
    </row>
    <row r="1101" spans="1:5" ht="14.25">
      <c r="A1101" s="37">
        <v>42686</v>
      </c>
      <c r="B1101" s="37" t="s">
        <v>27920</v>
      </c>
      <c r="C1101" s="37" t="s">
        <v>2348</v>
      </c>
      <c r="D1101" s="37" t="s">
        <v>2351</v>
      </c>
      <c r="E1101" s="212">
        <v>158.99</v>
      </c>
    </row>
    <row r="1102" spans="1:5" ht="14.25">
      <c r="A1102" s="37">
        <v>12894</v>
      </c>
      <c r="B1102" s="37" t="s">
        <v>27921</v>
      </c>
      <c r="C1102" s="37" t="s">
        <v>2348</v>
      </c>
      <c r="D1102" s="37" t="s">
        <v>2349</v>
      </c>
      <c r="E1102" s="212">
        <v>19.37</v>
      </c>
    </row>
    <row r="1103" spans="1:5" ht="14.25">
      <c r="A1103" s="37">
        <v>12895</v>
      </c>
      <c r="B1103" s="37" t="s">
        <v>27922</v>
      </c>
      <c r="C1103" s="37" t="s">
        <v>2348</v>
      </c>
      <c r="D1103" s="37" t="s">
        <v>2353</v>
      </c>
      <c r="E1103" s="212">
        <v>14.9</v>
      </c>
    </row>
    <row r="1104" spans="1:5" ht="14.25">
      <c r="A1104" s="37">
        <v>1631</v>
      </c>
      <c r="B1104" s="37" t="s">
        <v>27923</v>
      </c>
      <c r="C1104" s="37" t="s">
        <v>2348</v>
      </c>
      <c r="D1104" s="37" t="s">
        <v>2349</v>
      </c>
      <c r="E1104" s="212">
        <v>261.88</v>
      </c>
    </row>
    <row r="1105" spans="1:5" ht="14.25">
      <c r="A1105" s="37">
        <v>1633</v>
      </c>
      <c r="B1105" s="37" t="s">
        <v>27924</v>
      </c>
      <c r="C1105" s="37" t="s">
        <v>2348</v>
      </c>
      <c r="D1105" s="37" t="s">
        <v>2349</v>
      </c>
      <c r="E1105" s="212">
        <v>444.94</v>
      </c>
    </row>
    <row r="1106" spans="1:5" ht="14.25">
      <c r="A1106" s="37">
        <v>10818</v>
      </c>
      <c r="B1106" s="37" t="s">
        <v>27925</v>
      </c>
      <c r="C1106" s="37" t="s">
        <v>2356</v>
      </c>
      <c r="D1106" s="37" t="s">
        <v>2349</v>
      </c>
      <c r="E1106" s="212">
        <v>41.07</v>
      </c>
    </row>
    <row r="1107" spans="1:5" ht="14.25">
      <c r="A1107" s="37">
        <v>41410</v>
      </c>
      <c r="B1107" s="37" t="s">
        <v>27926</v>
      </c>
      <c r="C1107" s="37" t="s">
        <v>2348</v>
      </c>
      <c r="D1107" s="37" t="s">
        <v>2349</v>
      </c>
      <c r="E1107" s="212">
        <v>58.12</v>
      </c>
    </row>
    <row r="1108" spans="1:5" ht="14.25">
      <c r="A1108" s="37">
        <v>41411</v>
      </c>
      <c r="B1108" s="37" t="s">
        <v>27927</v>
      </c>
      <c r="C1108" s="37" t="s">
        <v>2348</v>
      </c>
      <c r="D1108" s="37" t="s">
        <v>2349</v>
      </c>
      <c r="E1108" s="212">
        <v>52.69</v>
      </c>
    </row>
    <row r="1109" spans="1:5" ht="14.25">
      <c r="A1109" s="37">
        <v>41412</v>
      </c>
      <c r="B1109" s="37" t="s">
        <v>27928</v>
      </c>
      <c r="C1109" s="37" t="s">
        <v>2348</v>
      </c>
      <c r="D1109" s="37" t="s">
        <v>2349</v>
      </c>
      <c r="E1109" s="212">
        <v>101.91</v>
      </c>
    </row>
    <row r="1110" spans="1:5" ht="14.25">
      <c r="A1110" s="37">
        <v>41413</v>
      </c>
      <c r="B1110" s="37" t="s">
        <v>27929</v>
      </c>
      <c r="C1110" s="37" t="s">
        <v>2348</v>
      </c>
      <c r="D1110" s="37" t="s">
        <v>2349</v>
      </c>
      <c r="E1110" s="212">
        <v>91.7</v>
      </c>
    </row>
    <row r="1111" spans="1:5" ht="14.25">
      <c r="A1111" s="37">
        <v>39359</v>
      </c>
      <c r="B1111" s="37" t="s">
        <v>27930</v>
      </c>
      <c r="C1111" s="37" t="s">
        <v>2348</v>
      </c>
      <c r="D1111" s="37" t="s">
        <v>2351</v>
      </c>
      <c r="E1111" s="212">
        <v>34.36</v>
      </c>
    </row>
    <row r="1112" spans="1:5" ht="14.25">
      <c r="A1112" s="37">
        <v>39360</v>
      </c>
      <c r="B1112" s="37" t="s">
        <v>27931</v>
      </c>
      <c r="C1112" s="37" t="s">
        <v>2348</v>
      </c>
      <c r="D1112" s="37" t="s">
        <v>2351</v>
      </c>
      <c r="E1112" s="212">
        <v>31.23</v>
      </c>
    </row>
    <row r="1113" spans="1:5" ht="14.25">
      <c r="A1113" s="37">
        <v>10710</v>
      </c>
      <c r="B1113" s="37" t="s">
        <v>27932</v>
      </c>
      <c r="C1113" s="37" t="s">
        <v>28761</v>
      </c>
      <c r="D1113" s="37" t="s">
        <v>2351</v>
      </c>
      <c r="E1113" s="212">
        <v>126.73</v>
      </c>
    </row>
    <row r="1114" spans="1:5" ht="14.25">
      <c r="A1114" s="37">
        <v>10709</v>
      </c>
      <c r="B1114" s="37" t="s">
        <v>27933</v>
      </c>
      <c r="C1114" s="37" t="s">
        <v>28761</v>
      </c>
      <c r="D1114" s="37" t="s">
        <v>2351</v>
      </c>
      <c r="E1114" s="212">
        <v>155.69</v>
      </c>
    </row>
    <row r="1115" spans="1:5" ht="14.25">
      <c r="A1115" s="37">
        <v>39636</v>
      </c>
      <c r="B1115" s="37" t="s">
        <v>27934</v>
      </c>
      <c r="C1115" s="37" t="s">
        <v>28761</v>
      </c>
      <c r="D1115" s="37" t="s">
        <v>2351</v>
      </c>
      <c r="E1115" s="212">
        <v>158.97999999999999</v>
      </c>
    </row>
    <row r="1116" spans="1:5" ht="14.25">
      <c r="A1116" s="37">
        <v>10708</v>
      </c>
      <c r="B1116" s="37" t="s">
        <v>27935</v>
      </c>
      <c r="C1116" s="37" t="s">
        <v>28761</v>
      </c>
      <c r="D1116" s="37" t="s">
        <v>2351</v>
      </c>
      <c r="E1116" s="212">
        <v>49.06</v>
      </c>
    </row>
    <row r="1117" spans="1:5" ht="14.25">
      <c r="A1117" s="37">
        <v>39635</v>
      </c>
      <c r="B1117" s="37" t="s">
        <v>27936</v>
      </c>
      <c r="C1117" s="37" t="s">
        <v>28761</v>
      </c>
      <c r="D1117" s="37" t="s">
        <v>2351</v>
      </c>
      <c r="E1117" s="212">
        <v>83.52</v>
      </c>
    </row>
    <row r="1118" spans="1:5" ht="14.25">
      <c r="A1118" s="37">
        <v>6117</v>
      </c>
      <c r="B1118" s="37" t="s">
        <v>27937</v>
      </c>
      <c r="C1118" s="37" t="s">
        <v>2352</v>
      </c>
      <c r="D1118" s="37" t="s">
        <v>2349</v>
      </c>
      <c r="E1118" s="212">
        <v>14.85</v>
      </c>
    </row>
    <row r="1119" spans="1:5" ht="14.25">
      <c r="A1119" s="37">
        <v>40913</v>
      </c>
      <c r="B1119" s="37" t="s">
        <v>27938</v>
      </c>
      <c r="C1119" s="37" t="s">
        <v>2369</v>
      </c>
      <c r="D1119" s="37" t="s">
        <v>2349</v>
      </c>
      <c r="E1119" s="213">
        <v>2614.04</v>
      </c>
    </row>
    <row r="1120" spans="1:5" ht="14.25">
      <c r="A1120" s="37">
        <v>1214</v>
      </c>
      <c r="B1120" s="37" t="s">
        <v>27939</v>
      </c>
      <c r="C1120" s="37" t="s">
        <v>2352</v>
      </c>
      <c r="D1120" s="37" t="s">
        <v>2349</v>
      </c>
      <c r="E1120" s="212">
        <v>15.82</v>
      </c>
    </row>
    <row r="1121" spans="1:5" ht="14.25">
      <c r="A1121" s="37">
        <v>40915</v>
      </c>
      <c r="B1121" s="37" t="s">
        <v>27940</v>
      </c>
      <c r="C1121" s="37" t="s">
        <v>2369</v>
      </c>
      <c r="D1121" s="37" t="s">
        <v>2349</v>
      </c>
      <c r="E1121" s="213">
        <v>2785.64</v>
      </c>
    </row>
    <row r="1122" spans="1:5" ht="14.25">
      <c r="A1122" s="37">
        <v>1213</v>
      </c>
      <c r="B1122" s="37" t="s">
        <v>27941</v>
      </c>
      <c r="C1122" s="37" t="s">
        <v>2352</v>
      </c>
      <c r="D1122" s="37" t="s">
        <v>2353</v>
      </c>
      <c r="E1122" s="212">
        <v>18.87</v>
      </c>
    </row>
    <row r="1123" spans="1:5" ht="14.25">
      <c r="A1123" s="37">
        <v>40914</v>
      </c>
      <c r="B1123" s="37" t="s">
        <v>27942</v>
      </c>
      <c r="C1123" s="37" t="s">
        <v>2369</v>
      </c>
      <c r="D1123" s="37" t="s">
        <v>2349</v>
      </c>
      <c r="E1123" s="213">
        <v>3317.93</v>
      </c>
    </row>
    <row r="1124" spans="1:5" ht="14.25">
      <c r="A1124" s="37">
        <v>5091</v>
      </c>
      <c r="B1124" s="37" t="s">
        <v>27943</v>
      </c>
      <c r="C1124" s="37" t="s">
        <v>2348</v>
      </c>
      <c r="D1124" s="37" t="s">
        <v>2349</v>
      </c>
      <c r="E1124" s="212">
        <v>17.48</v>
      </c>
    </row>
    <row r="1125" spans="1:5" ht="14.25">
      <c r="A1125" s="37">
        <v>14615</v>
      </c>
      <c r="B1125" s="37" t="s">
        <v>27944</v>
      </c>
      <c r="C1125" s="37" t="s">
        <v>2348</v>
      </c>
      <c r="D1125" s="37" t="s">
        <v>2351</v>
      </c>
      <c r="E1125" s="213">
        <v>3757.45</v>
      </c>
    </row>
    <row r="1126" spans="1:5" ht="14.25">
      <c r="A1126" s="37">
        <v>2711</v>
      </c>
      <c r="B1126" s="37" t="s">
        <v>27945</v>
      </c>
      <c r="C1126" s="37" t="s">
        <v>2348</v>
      </c>
      <c r="D1126" s="37" t="s">
        <v>2353</v>
      </c>
      <c r="E1126" s="212">
        <v>196.9</v>
      </c>
    </row>
    <row r="1127" spans="1:5" ht="14.25">
      <c r="A1127" s="37">
        <v>37727</v>
      </c>
      <c r="B1127" s="37" t="s">
        <v>27946</v>
      </c>
      <c r="C1127" s="37" t="s">
        <v>2348</v>
      </c>
      <c r="D1127" s="37" t="s">
        <v>2351</v>
      </c>
      <c r="E1127" s="213">
        <v>17387.59</v>
      </c>
    </row>
    <row r="1128" spans="1:5" ht="14.25">
      <c r="A1128" s="37">
        <v>37728</v>
      </c>
      <c r="B1128" s="37" t="s">
        <v>21961</v>
      </c>
      <c r="C1128" s="37" t="s">
        <v>2348</v>
      </c>
      <c r="D1128" s="37" t="s">
        <v>2351</v>
      </c>
      <c r="E1128" s="213">
        <v>23588.75</v>
      </c>
    </row>
    <row r="1129" spans="1:5" ht="14.25">
      <c r="A1129" s="37">
        <v>37729</v>
      </c>
      <c r="B1129" s="37" t="s">
        <v>21962</v>
      </c>
      <c r="C1129" s="37" t="s">
        <v>2348</v>
      </c>
      <c r="D1129" s="37" t="s">
        <v>2351</v>
      </c>
      <c r="E1129" s="213">
        <v>25534.22</v>
      </c>
    </row>
    <row r="1130" spans="1:5" ht="14.25">
      <c r="A1130" s="37">
        <v>37730</v>
      </c>
      <c r="B1130" s="37" t="s">
        <v>21963</v>
      </c>
      <c r="C1130" s="37" t="s">
        <v>2348</v>
      </c>
      <c r="D1130" s="37" t="s">
        <v>2351</v>
      </c>
      <c r="E1130" s="213">
        <v>27479.68</v>
      </c>
    </row>
    <row r="1131" spans="1:5" ht="14.25">
      <c r="A1131" s="37">
        <v>37731</v>
      </c>
      <c r="B1131" s="37" t="s">
        <v>21964</v>
      </c>
      <c r="C1131" s="37" t="s">
        <v>2348</v>
      </c>
      <c r="D1131" s="37" t="s">
        <v>2351</v>
      </c>
      <c r="E1131" s="213">
        <v>29425.15</v>
      </c>
    </row>
    <row r="1132" spans="1:5" ht="14.25">
      <c r="A1132" s="37">
        <v>37732</v>
      </c>
      <c r="B1132" s="37" t="s">
        <v>21965</v>
      </c>
      <c r="C1132" s="37" t="s">
        <v>2348</v>
      </c>
      <c r="D1132" s="37" t="s">
        <v>2351</v>
      </c>
      <c r="E1132" s="213">
        <v>33559.26</v>
      </c>
    </row>
    <row r="1133" spans="1:5" ht="14.25">
      <c r="A1133" s="37">
        <v>42250</v>
      </c>
      <c r="B1133" s="37" t="s">
        <v>21966</v>
      </c>
      <c r="C1133" s="37" t="s">
        <v>2415</v>
      </c>
      <c r="D1133" s="37" t="s">
        <v>2349</v>
      </c>
      <c r="E1133" s="213">
        <v>2499.69</v>
      </c>
    </row>
    <row r="1134" spans="1:5" ht="14.25">
      <c r="A1134" s="37">
        <v>42256</v>
      </c>
      <c r="B1134" s="37" t="s">
        <v>21967</v>
      </c>
      <c r="C1134" s="37" t="s">
        <v>2356</v>
      </c>
      <c r="D1134" s="37" t="s">
        <v>2349</v>
      </c>
      <c r="E1134" s="212">
        <v>7.03</v>
      </c>
    </row>
    <row r="1135" spans="1:5" ht="14.25">
      <c r="A1135" s="37">
        <v>4743</v>
      </c>
      <c r="B1135" s="37" t="s">
        <v>21968</v>
      </c>
      <c r="C1135" s="37" t="s">
        <v>28760</v>
      </c>
      <c r="D1135" s="37" t="s">
        <v>2349</v>
      </c>
      <c r="E1135" s="212">
        <v>54.23</v>
      </c>
    </row>
    <row r="1136" spans="1:5" ht="14.25">
      <c r="A1136" s="37">
        <v>4744</v>
      </c>
      <c r="B1136" s="37" t="s">
        <v>21969</v>
      </c>
      <c r="C1136" s="37" t="s">
        <v>28760</v>
      </c>
      <c r="D1136" s="37" t="s">
        <v>2349</v>
      </c>
      <c r="E1136" s="212">
        <v>86.77</v>
      </c>
    </row>
    <row r="1137" spans="1:5" ht="14.25">
      <c r="A1137" s="37">
        <v>4745</v>
      </c>
      <c r="B1137" s="37" t="s">
        <v>21970</v>
      </c>
      <c r="C1137" s="37" t="s">
        <v>28760</v>
      </c>
      <c r="D1137" s="37" t="s">
        <v>2349</v>
      </c>
      <c r="E1137" s="212">
        <v>104.07</v>
      </c>
    </row>
    <row r="1138" spans="1:5" ht="14.25">
      <c r="A1138" s="37">
        <v>36496</v>
      </c>
      <c r="B1138" s="37" t="s">
        <v>21971</v>
      </c>
      <c r="C1138" s="37" t="s">
        <v>2348</v>
      </c>
      <c r="D1138" s="37" t="s">
        <v>2351</v>
      </c>
      <c r="E1138" s="213">
        <v>9540.09</v>
      </c>
    </row>
    <row r="1139" spans="1:5" ht="14.25">
      <c r="A1139" s="37">
        <v>10630</v>
      </c>
      <c r="B1139" s="37" t="s">
        <v>21972</v>
      </c>
      <c r="C1139" s="37" t="s">
        <v>2348</v>
      </c>
      <c r="D1139" s="37" t="s">
        <v>2351</v>
      </c>
      <c r="E1139" s="213">
        <v>642724.64</v>
      </c>
    </row>
    <row r="1140" spans="1:5" ht="14.25">
      <c r="A1140" s="37">
        <v>37762</v>
      </c>
      <c r="B1140" s="37" t="s">
        <v>21973</v>
      </c>
      <c r="C1140" s="37" t="s">
        <v>2348</v>
      </c>
      <c r="D1140" s="37" t="s">
        <v>2351</v>
      </c>
      <c r="E1140" s="213">
        <v>551225.76</v>
      </c>
    </row>
    <row r="1141" spans="1:5" ht="14.25">
      <c r="A1141" s="37">
        <v>37763</v>
      </c>
      <c r="B1141" s="37" t="s">
        <v>21974</v>
      </c>
      <c r="C1141" s="37" t="s">
        <v>2348</v>
      </c>
      <c r="D1141" s="37" t="s">
        <v>2351</v>
      </c>
      <c r="E1141" s="213">
        <v>557920.71</v>
      </c>
    </row>
    <row r="1142" spans="1:5" ht="14.25">
      <c r="A1142" s="37">
        <v>41992</v>
      </c>
      <c r="B1142" s="37" t="s">
        <v>21975</v>
      </c>
      <c r="C1142" s="37" t="s">
        <v>2348</v>
      </c>
      <c r="D1142" s="37" t="s">
        <v>2351</v>
      </c>
      <c r="E1142" s="213">
        <v>634244.35</v>
      </c>
    </row>
    <row r="1143" spans="1:5" ht="14.25">
      <c r="A1143" s="37">
        <v>13215</v>
      </c>
      <c r="B1143" s="37" t="s">
        <v>21976</v>
      </c>
      <c r="C1143" s="37" t="s">
        <v>2348</v>
      </c>
      <c r="D1143" s="37" t="s">
        <v>2351</v>
      </c>
      <c r="E1143" s="213">
        <v>777741.49</v>
      </c>
    </row>
    <row r="1144" spans="1:5" ht="14.25">
      <c r="A1144" s="37">
        <v>4235</v>
      </c>
      <c r="B1144" s="37" t="s">
        <v>21977</v>
      </c>
      <c r="C1144" s="37" t="s">
        <v>2352</v>
      </c>
      <c r="D1144" s="37" t="s">
        <v>2349</v>
      </c>
      <c r="E1144" s="212">
        <v>14.64</v>
      </c>
    </row>
    <row r="1145" spans="1:5" ht="14.25">
      <c r="A1145" s="37">
        <v>40976</v>
      </c>
      <c r="B1145" s="37" t="s">
        <v>21978</v>
      </c>
      <c r="C1145" s="37" t="s">
        <v>2369</v>
      </c>
      <c r="D1145" s="37" t="s">
        <v>2349</v>
      </c>
      <c r="E1145" s="213">
        <v>2576.0700000000002</v>
      </c>
    </row>
    <row r="1146" spans="1:5" ht="14.25">
      <c r="A1146" s="37">
        <v>39013</v>
      </c>
      <c r="B1146" s="37" t="s">
        <v>21979</v>
      </c>
      <c r="C1146" s="37" t="s">
        <v>2348</v>
      </c>
      <c r="D1146" s="37" t="s">
        <v>2349</v>
      </c>
      <c r="E1146" s="212">
        <v>1.34</v>
      </c>
    </row>
    <row r="1147" spans="1:5" ht="14.25">
      <c r="A1147" s="37">
        <v>43091</v>
      </c>
      <c r="B1147" s="37" t="s">
        <v>21980</v>
      </c>
      <c r="C1147" s="37" t="s">
        <v>2348</v>
      </c>
      <c r="D1147" s="37" t="s">
        <v>2349</v>
      </c>
      <c r="E1147" s="213">
        <v>5561.8</v>
      </c>
    </row>
    <row r="1148" spans="1:5" ht="14.25">
      <c r="A1148" s="37">
        <v>43092</v>
      </c>
      <c r="B1148" s="37" t="s">
        <v>21981</v>
      </c>
      <c r="C1148" s="37" t="s">
        <v>2348</v>
      </c>
      <c r="D1148" s="37" t="s">
        <v>2349</v>
      </c>
      <c r="E1148" s="213">
        <v>7415.74</v>
      </c>
    </row>
    <row r="1149" spans="1:5" ht="14.25">
      <c r="A1149" s="37">
        <v>43089</v>
      </c>
      <c r="B1149" s="37" t="s">
        <v>21982</v>
      </c>
      <c r="C1149" s="37" t="s">
        <v>2348</v>
      </c>
      <c r="D1149" s="37" t="s">
        <v>2349</v>
      </c>
      <c r="E1149" s="213">
        <v>1292.4000000000001</v>
      </c>
    </row>
    <row r="1150" spans="1:5" ht="14.25">
      <c r="A1150" s="37">
        <v>43090</v>
      </c>
      <c r="B1150" s="37" t="s">
        <v>21983</v>
      </c>
      <c r="C1150" s="37" t="s">
        <v>2348</v>
      </c>
      <c r="D1150" s="37" t="s">
        <v>2349</v>
      </c>
      <c r="E1150" s="213">
        <v>2852.2</v>
      </c>
    </row>
    <row r="1151" spans="1:5" ht="14.25">
      <c r="A1151" s="37">
        <v>41967</v>
      </c>
      <c r="B1151" s="37" t="s">
        <v>27947</v>
      </c>
      <c r="C1151" s="37" t="s">
        <v>2363</v>
      </c>
      <c r="D1151" s="37" t="s">
        <v>2349</v>
      </c>
      <c r="E1151" s="212">
        <v>16.52</v>
      </c>
    </row>
    <row r="1152" spans="1:5" ht="14.25">
      <c r="A1152" s="37">
        <v>12760</v>
      </c>
      <c r="B1152" s="37" t="s">
        <v>21984</v>
      </c>
      <c r="C1152" s="37" t="s">
        <v>28761</v>
      </c>
      <c r="D1152" s="37" t="s">
        <v>2349</v>
      </c>
      <c r="E1152" s="213">
        <v>1408.1</v>
      </c>
    </row>
    <row r="1153" spans="1:5" ht="14.25">
      <c r="A1153" s="37">
        <v>12759</v>
      </c>
      <c r="B1153" s="37" t="s">
        <v>21985</v>
      </c>
      <c r="C1153" s="37" t="s">
        <v>28761</v>
      </c>
      <c r="D1153" s="37" t="s">
        <v>2349</v>
      </c>
      <c r="E1153" s="212">
        <v>938.72</v>
      </c>
    </row>
    <row r="1154" spans="1:5" ht="14.25">
      <c r="A1154" s="37">
        <v>43105</v>
      </c>
      <c r="B1154" s="37" t="s">
        <v>21986</v>
      </c>
      <c r="C1154" s="37" t="s">
        <v>2356</v>
      </c>
      <c r="D1154" s="37" t="s">
        <v>2349</v>
      </c>
      <c r="E1154" s="212">
        <v>56.08</v>
      </c>
    </row>
    <row r="1155" spans="1:5" ht="14.25">
      <c r="A1155" s="37">
        <v>40424</v>
      </c>
      <c r="B1155" s="37" t="s">
        <v>21987</v>
      </c>
      <c r="C1155" s="37" t="s">
        <v>2356</v>
      </c>
      <c r="D1155" s="37" t="s">
        <v>2349</v>
      </c>
      <c r="E1155" s="212">
        <v>14.25</v>
      </c>
    </row>
    <row r="1156" spans="1:5" ht="14.25">
      <c r="A1156" s="37">
        <v>1325</v>
      </c>
      <c r="B1156" s="37" t="s">
        <v>21988</v>
      </c>
      <c r="C1156" s="37" t="s">
        <v>2356</v>
      </c>
      <c r="D1156" s="37" t="s">
        <v>2349</v>
      </c>
      <c r="E1156" s="212">
        <v>15.6</v>
      </c>
    </row>
    <row r="1157" spans="1:5" ht="14.25">
      <c r="A1157" s="37">
        <v>1327</v>
      </c>
      <c r="B1157" s="37" t="s">
        <v>21989</v>
      </c>
      <c r="C1157" s="37" t="s">
        <v>2356</v>
      </c>
      <c r="D1157" s="37" t="s">
        <v>2349</v>
      </c>
      <c r="E1157" s="212">
        <v>16.62</v>
      </c>
    </row>
    <row r="1158" spans="1:5" ht="14.25">
      <c r="A1158" s="37">
        <v>1328</v>
      </c>
      <c r="B1158" s="37" t="s">
        <v>21990</v>
      </c>
      <c r="C1158" s="37" t="s">
        <v>2356</v>
      </c>
      <c r="D1158" s="37" t="s">
        <v>2349</v>
      </c>
      <c r="E1158" s="212">
        <v>15.64</v>
      </c>
    </row>
    <row r="1159" spans="1:5" ht="14.25">
      <c r="A1159" s="37">
        <v>1321</v>
      </c>
      <c r="B1159" s="37" t="s">
        <v>21991</v>
      </c>
      <c r="C1159" s="37" t="s">
        <v>2356</v>
      </c>
      <c r="D1159" s="37" t="s">
        <v>2349</v>
      </c>
      <c r="E1159" s="212">
        <v>14.48</v>
      </c>
    </row>
    <row r="1160" spans="1:5" ht="14.25">
      <c r="A1160" s="37">
        <v>1318</v>
      </c>
      <c r="B1160" s="37" t="s">
        <v>21992</v>
      </c>
      <c r="C1160" s="37" t="s">
        <v>2356</v>
      </c>
      <c r="D1160" s="37" t="s">
        <v>2349</v>
      </c>
      <c r="E1160" s="212">
        <v>14.5</v>
      </c>
    </row>
    <row r="1161" spans="1:5" ht="14.25">
      <c r="A1161" s="37">
        <v>1322</v>
      </c>
      <c r="B1161" s="37" t="s">
        <v>21993</v>
      </c>
      <c r="C1161" s="37" t="s">
        <v>2356</v>
      </c>
      <c r="D1161" s="37" t="s">
        <v>2349</v>
      </c>
      <c r="E1161" s="212">
        <v>15.31</v>
      </c>
    </row>
    <row r="1162" spans="1:5" ht="14.25">
      <c r="A1162" s="37">
        <v>1323</v>
      </c>
      <c r="B1162" s="37" t="s">
        <v>21994</v>
      </c>
      <c r="C1162" s="37" t="s">
        <v>2356</v>
      </c>
      <c r="D1162" s="37" t="s">
        <v>2349</v>
      </c>
      <c r="E1162" s="212">
        <v>15.31</v>
      </c>
    </row>
    <row r="1163" spans="1:5" ht="14.25">
      <c r="A1163" s="37">
        <v>1319</v>
      </c>
      <c r="B1163" s="37" t="s">
        <v>21995</v>
      </c>
      <c r="C1163" s="37" t="s">
        <v>2356</v>
      </c>
      <c r="D1163" s="37" t="s">
        <v>2349</v>
      </c>
      <c r="E1163" s="212">
        <v>12.9</v>
      </c>
    </row>
    <row r="1164" spans="1:5" ht="14.25">
      <c r="A1164" s="37">
        <v>11026</v>
      </c>
      <c r="B1164" s="37" t="s">
        <v>21996</v>
      </c>
      <c r="C1164" s="37" t="s">
        <v>2356</v>
      </c>
      <c r="D1164" s="37" t="s">
        <v>2349</v>
      </c>
      <c r="E1164" s="212">
        <v>17.75</v>
      </c>
    </row>
    <row r="1165" spans="1:5" ht="14.25">
      <c r="A1165" s="37">
        <v>11027</v>
      </c>
      <c r="B1165" s="37" t="s">
        <v>21997</v>
      </c>
      <c r="C1165" s="37" t="s">
        <v>2356</v>
      </c>
      <c r="D1165" s="37" t="s">
        <v>2349</v>
      </c>
      <c r="E1165" s="212">
        <v>18.47</v>
      </c>
    </row>
    <row r="1166" spans="1:5" ht="14.25">
      <c r="A1166" s="37">
        <v>11046</v>
      </c>
      <c r="B1166" s="37" t="s">
        <v>21998</v>
      </c>
      <c r="C1166" s="37" t="s">
        <v>2356</v>
      </c>
      <c r="D1166" s="37" t="s">
        <v>2349</v>
      </c>
      <c r="E1166" s="212">
        <v>17.7</v>
      </c>
    </row>
    <row r="1167" spans="1:5" ht="14.25">
      <c r="A1167" s="37">
        <v>11047</v>
      </c>
      <c r="B1167" s="37" t="s">
        <v>21999</v>
      </c>
      <c r="C1167" s="37" t="s">
        <v>2356</v>
      </c>
      <c r="D1167" s="37" t="s">
        <v>2349</v>
      </c>
      <c r="E1167" s="212">
        <v>19.29</v>
      </c>
    </row>
    <row r="1168" spans="1:5" ht="14.25">
      <c r="A1168" s="37">
        <v>43668</v>
      </c>
      <c r="B1168" s="37" t="s">
        <v>22000</v>
      </c>
      <c r="C1168" s="37" t="s">
        <v>2356</v>
      </c>
      <c r="D1168" s="37" t="s">
        <v>2349</v>
      </c>
      <c r="E1168" s="212">
        <v>17.03</v>
      </c>
    </row>
    <row r="1169" spans="1:5" ht="14.25">
      <c r="A1169" s="37">
        <v>11049</v>
      </c>
      <c r="B1169" s="37" t="s">
        <v>22001</v>
      </c>
      <c r="C1169" s="37" t="s">
        <v>2356</v>
      </c>
      <c r="D1169" s="37" t="s">
        <v>2353</v>
      </c>
      <c r="E1169" s="212">
        <v>18.440000000000001</v>
      </c>
    </row>
    <row r="1170" spans="1:5" ht="14.25">
      <c r="A1170" s="37">
        <v>43106</v>
      </c>
      <c r="B1170" s="37" t="s">
        <v>22002</v>
      </c>
      <c r="C1170" s="37" t="s">
        <v>2356</v>
      </c>
      <c r="D1170" s="37" t="s">
        <v>2349</v>
      </c>
      <c r="E1170" s="212">
        <v>18.55</v>
      </c>
    </row>
    <row r="1171" spans="1:5" ht="14.25">
      <c r="A1171" s="37">
        <v>11051</v>
      </c>
      <c r="B1171" s="37" t="s">
        <v>22003</v>
      </c>
      <c r="C1171" s="37" t="s">
        <v>2356</v>
      </c>
      <c r="D1171" s="37" t="s">
        <v>2349</v>
      </c>
      <c r="E1171" s="212">
        <v>19.36</v>
      </c>
    </row>
    <row r="1172" spans="1:5" ht="14.25">
      <c r="A1172" s="37">
        <v>11061</v>
      </c>
      <c r="B1172" s="37" t="s">
        <v>22004</v>
      </c>
      <c r="C1172" s="37" t="s">
        <v>2356</v>
      </c>
      <c r="D1172" s="37" t="s">
        <v>2349</v>
      </c>
      <c r="E1172" s="212">
        <v>23.23</v>
      </c>
    </row>
    <row r="1173" spans="1:5" ht="14.25">
      <c r="A1173" s="37">
        <v>43667</v>
      </c>
      <c r="B1173" s="37" t="s">
        <v>22005</v>
      </c>
      <c r="C1173" s="37" t="s">
        <v>2356</v>
      </c>
      <c r="D1173" s="37" t="s">
        <v>2349</v>
      </c>
      <c r="E1173" s="212">
        <v>16.88</v>
      </c>
    </row>
    <row r="1174" spans="1:5" ht="14.25">
      <c r="A1174" s="37">
        <v>1333</v>
      </c>
      <c r="B1174" s="37" t="s">
        <v>22006</v>
      </c>
      <c r="C1174" s="37" t="s">
        <v>2356</v>
      </c>
      <c r="D1174" s="37" t="s">
        <v>2349</v>
      </c>
      <c r="E1174" s="212">
        <v>14.06</v>
      </c>
    </row>
    <row r="1175" spans="1:5" ht="14.25">
      <c r="A1175" s="37">
        <v>1330</v>
      </c>
      <c r="B1175" s="37" t="s">
        <v>22007</v>
      </c>
      <c r="C1175" s="37" t="s">
        <v>2356</v>
      </c>
      <c r="D1175" s="37" t="s">
        <v>2349</v>
      </c>
      <c r="E1175" s="212">
        <v>13.93</v>
      </c>
    </row>
    <row r="1176" spans="1:5" ht="14.25">
      <c r="A1176" s="37">
        <v>10957</v>
      </c>
      <c r="B1176" s="37" t="s">
        <v>22008</v>
      </c>
      <c r="C1176" s="37" t="s">
        <v>2356</v>
      </c>
      <c r="D1176" s="37" t="s">
        <v>2349</v>
      </c>
      <c r="E1176" s="212">
        <v>16.059999999999999</v>
      </c>
    </row>
    <row r="1177" spans="1:5" ht="14.25">
      <c r="A1177" s="37">
        <v>1332</v>
      </c>
      <c r="B1177" s="37" t="s">
        <v>22009</v>
      </c>
      <c r="C1177" s="37" t="s">
        <v>2356</v>
      </c>
      <c r="D1177" s="37" t="s">
        <v>2349</v>
      </c>
      <c r="E1177" s="212">
        <v>14.29</v>
      </c>
    </row>
    <row r="1178" spans="1:5" ht="14.25">
      <c r="A1178" s="37">
        <v>1334</v>
      </c>
      <c r="B1178" s="37" t="s">
        <v>22010</v>
      </c>
      <c r="C1178" s="37" t="s">
        <v>2356</v>
      </c>
      <c r="D1178" s="37" t="s">
        <v>2349</v>
      </c>
      <c r="E1178" s="212">
        <v>15.84</v>
      </c>
    </row>
    <row r="1179" spans="1:5" ht="14.25">
      <c r="A1179" s="37">
        <v>1335</v>
      </c>
      <c r="B1179" s="37" t="s">
        <v>22011</v>
      </c>
      <c r="C1179" s="37" t="s">
        <v>2356</v>
      </c>
      <c r="D1179" s="37" t="s">
        <v>2349</v>
      </c>
      <c r="E1179" s="212">
        <v>16.37</v>
      </c>
    </row>
    <row r="1180" spans="1:5" ht="14.25">
      <c r="A1180" s="37">
        <v>40425</v>
      </c>
      <c r="B1180" s="37" t="s">
        <v>22012</v>
      </c>
      <c r="C1180" s="37" t="s">
        <v>2356</v>
      </c>
      <c r="D1180" s="37" t="s">
        <v>2349</v>
      </c>
      <c r="E1180" s="212">
        <v>14.01</v>
      </c>
    </row>
    <row r="1181" spans="1:5" ht="14.25">
      <c r="A1181" s="37">
        <v>1337</v>
      </c>
      <c r="B1181" s="37" t="s">
        <v>22013</v>
      </c>
      <c r="C1181" s="37" t="s">
        <v>2356</v>
      </c>
      <c r="D1181" s="37" t="s">
        <v>2349</v>
      </c>
      <c r="E1181" s="212">
        <v>16.059999999999999</v>
      </c>
    </row>
    <row r="1182" spans="1:5" ht="14.25">
      <c r="A1182" s="37">
        <v>1338</v>
      </c>
      <c r="B1182" s="37" t="s">
        <v>22014</v>
      </c>
      <c r="C1182" s="37" t="s">
        <v>28761</v>
      </c>
      <c r="D1182" s="37" t="s">
        <v>2353</v>
      </c>
      <c r="E1182" s="212">
        <v>31.81</v>
      </c>
    </row>
    <row r="1183" spans="1:5" ht="14.25">
      <c r="A1183" s="37">
        <v>1340</v>
      </c>
      <c r="B1183" s="37" t="s">
        <v>22015</v>
      </c>
      <c r="C1183" s="37" t="s">
        <v>28761</v>
      </c>
      <c r="D1183" s="37" t="s">
        <v>2349</v>
      </c>
      <c r="E1183" s="212">
        <v>36.770000000000003</v>
      </c>
    </row>
    <row r="1184" spans="1:5" ht="14.25">
      <c r="A1184" s="37">
        <v>1341</v>
      </c>
      <c r="B1184" s="37" t="s">
        <v>22016</v>
      </c>
      <c r="C1184" s="37" t="s">
        <v>28761</v>
      </c>
      <c r="D1184" s="37" t="s">
        <v>2349</v>
      </c>
      <c r="E1184" s="212">
        <v>35.42</v>
      </c>
    </row>
    <row r="1185" spans="1:5" ht="14.25">
      <c r="A1185" s="37">
        <v>34659</v>
      </c>
      <c r="B1185" s="37" t="s">
        <v>22017</v>
      </c>
      <c r="C1185" s="37" t="s">
        <v>28761</v>
      </c>
      <c r="D1185" s="37" t="s">
        <v>2351</v>
      </c>
      <c r="E1185" s="212">
        <v>50.65</v>
      </c>
    </row>
    <row r="1186" spans="1:5" ht="14.25">
      <c r="A1186" s="37">
        <v>34514</v>
      </c>
      <c r="B1186" s="37" t="s">
        <v>22018</v>
      </c>
      <c r="C1186" s="37" t="s">
        <v>28761</v>
      </c>
      <c r="D1186" s="37" t="s">
        <v>2351</v>
      </c>
      <c r="E1186" s="212">
        <v>56.1</v>
      </c>
    </row>
    <row r="1187" spans="1:5" ht="14.25">
      <c r="A1187" s="37">
        <v>34660</v>
      </c>
      <c r="B1187" s="37" t="s">
        <v>22019</v>
      </c>
      <c r="C1187" s="37" t="s">
        <v>28761</v>
      </c>
      <c r="D1187" s="37" t="s">
        <v>2351</v>
      </c>
      <c r="E1187" s="212">
        <v>71.2</v>
      </c>
    </row>
    <row r="1188" spans="1:5" ht="14.25">
      <c r="A1188" s="37">
        <v>34661</v>
      </c>
      <c r="B1188" s="37" t="s">
        <v>22020</v>
      </c>
      <c r="C1188" s="37" t="s">
        <v>28761</v>
      </c>
      <c r="D1188" s="37" t="s">
        <v>2351</v>
      </c>
      <c r="E1188" s="212">
        <v>102.26</v>
      </c>
    </row>
    <row r="1189" spans="1:5" ht="14.25">
      <c r="A1189" s="37">
        <v>34667</v>
      </c>
      <c r="B1189" s="37" t="s">
        <v>22021</v>
      </c>
      <c r="C1189" s="37" t="s">
        <v>28761</v>
      </c>
      <c r="D1189" s="37" t="s">
        <v>2351</v>
      </c>
      <c r="E1189" s="212">
        <v>37.03</v>
      </c>
    </row>
    <row r="1190" spans="1:5" ht="14.25">
      <c r="A1190" s="37">
        <v>34668</v>
      </c>
      <c r="B1190" s="37" t="s">
        <v>22022</v>
      </c>
      <c r="C1190" s="37" t="s">
        <v>28761</v>
      </c>
      <c r="D1190" s="37" t="s">
        <v>2351</v>
      </c>
      <c r="E1190" s="212">
        <v>48.39</v>
      </c>
    </row>
    <row r="1191" spans="1:5" ht="14.25">
      <c r="A1191" s="37">
        <v>34741</v>
      </c>
      <c r="B1191" s="37" t="s">
        <v>22023</v>
      </c>
      <c r="C1191" s="37" t="s">
        <v>28761</v>
      </c>
      <c r="D1191" s="37" t="s">
        <v>2351</v>
      </c>
      <c r="E1191" s="212">
        <v>53.24</v>
      </c>
    </row>
    <row r="1192" spans="1:5" ht="14.25">
      <c r="A1192" s="37">
        <v>34664</v>
      </c>
      <c r="B1192" s="37" t="s">
        <v>22024</v>
      </c>
      <c r="C1192" s="37" t="s">
        <v>28761</v>
      </c>
      <c r="D1192" s="37" t="s">
        <v>2351</v>
      </c>
      <c r="E1192" s="212">
        <v>58.1</v>
      </c>
    </row>
    <row r="1193" spans="1:5" ht="14.25">
      <c r="A1193" s="37">
        <v>34665</v>
      </c>
      <c r="B1193" s="37" t="s">
        <v>22025</v>
      </c>
      <c r="C1193" s="37" t="s">
        <v>28761</v>
      </c>
      <c r="D1193" s="37" t="s">
        <v>2351</v>
      </c>
      <c r="E1193" s="212">
        <v>72.13</v>
      </c>
    </row>
    <row r="1194" spans="1:5" ht="14.25">
      <c r="A1194" s="37">
        <v>34666</v>
      </c>
      <c r="B1194" s="37" t="s">
        <v>22026</v>
      </c>
      <c r="C1194" s="37" t="s">
        <v>28761</v>
      </c>
      <c r="D1194" s="37" t="s">
        <v>2351</v>
      </c>
      <c r="E1194" s="212">
        <v>108.95</v>
      </c>
    </row>
    <row r="1195" spans="1:5" ht="14.25">
      <c r="A1195" s="37">
        <v>34669</v>
      </c>
      <c r="B1195" s="37" t="s">
        <v>22027</v>
      </c>
      <c r="C1195" s="37" t="s">
        <v>28761</v>
      </c>
      <c r="D1195" s="37" t="s">
        <v>2351</v>
      </c>
      <c r="E1195" s="212">
        <v>39.94</v>
      </c>
    </row>
    <row r="1196" spans="1:5" ht="14.25">
      <c r="A1196" s="37">
        <v>34670</v>
      </c>
      <c r="B1196" s="37" t="s">
        <v>22028</v>
      </c>
      <c r="C1196" s="37" t="s">
        <v>28761</v>
      </c>
      <c r="D1196" s="37" t="s">
        <v>2351</v>
      </c>
      <c r="E1196" s="212">
        <v>48.86</v>
      </c>
    </row>
    <row r="1197" spans="1:5" ht="14.25">
      <c r="A1197" s="37">
        <v>34671</v>
      </c>
      <c r="B1197" s="37" t="s">
        <v>22029</v>
      </c>
      <c r="C1197" s="37" t="s">
        <v>28761</v>
      </c>
      <c r="D1197" s="37" t="s">
        <v>2351</v>
      </c>
      <c r="E1197" s="212">
        <v>40.78</v>
      </c>
    </row>
    <row r="1198" spans="1:5" ht="14.25">
      <c r="A1198" s="37">
        <v>34672</v>
      </c>
      <c r="B1198" s="37" t="s">
        <v>22030</v>
      </c>
      <c r="C1198" s="37" t="s">
        <v>28761</v>
      </c>
      <c r="D1198" s="37" t="s">
        <v>2351</v>
      </c>
      <c r="E1198" s="212">
        <v>43</v>
      </c>
    </row>
    <row r="1199" spans="1:5" ht="14.25">
      <c r="A1199" s="37">
        <v>34673</v>
      </c>
      <c r="B1199" s="37" t="s">
        <v>22031</v>
      </c>
      <c r="C1199" s="37" t="s">
        <v>28761</v>
      </c>
      <c r="D1199" s="37" t="s">
        <v>2351</v>
      </c>
      <c r="E1199" s="212">
        <v>52.47</v>
      </c>
    </row>
    <row r="1200" spans="1:5" ht="14.25">
      <c r="A1200" s="37">
        <v>34674</v>
      </c>
      <c r="B1200" s="37" t="s">
        <v>22032</v>
      </c>
      <c r="C1200" s="37" t="s">
        <v>28761</v>
      </c>
      <c r="D1200" s="37" t="s">
        <v>2351</v>
      </c>
      <c r="E1200" s="212">
        <v>69.760000000000005</v>
      </c>
    </row>
    <row r="1201" spans="1:5" ht="14.25">
      <c r="A1201" s="37">
        <v>34675</v>
      </c>
      <c r="B1201" s="37" t="s">
        <v>22033</v>
      </c>
      <c r="C1201" s="37" t="s">
        <v>28761</v>
      </c>
      <c r="D1201" s="37" t="s">
        <v>2351</v>
      </c>
      <c r="E1201" s="212">
        <v>85.05</v>
      </c>
    </row>
    <row r="1202" spans="1:5" ht="14.25">
      <c r="A1202" s="37">
        <v>34676</v>
      </c>
      <c r="B1202" s="37" t="s">
        <v>22034</v>
      </c>
      <c r="C1202" s="37" t="s">
        <v>28761</v>
      </c>
      <c r="D1202" s="37" t="s">
        <v>2351</v>
      </c>
      <c r="E1202" s="212">
        <v>24.48</v>
      </c>
    </row>
    <row r="1203" spans="1:5" ht="14.25">
      <c r="A1203" s="37">
        <v>34677</v>
      </c>
      <c r="B1203" s="37" t="s">
        <v>22035</v>
      </c>
      <c r="C1203" s="37" t="s">
        <v>28761</v>
      </c>
      <c r="D1203" s="37" t="s">
        <v>2351</v>
      </c>
      <c r="E1203" s="212">
        <v>32.92</v>
      </c>
    </row>
    <row r="1204" spans="1:5" ht="14.25">
      <c r="A1204" s="37">
        <v>43126</v>
      </c>
      <c r="B1204" s="37" t="s">
        <v>22036</v>
      </c>
      <c r="C1204" s="37" t="s">
        <v>28761</v>
      </c>
      <c r="D1204" s="37" t="s">
        <v>2351</v>
      </c>
      <c r="E1204" s="212">
        <v>152.41999999999999</v>
      </c>
    </row>
    <row r="1205" spans="1:5" ht="14.25">
      <c r="A1205" s="37">
        <v>43124</v>
      </c>
      <c r="B1205" s="37" t="s">
        <v>22037</v>
      </c>
      <c r="C1205" s="37" t="s">
        <v>28761</v>
      </c>
      <c r="D1205" s="37" t="s">
        <v>2351</v>
      </c>
      <c r="E1205" s="212">
        <v>177.97</v>
      </c>
    </row>
    <row r="1206" spans="1:5" ht="14.25">
      <c r="A1206" s="37">
        <v>43125</v>
      </c>
      <c r="B1206" s="37" t="s">
        <v>22038</v>
      </c>
      <c r="C1206" s="37" t="s">
        <v>28761</v>
      </c>
      <c r="D1206" s="37" t="s">
        <v>2351</v>
      </c>
      <c r="E1206" s="212">
        <v>230.8</v>
      </c>
    </row>
    <row r="1207" spans="1:5" ht="14.25">
      <c r="A1207" s="37">
        <v>40623</v>
      </c>
      <c r="B1207" s="37" t="s">
        <v>22039</v>
      </c>
      <c r="C1207" s="37" t="s">
        <v>2382</v>
      </c>
      <c r="D1207" s="37" t="s">
        <v>2349</v>
      </c>
      <c r="E1207" s="212">
        <v>156.41</v>
      </c>
    </row>
    <row r="1208" spans="1:5" ht="14.25">
      <c r="A1208" s="37">
        <v>43701</v>
      </c>
      <c r="B1208" s="37" t="s">
        <v>22040</v>
      </c>
      <c r="C1208" s="37" t="s">
        <v>2356</v>
      </c>
      <c r="D1208" s="37" t="s">
        <v>2351</v>
      </c>
      <c r="E1208" s="212">
        <v>46.14</v>
      </c>
    </row>
    <row r="1209" spans="1:5" ht="14.25">
      <c r="A1209" s="37">
        <v>1345</v>
      </c>
      <c r="B1209" s="37" t="s">
        <v>27948</v>
      </c>
      <c r="C1209" s="37" t="s">
        <v>28761</v>
      </c>
      <c r="D1209" s="37" t="s">
        <v>2349</v>
      </c>
      <c r="E1209" s="212">
        <v>102.17</v>
      </c>
    </row>
    <row r="1210" spans="1:5" ht="14.25">
      <c r="A1210" s="37">
        <v>1346</v>
      </c>
      <c r="B1210" s="37" t="s">
        <v>27949</v>
      </c>
      <c r="C1210" s="37" t="s">
        <v>28761</v>
      </c>
      <c r="D1210" s="37" t="s">
        <v>2349</v>
      </c>
      <c r="E1210" s="212">
        <v>59.43</v>
      </c>
    </row>
    <row r="1211" spans="1:5" ht="14.25">
      <c r="A1211" s="37">
        <v>1347</v>
      </c>
      <c r="B1211" s="37" t="s">
        <v>27950</v>
      </c>
      <c r="C1211" s="37" t="s">
        <v>28761</v>
      </c>
      <c r="D1211" s="37" t="s">
        <v>2349</v>
      </c>
      <c r="E1211" s="212">
        <v>73.64</v>
      </c>
    </row>
    <row r="1212" spans="1:5" ht="14.25">
      <c r="A1212" s="37">
        <v>43678</v>
      </c>
      <c r="B1212" s="37" t="s">
        <v>27951</v>
      </c>
      <c r="C1212" s="37" t="s">
        <v>28761</v>
      </c>
      <c r="D1212" s="37" t="s">
        <v>2349</v>
      </c>
      <c r="E1212" s="212">
        <v>85.41</v>
      </c>
    </row>
    <row r="1213" spans="1:5" ht="14.25">
      <c r="A1213" s="37">
        <v>43680</v>
      </c>
      <c r="B1213" s="37" t="s">
        <v>27952</v>
      </c>
      <c r="C1213" s="37" t="s">
        <v>28761</v>
      </c>
      <c r="D1213" s="37" t="s">
        <v>2349</v>
      </c>
      <c r="E1213" s="212">
        <v>123.05</v>
      </c>
    </row>
    <row r="1214" spans="1:5" ht="14.25">
      <c r="A1214" s="37">
        <v>43679</v>
      </c>
      <c r="B1214" s="37" t="s">
        <v>27953</v>
      </c>
      <c r="C1214" s="37" t="s">
        <v>28761</v>
      </c>
      <c r="D1214" s="37" t="s">
        <v>2349</v>
      </c>
      <c r="E1214" s="212">
        <v>43.18</v>
      </c>
    </row>
    <row r="1215" spans="1:5" ht="14.25">
      <c r="A1215" s="37">
        <v>1355</v>
      </c>
      <c r="B1215" s="37" t="s">
        <v>27954</v>
      </c>
      <c r="C1215" s="37" t="s">
        <v>28761</v>
      </c>
      <c r="D1215" s="37" t="s">
        <v>2349</v>
      </c>
      <c r="E1215" s="212">
        <v>49.14</v>
      </c>
    </row>
    <row r="1216" spans="1:5" ht="14.25">
      <c r="A1216" s="37">
        <v>1358</v>
      </c>
      <c r="B1216" s="37" t="s">
        <v>27955</v>
      </c>
      <c r="C1216" s="37" t="s">
        <v>28761</v>
      </c>
      <c r="D1216" s="37" t="s">
        <v>2349</v>
      </c>
      <c r="E1216" s="212">
        <v>60.33</v>
      </c>
    </row>
    <row r="1217" spans="1:5" ht="14.25">
      <c r="A1217" s="37">
        <v>43681</v>
      </c>
      <c r="B1217" s="37" t="s">
        <v>27956</v>
      </c>
      <c r="C1217" s="37" t="s">
        <v>28761</v>
      </c>
      <c r="D1217" s="37" t="s">
        <v>2353</v>
      </c>
      <c r="E1217" s="212">
        <v>38.01</v>
      </c>
    </row>
    <row r="1218" spans="1:5" ht="14.25">
      <c r="A1218" s="37">
        <v>43677</v>
      </c>
      <c r="B1218" s="37" t="s">
        <v>27957</v>
      </c>
      <c r="C1218" s="37" t="s">
        <v>28761</v>
      </c>
      <c r="D1218" s="37" t="s">
        <v>2349</v>
      </c>
      <c r="E1218" s="212">
        <v>74.849999999999994</v>
      </c>
    </row>
    <row r="1219" spans="1:5" ht="14.25">
      <c r="A1219" s="37">
        <v>43682</v>
      </c>
      <c r="B1219" s="37" t="s">
        <v>27958</v>
      </c>
      <c r="C1219" s="37" t="s">
        <v>28761</v>
      </c>
      <c r="D1219" s="37" t="s">
        <v>2349</v>
      </c>
      <c r="E1219" s="212">
        <v>22.94</v>
      </c>
    </row>
    <row r="1220" spans="1:5" ht="14.25">
      <c r="A1220" s="37">
        <v>12083</v>
      </c>
      <c r="B1220" s="37" t="s">
        <v>22041</v>
      </c>
      <c r="C1220" s="37" t="s">
        <v>2348</v>
      </c>
      <c r="D1220" s="37" t="s">
        <v>2351</v>
      </c>
      <c r="E1220" s="212">
        <v>348.93</v>
      </c>
    </row>
    <row r="1221" spans="1:5" ht="14.25">
      <c r="A1221" s="37">
        <v>12081</v>
      </c>
      <c r="B1221" s="37" t="s">
        <v>22042</v>
      </c>
      <c r="C1221" s="37" t="s">
        <v>2348</v>
      </c>
      <c r="D1221" s="37" t="s">
        <v>2351</v>
      </c>
      <c r="E1221" s="212">
        <v>118</v>
      </c>
    </row>
    <row r="1222" spans="1:5" ht="14.25">
      <c r="A1222" s="37">
        <v>12082</v>
      </c>
      <c r="B1222" s="37" t="s">
        <v>22043</v>
      </c>
      <c r="C1222" s="37" t="s">
        <v>2348</v>
      </c>
      <c r="D1222" s="37" t="s">
        <v>2351</v>
      </c>
      <c r="E1222" s="212">
        <v>185.45</v>
      </c>
    </row>
    <row r="1223" spans="1:5" ht="14.25">
      <c r="A1223" s="37">
        <v>13354</v>
      </c>
      <c r="B1223" s="37" t="s">
        <v>22044</v>
      </c>
      <c r="C1223" s="37" t="s">
        <v>2348</v>
      </c>
      <c r="D1223" s="37" t="s">
        <v>2351</v>
      </c>
      <c r="E1223" s="212">
        <v>276.97000000000003</v>
      </c>
    </row>
    <row r="1224" spans="1:5" ht="14.25">
      <c r="A1224" s="37">
        <v>14057</v>
      </c>
      <c r="B1224" s="37" t="s">
        <v>22045</v>
      </c>
      <c r="C1224" s="37" t="s">
        <v>2348</v>
      </c>
      <c r="D1224" s="37" t="s">
        <v>2351</v>
      </c>
      <c r="E1224" s="212">
        <v>154.63999999999999</v>
      </c>
    </row>
    <row r="1225" spans="1:5" ht="14.25">
      <c r="A1225" s="37">
        <v>14058</v>
      </c>
      <c r="B1225" s="37" t="s">
        <v>22046</v>
      </c>
      <c r="C1225" s="37" t="s">
        <v>2348</v>
      </c>
      <c r="D1225" s="37" t="s">
        <v>2351</v>
      </c>
      <c r="E1225" s="212">
        <v>243.94</v>
      </c>
    </row>
    <row r="1226" spans="1:5" ht="14.25">
      <c r="A1226" s="37">
        <v>20971</v>
      </c>
      <c r="B1226" s="37" t="s">
        <v>22047</v>
      </c>
      <c r="C1226" s="37" t="s">
        <v>2348</v>
      </c>
      <c r="D1226" s="37" t="s">
        <v>2349</v>
      </c>
      <c r="E1226" s="212">
        <v>17.47</v>
      </c>
    </row>
    <row r="1227" spans="1:5" ht="14.25">
      <c r="A1227" s="37">
        <v>5047</v>
      </c>
      <c r="B1227" s="37" t="s">
        <v>22048</v>
      </c>
      <c r="C1227" s="37" t="s">
        <v>2348</v>
      </c>
      <c r="D1227" s="37" t="s">
        <v>2351</v>
      </c>
      <c r="E1227" s="212">
        <v>166.2</v>
      </c>
    </row>
    <row r="1228" spans="1:5" ht="14.25">
      <c r="A1228" s="37">
        <v>13369</v>
      </c>
      <c r="B1228" s="37" t="s">
        <v>22049</v>
      </c>
      <c r="C1228" s="37" t="s">
        <v>2348</v>
      </c>
      <c r="D1228" s="37" t="s">
        <v>2351</v>
      </c>
      <c r="E1228" s="212">
        <v>180.28</v>
      </c>
    </row>
    <row r="1229" spans="1:5" ht="14.25">
      <c r="A1229" s="37">
        <v>13370</v>
      </c>
      <c r="B1229" s="37" t="s">
        <v>22050</v>
      </c>
      <c r="C1229" s="37" t="s">
        <v>2348</v>
      </c>
      <c r="D1229" s="37" t="s">
        <v>2351</v>
      </c>
      <c r="E1229" s="212">
        <v>249.91</v>
      </c>
    </row>
    <row r="1230" spans="1:5" ht="14.25">
      <c r="A1230" s="37">
        <v>13279</v>
      </c>
      <c r="B1230" s="37" t="s">
        <v>22051</v>
      </c>
      <c r="C1230" s="37" t="s">
        <v>2356</v>
      </c>
      <c r="D1230" s="37" t="s">
        <v>2351</v>
      </c>
      <c r="E1230" s="212">
        <v>19.600000000000001</v>
      </c>
    </row>
    <row r="1231" spans="1:5" ht="14.25">
      <c r="A1231" s="37">
        <v>11977</v>
      </c>
      <c r="B1231" s="37" t="s">
        <v>22052</v>
      </c>
      <c r="C1231" s="37" t="s">
        <v>2348</v>
      </c>
      <c r="D1231" s="37" t="s">
        <v>2351</v>
      </c>
      <c r="E1231" s="212">
        <v>10.16</v>
      </c>
    </row>
    <row r="1232" spans="1:5" ht="14.25">
      <c r="A1232" s="37">
        <v>11975</v>
      </c>
      <c r="B1232" s="37" t="s">
        <v>22053</v>
      </c>
      <c r="C1232" s="37" t="s">
        <v>2348</v>
      </c>
      <c r="D1232" s="37" t="s">
        <v>2351</v>
      </c>
      <c r="E1232" s="212">
        <v>22.26</v>
      </c>
    </row>
    <row r="1233" spans="1:5" ht="14.25">
      <c r="A1233" s="37">
        <v>39746</v>
      </c>
      <c r="B1233" s="37" t="s">
        <v>22054</v>
      </c>
      <c r="C1233" s="37" t="s">
        <v>2348</v>
      </c>
      <c r="D1233" s="37" t="s">
        <v>2351</v>
      </c>
      <c r="E1233" s="212">
        <v>247.73</v>
      </c>
    </row>
    <row r="1234" spans="1:5" ht="14.25">
      <c r="A1234" s="37">
        <v>11976</v>
      </c>
      <c r="B1234" s="37" t="s">
        <v>22055</v>
      </c>
      <c r="C1234" s="37" t="s">
        <v>2348</v>
      </c>
      <c r="D1234" s="37" t="s">
        <v>2351</v>
      </c>
      <c r="E1234" s="212">
        <v>1.1399999999999999</v>
      </c>
    </row>
    <row r="1235" spans="1:5" ht="14.25">
      <c r="A1235" s="37">
        <v>1368</v>
      </c>
      <c r="B1235" s="37" t="s">
        <v>22056</v>
      </c>
      <c r="C1235" s="37" t="s">
        <v>2348</v>
      </c>
      <c r="D1235" s="37" t="s">
        <v>2353</v>
      </c>
      <c r="E1235" s="212">
        <v>65</v>
      </c>
    </row>
    <row r="1236" spans="1:5" ht="14.25">
      <c r="A1236" s="37">
        <v>1367</v>
      </c>
      <c r="B1236" s="37" t="s">
        <v>22057</v>
      </c>
      <c r="C1236" s="37" t="s">
        <v>2348</v>
      </c>
      <c r="D1236" s="37" t="s">
        <v>2349</v>
      </c>
      <c r="E1236" s="212">
        <v>210.25</v>
      </c>
    </row>
    <row r="1237" spans="1:5" ht="14.25">
      <c r="A1237" s="37">
        <v>41899</v>
      </c>
      <c r="B1237" s="37" t="s">
        <v>22058</v>
      </c>
      <c r="C1237" s="37" t="s">
        <v>2415</v>
      </c>
      <c r="D1237" s="37" t="s">
        <v>2353</v>
      </c>
      <c r="E1237" s="213">
        <v>4704.38</v>
      </c>
    </row>
    <row r="1238" spans="1:5" ht="14.25">
      <c r="A1238" s="37">
        <v>1380</v>
      </c>
      <c r="B1238" s="37" t="s">
        <v>22059</v>
      </c>
      <c r="C1238" s="37" t="s">
        <v>2356</v>
      </c>
      <c r="D1238" s="37" t="s">
        <v>2349</v>
      </c>
      <c r="E1238" s="212">
        <v>1.73</v>
      </c>
    </row>
    <row r="1239" spans="1:5" ht="14.25">
      <c r="A1239" s="37">
        <v>1375</v>
      </c>
      <c r="B1239" s="37" t="s">
        <v>22060</v>
      </c>
      <c r="C1239" s="37" t="s">
        <v>2356</v>
      </c>
      <c r="D1239" s="37" t="s">
        <v>2349</v>
      </c>
      <c r="E1239" s="212">
        <v>14.91</v>
      </c>
    </row>
    <row r="1240" spans="1:5" ht="14.25">
      <c r="A1240" s="37">
        <v>1379</v>
      </c>
      <c r="B1240" s="37" t="s">
        <v>22061</v>
      </c>
      <c r="C1240" s="37" t="s">
        <v>2356</v>
      </c>
      <c r="D1240" s="37" t="s">
        <v>2353</v>
      </c>
      <c r="E1240" s="212">
        <v>0.55000000000000004</v>
      </c>
    </row>
    <row r="1241" spans="1:5" ht="14.25">
      <c r="A1241" s="37">
        <v>13284</v>
      </c>
      <c r="B1241" s="37" t="s">
        <v>22062</v>
      </c>
      <c r="C1241" s="37" t="s">
        <v>2356</v>
      </c>
      <c r="D1241" s="37" t="s">
        <v>2349</v>
      </c>
      <c r="E1241" s="212">
        <v>0.55000000000000004</v>
      </c>
    </row>
    <row r="1242" spans="1:5" ht="14.25">
      <c r="A1242" s="37">
        <v>44528</v>
      </c>
      <c r="B1242" s="37" t="s">
        <v>27959</v>
      </c>
      <c r="C1242" s="37" t="s">
        <v>2356</v>
      </c>
      <c r="D1242" s="37" t="s">
        <v>2349</v>
      </c>
      <c r="E1242" s="212">
        <v>2.0699999999999998</v>
      </c>
    </row>
    <row r="1243" spans="1:5" ht="14.25">
      <c r="A1243" s="37">
        <v>34753</v>
      </c>
      <c r="B1243" s="37" t="s">
        <v>22063</v>
      </c>
      <c r="C1243" s="37" t="s">
        <v>2356</v>
      </c>
      <c r="D1243" s="37" t="s">
        <v>2349</v>
      </c>
      <c r="E1243" s="212">
        <v>0.6</v>
      </c>
    </row>
    <row r="1244" spans="1:5" ht="14.25">
      <c r="A1244" s="37">
        <v>420</v>
      </c>
      <c r="B1244" s="37" t="s">
        <v>22064</v>
      </c>
      <c r="C1244" s="37" t="s">
        <v>2348</v>
      </c>
      <c r="D1244" s="37" t="s">
        <v>2349</v>
      </c>
      <c r="E1244" s="212">
        <v>29.75</v>
      </c>
    </row>
    <row r="1245" spans="1:5" ht="14.25">
      <c r="A1245" s="37">
        <v>12327</v>
      </c>
      <c r="B1245" s="37" t="s">
        <v>22065</v>
      </c>
      <c r="C1245" s="37" t="s">
        <v>2348</v>
      </c>
      <c r="D1245" s="37" t="s">
        <v>2349</v>
      </c>
      <c r="E1245" s="212">
        <v>35.44</v>
      </c>
    </row>
    <row r="1246" spans="1:5" ht="14.25">
      <c r="A1246" s="37">
        <v>36148</v>
      </c>
      <c r="B1246" s="37" t="s">
        <v>22066</v>
      </c>
      <c r="C1246" s="37" t="s">
        <v>2348</v>
      </c>
      <c r="D1246" s="37" t="s">
        <v>2349</v>
      </c>
      <c r="E1246" s="212">
        <v>71.52</v>
      </c>
    </row>
    <row r="1247" spans="1:5" ht="14.25">
      <c r="A1247" s="37">
        <v>12329</v>
      </c>
      <c r="B1247" s="37" t="s">
        <v>22067</v>
      </c>
      <c r="C1247" s="37" t="s">
        <v>2356</v>
      </c>
      <c r="D1247" s="37" t="s">
        <v>2349</v>
      </c>
      <c r="E1247" s="212">
        <v>152.9</v>
      </c>
    </row>
    <row r="1248" spans="1:5" ht="14.25">
      <c r="A1248" s="37">
        <v>1339</v>
      </c>
      <c r="B1248" s="37" t="s">
        <v>22068</v>
      </c>
      <c r="C1248" s="37" t="s">
        <v>2356</v>
      </c>
      <c r="D1248" s="37" t="s">
        <v>2349</v>
      </c>
      <c r="E1248" s="212">
        <v>31.89</v>
      </c>
    </row>
    <row r="1249" spans="1:5" ht="14.25">
      <c r="A1249" s="37">
        <v>44396</v>
      </c>
      <c r="B1249" s="37" t="s">
        <v>22069</v>
      </c>
      <c r="C1249" s="37" t="s">
        <v>2356</v>
      </c>
      <c r="D1249" s="37" t="s">
        <v>2349</v>
      </c>
      <c r="E1249" s="212">
        <v>39.72</v>
      </c>
    </row>
    <row r="1250" spans="1:5" ht="14.25">
      <c r="A1250" s="37">
        <v>44327</v>
      </c>
      <c r="B1250" s="37" t="s">
        <v>22070</v>
      </c>
      <c r="C1250" s="37" t="s">
        <v>2363</v>
      </c>
      <c r="D1250" s="37" t="s">
        <v>2349</v>
      </c>
      <c r="E1250" s="212">
        <v>135.08000000000001</v>
      </c>
    </row>
    <row r="1251" spans="1:5" ht="14.25">
      <c r="A1251" s="37">
        <v>37418</v>
      </c>
      <c r="B1251" s="37" t="s">
        <v>22071</v>
      </c>
      <c r="C1251" s="37" t="s">
        <v>2348</v>
      </c>
      <c r="D1251" s="37" t="s">
        <v>2351</v>
      </c>
      <c r="E1251" s="212">
        <v>17.91</v>
      </c>
    </row>
    <row r="1252" spans="1:5" ht="14.25">
      <c r="A1252" s="37">
        <v>37419</v>
      </c>
      <c r="B1252" s="37" t="s">
        <v>22072</v>
      </c>
      <c r="C1252" s="37" t="s">
        <v>2348</v>
      </c>
      <c r="D1252" s="37" t="s">
        <v>2351</v>
      </c>
      <c r="E1252" s="212">
        <v>18.39</v>
      </c>
    </row>
    <row r="1253" spans="1:5" ht="14.25">
      <c r="A1253" s="37">
        <v>1427</v>
      </c>
      <c r="B1253" s="37" t="s">
        <v>22073</v>
      </c>
      <c r="C1253" s="37" t="s">
        <v>2348</v>
      </c>
      <c r="D1253" s="37" t="s">
        <v>2351</v>
      </c>
      <c r="E1253" s="212">
        <v>24.71</v>
      </c>
    </row>
    <row r="1254" spans="1:5" ht="14.25">
      <c r="A1254" s="37">
        <v>1402</v>
      </c>
      <c r="B1254" s="37" t="s">
        <v>22074</v>
      </c>
      <c r="C1254" s="37" t="s">
        <v>2348</v>
      </c>
      <c r="D1254" s="37" t="s">
        <v>2351</v>
      </c>
      <c r="E1254" s="212">
        <v>8.5500000000000007</v>
      </c>
    </row>
    <row r="1255" spans="1:5" ht="14.25">
      <c r="A1255" s="37">
        <v>1420</v>
      </c>
      <c r="B1255" s="37" t="s">
        <v>22075</v>
      </c>
      <c r="C1255" s="37" t="s">
        <v>2348</v>
      </c>
      <c r="D1255" s="37" t="s">
        <v>2351</v>
      </c>
      <c r="E1255" s="212">
        <v>11</v>
      </c>
    </row>
    <row r="1256" spans="1:5" ht="14.25">
      <c r="A1256" s="37">
        <v>1419</v>
      </c>
      <c r="B1256" s="37" t="s">
        <v>22076</v>
      </c>
      <c r="C1256" s="37" t="s">
        <v>2348</v>
      </c>
      <c r="D1256" s="37" t="s">
        <v>2351</v>
      </c>
      <c r="E1256" s="212">
        <v>13.28</v>
      </c>
    </row>
    <row r="1257" spans="1:5" ht="14.25">
      <c r="A1257" s="37">
        <v>1414</v>
      </c>
      <c r="B1257" s="37" t="s">
        <v>22077</v>
      </c>
      <c r="C1257" s="37" t="s">
        <v>2348</v>
      </c>
      <c r="D1257" s="37" t="s">
        <v>2351</v>
      </c>
      <c r="E1257" s="212">
        <v>12.99</v>
      </c>
    </row>
    <row r="1258" spans="1:5" ht="14.25">
      <c r="A1258" s="37">
        <v>1413</v>
      </c>
      <c r="B1258" s="37" t="s">
        <v>22078</v>
      </c>
      <c r="C1258" s="37" t="s">
        <v>2348</v>
      </c>
      <c r="D1258" s="37" t="s">
        <v>2351</v>
      </c>
      <c r="E1258" s="212">
        <v>19.190000000000001</v>
      </c>
    </row>
    <row r="1259" spans="1:5" ht="14.25">
      <c r="A1259" s="37">
        <v>1412</v>
      </c>
      <c r="B1259" s="37" t="s">
        <v>22079</v>
      </c>
      <c r="C1259" s="37" t="s">
        <v>2348</v>
      </c>
      <c r="D1259" s="37" t="s">
        <v>2351</v>
      </c>
      <c r="E1259" s="212">
        <v>16.260000000000002</v>
      </c>
    </row>
    <row r="1260" spans="1:5" ht="14.25">
      <c r="A1260" s="37">
        <v>1411</v>
      </c>
      <c r="B1260" s="37" t="s">
        <v>22080</v>
      </c>
      <c r="C1260" s="37" t="s">
        <v>2348</v>
      </c>
      <c r="D1260" s="37" t="s">
        <v>2351</v>
      </c>
      <c r="E1260" s="212">
        <v>29.59</v>
      </c>
    </row>
    <row r="1261" spans="1:5" ht="14.25">
      <c r="A1261" s="37">
        <v>1406</v>
      </c>
      <c r="B1261" s="37" t="s">
        <v>22081</v>
      </c>
      <c r="C1261" s="37" t="s">
        <v>2348</v>
      </c>
      <c r="D1261" s="37" t="s">
        <v>2351</v>
      </c>
      <c r="E1261" s="212">
        <v>19.62</v>
      </c>
    </row>
    <row r="1262" spans="1:5" ht="14.25">
      <c r="A1262" s="37">
        <v>1407</v>
      </c>
      <c r="B1262" s="37" t="s">
        <v>22082</v>
      </c>
      <c r="C1262" s="37" t="s">
        <v>2348</v>
      </c>
      <c r="D1262" s="37" t="s">
        <v>2351</v>
      </c>
      <c r="E1262" s="212">
        <v>24.47</v>
      </c>
    </row>
    <row r="1263" spans="1:5" ht="14.25">
      <c r="A1263" s="37">
        <v>1404</v>
      </c>
      <c r="B1263" s="37" t="s">
        <v>22083</v>
      </c>
      <c r="C1263" s="37" t="s">
        <v>2348</v>
      </c>
      <c r="D1263" s="37" t="s">
        <v>2351</v>
      </c>
      <c r="E1263" s="212">
        <v>26.01</v>
      </c>
    </row>
    <row r="1264" spans="1:5" ht="14.25">
      <c r="A1264" s="37">
        <v>11281</v>
      </c>
      <c r="B1264" s="37" t="s">
        <v>22084</v>
      </c>
      <c r="C1264" s="37" t="s">
        <v>2348</v>
      </c>
      <c r="D1264" s="37" t="s">
        <v>2351</v>
      </c>
      <c r="E1264" s="213">
        <v>10890</v>
      </c>
    </row>
    <row r="1265" spans="1:5" ht="14.25">
      <c r="A1265" s="37">
        <v>1442</v>
      </c>
      <c r="B1265" s="37" t="s">
        <v>22085</v>
      </c>
      <c r="C1265" s="37" t="s">
        <v>2348</v>
      </c>
      <c r="D1265" s="37" t="s">
        <v>2351</v>
      </c>
      <c r="E1265" s="213">
        <v>9142.07</v>
      </c>
    </row>
    <row r="1266" spans="1:5" ht="14.25">
      <c r="A1266" s="37">
        <v>13457</v>
      </c>
      <c r="B1266" s="37" t="s">
        <v>22086</v>
      </c>
      <c r="C1266" s="37" t="s">
        <v>2348</v>
      </c>
      <c r="D1266" s="37" t="s">
        <v>2351</v>
      </c>
      <c r="E1266" s="213">
        <v>7891.3</v>
      </c>
    </row>
    <row r="1267" spans="1:5" ht="14.25">
      <c r="A1267" s="37">
        <v>40699</v>
      </c>
      <c r="B1267" s="37" t="s">
        <v>22087</v>
      </c>
      <c r="C1267" s="37" t="s">
        <v>2348</v>
      </c>
      <c r="D1267" s="37" t="s">
        <v>2351</v>
      </c>
      <c r="E1267" s="213">
        <v>6100.27</v>
      </c>
    </row>
    <row r="1268" spans="1:5" ht="14.25">
      <c r="A1268" s="37">
        <v>40701</v>
      </c>
      <c r="B1268" s="37" t="s">
        <v>22088</v>
      </c>
      <c r="C1268" s="37" t="s">
        <v>2348</v>
      </c>
      <c r="D1268" s="37" t="s">
        <v>2351</v>
      </c>
      <c r="E1268" s="213">
        <v>107861.26</v>
      </c>
    </row>
    <row r="1269" spans="1:5" ht="14.25">
      <c r="A1269" s="37">
        <v>40700</v>
      </c>
      <c r="B1269" s="37" t="s">
        <v>22089</v>
      </c>
      <c r="C1269" s="37" t="s">
        <v>2348</v>
      </c>
      <c r="D1269" s="37" t="s">
        <v>2351</v>
      </c>
      <c r="E1269" s="213">
        <v>14200.65</v>
      </c>
    </row>
    <row r="1270" spans="1:5" ht="14.25">
      <c r="A1270" s="37">
        <v>13458</v>
      </c>
      <c r="B1270" s="37" t="s">
        <v>22090</v>
      </c>
      <c r="C1270" s="37" t="s">
        <v>2348</v>
      </c>
      <c r="D1270" s="37" t="s">
        <v>2351</v>
      </c>
      <c r="E1270" s="213">
        <v>13494.13</v>
      </c>
    </row>
    <row r="1271" spans="1:5" ht="14.25">
      <c r="A1271" s="37">
        <v>11134</v>
      </c>
      <c r="B1271" s="37" t="s">
        <v>27960</v>
      </c>
      <c r="C1271" s="37" t="s">
        <v>28761</v>
      </c>
      <c r="D1271" s="37" t="s">
        <v>2349</v>
      </c>
      <c r="E1271" s="212">
        <v>84.66</v>
      </c>
    </row>
    <row r="1272" spans="1:5" ht="14.25">
      <c r="A1272" s="37">
        <v>11135</v>
      </c>
      <c r="B1272" s="37" t="s">
        <v>27961</v>
      </c>
      <c r="C1272" s="37" t="s">
        <v>28761</v>
      </c>
      <c r="D1272" s="37" t="s">
        <v>2349</v>
      </c>
      <c r="E1272" s="212">
        <v>91.4</v>
      </c>
    </row>
    <row r="1273" spans="1:5" ht="14.25">
      <c r="A1273" s="37">
        <v>11136</v>
      </c>
      <c r="B1273" s="37" t="s">
        <v>27962</v>
      </c>
      <c r="C1273" s="37" t="s">
        <v>28761</v>
      </c>
      <c r="D1273" s="37" t="s">
        <v>2349</v>
      </c>
      <c r="E1273" s="212">
        <v>104.66</v>
      </c>
    </row>
    <row r="1274" spans="1:5" ht="14.25">
      <c r="A1274" s="37">
        <v>34743</v>
      </c>
      <c r="B1274" s="37" t="s">
        <v>27963</v>
      </c>
      <c r="C1274" s="37" t="s">
        <v>28761</v>
      </c>
      <c r="D1274" s="37" t="s">
        <v>2349</v>
      </c>
      <c r="E1274" s="212">
        <v>126.28</v>
      </c>
    </row>
    <row r="1275" spans="1:5" ht="14.25">
      <c r="A1275" s="37">
        <v>11137</v>
      </c>
      <c r="B1275" s="37" t="s">
        <v>27964</v>
      </c>
      <c r="C1275" s="37" t="s">
        <v>28761</v>
      </c>
      <c r="D1275" s="37" t="s">
        <v>2349</v>
      </c>
      <c r="E1275" s="212">
        <v>143.43</v>
      </c>
    </row>
    <row r="1276" spans="1:5" ht="14.25">
      <c r="A1276" s="37">
        <v>34745</v>
      </c>
      <c r="B1276" s="37" t="s">
        <v>27965</v>
      </c>
      <c r="C1276" s="37" t="s">
        <v>28761</v>
      </c>
      <c r="D1276" s="37" t="s">
        <v>2349</v>
      </c>
      <c r="E1276" s="212">
        <v>170.56</v>
      </c>
    </row>
    <row r="1277" spans="1:5" ht="14.25">
      <c r="A1277" s="37">
        <v>34746</v>
      </c>
      <c r="B1277" s="37" t="s">
        <v>27966</v>
      </c>
      <c r="C1277" s="37" t="s">
        <v>28761</v>
      </c>
      <c r="D1277" s="37" t="s">
        <v>2349</v>
      </c>
      <c r="E1277" s="212">
        <v>46.51</v>
      </c>
    </row>
    <row r="1278" spans="1:5" ht="14.25">
      <c r="A1278" s="37">
        <v>1360</v>
      </c>
      <c r="B1278" s="37" t="s">
        <v>27967</v>
      </c>
      <c r="C1278" s="37" t="s">
        <v>28761</v>
      </c>
      <c r="D1278" s="37" t="s">
        <v>2349</v>
      </c>
      <c r="E1278" s="212">
        <v>54.27</v>
      </c>
    </row>
    <row r="1279" spans="1:5" ht="14.25">
      <c r="A1279" s="37">
        <v>36524</v>
      </c>
      <c r="B1279" s="37" t="s">
        <v>22091</v>
      </c>
      <c r="C1279" s="37" t="s">
        <v>2348</v>
      </c>
      <c r="D1279" s="37" t="s">
        <v>2351</v>
      </c>
      <c r="E1279" s="213">
        <v>143153.87</v>
      </c>
    </row>
    <row r="1280" spans="1:5" ht="14.25">
      <c r="A1280" s="37">
        <v>36526</v>
      </c>
      <c r="B1280" s="37" t="s">
        <v>22092</v>
      </c>
      <c r="C1280" s="37" t="s">
        <v>2348</v>
      </c>
      <c r="D1280" s="37" t="s">
        <v>2351</v>
      </c>
      <c r="E1280" s="213">
        <v>115359.21</v>
      </c>
    </row>
    <row r="1281" spans="1:5" ht="14.25">
      <c r="A1281" s="37">
        <v>36523</v>
      </c>
      <c r="B1281" s="37" t="s">
        <v>22093</v>
      </c>
      <c r="C1281" s="37" t="s">
        <v>2348</v>
      </c>
      <c r="D1281" s="37" t="s">
        <v>2351</v>
      </c>
      <c r="E1281" s="213">
        <v>246968.51</v>
      </c>
    </row>
    <row r="1282" spans="1:5" ht="14.25">
      <c r="A1282" s="37">
        <v>36527</v>
      </c>
      <c r="B1282" s="37" t="s">
        <v>22094</v>
      </c>
      <c r="C1282" s="37" t="s">
        <v>2348</v>
      </c>
      <c r="D1282" s="37" t="s">
        <v>2351</v>
      </c>
      <c r="E1282" s="213">
        <v>268258.67</v>
      </c>
    </row>
    <row r="1283" spans="1:5" ht="14.25">
      <c r="A1283" s="37">
        <v>13803</v>
      </c>
      <c r="B1283" s="37" t="s">
        <v>22095</v>
      </c>
      <c r="C1283" s="37" t="s">
        <v>2348</v>
      </c>
      <c r="D1283" s="37" t="s">
        <v>2351</v>
      </c>
      <c r="E1283" s="213">
        <v>97000</v>
      </c>
    </row>
    <row r="1284" spans="1:5" ht="14.25">
      <c r="A1284" s="37">
        <v>38642</v>
      </c>
      <c r="B1284" s="37" t="s">
        <v>22096</v>
      </c>
      <c r="C1284" s="37" t="s">
        <v>2348</v>
      </c>
      <c r="D1284" s="37" t="s">
        <v>2351</v>
      </c>
      <c r="E1284" s="213">
        <v>62457.5</v>
      </c>
    </row>
    <row r="1285" spans="1:5" ht="14.25">
      <c r="A1285" s="37">
        <v>36522</v>
      </c>
      <c r="B1285" s="37" t="s">
        <v>22097</v>
      </c>
      <c r="C1285" s="37" t="s">
        <v>2348</v>
      </c>
      <c r="D1285" s="37" t="s">
        <v>2351</v>
      </c>
      <c r="E1285" s="213">
        <v>72637.33</v>
      </c>
    </row>
    <row r="1286" spans="1:5" ht="14.25">
      <c r="A1286" s="37">
        <v>36525</v>
      </c>
      <c r="B1286" s="37" t="s">
        <v>22098</v>
      </c>
      <c r="C1286" s="37" t="s">
        <v>2348</v>
      </c>
      <c r="D1286" s="37" t="s">
        <v>2351</v>
      </c>
      <c r="E1286" s="213">
        <v>97278.35</v>
      </c>
    </row>
    <row r="1287" spans="1:5" ht="14.25">
      <c r="A1287" s="37">
        <v>34348</v>
      </c>
      <c r="B1287" s="37" t="s">
        <v>22099</v>
      </c>
      <c r="C1287" s="37" t="s">
        <v>2355</v>
      </c>
      <c r="D1287" s="37" t="s">
        <v>2349</v>
      </c>
      <c r="E1287" s="212">
        <v>33.43</v>
      </c>
    </row>
    <row r="1288" spans="1:5" ht="14.25">
      <c r="A1288" s="37">
        <v>34347</v>
      </c>
      <c r="B1288" s="37" t="s">
        <v>22100</v>
      </c>
      <c r="C1288" s="37" t="s">
        <v>2355</v>
      </c>
      <c r="D1288" s="37" t="s">
        <v>2349</v>
      </c>
      <c r="E1288" s="212">
        <v>23.9</v>
      </c>
    </row>
    <row r="1289" spans="1:5" ht="14.25">
      <c r="A1289" s="37">
        <v>11146</v>
      </c>
      <c r="B1289" s="37" t="s">
        <v>22101</v>
      </c>
      <c r="C1289" s="37" t="s">
        <v>28760</v>
      </c>
      <c r="D1289" s="37" t="s">
        <v>2349</v>
      </c>
      <c r="E1289" s="212">
        <v>378.08</v>
      </c>
    </row>
    <row r="1290" spans="1:5" ht="14.25">
      <c r="A1290" s="37">
        <v>11147</v>
      </c>
      <c r="B1290" s="37" t="s">
        <v>22102</v>
      </c>
      <c r="C1290" s="37" t="s">
        <v>28760</v>
      </c>
      <c r="D1290" s="37" t="s">
        <v>2349</v>
      </c>
      <c r="E1290" s="212">
        <v>392.88</v>
      </c>
    </row>
    <row r="1291" spans="1:5" ht="14.25">
      <c r="A1291" s="37">
        <v>34872</v>
      </c>
      <c r="B1291" s="37" t="s">
        <v>22103</v>
      </c>
      <c r="C1291" s="37" t="s">
        <v>28760</v>
      </c>
      <c r="D1291" s="37" t="s">
        <v>2349</v>
      </c>
      <c r="E1291" s="212">
        <v>397.29</v>
      </c>
    </row>
    <row r="1292" spans="1:5" ht="14.25">
      <c r="A1292" s="37">
        <v>34491</v>
      </c>
      <c r="B1292" s="37" t="s">
        <v>22104</v>
      </c>
      <c r="C1292" s="37" t="s">
        <v>28760</v>
      </c>
      <c r="D1292" s="37" t="s">
        <v>2349</v>
      </c>
      <c r="E1292" s="212">
        <v>408.8</v>
      </c>
    </row>
    <row r="1293" spans="1:5" ht="14.25">
      <c r="A1293" s="37">
        <v>34770</v>
      </c>
      <c r="B1293" s="37" t="s">
        <v>22105</v>
      </c>
      <c r="C1293" s="37" t="s">
        <v>2415</v>
      </c>
      <c r="D1293" s="37" t="s">
        <v>2349</v>
      </c>
      <c r="E1293" s="212">
        <v>554.69000000000005</v>
      </c>
    </row>
    <row r="1294" spans="1:5" ht="14.25">
      <c r="A1294" s="37">
        <v>1518</v>
      </c>
      <c r="B1294" s="37" t="s">
        <v>22106</v>
      </c>
      <c r="C1294" s="37" t="s">
        <v>2415</v>
      </c>
      <c r="D1294" s="37" t="s">
        <v>2353</v>
      </c>
      <c r="E1294" s="212">
        <v>565.5</v>
      </c>
    </row>
    <row r="1295" spans="1:5" ht="14.25">
      <c r="A1295" s="37">
        <v>41965</v>
      </c>
      <c r="B1295" s="37" t="s">
        <v>22107</v>
      </c>
      <c r="C1295" s="37" t="s">
        <v>2415</v>
      </c>
      <c r="D1295" s="37" t="s">
        <v>2349</v>
      </c>
      <c r="E1295" s="212">
        <v>495.85</v>
      </c>
    </row>
    <row r="1296" spans="1:5" ht="14.25">
      <c r="A1296" s="37">
        <v>34492</v>
      </c>
      <c r="B1296" s="37" t="s">
        <v>22108</v>
      </c>
      <c r="C1296" s="37" t="s">
        <v>28760</v>
      </c>
      <c r="D1296" s="37" t="s">
        <v>2353</v>
      </c>
      <c r="E1296" s="212">
        <v>336</v>
      </c>
    </row>
    <row r="1297" spans="1:5" ht="14.25">
      <c r="A1297" s="37">
        <v>1524</v>
      </c>
      <c r="B1297" s="37" t="s">
        <v>22109</v>
      </c>
      <c r="C1297" s="37" t="s">
        <v>28760</v>
      </c>
      <c r="D1297" s="37" t="s">
        <v>2349</v>
      </c>
      <c r="E1297" s="212">
        <v>362.74</v>
      </c>
    </row>
    <row r="1298" spans="1:5" ht="14.25">
      <c r="A1298" s="37">
        <v>38404</v>
      </c>
      <c r="B1298" s="37" t="s">
        <v>22110</v>
      </c>
      <c r="C1298" s="37" t="s">
        <v>28760</v>
      </c>
      <c r="D1298" s="37" t="s">
        <v>2349</v>
      </c>
      <c r="E1298" s="212">
        <v>348.03</v>
      </c>
    </row>
    <row r="1299" spans="1:5" ht="14.25">
      <c r="A1299" s="37">
        <v>39849</v>
      </c>
      <c r="B1299" s="37" t="s">
        <v>22111</v>
      </c>
      <c r="C1299" s="37" t="s">
        <v>28760</v>
      </c>
      <c r="D1299" s="37" t="s">
        <v>2349</v>
      </c>
      <c r="E1299" s="212">
        <v>398.84</v>
      </c>
    </row>
    <row r="1300" spans="1:5" ht="14.25">
      <c r="A1300" s="37">
        <v>38464</v>
      </c>
      <c r="B1300" s="37" t="s">
        <v>22112</v>
      </c>
      <c r="C1300" s="37" t="s">
        <v>28760</v>
      </c>
      <c r="D1300" s="37" t="s">
        <v>2349</v>
      </c>
      <c r="E1300" s="212">
        <v>404.63</v>
      </c>
    </row>
    <row r="1301" spans="1:5" ht="14.25">
      <c r="A1301" s="37">
        <v>34493</v>
      </c>
      <c r="B1301" s="37" t="s">
        <v>22113</v>
      </c>
      <c r="C1301" s="37" t="s">
        <v>28760</v>
      </c>
      <c r="D1301" s="37" t="s">
        <v>2349</v>
      </c>
      <c r="E1301" s="212">
        <v>345.47</v>
      </c>
    </row>
    <row r="1302" spans="1:5" ht="14.25">
      <c r="A1302" s="37">
        <v>1527</v>
      </c>
      <c r="B1302" s="37" t="s">
        <v>22114</v>
      </c>
      <c r="C1302" s="37" t="s">
        <v>28760</v>
      </c>
      <c r="D1302" s="37" t="s">
        <v>2349</v>
      </c>
      <c r="E1302" s="212">
        <v>374.26</v>
      </c>
    </row>
    <row r="1303" spans="1:5" ht="14.25">
      <c r="A1303" s="37">
        <v>38405</v>
      </c>
      <c r="B1303" s="37" t="s">
        <v>22115</v>
      </c>
      <c r="C1303" s="37" t="s">
        <v>28760</v>
      </c>
      <c r="D1303" s="37" t="s">
        <v>2349</v>
      </c>
      <c r="E1303" s="212">
        <v>358.76</v>
      </c>
    </row>
    <row r="1304" spans="1:5" ht="14.25">
      <c r="A1304" s="37">
        <v>38408</v>
      </c>
      <c r="B1304" s="37" t="s">
        <v>22116</v>
      </c>
      <c r="C1304" s="37" t="s">
        <v>28760</v>
      </c>
      <c r="D1304" s="37" t="s">
        <v>2349</v>
      </c>
      <c r="E1304" s="212">
        <v>397.11</v>
      </c>
    </row>
    <row r="1305" spans="1:5" ht="14.25">
      <c r="A1305" s="37">
        <v>34494</v>
      </c>
      <c r="B1305" s="37" t="s">
        <v>22117</v>
      </c>
      <c r="C1305" s="37" t="s">
        <v>28760</v>
      </c>
      <c r="D1305" s="37" t="s">
        <v>2349</v>
      </c>
      <c r="E1305" s="212">
        <v>356.98</v>
      </c>
    </row>
    <row r="1306" spans="1:5" ht="14.25">
      <c r="A1306" s="37">
        <v>1525</v>
      </c>
      <c r="B1306" s="37" t="s">
        <v>22118</v>
      </c>
      <c r="C1306" s="37" t="s">
        <v>28760</v>
      </c>
      <c r="D1306" s="37" t="s">
        <v>2349</v>
      </c>
      <c r="E1306" s="212">
        <v>385.77</v>
      </c>
    </row>
    <row r="1307" spans="1:5" ht="14.25">
      <c r="A1307" s="37">
        <v>38406</v>
      </c>
      <c r="B1307" s="37" t="s">
        <v>22119</v>
      </c>
      <c r="C1307" s="37" t="s">
        <v>28760</v>
      </c>
      <c r="D1307" s="37" t="s">
        <v>2349</v>
      </c>
      <c r="E1307" s="212">
        <v>378.83</v>
      </c>
    </row>
    <row r="1308" spans="1:5" ht="14.25">
      <c r="A1308" s="37">
        <v>38409</v>
      </c>
      <c r="B1308" s="37" t="s">
        <v>22120</v>
      </c>
      <c r="C1308" s="37" t="s">
        <v>28760</v>
      </c>
      <c r="D1308" s="37" t="s">
        <v>2349</v>
      </c>
      <c r="E1308" s="212">
        <v>399.82</v>
      </c>
    </row>
    <row r="1309" spans="1:5" ht="14.25">
      <c r="A1309" s="37">
        <v>43360</v>
      </c>
      <c r="B1309" s="37" t="s">
        <v>22121</v>
      </c>
      <c r="C1309" s="37" t="s">
        <v>28760</v>
      </c>
      <c r="D1309" s="37" t="s">
        <v>2349</v>
      </c>
      <c r="E1309" s="212">
        <v>416.9</v>
      </c>
    </row>
    <row r="1310" spans="1:5" ht="14.25">
      <c r="A1310" s="37">
        <v>34495</v>
      </c>
      <c r="B1310" s="37" t="s">
        <v>22122</v>
      </c>
      <c r="C1310" s="37" t="s">
        <v>28760</v>
      </c>
      <c r="D1310" s="37" t="s">
        <v>2349</v>
      </c>
      <c r="E1310" s="212">
        <v>368.5</v>
      </c>
    </row>
    <row r="1311" spans="1:5" ht="14.25">
      <c r="A1311" s="37">
        <v>11145</v>
      </c>
      <c r="B1311" s="37" t="s">
        <v>22123</v>
      </c>
      <c r="C1311" s="37" t="s">
        <v>28760</v>
      </c>
      <c r="D1311" s="37" t="s">
        <v>2349</v>
      </c>
      <c r="E1311" s="212">
        <v>397.29</v>
      </c>
    </row>
    <row r="1312" spans="1:5" ht="14.25">
      <c r="A1312" s="37">
        <v>34496</v>
      </c>
      <c r="B1312" s="37" t="s">
        <v>22124</v>
      </c>
      <c r="C1312" s="37" t="s">
        <v>28760</v>
      </c>
      <c r="D1312" s="37" t="s">
        <v>2349</v>
      </c>
      <c r="E1312" s="212">
        <v>384.41</v>
      </c>
    </row>
    <row r="1313" spans="1:5" ht="14.25">
      <c r="A1313" s="37">
        <v>34479</v>
      </c>
      <c r="B1313" s="37" t="s">
        <v>22125</v>
      </c>
      <c r="C1313" s="37" t="s">
        <v>28760</v>
      </c>
      <c r="D1313" s="37" t="s">
        <v>2349</v>
      </c>
      <c r="E1313" s="212">
        <v>408.8</v>
      </c>
    </row>
    <row r="1314" spans="1:5" ht="14.25">
      <c r="A1314" s="37">
        <v>34481</v>
      </c>
      <c r="B1314" s="37" t="s">
        <v>22126</v>
      </c>
      <c r="C1314" s="37" t="s">
        <v>28760</v>
      </c>
      <c r="D1314" s="37" t="s">
        <v>2349</v>
      </c>
      <c r="E1314" s="212">
        <v>427.15</v>
      </c>
    </row>
    <row r="1315" spans="1:5" ht="14.25">
      <c r="A1315" s="37">
        <v>34483</v>
      </c>
      <c r="B1315" s="37" t="s">
        <v>22127</v>
      </c>
      <c r="C1315" s="37" t="s">
        <v>28760</v>
      </c>
      <c r="D1315" s="37" t="s">
        <v>2349</v>
      </c>
      <c r="E1315" s="212">
        <v>456.38</v>
      </c>
    </row>
    <row r="1316" spans="1:5" ht="14.25">
      <c r="A1316" s="37">
        <v>34485</v>
      </c>
      <c r="B1316" s="37" t="s">
        <v>22128</v>
      </c>
      <c r="C1316" s="37" t="s">
        <v>28760</v>
      </c>
      <c r="D1316" s="37" t="s">
        <v>2349</v>
      </c>
      <c r="E1316" s="212">
        <v>488.05</v>
      </c>
    </row>
    <row r="1317" spans="1:5" ht="14.25">
      <c r="A1317" s="37">
        <v>14041</v>
      </c>
      <c r="B1317" s="37" t="s">
        <v>22129</v>
      </c>
      <c r="C1317" s="37" t="s">
        <v>28760</v>
      </c>
      <c r="D1317" s="37" t="s">
        <v>2349</v>
      </c>
      <c r="E1317" s="212">
        <v>317.25</v>
      </c>
    </row>
    <row r="1318" spans="1:5" ht="14.25">
      <c r="A1318" s="37">
        <v>1523</v>
      </c>
      <c r="B1318" s="37" t="s">
        <v>22130</v>
      </c>
      <c r="C1318" s="37" t="s">
        <v>28760</v>
      </c>
      <c r="D1318" s="37" t="s">
        <v>2349</v>
      </c>
      <c r="E1318" s="212">
        <v>322.44</v>
      </c>
    </row>
    <row r="1319" spans="1:5" ht="14.25">
      <c r="A1319" s="37">
        <v>14052</v>
      </c>
      <c r="B1319" s="37" t="s">
        <v>22131</v>
      </c>
      <c r="C1319" s="37" t="s">
        <v>2348</v>
      </c>
      <c r="D1319" s="37" t="s">
        <v>2349</v>
      </c>
      <c r="E1319" s="212">
        <v>13.78</v>
      </c>
    </row>
    <row r="1320" spans="1:5" ht="14.25">
      <c r="A1320" s="37">
        <v>14054</v>
      </c>
      <c r="B1320" s="37" t="s">
        <v>22132</v>
      </c>
      <c r="C1320" s="37" t="s">
        <v>2348</v>
      </c>
      <c r="D1320" s="37" t="s">
        <v>2349</v>
      </c>
      <c r="E1320" s="212">
        <v>17.920000000000002</v>
      </c>
    </row>
    <row r="1321" spans="1:5" ht="14.25">
      <c r="A1321" s="37">
        <v>14053</v>
      </c>
      <c r="B1321" s="37" t="s">
        <v>22133</v>
      </c>
      <c r="C1321" s="37" t="s">
        <v>2348</v>
      </c>
      <c r="D1321" s="37" t="s">
        <v>2349</v>
      </c>
      <c r="E1321" s="212">
        <v>13.99</v>
      </c>
    </row>
    <row r="1322" spans="1:5" ht="14.25">
      <c r="A1322" s="37">
        <v>2558</v>
      </c>
      <c r="B1322" s="37" t="s">
        <v>22134</v>
      </c>
      <c r="C1322" s="37" t="s">
        <v>2348</v>
      </c>
      <c r="D1322" s="37" t="s">
        <v>2349</v>
      </c>
      <c r="E1322" s="212">
        <v>10.53</v>
      </c>
    </row>
    <row r="1323" spans="1:5" ht="14.25">
      <c r="A1323" s="37">
        <v>2560</v>
      </c>
      <c r="B1323" s="37" t="s">
        <v>22135</v>
      </c>
      <c r="C1323" s="37" t="s">
        <v>2348</v>
      </c>
      <c r="D1323" s="37" t="s">
        <v>2349</v>
      </c>
      <c r="E1323" s="212">
        <v>18.54</v>
      </c>
    </row>
    <row r="1324" spans="1:5" ht="14.25">
      <c r="A1324" s="37">
        <v>2559</v>
      </c>
      <c r="B1324" s="37" t="s">
        <v>22136</v>
      </c>
      <c r="C1324" s="37" t="s">
        <v>2348</v>
      </c>
      <c r="D1324" s="37" t="s">
        <v>2353</v>
      </c>
      <c r="E1324" s="212">
        <v>14.83</v>
      </c>
    </row>
    <row r="1325" spans="1:5" ht="14.25">
      <c r="A1325" s="37">
        <v>2592</v>
      </c>
      <c r="B1325" s="37" t="s">
        <v>22137</v>
      </c>
      <c r="C1325" s="37" t="s">
        <v>2348</v>
      </c>
      <c r="D1325" s="37" t="s">
        <v>2349</v>
      </c>
      <c r="E1325" s="212">
        <v>245.85</v>
      </c>
    </row>
    <row r="1326" spans="1:5" ht="14.25">
      <c r="A1326" s="37">
        <v>2566</v>
      </c>
      <c r="B1326" s="37" t="s">
        <v>22138</v>
      </c>
      <c r="C1326" s="37" t="s">
        <v>2348</v>
      </c>
      <c r="D1326" s="37" t="s">
        <v>2349</v>
      </c>
      <c r="E1326" s="212">
        <v>24.74</v>
      </c>
    </row>
    <row r="1327" spans="1:5" ht="14.25">
      <c r="A1327" s="37">
        <v>2589</v>
      </c>
      <c r="B1327" s="37" t="s">
        <v>22139</v>
      </c>
      <c r="C1327" s="37" t="s">
        <v>2348</v>
      </c>
      <c r="D1327" s="37" t="s">
        <v>2349</v>
      </c>
      <c r="E1327" s="212">
        <v>32.880000000000003</v>
      </c>
    </row>
    <row r="1328" spans="1:5" ht="14.25">
      <c r="A1328" s="37">
        <v>2591</v>
      </c>
      <c r="B1328" s="37" t="s">
        <v>22140</v>
      </c>
      <c r="C1328" s="37" t="s">
        <v>2348</v>
      </c>
      <c r="D1328" s="37" t="s">
        <v>2349</v>
      </c>
      <c r="E1328" s="212">
        <v>11.99</v>
      </c>
    </row>
    <row r="1329" spans="1:5" ht="14.25">
      <c r="A1329" s="37">
        <v>2590</v>
      </c>
      <c r="B1329" s="37" t="s">
        <v>22141</v>
      </c>
      <c r="C1329" s="37" t="s">
        <v>2348</v>
      </c>
      <c r="D1329" s="37" t="s">
        <v>2349</v>
      </c>
      <c r="E1329" s="212">
        <v>20.18</v>
      </c>
    </row>
    <row r="1330" spans="1:5" ht="14.25">
      <c r="A1330" s="37">
        <v>2567</v>
      </c>
      <c r="B1330" s="37" t="s">
        <v>22142</v>
      </c>
      <c r="C1330" s="37" t="s">
        <v>2348</v>
      </c>
      <c r="D1330" s="37" t="s">
        <v>2349</v>
      </c>
      <c r="E1330" s="212">
        <v>48.23</v>
      </c>
    </row>
    <row r="1331" spans="1:5" ht="14.25">
      <c r="A1331" s="37">
        <v>2565</v>
      </c>
      <c r="B1331" s="37" t="s">
        <v>22143</v>
      </c>
      <c r="C1331" s="37" t="s">
        <v>2348</v>
      </c>
      <c r="D1331" s="37" t="s">
        <v>2349</v>
      </c>
      <c r="E1331" s="212">
        <v>12.01</v>
      </c>
    </row>
    <row r="1332" spans="1:5" ht="14.25">
      <c r="A1332" s="37">
        <v>2568</v>
      </c>
      <c r="B1332" s="37" t="s">
        <v>22144</v>
      </c>
      <c r="C1332" s="37" t="s">
        <v>2348</v>
      </c>
      <c r="D1332" s="37" t="s">
        <v>2349</v>
      </c>
      <c r="E1332" s="212">
        <v>133.94</v>
      </c>
    </row>
    <row r="1333" spans="1:5" ht="14.25">
      <c r="A1333" s="37">
        <v>2594</v>
      </c>
      <c r="B1333" s="37" t="s">
        <v>22145</v>
      </c>
      <c r="C1333" s="37" t="s">
        <v>2348</v>
      </c>
      <c r="D1333" s="37" t="s">
        <v>2349</v>
      </c>
      <c r="E1333" s="212">
        <v>223.14</v>
      </c>
    </row>
    <row r="1334" spans="1:5" ht="14.25">
      <c r="A1334" s="37">
        <v>2587</v>
      </c>
      <c r="B1334" s="37" t="s">
        <v>22146</v>
      </c>
      <c r="C1334" s="37" t="s">
        <v>2348</v>
      </c>
      <c r="D1334" s="37" t="s">
        <v>2349</v>
      </c>
      <c r="E1334" s="212">
        <v>38.03</v>
      </c>
    </row>
    <row r="1335" spans="1:5" ht="14.25">
      <c r="A1335" s="37">
        <v>2588</v>
      </c>
      <c r="B1335" s="37" t="s">
        <v>22147</v>
      </c>
      <c r="C1335" s="37" t="s">
        <v>2348</v>
      </c>
      <c r="D1335" s="37" t="s">
        <v>2349</v>
      </c>
      <c r="E1335" s="212">
        <v>30.21</v>
      </c>
    </row>
    <row r="1336" spans="1:5" ht="14.25">
      <c r="A1336" s="37">
        <v>2569</v>
      </c>
      <c r="B1336" s="37" t="s">
        <v>22148</v>
      </c>
      <c r="C1336" s="37" t="s">
        <v>2348</v>
      </c>
      <c r="D1336" s="37" t="s">
        <v>2349</v>
      </c>
      <c r="E1336" s="212">
        <v>11.64</v>
      </c>
    </row>
    <row r="1337" spans="1:5" ht="14.25">
      <c r="A1337" s="37">
        <v>2570</v>
      </c>
      <c r="B1337" s="37" t="s">
        <v>22149</v>
      </c>
      <c r="C1337" s="37" t="s">
        <v>2348</v>
      </c>
      <c r="D1337" s="37" t="s">
        <v>2349</v>
      </c>
      <c r="E1337" s="212">
        <v>19.510000000000002</v>
      </c>
    </row>
    <row r="1338" spans="1:5" ht="14.25">
      <c r="A1338" s="37">
        <v>2571</v>
      </c>
      <c r="B1338" s="37" t="s">
        <v>22150</v>
      </c>
      <c r="C1338" s="37" t="s">
        <v>2348</v>
      </c>
      <c r="D1338" s="37" t="s">
        <v>2349</v>
      </c>
      <c r="E1338" s="212">
        <v>57.92</v>
      </c>
    </row>
    <row r="1339" spans="1:5" ht="14.25">
      <c r="A1339" s="37">
        <v>2593</v>
      </c>
      <c r="B1339" s="37" t="s">
        <v>22151</v>
      </c>
      <c r="C1339" s="37" t="s">
        <v>2348</v>
      </c>
      <c r="D1339" s="37" t="s">
        <v>2349</v>
      </c>
      <c r="E1339" s="212">
        <v>12.41</v>
      </c>
    </row>
    <row r="1340" spans="1:5" ht="14.25">
      <c r="A1340" s="37">
        <v>2572</v>
      </c>
      <c r="B1340" s="37" t="s">
        <v>22152</v>
      </c>
      <c r="C1340" s="37" t="s">
        <v>2348</v>
      </c>
      <c r="D1340" s="37" t="s">
        <v>2349</v>
      </c>
      <c r="E1340" s="212">
        <v>171.29</v>
      </c>
    </row>
    <row r="1341" spans="1:5" ht="14.25">
      <c r="A1341" s="37">
        <v>2595</v>
      </c>
      <c r="B1341" s="37" t="s">
        <v>22153</v>
      </c>
      <c r="C1341" s="37" t="s">
        <v>2348</v>
      </c>
      <c r="D1341" s="37" t="s">
        <v>2349</v>
      </c>
      <c r="E1341" s="212">
        <v>267.25</v>
      </c>
    </row>
    <row r="1342" spans="1:5" ht="14.25">
      <c r="A1342" s="37">
        <v>2576</v>
      </c>
      <c r="B1342" s="37" t="s">
        <v>22154</v>
      </c>
      <c r="C1342" s="37" t="s">
        <v>2348</v>
      </c>
      <c r="D1342" s="37" t="s">
        <v>2349</v>
      </c>
      <c r="E1342" s="212">
        <v>45.56</v>
      </c>
    </row>
    <row r="1343" spans="1:5" ht="14.25">
      <c r="A1343" s="37">
        <v>2575</v>
      </c>
      <c r="B1343" s="37" t="s">
        <v>22155</v>
      </c>
      <c r="C1343" s="37" t="s">
        <v>2348</v>
      </c>
      <c r="D1343" s="37" t="s">
        <v>2349</v>
      </c>
      <c r="E1343" s="212">
        <v>34.25</v>
      </c>
    </row>
    <row r="1344" spans="1:5" ht="14.25">
      <c r="A1344" s="37">
        <v>2573</v>
      </c>
      <c r="B1344" s="37" t="s">
        <v>22156</v>
      </c>
      <c r="C1344" s="37" t="s">
        <v>2348</v>
      </c>
      <c r="D1344" s="37" t="s">
        <v>2349</v>
      </c>
      <c r="E1344" s="212">
        <v>14.22</v>
      </c>
    </row>
    <row r="1345" spans="1:5" ht="14.25">
      <c r="A1345" s="37">
        <v>2586</v>
      </c>
      <c r="B1345" s="37" t="s">
        <v>22157</v>
      </c>
      <c r="C1345" s="37" t="s">
        <v>2348</v>
      </c>
      <c r="D1345" s="37" t="s">
        <v>2349</v>
      </c>
      <c r="E1345" s="212">
        <v>23.05</v>
      </c>
    </row>
    <row r="1346" spans="1:5" ht="14.25">
      <c r="A1346" s="37">
        <v>2577</v>
      </c>
      <c r="B1346" s="37" t="s">
        <v>22158</v>
      </c>
      <c r="C1346" s="37" t="s">
        <v>2348</v>
      </c>
      <c r="D1346" s="37" t="s">
        <v>2349</v>
      </c>
      <c r="E1346" s="212">
        <v>61.73</v>
      </c>
    </row>
    <row r="1347" spans="1:5" ht="14.25">
      <c r="A1347" s="37">
        <v>2574</v>
      </c>
      <c r="B1347" s="37" t="s">
        <v>22159</v>
      </c>
      <c r="C1347" s="37" t="s">
        <v>2348</v>
      </c>
      <c r="D1347" s="37" t="s">
        <v>2349</v>
      </c>
      <c r="E1347" s="212">
        <v>14.31</v>
      </c>
    </row>
    <row r="1348" spans="1:5" ht="14.25">
      <c r="A1348" s="37">
        <v>2578</v>
      </c>
      <c r="B1348" s="37" t="s">
        <v>22160</v>
      </c>
      <c r="C1348" s="37" t="s">
        <v>2348</v>
      </c>
      <c r="D1348" s="37" t="s">
        <v>2349</v>
      </c>
      <c r="E1348" s="212">
        <v>192.73</v>
      </c>
    </row>
    <row r="1349" spans="1:5" ht="14.25">
      <c r="A1349" s="37">
        <v>2585</v>
      </c>
      <c r="B1349" s="37" t="s">
        <v>22161</v>
      </c>
      <c r="C1349" s="37" t="s">
        <v>2348</v>
      </c>
      <c r="D1349" s="37" t="s">
        <v>2349</v>
      </c>
      <c r="E1349" s="212">
        <v>264.48</v>
      </c>
    </row>
    <row r="1350" spans="1:5" ht="14.25">
      <c r="A1350" s="37">
        <v>12008</v>
      </c>
      <c r="B1350" s="37" t="s">
        <v>22162</v>
      </c>
      <c r="C1350" s="37" t="s">
        <v>2348</v>
      </c>
      <c r="D1350" s="37" t="s">
        <v>2349</v>
      </c>
      <c r="E1350" s="212">
        <v>141.9</v>
      </c>
    </row>
    <row r="1351" spans="1:5" ht="14.25">
      <c r="A1351" s="37">
        <v>2582</v>
      </c>
      <c r="B1351" s="37" t="s">
        <v>22163</v>
      </c>
      <c r="C1351" s="37" t="s">
        <v>2348</v>
      </c>
      <c r="D1351" s="37" t="s">
        <v>2349</v>
      </c>
      <c r="E1351" s="212">
        <v>42.26</v>
      </c>
    </row>
    <row r="1352" spans="1:5" ht="14.25">
      <c r="A1352" s="37">
        <v>2597</v>
      </c>
      <c r="B1352" s="37" t="s">
        <v>22164</v>
      </c>
      <c r="C1352" s="37" t="s">
        <v>2348</v>
      </c>
      <c r="D1352" s="37" t="s">
        <v>2349</v>
      </c>
      <c r="E1352" s="212">
        <v>36.22</v>
      </c>
    </row>
    <row r="1353" spans="1:5" ht="14.25">
      <c r="A1353" s="37">
        <v>2579</v>
      </c>
      <c r="B1353" s="37" t="s">
        <v>22165</v>
      </c>
      <c r="C1353" s="37" t="s">
        <v>2348</v>
      </c>
      <c r="D1353" s="37" t="s">
        <v>2349</v>
      </c>
      <c r="E1353" s="212">
        <v>17.239999999999998</v>
      </c>
    </row>
    <row r="1354" spans="1:5" ht="14.25">
      <c r="A1354" s="37">
        <v>2581</v>
      </c>
      <c r="B1354" s="37" t="s">
        <v>22166</v>
      </c>
      <c r="C1354" s="37" t="s">
        <v>2348</v>
      </c>
      <c r="D1354" s="37" t="s">
        <v>2349</v>
      </c>
      <c r="E1354" s="212">
        <v>22.06</v>
      </c>
    </row>
    <row r="1355" spans="1:5" ht="14.25">
      <c r="A1355" s="37">
        <v>2596</v>
      </c>
      <c r="B1355" s="37" t="s">
        <v>22167</v>
      </c>
      <c r="C1355" s="37" t="s">
        <v>2348</v>
      </c>
      <c r="D1355" s="37" t="s">
        <v>2349</v>
      </c>
      <c r="E1355" s="212">
        <v>65.25</v>
      </c>
    </row>
    <row r="1356" spans="1:5" ht="14.25">
      <c r="A1356" s="37">
        <v>2580</v>
      </c>
      <c r="B1356" s="37" t="s">
        <v>22168</v>
      </c>
      <c r="C1356" s="37" t="s">
        <v>2348</v>
      </c>
      <c r="D1356" s="37" t="s">
        <v>2349</v>
      </c>
      <c r="E1356" s="212">
        <v>18.899999999999999</v>
      </c>
    </row>
    <row r="1357" spans="1:5" ht="14.25">
      <c r="A1357" s="37">
        <v>2583</v>
      </c>
      <c r="B1357" s="37" t="s">
        <v>22169</v>
      </c>
      <c r="C1357" s="37" t="s">
        <v>2348</v>
      </c>
      <c r="D1357" s="37" t="s">
        <v>2349</v>
      </c>
      <c r="E1357" s="212">
        <v>158.71</v>
      </c>
    </row>
    <row r="1358" spans="1:5" ht="14.25">
      <c r="A1358" s="37">
        <v>2584</v>
      </c>
      <c r="B1358" s="37" t="s">
        <v>22170</v>
      </c>
      <c r="C1358" s="37" t="s">
        <v>2348</v>
      </c>
      <c r="D1358" s="37" t="s">
        <v>2349</v>
      </c>
      <c r="E1358" s="212">
        <v>264.20999999999998</v>
      </c>
    </row>
    <row r="1359" spans="1:5" ht="14.25">
      <c r="A1359" s="37">
        <v>12010</v>
      </c>
      <c r="B1359" s="37" t="s">
        <v>22171</v>
      </c>
      <c r="C1359" s="37" t="s">
        <v>2348</v>
      </c>
      <c r="D1359" s="37" t="s">
        <v>2349</v>
      </c>
      <c r="E1359" s="212">
        <v>12.64</v>
      </c>
    </row>
    <row r="1360" spans="1:5" ht="14.25">
      <c r="A1360" s="37">
        <v>39329</v>
      </c>
      <c r="B1360" s="37" t="s">
        <v>22172</v>
      </c>
      <c r="C1360" s="37" t="s">
        <v>2348</v>
      </c>
      <c r="D1360" s="37" t="s">
        <v>2349</v>
      </c>
      <c r="E1360" s="212">
        <v>13.22</v>
      </c>
    </row>
    <row r="1361" spans="1:5" ht="14.25">
      <c r="A1361" s="37">
        <v>39330</v>
      </c>
      <c r="B1361" s="37" t="s">
        <v>22173</v>
      </c>
      <c r="C1361" s="37" t="s">
        <v>2348</v>
      </c>
      <c r="D1361" s="37" t="s">
        <v>2349</v>
      </c>
      <c r="E1361" s="212">
        <v>13.9</v>
      </c>
    </row>
    <row r="1362" spans="1:5" ht="14.25">
      <c r="A1362" s="37">
        <v>39332</v>
      </c>
      <c r="B1362" s="37" t="s">
        <v>22174</v>
      </c>
      <c r="C1362" s="37" t="s">
        <v>2348</v>
      </c>
      <c r="D1362" s="37" t="s">
        <v>2349</v>
      </c>
      <c r="E1362" s="212">
        <v>15.54</v>
      </c>
    </row>
    <row r="1363" spans="1:5" ht="14.25">
      <c r="A1363" s="37">
        <v>39331</v>
      </c>
      <c r="B1363" s="37" t="s">
        <v>22175</v>
      </c>
      <c r="C1363" s="37" t="s">
        <v>2348</v>
      </c>
      <c r="D1363" s="37" t="s">
        <v>2349</v>
      </c>
      <c r="E1363" s="212">
        <v>12.37</v>
      </c>
    </row>
    <row r="1364" spans="1:5" ht="14.25">
      <c r="A1364" s="37">
        <v>39333</v>
      </c>
      <c r="B1364" s="37" t="s">
        <v>22176</v>
      </c>
      <c r="C1364" s="37" t="s">
        <v>2348</v>
      </c>
      <c r="D1364" s="37" t="s">
        <v>2349</v>
      </c>
      <c r="E1364" s="212">
        <v>12.06</v>
      </c>
    </row>
    <row r="1365" spans="1:5" ht="14.25">
      <c r="A1365" s="37">
        <v>39335</v>
      </c>
      <c r="B1365" s="37" t="s">
        <v>22177</v>
      </c>
      <c r="C1365" s="37" t="s">
        <v>2348</v>
      </c>
      <c r="D1365" s="37" t="s">
        <v>2349</v>
      </c>
      <c r="E1365" s="212">
        <v>13.95</v>
      </c>
    </row>
    <row r="1366" spans="1:5" ht="14.25">
      <c r="A1366" s="37">
        <v>39334</v>
      </c>
      <c r="B1366" s="37" t="s">
        <v>22178</v>
      </c>
      <c r="C1366" s="37" t="s">
        <v>2348</v>
      </c>
      <c r="D1366" s="37" t="s">
        <v>2349</v>
      </c>
      <c r="E1366" s="212">
        <v>11.09</v>
      </c>
    </row>
    <row r="1367" spans="1:5" ht="14.25">
      <c r="A1367" s="37">
        <v>12016</v>
      </c>
      <c r="B1367" s="37" t="s">
        <v>22179</v>
      </c>
      <c r="C1367" s="37" t="s">
        <v>2348</v>
      </c>
      <c r="D1367" s="37" t="s">
        <v>2349</v>
      </c>
      <c r="E1367" s="212">
        <v>13.92</v>
      </c>
    </row>
    <row r="1368" spans="1:5" ht="14.25">
      <c r="A1368" s="37">
        <v>12015</v>
      </c>
      <c r="B1368" s="37" t="s">
        <v>22180</v>
      </c>
      <c r="C1368" s="37" t="s">
        <v>2348</v>
      </c>
      <c r="D1368" s="37" t="s">
        <v>2349</v>
      </c>
      <c r="E1368" s="212">
        <v>16.21</v>
      </c>
    </row>
    <row r="1369" spans="1:5" ht="14.25">
      <c r="A1369" s="37">
        <v>12020</v>
      </c>
      <c r="B1369" s="37" t="s">
        <v>22181</v>
      </c>
      <c r="C1369" s="37" t="s">
        <v>2348</v>
      </c>
      <c r="D1369" s="37" t="s">
        <v>2349</v>
      </c>
      <c r="E1369" s="212">
        <v>13.92</v>
      </c>
    </row>
    <row r="1370" spans="1:5" ht="14.25">
      <c r="A1370" s="37">
        <v>12019</v>
      </c>
      <c r="B1370" s="37" t="s">
        <v>22182</v>
      </c>
      <c r="C1370" s="37" t="s">
        <v>2348</v>
      </c>
      <c r="D1370" s="37" t="s">
        <v>2349</v>
      </c>
      <c r="E1370" s="212">
        <v>16.21</v>
      </c>
    </row>
    <row r="1371" spans="1:5" ht="14.25">
      <c r="A1371" s="37">
        <v>39336</v>
      </c>
      <c r="B1371" s="37" t="s">
        <v>22183</v>
      </c>
      <c r="C1371" s="37" t="s">
        <v>2348</v>
      </c>
      <c r="D1371" s="37" t="s">
        <v>2349</v>
      </c>
      <c r="E1371" s="212">
        <v>13.9</v>
      </c>
    </row>
    <row r="1372" spans="1:5" ht="14.25">
      <c r="A1372" s="37">
        <v>39338</v>
      </c>
      <c r="B1372" s="37" t="s">
        <v>22184</v>
      </c>
      <c r="C1372" s="37" t="s">
        <v>2348</v>
      </c>
      <c r="D1372" s="37" t="s">
        <v>2349</v>
      </c>
      <c r="E1372" s="212">
        <v>15.54</v>
      </c>
    </row>
    <row r="1373" spans="1:5" ht="14.25">
      <c r="A1373" s="37">
        <v>39337</v>
      </c>
      <c r="B1373" s="37" t="s">
        <v>22185</v>
      </c>
      <c r="C1373" s="37" t="s">
        <v>2348</v>
      </c>
      <c r="D1373" s="37" t="s">
        <v>2349</v>
      </c>
      <c r="E1373" s="212">
        <v>12.37</v>
      </c>
    </row>
    <row r="1374" spans="1:5" ht="14.25">
      <c r="A1374" s="37">
        <v>39341</v>
      </c>
      <c r="B1374" s="37" t="s">
        <v>22186</v>
      </c>
      <c r="C1374" s="37" t="s">
        <v>2348</v>
      </c>
      <c r="D1374" s="37" t="s">
        <v>2349</v>
      </c>
      <c r="E1374" s="212">
        <v>20.260000000000002</v>
      </c>
    </row>
    <row r="1375" spans="1:5" ht="14.25">
      <c r="A1375" s="37">
        <v>39340</v>
      </c>
      <c r="B1375" s="37" t="s">
        <v>22187</v>
      </c>
      <c r="C1375" s="37" t="s">
        <v>2348</v>
      </c>
      <c r="D1375" s="37" t="s">
        <v>2349</v>
      </c>
      <c r="E1375" s="212">
        <v>14.87</v>
      </c>
    </row>
    <row r="1376" spans="1:5" ht="14.25">
      <c r="A1376" s="37">
        <v>12025</v>
      </c>
      <c r="B1376" s="37" t="s">
        <v>22188</v>
      </c>
      <c r="C1376" s="37" t="s">
        <v>2348</v>
      </c>
      <c r="D1376" s="37" t="s">
        <v>2349</v>
      </c>
      <c r="E1376" s="212">
        <v>15.36</v>
      </c>
    </row>
    <row r="1377" spans="1:5" ht="14.25">
      <c r="A1377" s="37">
        <v>39342</v>
      </c>
      <c r="B1377" s="37" t="s">
        <v>22189</v>
      </c>
      <c r="C1377" s="37" t="s">
        <v>2348</v>
      </c>
      <c r="D1377" s="37" t="s">
        <v>2349</v>
      </c>
      <c r="E1377" s="212">
        <v>20.260000000000002</v>
      </c>
    </row>
    <row r="1378" spans="1:5" ht="14.25">
      <c r="A1378" s="37">
        <v>39343</v>
      </c>
      <c r="B1378" s="37" t="s">
        <v>22190</v>
      </c>
      <c r="C1378" s="37" t="s">
        <v>2348</v>
      </c>
      <c r="D1378" s="37" t="s">
        <v>2349</v>
      </c>
      <c r="E1378" s="212">
        <v>17.11</v>
      </c>
    </row>
    <row r="1379" spans="1:5" ht="14.25">
      <c r="A1379" s="37">
        <v>39345</v>
      </c>
      <c r="B1379" s="37" t="s">
        <v>22191</v>
      </c>
      <c r="C1379" s="37" t="s">
        <v>2348</v>
      </c>
      <c r="D1379" s="37" t="s">
        <v>2349</v>
      </c>
      <c r="E1379" s="212">
        <v>23.15</v>
      </c>
    </row>
    <row r="1380" spans="1:5" ht="14.25">
      <c r="A1380" s="37">
        <v>39344</v>
      </c>
      <c r="B1380" s="37" t="s">
        <v>22192</v>
      </c>
      <c r="C1380" s="37" t="s">
        <v>2348</v>
      </c>
      <c r="D1380" s="37" t="s">
        <v>2349</v>
      </c>
      <c r="E1380" s="212">
        <v>16.54</v>
      </c>
    </row>
    <row r="1381" spans="1:5" ht="14.25">
      <c r="A1381" s="37">
        <v>12623</v>
      </c>
      <c r="B1381" s="37" t="s">
        <v>22193</v>
      </c>
      <c r="C1381" s="37" t="s">
        <v>2355</v>
      </c>
      <c r="D1381" s="37" t="s">
        <v>2351</v>
      </c>
      <c r="E1381" s="212">
        <v>14.24</v>
      </c>
    </row>
    <row r="1382" spans="1:5" ht="14.25">
      <c r="A1382" s="37">
        <v>34498</v>
      </c>
      <c r="B1382" s="37" t="s">
        <v>22194</v>
      </c>
      <c r="C1382" s="37" t="s">
        <v>2348</v>
      </c>
      <c r="D1382" s="37" t="s">
        <v>2349</v>
      </c>
      <c r="E1382" s="212">
        <v>123.29</v>
      </c>
    </row>
    <row r="1383" spans="1:5" ht="14.25">
      <c r="A1383" s="37">
        <v>13244</v>
      </c>
      <c r="B1383" s="37" t="s">
        <v>22195</v>
      </c>
      <c r="C1383" s="37" t="s">
        <v>2348</v>
      </c>
      <c r="D1383" s="37" t="s">
        <v>2353</v>
      </c>
      <c r="E1383" s="212">
        <v>51.9</v>
      </c>
    </row>
    <row r="1384" spans="1:5" ht="14.25">
      <c r="A1384" s="37">
        <v>38998</v>
      </c>
      <c r="B1384" s="37" t="s">
        <v>22196</v>
      </c>
      <c r="C1384" s="37" t="s">
        <v>2348</v>
      </c>
      <c r="D1384" s="37" t="s">
        <v>2351</v>
      </c>
      <c r="E1384" s="212">
        <v>15.48</v>
      </c>
    </row>
    <row r="1385" spans="1:5" ht="14.25">
      <c r="A1385" s="37">
        <v>38999</v>
      </c>
      <c r="B1385" s="37" t="s">
        <v>22197</v>
      </c>
      <c r="C1385" s="37" t="s">
        <v>2348</v>
      </c>
      <c r="D1385" s="37" t="s">
        <v>2351</v>
      </c>
      <c r="E1385" s="212">
        <v>25.62</v>
      </c>
    </row>
    <row r="1386" spans="1:5" ht="14.25">
      <c r="A1386" s="37">
        <v>38996</v>
      </c>
      <c r="B1386" s="37" t="s">
        <v>22198</v>
      </c>
      <c r="C1386" s="37" t="s">
        <v>2348</v>
      </c>
      <c r="D1386" s="37" t="s">
        <v>2351</v>
      </c>
      <c r="E1386" s="212">
        <v>22.37</v>
      </c>
    </row>
    <row r="1387" spans="1:5" ht="14.25">
      <c r="A1387" s="37">
        <v>38997</v>
      </c>
      <c r="B1387" s="37" t="s">
        <v>22199</v>
      </c>
      <c r="C1387" s="37" t="s">
        <v>2348</v>
      </c>
      <c r="D1387" s="37" t="s">
        <v>2351</v>
      </c>
      <c r="E1387" s="212">
        <v>36.200000000000003</v>
      </c>
    </row>
    <row r="1388" spans="1:5" ht="14.25">
      <c r="A1388" s="37">
        <v>39862</v>
      </c>
      <c r="B1388" s="37" t="s">
        <v>22200</v>
      </c>
      <c r="C1388" s="37" t="s">
        <v>2348</v>
      </c>
      <c r="D1388" s="37" t="s">
        <v>2351</v>
      </c>
      <c r="E1388" s="212">
        <v>16.11</v>
      </c>
    </row>
    <row r="1389" spans="1:5" ht="14.25">
      <c r="A1389" s="37">
        <v>39863</v>
      </c>
      <c r="B1389" s="37" t="s">
        <v>22201</v>
      </c>
      <c r="C1389" s="37" t="s">
        <v>2348</v>
      </c>
      <c r="D1389" s="37" t="s">
        <v>2351</v>
      </c>
      <c r="E1389" s="212">
        <v>16.34</v>
      </c>
    </row>
    <row r="1390" spans="1:5" ht="14.25">
      <c r="A1390" s="37">
        <v>39864</v>
      </c>
      <c r="B1390" s="37" t="s">
        <v>22202</v>
      </c>
      <c r="C1390" s="37" t="s">
        <v>2348</v>
      </c>
      <c r="D1390" s="37" t="s">
        <v>2351</v>
      </c>
      <c r="E1390" s="212">
        <v>20.27</v>
      </c>
    </row>
    <row r="1391" spans="1:5" ht="14.25">
      <c r="A1391" s="37">
        <v>39865</v>
      </c>
      <c r="B1391" s="37" t="s">
        <v>22203</v>
      </c>
      <c r="C1391" s="37" t="s">
        <v>2348</v>
      </c>
      <c r="D1391" s="37" t="s">
        <v>2351</v>
      </c>
      <c r="E1391" s="212">
        <v>28.58</v>
      </c>
    </row>
    <row r="1392" spans="1:5" ht="14.25">
      <c r="A1392" s="37">
        <v>2517</v>
      </c>
      <c r="B1392" s="37" t="s">
        <v>22204</v>
      </c>
      <c r="C1392" s="37" t="s">
        <v>2348</v>
      </c>
      <c r="D1392" s="37" t="s">
        <v>2349</v>
      </c>
      <c r="E1392" s="212">
        <v>26.32</v>
      </c>
    </row>
    <row r="1393" spans="1:5" ht="14.25">
      <c r="A1393" s="37">
        <v>2522</v>
      </c>
      <c r="B1393" s="37" t="s">
        <v>22205</v>
      </c>
      <c r="C1393" s="37" t="s">
        <v>2348</v>
      </c>
      <c r="D1393" s="37" t="s">
        <v>2349</v>
      </c>
      <c r="E1393" s="212">
        <v>17.010000000000002</v>
      </c>
    </row>
    <row r="1394" spans="1:5" ht="14.25">
      <c r="A1394" s="37">
        <v>2548</v>
      </c>
      <c r="B1394" s="37" t="s">
        <v>22206</v>
      </c>
      <c r="C1394" s="37" t="s">
        <v>2348</v>
      </c>
      <c r="D1394" s="37" t="s">
        <v>2349</v>
      </c>
      <c r="E1394" s="212">
        <v>10.46</v>
      </c>
    </row>
    <row r="1395" spans="1:5" ht="14.25">
      <c r="A1395" s="37">
        <v>2516</v>
      </c>
      <c r="B1395" s="37" t="s">
        <v>22207</v>
      </c>
      <c r="C1395" s="37" t="s">
        <v>2348</v>
      </c>
      <c r="D1395" s="37" t="s">
        <v>2349</v>
      </c>
      <c r="E1395" s="212">
        <v>13.66</v>
      </c>
    </row>
    <row r="1396" spans="1:5" ht="14.25">
      <c r="A1396" s="37">
        <v>2518</v>
      </c>
      <c r="B1396" s="37" t="s">
        <v>22208</v>
      </c>
      <c r="C1396" s="37" t="s">
        <v>2348</v>
      </c>
      <c r="D1396" s="37" t="s">
        <v>2349</v>
      </c>
      <c r="E1396" s="212">
        <v>125.3</v>
      </c>
    </row>
    <row r="1397" spans="1:5" ht="14.25">
      <c r="A1397" s="37">
        <v>2521</v>
      </c>
      <c r="B1397" s="37" t="s">
        <v>22209</v>
      </c>
      <c r="C1397" s="37" t="s">
        <v>2348</v>
      </c>
      <c r="D1397" s="37" t="s">
        <v>2349</v>
      </c>
      <c r="E1397" s="212">
        <v>53.34</v>
      </c>
    </row>
    <row r="1398" spans="1:5" ht="14.25">
      <c r="A1398" s="37">
        <v>2515</v>
      </c>
      <c r="B1398" s="37" t="s">
        <v>22210</v>
      </c>
      <c r="C1398" s="37" t="s">
        <v>2348</v>
      </c>
      <c r="D1398" s="37" t="s">
        <v>2349</v>
      </c>
      <c r="E1398" s="212">
        <v>11.37</v>
      </c>
    </row>
    <row r="1399" spans="1:5" ht="14.25">
      <c r="A1399" s="37">
        <v>2519</v>
      </c>
      <c r="B1399" s="37" t="s">
        <v>22211</v>
      </c>
      <c r="C1399" s="37" t="s">
        <v>2348</v>
      </c>
      <c r="D1399" s="37" t="s">
        <v>2349</v>
      </c>
      <c r="E1399" s="212">
        <v>151.09</v>
      </c>
    </row>
    <row r="1400" spans="1:5" ht="14.25">
      <c r="A1400" s="37">
        <v>2520</v>
      </c>
      <c r="B1400" s="37" t="s">
        <v>22212</v>
      </c>
      <c r="C1400" s="37" t="s">
        <v>2348</v>
      </c>
      <c r="D1400" s="37" t="s">
        <v>2349</v>
      </c>
      <c r="E1400" s="212">
        <v>278.08</v>
      </c>
    </row>
    <row r="1401" spans="1:5" ht="14.25">
      <c r="A1401" s="37">
        <v>1602</v>
      </c>
      <c r="B1401" s="37" t="s">
        <v>22213</v>
      </c>
      <c r="C1401" s="37" t="s">
        <v>2348</v>
      </c>
      <c r="D1401" s="37" t="s">
        <v>2349</v>
      </c>
      <c r="E1401" s="212">
        <v>43.01</v>
      </c>
    </row>
    <row r="1402" spans="1:5" ht="14.25">
      <c r="A1402" s="37">
        <v>1601</v>
      </c>
      <c r="B1402" s="37" t="s">
        <v>22214</v>
      </c>
      <c r="C1402" s="37" t="s">
        <v>2348</v>
      </c>
      <c r="D1402" s="37" t="s">
        <v>2349</v>
      </c>
      <c r="E1402" s="212">
        <v>38.33</v>
      </c>
    </row>
    <row r="1403" spans="1:5" ht="14.25">
      <c r="A1403" s="37">
        <v>1598</v>
      </c>
      <c r="B1403" s="37" t="s">
        <v>22215</v>
      </c>
      <c r="C1403" s="37" t="s">
        <v>2348</v>
      </c>
      <c r="D1403" s="37" t="s">
        <v>2349</v>
      </c>
      <c r="E1403" s="212">
        <v>11.34</v>
      </c>
    </row>
    <row r="1404" spans="1:5" ht="14.25">
      <c r="A1404" s="37">
        <v>1600</v>
      </c>
      <c r="B1404" s="37" t="s">
        <v>22216</v>
      </c>
      <c r="C1404" s="37" t="s">
        <v>2348</v>
      </c>
      <c r="D1404" s="37" t="s">
        <v>2349</v>
      </c>
      <c r="E1404" s="212">
        <v>16.739999999999998</v>
      </c>
    </row>
    <row r="1405" spans="1:5" ht="14.25">
      <c r="A1405" s="37">
        <v>1603</v>
      </c>
      <c r="B1405" s="37" t="s">
        <v>22217</v>
      </c>
      <c r="C1405" s="37" t="s">
        <v>2348</v>
      </c>
      <c r="D1405" s="37" t="s">
        <v>2349</v>
      </c>
      <c r="E1405" s="212">
        <v>64.94</v>
      </c>
    </row>
    <row r="1406" spans="1:5" ht="14.25">
      <c r="A1406" s="37">
        <v>1599</v>
      </c>
      <c r="B1406" s="37" t="s">
        <v>22218</v>
      </c>
      <c r="C1406" s="37" t="s">
        <v>2348</v>
      </c>
      <c r="D1406" s="37" t="s">
        <v>2349</v>
      </c>
      <c r="E1406" s="212">
        <v>13.16</v>
      </c>
    </row>
    <row r="1407" spans="1:5" ht="14.25">
      <c r="A1407" s="37">
        <v>1597</v>
      </c>
      <c r="B1407" s="37" t="s">
        <v>22219</v>
      </c>
      <c r="C1407" s="37" t="s">
        <v>2348</v>
      </c>
      <c r="D1407" s="37" t="s">
        <v>2349</v>
      </c>
      <c r="E1407" s="212">
        <v>10.66</v>
      </c>
    </row>
    <row r="1408" spans="1:5" ht="14.25">
      <c r="A1408" s="37">
        <v>39600</v>
      </c>
      <c r="B1408" s="37" t="s">
        <v>22220</v>
      </c>
      <c r="C1408" s="37" t="s">
        <v>2348</v>
      </c>
      <c r="D1408" s="37" t="s">
        <v>2349</v>
      </c>
      <c r="E1408" s="212">
        <v>32.130000000000003</v>
      </c>
    </row>
    <row r="1409" spans="1:5" ht="14.25">
      <c r="A1409" s="37">
        <v>39601</v>
      </c>
      <c r="B1409" s="37" t="s">
        <v>22221</v>
      </c>
      <c r="C1409" s="37" t="s">
        <v>2348</v>
      </c>
      <c r="D1409" s="37" t="s">
        <v>2349</v>
      </c>
      <c r="E1409" s="212">
        <v>55.88</v>
      </c>
    </row>
    <row r="1410" spans="1:5" ht="14.25">
      <c r="A1410" s="37">
        <v>39602</v>
      </c>
      <c r="B1410" s="37" t="s">
        <v>22222</v>
      </c>
      <c r="C1410" s="37" t="s">
        <v>2348</v>
      </c>
      <c r="D1410" s="37" t="s">
        <v>2349</v>
      </c>
      <c r="E1410" s="212">
        <v>3.68</v>
      </c>
    </row>
    <row r="1411" spans="1:5" ht="14.25">
      <c r="A1411" s="37">
        <v>39603</v>
      </c>
      <c r="B1411" s="37" t="s">
        <v>22223</v>
      </c>
      <c r="C1411" s="37" t="s">
        <v>2348</v>
      </c>
      <c r="D1411" s="37" t="s">
        <v>2349</v>
      </c>
      <c r="E1411" s="212">
        <v>6.3</v>
      </c>
    </row>
    <row r="1412" spans="1:5" ht="14.25">
      <c r="A1412" s="37">
        <v>11821</v>
      </c>
      <c r="B1412" s="37" t="s">
        <v>22224</v>
      </c>
      <c r="C1412" s="37" t="s">
        <v>2348</v>
      </c>
      <c r="D1412" s="37" t="s">
        <v>2349</v>
      </c>
      <c r="E1412" s="212">
        <v>8.76</v>
      </c>
    </row>
    <row r="1413" spans="1:5" ht="14.25">
      <c r="A1413" s="37">
        <v>1562</v>
      </c>
      <c r="B1413" s="37" t="s">
        <v>22225</v>
      </c>
      <c r="C1413" s="37" t="s">
        <v>2348</v>
      </c>
      <c r="D1413" s="37" t="s">
        <v>2349</v>
      </c>
      <c r="E1413" s="212">
        <v>14.35</v>
      </c>
    </row>
    <row r="1414" spans="1:5" ht="14.25">
      <c r="A1414" s="37">
        <v>1563</v>
      </c>
      <c r="B1414" s="37" t="s">
        <v>22226</v>
      </c>
      <c r="C1414" s="37" t="s">
        <v>2348</v>
      </c>
      <c r="D1414" s="37" t="s">
        <v>2349</v>
      </c>
      <c r="E1414" s="212">
        <v>19.25</v>
      </c>
    </row>
    <row r="1415" spans="1:5" ht="14.25">
      <c r="A1415" s="37">
        <v>11856</v>
      </c>
      <c r="B1415" s="37" t="s">
        <v>22227</v>
      </c>
      <c r="C1415" s="37" t="s">
        <v>2348</v>
      </c>
      <c r="D1415" s="37" t="s">
        <v>2353</v>
      </c>
      <c r="E1415" s="212">
        <v>5.74</v>
      </c>
    </row>
    <row r="1416" spans="1:5" ht="14.25">
      <c r="A1416" s="37">
        <v>11857</v>
      </c>
      <c r="B1416" s="37" t="s">
        <v>22228</v>
      </c>
      <c r="C1416" s="37" t="s">
        <v>2348</v>
      </c>
      <c r="D1416" s="37" t="s">
        <v>2349</v>
      </c>
      <c r="E1416" s="212">
        <v>30.21</v>
      </c>
    </row>
    <row r="1417" spans="1:5" ht="14.25">
      <c r="A1417" s="37">
        <v>11858</v>
      </c>
      <c r="B1417" s="37" t="s">
        <v>22229</v>
      </c>
      <c r="C1417" s="37" t="s">
        <v>2348</v>
      </c>
      <c r="D1417" s="37" t="s">
        <v>2349</v>
      </c>
      <c r="E1417" s="212">
        <v>37.49</v>
      </c>
    </row>
    <row r="1418" spans="1:5" ht="14.25">
      <c r="A1418" s="37">
        <v>1539</v>
      </c>
      <c r="B1418" s="37" t="s">
        <v>22230</v>
      </c>
      <c r="C1418" s="37" t="s">
        <v>2348</v>
      </c>
      <c r="D1418" s="37" t="s">
        <v>2349</v>
      </c>
      <c r="E1418" s="212">
        <v>6.74</v>
      </c>
    </row>
    <row r="1419" spans="1:5" ht="14.25">
      <c r="A1419" s="37">
        <v>11859</v>
      </c>
      <c r="B1419" s="37" t="s">
        <v>22231</v>
      </c>
      <c r="C1419" s="37" t="s">
        <v>2348</v>
      </c>
      <c r="D1419" s="37" t="s">
        <v>2349</v>
      </c>
      <c r="E1419" s="212">
        <v>51.01</v>
      </c>
    </row>
    <row r="1420" spans="1:5" ht="14.25">
      <c r="A1420" s="37">
        <v>1550</v>
      </c>
      <c r="B1420" s="37" t="s">
        <v>22232</v>
      </c>
      <c r="C1420" s="37" t="s">
        <v>2348</v>
      </c>
      <c r="D1420" s="37" t="s">
        <v>2349</v>
      </c>
      <c r="E1420" s="212">
        <v>7.12</v>
      </c>
    </row>
    <row r="1421" spans="1:5" ht="14.25">
      <c r="A1421" s="37">
        <v>11854</v>
      </c>
      <c r="B1421" s="37" t="s">
        <v>22233</v>
      </c>
      <c r="C1421" s="37" t="s">
        <v>2348</v>
      </c>
      <c r="D1421" s="37" t="s">
        <v>2349</v>
      </c>
      <c r="E1421" s="212">
        <v>8.89</v>
      </c>
    </row>
    <row r="1422" spans="1:5" ht="14.25">
      <c r="A1422" s="37">
        <v>11862</v>
      </c>
      <c r="B1422" s="37" t="s">
        <v>22234</v>
      </c>
      <c r="C1422" s="37" t="s">
        <v>2348</v>
      </c>
      <c r="D1422" s="37" t="s">
        <v>2349</v>
      </c>
      <c r="E1422" s="212">
        <v>12.47</v>
      </c>
    </row>
    <row r="1423" spans="1:5" ht="14.25">
      <c r="A1423" s="37">
        <v>11863</v>
      </c>
      <c r="B1423" s="37" t="s">
        <v>22235</v>
      </c>
      <c r="C1423" s="37" t="s">
        <v>2348</v>
      </c>
      <c r="D1423" s="37" t="s">
        <v>2349</v>
      </c>
      <c r="E1423" s="212">
        <v>5.03</v>
      </c>
    </row>
    <row r="1424" spans="1:5" ht="14.25">
      <c r="A1424" s="37">
        <v>11855</v>
      </c>
      <c r="B1424" s="37" t="s">
        <v>22236</v>
      </c>
      <c r="C1424" s="37" t="s">
        <v>2348</v>
      </c>
      <c r="D1424" s="37" t="s">
        <v>2349</v>
      </c>
      <c r="E1424" s="212">
        <v>18.62</v>
      </c>
    </row>
    <row r="1425" spans="1:5" ht="14.25">
      <c r="A1425" s="37">
        <v>11864</v>
      </c>
      <c r="B1425" s="37" t="s">
        <v>22237</v>
      </c>
      <c r="C1425" s="37" t="s">
        <v>2348</v>
      </c>
      <c r="D1425" s="37" t="s">
        <v>2349</v>
      </c>
      <c r="E1425" s="212">
        <v>28.15</v>
      </c>
    </row>
    <row r="1426" spans="1:5" ht="14.25">
      <c r="A1426" s="37">
        <v>2527</v>
      </c>
      <c r="B1426" s="37" t="s">
        <v>22238</v>
      </c>
      <c r="C1426" s="37" t="s">
        <v>2348</v>
      </c>
      <c r="D1426" s="37" t="s">
        <v>2349</v>
      </c>
      <c r="E1426" s="212">
        <v>9.42</v>
      </c>
    </row>
    <row r="1427" spans="1:5" ht="14.25">
      <c r="A1427" s="37">
        <v>2526</v>
      </c>
      <c r="B1427" s="37" t="s">
        <v>22239</v>
      </c>
      <c r="C1427" s="37" t="s">
        <v>2348</v>
      </c>
      <c r="D1427" s="37" t="s">
        <v>2349</v>
      </c>
      <c r="E1427" s="212">
        <v>6.04</v>
      </c>
    </row>
    <row r="1428" spans="1:5" ht="14.25">
      <c r="A1428" s="37">
        <v>2487</v>
      </c>
      <c r="B1428" s="37" t="s">
        <v>22240</v>
      </c>
      <c r="C1428" s="37" t="s">
        <v>2348</v>
      </c>
      <c r="D1428" s="37" t="s">
        <v>2349</v>
      </c>
      <c r="E1428" s="212">
        <v>2.06</v>
      </c>
    </row>
    <row r="1429" spans="1:5" ht="14.25">
      <c r="A1429" s="37">
        <v>2483</v>
      </c>
      <c r="B1429" s="37" t="s">
        <v>22241</v>
      </c>
      <c r="C1429" s="37" t="s">
        <v>2348</v>
      </c>
      <c r="D1429" s="37" t="s">
        <v>2349</v>
      </c>
      <c r="E1429" s="212">
        <v>4.3</v>
      </c>
    </row>
    <row r="1430" spans="1:5" ht="14.25">
      <c r="A1430" s="37">
        <v>2528</v>
      </c>
      <c r="B1430" s="37" t="s">
        <v>22242</v>
      </c>
      <c r="C1430" s="37" t="s">
        <v>2348</v>
      </c>
      <c r="D1430" s="37" t="s">
        <v>2349</v>
      </c>
      <c r="E1430" s="212">
        <v>23.71</v>
      </c>
    </row>
    <row r="1431" spans="1:5" ht="14.25">
      <c r="A1431" s="37">
        <v>2489</v>
      </c>
      <c r="B1431" s="37" t="s">
        <v>22243</v>
      </c>
      <c r="C1431" s="37" t="s">
        <v>2348</v>
      </c>
      <c r="D1431" s="37" t="s">
        <v>2349</v>
      </c>
      <c r="E1431" s="212">
        <v>10.44</v>
      </c>
    </row>
    <row r="1432" spans="1:5" ht="14.25">
      <c r="A1432" s="37">
        <v>2488</v>
      </c>
      <c r="B1432" s="37" t="s">
        <v>22244</v>
      </c>
      <c r="C1432" s="37" t="s">
        <v>2348</v>
      </c>
      <c r="D1432" s="37" t="s">
        <v>2349</v>
      </c>
      <c r="E1432" s="212">
        <v>2.41</v>
      </c>
    </row>
    <row r="1433" spans="1:5" ht="14.25">
      <c r="A1433" s="37">
        <v>2484</v>
      </c>
      <c r="B1433" s="37" t="s">
        <v>22245</v>
      </c>
      <c r="C1433" s="37" t="s">
        <v>2348</v>
      </c>
      <c r="D1433" s="37" t="s">
        <v>2349</v>
      </c>
      <c r="E1433" s="212">
        <v>34.44</v>
      </c>
    </row>
    <row r="1434" spans="1:5" ht="14.25">
      <c r="A1434" s="37">
        <v>2485</v>
      </c>
      <c r="B1434" s="37" t="s">
        <v>22246</v>
      </c>
      <c r="C1434" s="37" t="s">
        <v>2348</v>
      </c>
      <c r="D1434" s="37" t="s">
        <v>2349</v>
      </c>
      <c r="E1434" s="212">
        <v>53.97</v>
      </c>
    </row>
    <row r="1435" spans="1:5" ht="14.25">
      <c r="A1435" s="37">
        <v>38005</v>
      </c>
      <c r="B1435" s="37" t="s">
        <v>22247</v>
      </c>
      <c r="C1435" s="37" t="s">
        <v>2348</v>
      </c>
      <c r="D1435" s="37" t="s">
        <v>2349</v>
      </c>
      <c r="E1435" s="212">
        <v>25.87</v>
      </c>
    </row>
    <row r="1436" spans="1:5" ht="14.25">
      <c r="A1436" s="37">
        <v>38006</v>
      </c>
      <c r="B1436" s="37" t="s">
        <v>22248</v>
      </c>
      <c r="C1436" s="37" t="s">
        <v>2348</v>
      </c>
      <c r="D1436" s="37" t="s">
        <v>2349</v>
      </c>
      <c r="E1436" s="212">
        <v>31.75</v>
      </c>
    </row>
    <row r="1437" spans="1:5" ht="14.25">
      <c r="A1437" s="37">
        <v>38428</v>
      </c>
      <c r="B1437" s="37" t="s">
        <v>22249</v>
      </c>
      <c r="C1437" s="37" t="s">
        <v>2348</v>
      </c>
      <c r="D1437" s="37" t="s">
        <v>2349</v>
      </c>
      <c r="E1437" s="212">
        <v>29.75</v>
      </c>
    </row>
    <row r="1438" spans="1:5" ht="14.25">
      <c r="A1438" s="37">
        <v>38007</v>
      </c>
      <c r="B1438" s="37" t="s">
        <v>22250</v>
      </c>
      <c r="C1438" s="37" t="s">
        <v>2348</v>
      </c>
      <c r="D1438" s="37" t="s">
        <v>2349</v>
      </c>
      <c r="E1438" s="212">
        <v>48.6</v>
      </c>
    </row>
    <row r="1439" spans="1:5" ht="14.25">
      <c r="A1439" s="37">
        <v>38008</v>
      </c>
      <c r="B1439" s="37" t="s">
        <v>22251</v>
      </c>
      <c r="C1439" s="37" t="s">
        <v>2348</v>
      </c>
      <c r="D1439" s="37" t="s">
        <v>2349</v>
      </c>
      <c r="E1439" s="212">
        <v>195.73</v>
      </c>
    </row>
    <row r="1440" spans="1:5" ht="14.25">
      <c r="A1440" s="37">
        <v>38009</v>
      </c>
      <c r="B1440" s="37" t="s">
        <v>22252</v>
      </c>
      <c r="C1440" s="37" t="s">
        <v>2348</v>
      </c>
      <c r="D1440" s="37" t="s">
        <v>2349</v>
      </c>
      <c r="E1440" s="212">
        <v>239.22</v>
      </c>
    </row>
    <row r="1441" spans="1:5" ht="14.25">
      <c r="A1441" s="37">
        <v>39279</v>
      </c>
      <c r="B1441" s="37" t="s">
        <v>22253</v>
      </c>
      <c r="C1441" s="37" t="s">
        <v>2348</v>
      </c>
      <c r="D1441" s="37" t="s">
        <v>2351</v>
      </c>
      <c r="E1441" s="212">
        <v>15.27</v>
      </c>
    </row>
    <row r="1442" spans="1:5" ht="14.25">
      <c r="A1442" s="37">
        <v>38845</v>
      </c>
      <c r="B1442" s="37" t="s">
        <v>22254</v>
      </c>
      <c r="C1442" s="37" t="s">
        <v>2348</v>
      </c>
      <c r="D1442" s="37" t="s">
        <v>2351</v>
      </c>
      <c r="E1442" s="212">
        <v>22.1</v>
      </c>
    </row>
    <row r="1443" spans="1:5" ht="14.25">
      <c r="A1443" s="37">
        <v>39280</v>
      </c>
      <c r="B1443" s="37" t="s">
        <v>22255</v>
      </c>
      <c r="C1443" s="37" t="s">
        <v>2348</v>
      </c>
      <c r="D1443" s="37" t="s">
        <v>2351</v>
      </c>
      <c r="E1443" s="212">
        <v>19.8</v>
      </c>
    </row>
    <row r="1444" spans="1:5" ht="14.25">
      <c r="A1444" s="37">
        <v>39281</v>
      </c>
      <c r="B1444" s="37" t="s">
        <v>22256</v>
      </c>
      <c r="C1444" s="37" t="s">
        <v>2348</v>
      </c>
      <c r="D1444" s="37" t="s">
        <v>2351</v>
      </c>
      <c r="E1444" s="212">
        <v>26.07</v>
      </c>
    </row>
    <row r="1445" spans="1:5" ht="14.25">
      <c r="A1445" s="37">
        <v>38849</v>
      </c>
      <c r="B1445" s="37" t="s">
        <v>22257</v>
      </c>
      <c r="C1445" s="37" t="s">
        <v>2348</v>
      </c>
      <c r="D1445" s="37" t="s">
        <v>2351</v>
      </c>
      <c r="E1445" s="212">
        <v>22.33</v>
      </c>
    </row>
    <row r="1446" spans="1:5" ht="14.25">
      <c r="A1446" s="37">
        <v>39282</v>
      </c>
      <c r="B1446" s="37" t="s">
        <v>22258</v>
      </c>
      <c r="C1446" s="37" t="s">
        <v>2348</v>
      </c>
      <c r="D1446" s="37" t="s">
        <v>2351</v>
      </c>
      <c r="E1446" s="212">
        <v>26.69</v>
      </c>
    </row>
    <row r="1447" spans="1:5" ht="14.25">
      <c r="A1447" s="37">
        <v>38852</v>
      </c>
      <c r="B1447" s="37" t="s">
        <v>22259</v>
      </c>
      <c r="C1447" s="37" t="s">
        <v>2348</v>
      </c>
      <c r="D1447" s="37" t="s">
        <v>2351</v>
      </c>
      <c r="E1447" s="212">
        <v>36.32</v>
      </c>
    </row>
    <row r="1448" spans="1:5" ht="14.25">
      <c r="A1448" s="37">
        <v>38844</v>
      </c>
      <c r="B1448" s="37" t="s">
        <v>22260</v>
      </c>
      <c r="C1448" s="37" t="s">
        <v>2348</v>
      </c>
      <c r="D1448" s="37" t="s">
        <v>2351</v>
      </c>
      <c r="E1448" s="212">
        <v>11.16</v>
      </c>
    </row>
    <row r="1449" spans="1:5" ht="14.25">
      <c r="A1449" s="37">
        <v>38846</v>
      </c>
      <c r="B1449" s="37" t="s">
        <v>22261</v>
      </c>
      <c r="C1449" s="37" t="s">
        <v>2348</v>
      </c>
      <c r="D1449" s="37" t="s">
        <v>2351</v>
      </c>
      <c r="E1449" s="212">
        <v>12.21</v>
      </c>
    </row>
    <row r="1450" spans="1:5" ht="14.25">
      <c r="A1450" s="37">
        <v>38847</v>
      </c>
      <c r="B1450" s="37" t="s">
        <v>22262</v>
      </c>
      <c r="C1450" s="37" t="s">
        <v>2348</v>
      </c>
      <c r="D1450" s="37" t="s">
        <v>2351</v>
      </c>
      <c r="E1450" s="212">
        <v>15.02</v>
      </c>
    </row>
    <row r="1451" spans="1:5" ht="14.25">
      <c r="A1451" s="37">
        <v>38850</v>
      </c>
      <c r="B1451" s="37" t="s">
        <v>22263</v>
      </c>
      <c r="C1451" s="37" t="s">
        <v>2348</v>
      </c>
      <c r="D1451" s="37" t="s">
        <v>2351</v>
      </c>
      <c r="E1451" s="212">
        <v>20.87</v>
      </c>
    </row>
    <row r="1452" spans="1:5" ht="14.25">
      <c r="A1452" s="37">
        <v>38848</v>
      </c>
      <c r="B1452" s="37" t="s">
        <v>22264</v>
      </c>
      <c r="C1452" s="37" t="s">
        <v>2348</v>
      </c>
      <c r="D1452" s="37" t="s">
        <v>2351</v>
      </c>
      <c r="E1452" s="212">
        <v>17.46</v>
      </c>
    </row>
    <row r="1453" spans="1:5" ht="14.25">
      <c r="A1453" s="37">
        <v>38851</v>
      </c>
      <c r="B1453" s="37" t="s">
        <v>22265</v>
      </c>
      <c r="C1453" s="37" t="s">
        <v>2348</v>
      </c>
      <c r="D1453" s="37" t="s">
        <v>2351</v>
      </c>
      <c r="E1453" s="212">
        <v>31.73</v>
      </c>
    </row>
    <row r="1454" spans="1:5" ht="14.25">
      <c r="A1454" s="37">
        <v>38860</v>
      </c>
      <c r="B1454" s="37" t="s">
        <v>22266</v>
      </c>
      <c r="C1454" s="37" t="s">
        <v>2348</v>
      </c>
      <c r="D1454" s="37" t="s">
        <v>2351</v>
      </c>
      <c r="E1454" s="212">
        <v>8.9700000000000006</v>
      </c>
    </row>
    <row r="1455" spans="1:5" ht="14.25">
      <c r="A1455" s="37">
        <v>38861</v>
      </c>
      <c r="B1455" s="37" t="s">
        <v>22267</v>
      </c>
      <c r="C1455" s="37" t="s">
        <v>2348</v>
      </c>
      <c r="D1455" s="37" t="s">
        <v>2351</v>
      </c>
      <c r="E1455" s="212">
        <v>12.07</v>
      </c>
    </row>
    <row r="1456" spans="1:5" ht="14.25">
      <c r="A1456" s="37">
        <v>38862</v>
      </c>
      <c r="B1456" s="37" t="s">
        <v>22268</v>
      </c>
      <c r="C1456" s="37" t="s">
        <v>2348</v>
      </c>
      <c r="D1456" s="37" t="s">
        <v>2351</v>
      </c>
      <c r="E1456" s="212">
        <v>10.17</v>
      </c>
    </row>
    <row r="1457" spans="1:5" ht="14.25">
      <c r="A1457" s="37">
        <v>38863</v>
      </c>
      <c r="B1457" s="37" t="s">
        <v>22269</v>
      </c>
      <c r="C1457" s="37" t="s">
        <v>2348</v>
      </c>
      <c r="D1457" s="37" t="s">
        <v>2351</v>
      </c>
      <c r="E1457" s="212">
        <v>11.69</v>
      </c>
    </row>
    <row r="1458" spans="1:5" ht="14.25">
      <c r="A1458" s="37">
        <v>38865</v>
      </c>
      <c r="B1458" s="37" t="s">
        <v>22270</v>
      </c>
      <c r="C1458" s="37" t="s">
        <v>2348</v>
      </c>
      <c r="D1458" s="37" t="s">
        <v>2351</v>
      </c>
      <c r="E1458" s="212">
        <v>15.87</v>
      </c>
    </row>
    <row r="1459" spans="1:5" ht="14.25">
      <c r="A1459" s="37">
        <v>38864</v>
      </c>
      <c r="B1459" s="37" t="s">
        <v>22271</v>
      </c>
      <c r="C1459" s="37" t="s">
        <v>2348</v>
      </c>
      <c r="D1459" s="37" t="s">
        <v>2351</v>
      </c>
      <c r="E1459" s="212">
        <v>24.26</v>
      </c>
    </row>
    <row r="1460" spans="1:5" ht="14.25">
      <c r="A1460" s="37">
        <v>38866</v>
      </c>
      <c r="B1460" s="37" t="s">
        <v>22272</v>
      </c>
      <c r="C1460" s="37" t="s">
        <v>2348</v>
      </c>
      <c r="D1460" s="37" t="s">
        <v>2351</v>
      </c>
      <c r="E1460" s="212">
        <v>17.079999999999998</v>
      </c>
    </row>
    <row r="1461" spans="1:5" ht="14.25">
      <c r="A1461" s="37">
        <v>38868</v>
      </c>
      <c r="B1461" s="37" t="s">
        <v>22273</v>
      </c>
      <c r="C1461" s="37" t="s">
        <v>2348</v>
      </c>
      <c r="D1461" s="37" t="s">
        <v>2351</v>
      </c>
      <c r="E1461" s="212">
        <v>28.47</v>
      </c>
    </row>
    <row r="1462" spans="1:5" ht="14.25">
      <c r="A1462" s="37">
        <v>38853</v>
      </c>
      <c r="B1462" s="37" t="s">
        <v>22274</v>
      </c>
      <c r="C1462" s="37" t="s">
        <v>2348</v>
      </c>
      <c r="D1462" s="37" t="s">
        <v>2351</v>
      </c>
      <c r="E1462" s="212">
        <v>9.1999999999999993</v>
      </c>
    </row>
    <row r="1463" spans="1:5" ht="14.25">
      <c r="A1463" s="37">
        <v>38854</v>
      </c>
      <c r="B1463" s="37" t="s">
        <v>22275</v>
      </c>
      <c r="C1463" s="37" t="s">
        <v>2348</v>
      </c>
      <c r="D1463" s="37" t="s">
        <v>2351</v>
      </c>
      <c r="E1463" s="212">
        <v>12.58</v>
      </c>
    </row>
    <row r="1464" spans="1:5" ht="14.25">
      <c r="A1464" s="37">
        <v>38855</v>
      </c>
      <c r="B1464" s="37" t="s">
        <v>22276</v>
      </c>
      <c r="C1464" s="37" t="s">
        <v>2348</v>
      </c>
      <c r="D1464" s="37" t="s">
        <v>2351</v>
      </c>
      <c r="E1464" s="212">
        <v>9.33</v>
      </c>
    </row>
    <row r="1465" spans="1:5" ht="14.25">
      <c r="A1465" s="37">
        <v>38856</v>
      </c>
      <c r="B1465" s="37" t="s">
        <v>22277</v>
      </c>
      <c r="C1465" s="37" t="s">
        <v>2348</v>
      </c>
      <c r="D1465" s="37" t="s">
        <v>2351</v>
      </c>
      <c r="E1465" s="212">
        <v>14.98</v>
      </c>
    </row>
    <row r="1466" spans="1:5" ht="14.25">
      <c r="A1466" s="37">
        <v>38857</v>
      </c>
      <c r="B1466" s="37" t="s">
        <v>22278</v>
      </c>
      <c r="C1466" s="37" t="s">
        <v>2348</v>
      </c>
      <c r="D1466" s="37" t="s">
        <v>2351</v>
      </c>
      <c r="E1466" s="212">
        <v>19.809999999999999</v>
      </c>
    </row>
    <row r="1467" spans="1:5" ht="14.25">
      <c r="A1467" s="37">
        <v>38858</v>
      </c>
      <c r="B1467" s="37" t="s">
        <v>22279</v>
      </c>
      <c r="C1467" s="37" t="s">
        <v>2348</v>
      </c>
      <c r="D1467" s="37" t="s">
        <v>2351</v>
      </c>
      <c r="E1467" s="212">
        <v>18.010000000000002</v>
      </c>
    </row>
    <row r="1468" spans="1:5" ht="14.25">
      <c r="A1468" s="37">
        <v>38859</v>
      </c>
      <c r="B1468" s="37" t="s">
        <v>22280</v>
      </c>
      <c r="C1468" s="37" t="s">
        <v>2348</v>
      </c>
      <c r="D1468" s="37" t="s">
        <v>2351</v>
      </c>
      <c r="E1468" s="212">
        <v>29.17</v>
      </c>
    </row>
    <row r="1469" spans="1:5" ht="14.25">
      <c r="A1469" s="37">
        <v>3104</v>
      </c>
      <c r="B1469" s="37" t="s">
        <v>22281</v>
      </c>
      <c r="C1469" s="37" t="s">
        <v>2440</v>
      </c>
      <c r="D1469" s="37" t="s">
        <v>2349</v>
      </c>
      <c r="E1469" s="212">
        <v>123.77</v>
      </c>
    </row>
    <row r="1470" spans="1:5" ht="14.25">
      <c r="A1470" s="37">
        <v>1607</v>
      </c>
      <c r="B1470" s="37" t="s">
        <v>22282</v>
      </c>
      <c r="C1470" s="37" t="s">
        <v>2440</v>
      </c>
      <c r="D1470" s="37" t="s">
        <v>2349</v>
      </c>
      <c r="E1470" s="212">
        <v>0.33</v>
      </c>
    </row>
    <row r="1471" spans="1:5" ht="14.25">
      <c r="A1471" s="37">
        <v>38169</v>
      </c>
      <c r="B1471" s="37" t="s">
        <v>22283</v>
      </c>
      <c r="C1471" s="37" t="s">
        <v>2440</v>
      </c>
      <c r="D1471" s="37" t="s">
        <v>2349</v>
      </c>
      <c r="E1471" s="212">
        <v>70.739999999999995</v>
      </c>
    </row>
    <row r="1472" spans="1:5" ht="14.25">
      <c r="A1472" s="37">
        <v>6142</v>
      </c>
      <c r="B1472" s="37" t="s">
        <v>22284</v>
      </c>
      <c r="C1472" s="37" t="s">
        <v>2348</v>
      </c>
      <c r="D1472" s="37" t="s">
        <v>2349</v>
      </c>
      <c r="E1472" s="212">
        <v>9.84</v>
      </c>
    </row>
    <row r="1473" spans="1:5" ht="14.25">
      <c r="A1473" s="37">
        <v>11686</v>
      </c>
      <c r="B1473" s="37" t="s">
        <v>22285</v>
      </c>
      <c r="C1473" s="37" t="s">
        <v>2348</v>
      </c>
      <c r="D1473" s="37" t="s">
        <v>2349</v>
      </c>
      <c r="E1473" s="212">
        <v>13.66</v>
      </c>
    </row>
    <row r="1474" spans="1:5" ht="14.25">
      <c r="A1474" s="37">
        <v>37598</v>
      </c>
      <c r="B1474" s="37" t="s">
        <v>22286</v>
      </c>
      <c r="C1474" s="37" t="s">
        <v>2348</v>
      </c>
      <c r="D1474" s="37" t="s">
        <v>2351</v>
      </c>
      <c r="E1474" s="212">
        <v>41.65</v>
      </c>
    </row>
    <row r="1475" spans="1:5" ht="14.25">
      <c r="A1475" s="37">
        <v>25398</v>
      </c>
      <c r="B1475" s="37" t="s">
        <v>22287</v>
      </c>
      <c r="C1475" s="37" t="s">
        <v>2348</v>
      </c>
      <c r="D1475" s="37" t="s">
        <v>2351</v>
      </c>
      <c r="E1475" s="213">
        <v>5406.27</v>
      </c>
    </row>
    <row r="1476" spans="1:5" ht="14.25">
      <c r="A1476" s="37">
        <v>25399</v>
      </c>
      <c r="B1476" s="37" t="s">
        <v>22288</v>
      </c>
      <c r="C1476" s="37" t="s">
        <v>2348</v>
      </c>
      <c r="D1476" s="37" t="s">
        <v>2351</v>
      </c>
      <c r="E1476" s="213">
        <v>3282.08</v>
      </c>
    </row>
    <row r="1477" spans="1:5" ht="14.25">
      <c r="A1477" s="37">
        <v>43440</v>
      </c>
      <c r="B1477" s="37" t="s">
        <v>22289</v>
      </c>
      <c r="C1477" s="37" t="s">
        <v>2348</v>
      </c>
      <c r="D1477" s="37" t="s">
        <v>2349</v>
      </c>
      <c r="E1477" s="212">
        <v>273.97000000000003</v>
      </c>
    </row>
    <row r="1478" spans="1:5" ht="14.25">
      <c r="A1478" s="37">
        <v>10667</v>
      </c>
      <c r="B1478" s="37" t="s">
        <v>22290</v>
      </c>
      <c r="C1478" s="37" t="s">
        <v>2348</v>
      </c>
      <c r="D1478" s="37" t="s">
        <v>2351</v>
      </c>
      <c r="E1478" s="213">
        <v>16320</v>
      </c>
    </row>
    <row r="1479" spans="1:5" ht="14.25">
      <c r="A1479" s="37">
        <v>1613</v>
      </c>
      <c r="B1479" s="37" t="s">
        <v>22291</v>
      </c>
      <c r="C1479" s="37" t="s">
        <v>2348</v>
      </c>
      <c r="D1479" s="37" t="s">
        <v>2349</v>
      </c>
      <c r="E1479" s="213">
        <v>2628.34</v>
      </c>
    </row>
    <row r="1480" spans="1:5" ht="14.25">
      <c r="A1480" s="37">
        <v>1626</v>
      </c>
      <c r="B1480" s="37" t="s">
        <v>22292</v>
      </c>
      <c r="C1480" s="37" t="s">
        <v>2348</v>
      </c>
      <c r="D1480" s="37" t="s">
        <v>2349</v>
      </c>
      <c r="E1480" s="213">
        <v>3931</v>
      </c>
    </row>
    <row r="1481" spans="1:5" ht="14.25">
      <c r="A1481" s="37">
        <v>1625</v>
      </c>
      <c r="B1481" s="37" t="s">
        <v>22293</v>
      </c>
      <c r="C1481" s="37" t="s">
        <v>2348</v>
      </c>
      <c r="D1481" s="37" t="s">
        <v>2349</v>
      </c>
      <c r="E1481" s="212">
        <v>274.57</v>
      </c>
    </row>
    <row r="1482" spans="1:5" ht="14.25">
      <c r="A1482" s="37">
        <v>1622</v>
      </c>
      <c r="B1482" s="37" t="s">
        <v>22294</v>
      </c>
      <c r="C1482" s="37" t="s">
        <v>2348</v>
      </c>
      <c r="D1482" s="37" t="s">
        <v>2349</v>
      </c>
      <c r="E1482" s="213">
        <v>8870.66</v>
      </c>
    </row>
    <row r="1483" spans="1:5" ht="14.25">
      <c r="A1483" s="37">
        <v>1620</v>
      </c>
      <c r="B1483" s="37" t="s">
        <v>22295</v>
      </c>
      <c r="C1483" s="37" t="s">
        <v>2348</v>
      </c>
      <c r="D1483" s="37" t="s">
        <v>2349</v>
      </c>
      <c r="E1483" s="212">
        <v>578.38</v>
      </c>
    </row>
    <row r="1484" spans="1:5" ht="14.25">
      <c r="A1484" s="37">
        <v>1629</v>
      </c>
      <c r="B1484" s="37" t="s">
        <v>22296</v>
      </c>
      <c r="C1484" s="37" t="s">
        <v>2348</v>
      </c>
      <c r="D1484" s="37" t="s">
        <v>2349</v>
      </c>
      <c r="E1484" s="213">
        <v>21589.07</v>
      </c>
    </row>
    <row r="1485" spans="1:5" ht="14.25">
      <c r="A1485" s="37">
        <v>1627</v>
      </c>
      <c r="B1485" s="37" t="s">
        <v>22297</v>
      </c>
      <c r="C1485" s="37" t="s">
        <v>2348</v>
      </c>
      <c r="D1485" s="37" t="s">
        <v>2349</v>
      </c>
      <c r="E1485" s="213">
        <v>1105.56</v>
      </c>
    </row>
    <row r="1486" spans="1:5" ht="14.25">
      <c r="A1486" s="37">
        <v>1623</v>
      </c>
      <c r="B1486" s="37" t="s">
        <v>22298</v>
      </c>
      <c r="C1486" s="37" t="s">
        <v>2348</v>
      </c>
      <c r="D1486" s="37" t="s">
        <v>2349</v>
      </c>
      <c r="E1486" s="212">
        <v>223.92</v>
      </c>
    </row>
    <row r="1487" spans="1:5" ht="14.25">
      <c r="A1487" s="37">
        <v>1619</v>
      </c>
      <c r="B1487" s="37" t="s">
        <v>22299</v>
      </c>
      <c r="C1487" s="37" t="s">
        <v>2348</v>
      </c>
      <c r="D1487" s="37" t="s">
        <v>2349</v>
      </c>
      <c r="E1487" s="212">
        <v>308.02</v>
      </c>
    </row>
    <row r="1488" spans="1:5" ht="14.25">
      <c r="A1488" s="37">
        <v>1630</v>
      </c>
      <c r="B1488" s="37" t="s">
        <v>22300</v>
      </c>
      <c r="C1488" s="37" t="s">
        <v>2348</v>
      </c>
      <c r="D1488" s="37" t="s">
        <v>2349</v>
      </c>
      <c r="E1488" s="213">
        <v>6781.8</v>
      </c>
    </row>
    <row r="1489" spans="1:5" ht="14.25">
      <c r="A1489" s="37">
        <v>1616</v>
      </c>
      <c r="B1489" s="37" t="s">
        <v>22301</v>
      </c>
      <c r="C1489" s="37" t="s">
        <v>2348</v>
      </c>
      <c r="D1489" s="37" t="s">
        <v>2349</v>
      </c>
      <c r="E1489" s="213">
        <v>10430.530000000001</v>
      </c>
    </row>
    <row r="1490" spans="1:5" ht="14.25">
      <c r="A1490" s="37">
        <v>1614</v>
      </c>
      <c r="B1490" s="37" t="s">
        <v>22302</v>
      </c>
      <c r="C1490" s="37" t="s">
        <v>2348</v>
      </c>
      <c r="D1490" s="37" t="s">
        <v>2349</v>
      </c>
      <c r="E1490" s="212">
        <v>476.71</v>
      </c>
    </row>
    <row r="1491" spans="1:5" ht="14.25">
      <c r="A1491" s="37">
        <v>1617</v>
      </c>
      <c r="B1491" s="37" t="s">
        <v>22303</v>
      </c>
      <c r="C1491" s="37" t="s">
        <v>2348</v>
      </c>
      <c r="D1491" s="37" t="s">
        <v>2349</v>
      </c>
      <c r="E1491" s="213">
        <v>12451.79</v>
      </c>
    </row>
    <row r="1492" spans="1:5" ht="14.25">
      <c r="A1492" s="37">
        <v>1621</v>
      </c>
      <c r="B1492" s="37" t="s">
        <v>22304</v>
      </c>
      <c r="C1492" s="37" t="s">
        <v>2348</v>
      </c>
      <c r="D1492" s="37" t="s">
        <v>2349</v>
      </c>
      <c r="E1492" s="212">
        <v>852.59</v>
      </c>
    </row>
    <row r="1493" spans="1:5" ht="14.25">
      <c r="A1493" s="37">
        <v>1624</v>
      </c>
      <c r="B1493" s="37" t="s">
        <v>22305</v>
      </c>
      <c r="C1493" s="37" t="s">
        <v>2348</v>
      </c>
      <c r="D1493" s="37" t="s">
        <v>2349</v>
      </c>
      <c r="E1493" s="213">
        <v>30607.11</v>
      </c>
    </row>
    <row r="1494" spans="1:5" ht="14.25">
      <c r="A1494" s="37">
        <v>1615</v>
      </c>
      <c r="B1494" s="37" t="s">
        <v>22306</v>
      </c>
      <c r="C1494" s="37" t="s">
        <v>2348</v>
      </c>
      <c r="D1494" s="37" t="s">
        <v>2349</v>
      </c>
      <c r="E1494" s="213">
        <v>1601.03</v>
      </c>
    </row>
    <row r="1495" spans="1:5" ht="14.25">
      <c r="A1495" s="37">
        <v>1612</v>
      </c>
      <c r="B1495" s="37" t="s">
        <v>22307</v>
      </c>
      <c r="C1495" s="37" t="s">
        <v>2348</v>
      </c>
      <c r="D1495" s="37" t="s">
        <v>2353</v>
      </c>
      <c r="E1495" s="212">
        <v>210.87</v>
      </c>
    </row>
    <row r="1496" spans="1:5" ht="14.25">
      <c r="A1496" s="37">
        <v>1618</v>
      </c>
      <c r="B1496" s="37" t="s">
        <v>22308</v>
      </c>
      <c r="C1496" s="37" t="s">
        <v>2348</v>
      </c>
      <c r="D1496" s="37" t="s">
        <v>2349</v>
      </c>
      <c r="E1496" s="213">
        <v>2200.0500000000002</v>
      </c>
    </row>
    <row r="1497" spans="1:5" ht="14.25">
      <c r="A1497" s="37">
        <v>14211</v>
      </c>
      <c r="B1497" s="37" t="s">
        <v>22309</v>
      </c>
      <c r="C1497" s="37" t="s">
        <v>2348</v>
      </c>
      <c r="D1497" s="37" t="s">
        <v>2351</v>
      </c>
      <c r="E1497" s="212">
        <v>42.42</v>
      </c>
    </row>
    <row r="1498" spans="1:5" ht="14.25">
      <c r="A1498" s="37">
        <v>43657</v>
      </c>
      <c r="B1498" s="37" t="s">
        <v>27968</v>
      </c>
      <c r="C1498" s="37" t="s">
        <v>2355</v>
      </c>
      <c r="D1498" s="37" t="s">
        <v>2349</v>
      </c>
      <c r="E1498" s="212">
        <v>14.93</v>
      </c>
    </row>
    <row r="1499" spans="1:5" ht="14.25">
      <c r="A1499" s="37">
        <v>34500</v>
      </c>
      <c r="B1499" s="37" t="s">
        <v>22310</v>
      </c>
      <c r="C1499" s="37" t="s">
        <v>2352</v>
      </c>
      <c r="D1499" s="37" t="s">
        <v>2349</v>
      </c>
      <c r="E1499" s="212">
        <v>134.35</v>
      </c>
    </row>
    <row r="1500" spans="1:5" ht="14.25">
      <c r="A1500" s="37">
        <v>40934</v>
      </c>
      <c r="B1500" s="37" t="s">
        <v>22311</v>
      </c>
      <c r="C1500" s="37" t="s">
        <v>2369</v>
      </c>
      <c r="D1500" s="37" t="s">
        <v>2349</v>
      </c>
      <c r="E1500" s="213">
        <v>23624.09</v>
      </c>
    </row>
    <row r="1501" spans="1:5" ht="14.25">
      <c r="A1501" s="37">
        <v>38200</v>
      </c>
      <c r="B1501" s="37" t="s">
        <v>22312</v>
      </c>
      <c r="C1501" s="37" t="s">
        <v>2442</v>
      </c>
      <c r="D1501" s="37" t="s">
        <v>2349</v>
      </c>
      <c r="E1501" s="212">
        <v>635.97</v>
      </c>
    </row>
    <row r="1502" spans="1:5" ht="14.25">
      <c r="A1502" s="37">
        <v>39269</v>
      </c>
      <c r="B1502" s="37" t="s">
        <v>22313</v>
      </c>
      <c r="C1502" s="37" t="s">
        <v>2355</v>
      </c>
      <c r="D1502" s="37" t="s">
        <v>2349</v>
      </c>
      <c r="E1502" s="212">
        <v>1.39</v>
      </c>
    </row>
    <row r="1503" spans="1:5" ht="14.25">
      <c r="A1503" s="37">
        <v>11889</v>
      </c>
      <c r="B1503" s="37" t="s">
        <v>22314</v>
      </c>
      <c r="C1503" s="37" t="s">
        <v>2355</v>
      </c>
      <c r="D1503" s="37" t="s">
        <v>2349</v>
      </c>
      <c r="E1503" s="212">
        <v>1.94</v>
      </c>
    </row>
    <row r="1504" spans="1:5" ht="14.25">
      <c r="A1504" s="37">
        <v>39270</v>
      </c>
      <c r="B1504" s="37" t="s">
        <v>22315</v>
      </c>
      <c r="C1504" s="37" t="s">
        <v>2355</v>
      </c>
      <c r="D1504" s="37" t="s">
        <v>2349</v>
      </c>
      <c r="E1504" s="212">
        <v>2.31</v>
      </c>
    </row>
    <row r="1505" spans="1:5" ht="14.25">
      <c r="A1505" s="37">
        <v>11890</v>
      </c>
      <c r="B1505" s="37" t="s">
        <v>22316</v>
      </c>
      <c r="C1505" s="37" t="s">
        <v>2355</v>
      </c>
      <c r="D1505" s="37" t="s">
        <v>2349</v>
      </c>
      <c r="E1505" s="212">
        <v>3.01</v>
      </c>
    </row>
    <row r="1506" spans="1:5" ht="14.25">
      <c r="A1506" s="37">
        <v>11891</v>
      </c>
      <c r="B1506" s="37" t="s">
        <v>22317</v>
      </c>
      <c r="C1506" s="37" t="s">
        <v>2355</v>
      </c>
      <c r="D1506" s="37" t="s">
        <v>2349</v>
      </c>
      <c r="E1506" s="212">
        <v>4.96</v>
      </c>
    </row>
    <row r="1507" spans="1:5" ht="14.25">
      <c r="A1507" s="37">
        <v>11892</v>
      </c>
      <c r="B1507" s="37" t="s">
        <v>22318</v>
      </c>
      <c r="C1507" s="37" t="s">
        <v>2355</v>
      </c>
      <c r="D1507" s="37" t="s">
        <v>2349</v>
      </c>
      <c r="E1507" s="212">
        <v>7.65</v>
      </c>
    </row>
    <row r="1508" spans="1:5" ht="14.25">
      <c r="A1508" s="37">
        <v>37601</v>
      </c>
      <c r="B1508" s="37" t="s">
        <v>22319</v>
      </c>
      <c r="C1508" s="37" t="s">
        <v>2355</v>
      </c>
      <c r="D1508" s="37" t="s">
        <v>2351</v>
      </c>
      <c r="E1508" s="212">
        <v>9.25</v>
      </c>
    </row>
    <row r="1509" spans="1:5" ht="14.25">
      <c r="A1509" s="37">
        <v>1634</v>
      </c>
      <c r="B1509" s="37" t="s">
        <v>22320</v>
      </c>
      <c r="C1509" s="37" t="s">
        <v>2355</v>
      </c>
      <c r="D1509" s="37" t="s">
        <v>2351</v>
      </c>
      <c r="E1509" s="212">
        <v>9.56</v>
      </c>
    </row>
    <row r="1510" spans="1:5" ht="14.25">
      <c r="A1510" s="37">
        <v>5086</v>
      </c>
      <c r="B1510" s="37" t="s">
        <v>22321</v>
      </c>
      <c r="C1510" s="37" t="s">
        <v>2356</v>
      </c>
      <c r="D1510" s="37" t="s">
        <v>2349</v>
      </c>
      <c r="E1510" s="212">
        <v>29.29</v>
      </c>
    </row>
    <row r="1511" spans="1:5" ht="14.25">
      <c r="A1511" s="37">
        <v>11280</v>
      </c>
      <c r="B1511" s="37" t="s">
        <v>22322</v>
      </c>
      <c r="C1511" s="37" t="s">
        <v>2348</v>
      </c>
      <c r="D1511" s="37" t="s">
        <v>2349</v>
      </c>
      <c r="E1511" s="213">
        <v>16633.099999999999</v>
      </c>
    </row>
    <row r="1512" spans="1:5" ht="14.25">
      <c r="A1512" s="37">
        <v>40519</v>
      </c>
      <c r="B1512" s="37" t="s">
        <v>22323</v>
      </c>
      <c r="C1512" s="37" t="s">
        <v>2348</v>
      </c>
      <c r="D1512" s="37" t="s">
        <v>2349</v>
      </c>
      <c r="E1512" s="213">
        <v>137117.63</v>
      </c>
    </row>
    <row r="1513" spans="1:5" ht="14.25">
      <c r="A1513" s="37">
        <v>39869</v>
      </c>
      <c r="B1513" s="37" t="s">
        <v>22324</v>
      </c>
      <c r="C1513" s="37" t="s">
        <v>2348</v>
      </c>
      <c r="D1513" s="37" t="s">
        <v>2351</v>
      </c>
      <c r="E1513" s="212">
        <v>16</v>
      </c>
    </row>
    <row r="1514" spans="1:5" ht="14.25">
      <c r="A1514" s="37">
        <v>39870</v>
      </c>
      <c r="B1514" s="37" t="s">
        <v>22325</v>
      </c>
      <c r="C1514" s="37" t="s">
        <v>2348</v>
      </c>
      <c r="D1514" s="37" t="s">
        <v>2351</v>
      </c>
      <c r="E1514" s="212">
        <v>24.47</v>
      </c>
    </row>
    <row r="1515" spans="1:5" ht="14.25">
      <c r="A1515" s="37">
        <v>39871</v>
      </c>
      <c r="B1515" s="37" t="s">
        <v>22326</v>
      </c>
      <c r="C1515" s="37" t="s">
        <v>2348</v>
      </c>
      <c r="D1515" s="37" t="s">
        <v>2351</v>
      </c>
      <c r="E1515" s="212">
        <v>27.43</v>
      </c>
    </row>
    <row r="1516" spans="1:5" ht="14.25">
      <c r="A1516" s="37">
        <v>12722</v>
      </c>
      <c r="B1516" s="37" t="s">
        <v>22327</v>
      </c>
      <c r="C1516" s="37" t="s">
        <v>2348</v>
      </c>
      <c r="D1516" s="37" t="s">
        <v>2351</v>
      </c>
      <c r="E1516" s="212">
        <v>917.99</v>
      </c>
    </row>
    <row r="1517" spans="1:5" ht="14.25">
      <c r="A1517" s="37">
        <v>12714</v>
      </c>
      <c r="B1517" s="37" t="s">
        <v>22328</v>
      </c>
      <c r="C1517" s="37" t="s">
        <v>2348</v>
      </c>
      <c r="D1517" s="37" t="s">
        <v>2351</v>
      </c>
      <c r="E1517" s="212">
        <v>5.99</v>
      </c>
    </row>
    <row r="1518" spans="1:5" ht="14.25">
      <c r="A1518" s="37">
        <v>12715</v>
      </c>
      <c r="B1518" s="37" t="s">
        <v>22329</v>
      </c>
      <c r="C1518" s="37" t="s">
        <v>2348</v>
      </c>
      <c r="D1518" s="37" t="s">
        <v>2351</v>
      </c>
      <c r="E1518" s="212">
        <v>13.53</v>
      </c>
    </row>
    <row r="1519" spans="1:5" ht="14.25">
      <c r="A1519" s="37">
        <v>12716</v>
      </c>
      <c r="B1519" s="37" t="s">
        <v>22330</v>
      </c>
      <c r="C1519" s="37" t="s">
        <v>2348</v>
      </c>
      <c r="D1519" s="37" t="s">
        <v>2351</v>
      </c>
      <c r="E1519" s="212">
        <v>23.23</v>
      </c>
    </row>
    <row r="1520" spans="1:5" ht="14.25">
      <c r="A1520" s="37">
        <v>12717</v>
      </c>
      <c r="B1520" s="37" t="s">
        <v>22331</v>
      </c>
      <c r="C1520" s="37" t="s">
        <v>2348</v>
      </c>
      <c r="D1520" s="37" t="s">
        <v>2351</v>
      </c>
      <c r="E1520" s="212">
        <v>45.67</v>
      </c>
    </row>
    <row r="1521" spans="1:5" ht="14.25">
      <c r="A1521" s="37">
        <v>12718</v>
      </c>
      <c r="B1521" s="37" t="s">
        <v>22332</v>
      </c>
      <c r="C1521" s="37" t="s">
        <v>2348</v>
      </c>
      <c r="D1521" s="37" t="s">
        <v>2351</v>
      </c>
      <c r="E1521" s="212">
        <v>70.09</v>
      </c>
    </row>
    <row r="1522" spans="1:5" ht="14.25">
      <c r="A1522" s="37">
        <v>12719</v>
      </c>
      <c r="B1522" s="37" t="s">
        <v>22333</v>
      </c>
      <c r="C1522" s="37" t="s">
        <v>2348</v>
      </c>
      <c r="D1522" s="37" t="s">
        <v>2351</v>
      </c>
      <c r="E1522" s="212">
        <v>111.26</v>
      </c>
    </row>
    <row r="1523" spans="1:5" ht="14.25">
      <c r="A1523" s="37">
        <v>12720</v>
      </c>
      <c r="B1523" s="37" t="s">
        <v>22334</v>
      </c>
      <c r="C1523" s="37" t="s">
        <v>2348</v>
      </c>
      <c r="D1523" s="37" t="s">
        <v>2351</v>
      </c>
      <c r="E1523" s="212">
        <v>387.42</v>
      </c>
    </row>
    <row r="1524" spans="1:5" ht="14.25">
      <c r="A1524" s="37">
        <v>12721</v>
      </c>
      <c r="B1524" s="37" t="s">
        <v>22335</v>
      </c>
      <c r="C1524" s="37" t="s">
        <v>2348</v>
      </c>
      <c r="D1524" s="37" t="s">
        <v>2351</v>
      </c>
      <c r="E1524" s="212">
        <v>371.51</v>
      </c>
    </row>
    <row r="1525" spans="1:5" ht="14.25">
      <c r="A1525" s="37">
        <v>3468</v>
      </c>
      <c r="B1525" s="37" t="s">
        <v>22336</v>
      </c>
      <c r="C1525" s="37" t="s">
        <v>2348</v>
      </c>
      <c r="D1525" s="37" t="s">
        <v>2351</v>
      </c>
      <c r="E1525" s="212">
        <v>38.090000000000003</v>
      </c>
    </row>
    <row r="1526" spans="1:5" ht="14.25">
      <c r="A1526" s="37">
        <v>3465</v>
      </c>
      <c r="B1526" s="37" t="s">
        <v>22337</v>
      </c>
      <c r="C1526" s="37" t="s">
        <v>2348</v>
      </c>
      <c r="D1526" s="37" t="s">
        <v>2351</v>
      </c>
      <c r="E1526" s="212">
        <v>38.08</v>
      </c>
    </row>
    <row r="1527" spans="1:5" ht="14.25">
      <c r="A1527" s="37">
        <v>12403</v>
      </c>
      <c r="B1527" s="37" t="s">
        <v>22338</v>
      </c>
      <c r="C1527" s="37" t="s">
        <v>2348</v>
      </c>
      <c r="D1527" s="37" t="s">
        <v>2351</v>
      </c>
      <c r="E1527" s="212">
        <v>27.14</v>
      </c>
    </row>
    <row r="1528" spans="1:5" ht="14.25">
      <c r="A1528" s="37">
        <v>3463</v>
      </c>
      <c r="B1528" s="37" t="s">
        <v>22339</v>
      </c>
      <c r="C1528" s="37" t="s">
        <v>2348</v>
      </c>
      <c r="D1528" s="37" t="s">
        <v>2351</v>
      </c>
      <c r="E1528" s="212">
        <v>15.86</v>
      </c>
    </row>
    <row r="1529" spans="1:5" ht="14.25">
      <c r="A1529" s="37">
        <v>3464</v>
      </c>
      <c r="B1529" s="37" t="s">
        <v>22340</v>
      </c>
      <c r="C1529" s="37" t="s">
        <v>2348</v>
      </c>
      <c r="D1529" s="37" t="s">
        <v>2351</v>
      </c>
      <c r="E1529" s="212">
        <v>15.86</v>
      </c>
    </row>
    <row r="1530" spans="1:5" ht="14.25">
      <c r="A1530" s="37">
        <v>3466</v>
      </c>
      <c r="B1530" s="37" t="s">
        <v>22341</v>
      </c>
      <c r="C1530" s="37" t="s">
        <v>2348</v>
      </c>
      <c r="D1530" s="37" t="s">
        <v>2351</v>
      </c>
      <c r="E1530" s="212">
        <v>96.72</v>
      </c>
    </row>
    <row r="1531" spans="1:5" ht="14.25">
      <c r="A1531" s="37">
        <v>3467</v>
      </c>
      <c r="B1531" s="37" t="s">
        <v>22342</v>
      </c>
      <c r="C1531" s="37" t="s">
        <v>2348</v>
      </c>
      <c r="D1531" s="37" t="s">
        <v>2351</v>
      </c>
      <c r="E1531" s="212">
        <v>54.62</v>
      </c>
    </row>
    <row r="1532" spans="1:5" ht="14.25">
      <c r="A1532" s="37">
        <v>3462</v>
      </c>
      <c r="B1532" s="37" t="s">
        <v>22343</v>
      </c>
      <c r="C1532" s="37" t="s">
        <v>2348</v>
      </c>
      <c r="D1532" s="37" t="s">
        <v>2351</v>
      </c>
      <c r="E1532" s="212">
        <v>10.46</v>
      </c>
    </row>
    <row r="1533" spans="1:5" ht="14.25">
      <c r="A1533" s="37">
        <v>3446</v>
      </c>
      <c r="B1533" s="37" t="s">
        <v>22344</v>
      </c>
      <c r="C1533" s="37" t="s">
        <v>2348</v>
      </c>
      <c r="D1533" s="37" t="s">
        <v>2351</v>
      </c>
      <c r="E1533" s="212">
        <v>32.200000000000003</v>
      </c>
    </row>
    <row r="1534" spans="1:5" ht="14.25">
      <c r="A1534" s="37">
        <v>3445</v>
      </c>
      <c r="B1534" s="37" t="s">
        <v>22345</v>
      </c>
      <c r="C1534" s="37" t="s">
        <v>2348</v>
      </c>
      <c r="D1534" s="37" t="s">
        <v>2351</v>
      </c>
      <c r="E1534" s="212">
        <v>26.29</v>
      </c>
    </row>
    <row r="1535" spans="1:5" ht="14.25">
      <c r="A1535" s="37">
        <v>3441</v>
      </c>
      <c r="B1535" s="37" t="s">
        <v>22346</v>
      </c>
      <c r="C1535" s="37" t="s">
        <v>2348</v>
      </c>
      <c r="D1535" s="37" t="s">
        <v>2351</v>
      </c>
      <c r="E1535" s="212">
        <v>7.42</v>
      </c>
    </row>
    <row r="1536" spans="1:5" ht="14.25">
      <c r="A1536" s="37">
        <v>3444</v>
      </c>
      <c r="B1536" s="37" t="s">
        <v>22347</v>
      </c>
      <c r="C1536" s="37" t="s">
        <v>2348</v>
      </c>
      <c r="D1536" s="37" t="s">
        <v>2351</v>
      </c>
      <c r="E1536" s="212">
        <v>16.18</v>
      </c>
    </row>
    <row r="1537" spans="1:5" ht="14.25">
      <c r="A1537" s="37">
        <v>12402</v>
      </c>
      <c r="B1537" s="37" t="s">
        <v>22348</v>
      </c>
      <c r="C1537" s="37" t="s">
        <v>2348</v>
      </c>
      <c r="D1537" s="37" t="s">
        <v>2351</v>
      </c>
      <c r="E1537" s="212">
        <v>90.52</v>
      </c>
    </row>
    <row r="1538" spans="1:5" ht="14.25">
      <c r="A1538" s="37">
        <v>3447</v>
      </c>
      <c r="B1538" s="37" t="s">
        <v>22349</v>
      </c>
      <c r="C1538" s="37" t="s">
        <v>2348</v>
      </c>
      <c r="D1538" s="37" t="s">
        <v>2351</v>
      </c>
      <c r="E1538" s="212">
        <v>46.83</v>
      </c>
    </row>
    <row r="1539" spans="1:5" ht="14.25">
      <c r="A1539" s="37">
        <v>3442</v>
      </c>
      <c r="B1539" s="37" t="s">
        <v>22350</v>
      </c>
      <c r="C1539" s="37" t="s">
        <v>2348</v>
      </c>
      <c r="D1539" s="37" t="s">
        <v>2351</v>
      </c>
      <c r="E1539" s="212">
        <v>11.1</v>
      </c>
    </row>
    <row r="1540" spans="1:5" ht="14.25">
      <c r="A1540" s="37">
        <v>3448</v>
      </c>
      <c r="B1540" s="37" t="s">
        <v>22351</v>
      </c>
      <c r="C1540" s="37" t="s">
        <v>2348</v>
      </c>
      <c r="D1540" s="37" t="s">
        <v>2351</v>
      </c>
      <c r="E1540" s="212">
        <v>132.34</v>
      </c>
    </row>
    <row r="1541" spans="1:5" ht="14.25">
      <c r="A1541" s="37">
        <v>3449</v>
      </c>
      <c r="B1541" s="37" t="s">
        <v>22352</v>
      </c>
      <c r="C1541" s="37" t="s">
        <v>2348</v>
      </c>
      <c r="D1541" s="37" t="s">
        <v>2351</v>
      </c>
      <c r="E1541" s="212">
        <v>231.9</v>
      </c>
    </row>
    <row r="1542" spans="1:5" ht="14.25">
      <c r="A1542" s="37">
        <v>37438</v>
      </c>
      <c r="B1542" s="37" t="s">
        <v>22353</v>
      </c>
      <c r="C1542" s="37" t="s">
        <v>2348</v>
      </c>
      <c r="D1542" s="37" t="s">
        <v>2351</v>
      </c>
      <c r="E1542" s="212">
        <v>245.63</v>
      </c>
    </row>
    <row r="1543" spans="1:5" ht="14.25">
      <c r="A1543" s="37">
        <v>37439</v>
      </c>
      <c r="B1543" s="37" t="s">
        <v>22354</v>
      </c>
      <c r="C1543" s="37" t="s">
        <v>2348</v>
      </c>
      <c r="D1543" s="37" t="s">
        <v>2351</v>
      </c>
      <c r="E1543" s="213">
        <v>1605.92</v>
      </c>
    </row>
    <row r="1544" spans="1:5" ht="14.25">
      <c r="A1544" s="37">
        <v>37435</v>
      </c>
      <c r="B1544" s="37" t="s">
        <v>22355</v>
      </c>
      <c r="C1544" s="37" t="s">
        <v>2348</v>
      </c>
      <c r="D1544" s="37" t="s">
        <v>2351</v>
      </c>
      <c r="E1544" s="212">
        <v>28.86</v>
      </c>
    </row>
    <row r="1545" spans="1:5" ht="14.25">
      <c r="A1545" s="37">
        <v>37436</v>
      </c>
      <c r="B1545" s="37" t="s">
        <v>22356</v>
      </c>
      <c r="C1545" s="37" t="s">
        <v>2348</v>
      </c>
      <c r="D1545" s="37" t="s">
        <v>2351</v>
      </c>
      <c r="E1545" s="212">
        <v>34.07</v>
      </c>
    </row>
    <row r="1546" spans="1:5" ht="14.25">
      <c r="A1546" s="37">
        <v>37437</v>
      </c>
      <c r="B1546" s="37" t="s">
        <v>22357</v>
      </c>
      <c r="C1546" s="37" t="s">
        <v>2348</v>
      </c>
      <c r="D1546" s="37" t="s">
        <v>2351</v>
      </c>
      <c r="E1546" s="212">
        <v>49.27</v>
      </c>
    </row>
    <row r="1547" spans="1:5" ht="14.25">
      <c r="A1547" s="37">
        <v>3473</v>
      </c>
      <c r="B1547" s="37" t="s">
        <v>22358</v>
      </c>
      <c r="C1547" s="37" t="s">
        <v>2348</v>
      </c>
      <c r="D1547" s="37" t="s">
        <v>2351</v>
      </c>
      <c r="E1547" s="212">
        <v>36.409999999999997</v>
      </c>
    </row>
    <row r="1548" spans="1:5" ht="14.25">
      <c r="A1548" s="37">
        <v>3474</v>
      </c>
      <c r="B1548" s="37" t="s">
        <v>22359</v>
      </c>
      <c r="C1548" s="37" t="s">
        <v>2348</v>
      </c>
      <c r="D1548" s="37" t="s">
        <v>2351</v>
      </c>
      <c r="E1548" s="212">
        <v>30.01</v>
      </c>
    </row>
    <row r="1549" spans="1:5" ht="14.25">
      <c r="A1549" s="37">
        <v>3450</v>
      </c>
      <c r="B1549" s="37" t="s">
        <v>22360</v>
      </c>
      <c r="C1549" s="37" t="s">
        <v>2348</v>
      </c>
      <c r="D1549" s="37" t="s">
        <v>2351</v>
      </c>
      <c r="E1549" s="212">
        <v>8.6999999999999993</v>
      </c>
    </row>
    <row r="1550" spans="1:5" ht="14.25">
      <c r="A1550" s="37">
        <v>3443</v>
      </c>
      <c r="B1550" s="37" t="s">
        <v>22361</v>
      </c>
      <c r="C1550" s="37" t="s">
        <v>2348</v>
      </c>
      <c r="D1550" s="37" t="s">
        <v>2351</v>
      </c>
      <c r="E1550" s="212">
        <v>18.670000000000002</v>
      </c>
    </row>
    <row r="1551" spans="1:5" ht="14.25">
      <c r="A1551" s="37">
        <v>3453</v>
      </c>
      <c r="B1551" s="37" t="s">
        <v>22362</v>
      </c>
      <c r="C1551" s="37" t="s">
        <v>2348</v>
      </c>
      <c r="D1551" s="37" t="s">
        <v>2351</v>
      </c>
      <c r="E1551" s="212">
        <v>106.28</v>
      </c>
    </row>
    <row r="1552" spans="1:5" ht="14.25">
      <c r="A1552" s="37">
        <v>3452</v>
      </c>
      <c r="B1552" s="37" t="s">
        <v>22363</v>
      </c>
      <c r="C1552" s="37" t="s">
        <v>2348</v>
      </c>
      <c r="D1552" s="37" t="s">
        <v>2351</v>
      </c>
      <c r="E1552" s="212">
        <v>52.46</v>
      </c>
    </row>
    <row r="1553" spans="1:5" ht="14.25">
      <c r="A1553" s="37">
        <v>3451</v>
      </c>
      <c r="B1553" s="37" t="s">
        <v>22364</v>
      </c>
      <c r="C1553" s="37" t="s">
        <v>2348</v>
      </c>
      <c r="D1553" s="37" t="s">
        <v>2351</v>
      </c>
      <c r="E1553" s="212">
        <v>10.4</v>
      </c>
    </row>
    <row r="1554" spans="1:5" ht="14.25">
      <c r="A1554" s="37">
        <v>3454</v>
      </c>
      <c r="B1554" s="37" t="s">
        <v>22365</v>
      </c>
      <c r="C1554" s="37" t="s">
        <v>2348</v>
      </c>
      <c r="D1554" s="37" t="s">
        <v>2351</v>
      </c>
      <c r="E1554" s="212">
        <v>161.65</v>
      </c>
    </row>
    <row r="1555" spans="1:5" ht="14.25">
      <c r="A1555" s="37">
        <v>3458</v>
      </c>
      <c r="B1555" s="37" t="s">
        <v>22366</v>
      </c>
      <c r="C1555" s="37" t="s">
        <v>2348</v>
      </c>
      <c r="D1555" s="37" t="s">
        <v>2351</v>
      </c>
      <c r="E1555" s="212">
        <v>29.18</v>
      </c>
    </row>
    <row r="1556" spans="1:5" ht="14.25">
      <c r="A1556" s="37">
        <v>3457</v>
      </c>
      <c r="B1556" s="37" t="s">
        <v>22367</v>
      </c>
      <c r="C1556" s="37" t="s">
        <v>2348</v>
      </c>
      <c r="D1556" s="37" t="s">
        <v>2351</v>
      </c>
      <c r="E1556" s="212">
        <v>21.91</v>
      </c>
    </row>
    <row r="1557" spans="1:5" ht="14.25">
      <c r="A1557" s="37">
        <v>3455</v>
      </c>
      <c r="B1557" s="37" t="s">
        <v>22368</v>
      </c>
      <c r="C1557" s="37" t="s">
        <v>2348</v>
      </c>
      <c r="D1557" s="37" t="s">
        <v>2351</v>
      </c>
      <c r="E1557" s="212">
        <v>6.22</v>
      </c>
    </row>
    <row r="1558" spans="1:5" ht="14.25">
      <c r="A1558" s="37">
        <v>3472</v>
      </c>
      <c r="B1558" s="37" t="s">
        <v>22369</v>
      </c>
      <c r="C1558" s="37" t="s">
        <v>2348</v>
      </c>
      <c r="D1558" s="37" t="s">
        <v>2351</v>
      </c>
      <c r="E1558" s="212">
        <v>13.98</v>
      </c>
    </row>
    <row r="1559" spans="1:5" ht="14.25">
      <c r="A1559" s="37">
        <v>3470</v>
      </c>
      <c r="B1559" s="37" t="s">
        <v>22370</v>
      </c>
      <c r="C1559" s="37" t="s">
        <v>2348</v>
      </c>
      <c r="D1559" s="37" t="s">
        <v>2351</v>
      </c>
      <c r="E1559" s="212">
        <v>81.5</v>
      </c>
    </row>
    <row r="1560" spans="1:5" ht="14.25">
      <c r="A1560" s="37">
        <v>3471</v>
      </c>
      <c r="B1560" s="37" t="s">
        <v>22371</v>
      </c>
      <c r="C1560" s="37" t="s">
        <v>2348</v>
      </c>
      <c r="D1560" s="37" t="s">
        <v>2351</v>
      </c>
      <c r="E1560" s="212">
        <v>44.78</v>
      </c>
    </row>
    <row r="1561" spans="1:5" ht="14.25">
      <c r="A1561" s="37">
        <v>3456</v>
      </c>
      <c r="B1561" s="37" t="s">
        <v>22372</v>
      </c>
      <c r="C1561" s="37" t="s">
        <v>2348</v>
      </c>
      <c r="D1561" s="37" t="s">
        <v>2351</v>
      </c>
      <c r="E1561" s="212">
        <v>9.31</v>
      </c>
    </row>
    <row r="1562" spans="1:5" ht="14.25">
      <c r="A1562" s="37">
        <v>3459</v>
      </c>
      <c r="B1562" s="37" t="s">
        <v>22373</v>
      </c>
      <c r="C1562" s="37" t="s">
        <v>2348</v>
      </c>
      <c r="D1562" s="37" t="s">
        <v>2351</v>
      </c>
      <c r="E1562" s="212">
        <v>114.95</v>
      </c>
    </row>
    <row r="1563" spans="1:5" ht="14.25">
      <c r="A1563" s="37">
        <v>3469</v>
      </c>
      <c r="B1563" s="37" t="s">
        <v>22374</v>
      </c>
      <c r="C1563" s="37" t="s">
        <v>2348</v>
      </c>
      <c r="D1563" s="37" t="s">
        <v>2351</v>
      </c>
      <c r="E1563" s="212">
        <v>218.6</v>
      </c>
    </row>
    <row r="1564" spans="1:5" ht="14.25">
      <c r="A1564" s="37">
        <v>3460</v>
      </c>
      <c r="B1564" s="37" t="s">
        <v>22375</v>
      </c>
      <c r="C1564" s="37" t="s">
        <v>2348</v>
      </c>
      <c r="D1564" s="37" t="s">
        <v>2351</v>
      </c>
      <c r="E1564" s="212">
        <v>318.98</v>
      </c>
    </row>
    <row r="1565" spans="1:5" ht="14.25">
      <c r="A1565" s="37">
        <v>3461</v>
      </c>
      <c r="B1565" s="37" t="s">
        <v>22376</v>
      </c>
      <c r="C1565" s="37" t="s">
        <v>2348</v>
      </c>
      <c r="D1565" s="37" t="s">
        <v>2351</v>
      </c>
      <c r="E1565" s="212">
        <v>815.28</v>
      </c>
    </row>
    <row r="1566" spans="1:5" ht="14.25">
      <c r="A1566" s="37">
        <v>37433</v>
      </c>
      <c r="B1566" s="37" t="s">
        <v>22377</v>
      </c>
      <c r="C1566" s="37" t="s">
        <v>2348</v>
      </c>
      <c r="D1566" s="37" t="s">
        <v>2351</v>
      </c>
      <c r="E1566" s="212">
        <v>245.63</v>
      </c>
    </row>
    <row r="1567" spans="1:5" ht="14.25">
      <c r="A1567" s="37">
        <v>37430</v>
      </c>
      <c r="B1567" s="37" t="s">
        <v>22378</v>
      </c>
      <c r="C1567" s="37" t="s">
        <v>2348</v>
      </c>
      <c r="D1567" s="37" t="s">
        <v>2351</v>
      </c>
      <c r="E1567" s="212">
        <v>30.78</v>
      </c>
    </row>
    <row r="1568" spans="1:5" ht="14.25">
      <c r="A1568" s="37">
        <v>37434</v>
      </c>
      <c r="B1568" s="37" t="s">
        <v>22379</v>
      </c>
      <c r="C1568" s="37" t="s">
        <v>2348</v>
      </c>
      <c r="D1568" s="37" t="s">
        <v>2351</v>
      </c>
      <c r="E1568" s="213">
        <v>2290.2600000000002</v>
      </c>
    </row>
    <row r="1569" spans="1:5" ht="14.25">
      <c r="A1569" s="37">
        <v>37431</v>
      </c>
      <c r="B1569" s="37" t="s">
        <v>22380</v>
      </c>
      <c r="C1569" s="37" t="s">
        <v>2348</v>
      </c>
      <c r="D1569" s="37" t="s">
        <v>2351</v>
      </c>
      <c r="E1569" s="212">
        <v>41.76</v>
      </c>
    </row>
    <row r="1570" spans="1:5" ht="14.25">
      <c r="A1570" s="37">
        <v>37432</v>
      </c>
      <c r="B1570" s="37" t="s">
        <v>22381</v>
      </c>
      <c r="C1570" s="37" t="s">
        <v>2348</v>
      </c>
      <c r="D1570" s="37" t="s">
        <v>2351</v>
      </c>
      <c r="E1570" s="212">
        <v>77.02</v>
      </c>
    </row>
    <row r="1571" spans="1:5" ht="14.25">
      <c r="A1571" s="37">
        <v>37413</v>
      </c>
      <c r="B1571" s="37" t="s">
        <v>22382</v>
      </c>
      <c r="C1571" s="37" t="s">
        <v>2348</v>
      </c>
      <c r="D1571" s="37" t="s">
        <v>2351</v>
      </c>
      <c r="E1571" s="212">
        <v>4.0999999999999996</v>
      </c>
    </row>
    <row r="1572" spans="1:5" ht="14.25">
      <c r="A1572" s="37">
        <v>37414</v>
      </c>
      <c r="B1572" s="37" t="s">
        <v>22383</v>
      </c>
      <c r="C1572" s="37" t="s">
        <v>2348</v>
      </c>
      <c r="D1572" s="37" t="s">
        <v>2351</v>
      </c>
      <c r="E1572" s="212">
        <v>4.66</v>
      </c>
    </row>
    <row r="1573" spans="1:5" ht="14.25">
      <c r="A1573" s="37">
        <v>37415</v>
      </c>
      <c r="B1573" s="37" t="s">
        <v>22384</v>
      </c>
      <c r="C1573" s="37" t="s">
        <v>2348</v>
      </c>
      <c r="D1573" s="37" t="s">
        <v>2351</v>
      </c>
      <c r="E1573" s="212">
        <v>8.4600000000000009</v>
      </c>
    </row>
    <row r="1574" spans="1:5" ht="14.25">
      <c r="A1574" s="37">
        <v>37416</v>
      </c>
      <c r="B1574" s="37" t="s">
        <v>22385</v>
      </c>
      <c r="C1574" s="37" t="s">
        <v>2348</v>
      </c>
      <c r="D1574" s="37" t="s">
        <v>2351</v>
      </c>
      <c r="E1574" s="212">
        <v>3.84</v>
      </c>
    </row>
    <row r="1575" spans="1:5" ht="14.25">
      <c r="A1575" s="37">
        <v>37417</v>
      </c>
      <c r="B1575" s="37" t="s">
        <v>22386</v>
      </c>
      <c r="C1575" s="37" t="s">
        <v>2348</v>
      </c>
      <c r="D1575" s="37" t="s">
        <v>2351</v>
      </c>
      <c r="E1575" s="212">
        <v>5.52</v>
      </c>
    </row>
    <row r="1576" spans="1:5" ht="14.25">
      <c r="A1576" s="37">
        <v>43590</v>
      </c>
      <c r="B1576" s="37" t="s">
        <v>22387</v>
      </c>
      <c r="C1576" s="37" t="s">
        <v>2348</v>
      </c>
      <c r="D1576" s="37" t="s">
        <v>2349</v>
      </c>
      <c r="E1576" s="212">
        <v>136.15</v>
      </c>
    </row>
    <row r="1577" spans="1:5" ht="14.25">
      <c r="A1577" s="37">
        <v>43589</v>
      </c>
      <c r="B1577" s="37" t="s">
        <v>22388</v>
      </c>
      <c r="C1577" s="37" t="s">
        <v>2348</v>
      </c>
      <c r="D1577" s="37" t="s">
        <v>2349</v>
      </c>
      <c r="E1577" s="212">
        <v>24.63</v>
      </c>
    </row>
    <row r="1578" spans="1:5" ht="14.25">
      <c r="A1578" s="37">
        <v>34519</v>
      </c>
      <c r="B1578" s="37" t="s">
        <v>22389</v>
      </c>
      <c r="C1578" s="37" t="s">
        <v>2348</v>
      </c>
      <c r="D1578" s="37" t="s">
        <v>2351</v>
      </c>
      <c r="E1578" s="212">
        <v>79.5</v>
      </c>
    </row>
    <row r="1579" spans="1:5" ht="14.25">
      <c r="A1579" s="37">
        <v>1649</v>
      </c>
      <c r="B1579" s="37" t="s">
        <v>22390</v>
      </c>
      <c r="C1579" s="37" t="s">
        <v>2348</v>
      </c>
      <c r="D1579" s="37" t="s">
        <v>2351</v>
      </c>
      <c r="E1579" s="212">
        <v>68.83</v>
      </c>
    </row>
    <row r="1580" spans="1:5" ht="14.25">
      <c r="A1580" s="37">
        <v>1653</v>
      </c>
      <c r="B1580" s="37" t="s">
        <v>22391</v>
      </c>
      <c r="C1580" s="37" t="s">
        <v>2348</v>
      </c>
      <c r="D1580" s="37" t="s">
        <v>2351</v>
      </c>
      <c r="E1580" s="212">
        <v>53.91</v>
      </c>
    </row>
    <row r="1581" spans="1:5" ht="14.25">
      <c r="A1581" s="37">
        <v>1647</v>
      </c>
      <c r="B1581" s="37" t="s">
        <v>22392</v>
      </c>
      <c r="C1581" s="37" t="s">
        <v>2348</v>
      </c>
      <c r="D1581" s="37" t="s">
        <v>2351</v>
      </c>
      <c r="E1581" s="212">
        <v>19.3</v>
      </c>
    </row>
    <row r="1582" spans="1:5" ht="14.25">
      <c r="A1582" s="37">
        <v>1648</v>
      </c>
      <c r="B1582" s="37" t="s">
        <v>22393</v>
      </c>
      <c r="C1582" s="37" t="s">
        <v>2348</v>
      </c>
      <c r="D1582" s="37" t="s">
        <v>2351</v>
      </c>
      <c r="E1582" s="212">
        <v>37.07</v>
      </c>
    </row>
    <row r="1583" spans="1:5" ht="14.25">
      <c r="A1583" s="37">
        <v>1651</v>
      </c>
      <c r="B1583" s="37" t="s">
        <v>22394</v>
      </c>
      <c r="C1583" s="37" t="s">
        <v>2348</v>
      </c>
      <c r="D1583" s="37" t="s">
        <v>2351</v>
      </c>
      <c r="E1583" s="212">
        <v>171.96</v>
      </c>
    </row>
    <row r="1584" spans="1:5" ht="14.25">
      <c r="A1584" s="37">
        <v>1650</v>
      </c>
      <c r="B1584" s="37" t="s">
        <v>22395</v>
      </c>
      <c r="C1584" s="37" t="s">
        <v>2348</v>
      </c>
      <c r="D1584" s="37" t="s">
        <v>2351</v>
      </c>
      <c r="E1584" s="212">
        <v>95.05</v>
      </c>
    </row>
    <row r="1585" spans="1:5" ht="14.25">
      <c r="A1585" s="37">
        <v>1654</v>
      </c>
      <c r="B1585" s="37" t="s">
        <v>22396</v>
      </c>
      <c r="C1585" s="37" t="s">
        <v>2348</v>
      </c>
      <c r="D1585" s="37" t="s">
        <v>2351</v>
      </c>
      <c r="E1585" s="212">
        <v>26.5</v>
      </c>
    </row>
    <row r="1586" spans="1:5" ht="14.25">
      <c r="A1586" s="37">
        <v>1652</v>
      </c>
      <c r="B1586" s="37" t="s">
        <v>22397</v>
      </c>
      <c r="C1586" s="37" t="s">
        <v>2348</v>
      </c>
      <c r="D1586" s="37" t="s">
        <v>2351</v>
      </c>
      <c r="E1586" s="212">
        <v>246.81</v>
      </c>
    </row>
    <row r="1587" spans="1:5" ht="14.25">
      <c r="A1587" s="37">
        <v>10510</v>
      </c>
      <c r="B1587" s="37" t="s">
        <v>22398</v>
      </c>
      <c r="C1587" s="37" t="s">
        <v>2348</v>
      </c>
      <c r="D1587" s="37" t="s">
        <v>2351</v>
      </c>
      <c r="E1587" s="212">
        <v>113.4</v>
      </c>
    </row>
    <row r="1588" spans="1:5" ht="14.25">
      <c r="A1588" s="37">
        <v>1747</v>
      </c>
      <c r="B1588" s="37" t="s">
        <v>22399</v>
      </c>
      <c r="C1588" s="37" t="s">
        <v>2348</v>
      </c>
      <c r="D1588" s="37" t="s">
        <v>2349</v>
      </c>
      <c r="E1588" s="212">
        <v>193.16</v>
      </c>
    </row>
    <row r="1589" spans="1:5" ht="14.25">
      <c r="A1589" s="37">
        <v>1744</v>
      </c>
      <c r="B1589" s="37" t="s">
        <v>22400</v>
      </c>
      <c r="C1589" s="37" t="s">
        <v>2348</v>
      </c>
      <c r="D1589" s="37" t="s">
        <v>2349</v>
      </c>
      <c r="E1589" s="212">
        <v>133.79</v>
      </c>
    </row>
    <row r="1590" spans="1:5" ht="14.25">
      <c r="A1590" s="37">
        <v>1743</v>
      </c>
      <c r="B1590" s="37" t="s">
        <v>22401</v>
      </c>
      <c r="C1590" s="37" t="s">
        <v>2348</v>
      </c>
      <c r="D1590" s="37" t="s">
        <v>2349</v>
      </c>
      <c r="E1590" s="212">
        <v>175.69</v>
      </c>
    </row>
    <row r="1591" spans="1:5" ht="14.25">
      <c r="A1591" s="37">
        <v>39640</v>
      </c>
      <c r="B1591" s="37" t="s">
        <v>22402</v>
      </c>
      <c r="C1591" s="37" t="s">
        <v>2348</v>
      </c>
      <c r="D1591" s="37" t="s">
        <v>2349</v>
      </c>
      <c r="E1591" s="212">
        <v>13.23</v>
      </c>
    </row>
    <row r="1592" spans="1:5" ht="14.25">
      <c r="A1592" s="37">
        <v>7216</v>
      </c>
      <c r="B1592" s="37" t="s">
        <v>22403</v>
      </c>
      <c r="C1592" s="37" t="s">
        <v>2348</v>
      </c>
      <c r="D1592" s="37" t="s">
        <v>2349</v>
      </c>
      <c r="E1592" s="212">
        <v>71.05</v>
      </c>
    </row>
    <row r="1593" spans="1:5" ht="14.25">
      <c r="A1593" s="37">
        <v>20235</v>
      </c>
      <c r="B1593" s="37" t="s">
        <v>22404</v>
      </c>
      <c r="C1593" s="37" t="s">
        <v>2348</v>
      </c>
      <c r="D1593" s="37" t="s">
        <v>2349</v>
      </c>
      <c r="E1593" s="212">
        <v>57.12</v>
      </c>
    </row>
    <row r="1594" spans="1:5" ht="14.25">
      <c r="A1594" s="37">
        <v>7181</v>
      </c>
      <c r="B1594" s="37" t="s">
        <v>22405</v>
      </c>
      <c r="C1594" s="37" t="s">
        <v>2348</v>
      </c>
      <c r="D1594" s="37" t="s">
        <v>2349</v>
      </c>
      <c r="E1594" s="212">
        <v>2</v>
      </c>
    </row>
    <row r="1595" spans="1:5" ht="14.25">
      <c r="A1595" s="37">
        <v>40742</v>
      </c>
      <c r="B1595" s="37" t="s">
        <v>22406</v>
      </c>
      <c r="C1595" s="37" t="s">
        <v>2348</v>
      </c>
      <c r="D1595" s="37" t="s">
        <v>2349</v>
      </c>
      <c r="E1595" s="212">
        <v>7.67</v>
      </c>
    </row>
    <row r="1596" spans="1:5" ht="14.25">
      <c r="A1596" s="37">
        <v>7214</v>
      </c>
      <c r="B1596" s="37" t="s">
        <v>22407</v>
      </c>
      <c r="C1596" s="37" t="s">
        <v>2348</v>
      </c>
      <c r="D1596" s="37" t="s">
        <v>2349</v>
      </c>
      <c r="E1596" s="212">
        <v>69.38</v>
      </c>
    </row>
    <row r="1597" spans="1:5" ht="14.25">
      <c r="A1597" s="37">
        <v>7219</v>
      </c>
      <c r="B1597" s="37" t="s">
        <v>22408</v>
      </c>
      <c r="C1597" s="37" t="s">
        <v>2348</v>
      </c>
      <c r="D1597" s="37" t="s">
        <v>2349</v>
      </c>
      <c r="E1597" s="212">
        <v>61.54</v>
      </c>
    </row>
    <row r="1598" spans="1:5" ht="14.25">
      <c r="A1598" s="37">
        <v>37972</v>
      </c>
      <c r="B1598" s="37" t="s">
        <v>22409</v>
      </c>
      <c r="C1598" s="37" t="s">
        <v>2348</v>
      </c>
      <c r="D1598" s="37" t="s">
        <v>2349</v>
      </c>
      <c r="E1598" s="212">
        <v>9.27</v>
      </c>
    </row>
    <row r="1599" spans="1:5" ht="14.25">
      <c r="A1599" s="37">
        <v>37973</v>
      </c>
      <c r="B1599" s="37" t="s">
        <v>22410</v>
      </c>
      <c r="C1599" s="37" t="s">
        <v>2348</v>
      </c>
      <c r="D1599" s="37" t="s">
        <v>2349</v>
      </c>
      <c r="E1599" s="212">
        <v>14.84</v>
      </c>
    </row>
    <row r="1600" spans="1:5" ht="14.25">
      <c r="A1600" s="37">
        <v>37971</v>
      </c>
      <c r="B1600" s="37" t="s">
        <v>22411</v>
      </c>
      <c r="C1600" s="37" t="s">
        <v>2348</v>
      </c>
      <c r="D1600" s="37" t="s">
        <v>2349</v>
      </c>
      <c r="E1600" s="212">
        <v>5.56</v>
      </c>
    </row>
    <row r="1601" spans="1:5" ht="14.25">
      <c r="A1601" s="37">
        <v>20094</v>
      </c>
      <c r="B1601" s="37" t="s">
        <v>22412</v>
      </c>
      <c r="C1601" s="37" t="s">
        <v>2348</v>
      </c>
      <c r="D1601" s="37" t="s">
        <v>2351</v>
      </c>
      <c r="E1601" s="212">
        <v>33</v>
      </c>
    </row>
    <row r="1602" spans="1:5" ht="14.25">
      <c r="A1602" s="37">
        <v>20095</v>
      </c>
      <c r="B1602" s="37" t="s">
        <v>22413</v>
      </c>
      <c r="C1602" s="37" t="s">
        <v>2348</v>
      </c>
      <c r="D1602" s="37" t="s">
        <v>2351</v>
      </c>
      <c r="E1602" s="212">
        <v>42.03</v>
      </c>
    </row>
    <row r="1603" spans="1:5" ht="14.25">
      <c r="A1603" s="37">
        <v>1954</v>
      </c>
      <c r="B1603" s="37" t="s">
        <v>22414</v>
      </c>
      <c r="C1603" s="37" t="s">
        <v>2348</v>
      </c>
      <c r="D1603" s="37" t="s">
        <v>2349</v>
      </c>
      <c r="E1603" s="212">
        <v>219.79</v>
      </c>
    </row>
    <row r="1604" spans="1:5" ht="14.25">
      <c r="A1604" s="37">
        <v>1926</v>
      </c>
      <c r="B1604" s="37" t="s">
        <v>22415</v>
      </c>
      <c r="C1604" s="37" t="s">
        <v>2348</v>
      </c>
      <c r="D1604" s="37" t="s">
        <v>2349</v>
      </c>
      <c r="E1604" s="212">
        <v>2.9</v>
      </c>
    </row>
    <row r="1605" spans="1:5" ht="14.25">
      <c r="A1605" s="37">
        <v>1927</v>
      </c>
      <c r="B1605" s="37" t="s">
        <v>22416</v>
      </c>
      <c r="C1605" s="37" t="s">
        <v>2348</v>
      </c>
      <c r="D1605" s="37" t="s">
        <v>2349</v>
      </c>
      <c r="E1605" s="212">
        <v>3.83</v>
      </c>
    </row>
    <row r="1606" spans="1:5" ht="14.25">
      <c r="A1606" s="37">
        <v>1923</v>
      </c>
      <c r="B1606" s="37" t="s">
        <v>22417</v>
      </c>
      <c r="C1606" s="37" t="s">
        <v>2348</v>
      </c>
      <c r="D1606" s="37" t="s">
        <v>2349</v>
      </c>
      <c r="E1606" s="212">
        <v>6.27</v>
      </c>
    </row>
    <row r="1607" spans="1:5" ht="14.25">
      <c r="A1607" s="37">
        <v>1929</v>
      </c>
      <c r="B1607" s="37" t="s">
        <v>22418</v>
      </c>
      <c r="C1607" s="37" t="s">
        <v>2348</v>
      </c>
      <c r="D1607" s="37" t="s">
        <v>2349</v>
      </c>
      <c r="E1607" s="212">
        <v>10.27</v>
      </c>
    </row>
    <row r="1608" spans="1:5" ht="14.25">
      <c r="A1608" s="37">
        <v>1930</v>
      </c>
      <c r="B1608" s="37" t="s">
        <v>22419</v>
      </c>
      <c r="C1608" s="37" t="s">
        <v>2348</v>
      </c>
      <c r="D1608" s="37" t="s">
        <v>2349</v>
      </c>
      <c r="E1608" s="212">
        <v>19.91</v>
      </c>
    </row>
    <row r="1609" spans="1:5" ht="14.25">
      <c r="A1609" s="37">
        <v>1924</v>
      </c>
      <c r="B1609" s="37" t="s">
        <v>22420</v>
      </c>
      <c r="C1609" s="37" t="s">
        <v>2348</v>
      </c>
      <c r="D1609" s="37" t="s">
        <v>2349</v>
      </c>
      <c r="E1609" s="212">
        <v>34.31</v>
      </c>
    </row>
    <row r="1610" spans="1:5" ht="14.25">
      <c r="A1610" s="37">
        <v>1922</v>
      </c>
      <c r="B1610" s="37" t="s">
        <v>22421</v>
      </c>
      <c r="C1610" s="37" t="s">
        <v>2348</v>
      </c>
      <c r="D1610" s="37" t="s">
        <v>2349</v>
      </c>
      <c r="E1610" s="212">
        <v>50.96</v>
      </c>
    </row>
    <row r="1611" spans="1:5" ht="14.25">
      <c r="A1611" s="37">
        <v>1953</v>
      </c>
      <c r="B1611" s="37" t="s">
        <v>22422</v>
      </c>
      <c r="C1611" s="37" t="s">
        <v>2348</v>
      </c>
      <c r="D1611" s="37" t="s">
        <v>2349</v>
      </c>
      <c r="E1611" s="212">
        <v>89.05</v>
      </c>
    </row>
    <row r="1612" spans="1:5" ht="14.25">
      <c r="A1612" s="37">
        <v>1962</v>
      </c>
      <c r="B1612" s="37" t="s">
        <v>22423</v>
      </c>
      <c r="C1612" s="37" t="s">
        <v>2348</v>
      </c>
      <c r="D1612" s="37" t="s">
        <v>2349</v>
      </c>
      <c r="E1612" s="212">
        <v>291.33999999999997</v>
      </c>
    </row>
    <row r="1613" spans="1:5" ht="14.25">
      <c r="A1613" s="37">
        <v>1955</v>
      </c>
      <c r="B1613" s="37" t="s">
        <v>22424</v>
      </c>
      <c r="C1613" s="37" t="s">
        <v>2348</v>
      </c>
      <c r="D1613" s="37" t="s">
        <v>2349</v>
      </c>
      <c r="E1613" s="212">
        <v>3.85</v>
      </c>
    </row>
    <row r="1614" spans="1:5" ht="14.25">
      <c r="A1614" s="37">
        <v>1956</v>
      </c>
      <c r="B1614" s="37" t="s">
        <v>22425</v>
      </c>
      <c r="C1614" s="37" t="s">
        <v>2348</v>
      </c>
      <c r="D1614" s="37" t="s">
        <v>2349</v>
      </c>
      <c r="E1614" s="212">
        <v>4.97</v>
      </c>
    </row>
    <row r="1615" spans="1:5" ht="14.25">
      <c r="A1615" s="37">
        <v>1957</v>
      </c>
      <c r="B1615" s="37" t="s">
        <v>22426</v>
      </c>
      <c r="C1615" s="37" t="s">
        <v>2348</v>
      </c>
      <c r="D1615" s="37" t="s">
        <v>2349</v>
      </c>
      <c r="E1615" s="212">
        <v>11.29</v>
      </c>
    </row>
    <row r="1616" spans="1:5" ht="14.25">
      <c r="A1616" s="37">
        <v>1958</v>
      </c>
      <c r="B1616" s="37" t="s">
        <v>22427</v>
      </c>
      <c r="C1616" s="37" t="s">
        <v>2348</v>
      </c>
      <c r="D1616" s="37" t="s">
        <v>2349</v>
      </c>
      <c r="E1616" s="212">
        <v>20.05</v>
      </c>
    </row>
    <row r="1617" spans="1:5" ht="14.25">
      <c r="A1617" s="37">
        <v>1959</v>
      </c>
      <c r="B1617" s="37" t="s">
        <v>22428</v>
      </c>
      <c r="C1617" s="37" t="s">
        <v>2348</v>
      </c>
      <c r="D1617" s="37" t="s">
        <v>2349</v>
      </c>
      <c r="E1617" s="212">
        <v>24.44</v>
      </c>
    </row>
    <row r="1618" spans="1:5" ht="14.25">
      <c r="A1618" s="37">
        <v>1925</v>
      </c>
      <c r="B1618" s="37" t="s">
        <v>22429</v>
      </c>
      <c r="C1618" s="37" t="s">
        <v>2348</v>
      </c>
      <c r="D1618" s="37" t="s">
        <v>2349</v>
      </c>
      <c r="E1618" s="212">
        <v>60.41</v>
      </c>
    </row>
    <row r="1619" spans="1:5" ht="14.25">
      <c r="A1619" s="37">
        <v>1960</v>
      </c>
      <c r="B1619" s="37" t="s">
        <v>22430</v>
      </c>
      <c r="C1619" s="37" t="s">
        <v>2348</v>
      </c>
      <c r="D1619" s="37" t="s">
        <v>2349</v>
      </c>
      <c r="E1619" s="212">
        <v>85.89</v>
      </c>
    </row>
    <row r="1620" spans="1:5" ht="14.25">
      <c r="A1620" s="37">
        <v>1961</v>
      </c>
      <c r="B1620" s="37" t="s">
        <v>22431</v>
      </c>
      <c r="C1620" s="37" t="s">
        <v>2348</v>
      </c>
      <c r="D1620" s="37" t="s">
        <v>2349</v>
      </c>
      <c r="E1620" s="212">
        <v>123.41</v>
      </c>
    </row>
    <row r="1621" spans="1:5" ht="14.25">
      <c r="A1621" s="37">
        <v>38426</v>
      </c>
      <c r="B1621" s="37" t="s">
        <v>22432</v>
      </c>
      <c r="C1621" s="37" t="s">
        <v>2348</v>
      </c>
      <c r="D1621" s="37" t="s">
        <v>2349</v>
      </c>
      <c r="E1621" s="212">
        <v>38.94</v>
      </c>
    </row>
    <row r="1622" spans="1:5" ht="14.25">
      <c r="A1622" s="37">
        <v>38423</v>
      </c>
      <c r="B1622" s="37" t="s">
        <v>22433</v>
      </c>
      <c r="C1622" s="37" t="s">
        <v>2348</v>
      </c>
      <c r="D1622" s="37" t="s">
        <v>2349</v>
      </c>
      <c r="E1622" s="212">
        <v>88.33</v>
      </c>
    </row>
    <row r="1623" spans="1:5" ht="14.25">
      <c r="A1623" s="37">
        <v>38421</v>
      </c>
      <c r="B1623" s="37" t="s">
        <v>22434</v>
      </c>
      <c r="C1623" s="37" t="s">
        <v>2348</v>
      </c>
      <c r="D1623" s="37" t="s">
        <v>2349</v>
      </c>
      <c r="E1623" s="212">
        <v>41.7</v>
      </c>
    </row>
    <row r="1624" spans="1:5" ht="14.25">
      <c r="A1624" s="37">
        <v>38422</v>
      </c>
      <c r="B1624" s="37" t="s">
        <v>22435</v>
      </c>
      <c r="C1624" s="37" t="s">
        <v>2348</v>
      </c>
      <c r="D1624" s="37" t="s">
        <v>2349</v>
      </c>
      <c r="E1624" s="212">
        <v>60.95</v>
      </c>
    </row>
    <row r="1625" spans="1:5" ht="14.25">
      <c r="A1625" s="37">
        <v>39866</v>
      </c>
      <c r="B1625" s="37" t="s">
        <v>22436</v>
      </c>
      <c r="C1625" s="37" t="s">
        <v>2348</v>
      </c>
      <c r="D1625" s="37" t="s">
        <v>2351</v>
      </c>
      <c r="E1625" s="212">
        <v>21.19</v>
      </c>
    </row>
    <row r="1626" spans="1:5" ht="14.25">
      <c r="A1626" s="37">
        <v>39867</v>
      </c>
      <c r="B1626" s="37" t="s">
        <v>22437</v>
      </c>
      <c r="C1626" s="37" t="s">
        <v>2348</v>
      </c>
      <c r="D1626" s="37" t="s">
        <v>2351</v>
      </c>
      <c r="E1626" s="212">
        <v>47.11</v>
      </c>
    </row>
    <row r="1627" spans="1:5" ht="14.25">
      <c r="A1627" s="37">
        <v>39868</v>
      </c>
      <c r="B1627" s="37" t="s">
        <v>22438</v>
      </c>
      <c r="C1627" s="37" t="s">
        <v>2348</v>
      </c>
      <c r="D1627" s="37" t="s">
        <v>2351</v>
      </c>
      <c r="E1627" s="212">
        <v>84.88</v>
      </c>
    </row>
    <row r="1628" spans="1:5" ht="14.25">
      <c r="A1628" s="37">
        <v>37999</v>
      </c>
      <c r="B1628" s="37" t="s">
        <v>22439</v>
      </c>
      <c r="C1628" s="37" t="s">
        <v>2348</v>
      </c>
      <c r="D1628" s="37" t="s">
        <v>2349</v>
      </c>
      <c r="E1628" s="212">
        <v>8.89</v>
      </c>
    </row>
    <row r="1629" spans="1:5" ht="14.25">
      <c r="A1629" s="37">
        <v>38000</v>
      </c>
      <c r="B1629" s="37" t="s">
        <v>22440</v>
      </c>
      <c r="C1629" s="37" t="s">
        <v>2348</v>
      </c>
      <c r="D1629" s="37" t="s">
        <v>2349</v>
      </c>
      <c r="E1629" s="212">
        <v>11.76</v>
      </c>
    </row>
    <row r="1630" spans="1:5" ht="14.25">
      <c r="A1630" s="37">
        <v>38129</v>
      </c>
      <c r="B1630" s="37" t="s">
        <v>22441</v>
      </c>
      <c r="C1630" s="37" t="s">
        <v>2348</v>
      </c>
      <c r="D1630" s="37" t="s">
        <v>2349</v>
      </c>
      <c r="E1630" s="212">
        <v>6.68</v>
      </c>
    </row>
    <row r="1631" spans="1:5" ht="14.25">
      <c r="A1631" s="37">
        <v>38025</v>
      </c>
      <c r="B1631" s="37" t="s">
        <v>22442</v>
      </c>
      <c r="C1631" s="37" t="s">
        <v>2348</v>
      </c>
      <c r="D1631" s="37" t="s">
        <v>2349</v>
      </c>
      <c r="E1631" s="212">
        <v>11.15</v>
      </c>
    </row>
    <row r="1632" spans="1:5" ht="14.25">
      <c r="A1632" s="37">
        <v>38026</v>
      </c>
      <c r="B1632" s="37" t="s">
        <v>22443</v>
      </c>
      <c r="C1632" s="37" t="s">
        <v>2348</v>
      </c>
      <c r="D1632" s="37" t="s">
        <v>2349</v>
      </c>
      <c r="E1632" s="212">
        <v>29.87</v>
      </c>
    </row>
    <row r="1633" spans="1:5" ht="14.25">
      <c r="A1633" s="37">
        <v>1858</v>
      </c>
      <c r="B1633" s="37" t="s">
        <v>22444</v>
      </c>
      <c r="C1633" s="37" t="s">
        <v>2348</v>
      </c>
      <c r="D1633" s="37" t="s">
        <v>2351</v>
      </c>
      <c r="E1633" s="212">
        <v>46.21</v>
      </c>
    </row>
    <row r="1634" spans="1:5" ht="14.25">
      <c r="A1634" s="37">
        <v>1844</v>
      </c>
      <c r="B1634" s="37" t="s">
        <v>22445</v>
      </c>
      <c r="C1634" s="37" t="s">
        <v>2348</v>
      </c>
      <c r="D1634" s="37" t="s">
        <v>2351</v>
      </c>
      <c r="E1634" s="212">
        <v>170.38</v>
      </c>
    </row>
    <row r="1635" spans="1:5" ht="14.25">
      <c r="A1635" s="37">
        <v>1863</v>
      </c>
      <c r="B1635" s="37" t="s">
        <v>22446</v>
      </c>
      <c r="C1635" s="37" t="s">
        <v>2348</v>
      </c>
      <c r="D1635" s="37" t="s">
        <v>2351</v>
      </c>
      <c r="E1635" s="212">
        <v>67.06</v>
      </c>
    </row>
    <row r="1636" spans="1:5" ht="14.25">
      <c r="A1636" s="37">
        <v>1865</v>
      </c>
      <c r="B1636" s="37" t="s">
        <v>22447</v>
      </c>
      <c r="C1636" s="37" t="s">
        <v>2348</v>
      </c>
      <c r="D1636" s="37" t="s">
        <v>2351</v>
      </c>
      <c r="E1636" s="212">
        <v>244.66</v>
      </c>
    </row>
    <row r="1637" spans="1:5" ht="14.25">
      <c r="A1637" s="37">
        <v>36355</v>
      </c>
      <c r="B1637" s="37" t="s">
        <v>22448</v>
      </c>
      <c r="C1637" s="37" t="s">
        <v>2348</v>
      </c>
      <c r="D1637" s="37" t="s">
        <v>2351</v>
      </c>
      <c r="E1637" s="212">
        <v>8.57</v>
      </c>
    </row>
    <row r="1638" spans="1:5" ht="14.25">
      <c r="A1638" s="37">
        <v>36356</v>
      </c>
      <c r="B1638" s="37" t="s">
        <v>22449</v>
      </c>
      <c r="C1638" s="37" t="s">
        <v>2348</v>
      </c>
      <c r="D1638" s="37" t="s">
        <v>2351</v>
      </c>
      <c r="E1638" s="212">
        <v>14.4</v>
      </c>
    </row>
    <row r="1639" spans="1:5" ht="14.25">
      <c r="A1639" s="37">
        <v>1932</v>
      </c>
      <c r="B1639" s="37" t="s">
        <v>22450</v>
      </c>
      <c r="C1639" s="37" t="s">
        <v>2348</v>
      </c>
      <c r="D1639" s="37" t="s">
        <v>2349</v>
      </c>
      <c r="E1639" s="212">
        <v>15.05</v>
      </c>
    </row>
    <row r="1640" spans="1:5" ht="14.25">
      <c r="A1640" s="37">
        <v>1933</v>
      </c>
      <c r="B1640" s="37" t="s">
        <v>22451</v>
      </c>
      <c r="C1640" s="37" t="s">
        <v>2348</v>
      </c>
      <c r="D1640" s="37" t="s">
        <v>2349</v>
      </c>
      <c r="E1640" s="212">
        <v>6.62</v>
      </c>
    </row>
    <row r="1641" spans="1:5" ht="14.25">
      <c r="A1641" s="37">
        <v>1951</v>
      </c>
      <c r="B1641" s="37" t="s">
        <v>22452</v>
      </c>
      <c r="C1641" s="37" t="s">
        <v>2348</v>
      </c>
      <c r="D1641" s="37" t="s">
        <v>2349</v>
      </c>
      <c r="E1641" s="212">
        <v>29.44</v>
      </c>
    </row>
    <row r="1642" spans="1:5" ht="14.25">
      <c r="A1642" s="37">
        <v>1966</v>
      </c>
      <c r="B1642" s="37" t="s">
        <v>22453</v>
      </c>
      <c r="C1642" s="37" t="s">
        <v>2348</v>
      </c>
      <c r="D1642" s="37" t="s">
        <v>2349</v>
      </c>
      <c r="E1642" s="212">
        <v>33.869999999999997</v>
      </c>
    </row>
    <row r="1643" spans="1:5" ht="14.25">
      <c r="A1643" s="37">
        <v>1952</v>
      </c>
      <c r="B1643" s="37" t="s">
        <v>22454</v>
      </c>
      <c r="C1643" s="37" t="s">
        <v>2348</v>
      </c>
      <c r="D1643" s="37" t="s">
        <v>2349</v>
      </c>
      <c r="E1643" s="212">
        <v>127.18</v>
      </c>
    </row>
    <row r="1644" spans="1:5" ht="14.25">
      <c r="A1644" s="37">
        <v>20104</v>
      </c>
      <c r="B1644" s="37" t="s">
        <v>22455</v>
      </c>
      <c r="C1644" s="37" t="s">
        <v>2348</v>
      </c>
      <c r="D1644" s="37" t="s">
        <v>2349</v>
      </c>
      <c r="E1644" s="212">
        <v>939.7</v>
      </c>
    </row>
    <row r="1645" spans="1:5" ht="14.25">
      <c r="A1645" s="37">
        <v>20105</v>
      </c>
      <c r="B1645" s="37" t="s">
        <v>22456</v>
      </c>
      <c r="C1645" s="37" t="s">
        <v>2348</v>
      </c>
      <c r="D1645" s="37" t="s">
        <v>2349</v>
      </c>
      <c r="E1645" s="213">
        <v>1463.67</v>
      </c>
    </row>
    <row r="1646" spans="1:5" ht="14.25">
      <c r="A1646" s="37">
        <v>1965</v>
      </c>
      <c r="B1646" s="37" t="s">
        <v>22457</v>
      </c>
      <c r="C1646" s="37" t="s">
        <v>2348</v>
      </c>
      <c r="D1646" s="37" t="s">
        <v>2349</v>
      </c>
      <c r="E1646" s="212">
        <v>68.66</v>
      </c>
    </row>
    <row r="1647" spans="1:5" ht="14.25">
      <c r="A1647" s="37">
        <v>10765</v>
      </c>
      <c r="B1647" s="37" t="s">
        <v>22458</v>
      </c>
      <c r="C1647" s="37" t="s">
        <v>2348</v>
      </c>
      <c r="D1647" s="37" t="s">
        <v>2349</v>
      </c>
      <c r="E1647" s="212">
        <v>17.350000000000001</v>
      </c>
    </row>
    <row r="1648" spans="1:5" ht="14.25">
      <c r="A1648" s="37">
        <v>10767</v>
      </c>
      <c r="B1648" s="37" t="s">
        <v>22459</v>
      </c>
      <c r="C1648" s="37" t="s">
        <v>2348</v>
      </c>
      <c r="D1648" s="37" t="s">
        <v>2349</v>
      </c>
      <c r="E1648" s="212">
        <v>56.86</v>
      </c>
    </row>
    <row r="1649" spans="1:5" ht="14.25">
      <c r="A1649" s="37">
        <v>1970</v>
      </c>
      <c r="B1649" s="37" t="s">
        <v>22460</v>
      </c>
      <c r="C1649" s="37" t="s">
        <v>2348</v>
      </c>
      <c r="D1649" s="37" t="s">
        <v>2349</v>
      </c>
      <c r="E1649" s="212">
        <v>71.260000000000005</v>
      </c>
    </row>
    <row r="1650" spans="1:5" ht="14.25">
      <c r="A1650" s="37">
        <v>1967</v>
      </c>
      <c r="B1650" s="37" t="s">
        <v>22461</v>
      </c>
      <c r="C1650" s="37" t="s">
        <v>2348</v>
      </c>
      <c r="D1650" s="37" t="s">
        <v>2349</v>
      </c>
      <c r="E1650" s="212">
        <v>7.93</v>
      </c>
    </row>
    <row r="1651" spans="1:5" ht="14.25">
      <c r="A1651" s="37">
        <v>1968</v>
      </c>
      <c r="B1651" s="37" t="s">
        <v>22462</v>
      </c>
      <c r="C1651" s="37" t="s">
        <v>2348</v>
      </c>
      <c r="D1651" s="37" t="s">
        <v>2349</v>
      </c>
      <c r="E1651" s="212">
        <v>16.61</v>
      </c>
    </row>
    <row r="1652" spans="1:5" ht="14.25">
      <c r="A1652" s="37">
        <v>1969</v>
      </c>
      <c r="B1652" s="37" t="s">
        <v>22463</v>
      </c>
      <c r="C1652" s="37" t="s">
        <v>2348</v>
      </c>
      <c r="D1652" s="37" t="s">
        <v>2349</v>
      </c>
      <c r="E1652" s="212">
        <v>48.87</v>
      </c>
    </row>
    <row r="1653" spans="1:5" ht="14.25">
      <c r="A1653" s="37">
        <v>1839</v>
      </c>
      <c r="B1653" s="37" t="s">
        <v>22464</v>
      </c>
      <c r="C1653" s="37" t="s">
        <v>2348</v>
      </c>
      <c r="D1653" s="37" t="s">
        <v>2351</v>
      </c>
      <c r="E1653" s="212">
        <v>177.09</v>
      </c>
    </row>
    <row r="1654" spans="1:5" ht="14.25">
      <c r="A1654" s="37">
        <v>1835</v>
      </c>
      <c r="B1654" s="37" t="s">
        <v>22465</v>
      </c>
      <c r="C1654" s="37" t="s">
        <v>2348</v>
      </c>
      <c r="D1654" s="37" t="s">
        <v>2351</v>
      </c>
      <c r="E1654" s="212">
        <v>37.65</v>
      </c>
    </row>
    <row r="1655" spans="1:5" ht="14.25">
      <c r="A1655" s="37">
        <v>1823</v>
      </c>
      <c r="B1655" s="37" t="s">
        <v>22466</v>
      </c>
      <c r="C1655" s="37" t="s">
        <v>2348</v>
      </c>
      <c r="D1655" s="37" t="s">
        <v>2351</v>
      </c>
      <c r="E1655" s="212">
        <v>72.790000000000006</v>
      </c>
    </row>
    <row r="1656" spans="1:5" ht="14.25">
      <c r="A1656" s="37">
        <v>1827</v>
      </c>
      <c r="B1656" s="37" t="s">
        <v>22467</v>
      </c>
      <c r="C1656" s="37" t="s">
        <v>2348</v>
      </c>
      <c r="D1656" s="37" t="s">
        <v>2351</v>
      </c>
      <c r="E1656" s="212">
        <v>175.36</v>
      </c>
    </row>
    <row r="1657" spans="1:5" ht="14.25">
      <c r="A1657" s="37">
        <v>1831</v>
      </c>
      <c r="B1657" s="37" t="s">
        <v>22468</v>
      </c>
      <c r="C1657" s="37" t="s">
        <v>2348</v>
      </c>
      <c r="D1657" s="37" t="s">
        <v>2351</v>
      </c>
      <c r="E1657" s="212">
        <v>38.28</v>
      </c>
    </row>
    <row r="1658" spans="1:5" ht="14.25">
      <c r="A1658" s="37">
        <v>1825</v>
      </c>
      <c r="B1658" s="37" t="s">
        <v>22469</v>
      </c>
      <c r="C1658" s="37" t="s">
        <v>2348</v>
      </c>
      <c r="D1658" s="37" t="s">
        <v>2351</v>
      </c>
      <c r="E1658" s="212">
        <v>94.48</v>
      </c>
    </row>
    <row r="1659" spans="1:5" ht="14.25">
      <c r="A1659" s="37">
        <v>1828</v>
      </c>
      <c r="B1659" s="37" t="s">
        <v>22470</v>
      </c>
      <c r="C1659" s="37" t="s">
        <v>2348</v>
      </c>
      <c r="D1659" s="37" t="s">
        <v>2351</v>
      </c>
      <c r="E1659" s="212">
        <v>214</v>
      </c>
    </row>
    <row r="1660" spans="1:5" ht="14.25">
      <c r="A1660" s="37">
        <v>1845</v>
      </c>
      <c r="B1660" s="37" t="s">
        <v>22471</v>
      </c>
      <c r="C1660" s="37" t="s">
        <v>2348</v>
      </c>
      <c r="D1660" s="37" t="s">
        <v>2351</v>
      </c>
      <c r="E1660" s="212">
        <v>47.97</v>
      </c>
    </row>
    <row r="1661" spans="1:5" ht="14.25">
      <c r="A1661" s="37">
        <v>1824</v>
      </c>
      <c r="B1661" s="37" t="s">
        <v>22472</v>
      </c>
      <c r="C1661" s="37" t="s">
        <v>2348</v>
      </c>
      <c r="D1661" s="37" t="s">
        <v>2351</v>
      </c>
      <c r="E1661" s="212">
        <v>113.26</v>
      </c>
    </row>
    <row r="1662" spans="1:5" ht="14.25">
      <c r="A1662" s="37">
        <v>1941</v>
      </c>
      <c r="B1662" s="37" t="s">
        <v>22473</v>
      </c>
      <c r="C1662" s="37" t="s">
        <v>2348</v>
      </c>
      <c r="D1662" s="37" t="s">
        <v>2349</v>
      </c>
      <c r="E1662" s="212">
        <v>43.06</v>
      </c>
    </row>
    <row r="1663" spans="1:5" ht="14.25">
      <c r="A1663" s="37">
        <v>1940</v>
      </c>
      <c r="B1663" s="37" t="s">
        <v>22474</v>
      </c>
      <c r="C1663" s="37" t="s">
        <v>2348</v>
      </c>
      <c r="D1663" s="37" t="s">
        <v>2349</v>
      </c>
      <c r="E1663" s="212">
        <v>32.54</v>
      </c>
    </row>
    <row r="1664" spans="1:5" ht="14.25">
      <c r="A1664" s="37">
        <v>1937</v>
      </c>
      <c r="B1664" s="37" t="s">
        <v>22475</v>
      </c>
      <c r="C1664" s="37" t="s">
        <v>2348</v>
      </c>
      <c r="D1664" s="37" t="s">
        <v>2349</v>
      </c>
      <c r="E1664" s="212">
        <v>6.75</v>
      </c>
    </row>
    <row r="1665" spans="1:5" ht="14.25">
      <c r="A1665" s="37">
        <v>1939</v>
      </c>
      <c r="B1665" s="37" t="s">
        <v>22476</v>
      </c>
      <c r="C1665" s="37" t="s">
        <v>2348</v>
      </c>
      <c r="D1665" s="37" t="s">
        <v>2349</v>
      </c>
      <c r="E1665" s="212">
        <v>13.38</v>
      </c>
    </row>
    <row r="1666" spans="1:5" ht="14.25">
      <c r="A1666" s="37">
        <v>1942</v>
      </c>
      <c r="B1666" s="37" t="s">
        <v>22477</v>
      </c>
      <c r="C1666" s="37" t="s">
        <v>2348</v>
      </c>
      <c r="D1666" s="37" t="s">
        <v>2349</v>
      </c>
      <c r="E1666" s="212">
        <v>61.44</v>
      </c>
    </row>
    <row r="1667" spans="1:5" ht="14.25">
      <c r="A1667" s="37">
        <v>1938</v>
      </c>
      <c r="B1667" s="37" t="s">
        <v>22478</v>
      </c>
      <c r="C1667" s="37" t="s">
        <v>2348</v>
      </c>
      <c r="D1667" s="37" t="s">
        <v>2349</v>
      </c>
      <c r="E1667" s="212">
        <v>8.56</v>
      </c>
    </row>
    <row r="1668" spans="1:5" ht="14.25">
      <c r="A1668" s="37">
        <v>42692</v>
      </c>
      <c r="B1668" s="37" t="s">
        <v>22479</v>
      </c>
      <c r="C1668" s="37" t="s">
        <v>2348</v>
      </c>
      <c r="D1668" s="37" t="s">
        <v>2351</v>
      </c>
      <c r="E1668" s="212">
        <v>542.82000000000005</v>
      </c>
    </row>
    <row r="1669" spans="1:5" ht="14.25">
      <c r="A1669" s="37">
        <v>42693</v>
      </c>
      <c r="B1669" s="37" t="s">
        <v>22480</v>
      </c>
      <c r="C1669" s="37" t="s">
        <v>2348</v>
      </c>
      <c r="D1669" s="37" t="s">
        <v>2351</v>
      </c>
      <c r="E1669" s="212">
        <v>892.9</v>
      </c>
    </row>
    <row r="1670" spans="1:5" ht="14.25">
      <c r="A1670" s="37">
        <v>42695</v>
      </c>
      <c r="B1670" s="37" t="s">
        <v>22481</v>
      </c>
      <c r="C1670" s="37" t="s">
        <v>2348</v>
      </c>
      <c r="D1670" s="37" t="s">
        <v>2351</v>
      </c>
      <c r="E1670" s="212">
        <v>678.92</v>
      </c>
    </row>
    <row r="1671" spans="1:5" ht="14.25">
      <c r="A1671" s="37">
        <v>42694</v>
      </c>
      <c r="B1671" s="37" t="s">
        <v>22482</v>
      </c>
      <c r="C1671" s="37" t="s">
        <v>2348</v>
      </c>
      <c r="D1671" s="37" t="s">
        <v>2351</v>
      </c>
      <c r="E1671" s="213">
        <v>1003.69</v>
      </c>
    </row>
    <row r="1672" spans="1:5" ht="14.25">
      <c r="A1672" s="37">
        <v>20097</v>
      </c>
      <c r="B1672" s="37" t="s">
        <v>22483</v>
      </c>
      <c r="C1672" s="37" t="s">
        <v>2348</v>
      </c>
      <c r="D1672" s="37" t="s">
        <v>2349</v>
      </c>
      <c r="E1672" s="212">
        <v>67.319999999999993</v>
      </c>
    </row>
    <row r="1673" spans="1:5" ht="14.25">
      <c r="A1673" s="37">
        <v>20098</v>
      </c>
      <c r="B1673" s="37" t="s">
        <v>22484</v>
      </c>
      <c r="C1673" s="37" t="s">
        <v>2348</v>
      </c>
      <c r="D1673" s="37" t="s">
        <v>2349</v>
      </c>
      <c r="E1673" s="212">
        <v>226.99</v>
      </c>
    </row>
    <row r="1674" spans="1:5" ht="14.25">
      <c r="A1674" s="37">
        <v>20096</v>
      </c>
      <c r="B1674" s="37" t="s">
        <v>22485</v>
      </c>
      <c r="C1674" s="37" t="s">
        <v>2348</v>
      </c>
      <c r="D1674" s="37" t="s">
        <v>2349</v>
      </c>
      <c r="E1674" s="212">
        <v>44.05</v>
      </c>
    </row>
    <row r="1675" spans="1:5" ht="14.25">
      <c r="A1675" s="37">
        <v>1964</v>
      </c>
      <c r="B1675" s="37" t="s">
        <v>22486</v>
      </c>
      <c r="C1675" s="37" t="s">
        <v>2348</v>
      </c>
      <c r="D1675" s="37" t="s">
        <v>2349</v>
      </c>
      <c r="E1675" s="212">
        <v>40.72</v>
      </c>
    </row>
    <row r="1676" spans="1:5" ht="14.25">
      <c r="A1676" s="37">
        <v>1880</v>
      </c>
      <c r="B1676" s="37" t="s">
        <v>22487</v>
      </c>
      <c r="C1676" s="37" t="s">
        <v>2348</v>
      </c>
      <c r="D1676" s="37" t="s">
        <v>2349</v>
      </c>
      <c r="E1676" s="212">
        <v>4.13</v>
      </c>
    </row>
    <row r="1677" spans="1:5" ht="14.25">
      <c r="A1677" s="37">
        <v>39274</v>
      </c>
      <c r="B1677" s="37" t="s">
        <v>22488</v>
      </c>
      <c r="C1677" s="37" t="s">
        <v>2348</v>
      </c>
      <c r="D1677" s="37" t="s">
        <v>2349</v>
      </c>
      <c r="E1677" s="212">
        <v>3.21</v>
      </c>
    </row>
    <row r="1678" spans="1:5" ht="14.25">
      <c r="A1678" s="37">
        <v>2628</v>
      </c>
      <c r="B1678" s="37" t="s">
        <v>22489</v>
      </c>
      <c r="C1678" s="37" t="s">
        <v>2348</v>
      </c>
      <c r="D1678" s="37" t="s">
        <v>2351</v>
      </c>
      <c r="E1678" s="212">
        <v>286.47000000000003</v>
      </c>
    </row>
    <row r="1679" spans="1:5" ht="14.25">
      <c r="A1679" s="37">
        <v>2622</v>
      </c>
      <c r="B1679" s="37" t="s">
        <v>22490</v>
      </c>
      <c r="C1679" s="37" t="s">
        <v>2348</v>
      </c>
      <c r="D1679" s="37" t="s">
        <v>2351</v>
      </c>
      <c r="E1679" s="212">
        <v>6.8</v>
      </c>
    </row>
    <row r="1680" spans="1:5" ht="14.25">
      <c r="A1680" s="37">
        <v>2623</v>
      </c>
      <c r="B1680" s="37" t="s">
        <v>22491</v>
      </c>
      <c r="C1680" s="37" t="s">
        <v>2348</v>
      </c>
      <c r="D1680" s="37" t="s">
        <v>2351</v>
      </c>
      <c r="E1680" s="212">
        <v>8.19</v>
      </c>
    </row>
    <row r="1681" spans="1:5" ht="14.25">
      <c r="A1681" s="37">
        <v>2624</v>
      </c>
      <c r="B1681" s="37" t="s">
        <v>22492</v>
      </c>
      <c r="C1681" s="37" t="s">
        <v>2348</v>
      </c>
      <c r="D1681" s="37" t="s">
        <v>2351</v>
      </c>
      <c r="E1681" s="212">
        <v>13.02</v>
      </c>
    </row>
    <row r="1682" spans="1:5" ht="14.25">
      <c r="A1682" s="37">
        <v>2625</v>
      </c>
      <c r="B1682" s="37" t="s">
        <v>22493</v>
      </c>
      <c r="C1682" s="37" t="s">
        <v>2348</v>
      </c>
      <c r="D1682" s="37" t="s">
        <v>2351</v>
      </c>
      <c r="E1682" s="212">
        <v>27.49</v>
      </c>
    </row>
    <row r="1683" spans="1:5" ht="14.25">
      <c r="A1683" s="37">
        <v>2626</v>
      </c>
      <c r="B1683" s="37" t="s">
        <v>22494</v>
      </c>
      <c r="C1683" s="37" t="s">
        <v>2348</v>
      </c>
      <c r="D1683" s="37" t="s">
        <v>2351</v>
      </c>
      <c r="E1683" s="212">
        <v>40.28</v>
      </c>
    </row>
    <row r="1684" spans="1:5" ht="14.25">
      <c r="A1684" s="37">
        <v>2630</v>
      </c>
      <c r="B1684" s="37" t="s">
        <v>22495</v>
      </c>
      <c r="C1684" s="37" t="s">
        <v>2348</v>
      </c>
      <c r="D1684" s="37" t="s">
        <v>2351</v>
      </c>
      <c r="E1684" s="212">
        <v>61.26</v>
      </c>
    </row>
    <row r="1685" spans="1:5" ht="14.25">
      <c r="A1685" s="37">
        <v>2627</v>
      </c>
      <c r="B1685" s="37" t="s">
        <v>22496</v>
      </c>
      <c r="C1685" s="37" t="s">
        <v>2348</v>
      </c>
      <c r="D1685" s="37" t="s">
        <v>2351</v>
      </c>
      <c r="E1685" s="212">
        <v>107.9</v>
      </c>
    </row>
    <row r="1686" spans="1:5" ht="14.25">
      <c r="A1686" s="37">
        <v>2629</v>
      </c>
      <c r="B1686" s="37" t="s">
        <v>22497</v>
      </c>
      <c r="C1686" s="37" t="s">
        <v>2348</v>
      </c>
      <c r="D1686" s="37" t="s">
        <v>2351</v>
      </c>
      <c r="E1686" s="212">
        <v>145.94</v>
      </c>
    </row>
    <row r="1687" spans="1:5" ht="14.25">
      <c r="A1687" s="37">
        <v>12033</v>
      </c>
      <c r="B1687" s="37" t="s">
        <v>22498</v>
      </c>
      <c r="C1687" s="37" t="s">
        <v>2348</v>
      </c>
      <c r="D1687" s="37" t="s">
        <v>2349</v>
      </c>
      <c r="E1687" s="212">
        <v>13.2</v>
      </c>
    </row>
    <row r="1688" spans="1:5" ht="14.25">
      <c r="A1688" s="37">
        <v>40408</v>
      </c>
      <c r="B1688" s="37" t="s">
        <v>22499</v>
      </c>
      <c r="C1688" s="37" t="s">
        <v>2348</v>
      </c>
      <c r="D1688" s="37" t="s">
        <v>2349</v>
      </c>
      <c r="E1688" s="212">
        <v>8.67</v>
      </c>
    </row>
    <row r="1689" spans="1:5" ht="14.25">
      <c r="A1689" s="37">
        <v>40409</v>
      </c>
      <c r="B1689" s="37" t="s">
        <v>22500</v>
      </c>
      <c r="C1689" s="37" t="s">
        <v>2348</v>
      </c>
      <c r="D1689" s="37" t="s">
        <v>2349</v>
      </c>
      <c r="E1689" s="212">
        <v>3.07</v>
      </c>
    </row>
    <row r="1690" spans="1:5" ht="14.25">
      <c r="A1690" s="37">
        <v>39276</v>
      </c>
      <c r="B1690" s="37" t="s">
        <v>22501</v>
      </c>
      <c r="C1690" s="37" t="s">
        <v>2348</v>
      </c>
      <c r="D1690" s="37" t="s">
        <v>2349</v>
      </c>
      <c r="E1690" s="212">
        <v>7.81</v>
      </c>
    </row>
    <row r="1691" spans="1:5" ht="14.25">
      <c r="A1691" s="37">
        <v>39277</v>
      </c>
      <c r="B1691" s="37" t="s">
        <v>22502</v>
      </c>
      <c r="C1691" s="37" t="s">
        <v>2348</v>
      </c>
      <c r="D1691" s="37" t="s">
        <v>2349</v>
      </c>
      <c r="E1691" s="212">
        <v>21.09</v>
      </c>
    </row>
    <row r="1692" spans="1:5" ht="14.25">
      <c r="A1692" s="37">
        <v>12034</v>
      </c>
      <c r="B1692" s="37" t="s">
        <v>22503</v>
      </c>
      <c r="C1692" s="37" t="s">
        <v>2348</v>
      </c>
      <c r="D1692" s="37" t="s">
        <v>2349</v>
      </c>
      <c r="E1692" s="212">
        <v>5.98</v>
      </c>
    </row>
    <row r="1693" spans="1:5" ht="14.25">
      <c r="A1693" s="37">
        <v>39879</v>
      </c>
      <c r="B1693" s="37" t="s">
        <v>22504</v>
      </c>
      <c r="C1693" s="37" t="s">
        <v>2348</v>
      </c>
      <c r="D1693" s="37" t="s">
        <v>2351</v>
      </c>
      <c r="E1693" s="212">
        <v>5.95</v>
      </c>
    </row>
    <row r="1694" spans="1:5" ht="14.25">
      <c r="A1694" s="37">
        <v>39880</v>
      </c>
      <c r="B1694" s="37" t="s">
        <v>22505</v>
      </c>
      <c r="C1694" s="37" t="s">
        <v>2348</v>
      </c>
      <c r="D1694" s="37" t="s">
        <v>2351</v>
      </c>
      <c r="E1694" s="212">
        <v>13.19</v>
      </c>
    </row>
    <row r="1695" spans="1:5" ht="14.25">
      <c r="A1695" s="37">
        <v>39881</v>
      </c>
      <c r="B1695" s="37" t="s">
        <v>22506</v>
      </c>
      <c r="C1695" s="37" t="s">
        <v>2348</v>
      </c>
      <c r="D1695" s="37" t="s">
        <v>2351</v>
      </c>
      <c r="E1695" s="212">
        <v>21.17</v>
      </c>
    </row>
    <row r="1696" spans="1:5" ht="14.25">
      <c r="A1696" s="37">
        <v>39882</v>
      </c>
      <c r="B1696" s="37" t="s">
        <v>22507</v>
      </c>
      <c r="C1696" s="37" t="s">
        <v>2348</v>
      </c>
      <c r="D1696" s="37" t="s">
        <v>2351</v>
      </c>
      <c r="E1696" s="212">
        <v>55.77</v>
      </c>
    </row>
    <row r="1697" spans="1:5" ht="14.25">
      <c r="A1697" s="37">
        <v>39883</v>
      </c>
      <c r="B1697" s="37" t="s">
        <v>22508</v>
      </c>
      <c r="C1697" s="37" t="s">
        <v>2348</v>
      </c>
      <c r="D1697" s="37" t="s">
        <v>2351</v>
      </c>
      <c r="E1697" s="212">
        <v>89.05</v>
      </c>
    </row>
    <row r="1698" spans="1:5" ht="14.25">
      <c r="A1698" s="37">
        <v>39884</v>
      </c>
      <c r="B1698" s="37" t="s">
        <v>22509</v>
      </c>
      <c r="C1698" s="37" t="s">
        <v>2348</v>
      </c>
      <c r="D1698" s="37" t="s">
        <v>2351</v>
      </c>
      <c r="E1698" s="212">
        <v>132.27000000000001</v>
      </c>
    </row>
    <row r="1699" spans="1:5" ht="14.25">
      <c r="A1699" s="37">
        <v>39885</v>
      </c>
      <c r="B1699" s="37" t="s">
        <v>22510</v>
      </c>
      <c r="C1699" s="37" t="s">
        <v>2348</v>
      </c>
      <c r="D1699" s="37" t="s">
        <v>2351</v>
      </c>
      <c r="E1699" s="212">
        <v>314.36</v>
      </c>
    </row>
    <row r="1700" spans="1:5" ht="14.25">
      <c r="A1700" s="37">
        <v>1777</v>
      </c>
      <c r="B1700" s="37" t="s">
        <v>22511</v>
      </c>
      <c r="C1700" s="37" t="s">
        <v>2348</v>
      </c>
      <c r="D1700" s="37" t="s">
        <v>2351</v>
      </c>
      <c r="E1700" s="212">
        <v>74.209999999999994</v>
      </c>
    </row>
    <row r="1701" spans="1:5" ht="14.25">
      <c r="A1701" s="37">
        <v>1819</v>
      </c>
      <c r="B1701" s="37" t="s">
        <v>22512</v>
      </c>
      <c r="C1701" s="37" t="s">
        <v>2348</v>
      </c>
      <c r="D1701" s="37" t="s">
        <v>2351</v>
      </c>
      <c r="E1701" s="212">
        <v>53.99</v>
      </c>
    </row>
    <row r="1702" spans="1:5" ht="14.25">
      <c r="A1702" s="37">
        <v>1775</v>
      </c>
      <c r="B1702" s="37" t="s">
        <v>22513</v>
      </c>
      <c r="C1702" s="37" t="s">
        <v>2348</v>
      </c>
      <c r="D1702" s="37" t="s">
        <v>2351</v>
      </c>
      <c r="E1702" s="212">
        <v>16.149999999999999</v>
      </c>
    </row>
    <row r="1703" spans="1:5" ht="14.25">
      <c r="A1703" s="37">
        <v>1776</v>
      </c>
      <c r="B1703" s="37" t="s">
        <v>22514</v>
      </c>
      <c r="C1703" s="37" t="s">
        <v>2348</v>
      </c>
      <c r="D1703" s="37" t="s">
        <v>2351</v>
      </c>
      <c r="E1703" s="212">
        <v>43.93</v>
      </c>
    </row>
    <row r="1704" spans="1:5" ht="14.25">
      <c r="A1704" s="37">
        <v>1778</v>
      </c>
      <c r="B1704" s="37" t="s">
        <v>22515</v>
      </c>
      <c r="C1704" s="37" t="s">
        <v>2348</v>
      </c>
      <c r="D1704" s="37" t="s">
        <v>2351</v>
      </c>
      <c r="E1704" s="212">
        <v>179.63</v>
      </c>
    </row>
    <row r="1705" spans="1:5" ht="14.25">
      <c r="A1705" s="37">
        <v>1818</v>
      </c>
      <c r="B1705" s="37" t="s">
        <v>22516</v>
      </c>
      <c r="C1705" s="37" t="s">
        <v>2348</v>
      </c>
      <c r="D1705" s="37" t="s">
        <v>2351</v>
      </c>
      <c r="E1705" s="212">
        <v>119.24</v>
      </c>
    </row>
    <row r="1706" spans="1:5" ht="14.25">
      <c r="A1706" s="37">
        <v>1820</v>
      </c>
      <c r="B1706" s="37" t="s">
        <v>22517</v>
      </c>
      <c r="C1706" s="37" t="s">
        <v>2348</v>
      </c>
      <c r="D1706" s="37" t="s">
        <v>2351</v>
      </c>
      <c r="E1706" s="212">
        <v>23.32</v>
      </c>
    </row>
    <row r="1707" spans="1:5" ht="14.25">
      <c r="A1707" s="37">
        <v>1779</v>
      </c>
      <c r="B1707" s="37" t="s">
        <v>22518</v>
      </c>
      <c r="C1707" s="37" t="s">
        <v>2348</v>
      </c>
      <c r="D1707" s="37" t="s">
        <v>2351</v>
      </c>
      <c r="E1707" s="212">
        <v>261.24</v>
      </c>
    </row>
    <row r="1708" spans="1:5" ht="14.25">
      <c r="A1708" s="37">
        <v>1780</v>
      </c>
      <c r="B1708" s="37" t="s">
        <v>22519</v>
      </c>
      <c r="C1708" s="37" t="s">
        <v>2348</v>
      </c>
      <c r="D1708" s="37" t="s">
        <v>2351</v>
      </c>
      <c r="E1708" s="212">
        <v>538.55999999999995</v>
      </c>
    </row>
    <row r="1709" spans="1:5" ht="14.25">
      <c r="A1709" s="37">
        <v>1783</v>
      </c>
      <c r="B1709" s="37" t="s">
        <v>22520</v>
      </c>
      <c r="C1709" s="37" t="s">
        <v>2348</v>
      </c>
      <c r="D1709" s="37" t="s">
        <v>2351</v>
      </c>
      <c r="E1709" s="212">
        <v>56.94</v>
      </c>
    </row>
    <row r="1710" spans="1:5" ht="14.25">
      <c r="A1710" s="37">
        <v>1782</v>
      </c>
      <c r="B1710" s="37" t="s">
        <v>22521</v>
      </c>
      <c r="C1710" s="37" t="s">
        <v>2348</v>
      </c>
      <c r="D1710" s="37" t="s">
        <v>2351</v>
      </c>
      <c r="E1710" s="212">
        <v>45.02</v>
      </c>
    </row>
    <row r="1711" spans="1:5" ht="14.25">
      <c r="A1711" s="37">
        <v>1817</v>
      </c>
      <c r="B1711" s="37" t="s">
        <v>22522</v>
      </c>
      <c r="C1711" s="37" t="s">
        <v>2348</v>
      </c>
      <c r="D1711" s="37" t="s">
        <v>2351</v>
      </c>
      <c r="E1711" s="212">
        <v>13.41</v>
      </c>
    </row>
    <row r="1712" spans="1:5" ht="14.25">
      <c r="A1712" s="37">
        <v>1781</v>
      </c>
      <c r="B1712" s="37" t="s">
        <v>22523</v>
      </c>
      <c r="C1712" s="37" t="s">
        <v>2348</v>
      </c>
      <c r="D1712" s="37" t="s">
        <v>2351</v>
      </c>
      <c r="E1712" s="212">
        <v>29.33</v>
      </c>
    </row>
    <row r="1713" spans="1:5" ht="14.25">
      <c r="A1713" s="37">
        <v>1784</v>
      </c>
      <c r="B1713" s="37" t="s">
        <v>22524</v>
      </c>
      <c r="C1713" s="37" t="s">
        <v>2348</v>
      </c>
      <c r="D1713" s="37" t="s">
        <v>2351</v>
      </c>
      <c r="E1713" s="212">
        <v>160.79</v>
      </c>
    </row>
    <row r="1714" spans="1:5" ht="14.25">
      <c r="A1714" s="37">
        <v>1810</v>
      </c>
      <c r="B1714" s="37" t="s">
        <v>22525</v>
      </c>
      <c r="C1714" s="37" t="s">
        <v>2348</v>
      </c>
      <c r="D1714" s="37" t="s">
        <v>2351</v>
      </c>
      <c r="E1714" s="212">
        <v>89.18</v>
      </c>
    </row>
    <row r="1715" spans="1:5" ht="14.25">
      <c r="A1715" s="37">
        <v>1811</v>
      </c>
      <c r="B1715" s="37" t="s">
        <v>22526</v>
      </c>
      <c r="C1715" s="37" t="s">
        <v>2348</v>
      </c>
      <c r="D1715" s="37" t="s">
        <v>2351</v>
      </c>
      <c r="E1715" s="212">
        <v>19.29</v>
      </c>
    </row>
    <row r="1716" spans="1:5" ht="14.25">
      <c r="A1716" s="37">
        <v>1812</v>
      </c>
      <c r="B1716" s="37" t="s">
        <v>22527</v>
      </c>
      <c r="C1716" s="37" t="s">
        <v>2348</v>
      </c>
      <c r="D1716" s="37" t="s">
        <v>2351</v>
      </c>
      <c r="E1716" s="212">
        <v>225.14</v>
      </c>
    </row>
    <row r="1717" spans="1:5" ht="14.25">
      <c r="A1717" s="37">
        <v>40386</v>
      </c>
      <c r="B1717" s="37" t="s">
        <v>22528</v>
      </c>
      <c r="C1717" s="37" t="s">
        <v>2348</v>
      </c>
      <c r="D1717" s="37" t="s">
        <v>2349</v>
      </c>
      <c r="E1717" s="212">
        <v>100.05</v>
      </c>
    </row>
    <row r="1718" spans="1:5" ht="14.25">
      <c r="A1718" s="37">
        <v>40384</v>
      </c>
      <c r="B1718" s="37" t="s">
        <v>22529</v>
      </c>
      <c r="C1718" s="37" t="s">
        <v>2348</v>
      </c>
      <c r="D1718" s="37" t="s">
        <v>2349</v>
      </c>
      <c r="E1718" s="212">
        <v>68.5</v>
      </c>
    </row>
    <row r="1719" spans="1:5" ht="14.25">
      <c r="A1719" s="37">
        <v>40379</v>
      </c>
      <c r="B1719" s="37" t="s">
        <v>22530</v>
      </c>
      <c r="C1719" s="37" t="s">
        <v>2348</v>
      </c>
      <c r="D1719" s="37" t="s">
        <v>2349</v>
      </c>
      <c r="E1719" s="212">
        <v>23.68</v>
      </c>
    </row>
    <row r="1720" spans="1:5" ht="14.25">
      <c r="A1720" s="37">
        <v>40423</v>
      </c>
      <c r="B1720" s="37" t="s">
        <v>22531</v>
      </c>
      <c r="C1720" s="37" t="s">
        <v>2348</v>
      </c>
      <c r="D1720" s="37" t="s">
        <v>2349</v>
      </c>
      <c r="E1720" s="212">
        <v>44.81</v>
      </c>
    </row>
    <row r="1721" spans="1:5" ht="14.25">
      <c r="A1721" s="37">
        <v>40389</v>
      </c>
      <c r="B1721" s="37" t="s">
        <v>22532</v>
      </c>
      <c r="C1721" s="37" t="s">
        <v>2348</v>
      </c>
      <c r="D1721" s="37" t="s">
        <v>2349</v>
      </c>
      <c r="E1721" s="212">
        <v>284.18</v>
      </c>
    </row>
    <row r="1722" spans="1:5" ht="14.25">
      <c r="A1722" s="37">
        <v>40388</v>
      </c>
      <c r="B1722" s="37" t="s">
        <v>22533</v>
      </c>
      <c r="C1722" s="37" t="s">
        <v>2348</v>
      </c>
      <c r="D1722" s="37" t="s">
        <v>2349</v>
      </c>
      <c r="E1722" s="212">
        <v>142.24</v>
      </c>
    </row>
    <row r="1723" spans="1:5" ht="14.25">
      <c r="A1723" s="37">
        <v>40381</v>
      </c>
      <c r="B1723" s="37" t="s">
        <v>22534</v>
      </c>
      <c r="C1723" s="37" t="s">
        <v>2348</v>
      </c>
      <c r="D1723" s="37" t="s">
        <v>2349</v>
      </c>
      <c r="E1723" s="212">
        <v>31.57</v>
      </c>
    </row>
    <row r="1724" spans="1:5" ht="14.25">
      <c r="A1724" s="37">
        <v>40391</v>
      </c>
      <c r="B1724" s="37" t="s">
        <v>22535</v>
      </c>
      <c r="C1724" s="37" t="s">
        <v>2348</v>
      </c>
      <c r="D1724" s="37" t="s">
        <v>2349</v>
      </c>
      <c r="E1724" s="212">
        <v>737.6</v>
      </c>
    </row>
    <row r="1725" spans="1:5" ht="14.25">
      <c r="A1725" s="37">
        <v>40414</v>
      </c>
      <c r="B1725" s="37" t="s">
        <v>22536</v>
      </c>
      <c r="C1725" s="37" t="s">
        <v>2348</v>
      </c>
      <c r="D1725" s="37" t="s">
        <v>2351</v>
      </c>
      <c r="E1725" s="212">
        <v>27.37</v>
      </c>
    </row>
    <row r="1726" spans="1:5" ht="14.25">
      <c r="A1726" s="37">
        <v>40416</v>
      </c>
      <c r="B1726" s="37" t="s">
        <v>22537</v>
      </c>
      <c r="C1726" s="37" t="s">
        <v>2348</v>
      </c>
      <c r="D1726" s="37" t="s">
        <v>2351</v>
      </c>
      <c r="E1726" s="212">
        <v>37.840000000000003</v>
      </c>
    </row>
    <row r="1727" spans="1:5" ht="14.25">
      <c r="A1727" s="37">
        <v>40418</v>
      </c>
      <c r="B1727" s="37" t="s">
        <v>22538</v>
      </c>
      <c r="C1727" s="37" t="s">
        <v>2348</v>
      </c>
      <c r="D1727" s="37" t="s">
        <v>2351</v>
      </c>
      <c r="E1727" s="212">
        <v>45.13</v>
      </c>
    </row>
    <row r="1728" spans="1:5" ht="14.25">
      <c r="A1728" s="37">
        <v>2609</v>
      </c>
      <c r="B1728" s="37" t="s">
        <v>22539</v>
      </c>
      <c r="C1728" s="37" t="s">
        <v>2348</v>
      </c>
      <c r="D1728" s="37" t="s">
        <v>2351</v>
      </c>
      <c r="E1728" s="212">
        <v>6.39</v>
      </c>
    </row>
    <row r="1729" spans="1:5" ht="14.25">
      <c r="A1729" s="37">
        <v>2634</v>
      </c>
      <c r="B1729" s="37" t="s">
        <v>22540</v>
      </c>
      <c r="C1729" s="37" t="s">
        <v>2348</v>
      </c>
      <c r="D1729" s="37" t="s">
        <v>2351</v>
      </c>
      <c r="E1729" s="212">
        <v>8.39</v>
      </c>
    </row>
    <row r="1730" spans="1:5" ht="14.25">
      <c r="A1730" s="37">
        <v>2611</v>
      </c>
      <c r="B1730" s="37" t="s">
        <v>22541</v>
      </c>
      <c r="C1730" s="37" t="s">
        <v>2348</v>
      </c>
      <c r="D1730" s="37" t="s">
        <v>2351</v>
      </c>
      <c r="E1730" s="212">
        <v>23.66</v>
      </c>
    </row>
    <row r="1731" spans="1:5" ht="14.25">
      <c r="A1731" s="37">
        <v>34359</v>
      </c>
      <c r="B1731" s="37" t="s">
        <v>22542</v>
      </c>
      <c r="C1731" s="37" t="s">
        <v>2348</v>
      </c>
      <c r="D1731" s="37" t="s">
        <v>2351</v>
      </c>
      <c r="E1731" s="212">
        <v>11.51</v>
      </c>
    </row>
    <row r="1732" spans="1:5" ht="14.25">
      <c r="A1732" s="37">
        <v>1789</v>
      </c>
      <c r="B1732" s="37" t="s">
        <v>22543</v>
      </c>
      <c r="C1732" s="37" t="s">
        <v>2348</v>
      </c>
      <c r="D1732" s="37" t="s">
        <v>2351</v>
      </c>
      <c r="E1732" s="212">
        <v>71.22</v>
      </c>
    </row>
    <row r="1733" spans="1:5" ht="14.25">
      <c r="A1733" s="37">
        <v>1788</v>
      </c>
      <c r="B1733" s="37" t="s">
        <v>22544</v>
      </c>
      <c r="C1733" s="37" t="s">
        <v>2348</v>
      </c>
      <c r="D1733" s="37" t="s">
        <v>2351</v>
      </c>
      <c r="E1733" s="212">
        <v>57.09</v>
      </c>
    </row>
    <row r="1734" spans="1:5" ht="14.25">
      <c r="A1734" s="37">
        <v>1786</v>
      </c>
      <c r="B1734" s="37" t="s">
        <v>22545</v>
      </c>
      <c r="C1734" s="37" t="s">
        <v>2348</v>
      </c>
      <c r="D1734" s="37" t="s">
        <v>2351</v>
      </c>
      <c r="E1734" s="212">
        <v>14.17</v>
      </c>
    </row>
    <row r="1735" spans="1:5" ht="14.25">
      <c r="A1735" s="37">
        <v>1787</v>
      </c>
      <c r="B1735" s="37" t="s">
        <v>22546</v>
      </c>
      <c r="C1735" s="37" t="s">
        <v>2348</v>
      </c>
      <c r="D1735" s="37" t="s">
        <v>2351</v>
      </c>
      <c r="E1735" s="212">
        <v>33.94</v>
      </c>
    </row>
    <row r="1736" spans="1:5" ht="14.25">
      <c r="A1736" s="37">
        <v>1791</v>
      </c>
      <c r="B1736" s="37" t="s">
        <v>22547</v>
      </c>
      <c r="C1736" s="37" t="s">
        <v>2348</v>
      </c>
      <c r="D1736" s="37" t="s">
        <v>2351</v>
      </c>
      <c r="E1736" s="212">
        <v>205.84</v>
      </c>
    </row>
    <row r="1737" spans="1:5" ht="14.25">
      <c r="A1737" s="37">
        <v>1790</v>
      </c>
      <c r="B1737" s="37" t="s">
        <v>22548</v>
      </c>
      <c r="C1737" s="37" t="s">
        <v>2348</v>
      </c>
      <c r="D1737" s="37" t="s">
        <v>2351</v>
      </c>
      <c r="E1737" s="212">
        <v>118.61</v>
      </c>
    </row>
    <row r="1738" spans="1:5" ht="14.25">
      <c r="A1738" s="37">
        <v>1813</v>
      </c>
      <c r="B1738" s="37" t="s">
        <v>22549</v>
      </c>
      <c r="C1738" s="37" t="s">
        <v>2348</v>
      </c>
      <c r="D1738" s="37" t="s">
        <v>2351</v>
      </c>
      <c r="E1738" s="212">
        <v>22.5</v>
      </c>
    </row>
    <row r="1739" spans="1:5" ht="14.25">
      <c r="A1739" s="37">
        <v>1792</v>
      </c>
      <c r="B1739" s="37" t="s">
        <v>22550</v>
      </c>
      <c r="C1739" s="37" t="s">
        <v>2348</v>
      </c>
      <c r="D1739" s="37" t="s">
        <v>2351</v>
      </c>
      <c r="E1739" s="212">
        <v>277.86</v>
      </c>
    </row>
    <row r="1740" spans="1:5" ht="14.25">
      <c r="A1740" s="37">
        <v>1793</v>
      </c>
      <c r="B1740" s="37" t="s">
        <v>22551</v>
      </c>
      <c r="C1740" s="37" t="s">
        <v>2348</v>
      </c>
      <c r="D1740" s="37" t="s">
        <v>2351</v>
      </c>
      <c r="E1740" s="212">
        <v>561.46</v>
      </c>
    </row>
    <row r="1741" spans="1:5" ht="14.25">
      <c r="A1741" s="37">
        <v>1809</v>
      </c>
      <c r="B1741" s="37" t="s">
        <v>22552</v>
      </c>
      <c r="C1741" s="37" t="s">
        <v>2348</v>
      </c>
      <c r="D1741" s="37" t="s">
        <v>2351</v>
      </c>
      <c r="E1741" s="212">
        <v>66.77</v>
      </c>
    </row>
    <row r="1742" spans="1:5" ht="14.25">
      <c r="A1742" s="37">
        <v>1814</v>
      </c>
      <c r="B1742" s="37" t="s">
        <v>22553</v>
      </c>
      <c r="C1742" s="37" t="s">
        <v>2348</v>
      </c>
      <c r="D1742" s="37" t="s">
        <v>2351</v>
      </c>
      <c r="E1742" s="212">
        <v>54.85</v>
      </c>
    </row>
    <row r="1743" spans="1:5" ht="14.25">
      <c r="A1743" s="37">
        <v>1803</v>
      </c>
      <c r="B1743" s="37" t="s">
        <v>22554</v>
      </c>
      <c r="C1743" s="37" t="s">
        <v>2348</v>
      </c>
      <c r="D1743" s="37" t="s">
        <v>2351</v>
      </c>
      <c r="E1743" s="212">
        <v>13.86</v>
      </c>
    </row>
    <row r="1744" spans="1:5" ht="14.25">
      <c r="A1744" s="37">
        <v>1805</v>
      </c>
      <c r="B1744" s="37" t="s">
        <v>22555</v>
      </c>
      <c r="C1744" s="37" t="s">
        <v>2348</v>
      </c>
      <c r="D1744" s="37" t="s">
        <v>2351</v>
      </c>
      <c r="E1744" s="212">
        <v>31.83</v>
      </c>
    </row>
    <row r="1745" spans="1:5" ht="14.25">
      <c r="A1745" s="37">
        <v>1821</v>
      </c>
      <c r="B1745" s="37" t="s">
        <v>22556</v>
      </c>
      <c r="C1745" s="37" t="s">
        <v>2348</v>
      </c>
      <c r="D1745" s="37" t="s">
        <v>2351</v>
      </c>
      <c r="E1745" s="212">
        <v>188.07</v>
      </c>
    </row>
    <row r="1746" spans="1:5" ht="14.25">
      <c r="A1746" s="37">
        <v>1806</v>
      </c>
      <c r="B1746" s="37" t="s">
        <v>22557</v>
      </c>
      <c r="C1746" s="37" t="s">
        <v>2348</v>
      </c>
      <c r="D1746" s="37" t="s">
        <v>2351</v>
      </c>
      <c r="E1746" s="212">
        <v>111.94</v>
      </c>
    </row>
    <row r="1747" spans="1:5" ht="14.25">
      <c r="A1747" s="37">
        <v>1804</v>
      </c>
      <c r="B1747" s="37" t="s">
        <v>22558</v>
      </c>
      <c r="C1747" s="37" t="s">
        <v>2348</v>
      </c>
      <c r="D1747" s="37" t="s">
        <v>2351</v>
      </c>
      <c r="E1747" s="212">
        <v>19.73</v>
      </c>
    </row>
    <row r="1748" spans="1:5" ht="14.25">
      <c r="A1748" s="37">
        <v>1807</v>
      </c>
      <c r="B1748" s="37" t="s">
        <v>22559</v>
      </c>
      <c r="C1748" s="37" t="s">
        <v>2348</v>
      </c>
      <c r="D1748" s="37" t="s">
        <v>2351</v>
      </c>
      <c r="E1748" s="212">
        <v>268.97000000000003</v>
      </c>
    </row>
    <row r="1749" spans="1:5" ht="14.25">
      <c r="A1749" s="37">
        <v>1808</v>
      </c>
      <c r="B1749" s="37" t="s">
        <v>22560</v>
      </c>
      <c r="C1749" s="37" t="s">
        <v>2348</v>
      </c>
      <c r="D1749" s="37" t="s">
        <v>2351</v>
      </c>
      <c r="E1749" s="212">
        <v>539.23</v>
      </c>
    </row>
    <row r="1750" spans="1:5" ht="14.25">
      <c r="A1750" s="37">
        <v>1797</v>
      </c>
      <c r="B1750" s="37" t="s">
        <v>22561</v>
      </c>
      <c r="C1750" s="37" t="s">
        <v>2348</v>
      </c>
      <c r="D1750" s="37" t="s">
        <v>2351</v>
      </c>
      <c r="E1750" s="212">
        <v>80.87</v>
      </c>
    </row>
    <row r="1751" spans="1:5" ht="14.25">
      <c r="A1751" s="37">
        <v>1796</v>
      </c>
      <c r="B1751" s="37" t="s">
        <v>22562</v>
      </c>
      <c r="C1751" s="37" t="s">
        <v>2348</v>
      </c>
      <c r="D1751" s="37" t="s">
        <v>2351</v>
      </c>
      <c r="E1751" s="212">
        <v>62.04</v>
      </c>
    </row>
    <row r="1752" spans="1:5" ht="14.25">
      <c r="A1752" s="37">
        <v>1794</v>
      </c>
      <c r="B1752" s="37" t="s">
        <v>22563</v>
      </c>
      <c r="C1752" s="37" t="s">
        <v>2348</v>
      </c>
      <c r="D1752" s="37" t="s">
        <v>2351</v>
      </c>
      <c r="E1752" s="212">
        <v>14.81</v>
      </c>
    </row>
    <row r="1753" spans="1:5" ht="14.25">
      <c r="A1753" s="37">
        <v>1816</v>
      </c>
      <c r="B1753" s="37" t="s">
        <v>22564</v>
      </c>
      <c r="C1753" s="37" t="s">
        <v>2348</v>
      </c>
      <c r="D1753" s="37" t="s">
        <v>2351</v>
      </c>
      <c r="E1753" s="212">
        <v>33.39</v>
      </c>
    </row>
    <row r="1754" spans="1:5" ht="14.25">
      <c r="A1754" s="37">
        <v>1815</v>
      </c>
      <c r="B1754" s="37" t="s">
        <v>22565</v>
      </c>
      <c r="C1754" s="37" t="s">
        <v>2348</v>
      </c>
      <c r="D1754" s="37" t="s">
        <v>2351</v>
      </c>
      <c r="E1754" s="212">
        <v>256.43</v>
      </c>
    </row>
    <row r="1755" spans="1:5" ht="14.25">
      <c r="A1755" s="37">
        <v>1798</v>
      </c>
      <c r="B1755" s="37" t="s">
        <v>22566</v>
      </c>
      <c r="C1755" s="37" t="s">
        <v>2348</v>
      </c>
      <c r="D1755" s="37" t="s">
        <v>2351</v>
      </c>
      <c r="E1755" s="212">
        <v>114.74</v>
      </c>
    </row>
    <row r="1756" spans="1:5" ht="14.25">
      <c r="A1756" s="37">
        <v>1795</v>
      </c>
      <c r="B1756" s="37" t="s">
        <v>22567</v>
      </c>
      <c r="C1756" s="37" t="s">
        <v>2348</v>
      </c>
      <c r="D1756" s="37" t="s">
        <v>2351</v>
      </c>
      <c r="E1756" s="212">
        <v>20.51</v>
      </c>
    </row>
    <row r="1757" spans="1:5" ht="14.25">
      <c r="A1757" s="37">
        <v>1799</v>
      </c>
      <c r="B1757" s="37" t="s">
        <v>22568</v>
      </c>
      <c r="C1757" s="37" t="s">
        <v>2348</v>
      </c>
      <c r="D1757" s="37" t="s">
        <v>2351</v>
      </c>
      <c r="E1757" s="212">
        <v>333.97</v>
      </c>
    </row>
    <row r="1758" spans="1:5" ht="14.25">
      <c r="A1758" s="37">
        <v>1800</v>
      </c>
      <c r="B1758" s="37" t="s">
        <v>22569</v>
      </c>
      <c r="C1758" s="37" t="s">
        <v>2348</v>
      </c>
      <c r="D1758" s="37" t="s">
        <v>2351</v>
      </c>
      <c r="E1758" s="212">
        <v>637.61</v>
      </c>
    </row>
    <row r="1759" spans="1:5" ht="14.25">
      <c r="A1759" s="37">
        <v>1802</v>
      </c>
      <c r="B1759" s="37" t="s">
        <v>22570</v>
      </c>
      <c r="C1759" s="37" t="s">
        <v>2348</v>
      </c>
      <c r="D1759" s="37" t="s">
        <v>2351</v>
      </c>
      <c r="E1759" s="213">
        <v>1594.92</v>
      </c>
    </row>
    <row r="1760" spans="1:5" ht="14.25">
      <c r="A1760" s="37">
        <v>40385</v>
      </c>
      <c r="B1760" s="37" t="s">
        <v>22571</v>
      </c>
      <c r="C1760" s="37" t="s">
        <v>2348</v>
      </c>
      <c r="D1760" s="37" t="s">
        <v>2349</v>
      </c>
      <c r="E1760" s="212">
        <v>100.05</v>
      </c>
    </row>
    <row r="1761" spans="1:5" ht="14.25">
      <c r="A1761" s="37">
        <v>40383</v>
      </c>
      <c r="B1761" s="37" t="s">
        <v>22572</v>
      </c>
      <c r="C1761" s="37" t="s">
        <v>2348</v>
      </c>
      <c r="D1761" s="37" t="s">
        <v>2349</v>
      </c>
      <c r="E1761" s="212">
        <v>68.5</v>
      </c>
    </row>
    <row r="1762" spans="1:5" ht="14.25">
      <c r="A1762" s="37">
        <v>40378</v>
      </c>
      <c r="B1762" s="37" t="s">
        <v>22573</v>
      </c>
      <c r="C1762" s="37" t="s">
        <v>2348</v>
      </c>
      <c r="D1762" s="37" t="s">
        <v>2349</v>
      </c>
      <c r="E1762" s="212">
        <v>23.68</v>
      </c>
    </row>
    <row r="1763" spans="1:5" ht="14.25">
      <c r="A1763" s="37">
        <v>40382</v>
      </c>
      <c r="B1763" s="37" t="s">
        <v>22574</v>
      </c>
      <c r="C1763" s="37" t="s">
        <v>2348</v>
      </c>
      <c r="D1763" s="37" t="s">
        <v>2349</v>
      </c>
      <c r="E1763" s="212">
        <v>44.81</v>
      </c>
    </row>
    <row r="1764" spans="1:5" ht="14.25">
      <c r="A1764" s="37">
        <v>40422</v>
      </c>
      <c r="B1764" s="37" t="s">
        <v>22575</v>
      </c>
      <c r="C1764" s="37" t="s">
        <v>2348</v>
      </c>
      <c r="D1764" s="37" t="s">
        <v>2349</v>
      </c>
      <c r="E1764" s="212">
        <v>305.27999999999997</v>
      </c>
    </row>
    <row r="1765" spans="1:5" ht="14.25">
      <c r="A1765" s="37">
        <v>40387</v>
      </c>
      <c r="B1765" s="37" t="s">
        <v>22576</v>
      </c>
      <c r="C1765" s="37" t="s">
        <v>2348</v>
      </c>
      <c r="D1765" s="37" t="s">
        <v>2349</v>
      </c>
      <c r="E1765" s="212">
        <v>155.43</v>
      </c>
    </row>
    <row r="1766" spans="1:5" ht="14.25">
      <c r="A1766" s="37">
        <v>40380</v>
      </c>
      <c r="B1766" s="37" t="s">
        <v>22577</v>
      </c>
      <c r="C1766" s="37" t="s">
        <v>2348</v>
      </c>
      <c r="D1766" s="37" t="s">
        <v>2349</v>
      </c>
      <c r="E1766" s="212">
        <v>31.57</v>
      </c>
    </row>
    <row r="1767" spans="1:5" ht="14.25">
      <c r="A1767" s="37">
        <v>40390</v>
      </c>
      <c r="B1767" s="37" t="s">
        <v>22578</v>
      </c>
      <c r="C1767" s="37" t="s">
        <v>2348</v>
      </c>
      <c r="D1767" s="37" t="s">
        <v>2349</v>
      </c>
      <c r="E1767" s="212">
        <v>642.95000000000005</v>
      </c>
    </row>
    <row r="1768" spans="1:5" ht="14.25">
      <c r="A1768" s="37">
        <v>40413</v>
      </c>
      <c r="B1768" s="37" t="s">
        <v>22579</v>
      </c>
      <c r="C1768" s="37" t="s">
        <v>2348</v>
      </c>
      <c r="D1768" s="37" t="s">
        <v>2351</v>
      </c>
      <c r="E1768" s="212">
        <v>29.74</v>
      </c>
    </row>
    <row r="1769" spans="1:5" ht="14.25">
      <c r="A1769" s="37">
        <v>40415</v>
      </c>
      <c r="B1769" s="37" t="s">
        <v>22580</v>
      </c>
      <c r="C1769" s="37" t="s">
        <v>2348</v>
      </c>
      <c r="D1769" s="37" t="s">
        <v>2351</v>
      </c>
      <c r="E1769" s="212">
        <v>42.38</v>
      </c>
    </row>
    <row r="1770" spans="1:5" ht="14.25">
      <c r="A1770" s="37">
        <v>40417</v>
      </c>
      <c r="B1770" s="37" t="s">
        <v>22581</v>
      </c>
      <c r="C1770" s="37" t="s">
        <v>2348</v>
      </c>
      <c r="D1770" s="37" t="s">
        <v>2351</v>
      </c>
      <c r="E1770" s="212">
        <v>49.99</v>
      </c>
    </row>
    <row r="1771" spans="1:5" ht="14.25">
      <c r="A1771" s="37">
        <v>39271</v>
      </c>
      <c r="B1771" s="37" t="s">
        <v>22582</v>
      </c>
      <c r="C1771" s="37" t="s">
        <v>2348</v>
      </c>
      <c r="D1771" s="37" t="s">
        <v>2349</v>
      </c>
      <c r="E1771" s="212">
        <v>2.66</v>
      </c>
    </row>
    <row r="1772" spans="1:5" ht="14.25">
      <c r="A1772" s="37">
        <v>39273</v>
      </c>
      <c r="B1772" s="37" t="s">
        <v>22583</v>
      </c>
      <c r="C1772" s="37" t="s">
        <v>2348</v>
      </c>
      <c r="D1772" s="37" t="s">
        <v>2349</v>
      </c>
      <c r="E1772" s="212">
        <v>4.51</v>
      </c>
    </row>
    <row r="1773" spans="1:5" ht="14.25">
      <c r="A1773" s="37">
        <v>39272</v>
      </c>
      <c r="B1773" s="37" t="s">
        <v>22584</v>
      </c>
      <c r="C1773" s="37" t="s">
        <v>2348</v>
      </c>
      <c r="D1773" s="37" t="s">
        <v>2349</v>
      </c>
      <c r="E1773" s="212">
        <v>3.27</v>
      </c>
    </row>
    <row r="1774" spans="1:5" ht="14.25">
      <c r="A1774" s="37">
        <v>1875</v>
      </c>
      <c r="B1774" s="37" t="s">
        <v>22585</v>
      </c>
      <c r="C1774" s="37" t="s">
        <v>2348</v>
      </c>
      <c r="D1774" s="37" t="s">
        <v>2349</v>
      </c>
      <c r="E1774" s="212">
        <v>7.21</v>
      </c>
    </row>
    <row r="1775" spans="1:5" ht="14.25">
      <c r="A1775" s="37">
        <v>1874</v>
      </c>
      <c r="B1775" s="37" t="s">
        <v>22586</v>
      </c>
      <c r="C1775" s="37" t="s">
        <v>2348</v>
      </c>
      <c r="D1775" s="37" t="s">
        <v>2349</v>
      </c>
      <c r="E1775" s="212">
        <v>5.96</v>
      </c>
    </row>
    <row r="1776" spans="1:5" ht="14.25">
      <c r="A1776" s="37">
        <v>1870</v>
      </c>
      <c r="B1776" s="37" t="s">
        <v>22587</v>
      </c>
      <c r="C1776" s="37" t="s">
        <v>2348</v>
      </c>
      <c r="D1776" s="37" t="s">
        <v>2353</v>
      </c>
      <c r="E1776" s="212">
        <v>3.44</v>
      </c>
    </row>
    <row r="1777" spans="1:5" ht="14.25">
      <c r="A1777" s="37">
        <v>1884</v>
      </c>
      <c r="B1777" s="37" t="s">
        <v>22588</v>
      </c>
      <c r="C1777" s="37" t="s">
        <v>2348</v>
      </c>
      <c r="D1777" s="37" t="s">
        <v>2349</v>
      </c>
      <c r="E1777" s="212">
        <v>5.28</v>
      </c>
    </row>
    <row r="1778" spans="1:5" ht="14.25">
      <c r="A1778" s="37">
        <v>1887</v>
      </c>
      <c r="B1778" s="37" t="s">
        <v>22589</v>
      </c>
      <c r="C1778" s="37" t="s">
        <v>2348</v>
      </c>
      <c r="D1778" s="37" t="s">
        <v>2349</v>
      </c>
      <c r="E1778" s="212">
        <v>29.91</v>
      </c>
    </row>
    <row r="1779" spans="1:5" ht="14.25">
      <c r="A1779" s="37">
        <v>1876</v>
      </c>
      <c r="B1779" s="37" t="s">
        <v>22590</v>
      </c>
      <c r="C1779" s="37" t="s">
        <v>2348</v>
      </c>
      <c r="D1779" s="37" t="s">
        <v>2349</v>
      </c>
      <c r="E1779" s="212">
        <v>11.72</v>
      </c>
    </row>
    <row r="1780" spans="1:5" ht="14.25">
      <c r="A1780" s="37">
        <v>1879</v>
      </c>
      <c r="B1780" s="37" t="s">
        <v>22591</v>
      </c>
      <c r="C1780" s="37" t="s">
        <v>2348</v>
      </c>
      <c r="D1780" s="37" t="s">
        <v>2349</v>
      </c>
      <c r="E1780" s="212">
        <v>3.48</v>
      </c>
    </row>
    <row r="1781" spans="1:5" ht="14.25">
      <c r="A1781" s="37">
        <v>1877</v>
      </c>
      <c r="B1781" s="37" t="s">
        <v>22592</v>
      </c>
      <c r="C1781" s="37" t="s">
        <v>2348</v>
      </c>
      <c r="D1781" s="37" t="s">
        <v>2349</v>
      </c>
      <c r="E1781" s="212">
        <v>29.95</v>
      </c>
    </row>
    <row r="1782" spans="1:5" ht="14.25">
      <c r="A1782" s="37">
        <v>1878</v>
      </c>
      <c r="B1782" s="37" t="s">
        <v>22593</v>
      </c>
      <c r="C1782" s="37" t="s">
        <v>2348</v>
      </c>
      <c r="D1782" s="37" t="s">
        <v>2349</v>
      </c>
      <c r="E1782" s="212">
        <v>60.17</v>
      </c>
    </row>
    <row r="1783" spans="1:5" ht="14.25">
      <c r="A1783" s="37">
        <v>2621</v>
      </c>
      <c r="B1783" s="37" t="s">
        <v>22594</v>
      </c>
      <c r="C1783" s="37" t="s">
        <v>2348</v>
      </c>
      <c r="D1783" s="37" t="s">
        <v>2351</v>
      </c>
      <c r="E1783" s="212">
        <v>202.4</v>
      </c>
    </row>
    <row r="1784" spans="1:5" ht="14.25">
      <c r="A1784" s="37">
        <v>2616</v>
      </c>
      <c r="B1784" s="37" t="s">
        <v>22595</v>
      </c>
      <c r="C1784" s="37" t="s">
        <v>2348</v>
      </c>
      <c r="D1784" s="37" t="s">
        <v>2351</v>
      </c>
      <c r="E1784" s="212">
        <v>5.73</v>
      </c>
    </row>
    <row r="1785" spans="1:5" ht="14.25">
      <c r="A1785" s="37">
        <v>2633</v>
      </c>
      <c r="B1785" s="37" t="s">
        <v>22596</v>
      </c>
      <c r="C1785" s="37" t="s">
        <v>2348</v>
      </c>
      <c r="D1785" s="37" t="s">
        <v>2351</v>
      </c>
      <c r="E1785" s="212">
        <v>6.48</v>
      </c>
    </row>
    <row r="1786" spans="1:5" ht="14.25">
      <c r="A1786" s="37">
        <v>2617</v>
      </c>
      <c r="B1786" s="37" t="s">
        <v>22597</v>
      </c>
      <c r="C1786" s="37" t="s">
        <v>2348</v>
      </c>
      <c r="D1786" s="37" t="s">
        <v>2351</v>
      </c>
      <c r="E1786" s="212">
        <v>8.81</v>
      </c>
    </row>
    <row r="1787" spans="1:5" ht="14.25">
      <c r="A1787" s="37">
        <v>2618</v>
      </c>
      <c r="B1787" s="37" t="s">
        <v>22598</v>
      </c>
      <c r="C1787" s="37" t="s">
        <v>2348</v>
      </c>
      <c r="D1787" s="37" t="s">
        <v>2351</v>
      </c>
      <c r="E1787" s="212">
        <v>20.05</v>
      </c>
    </row>
    <row r="1788" spans="1:5" ht="14.25">
      <c r="A1788" s="37">
        <v>2632</v>
      </c>
      <c r="B1788" s="37" t="s">
        <v>22599</v>
      </c>
      <c r="C1788" s="37" t="s">
        <v>2348</v>
      </c>
      <c r="D1788" s="37" t="s">
        <v>2351</v>
      </c>
      <c r="E1788" s="212">
        <v>24.45</v>
      </c>
    </row>
    <row r="1789" spans="1:5" ht="14.25">
      <c r="A1789" s="37">
        <v>2631</v>
      </c>
      <c r="B1789" s="37" t="s">
        <v>22600</v>
      </c>
      <c r="C1789" s="37" t="s">
        <v>2348</v>
      </c>
      <c r="D1789" s="37" t="s">
        <v>2351</v>
      </c>
      <c r="E1789" s="212">
        <v>35.9</v>
      </c>
    </row>
    <row r="1790" spans="1:5" ht="14.25">
      <c r="A1790" s="37">
        <v>2619</v>
      </c>
      <c r="B1790" s="37" t="s">
        <v>22601</v>
      </c>
      <c r="C1790" s="37" t="s">
        <v>2348</v>
      </c>
      <c r="D1790" s="37" t="s">
        <v>2351</v>
      </c>
      <c r="E1790" s="212">
        <v>90.9</v>
      </c>
    </row>
    <row r="1791" spans="1:5" ht="14.25">
      <c r="A1791" s="37">
        <v>2620</v>
      </c>
      <c r="B1791" s="37" t="s">
        <v>22602</v>
      </c>
      <c r="C1791" s="37" t="s">
        <v>2348</v>
      </c>
      <c r="D1791" s="37" t="s">
        <v>2351</v>
      </c>
      <c r="E1791" s="212">
        <v>119.34</v>
      </c>
    </row>
    <row r="1792" spans="1:5" ht="14.25">
      <c r="A1792" s="37">
        <v>44472</v>
      </c>
      <c r="B1792" s="37" t="s">
        <v>27969</v>
      </c>
      <c r="C1792" s="37" t="s">
        <v>2348</v>
      </c>
      <c r="D1792" s="37" t="s">
        <v>2351</v>
      </c>
      <c r="E1792" s="212">
        <v>70.38</v>
      </c>
    </row>
    <row r="1793" spans="1:5" ht="14.25">
      <c r="A1793" s="37">
        <v>38369</v>
      </c>
      <c r="B1793" s="37" t="s">
        <v>22603</v>
      </c>
      <c r="C1793" s="37" t="s">
        <v>2348</v>
      </c>
      <c r="D1793" s="37" t="s">
        <v>2349</v>
      </c>
      <c r="E1793" s="212">
        <v>19.7</v>
      </c>
    </row>
    <row r="1794" spans="1:5" ht="14.25">
      <c r="A1794" s="37">
        <v>38370</v>
      </c>
      <c r="B1794" s="37" t="s">
        <v>22604</v>
      </c>
      <c r="C1794" s="37" t="s">
        <v>2348</v>
      </c>
      <c r="D1794" s="37" t="s">
        <v>2349</v>
      </c>
      <c r="E1794" s="212">
        <v>19.7</v>
      </c>
    </row>
    <row r="1795" spans="1:5" ht="14.25">
      <c r="A1795" s="37">
        <v>38372</v>
      </c>
      <c r="B1795" s="37" t="s">
        <v>22605</v>
      </c>
      <c r="C1795" s="37" t="s">
        <v>2348</v>
      </c>
      <c r="D1795" s="37" t="s">
        <v>2349</v>
      </c>
      <c r="E1795" s="212">
        <v>18.440000000000001</v>
      </c>
    </row>
    <row r="1796" spans="1:5" ht="14.25">
      <c r="A1796" s="37">
        <v>2357</v>
      </c>
      <c r="B1796" s="37" t="s">
        <v>22606</v>
      </c>
      <c r="C1796" s="37" t="s">
        <v>2352</v>
      </c>
      <c r="D1796" s="37" t="s">
        <v>2349</v>
      </c>
      <c r="E1796" s="212">
        <v>25.4</v>
      </c>
    </row>
    <row r="1797" spans="1:5" ht="14.25">
      <c r="A1797" s="37">
        <v>40806</v>
      </c>
      <c r="B1797" s="37" t="s">
        <v>22607</v>
      </c>
      <c r="C1797" s="37" t="s">
        <v>2369</v>
      </c>
      <c r="D1797" s="37" t="s">
        <v>2349</v>
      </c>
      <c r="E1797" s="213">
        <v>4468.74</v>
      </c>
    </row>
    <row r="1798" spans="1:5" ht="14.25">
      <c r="A1798" s="37">
        <v>2355</v>
      </c>
      <c r="B1798" s="37" t="s">
        <v>22608</v>
      </c>
      <c r="C1798" s="37" t="s">
        <v>2352</v>
      </c>
      <c r="D1798" s="37" t="s">
        <v>2349</v>
      </c>
      <c r="E1798" s="212">
        <v>44.33</v>
      </c>
    </row>
    <row r="1799" spans="1:5" ht="14.25">
      <c r="A1799" s="37">
        <v>40805</v>
      </c>
      <c r="B1799" s="37" t="s">
        <v>22609</v>
      </c>
      <c r="C1799" s="37" t="s">
        <v>2369</v>
      </c>
      <c r="D1799" s="37" t="s">
        <v>2349</v>
      </c>
      <c r="E1799" s="213">
        <v>7799.1</v>
      </c>
    </row>
    <row r="1800" spans="1:5" ht="14.25">
      <c r="A1800" s="37">
        <v>2358</v>
      </c>
      <c r="B1800" s="37" t="s">
        <v>22610</v>
      </c>
      <c r="C1800" s="37" t="s">
        <v>2352</v>
      </c>
      <c r="D1800" s="37" t="s">
        <v>2349</v>
      </c>
      <c r="E1800" s="212">
        <v>33.85</v>
      </c>
    </row>
    <row r="1801" spans="1:5" ht="14.25">
      <c r="A1801" s="37">
        <v>40807</v>
      </c>
      <c r="B1801" s="37" t="s">
        <v>22611</v>
      </c>
      <c r="C1801" s="37" t="s">
        <v>2369</v>
      </c>
      <c r="D1801" s="37" t="s">
        <v>2349</v>
      </c>
      <c r="E1801" s="213">
        <v>5956.34</v>
      </c>
    </row>
    <row r="1802" spans="1:5" ht="14.25">
      <c r="A1802" s="37">
        <v>2359</v>
      </c>
      <c r="B1802" s="37" t="s">
        <v>22612</v>
      </c>
      <c r="C1802" s="37" t="s">
        <v>2352</v>
      </c>
      <c r="D1802" s="37" t="s">
        <v>2349</v>
      </c>
      <c r="E1802" s="212">
        <v>30.47</v>
      </c>
    </row>
    <row r="1803" spans="1:5" ht="14.25">
      <c r="A1803" s="37">
        <v>40808</v>
      </c>
      <c r="B1803" s="37" t="s">
        <v>22613</v>
      </c>
      <c r="C1803" s="37" t="s">
        <v>2369</v>
      </c>
      <c r="D1803" s="37" t="s">
        <v>2349</v>
      </c>
      <c r="E1803" s="213">
        <v>5360.7</v>
      </c>
    </row>
    <row r="1804" spans="1:5" ht="14.25">
      <c r="A1804" s="37">
        <v>44330</v>
      </c>
      <c r="B1804" s="37" t="s">
        <v>27970</v>
      </c>
      <c r="C1804" s="37" t="s">
        <v>2363</v>
      </c>
      <c r="D1804" s="37" t="s">
        <v>2349</v>
      </c>
      <c r="E1804" s="212">
        <v>7.47</v>
      </c>
    </row>
    <row r="1805" spans="1:5" ht="14.25">
      <c r="A1805" s="37">
        <v>43144</v>
      </c>
      <c r="B1805" s="37" t="s">
        <v>22614</v>
      </c>
      <c r="C1805" s="37" t="s">
        <v>2356</v>
      </c>
      <c r="D1805" s="37" t="s">
        <v>2349</v>
      </c>
      <c r="E1805" s="212">
        <v>33.08</v>
      </c>
    </row>
    <row r="1806" spans="1:5" ht="14.25">
      <c r="A1806" s="37">
        <v>39397</v>
      </c>
      <c r="B1806" s="37" t="s">
        <v>22615</v>
      </c>
      <c r="C1806" s="37" t="s">
        <v>2363</v>
      </c>
      <c r="D1806" s="37" t="s">
        <v>2349</v>
      </c>
      <c r="E1806" s="212">
        <v>15.07</v>
      </c>
    </row>
    <row r="1807" spans="1:5" ht="14.25">
      <c r="A1807" s="37">
        <v>2692</v>
      </c>
      <c r="B1807" s="37" t="s">
        <v>22616</v>
      </c>
      <c r="C1807" s="37" t="s">
        <v>2363</v>
      </c>
      <c r="D1807" s="37" t="s">
        <v>2349</v>
      </c>
      <c r="E1807" s="212">
        <v>6.08</v>
      </c>
    </row>
    <row r="1808" spans="1:5" ht="14.25">
      <c r="A1808" s="37">
        <v>44329</v>
      </c>
      <c r="B1808" s="37" t="s">
        <v>27971</v>
      </c>
      <c r="C1808" s="37" t="s">
        <v>2363</v>
      </c>
      <c r="D1808" s="37" t="s">
        <v>2349</v>
      </c>
      <c r="E1808" s="212">
        <v>9.7899999999999991</v>
      </c>
    </row>
    <row r="1809" spans="1:5" ht="14.25">
      <c r="A1809" s="37">
        <v>5318</v>
      </c>
      <c r="B1809" s="37" t="s">
        <v>27972</v>
      </c>
      <c r="C1809" s="37" t="s">
        <v>2363</v>
      </c>
      <c r="D1809" s="37" t="s">
        <v>2353</v>
      </c>
      <c r="E1809" s="212">
        <v>15.83</v>
      </c>
    </row>
    <row r="1810" spans="1:5" ht="14.25">
      <c r="A1810" s="37">
        <v>5330</v>
      </c>
      <c r="B1810" s="37" t="s">
        <v>22617</v>
      </c>
      <c r="C1810" s="37" t="s">
        <v>2363</v>
      </c>
      <c r="D1810" s="37" t="s">
        <v>2349</v>
      </c>
      <c r="E1810" s="212">
        <v>36.08</v>
      </c>
    </row>
    <row r="1811" spans="1:5" ht="14.25">
      <c r="A1811" s="37">
        <v>44532</v>
      </c>
      <c r="B1811" s="37" t="s">
        <v>27973</v>
      </c>
      <c r="C1811" s="37" t="s">
        <v>2348</v>
      </c>
      <c r="D1811" s="37" t="s">
        <v>2349</v>
      </c>
      <c r="E1811" s="212">
        <v>21.48</v>
      </c>
    </row>
    <row r="1812" spans="1:5" ht="14.25">
      <c r="A1812" s="37">
        <v>44531</v>
      </c>
      <c r="B1812" s="37" t="s">
        <v>27974</v>
      </c>
      <c r="C1812" s="37" t="s">
        <v>2348</v>
      </c>
      <c r="D1812" s="37" t="s">
        <v>2349</v>
      </c>
      <c r="E1812" s="212">
        <v>68.28</v>
      </c>
    </row>
    <row r="1813" spans="1:5" ht="14.25">
      <c r="A1813" s="37">
        <v>38140</v>
      </c>
      <c r="B1813" s="37" t="s">
        <v>22618</v>
      </c>
      <c r="C1813" s="37" t="s">
        <v>2348</v>
      </c>
      <c r="D1813" s="37" t="s">
        <v>2353</v>
      </c>
      <c r="E1813" s="212">
        <v>16.559999999999999</v>
      </c>
    </row>
    <row r="1814" spans="1:5" ht="14.25">
      <c r="A1814" s="37">
        <v>13887</v>
      </c>
      <c r="B1814" s="37" t="s">
        <v>22619</v>
      </c>
      <c r="C1814" s="37" t="s">
        <v>2348</v>
      </c>
      <c r="D1814" s="37" t="s">
        <v>2349</v>
      </c>
      <c r="E1814" s="212">
        <v>392.07</v>
      </c>
    </row>
    <row r="1815" spans="1:5" ht="14.25">
      <c r="A1815" s="37">
        <v>44495</v>
      </c>
      <c r="B1815" s="37" t="s">
        <v>27975</v>
      </c>
      <c r="C1815" s="37" t="s">
        <v>2348</v>
      </c>
      <c r="D1815" s="37" t="s">
        <v>2349</v>
      </c>
      <c r="E1815" s="212">
        <v>17.45</v>
      </c>
    </row>
    <row r="1816" spans="1:5" ht="14.25">
      <c r="A1816" s="37">
        <v>44533</v>
      </c>
      <c r="B1816" s="37" t="s">
        <v>27976</v>
      </c>
      <c r="C1816" s="37" t="s">
        <v>2348</v>
      </c>
      <c r="D1816" s="37" t="s">
        <v>2349</v>
      </c>
      <c r="E1816" s="212">
        <v>16.48</v>
      </c>
    </row>
    <row r="1817" spans="1:5" ht="14.25">
      <c r="A1817" s="37">
        <v>44534</v>
      </c>
      <c r="B1817" s="37" t="s">
        <v>27977</v>
      </c>
      <c r="C1817" s="37" t="s">
        <v>2348</v>
      </c>
      <c r="D1817" s="37" t="s">
        <v>2349</v>
      </c>
      <c r="E1817" s="212">
        <v>4.29</v>
      </c>
    </row>
    <row r="1818" spans="1:5" ht="14.25">
      <c r="A1818" s="37">
        <v>34544</v>
      </c>
      <c r="B1818" s="37" t="s">
        <v>22620</v>
      </c>
      <c r="C1818" s="37" t="s">
        <v>2348</v>
      </c>
      <c r="D1818" s="37" t="s">
        <v>2349</v>
      </c>
      <c r="E1818" s="213">
        <v>1349.54</v>
      </c>
    </row>
    <row r="1819" spans="1:5" ht="14.25">
      <c r="A1819" s="37">
        <v>34729</v>
      </c>
      <c r="B1819" s="37" t="s">
        <v>22621</v>
      </c>
      <c r="C1819" s="37" t="s">
        <v>2348</v>
      </c>
      <c r="D1819" s="37" t="s">
        <v>2349</v>
      </c>
      <c r="E1819" s="213">
        <v>1061.6199999999999</v>
      </c>
    </row>
    <row r="1820" spans="1:5" ht="14.25">
      <c r="A1820" s="37">
        <v>34734</v>
      </c>
      <c r="B1820" s="37" t="s">
        <v>22622</v>
      </c>
      <c r="C1820" s="37" t="s">
        <v>2348</v>
      </c>
      <c r="D1820" s="37" t="s">
        <v>2349</v>
      </c>
      <c r="E1820" s="213">
        <v>1643.73</v>
      </c>
    </row>
    <row r="1821" spans="1:5" ht="14.25">
      <c r="A1821" s="37">
        <v>34738</v>
      </c>
      <c r="B1821" s="37" t="s">
        <v>22623</v>
      </c>
      <c r="C1821" s="37" t="s">
        <v>2348</v>
      </c>
      <c r="D1821" s="37" t="s">
        <v>2349</v>
      </c>
      <c r="E1821" s="213">
        <v>3840.26</v>
      </c>
    </row>
    <row r="1822" spans="1:5" ht="14.25">
      <c r="A1822" s="37">
        <v>2391</v>
      </c>
      <c r="B1822" s="37" t="s">
        <v>22624</v>
      </c>
      <c r="C1822" s="37" t="s">
        <v>2348</v>
      </c>
      <c r="D1822" s="37" t="s">
        <v>2349</v>
      </c>
      <c r="E1822" s="212">
        <v>312.33999999999997</v>
      </c>
    </row>
    <row r="1823" spans="1:5" ht="14.25">
      <c r="A1823" s="37">
        <v>2374</v>
      </c>
      <c r="B1823" s="37" t="s">
        <v>22625</v>
      </c>
      <c r="C1823" s="37" t="s">
        <v>2348</v>
      </c>
      <c r="D1823" s="37" t="s">
        <v>2349</v>
      </c>
      <c r="E1823" s="212">
        <v>354.34</v>
      </c>
    </row>
    <row r="1824" spans="1:5" ht="14.25">
      <c r="A1824" s="37">
        <v>2377</v>
      </c>
      <c r="B1824" s="37" t="s">
        <v>22626</v>
      </c>
      <c r="C1824" s="37" t="s">
        <v>2348</v>
      </c>
      <c r="D1824" s="37" t="s">
        <v>2349</v>
      </c>
      <c r="E1824" s="212">
        <v>497.28</v>
      </c>
    </row>
    <row r="1825" spans="1:5" ht="14.25">
      <c r="A1825" s="37">
        <v>2393</v>
      </c>
      <c r="B1825" s="37" t="s">
        <v>22627</v>
      </c>
      <c r="C1825" s="37" t="s">
        <v>2348</v>
      </c>
      <c r="D1825" s="37" t="s">
        <v>2349</v>
      </c>
      <c r="E1825" s="212">
        <v>832.76</v>
      </c>
    </row>
    <row r="1826" spans="1:5" ht="14.25">
      <c r="A1826" s="37">
        <v>34705</v>
      </c>
      <c r="B1826" s="37" t="s">
        <v>22628</v>
      </c>
      <c r="C1826" s="37" t="s">
        <v>2348</v>
      </c>
      <c r="D1826" s="37" t="s">
        <v>2349</v>
      </c>
      <c r="E1826" s="212">
        <v>728.37</v>
      </c>
    </row>
    <row r="1827" spans="1:5" ht="14.25">
      <c r="A1827" s="37">
        <v>34707</v>
      </c>
      <c r="B1827" s="37" t="s">
        <v>22629</v>
      </c>
      <c r="C1827" s="37" t="s">
        <v>2348</v>
      </c>
      <c r="D1827" s="37" t="s">
        <v>2349</v>
      </c>
      <c r="E1827" s="213">
        <v>1349.68</v>
      </c>
    </row>
    <row r="1828" spans="1:5" ht="14.25">
      <c r="A1828" s="37">
        <v>2378</v>
      </c>
      <c r="B1828" s="37" t="s">
        <v>22630</v>
      </c>
      <c r="C1828" s="37" t="s">
        <v>2348</v>
      </c>
      <c r="D1828" s="37" t="s">
        <v>2349</v>
      </c>
      <c r="E1828" s="213">
        <v>1143.9100000000001</v>
      </c>
    </row>
    <row r="1829" spans="1:5" ht="14.25">
      <c r="A1829" s="37">
        <v>2379</v>
      </c>
      <c r="B1829" s="37" t="s">
        <v>22631</v>
      </c>
      <c r="C1829" s="37" t="s">
        <v>2348</v>
      </c>
      <c r="D1829" s="37" t="s">
        <v>2349</v>
      </c>
      <c r="E1829" s="213">
        <v>1143.9100000000001</v>
      </c>
    </row>
    <row r="1830" spans="1:5" ht="14.25">
      <c r="A1830" s="37">
        <v>2376</v>
      </c>
      <c r="B1830" s="37" t="s">
        <v>22632</v>
      </c>
      <c r="C1830" s="37" t="s">
        <v>2348</v>
      </c>
      <c r="D1830" s="37" t="s">
        <v>2349</v>
      </c>
      <c r="E1830" s="213">
        <v>1884.01</v>
      </c>
    </row>
    <row r="1831" spans="1:5" ht="14.25">
      <c r="A1831" s="37">
        <v>2394</v>
      </c>
      <c r="B1831" s="37" t="s">
        <v>22633</v>
      </c>
      <c r="C1831" s="37" t="s">
        <v>2348</v>
      </c>
      <c r="D1831" s="37" t="s">
        <v>2349</v>
      </c>
      <c r="E1831" s="213">
        <v>4027.66</v>
      </c>
    </row>
    <row r="1832" spans="1:5" ht="14.25">
      <c r="A1832" s="37">
        <v>34686</v>
      </c>
      <c r="B1832" s="37" t="s">
        <v>22634</v>
      </c>
      <c r="C1832" s="37" t="s">
        <v>2348</v>
      </c>
      <c r="D1832" s="37" t="s">
        <v>2349</v>
      </c>
      <c r="E1832" s="212">
        <v>12.09</v>
      </c>
    </row>
    <row r="1833" spans="1:5" ht="14.25">
      <c r="A1833" s="37">
        <v>34616</v>
      </c>
      <c r="B1833" s="37" t="s">
        <v>22635</v>
      </c>
      <c r="C1833" s="37" t="s">
        <v>2348</v>
      </c>
      <c r="D1833" s="37" t="s">
        <v>2349</v>
      </c>
      <c r="E1833" s="212">
        <v>46.73</v>
      </c>
    </row>
    <row r="1834" spans="1:5" ht="14.25">
      <c r="A1834" s="37">
        <v>34623</v>
      </c>
      <c r="B1834" s="37" t="s">
        <v>22636</v>
      </c>
      <c r="C1834" s="37" t="s">
        <v>2348</v>
      </c>
      <c r="D1834" s="37" t="s">
        <v>2349</v>
      </c>
      <c r="E1834" s="212">
        <v>46.02</v>
      </c>
    </row>
    <row r="1835" spans="1:5" ht="14.25">
      <c r="A1835" s="37">
        <v>34628</v>
      </c>
      <c r="B1835" s="37" t="s">
        <v>22637</v>
      </c>
      <c r="C1835" s="37" t="s">
        <v>2348</v>
      </c>
      <c r="D1835" s="37" t="s">
        <v>2349</v>
      </c>
      <c r="E1835" s="212">
        <v>65.91</v>
      </c>
    </row>
    <row r="1836" spans="1:5" ht="14.25">
      <c r="A1836" s="37">
        <v>34653</v>
      </c>
      <c r="B1836" s="37" t="s">
        <v>22638</v>
      </c>
      <c r="C1836" s="37" t="s">
        <v>2348</v>
      </c>
      <c r="D1836" s="37" t="s">
        <v>2349</v>
      </c>
      <c r="E1836" s="212">
        <v>8.15</v>
      </c>
    </row>
    <row r="1837" spans="1:5" ht="14.25">
      <c r="A1837" s="37">
        <v>34688</v>
      </c>
      <c r="B1837" s="37" t="s">
        <v>22639</v>
      </c>
      <c r="C1837" s="37" t="s">
        <v>2348</v>
      </c>
      <c r="D1837" s="37" t="s">
        <v>2349</v>
      </c>
      <c r="E1837" s="212">
        <v>14.77</v>
      </c>
    </row>
    <row r="1838" spans="1:5" ht="14.25">
      <c r="A1838" s="37">
        <v>34709</v>
      </c>
      <c r="B1838" s="37" t="s">
        <v>22640</v>
      </c>
      <c r="C1838" s="37" t="s">
        <v>2348</v>
      </c>
      <c r="D1838" s="37" t="s">
        <v>2349</v>
      </c>
      <c r="E1838" s="212">
        <v>57.26</v>
      </c>
    </row>
    <row r="1839" spans="1:5" ht="14.25">
      <c r="A1839" s="37">
        <v>34714</v>
      </c>
      <c r="B1839" s="37" t="s">
        <v>22641</v>
      </c>
      <c r="C1839" s="37" t="s">
        <v>2348</v>
      </c>
      <c r="D1839" s="37" t="s">
        <v>2349</v>
      </c>
      <c r="E1839" s="212">
        <v>68.39</v>
      </c>
    </row>
    <row r="1840" spans="1:5" ht="14.25">
      <c r="A1840" s="37">
        <v>2388</v>
      </c>
      <c r="B1840" s="37" t="s">
        <v>22642</v>
      </c>
      <c r="C1840" s="37" t="s">
        <v>2348</v>
      </c>
      <c r="D1840" s="37" t="s">
        <v>2349</v>
      </c>
      <c r="E1840" s="212">
        <v>56.83</v>
      </c>
    </row>
    <row r="1841" spans="1:5" ht="14.25">
      <c r="A1841" s="37">
        <v>34606</v>
      </c>
      <c r="B1841" s="37" t="s">
        <v>22643</v>
      </c>
      <c r="C1841" s="37" t="s">
        <v>2348</v>
      </c>
      <c r="D1841" s="37" t="s">
        <v>2349</v>
      </c>
      <c r="E1841" s="212">
        <v>87.17</v>
      </c>
    </row>
    <row r="1842" spans="1:5" ht="14.25">
      <c r="A1842" s="37">
        <v>34689</v>
      </c>
      <c r="B1842" s="37" t="s">
        <v>22644</v>
      </c>
      <c r="C1842" s="37" t="s">
        <v>2348</v>
      </c>
      <c r="D1842" s="37" t="s">
        <v>2349</v>
      </c>
      <c r="E1842" s="212">
        <v>27.75</v>
      </c>
    </row>
    <row r="1843" spans="1:5" ht="14.25">
      <c r="A1843" s="37">
        <v>2370</v>
      </c>
      <c r="B1843" s="37" t="s">
        <v>22645</v>
      </c>
      <c r="C1843" s="37" t="s">
        <v>2348</v>
      </c>
      <c r="D1843" s="37" t="s">
        <v>2353</v>
      </c>
      <c r="E1843" s="212">
        <v>10.56</v>
      </c>
    </row>
    <row r="1844" spans="1:5" ht="14.25">
      <c r="A1844" s="37">
        <v>2386</v>
      </c>
      <c r="B1844" s="37" t="s">
        <v>22646</v>
      </c>
      <c r="C1844" s="37" t="s">
        <v>2348</v>
      </c>
      <c r="D1844" s="37" t="s">
        <v>2349</v>
      </c>
      <c r="E1844" s="212">
        <v>17.71</v>
      </c>
    </row>
    <row r="1845" spans="1:5" ht="14.25">
      <c r="A1845" s="37">
        <v>2392</v>
      </c>
      <c r="B1845" s="37" t="s">
        <v>22647</v>
      </c>
      <c r="C1845" s="37" t="s">
        <v>2348</v>
      </c>
      <c r="D1845" s="37" t="s">
        <v>2349</v>
      </c>
      <c r="E1845" s="212">
        <v>70.88</v>
      </c>
    </row>
    <row r="1846" spans="1:5" ht="14.25">
      <c r="A1846" s="37">
        <v>2373</v>
      </c>
      <c r="B1846" s="37" t="s">
        <v>22648</v>
      </c>
      <c r="C1846" s="37" t="s">
        <v>2348</v>
      </c>
      <c r="D1846" s="37" t="s">
        <v>2349</v>
      </c>
      <c r="E1846" s="212">
        <v>99.87</v>
      </c>
    </row>
    <row r="1847" spans="1:5" ht="14.25">
      <c r="A1847" s="37">
        <v>39465</v>
      </c>
      <c r="B1847" s="37" t="s">
        <v>22649</v>
      </c>
      <c r="C1847" s="37" t="s">
        <v>2348</v>
      </c>
      <c r="D1847" s="37" t="s">
        <v>2349</v>
      </c>
      <c r="E1847" s="212">
        <v>61.01</v>
      </c>
    </row>
    <row r="1848" spans="1:5" ht="14.25">
      <c r="A1848" s="37">
        <v>39466</v>
      </c>
      <c r="B1848" s="37" t="s">
        <v>22650</v>
      </c>
      <c r="C1848" s="37" t="s">
        <v>2348</v>
      </c>
      <c r="D1848" s="37" t="s">
        <v>2349</v>
      </c>
      <c r="E1848" s="212">
        <v>68.64</v>
      </c>
    </row>
    <row r="1849" spans="1:5" ht="14.25">
      <c r="A1849" s="37">
        <v>39467</v>
      </c>
      <c r="B1849" s="37" t="s">
        <v>22651</v>
      </c>
      <c r="C1849" s="37" t="s">
        <v>2348</v>
      </c>
      <c r="D1849" s="37" t="s">
        <v>2349</v>
      </c>
      <c r="E1849" s="212">
        <v>87.8</v>
      </c>
    </row>
    <row r="1850" spans="1:5" ht="14.25">
      <c r="A1850" s="37">
        <v>39468</v>
      </c>
      <c r="B1850" s="37" t="s">
        <v>22652</v>
      </c>
      <c r="C1850" s="37" t="s">
        <v>2348</v>
      </c>
      <c r="D1850" s="37" t="s">
        <v>2349</v>
      </c>
      <c r="E1850" s="212">
        <v>156.05000000000001</v>
      </c>
    </row>
    <row r="1851" spans="1:5" ht="14.25">
      <c r="A1851" s="37">
        <v>39469</v>
      </c>
      <c r="B1851" s="37" t="s">
        <v>22653</v>
      </c>
      <c r="C1851" s="37" t="s">
        <v>2348</v>
      </c>
      <c r="D1851" s="37" t="s">
        <v>2349</v>
      </c>
      <c r="E1851" s="212">
        <v>63.57</v>
      </c>
    </row>
    <row r="1852" spans="1:5" ht="14.25">
      <c r="A1852" s="37">
        <v>39470</v>
      </c>
      <c r="B1852" s="37" t="s">
        <v>22654</v>
      </c>
      <c r="C1852" s="37" t="s">
        <v>2348</v>
      </c>
      <c r="D1852" s="37" t="s">
        <v>2349</v>
      </c>
      <c r="E1852" s="212">
        <v>78.099999999999994</v>
      </c>
    </row>
    <row r="1853" spans="1:5" ht="14.25">
      <c r="A1853" s="37">
        <v>39471</v>
      </c>
      <c r="B1853" s="37" t="s">
        <v>22655</v>
      </c>
      <c r="C1853" s="37" t="s">
        <v>2348</v>
      </c>
      <c r="D1853" s="37" t="s">
        <v>2349</v>
      </c>
      <c r="E1853" s="212">
        <v>93.86</v>
      </c>
    </row>
    <row r="1854" spans="1:5" ht="14.25">
      <c r="A1854" s="37">
        <v>39472</v>
      </c>
      <c r="B1854" s="37" t="s">
        <v>22656</v>
      </c>
      <c r="C1854" s="37" t="s">
        <v>2348</v>
      </c>
      <c r="D1854" s="37" t="s">
        <v>2349</v>
      </c>
      <c r="E1854" s="212">
        <v>163.09</v>
      </c>
    </row>
    <row r="1855" spans="1:5" ht="14.25">
      <c r="A1855" s="37">
        <v>39473</v>
      </c>
      <c r="B1855" s="37" t="s">
        <v>22657</v>
      </c>
      <c r="C1855" s="37" t="s">
        <v>2348</v>
      </c>
      <c r="D1855" s="37" t="s">
        <v>2349</v>
      </c>
      <c r="E1855" s="212">
        <v>105.35</v>
      </c>
    </row>
    <row r="1856" spans="1:5" ht="14.25">
      <c r="A1856" s="37">
        <v>39474</v>
      </c>
      <c r="B1856" s="37" t="s">
        <v>22658</v>
      </c>
      <c r="C1856" s="37" t="s">
        <v>2348</v>
      </c>
      <c r="D1856" s="37" t="s">
        <v>2349</v>
      </c>
      <c r="E1856" s="212">
        <v>112.31</v>
      </c>
    </row>
    <row r="1857" spans="1:5" ht="14.25">
      <c r="A1857" s="37">
        <v>39475</v>
      </c>
      <c r="B1857" s="37" t="s">
        <v>22659</v>
      </c>
      <c r="C1857" s="37" t="s">
        <v>2348</v>
      </c>
      <c r="D1857" s="37" t="s">
        <v>2349</v>
      </c>
      <c r="E1857" s="212">
        <v>127.43</v>
      </c>
    </row>
    <row r="1858" spans="1:5" ht="14.25">
      <c r="A1858" s="37">
        <v>39476</v>
      </c>
      <c r="B1858" s="37" t="s">
        <v>22660</v>
      </c>
      <c r="C1858" s="37" t="s">
        <v>2348</v>
      </c>
      <c r="D1858" s="37" t="s">
        <v>2349</v>
      </c>
      <c r="E1858" s="212">
        <v>239.88</v>
      </c>
    </row>
    <row r="1859" spans="1:5" ht="14.25">
      <c r="A1859" s="37">
        <v>39477</v>
      </c>
      <c r="B1859" s="37" t="s">
        <v>22661</v>
      </c>
      <c r="C1859" s="37" t="s">
        <v>2348</v>
      </c>
      <c r="D1859" s="37" t="s">
        <v>2349</v>
      </c>
      <c r="E1859" s="212">
        <v>117.53</v>
      </c>
    </row>
    <row r="1860" spans="1:5" ht="14.25">
      <c r="A1860" s="37">
        <v>39478</v>
      </c>
      <c r="B1860" s="37" t="s">
        <v>22662</v>
      </c>
      <c r="C1860" s="37" t="s">
        <v>2348</v>
      </c>
      <c r="D1860" s="37" t="s">
        <v>2349</v>
      </c>
      <c r="E1860" s="212">
        <v>121.17</v>
      </c>
    </row>
    <row r="1861" spans="1:5" ht="14.25">
      <c r="A1861" s="37">
        <v>39479</v>
      </c>
      <c r="B1861" s="37" t="s">
        <v>22663</v>
      </c>
      <c r="C1861" s="37" t="s">
        <v>2348</v>
      </c>
      <c r="D1861" s="37" t="s">
        <v>2349</v>
      </c>
      <c r="E1861" s="212">
        <v>142.77000000000001</v>
      </c>
    </row>
    <row r="1862" spans="1:5" ht="14.25">
      <c r="A1862" s="37">
        <v>39480</v>
      </c>
      <c r="B1862" s="37" t="s">
        <v>22664</v>
      </c>
      <c r="C1862" s="37" t="s">
        <v>2348</v>
      </c>
      <c r="D1862" s="37" t="s">
        <v>2349</v>
      </c>
      <c r="E1862" s="212">
        <v>294.60000000000002</v>
      </c>
    </row>
    <row r="1863" spans="1:5" ht="14.25">
      <c r="A1863" s="37">
        <v>39459</v>
      </c>
      <c r="B1863" s="37" t="s">
        <v>22665</v>
      </c>
      <c r="C1863" s="37" t="s">
        <v>2348</v>
      </c>
      <c r="D1863" s="37" t="s">
        <v>2349</v>
      </c>
      <c r="E1863" s="212">
        <v>250.04</v>
      </c>
    </row>
    <row r="1864" spans="1:5" ht="14.25">
      <c r="A1864" s="37">
        <v>39445</v>
      </c>
      <c r="B1864" s="37" t="s">
        <v>22666</v>
      </c>
      <c r="C1864" s="37" t="s">
        <v>2348</v>
      </c>
      <c r="D1864" s="37" t="s">
        <v>2349</v>
      </c>
      <c r="E1864" s="212">
        <v>125.54</v>
      </c>
    </row>
    <row r="1865" spans="1:5" ht="14.25">
      <c r="A1865" s="37">
        <v>39446</v>
      </c>
      <c r="B1865" s="37" t="s">
        <v>22667</v>
      </c>
      <c r="C1865" s="37" t="s">
        <v>2348</v>
      </c>
      <c r="D1865" s="37" t="s">
        <v>2349</v>
      </c>
      <c r="E1865" s="212">
        <v>127.78</v>
      </c>
    </row>
    <row r="1866" spans="1:5" ht="14.25">
      <c r="A1866" s="37">
        <v>39447</v>
      </c>
      <c r="B1866" s="37" t="s">
        <v>22668</v>
      </c>
      <c r="C1866" s="37" t="s">
        <v>2348</v>
      </c>
      <c r="D1866" s="37" t="s">
        <v>2349</v>
      </c>
      <c r="E1866" s="212">
        <v>136.63999999999999</v>
      </c>
    </row>
    <row r="1867" spans="1:5" ht="14.25">
      <c r="A1867" s="37">
        <v>39448</v>
      </c>
      <c r="B1867" s="37" t="s">
        <v>22669</v>
      </c>
      <c r="C1867" s="37" t="s">
        <v>2348</v>
      </c>
      <c r="D1867" s="37" t="s">
        <v>2349</v>
      </c>
      <c r="E1867" s="212">
        <v>233</v>
      </c>
    </row>
    <row r="1868" spans="1:5" ht="14.25">
      <c r="A1868" s="37">
        <v>39450</v>
      </c>
      <c r="B1868" s="37" t="s">
        <v>22670</v>
      </c>
      <c r="C1868" s="37" t="s">
        <v>2348</v>
      </c>
      <c r="D1868" s="37" t="s">
        <v>2349</v>
      </c>
      <c r="E1868" s="212">
        <v>142.16</v>
      </c>
    </row>
    <row r="1869" spans="1:5" ht="14.25">
      <c r="A1869" s="37">
        <v>39451</v>
      </c>
      <c r="B1869" s="37" t="s">
        <v>22671</v>
      </c>
      <c r="C1869" s="37" t="s">
        <v>2348</v>
      </c>
      <c r="D1869" s="37" t="s">
        <v>2349</v>
      </c>
      <c r="E1869" s="212">
        <v>155.05000000000001</v>
      </c>
    </row>
    <row r="1870" spans="1:5" ht="14.25">
      <c r="A1870" s="37">
        <v>39452</v>
      </c>
      <c r="B1870" s="37" t="s">
        <v>22672</v>
      </c>
      <c r="C1870" s="37" t="s">
        <v>2348</v>
      </c>
      <c r="D1870" s="37" t="s">
        <v>2349</v>
      </c>
      <c r="E1870" s="212">
        <v>155.97999999999999</v>
      </c>
    </row>
    <row r="1871" spans="1:5" ht="14.25">
      <c r="A1871" s="37">
        <v>39523</v>
      </c>
      <c r="B1871" s="37" t="s">
        <v>22673</v>
      </c>
      <c r="C1871" s="37" t="s">
        <v>2348</v>
      </c>
      <c r="D1871" s="37" t="s">
        <v>2349</v>
      </c>
      <c r="E1871" s="212">
        <v>261.02999999999997</v>
      </c>
    </row>
    <row r="1872" spans="1:5" ht="14.25">
      <c r="A1872" s="37">
        <v>39449</v>
      </c>
      <c r="B1872" s="37" t="s">
        <v>22674</v>
      </c>
      <c r="C1872" s="37" t="s">
        <v>2348</v>
      </c>
      <c r="D1872" s="37" t="s">
        <v>2349</v>
      </c>
      <c r="E1872" s="212">
        <v>289.07</v>
      </c>
    </row>
    <row r="1873" spans="1:5" ht="14.25">
      <c r="A1873" s="37">
        <v>39455</v>
      </c>
      <c r="B1873" s="37" t="s">
        <v>22675</v>
      </c>
      <c r="C1873" s="37" t="s">
        <v>2348</v>
      </c>
      <c r="D1873" s="37" t="s">
        <v>2349</v>
      </c>
      <c r="E1873" s="212">
        <v>143.04</v>
      </c>
    </row>
    <row r="1874" spans="1:5" ht="14.25">
      <c r="A1874" s="37">
        <v>39456</v>
      </c>
      <c r="B1874" s="37" t="s">
        <v>22676</v>
      </c>
      <c r="C1874" s="37" t="s">
        <v>2348</v>
      </c>
      <c r="D1874" s="37" t="s">
        <v>2349</v>
      </c>
      <c r="E1874" s="212">
        <v>143.13999999999999</v>
      </c>
    </row>
    <row r="1875" spans="1:5" ht="14.25">
      <c r="A1875" s="37">
        <v>39457</v>
      </c>
      <c r="B1875" s="37" t="s">
        <v>22677</v>
      </c>
      <c r="C1875" s="37" t="s">
        <v>2348</v>
      </c>
      <c r="D1875" s="37" t="s">
        <v>2349</v>
      </c>
      <c r="E1875" s="212">
        <v>156.05000000000001</v>
      </c>
    </row>
    <row r="1876" spans="1:5" ht="14.25">
      <c r="A1876" s="37">
        <v>39458</v>
      </c>
      <c r="B1876" s="37" t="s">
        <v>22678</v>
      </c>
      <c r="C1876" s="37" t="s">
        <v>2348</v>
      </c>
      <c r="D1876" s="37" t="s">
        <v>2349</v>
      </c>
      <c r="E1876" s="212">
        <v>291.2</v>
      </c>
    </row>
    <row r="1877" spans="1:5" ht="14.25">
      <c r="A1877" s="37">
        <v>39464</v>
      </c>
      <c r="B1877" s="37" t="s">
        <v>22679</v>
      </c>
      <c r="C1877" s="37" t="s">
        <v>2348</v>
      </c>
      <c r="D1877" s="37" t="s">
        <v>2349</v>
      </c>
      <c r="E1877" s="212">
        <v>468.27</v>
      </c>
    </row>
    <row r="1878" spans="1:5" ht="14.25">
      <c r="A1878" s="37">
        <v>39460</v>
      </c>
      <c r="B1878" s="37" t="s">
        <v>22680</v>
      </c>
      <c r="C1878" s="37" t="s">
        <v>2348</v>
      </c>
      <c r="D1878" s="37" t="s">
        <v>2349</v>
      </c>
      <c r="E1878" s="212">
        <v>177.6</v>
      </c>
    </row>
    <row r="1879" spans="1:5" ht="14.25">
      <c r="A1879" s="37">
        <v>39461</v>
      </c>
      <c r="B1879" s="37" t="s">
        <v>22681</v>
      </c>
      <c r="C1879" s="37" t="s">
        <v>2348</v>
      </c>
      <c r="D1879" s="37" t="s">
        <v>2349</v>
      </c>
      <c r="E1879" s="212">
        <v>208.11</v>
      </c>
    </row>
    <row r="1880" spans="1:5" ht="14.25">
      <c r="A1880" s="37">
        <v>39462</v>
      </c>
      <c r="B1880" s="37" t="s">
        <v>22682</v>
      </c>
      <c r="C1880" s="37" t="s">
        <v>2348</v>
      </c>
      <c r="D1880" s="37" t="s">
        <v>2349</v>
      </c>
      <c r="E1880" s="212">
        <v>200.56</v>
      </c>
    </row>
    <row r="1881" spans="1:5" ht="14.25">
      <c r="A1881" s="37">
        <v>39463</v>
      </c>
      <c r="B1881" s="37" t="s">
        <v>22683</v>
      </c>
      <c r="C1881" s="37" t="s">
        <v>2348</v>
      </c>
      <c r="D1881" s="37" t="s">
        <v>2349</v>
      </c>
      <c r="E1881" s="212">
        <v>464.64</v>
      </c>
    </row>
    <row r="1882" spans="1:5" ht="14.25">
      <c r="A1882" s="37">
        <v>26039</v>
      </c>
      <c r="B1882" s="37" t="s">
        <v>22684</v>
      </c>
      <c r="C1882" s="37" t="s">
        <v>2348</v>
      </c>
      <c r="D1882" s="37" t="s">
        <v>2351</v>
      </c>
      <c r="E1882" s="213">
        <v>366962.58</v>
      </c>
    </row>
    <row r="1883" spans="1:5" ht="14.25">
      <c r="A1883" s="37">
        <v>2401</v>
      </c>
      <c r="B1883" s="37" t="s">
        <v>22685</v>
      </c>
      <c r="C1883" s="37" t="s">
        <v>2348</v>
      </c>
      <c r="D1883" s="37" t="s">
        <v>2351</v>
      </c>
      <c r="E1883" s="213">
        <v>84405.46</v>
      </c>
    </row>
    <row r="1884" spans="1:5" ht="14.25">
      <c r="A1884" s="37">
        <v>38870</v>
      </c>
      <c r="B1884" s="37" t="s">
        <v>22686</v>
      </c>
      <c r="C1884" s="37" t="s">
        <v>2348</v>
      </c>
      <c r="D1884" s="37" t="s">
        <v>2351</v>
      </c>
      <c r="E1884" s="212">
        <v>52.22</v>
      </c>
    </row>
    <row r="1885" spans="1:5" ht="14.25">
      <c r="A1885" s="37">
        <v>38869</v>
      </c>
      <c r="B1885" s="37" t="s">
        <v>22687</v>
      </c>
      <c r="C1885" s="37" t="s">
        <v>2348</v>
      </c>
      <c r="D1885" s="37" t="s">
        <v>2351</v>
      </c>
      <c r="E1885" s="212">
        <v>46.07</v>
      </c>
    </row>
    <row r="1886" spans="1:5" ht="14.25">
      <c r="A1886" s="37">
        <v>38872</v>
      </c>
      <c r="B1886" s="37" t="s">
        <v>22688</v>
      </c>
      <c r="C1886" s="37" t="s">
        <v>2348</v>
      </c>
      <c r="D1886" s="37" t="s">
        <v>2351</v>
      </c>
      <c r="E1886" s="212">
        <v>71.33</v>
      </c>
    </row>
    <row r="1887" spans="1:5" ht="14.25">
      <c r="A1887" s="37">
        <v>38871</v>
      </c>
      <c r="B1887" s="37" t="s">
        <v>22689</v>
      </c>
      <c r="C1887" s="37" t="s">
        <v>2348</v>
      </c>
      <c r="D1887" s="37" t="s">
        <v>2351</v>
      </c>
      <c r="E1887" s="212">
        <v>57.38</v>
      </c>
    </row>
    <row r="1888" spans="1:5" ht="14.25">
      <c r="A1888" s="37">
        <v>39283</v>
      </c>
      <c r="B1888" s="37" t="s">
        <v>22690</v>
      </c>
      <c r="C1888" s="37" t="s">
        <v>2348</v>
      </c>
      <c r="D1888" s="37" t="s">
        <v>2351</v>
      </c>
      <c r="E1888" s="212">
        <v>178.73</v>
      </c>
    </row>
    <row r="1889" spans="1:5" ht="14.25">
      <c r="A1889" s="37">
        <v>39284</v>
      </c>
      <c r="B1889" s="37" t="s">
        <v>22691</v>
      </c>
      <c r="C1889" s="37" t="s">
        <v>2348</v>
      </c>
      <c r="D1889" s="37" t="s">
        <v>2351</v>
      </c>
      <c r="E1889" s="212">
        <v>193.68</v>
      </c>
    </row>
    <row r="1890" spans="1:5" ht="14.25">
      <c r="A1890" s="37">
        <v>39285</v>
      </c>
      <c r="B1890" s="37" t="s">
        <v>22692</v>
      </c>
      <c r="C1890" s="37" t="s">
        <v>2348</v>
      </c>
      <c r="D1890" s="37" t="s">
        <v>2351</v>
      </c>
      <c r="E1890" s="212">
        <v>196.48</v>
      </c>
    </row>
    <row r="1891" spans="1:5" ht="14.25">
      <c r="A1891" s="37">
        <v>39286</v>
      </c>
      <c r="B1891" s="37" t="s">
        <v>22693</v>
      </c>
      <c r="C1891" s="37" t="s">
        <v>2348</v>
      </c>
      <c r="D1891" s="37" t="s">
        <v>2351</v>
      </c>
      <c r="E1891" s="212">
        <v>192.2</v>
      </c>
    </row>
    <row r="1892" spans="1:5" ht="14.25">
      <c r="A1892" s="37">
        <v>39287</v>
      </c>
      <c r="B1892" s="37" t="s">
        <v>22694</v>
      </c>
      <c r="C1892" s="37" t="s">
        <v>2348</v>
      </c>
      <c r="D1892" s="37" t="s">
        <v>2351</v>
      </c>
      <c r="E1892" s="212">
        <v>225.68</v>
      </c>
    </row>
    <row r="1893" spans="1:5" ht="14.25">
      <c r="A1893" s="37">
        <v>39288</v>
      </c>
      <c r="B1893" s="37" t="s">
        <v>22695</v>
      </c>
      <c r="C1893" s="37" t="s">
        <v>2348</v>
      </c>
      <c r="D1893" s="37" t="s">
        <v>2351</v>
      </c>
      <c r="E1893" s="212">
        <v>240.84</v>
      </c>
    </row>
    <row r="1894" spans="1:5" ht="14.25">
      <c r="A1894" s="37">
        <v>44476</v>
      </c>
      <c r="B1894" s="37" t="s">
        <v>27978</v>
      </c>
      <c r="C1894" s="37" t="s">
        <v>28761</v>
      </c>
      <c r="D1894" s="37" t="s">
        <v>2349</v>
      </c>
      <c r="E1894" s="212">
        <v>292.76</v>
      </c>
    </row>
    <row r="1895" spans="1:5" ht="14.25">
      <c r="A1895" s="37">
        <v>10629</v>
      </c>
      <c r="B1895" s="37" t="s">
        <v>22696</v>
      </c>
      <c r="C1895" s="37" t="s">
        <v>28761</v>
      </c>
      <c r="D1895" s="37" t="s">
        <v>2349</v>
      </c>
      <c r="E1895" s="212">
        <v>419.18</v>
      </c>
    </row>
    <row r="1896" spans="1:5" ht="14.25">
      <c r="A1896" s="37">
        <v>10698</v>
      </c>
      <c r="B1896" s="37" t="s">
        <v>22697</v>
      </c>
      <c r="C1896" s="37" t="s">
        <v>28761</v>
      </c>
      <c r="D1896" s="37" t="s">
        <v>2351</v>
      </c>
      <c r="E1896" s="212">
        <v>166.43</v>
      </c>
    </row>
    <row r="1897" spans="1:5" ht="14.25">
      <c r="A1897" s="37">
        <v>40521</v>
      </c>
      <c r="B1897" s="37" t="s">
        <v>22698</v>
      </c>
      <c r="C1897" s="37" t="s">
        <v>2348</v>
      </c>
      <c r="D1897" s="37" t="s">
        <v>2349</v>
      </c>
      <c r="E1897" s="213">
        <v>145322.64000000001</v>
      </c>
    </row>
    <row r="1898" spans="1:5" ht="14.25">
      <c r="A1898" s="37">
        <v>2432</v>
      </c>
      <c r="B1898" s="37" t="s">
        <v>22699</v>
      </c>
      <c r="C1898" s="37" t="s">
        <v>2348</v>
      </c>
      <c r="D1898" s="37" t="s">
        <v>2349</v>
      </c>
      <c r="E1898" s="212">
        <v>17.2</v>
      </c>
    </row>
    <row r="1899" spans="1:5" ht="14.25">
      <c r="A1899" s="37">
        <v>2433</v>
      </c>
      <c r="B1899" s="37" t="s">
        <v>22700</v>
      </c>
      <c r="C1899" s="37" t="s">
        <v>2348</v>
      </c>
      <c r="D1899" s="37" t="s">
        <v>2349</v>
      </c>
      <c r="E1899" s="212">
        <v>5.82</v>
      </c>
    </row>
    <row r="1900" spans="1:5" ht="14.25">
      <c r="A1900" s="37">
        <v>2420</v>
      </c>
      <c r="B1900" s="37" t="s">
        <v>22701</v>
      </c>
      <c r="C1900" s="37" t="s">
        <v>2348</v>
      </c>
      <c r="D1900" s="37" t="s">
        <v>2349</v>
      </c>
      <c r="E1900" s="212">
        <v>10.01</v>
      </c>
    </row>
    <row r="1901" spans="1:5" ht="14.25">
      <c r="A1901" s="37">
        <v>11447</v>
      </c>
      <c r="B1901" s="37" t="s">
        <v>22702</v>
      </c>
      <c r="C1901" s="37" t="s">
        <v>2348</v>
      </c>
      <c r="D1901" s="37" t="s">
        <v>2349</v>
      </c>
      <c r="E1901" s="212">
        <v>19.78</v>
      </c>
    </row>
    <row r="1902" spans="1:5" ht="14.25">
      <c r="A1902" s="37">
        <v>11451</v>
      </c>
      <c r="B1902" s="37" t="s">
        <v>22703</v>
      </c>
      <c r="C1902" s="37" t="s">
        <v>2348</v>
      </c>
      <c r="D1902" s="37" t="s">
        <v>2349</v>
      </c>
      <c r="E1902" s="212">
        <v>53.02</v>
      </c>
    </row>
    <row r="1903" spans="1:5" ht="14.25">
      <c r="A1903" s="37">
        <v>11116</v>
      </c>
      <c r="B1903" s="37" t="s">
        <v>22704</v>
      </c>
      <c r="C1903" s="37" t="s">
        <v>2348</v>
      </c>
      <c r="D1903" s="37" t="s">
        <v>2351</v>
      </c>
      <c r="E1903" s="212">
        <v>588.48</v>
      </c>
    </row>
    <row r="1904" spans="1:5" ht="14.25">
      <c r="A1904" s="37">
        <v>38411</v>
      </c>
      <c r="B1904" s="37" t="s">
        <v>22705</v>
      </c>
      <c r="C1904" s="37" t="s">
        <v>2348</v>
      </c>
      <c r="D1904" s="37" t="s">
        <v>2351</v>
      </c>
      <c r="E1904" s="213">
        <v>1613.97</v>
      </c>
    </row>
    <row r="1905" spans="1:5" ht="14.25">
      <c r="A1905" s="37">
        <v>38189</v>
      </c>
      <c r="B1905" s="37" t="s">
        <v>27979</v>
      </c>
      <c r="C1905" s="37" t="s">
        <v>2348</v>
      </c>
      <c r="D1905" s="37" t="s">
        <v>2349</v>
      </c>
      <c r="E1905" s="212">
        <v>120.5</v>
      </c>
    </row>
    <row r="1906" spans="1:5" ht="14.25">
      <c r="A1906" s="37">
        <v>38190</v>
      </c>
      <c r="B1906" s="37" t="s">
        <v>27980</v>
      </c>
      <c r="C1906" s="37" t="s">
        <v>2348</v>
      </c>
      <c r="D1906" s="37" t="s">
        <v>2349</v>
      </c>
      <c r="E1906" s="212">
        <v>253.86</v>
      </c>
    </row>
    <row r="1907" spans="1:5" ht="14.25">
      <c r="A1907" s="37">
        <v>7608</v>
      </c>
      <c r="B1907" s="37" t="s">
        <v>22706</v>
      </c>
      <c r="C1907" s="37" t="s">
        <v>2348</v>
      </c>
      <c r="D1907" s="37" t="s">
        <v>2349</v>
      </c>
      <c r="E1907" s="212">
        <v>13.68</v>
      </c>
    </row>
    <row r="1908" spans="1:5" ht="14.25">
      <c r="A1908" s="37">
        <v>1370</v>
      </c>
      <c r="B1908" s="37" t="s">
        <v>22707</v>
      </c>
      <c r="C1908" s="37" t="s">
        <v>2348</v>
      </c>
      <c r="D1908" s="37" t="s">
        <v>2349</v>
      </c>
      <c r="E1908" s="212">
        <v>88.51</v>
      </c>
    </row>
    <row r="1909" spans="1:5" ht="14.25">
      <c r="A1909" s="37">
        <v>36516</v>
      </c>
      <c r="B1909" s="37" t="s">
        <v>22708</v>
      </c>
      <c r="C1909" s="37" t="s">
        <v>2348</v>
      </c>
      <c r="D1909" s="37" t="s">
        <v>2351</v>
      </c>
      <c r="E1909" s="213">
        <v>118808.39</v>
      </c>
    </row>
    <row r="1910" spans="1:5" ht="14.25">
      <c r="A1910" s="37">
        <v>34777</v>
      </c>
      <c r="B1910" s="37" t="s">
        <v>22709</v>
      </c>
      <c r="C1910" s="37" t="s">
        <v>2348</v>
      </c>
      <c r="D1910" s="37" t="s">
        <v>2349</v>
      </c>
      <c r="E1910" s="212">
        <v>1.86</v>
      </c>
    </row>
    <row r="1911" spans="1:5" ht="14.25">
      <c r="A1911" s="37">
        <v>7272</v>
      </c>
      <c r="B1911" s="37" t="s">
        <v>27981</v>
      </c>
      <c r="C1911" s="37" t="s">
        <v>2348</v>
      </c>
      <c r="D1911" s="37" t="s">
        <v>2349</v>
      </c>
      <c r="E1911" s="212">
        <v>1.57</v>
      </c>
    </row>
    <row r="1912" spans="1:5" ht="14.25">
      <c r="A1912" s="37">
        <v>10605</v>
      </c>
      <c r="B1912" s="37" t="s">
        <v>22710</v>
      </c>
      <c r="C1912" s="37" t="s">
        <v>2348</v>
      </c>
      <c r="D1912" s="37" t="s">
        <v>2349</v>
      </c>
      <c r="E1912" s="212">
        <v>3.59</v>
      </c>
    </row>
    <row r="1913" spans="1:5" ht="14.25">
      <c r="A1913" s="37">
        <v>10604</v>
      </c>
      <c r="B1913" s="37" t="s">
        <v>22711</v>
      </c>
      <c r="C1913" s="37" t="s">
        <v>2348</v>
      </c>
      <c r="D1913" s="37" t="s">
        <v>2349</v>
      </c>
      <c r="E1913" s="212">
        <v>8.36</v>
      </c>
    </row>
    <row r="1914" spans="1:5" ht="14.25">
      <c r="A1914" s="37">
        <v>672</v>
      </c>
      <c r="B1914" s="37" t="s">
        <v>22712</v>
      </c>
      <c r="C1914" s="37" t="s">
        <v>2348</v>
      </c>
      <c r="D1914" s="37" t="s">
        <v>2349</v>
      </c>
      <c r="E1914" s="212">
        <v>11.5</v>
      </c>
    </row>
    <row r="1915" spans="1:5" ht="14.25">
      <c r="A1915" s="37">
        <v>668</v>
      </c>
      <c r="B1915" s="37" t="s">
        <v>22713</v>
      </c>
      <c r="C1915" s="37" t="s">
        <v>2348</v>
      </c>
      <c r="D1915" s="37" t="s">
        <v>2349</v>
      </c>
      <c r="E1915" s="212">
        <v>13.88</v>
      </c>
    </row>
    <row r="1916" spans="1:5" ht="14.25">
      <c r="A1916" s="37">
        <v>10578</v>
      </c>
      <c r="B1916" s="37" t="s">
        <v>22714</v>
      </c>
      <c r="C1916" s="37" t="s">
        <v>2348</v>
      </c>
      <c r="D1916" s="37" t="s">
        <v>2349</v>
      </c>
      <c r="E1916" s="212">
        <v>16.170000000000002</v>
      </c>
    </row>
    <row r="1917" spans="1:5" ht="14.25">
      <c r="A1917" s="37">
        <v>666</v>
      </c>
      <c r="B1917" s="37" t="s">
        <v>22715</v>
      </c>
      <c r="C1917" s="37" t="s">
        <v>2348</v>
      </c>
      <c r="D1917" s="37" t="s">
        <v>2349</v>
      </c>
      <c r="E1917" s="212">
        <v>17.98</v>
      </c>
    </row>
    <row r="1918" spans="1:5" ht="14.25">
      <c r="A1918" s="37">
        <v>665</v>
      </c>
      <c r="B1918" s="37" t="s">
        <v>22716</v>
      </c>
      <c r="C1918" s="37" t="s">
        <v>2348</v>
      </c>
      <c r="D1918" s="37" t="s">
        <v>2349</v>
      </c>
      <c r="E1918" s="212">
        <v>24.05</v>
      </c>
    </row>
    <row r="1919" spans="1:5" ht="14.25">
      <c r="A1919" s="37">
        <v>10577</v>
      </c>
      <c r="B1919" s="37" t="s">
        <v>22717</v>
      </c>
      <c r="C1919" s="37" t="s">
        <v>2348</v>
      </c>
      <c r="D1919" s="37" t="s">
        <v>2349</v>
      </c>
      <c r="E1919" s="212">
        <v>21.33</v>
      </c>
    </row>
    <row r="1920" spans="1:5" ht="14.25">
      <c r="A1920" s="37">
        <v>10583</v>
      </c>
      <c r="B1920" s="37" t="s">
        <v>22718</v>
      </c>
      <c r="C1920" s="37" t="s">
        <v>2348</v>
      </c>
      <c r="D1920" s="37" t="s">
        <v>2349</v>
      </c>
      <c r="E1920" s="212">
        <v>11.08</v>
      </c>
    </row>
    <row r="1921" spans="1:5" ht="14.25">
      <c r="A1921" s="37">
        <v>10579</v>
      </c>
      <c r="B1921" s="37" t="s">
        <v>22719</v>
      </c>
      <c r="C1921" s="37" t="s">
        <v>2348</v>
      </c>
      <c r="D1921" s="37" t="s">
        <v>2349</v>
      </c>
      <c r="E1921" s="212">
        <v>19.32</v>
      </c>
    </row>
    <row r="1922" spans="1:5" ht="14.25">
      <c r="A1922" s="37">
        <v>10582</v>
      </c>
      <c r="B1922" s="37" t="s">
        <v>22720</v>
      </c>
      <c r="C1922" s="37" t="s">
        <v>2348</v>
      </c>
      <c r="D1922" s="37" t="s">
        <v>2349</v>
      </c>
      <c r="E1922" s="212">
        <v>9.76</v>
      </c>
    </row>
    <row r="1923" spans="1:5" ht="14.25">
      <c r="A1923" s="37">
        <v>2436</v>
      </c>
      <c r="B1923" s="37" t="s">
        <v>22721</v>
      </c>
      <c r="C1923" s="37" t="s">
        <v>2352</v>
      </c>
      <c r="D1923" s="37" t="s">
        <v>2353</v>
      </c>
      <c r="E1923" s="212">
        <v>19.86</v>
      </c>
    </row>
    <row r="1924" spans="1:5" ht="14.25">
      <c r="A1924" s="37">
        <v>40918</v>
      </c>
      <c r="B1924" s="37" t="s">
        <v>22722</v>
      </c>
      <c r="C1924" s="37" t="s">
        <v>2369</v>
      </c>
      <c r="D1924" s="37" t="s">
        <v>2349</v>
      </c>
      <c r="E1924" s="213">
        <v>3492.35</v>
      </c>
    </row>
    <row r="1925" spans="1:5" ht="14.25">
      <c r="A1925" s="37">
        <v>2439</v>
      </c>
      <c r="B1925" s="37" t="s">
        <v>22723</v>
      </c>
      <c r="C1925" s="37" t="s">
        <v>2352</v>
      </c>
      <c r="D1925" s="37" t="s">
        <v>2349</v>
      </c>
      <c r="E1925" s="212">
        <v>21.86</v>
      </c>
    </row>
    <row r="1926" spans="1:5" ht="14.25">
      <c r="A1926" s="37">
        <v>40923</v>
      </c>
      <c r="B1926" s="37" t="s">
        <v>22724</v>
      </c>
      <c r="C1926" s="37" t="s">
        <v>2369</v>
      </c>
      <c r="D1926" s="37" t="s">
        <v>2349</v>
      </c>
      <c r="E1926" s="213">
        <v>3847.91</v>
      </c>
    </row>
    <row r="1927" spans="1:5" ht="14.25">
      <c r="A1927" s="37">
        <v>10998</v>
      </c>
      <c r="B1927" s="37" t="s">
        <v>22725</v>
      </c>
      <c r="C1927" s="37" t="s">
        <v>2356</v>
      </c>
      <c r="D1927" s="37" t="s">
        <v>2349</v>
      </c>
      <c r="E1927" s="212">
        <v>32.47</v>
      </c>
    </row>
    <row r="1928" spans="1:5" ht="14.25">
      <c r="A1928" s="37">
        <v>11002</v>
      </c>
      <c r="B1928" s="37" t="s">
        <v>22726</v>
      </c>
      <c r="C1928" s="37" t="s">
        <v>2356</v>
      </c>
      <c r="D1928" s="37" t="s">
        <v>2349</v>
      </c>
      <c r="E1928" s="212">
        <v>29.75</v>
      </c>
    </row>
    <row r="1929" spans="1:5" ht="14.25">
      <c r="A1929" s="37">
        <v>10999</v>
      </c>
      <c r="B1929" s="37" t="s">
        <v>22727</v>
      </c>
      <c r="C1929" s="37" t="s">
        <v>2356</v>
      </c>
      <c r="D1929" s="37" t="s">
        <v>2349</v>
      </c>
      <c r="E1929" s="212">
        <v>28.58</v>
      </c>
    </row>
    <row r="1930" spans="1:5" ht="14.25">
      <c r="A1930" s="37">
        <v>10997</v>
      </c>
      <c r="B1930" s="37" t="s">
        <v>22728</v>
      </c>
      <c r="C1930" s="37" t="s">
        <v>2356</v>
      </c>
      <c r="D1930" s="37" t="s">
        <v>2353</v>
      </c>
      <c r="E1930" s="212">
        <v>30.98</v>
      </c>
    </row>
    <row r="1931" spans="1:5" ht="14.25">
      <c r="A1931" s="37">
        <v>2685</v>
      </c>
      <c r="B1931" s="37" t="s">
        <v>22729</v>
      </c>
      <c r="C1931" s="37" t="s">
        <v>2355</v>
      </c>
      <c r="D1931" s="37" t="s">
        <v>2349</v>
      </c>
      <c r="E1931" s="212">
        <v>6.96</v>
      </c>
    </row>
    <row r="1932" spans="1:5" ht="14.25">
      <c r="A1932" s="37">
        <v>2680</v>
      </c>
      <c r="B1932" s="37" t="s">
        <v>22730</v>
      </c>
      <c r="C1932" s="37" t="s">
        <v>2355</v>
      </c>
      <c r="D1932" s="37" t="s">
        <v>2349</v>
      </c>
      <c r="E1932" s="212">
        <v>10.19</v>
      </c>
    </row>
    <row r="1933" spans="1:5" ht="14.25">
      <c r="A1933" s="37">
        <v>2684</v>
      </c>
      <c r="B1933" s="37" t="s">
        <v>22731</v>
      </c>
      <c r="C1933" s="37" t="s">
        <v>2355</v>
      </c>
      <c r="D1933" s="37" t="s">
        <v>2349</v>
      </c>
      <c r="E1933" s="212">
        <v>9.27</v>
      </c>
    </row>
    <row r="1934" spans="1:5" ht="14.25">
      <c r="A1934" s="37">
        <v>2673</v>
      </c>
      <c r="B1934" s="37" t="s">
        <v>22732</v>
      </c>
      <c r="C1934" s="37" t="s">
        <v>2355</v>
      </c>
      <c r="D1934" s="37" t="s">
        <v>2353</v>
      </c>
      <c r="E1934" s="212">
        <v>3.58</v>
      </c>
    </row>
    <row r="1935" spans="1:5" ht="14.25">
      <c r="A1935" s="37">
        <v>2681</v>
      </c>
      <c r="B1935" s="37" t="s">
        <v>22733</v>
      </c>
      <c r="C1935" s="37" t="s">
        <v>2355</v>
      </c>
      <c r="D1935" s="37" t="s">
        <v>2349</v>
      </c>
      <c r="E1935" s="212">
        <v>16.66</v>
      </c>
    </row>
    <row r="1936" spans="1:5" ht="14.25">
      <c r="A1936" s="37">
        <v>2682</v>
      </c>
      <c r="B1936" s="37" t="s">
        <v>22734</v>
      </c>
      <c r="C1936" s="37" t="s">
        <v>2355</v>
      </c>
      <c r="D1936" s="37" t="s">
        <v>2349</v>
      </c>
      <c r="E1936" s="212">
        <v>24.3</v>
      </c>
    </row>
    <row r="1937" spans="1:5" ht="14.25">
      <c r="A1937" s="37">
        <v>2686</v>
      </c>
      <c r="B1937" s="37" t="s">
        <v>22735</v>
      </c>
      <c r="C1937" s="37" t="s">
        <v>2355</v>
      </c>
      <c r="D1937" s="37" t="s">
        <v>2349</v>
      </c>
      <c r="E1937" s="212">
        <v>30.48</v>
      </c>
    </row>
    <row r="1938" spans="1:5" ht="14.25">
      <c r="A1938" s="37">
        <v>2674</v>
      </c>
      <c r="B1938" s="37" t="s">
        <v>22736</v>
      </c>
      <c r="C1938" s="37" t="s">
        <v>2355</v>
      </c>
      <c r="D1938" s="37" t="s">
        <v>2349</v>
      </c>
      <c r="E1938" s="212">
        <v>4.45</v>
      </c>
    </row>
    <row r="1939" spans="1:5" ht="14.25">
      <c r="A1939" s="37">
        <v>2683</v>
      </c>
      <c r="B1939" s="37" t="s">
        <v>22737</v>
      </c>
      <c r="C1939" s="37" t="s">
        <v>2355</v>
      </c>
      <c r="D1939" s="37" t="s">
        <v>2349</v>
      </c>
      <c r="E1939" s="212">
        <v>48.02</v>
      </c>
    </row>
    <row r="1940" spans="1:5" ht="14.25">
      <c r="A1940" s="37">
        <v>2676</v>
      </c>
      <c r="B1940" s="37" t="s">
        <v>22738</v>
      </c>
      <c r="C1940" s="37" t="s">
        <v>2355</v>
      </c>
      <c r="D1940" s="37" t="s">
        <v>2349</v>
      </c>
      <c r="E1940" s="212">
        <v>2.08</v>
      </c>
    </row>
    <row r="1941" spans="1:5" ht="14.25">
      <c r="A1941" s="37">
        <v>2678</v>
      </c>
      <c r="B1941" s="37" t="s">
        <v>22739</v>
      </c>
      <c r="C1941" s="37" t="s">
        <v>2355</v>
      </c>
      <c r="D1941" s="37" t="s">
        <v>2349</v>
      </c>
      <c r="E1941" s="212">
        <v>2.6</v>
      </c>
    </row>
    <row r="1942" spans="1:5" ht="14.25">
      <c r="A1942" s="37">
        <v>2679</v>
      </c>
      <c r="B1942" s="37" t="s">
        <v>22740</v>
      </c>
      <c r="C1942" s="37" t="s">
        <v>2355</v>
      </c>
      <c r="D1942" s="37" t="s">
        <v>2349</v>
      </c>
      <c r="E1942" s="212">
        <v>4.0199999999999996</v>
      </c>
    </row>
    <row r="1943" spans="1:5" ht="14.25">
      <c r="A1943" s="37">
        <v>12070</v>
      </c>
      <c r="B1943" s="37" t="s">
        <v>22741</v>
      </c>
      <c r="C1943" s="37" t="s">
        <v>2355</v>
      </c>
      <c r="D1943" s="37" t="s">
        <v>2349</v>
      </c>
      <c r="E1943" s="212">
        <v>5.59</v>
      </c>
    </row>
    <row r="1944" spans="1:5" ht="14.25">
      <c r="A1944" s="37">
        <v>2675</v>
      </c>
      <c r="B1944" s="37" t="s">
        <v>22742</v>
      </c>
      <c r="C1944" s="37" t="s">
        <v>2355</v>
      </c>
      <c r="D1944" s="37" t="s">
        <v>2349</v>
      </c>
      <c r="E1944" s="212">
        <v>7.27</v>
      </c>
    </row>
    <row r="1945" spans="1:5" ht="14.25">
      <c r="A1945" s="37">
        <v>12067</v>
      </c>
      <c r="B1945" s="37" t="s">
        <v>22743</v>
      </c>
      <c r="C1945" s="37" t="s">
        <v>2355</v>
      </c>
      <c r="D1945" s="37" t="s">
        <v>2349</v>
      </c>
      <c r="E1945" s="212">
        <v>9.86</v>
      </c>
    </row>
    <row r="1946" spans="1:5" ht="14.25">
      <c r="A1946" s="37">
        <v>40401</v>
      </c>
      <c r="B1946" s="37" t="s">
        <v>22744</v>
      </c>
      <c r="C1946" s="37" t="s">
        <v>2355</v>
      </c>
      <c r="D1946" s="37" t="s">
        <v>2349</v>
      </c>
      <c r="E1946" s="212">
        <v>2.74</v>
      </c>
    </row>
    <row r="1947" spans="1:5" ht="14.25">
      <c r="A1947" s="37">
        <v>40402</v>
      </c>
      <c r="B1947" s="37" t="s">
        <v>22745</v>
      </c>
      <c r="C1947" s="37" t="s">
        <v>2355</v>
      </c>
      <c r="D1947" s="37" t="s">
        <v>2349</v>
      </c>
      <c r="E1947" s="212">
        <v>3.52</v>
      </c>
    </row>
    <row r="1948" spans="1:5" ht="14.25">
      <c r="A1948" s="37">
        <v>40400</v>
      </c>
      <c r="B1948" s="37" t="s">
        <v>22746</v>
      </c>
      <c r="C1948" s="37" t="s">
        <v>2355</v>
      </c>
      <c r="D1948" s="37" t="s">
        <v>2349</v>
      </c>
      <c r="E1948" s="212">
        <v>1.86</v>
      </c>
    </row>
    <row r="1949" spans="1:5" ht="14.25">
      <c r="A1949" s="37">
        <v>2504</v>
      </c>
      <c r="B1949" s="37" t="s">
        <v>22747</v>
      </c>
      <c r="C1949" s="37" t="s">
        <v>2355</v>
      </c>
      <c r="D1949" s="37" t="s">
        <v>2351</v>
      </c>
      <c r="E1949" s="212">
        <v>14.71</v>
      </c>
    </row>
    <row r="1950" spans="1:5" ht="14.25">
      <c r="A1950" s="37">
        <v>2501</v>
      </c>
      <c r="B1950" s="37" t="s">
        <v>22748</v>
      </c>
      <c r="C1950" s="37" t="s">
        <v>2355</v>
      </c>
      <c r="D1950" s="37" t="s">
        <v>2351</v>
      </c>
      <c r="E1950" s="212">
        <v>19.29</v>
      </c>
    </row>
    <row r="1951" spans="1:5" ht="14.25">
      <c r="A1951" s="37">
        <v>2502</v>
      </c>
      <c r="B1951" s="37" t="s">
        <v>22749</v>
      </c>
      <c r="C1951" s="37" t="s">
        <v>2355</v>
      </c>
      <c r="D1951" s="37" t="s">
        <v>2351</v>
      </c>
      <c r="E1951" s="212">
        <v>29.11</v>
      </c>
    </row>
    <row r="1952" spans="1:5" ht="14.25">
      <c r="A1952" s="37">
        <v>2503</v>
      </c>
      <c r="B1952" s="37" t="s">
        <v>22750</v>
      </c>
      <c r="C1952" s="37" t="s">
        <v>2355</v>
      </c>
      <c r="D1952" s="37" t="s">
        <v>2351</v>
      </c>
      <c r="E1952" s="212">
        <v>37.47</v>
      </c>
    </row>
    <row r="1953" spans="1:5" ht="14.25">
      <c r="A1953" s="37">
        <v>2500</v>
      </c>
      <c r="B1953" s="37" t="s">
        <v>22751</v>
      </c>
      <c r="C1953" s="37" t="s">
        <v>2355</v>
      </c>
      <c r="D1953" s="37" t="s">
        <v>2351</v>
      </c>
      <c r="E1953" s="212">
        <v>49.91</v>
      </c>
    </row>
    <row r="1954" spans="1:5" ht="14.25">
      <c r="A1954" s="37">
        <v>2505</v>
      </c>
      <c r="B1954" s="37" t="s">
        <v>22752</v>
      </c>
      <c r="C1954" s="37" t="s">
        <v>2355</v>
      </c>
      <c r="D1954" s="37" t="s">
        <v>2351</v>
      </c>
      <c r="E1954" s="212">
        <v>77.78</v>
      </c>
    </row>
    <row r="1955" spans="1:5" ht="14.25">
      <c r="A1955" s="37">
        <v>12056</v>
      </c>
      <c r="B1955" s="37" t="s">
        <v>22753</v>
      </c>
      <c r="C1955" s="37" t="s">
        <v>2355</v>
      </c>
      <c r="D1955" s="37" t="s">
        <v>2351</v>
      </c>
      <c r="E1955" s="212">
        <v>31.43</v>
      </c>
    </row>
    <row r="1956" spans="1:5" ht="14.25">
      <c r="A1956" s="37">
        <v>12057</v>
      </c>
      <c r="B1956" s="37" t="s">
        <v>22754</v>
      </c>
      <c r="C1956" s="37" t="s">
        <v>2355</v>
      </c>
      <c r="D1956" s="37" t="s">
        <v>2351</v>
      </c>
      <c r="E1956" s="212">
        <v>26.69</v>
      </c>
    </row>
    <row r="1957" spans="1:5" ht="14.25">
      <c r="A1957" s="37">
        <v>12059</v>
      </c>
      <c r="B1957" s="37" t="s">
        <v>22755</v>
      </c>
      <c r="C1957" s="37" t="s">
        <v>2355</v>
      </c>
      <c r="D1957" s="37" t="s">
        <v>2351</v>
      </c>
      <c r="E1957" s="212">
        <v>9.36</v>
      </c>
    </row>
    <row r="1958" spans="1:5" ht="14.25">
      <c r="A1958" s="37">
        <v>12058</v>
      </c>
      <c r="B1958" s="37" t="s">
        <v>22756</v>
      </c>
      <c r="C1958" s="37" t="s">
        <v>2355</v>
      </c>
      <c r="D1958" s="37" t="s">
        <v>2351</v>
      </c>
      <c r="E1958" s="212">
        <v>16.64</v>
      </c>
    </row>
    <row r="1959" spans="1:5" ht="14.25">
      <c r="A1959" s="37">
        <v>12060</v>
      </c>
      <c r="B1959" s="37" t="s">
        <v>22757</v>
      </c>
      <c r="C1959" s="37" t="s">
        <v>2355</v>
      </c>
      <c r="D1959" s="37" t="s">
        <v>2351</v>
      </c>
      <c r="E1959" s="212">
        <v>69.36</v>
      </c>
    </row>
    <row r="1960" spans="1:5" ht="14.25">
      <c r="A1960" s="37">
        <v>12061</v>
      </c>
      <c r="B1960" s="37" t="s">
        <v>22758</v>
      </c>
      <c r="C1960" s="37" t="s">
        <v>2355</v>
      </c>
      <c r="D1960" s="37" t="s">
        <v>2351</v>
      </c>
      <c r="E1960" s="212">
        <v>42.35</v>
      </c>
    </row>
    <row r="1961" spans="1:5" ht="14.25">
      <c r="A1961" s="37">
        <v>12062</v>
      </c>
      <c r="B1961" s="37" t="s">
        <v>22759</v>
      </c>
      <c r="C1961" s="37" t="s">
        <v>2355</v>
      </c>
      <c r="D1961" s="37" t="s">
        <v>2351</v>
      </c>
      <c r="E1961" s="212">
        <v>78.099999999999994</v>
      </c>
    </row>
    <row r="1962" spans="1:5" ht="14.25">
      <c r="A1962" s="37">
        <v>21137</v>
      </c>
      <c r="B1962" s="37" t="s">
        <v>22760</v>
      </c>
      <c r="C1962" s="37" t="s">
        <v>2355</v>
      </c>
      <c r="D1962" s="37" t="s">
        <v>2351</v>
      </c>
      <c r="E1962" s="212">
        <v>13.57</v>
      </c>
    </row>
    <row r="1963" spans="1:5" ht="14.25">
      <c r="A1963" s="37">
        <v>2687</v>
      </c>
      <c r="B1963" s="37" t="s">
        <v>22761</v>
      </c>
      <c r="C1963" s="37" t="s">
        <v>2355</v>
      </c>
      <c r="D1963" s="37" t="s">
        <v>2349</v>
      </c>
      <c r="E1963" s="212">
        <v>1.82</v>
      </c>
    </row>
    <row r="1964" spans="1:5" ht="14.25">
      <c r="A1964" s="37">
        <v>2689</v>
      </c>
      <c r="B1964" s="37" t="s">
        <v>22762</v>
      </c>
      <c r="C1964" s="37" t="s">
        <v>2355</v>
      </c>
      <c r="D1964" s="37" t="s">
        <v>2349</v>
      </c>
      <c r="E1964" s="212">
        <v>2.16</v>
      </c>
    </row>
    <row r="1965" spans="1:5" ht="14.25">
      <c r="A1965" s="37">
        <v>2688</v>
      </c>
      <c r="B1965" s="37" t="s">
        <v>22763</v>
      </c>
      <c r="C1965" s="37" t="s">
        <v>2355</v>
      </c>
      <c r="D1965" s="37" t="s">
        <v>2349</v>
      </c>
      <c r="E1965" s="212">
        <v>2.34</v>
      </c>
    </row>
    <row r="1966" spans="1:5" ht="14.25">
      <c r="A1966" s="37">
        <v>2690</v>
      </c>
      <c r="B1966" s="37" t="s">
        <v>22764</v>
      </c>
      <c r="C1966" s="37" t="s">
        <v>2355</v>
      </c>
      <c r="D1966" s="37" t="s">
        <v>2349</v>
      </c>
      <c r="E1966" s="212">
        <v>4.01</v>
      </c>
    </row>
    <row r="1967" spans="1:5" ht="14.25">
      <c r="A1967" s="37">
        <v>39243</v>
      </c>
      <c r="B1967" s="37" t="s">
        <v>22765</v>
      </c>
      <c r="C1967" s="37" t="s">
        <v>2355</v>
      </c>
      <c r="D1967" s="37" t="s">
        <v>2349</v>
      </c>
      <c r="E1967" s="212">
        <v>2.64</v>
      </c>
    </row>
    <row r="1968" spans="1:5" ht="14.25">
      <c r="A1968" s="37">
        <v>39244</v>
      </c>
      <c r="B1968" s="37" t="s">
        <v>22766</v>
      </c>
      <c r="C1968" s="37" t="s">
        <v>2355</v>
      </c>
      <c r="D1968" s="37" t="s">
        <v>2349</v>
      </c>
      <c r="E1968" s="212">
        <v>3.57</v>
      </c>
    </row>
    <row r="1969" spans="1:5" ht="14.25">
      <c r="A1969" s="37">
        <v>39245</v>
      </c>
      <c r="B1969" s="37" t="s">
        <v>22767</v>
      </c>
      <c r="C1969" s="37" t="s">
        <v>2355</v>
      </c>
      <c r="D1969" s="37" t="s">
        <v>2349</v>
      </c>
      <c r="E1969" s="212">
        <v>6.87</v>
      </c>
    </row>
    <row r="1970" spans="1:5" ht="14.25">
      <c r="A1970" s="37">
        <v>39254</v>
      </c>
      <c r="B1970" s="37" t="s">
        <v>22768</v>
      </c>
      <c r="C1970" s="37" t="s">
        <v>2355</v>
      </c>
      <c r="D1970" s="37" t="s">
        <v>2349</v>
      </c>
      <c r="E1970" s="212">
        <v>10.28</v>
      </c>
    </row>
    <row r="1971" spans="1:5" ht="14.25">
      <c r="A1971" s="37">
        <v>39255</v>
      </c>
      <c r="B1971" s="37" t="s">
        <v>22769</v>
      </c>
      <c r="C1971" s="37" t="s">
        <v>2355</v>
      </c>
      <c r="D1971" s="37" t="s">
        <v>2349</v>
      </c>
      <c r="E1971" s="212">
        <v>19.02</v>
      </c>
    </row>
    <row r="1972" spans="1:5" ht="14.25">
      <c r="A1972" s="37">
        <v>39253</v>
      </c>
      <c r="B1972" s="37" t="s">
        <v>22770</v>
      </c>
      <c r="C1972" s="37" t="s">
        <v>2355</v>
      </c>
      <c r="D1972" s="37" t="s">
        <v>2349</v>
      </c>
      <c r="E1972" s="212">
        <v>13.1</v>
      </c>
    </row>
    <row r="1973" spans="1:5" ht="14.25">
      <c r="A1973" s="37">
        <v>39246</v>
      </c>
      <c r="B1973" s="37" t="s">
        <v>27982</v>
      </c>
      <c r="C1973" s="37" t="s">
        <v>2355</v>
      </c>
      <c r="D1973" s="37" t="s">
        <v>2349</v>
      </c>
      <c r="E1973" s="212">
        <v>4.7699999999999996</v>
      </c>
    </row>
    <row r="1974" spans="1:5" ht="14.25">
      <c r="A1974" s="37">
        <v>39247</v>
      </c>
      <c r="B1974" s="37" t="s">
        <v>27983</v>
      </c>
      <c r="C1974" s="37" t="s">
        <v>2355</v>
      </c>
      <c r="D1974" s="37" t="s">
        <v>2349</v>
      </c>
      <c r="E1974" s="212">
        <v>4.16</v>
      </c>
    </row>
    <row r="1975" spans="1:5" ht="14.25">
      <c r="A1975" s="37">
        <v>2446</v>
      </c>
      <c r="B1975" s="37" t="s">
        <v>22771</v>
      </c>
      <c r="C1975" s="37" t="s">
        <v>2355</v>
      </c>
      <c r="D1975" s="37" t="s">
        <v>2353</v>
      </c>
      <c r="E1975" s="212">
        <v>6.85</v>
      </c>
    </row>
    <row r="1976" spans="1:5" ht="14.25">
      <c r="A1976" s="37">
        <v>2442</v>
      </c>
      <c r="B1976" s="37" t="s">
        <v>22772</v>
      </c>
      <c r="C1976" s="37" t="s">
        <v>2355</v>
      </c>
      <c r="D1976" s="37" t="s">
        <v>2349</v>
      </c>
      <c r="E1976" s="212">
        <v>9.59</v>
      </c>
    </row>
    <row r="1977" spans="1:5" ht="14.25">
      <c r="A1977" s="37">
        <v>39248</v>
      </c>
      <c r="B1977" s="37" t="s">
        <v>27984</v>
      </c>
      <c r="C1977" s="37" t="s">
        <v>2355</v>
      </c>
      <c r="D1977" s="37" t="s">
        <v>2349</v>
      </c>
      <c r="E1977" s="212">
        <v>13.37</v>
      </c>
    </row>
    <row r="1978" spans="1:5" ht="14.25">
      <c r="A1978" s="37">
        <v>2438</v>
      </c>
      <c r="B1978" s="37" t="s">
        <v>22773</v>
      </c>
      <c r="C1978" s="37" t="s">
        <v>2352</v>
      </c>
      <c r="D1978" s="37" t="s">
        <v>2349</v>
      </c>
      <c r="E1978" s="212">
        <v>23.83</v>
      </c>
    </row>
    <row r="1979" spans="1:5" ht="14.25">
      <c r="A1979" s="37">
        <v>40922</v>
      </c>
      <c r="B1979" s="37" t="s">
        <v>22774</v>
      </c>
      <c r="C1979" s="37" t="s">
        <v>2369</v>
      </c>
      <c r="D1979" s="37" t="s">
        <v>2349</v>
      </c>
      <c r="E1979" s="213">
        <v>4190.3599999999997</v>
      </c>
    </row>
    <row r="1980" spans="1:5" ht="14.25">
      <c r="A1980" s="37">
        <v>36486</v>
      </c>
      <c r="B1980" s="37" t="s">
        <v>22775</v>
      </c>
      <c r="C1980" s="37" t="s">
        <v>2348</v>
      </c>
      <c r="D1980" s="37" t="s">
        <v>2351</v>
      </c>
      <c r="E1980" s="213">
        <v>61475.87</v>
      </c>
    </row>
    <row r="1981" spans="1:5" ht="14.25">
      <c r="A1981" s="37">
        <v>37777</v>
      </c>
      <c r="B1981" s="37" t="s">
        <v>22776</v>
      </c>
      <c r="C1981" s="37" t="s">
        <v>2348</v>
      </c>
      <c r="D1981" s="37" t="s">
        <v>2351</v>
      </c>
      <c r="E1981" s="213">
        <v>289427.23</v>
      </c>
    </row>
    <row r="1982" spans="1:5" ht="14.25">
      <c r="A1982" s="37">
        <v>12624</v>
      </c>
      <c r="B1982" s="37" t="s">
        <v>22777</v>
      </c>
      <c r="C1982" s="37" t="s">
        <v>2348</v>
      </c>
      <c r="D1982" s="37" t="s">
        <v>2351</v>
      </c>
      <c r="E1982" s="212">
        <v>13.68</v>
      </c>
    </row>
    <row r="1983" spans="1:5" ht="14.25">
      <c r="A1983" s="37">
        <v>517</v>
      </c>
      <c r="B1983" s="37" t="s">
        <v>22778</v>
      </c>
      <c r="C1983" s="37" t="s">
        <v>2363</v>
      </c>
      <c r="D1983" s="37" t="s">
        <v>2349</v>
      </c>
      <c r="E1983" s="212">
        <v>4.87</v>
      </c>
    </row>
    <row r="1984" spans="1:5" ht="14.25">
      <c r="A1984" s="37">
        <v>41904</v>
      </c>
      <c r="B1984" s="37" t="s">
        <v>22779</v>
      </c>
      <c r="C1984" s="37" t="s">
        <v>2415</v>
      </c>
      <c r="D1984" s="37" t="s">
        <v>2351</v>
      </c>
      <c r="E1984" s="213">
        <v>3526.08</v>
      </c>
    </row>
    <row r="1985" spans="1:5" ht="14.25">
      <c r="A1985" s="37">
        <v>41903</v>
      </c>
      <c r="B1985" s="37" t="s">
        <v>22780</v>
      </c>
      <c r="C1985" s="37" t="s">
        <v>2356</v>
      </c>
      <c r="D1985" s="37" t="s">
        <v>2351</v>
      </c>
      <c r="E1985" s="212">
        <v>4.18</v>
      </c>
    </row>
    <row r="1986" spans="1:5" ht="14.25">
      <c r="A1986" s="37">
        <v>37534</v>
      </c>
      <c r="B1986" s="37" t="s">
        <v>22781</v>
      </c>
      <c r="C1986" s="37" t="s">
        <v>2356</v>
      </c>
      <c r="D1986" s="37" t="s">
        <v>2351</v>
      </c>
      <c r="E1986" s="212">
        <v>24.46</v>
      </c>
    </row>
    <row r="1987" spans="1:5" ht="14.25">
      <c r="A1987" s="37">
        <v>37535</v>
      </c>
      <c r="B1987" s="37" t="s">
        <v>22782</v>
      </c>
      <c r="C1987" s="37" t="s">
        <v>2356</v>
      </c>
      <c r="D1987" s="37" t="s">
        <v>2351</v>
      </c>
      <c r="E1987" s="212">
        <v>24.46</v>
      </c>
    </row>
    <row r="1988" spans="1:5" ht="14.25">
      <c r="A1988" s="37">
        <v>37533</v>
      </c>
      <c r="B1988" s="37" t="s">
        <v>22783</v>
      </c>
      <c r="C1988" s="37" t="s">
        <v>2356</v>
      </c>
      <c r="D1988" s="37" t="s">
        <v>2351</v>
      </c>
      <c r="E1988" s="212">
        <v>24.46</v>
      </c>
    </row>
    <row r="1989" spans="1:5" ht="14.25">
      <c r="A1989" s="37">
        <v>37537</v>
      </c>
      <c r="B1989" s="37" t="s">
        <v>22784</v>
      </c>
      <c r="C1989" s="37" t="s">
        <v>2356</v>
      </c>
      <c r="D1989" s="37" t="s">
        <v>2351</v>
      </c>
      <c r="E1989" s="212">
        <v>18.510000000000002</v>
      </c>
    </row>
    <row r="1990" spans="1:5" ht="14.25">
      <c r="A1990" s="37">
        <v>37536</v>
      </c>
      <c r="B1990" s="37" t="s">
        <v>22785</v>
      </c>
      <c r="C1990" s="37" t="s">
        <v>2356</v>
      </c>
      <c r="D1990" s="37" t="s">
        <v>2351</v>
      </c>
      <c r="E1990" s="212">
        <v>18.510000000000002</v>
      </c>
    </row>
    <row r="1991" spans="1:5" ht="14.25">
      <c r="A1991" s="37">
        <v>37532</v>
      </c>
      <c r="B1991" s="37" t="s">
        <v>22786</v>
      </c>
      <c r="C1991" s="37" t="s">
        <v>2356</v>
      </c>
      <c r="D1991" s="37" t="s">
        <v>2351</v>
      </c>
      <c r="E1991" s="212">
        <v>18.510000000000002</v>
      </c>
    </row>
    <row r="1992" spans="1:5" ht="14.25">
      <c r="A1992" s="37">
        <v>2696</v>
      </c>
      <c r="B1992" s="37" t="s">
        <v>22787</v>
      </c>
      <c r="C1992" s="37" t="s">
        <v>2352</v>
      </c>
      <c r="D1992" s="37" t="s">
        <v>2353</v>
      </c>
      <c r="E1992" s="212">
        <v>16.02</v>
      </c>
    </row>
    <row r="1993" spans="1:5" ht="14.25">
      <c r="A1993" s="37">
        <v>40928</v>
      </c>
      <c r="B1993" s="37" t="s">
        <v>22788</v>
      </c>
      <c r="C1993" s="37" t="s">
        <v>2369</v>
      </c>
      <c r="D1993" s="37" t="s">
        <v>2349</v>
      </c>
      <c r="E1993" s="213">
        <v>2817.39</v>
      </c>
    </row>
    <row r="1994" spans="1:5" ht="14.25">
      <c r="A1994" s="37">
        <v>4083</v>
      </c>
      <c r="B1994" s="37" t="s">
        <v>22789</v>
      </c>
      <c r="C1994" s="37" t="s">
        <v>2352</v>
      </c>
      <c r="D1994" s="37" t="s">
        <v>2353</v>
      </c>
      <c r="E1994" s="212">
        <v>34</v>
      </c>
    </row>
    <row r="1995" spans="1:5" ht="14.25">
      <c r="A1995" s="37">
        <v>40818</v>
      </c>
      <c r="B1995" s="37" t="s">
        <v>22790</v>
      </c>
      <c r="C1995" s="37" t="s">
        <v>2369</v>
      </c>
      <c r="D1995" s="37" t="s">
        <v>2349</v>
      </c>
      <c r="E1995" s="213">
        <v>5979.85</v>
      </c>
    </row>
    <row r="1996" spans="1:5" ht="14.25">
      <c r="A1996" s="37">
        <v>43146</v>
      </c>
      <c r="B1996" s="37" t="s">
        <v>22791</v>
      </c>
      <c r="C1996" s="37" t="s">
        <v>2356</v>
      </c>
      <c r="D1996" s="37" t="s">
        <v>2349</v>
      </c>
      <c r="E1996" s="212">
        <v>7.79</v>
      </c>
    </row>
    <row r="1997" spans="1:5" ht="14.25">
      <c r="A1997" s="37">
        <v>2705</v>
      </c>
      <c r="B1997" s="37" t="s">
        <v>22792</v>
      </c>
      <c r="C1997" s="37" t="s">
        <v>2460</v>
      </c>
      <c r="D1997" s="37" t="s">
        <v>2349</v>
      </c>
      <c r="E1997" s="212">
        <v>0.99</v>
      </c>
    </row>
    <row r="1998" spans="1:5" ht="14.25">
      <c r="A1998" s="37">
        <v>14250</v>
      </c>
      <c r="B1998" s="37" t="s">
        <v>22793</v>
      </c>
      <c r="C1998" s="37" t="s">
        <v>2460</v>
      </c>
      <c r="D1998" s="37" t="s">
        <v>2353</v>
      </c>
      <c r="E1998" s="212">
        <v>1.01</v>
      </c>
    </row>
    <row r="1999" spans="1:5" ht="14.25">
      <c r="A1999" s="37">
        <v>11683</v>
      </c>
      <c r="B1999" s="37" t="s">
        <v>22794</v>
      </c>
      <c r="C1999" s="37" t="s">
        <v>2348</v>
      </c>
      <c r="D1999" s="37" t="s">
        <v>2349</v>
      </c>
      <c r="E1999" s="212">
        <v>38.93</v>
      </c>
    </row>
    <row r="2000" spans="1:5" ht="14.25">
      <c r="A2000" s="37">
        <v>11684</v>
      </c>
      <c r="B2000" s="37" t="s">
        <v>22795</v>
      </c>
      <c r="C2000" s="37" t="s">
        <v>2348</v>
      </c>
      <c r="D2000" s="37" t="s">
        <v>2349</v>
      </c>
      <c r="E2000" s="212">
        <v>42.62</v>
      </c>
    </row>
    <row r="2001" spans="1:5" ht="14.25">
      <c r="A2001" s="37">
        <v>6141</v>
      </c>
      <c r="B2001" s="37" t="s">
        <v>22796</v>
      </c>
      <c r="C2001" s="37" t="s">
        <v>2348</v>
      </c>
      <c r="D2001" s="37" t="s">
        <v>2349</v>
      </c>
      <c r="E2001" s="212">
        <v>3.69</v>
      </c>
    </row>
    <row r="2002" spans="1:5" ht="14.25">
      <c r="A2002" s="37">
        <v>11681</v>
      </c>
      <c r="B2002" s="37" t="s">
        <v>22797</v>
      </c>
      <c r="C2002" s="37" t="s">
        <v>2348</v>
      </c>
      <c r="D2002" s="37" t="s">
        <v>2349</v>
      </c>
      <c r="E2002" s="212">
        <v>6.93</v>
      </c>
    </row>
    <row r="2003" spans="1:5" ht="14.25">
      <c r="A2003" s="37">
        <v>2706</v>
      </c>
      <c r="B2003" s="37" t="s">
        <v>22798</v>
      </c>
      <c r="C2003" s="37" t="s">
        <v>2352</v>
      </c>
      <c r="D2003" s="37" t="s">
        <v>2353</v>
      </c>
      <c r="E2003" s="212">
        <v>91.65</v>
      </c>
    </row>
    <row r="2004" spans="1:5" ht="14.25">
      <c r="A2004" s="37">
        <v>40811</v>
      </c>
      <c r="B2004" s="37" t="s">
        <v>22799</v>
      </c>
      <c r="C2004" s="37" t="s">
        <v>2369</v>
      </c>
      <c r="D2004" s="37" t="s">
        <v>2349</v>
      </c>
      <c r="E2004" s="213">
        <v>16115.66</v>
      </c>
    </row>
    <row r="2005" spans="1:5" ht="14.25">
      <c r="A2005" s="37">
        <v>2707</v>
      </c>
      <c r="B2005" s="37" t="s">
        <v>22800</v>
      </c>
      <c r="C2005" s="37" t="s">
        <v>2352</v>
      </c>
      <c r="D2005" s="37" t="s">
        <v>2349</v>
      </c>
      <c r="E2005" s="212">
        <v>104.31</v>
      </c>
    </row>
    <row r="2006" spans="1:5" ht="14.25">
      <c r="A2006" s="37">
        <v>40813</v>
      </c>
      <c r="B2006" s="37" t="s">
        <v>22801</v>
      </c>
      <c r="C2006" s="37" t="s">
        <v>2369</v>
      </c>
      <c r="D2006" s="37" t="s">
        <v>2349</v>
      </c>
      <c r="E2006" s="213">
        <v>18342.93</v>
      </c>
    </row>
    <row r="2007" spans="1:5" ht="14.25">
      <c r="A2007" s="37">
        <v>2708</v>
      </c>
      <c r="B2007" s="37" t="s">
        <v>22802</v>
      </c>
      <c r="C2007" s="37" t="s">
        <v>2352</v>
      </c>
      <c r="D2007" s="37" t="s">
        <v>2349</v>
      </c>
      <c r="E2007" s="212">
        <v>142.59</v>
      </c>
    </row>
    <row r="2008" spans="1:5" ht="14.25">
      <c r="A2008" s="37">
        <v>40814</v>
      </c>
      <c r="B2008" s="37" t="s">
        <v>22803</v>
      </c>
      <c r="C2008" s="37" t="s">
        <v>2369</v>
      </c>
      <c r="D2008" s="37" t="s">
        <v>2349</v>
      </c>
      <c r="E2008" s="213">
        <v>25074.29</v>
      </c>
    </row>
    <row r="2009" spans="1:5" ht="14.25">
      <c r="A2009" s="37">
        <v>34779</v>
      </c>
      <c r="B2009" s="37" t="s">
        <v>22804</v>
      </c>
      <c r="C2009" s="37" t="s">
        <v>2352</v>
      </c>
      <c r="D2009" s="37" t="s">
        <v>2349</v>
      </c>
      <c r="E2009" s="212">
        <v>92.99</v>
      </c>
    </row>
    <row r="2010" spans="1:5" ht="14.25">
      <c r="A2010" s="37">
        <v>40936</v>
      </c>
      <c r="B2010" s="37" t="s">
        <v>22805</v>
      </c>
      <c r="C2010" s="37" t="s">
        <v>2369</v>
      </c>
      <c r="D2010" s="37" t="s">
        <v>2349</v>
      </c>
      <c r="E2010" s="213">
        <v>16350.75</v>
      </c>
    </row>
    <row r="2011" spans="1:5" ht="14.25">
      <c r="A2011" s="37">
        <v>34780</v>
      </c>
      <c r="B2011" s="37" t="s">
        <v>22806</v>
      </c>
      <c r="C2011" s="37" t="s">
        <v>2352</v>
      </c>
      <c r="D2011" s="37" t="s">
        <v>2349</v>
      </c>
      <c r="E2011" s="212">
        <v>104.89</v>
      </c>
    </row>
    <row r="2012" spans="1:5" ht="14.25">
      <c r="A2012" s="37">
        <v>40937</v>
      </c>
      <c r="B2012" s="37" t="s">
        <v>22807</v>
      </c>
      <c r="C2012" s="37" t="s">
        <v>2369</v>
      </c>
      <c r="D2012" s="37" t="s">
        <v>2349</v>
      </c>
      <c r="E2012" s="213">
        <v>18446.88</v>
      </c>
    </row>
    <row r="2013" spans="1:5" ht="14.25">
      <c r="A2013" s="37">
        <v>34782</v>
      </c>
      <c r="B2013" s="37" t="s">
        <v>22808</v>
      </c>
      <c r="C2013" s="37" t="s">
        <v>2352</v>
      </c>
      <c r="D2013" s="37" t="s">
        <v>2349</v>
      </c>
      <c r="E2013" s="212">
        <v>143.75</v>
      </c>
    </row>
    <row r="2014" spans="1:5" ht="14.25">
      <c r="A2014" s="37">
        <v>40938</v>
      </c>
      <c r="B2014" s="37" t="s">
        <v>22809</v>
      </c>
      <c r="C2014" s="37" t="s">
        <v>2369</v>
      </c>
      <c r="D2014" s="37" t="s">
        <v>2349</v>
      </c>
      <c r="E2014" s="213">
        <v>25279.69</v>
      </c>
    </row>
    <row r="2015" spans="1:5" ht="14.25">
      <c r="A2015" s="37">
        <v>34783</v>
      </c>
      <c r="B2015" s="37" t="s">
        <v>22810</v>
      </c>
      <c r="C2015" s="37" t="s">
        <v>2352</v>
      </c>
      <c r="D2015" s="37" t="s">
        <v>2349</v>
      </c>
      <c r="E2015" s="212">
        <v>97.39</v>
      </c>
    </row>
    <row r="2016" spans="1:5" ht="14.25">
      <c r="A2016" s="37">
        <v>40939</v>
      </c>
      <c r="B2016" s="37" t="s">
        <v>22811</v>
      </c>
      <c r="C2016" s="37" t="s">
        <v>2369</v>
      </c>
      <c r="D2016" s="37" t="s">
        <v>2349</v>
      </c>
      <c r="E2016" s="213">
        <v>17126.84</v>
      </c>
    </row>
    <row r="2017" spans="1:5" ht="14.25">
      <c r="A2017" s="37">
        <v>34785</v>
      </c>
      <c r="B2017" s="37" t="s">
        <v>22812</v>
      </c>
      <c r="C2017" s="37" t="s">
        <v>2352</v>
      </c>
      <c r="D2017" s="37" t="s">
        <v>2349</v>
      </c>
      <c r="E2017" s="212">
        <v>94.22</v>
      </c>
    </row>
    <row r="2018" spans="1:5" ht="14.25">
      <c r="A2018" s="37">
        <v>40940</v>
      </c>
      <c r="B2018" s="37" t="s">
        <v>22813</v>
      </c>
      <c r="C2018" s="37" t="s">
        <v>2369</v>
      </c>
      <c r="D2018" s="37" t="s">
        <v>2349</v>
      </c>
      <c r="E2018" s="213">
        <v>16570.55</v>
      </c>
    </row>
    <row r="2019" spans="1:5" ht="14.25">
      <c r="A2019" s="37">
        <v>38403</v>
      </c>
      <c r="B2019" s="37" t="s">
        <v>22814</v>
      </c>
      <c r="C2019" s="37" t="s">
        <v>2348</v>
      </c>
      <c r="D2019" s="37" t="s">
        <v>2349</v>
      </c>
      <c r="E2019" s="212">
        <v>48.78</v>
      </c>
    </row>
    <row r="2020" spans="1:5" ht="14.25">
      <c r="A2020" s="37">
        <v>43482</v>
      </c>
      <c r="B2020" s="37" t="s">
        <v>22815</v>
      </c>
      <c r="C2020" s="37" t="s">
        <v>2352</v>
      </c>
      <c r="D2020" s="37" t="s">
        <v>2353</v>
      </c>
      <c r="E2020" s="212">
        <v>0.69</v>
      </c>
    </row>
    <row r="2021" spans="1:5" ht="14.25">
      <c r="A2021" s="37">
        <v>43494</v>
      </c>
      <c r="B2021" s="37" t="s">
        <v>22816</v>
      </c>
      <c r="C2021" s="37" t="s">
        <v>2369</v>
      </c>
      <c r="D2021" s="37" t="s">
        <v>2353</v>
      </c>
      <c r="E2021" s="212">
        <v>130.43</v>
      </c>
    </row>
    <row r="2022" spans="1:5" ht="14.25">
      <c r="A2022" s="37">
        <v>43483</v>
      </c>
      <c r="B2022" s="37" t="s">
        <v>22817</v>
      </c>
      <c r="C2022" s="37" t="s">
        <v>2352</v>
      </c>
      <c r="D2022" s="37" t="s">
        <v>2353</v>
      </c>
      <c r="E2022" s="212">
        <v>1.26</v>
      </c>
    </row>
    <row r="2023" spans="1:5" ht="14.25">
      <c r="A2023" s="37">
        <v>43495</v>
      </c>
      <c r="B2023" s="37" t="s">
        <v>22818</v>
      </c>
      <c r="C2023" s="37" t="s">
        <v>2369</v>
      </c>
      <c r="D2023" s="37" t="s">
        <v>2353</v>
      </c>
      <c r="E2023" s="212">
        <v>238.17</v>
      </c>
    </row>
    <row r="2024" spans="1:5" ht="14.25">
      <c r="A2024" s="37">
        <v>43484</v>
      </c>
      <c r="B2024" s="37" t="s">
        <v>22819</v>
      </c>
      <c r="C2024" s="37" t="s">
        <v>2352</v>
      </c>
      <c r="D2024" s="37" t="s">
        <v>2353</v>
      </c>
      <c r="E2024" s="212">
        <v>1.07</v>
      </c>
    </row>
    <row r="2025" spans="1:5" ht="14.25">
      <c r="A2025" s="37">
        <v>43496</v>
      </c>
      <c r="B2025" s="37" t="s">
        <v>22820</v>
      </c>
      <c r="C2025" s="37" t="s">
        <v>2369</v>
      </c>
      <c r="D2025" s="37" t="s">
        <v>2353</v>
      </c>
      <c r="E2025" s="212">
        <v>201.65</v>
      </c>
    </row>
    <row r="2026" spans="1:5" ht="14.25">
      <c r="A2026" s="37">
        <v>43485</v>
      </c>
      <c r="B2026" s="37" t="s">
        <v>22821</v>
      </c>
      <c r="C2026" s="37" t="s">
        <v>2352</v>
      </c>
      <c r="D2026" s="37" t="s">
        <v>2353</v>
      </c>
      <c r="E2026" s="212">
        <v>0.94</v>
      </c>
    </row>
    <row r="2027" spans="1:5" ht="14.25">
      <c r="A2027" s="37">
        <v>43497</v>
      </c>
      <c r="B2027" s="37" t="s">
        <v>22822</v>
      </c>
      <c r="C2027" s="37" t="s">
        <v>2369</v>
      </c>
      <c r="D2027" s="37" t="s">
        <v>2353</v>
      </c>
      <c r="E2027" s="212">
        <v>177.43</v>
      </c>
    </row>
    <row r="2028" spans="1:5" ht="14.25">
      <c r="A2028" s="37">
        <v>43487</v>
      </c>
      <c r="B2028" s="37" t="s">
        <v>22823</v>
      </c>
      <c r="C2028" s="37" t="s">
        <v>2352</v>
      </c>
      <c r="D2028" s="37" t="s">
        <v>2353</v>
      </c>
      <c r="E2028" s="212">
        <v>1.08</v>
      </c>
    </row>
    <row r="2029" spans="1:5" ht="14.25">
      <c r="A2029" s="37">
        <v>43499</v>
      </c>
      <c r="B2029" s="37" t="s">
        <v>22824</v>
      </c>
      <c r="C2029" s="37" t="s">
        <v>2369</v>
      </c>
      <c r="D2029" s="37" t="s">
        <v>2353</v>
      </c>
      <c r="E2029" s="212">
        <v>202.94</v>
      </c>
    </row>
    <row r="2030" spans="1:5" ht="14.25">
      <c r="A2030" s="37">
        <v>43486</v>
      </c>
      <c r="B2030" s="37" t="s">
        <v>22825</v>
      </c>
      <c r="C2030" s="37" t="s">
        <v>2352</v>
      </c>
      <c r="D2030" s="37" t="s">
        <v>2353</v>
      </c>
      <c r="E2030" s="212">
        <v>0.66</v>
      </c>
    </row>
    <row r="2031" spans="1:5" ht="14.25">
      <c r="A2031" s="37">
        <v>43498</v>
      </c>
      <c r="B2031" s="37" t="s">
        <v>22826</v>
      </c>
      <c r="C2031" s="37" t="s">
        <v>2369</v>
      </c>
      <c r="D2031" s="37" t="s">
        <v>2353</v>
      </c>
      <c r="E2031" s="212">
        <v>123.54</v>
      </c>
    </row>
    <row r="2032" spans="1:5" ht="14.25">
      <c r="A2032" s="37">
        <v>43488</v>
      </c>
      <c r="B2032" s="37" t="s">
        <v>22827</v>
      </c>
      <c r="C2032" s="37" t="s">
        <v>2352</v>
      </c>
      <c r="D2032" s="37" t="s">
        <v>2353</v>
      </c>
      <c r="E2032" s="212">
        <v>0.76</v>
      </c>
    </row>
    <row r="2033" spans="1:5" ht="14.25">
      <c r="A2033" s="37">
        <v>43500</v>
      </c>
      <c r="B2033" s="37" t="s">
        <v>22828</v>
      </c>
      <c r="C2033" s="37" t="s">
        <v>2369</v>
      </c>
      <c r="D2033" s="37" t="s">
        <v>2353</v>
      </c>
      <c r="E2033" s="212">
        <v>143.59</v>
      </c>
    </row>
    <row r="2034" spans="1:5" ht="14.25">
      <c r="A2034" s="37">
        <v>43489</v>
      </c>
      <c r="B2034" s="37" t="s">
        <v>22829</v>
      </c>
      <c r="C2034" s="37" t="s">
        <v>2352</v>
      </c>
      <c r="D2034" s="37" t="s">
        <v>2353</v>
      </c>
      <c r="E2034" s="212">
        <v>1.0900000000000001</v>
      </c>
    </row>
    <row r="2035" spans="1:5" ht="14.25">
      <c r="A2035" s="37">
        <v>43501</v>
      </c>
      <c r="B2035" s="37" t="s">
        <v>22830</v>
      </c>
      <c r="C2035" s="37" t="s">
        <v>2369</v>
      </c>
      <c r="D2035" s="37" t="s">
        <v>2353</v>
      </c>
      <c r="E2035" s="212">
        <v>204.95</v>
      </c>
    </row>
    <row r="2036" spans="1:5" ht="14.25">
      <c r="A2036" s="37">
        <v>43490</v>
      </c>
      <c r="B2036" s="37" t="s">
        <v>22831</v>
      </c>
      <c r="C2036" s="37" t="s">
        <v>2352</v>
      </c>
      <c r="D2036" s="37" t="s">
        <v>2353</v>
      </c>
      <c r="E2036" s="212">
        <v>1.5</v>
      </c>
    </row>
    <row r="2037" spans="1:5" ht="14.25">
      <c r="A2037" s="37">
        <v>43502</v>
      </c>
      <c r="B2037" s="37" t="s">
        <v>22832</v>
      </c>
      <c r="C2037" s="37" t="s">
        <v>2369</v>
      </c>
      <c r="D2037" s="37" t="s">
        <v>2353</v>
      </c>
      <c r="E2037" s="212">
        <v>283.14999999999998</v>
      </c>
    </row>
    <row r="2038" spans="1:5" ht="14.25">
      <c r="A2038" s="37">
        <v>43491</v>
      </c>
      <c r="B2038" s="37" t="s">
        <v>22833</v>
      </c>
      <c r="C2038" s="37" t="s">
        <v>2352</v>
      </c>
      <c r="D2038" s="37" t="s">
        <v>2353</v>
      </c>
      <c r="E2038" s="212">
        <v>1.1499999999999999</v>
      </c>
    </row>
    <row r="2039" spans="1:5" ht="14.25">
      <c r="A2039" s="37">
        <v>43503</v>
      </c>
      <c r="B2039" s="37" t="s">
        <v>22834</v>
      </c>
      <c r="C2039" s="37" t="s">
        <v>2369</v>
      </c>
      <c r="D2039" s="37" t="s">
        <v>2353</v>
      </c>
      <c r="E2039" s="212">
        <v>216.6</v>
      </c>
    </row>
    <row r="2040" spans="1:5" ht="14.25">
      <c r="A2040" s="37">
        <v>43492</v>
      </c>
      <c r="B2040" s="37" t="s">
        <v>22835</v>
      </c>
      <c r="C2040" s="37" t="s">
        <v>2352</v>
      </c>
      <c r="D2040" s="37" t="s">
        <v>2353</v>
      </c>
      <c r="E2040" s="212">
        <v>1.58</v>
      </c>
    </row>
    <row r="2041" spans="1:5" ht="14.25">
      <c r="A2041" s="37">
        <v>43504</v>
      </c>
      <c r="B2041" s="37" t="s">
        <v>22836</v>
      </c>
      <c r="C2041" s="37" t="s">
        <v>2369</v>
      </c>
      <c r="D2041" s="37" t="s">
        <v>2353</v>
      </c>
      <c r="E2041" s="212">
        <v>297.7</v>
      </c>
    </row>
    <row r="2042" spans="1:5" ht="14.25">
      <c r="A2042" s="37">
        <v>43493</v>
      </c>
      <c r="B2042" s="37" t="s">
        <v>22837</v>
      </c>
      <c r="C2042" s="37" t="s">
        <v>2352</v>
      </c>
      <c r="D2042" s="37" t="s">
        <v>2353</v>
      </c>
      <c r="E2042" s="212">
        <v>0.62</v>
      </c>
    </row>
    <row r="2043" spans="1:5" ht="14.25">
      <c r="A2043" s="37">
        <v>43505</v>
      </c>
      <c r="B2043" s="37" t="s">
        <v>22838</v>
      </c>
      <c r="C2043" s="37" t="s">
        <v>2369</v>
      </c>
      <c r="D2043" s="37" t="s">
        <v>2353</v>
      </c>
      <c r="E2043" s="212">
        <v>117.12</v>
      </c>
    </row>
    <row r="2044" spans="1:5" ht="14.25">
      <c r="A2044" s="37">
        <v>37774</v>
      </c>
      <c r="B2044" s="37" t="s">
        <v>22839</v>
      </c>
      <c r="C2044" s="37" t="s">
        <v>2348</v>
      </c>
      <c r="D2044" s="37" t="s">
        <v>2351</v>
      </c>
      <c r="E2044" s="213">
        <v>414744.07</v>
      </c>
    </row>
    <row r="2045" spans="1:5" ht="14.25">
      <c r="A2045" s="37">
        <v>38630</v>
      </c>
      <c r="B2045" s="37" t="s">
        <v>22840</v>
      </c>
      <c r="C2045" s="37" t="s">
        <v>2348</v>
      </c>
      <c r="D2045" s="37" t="s">
        <v>2351</v>
      </c>
      <c r="E2045" s="213">
        <v>1779511.16</v>
      </c>
    </row>
    <row r="2046" spans="1:5" ht="14.25">
      <c r="A2046" s="37">
        <v>38629</v>
      </c>
      <c r="B2046" s="37" t="s">
        <v>22841</v>
      </c>
      <c r="C2046" s="37" t="s">
        <v>2348</v>
      </c>
      <c r="D2046" s="37" t="s">
        <v>2351</v>
      </c>
      <c r="E2046" s="213">
        <v>2648890.66</v>
      </c>
    </row>
    <row r="2047" spans="1:5" ht="14.25">
      <c r="A2047" s="37">
        <v>38476</v>
      </c>
      <c r="B2047" s="37" t="s">
        <v>22842</v>
      </c>
      <c r="C2047" s="37" t="s">
        <v>2348</v>
      </c>
      <c r="D2047" s="37" t="s">
        <v>2349</v>
      </c>
      <c r="E2047" s="212">
        <v>366.6</v>
      </c>
    </row>
    <row r="2048" spans="1:5" ht="14.25">
      <c r="A2048" s="37">
        <v>38477</v>
      </c>
      <c r="B2048" s="37" t="s">
        <v>22843</v>
      </c>
      <c r="C2048" s="37" t="s">
        <v>2348</v>
      </c>
      <c r="D2048" s="37" t="s">
        <v>2349</v>
      </c>
      <c r="E2048" s="213">
        <v>1038.2</v>
      </c>
    </row>
    <row r="2049" spans="1:5" ht="14.25">
      <c r="A2049" s="37">
        <v>40635</v>
      </c>
      <c r="B2049" s="37" t="s">
        <v>22844</v>
      </c>
      <c r="C2049" s="37" t="s">
        <v>2348</v>
      </c>
      <c r="D2049" s="37" t="s">
        <v>2349</v>
      </c>
      <c r="E2049" s="213">
        <v>996650.5</v>
      </c>
    </row>
    <row r="2050" spans="1:5" ht="14.25">
      <c r="A2050" s="37">
        <v>36483</v>
      </c>
      <c r="B2050" s="37" t="s">
        <v>22845</v>
      </c>
      <c r="C2050" s="37" t="s">
        <v>2348</v>
      </c>
      <c r="D2050" s="37" t="s">
        <v>2349</v>
      </c>
      <c r="E2050" s="213">
        <v>903125</v>
      </c>
    </row>
    <row r="2051" spans="1:5" ht="14.25">
      <c r="A2051" s="37">
        <v>14525</v>
      </c>
      <c r="B2051" s="37" t="s">
        <v>22846</v>
      </c>
      <c r="C2051" s="37" t="s">
        <v>2348</v>
      </c>
      <c r="D2051" s="37" t="s">
        <v>2349</v>
      </c>
      <c r="E2051" s="213">
        <v>945625</v>
      </c>
    </row>
    <row r="2052" spans="1:5" ht="14.25">
      <c r="A2052" s="37">
        <v>36482</v>
      </c>
      <c r="B2052" s="37" t="s">
        <v>22847</v>
      </c>
      <c r="C2052" s="37" t="s">
        <v>2348</v>
      </c>
      <c r="D2052" s="37" t="s">
        <v>2349</v>
      </c>
      <c r="E2052" s="213">
        <v>811005.14</v>
      </c>
    </row>
    <row r="2053" spans="1:5" ht="14.25">
      <c r="A2053" s="37">
        <v>36408</v>
      </c>
      <c r="B2053" s="37" t="s">
        <v>22848</v>
      </c>
      <c r="C2053" s="37" t="s">
        <v>2348</v>
      </c>
      <c r="D2053" s="37" t="s">
        <v>2349</v>
      </c>
      <c r="E2053" s="213">
        <v>969000</v>
      </c>
    </row>
    <row r="2054" spans="1:5" ht="14.25">
      <c r="A2054" s="37">
        <v>2723</v>
      </c>
      <c r="B2054" s="37" t="s">
        <v>22849</v>
      </c>
      <c r="C2054" s="37" t="s">
        <v>2348</v>
      </c>
      <c r="D2054" s="37" t="s">
        <v>2349</v>
      </c>
      <c r="E2054" s="213">
        <v>743750</v>
      </c>
    </row>
    <row r="2055" spans="1:5" ht="14.25">
      <c r="A2055" s="37">
        <v>36481</v>
      </c>
      <c r="B2055" s="37" t="s">
        <v>22850</v>
      </c>
      <c r="C2055" s="37" t="s">
        <v>2348</v>
      </c>
      <c r="D2055" s="37" t="s">
        <v>2349</v>
      </c>
      <c r="E2055" s="213">
        <v>887187.5</v>
      </c>
    </row>
    <row r="2056" spans="1:5" ht="14.25">
      <c r="A2056" s="37">
        <v>10685</v>
      </c>
      <c r="B2056" s="37" t="s">
        <v>22851</v>
      </c>
      <c r="C2056" s="37" t="s">
        <v>2348</v>
      </c>
      <c r="D2056" s="37" t="s">
        <v>2353</v>
      </c>
      <c r="E2056" s="213">
        <v>850000</v>
      </c>
    </row>
    <row r="2057" spans="1:5" ht="14.25">
      <c r="A2057" s="37">
        <v>40636</v>
      </c>
      <c r="B2057" s="37" t="s">
        <v>22852</v>
      </c>
      <c r="C2057" s="37" t="s">
        <v>2348</v>
      </c>
      <c r="D2057" s="37" t="s">
        <v>2349</v>
      </c>
      <c r="E2057" s="213">
        <v>959463</v>
      </c>
    </row>
    <row r="2058" spans="1:5" ht="14.25">
      <c r="A2058" s="37">
        <v>4111</v>
      </c>
      <c r="B2058" s="37" t="s">
        <v>22853</v>
      </c>
      <c r="C2058" s="37" t="s">
        <v>2348</v>
      </c>
      <c r="D2058" s="37" t="s">
        <v>2349</v>
      </c>
      <c r="E2058" s="212">
        <v>48.87</v>
      </c>
    </row>
    <row r="2059" spans="1:5" ht="14.25">
      <c r="A2059" s="37">
        <v>44538</v>
      </c>
      <c r="B2059" s="37" t="s">
        <v>27985</v>
      </c>
      <c r="C2059" s="37" t="s">
        <v>2348</v>
      </c>
      <c r="D2059" s="37" t="s">
        <v>2349</v>
      </c>
      <c r="E2059" s="212">
        <v>39.67</v>
      </c>
    </row>
    <row r="2060" spans="1:5" ht="14.25">
      <c r="A2060" s="37">
        <v>12</v>
      </c>
      <c r="B2060" s="37" t="s">
        <v>22854</v>
      </c>
      <c r="C2060" s="37" t="s">
        <v>2348</v>
      </c>
      <c r="D2060" s="37" t="s">
        <v>2353</v>
      </c>
      <c r="E2060" s="212">
        <v>7.55</v>
      </c>
    </row>
    <row r="2061" spans="1:5" ht="14.25">
      <c r="A2061" s="37">
        <v>37554</v>
      </c>
      <c r="B2061" s="37" t="s">
        <v>22855</v>
      </c>
      <c r="C2061" s="37" t="s">
        <v>2348</v>
      </c>
      <c r="D2061" s="37" t="s">
        <v>2349</v>
      </c>
      <c r="E2061" s="212">
        <v>215.49</v>
      </c>
    </row>
    <row r="2062" spans="1:5" ht="14.25">
      <c r="A2062" s="37">
        <v>37555</v>
      </c>
      <c r="B2062" s="37" t="s">
        <v>22856</v>
      </c>
      <c r="C2062" s="37" t="s">
        <v>2348</v>
      </c>
      <c r="D2062" s="37" t="s">
        <v>2349</v>
      </c>
      <c r="E2062" s="212">
        <v>262.14</v>
      </c>
    </row>
    <row r="2063" spans="1:5" ht="14.25">
      <c r="A2063" s="37">
        <v>10902</v>
      </c>
      <c r="B2063" s="37" t="s">
        <v>22857</v>
      </c>
      <c r="C2063" s="37" t="s">
        <v>2348</v>
      </c>
      <c r="D2063" s="37" t="s">
        <v>2349</v>
      </c>
      <c r="E2063" s="212">
        <v>65.78</v>
      </c>
    </row>
    <row r="2064" spans="1:5" ht="14.25">
      <c r="A2064" s="37">
        <v>20965</v>
      </c>
      <c r="B2064" s="37" t="s">
        <v>22858</v>
      </c>
      <c r="C2064" s="37" t="s">
        <v>2348</v>
      </c>
      <c r="D2064" s="37" t="s">
        <v>2349</v>
      </c>
      <c r="E2064" s="212">
        <v>66.39</v>
      </c>
    </row>
    <row r="2065" spans="1:5" ht="14.25">
      <c r="A2065" s="37">
        <v>20966</v>
      </c>
      <c r="B2065" s="37" t="s">
        <v>22859</v>
      </c>
      <c r="C2065" s="37" t="s">
        <v>2348</v>
      </c>
      <c r="D2065" s="37" t="s">
        <v>2349</v>
      </c>
      <c r="E2065" s="212">
        <v>71.48</v>
      </c>
    </row>
    <row r="2066" spans="1:5" ht="14.25">
      <c r="A2066" s="37">
        <v>10903</v>
      </c>
      <c r="B2066" s="37" t="s">
        <v>22860</v>
      </c>
      <c r="C2066" s="37" t="s">
        <v>2348</v>
      </c>
      <c r="D2066" s="37" t="s">
        <v>2349</v>
      </c>
      <c r="E2066" s="212">
        <v>108.35</v>
      </c>
    </row>
    <row r="2067" spans="1:5" ht="14.25">
      <c r="A2067" s="37">
        <v>20967</v>
      </c>
      <c r="B2067" s="37" t="s">
        <v>22861</v>
      </c>
      <c r="C2067" s="37" t="s">
        <v>2348</v>
      </c>
      <c r="D2067" s="37" t="s">
        <v>2349</v>
      </c>
      <c r="E2067" s="212">
        <v>108.35</v>
      </c>
    </row>
    <row r="2068" spans="1:5" ht="14.25">
      <c r="A2068" s="37">
        <v>20968</v>
      </c>
      <c r="B2068" s="37" t="s">
        <v>22862</v>
      </c>
      <c r="C2068" s="37" t="s">
        <v>2348</v>
      </c>
      <c r="D2068" s="37" t="s">
        <v>2349</v>
      </c>
      <c r="E2068" s="212">
        <v>118.83</v>
      </c>
    </row>
    <row r="2069" spans="1:5" ht="14.25">
      <c r="A2069" s="37">
        <v>11359</v>
      </c>
      <c r="B2069" s="37" t="s">
        <v>22863</v>
      </c>
      <c r="C2069" s="37" t="s">
        <v>2348</v>
      </c>
      <c r="D2069" s="37" t="s">
        <v>2353</v>
      </c>
      <c r="E2069" s="213">
        <v>1203.94</v>
      </c>
    </row>
    <row r="2070" spans="1:5" ht="14.25">
      <c r="A2070" s="37">
        <v>39017</v>
      </c>
      <c r="B2070" s="37" t="s">
        <v>22864</v>
      </c>
      <c r="C2070" s="37" t="s">
        <v>2348</v>
      </c>
      <c r="D2070" s="37" t="s">
        <v>2349</v>
      </c>
      <c r="E2070" s="212">
        <v>0.2</v>
      </c>
    </row>
    <row r="2071" spans="1:5" ht="14.25">
      <c r="A2071" s="37">
        <v>39315</v>
      </c>
      <c r="B2071" s="37" t="s">
        <v>22865</v>
      </c>
      <c r="C2071" s="37" t="s">
        <v>2348</v>
      </c>
      <c r="D2071" s="37" t="s">
        <v>2349</v>
      </c>
      <c r="E2071" s="212">
        <v>0.32</v>
      </c>
    </row>
    <row r="2072" spans="1:5" ht="14.25">
      <c r="A2072" s="37">
        <v>39016</v>
      </c>
      <c r="B2072" s="37" t="s">
        <v>22866</v>
      </c>
      <c r="C2072" s="37" t="s">
        <v>2348</v>
      </c>
      <c r="D2072" s="37" t="s">
        <v>2349</v>
      </c>
      <c r="E2072" s="212">
        <v>0.32</v>
      </c>
    </row>
    <row r="2073" spans="1:5" ht="14.25">
      <c r="A2073" s="37">
        <v>40432</v>
      </c>
      <c r="B2073" s="37" t="s">
        <v>22867</v>
      </c>
      <c r="C2073" s="37" t="s">
        <v>2348</v>
      </c>
      <c r="D2073" s="37" t="s">
        <v>2349</v>
      </c>
      <c r="E2073" s="212">
        <v>2.5099999999999998</v>
      </c>
    </row>
    <row r="2074" spans="1:5" ht="14.25">
      <c r="A2074" s="37">
        <v>39481</v>
      </c>
      <c r="B2074" s="37" t="s">
        <v>22868</v>
      </c>
      <c r="C2074" s="37" t="s">
        <v>2348</v>
      </c>
      <c r="D2074" s="37" t="s">
        <v>2349</v>
      </c>
      <c r="E2074" s="212">
        <v>1.58</v>
      </c>
    </row>
    <row r="2075" spans="1:5" ht="14.25">
      <c r="A2075" s="37">
        <v>40433</v>
      </c>
      <c r="B2075" s="37" t="s">
        <v>22869</v>
      </c>
      <c r="C2075" s="37" t="s">
        <v>2348</v>
      </c>
      <c r="D2075" s="37" t="s">
        <v>2349</v>
      </c>
      <c r="E2075" s="212">
        <v>1.39</v>
      </c>
    </row>
    <row r="2076" spans="1:5" ht="14.25">
      <c r="A2076" s="37">
        <v>20219</v>
      </c>
      <c r="B2076" s="37" t="s">
        <v>22870</v>
      </c>
      <c r="C2076" s="37" t="s">
        <v>2348</v>
      </c>
      <c r="D2076" s="37" t="s">
        <v>2351</v>
      </c>
      <c r="E2076" s="213">
        <v>108800</v>
      </c>
    </row>
    <row r="2077" spans="1:5" ht="14.25">
      <c r="A2077" s="37">
        <v>36484</v>
      </c>
      <c r="B2077" s="37" t="s">
        <v>22871</v>
      </c>
      <c r="C2077" s="37" t="s">
        <v>2348</v>
      </c>
      <c r="D2077" s="37" t="s">
        <v>2351</v>
      </c>
      <c r="E2077" s="213">
        <v>230962.58</v>
      </c>
    </row>
    <row r="2078" spans="1:5" ht="14.25">
      <c r="A2078" s="37">
        <v>38367</v>
      </c>
      <c r="B2078" s="37" t="s">
        <v>22872</v>
      </c>
      <c r="C2078" s="37" t="s">
        <v>2348</v>
      </c>
      <c r="D2078" s="37" t="s">
        <v>2349</v>
      </c>
      <c r="E2078" s="212">
        <v>19.690000000000001</v>
      </c>
    </row>
    <row r="2079" spans="1:5" ht="14.25">
      <c r="A2079" s="37">
        <v>38368</v>
      </c>
      <c r="B2079" s="37" t="s">
        <v>22873</v>
      </c>
      <c r="C2079" s="37" t="s">
        <v>2348</v>
      </c>
      <c r="D2079" s="37" t="s">
        <v>2349</v>
      </c>
      <c r="E2079" s="212">
        <v>7.17</v>
      </c>
    </row>
    <row r="2080" spans="1:5" ht="14.25">
      <c r="A2080" s="37">
        <v>38091</v>
      </c>
      <c r="B2080" s="37" t="s">
        <v>22874</v>
      </c>
      <c r="C2080" s="37" t="s">
        <v>2348</v>
      </c>
      <c r="D2080" s="37" t="s">
        <v>2349</v>
      </c>
      <c r="E2080" s="212">
        <v>2.2400000000000002</v>
      </c>
    </row>
    <row r="2081" spans="1:5" ht="14.25">
      <c r="A2081" s="37">
        <v>38095</v>
      </c>
      <c r="B2081" s="37" t="s">
        <v>22875</v>
      </c>
      <c r="C2081" s="37" t="s">
        <v>2348</v>
      </c>
      <c r="D2081" s="37" t="s">
        <v>2349</v>
      </c>
      <c r="E2081" s="212">
        <v>4.74</v>
      </c>
    </row>
    <row r="2082" spans="1:5" ht="14.25">
      <c r="A2082" s="37">
        <v>38092</v>
      </c>
      <c r="B2082" s="37" t="s">
        <v>22876</v>
      </c>
      <c r="C2082" s="37" t="s">
        <v>2348</v>
      </c>
      <c r="D2082" s="37" t="s">
        <v>2349</v>
      </c>
      <c r="E2082" s="212">
        <v>2.12</v>
      </c>
    </row>
    <row r="2083" spans="1:5" ht="14.25">
      <c r="A2083" s="37">
        <v>38093</v>
      </c>
      <c r="B2083" s="37" t="s">
        <v>22877</v>
      </c>
      <c r="C2083" s="37" t="s">
        <v>2348</v>
      </c>
      <c r="D2083" s="37" t="s">
        <v>2349</v>
      </c>
      <c r="E2083" s="212">
        <v>2.2000000000000002</v>
      </c>
    </row>
    <row r="2084" spans="1:5" ht="14.25">
      <c r="A2084" s="37">
        <v>38096</v>
      </c>
      <c r="B2084" s="37" t="s">
        <v>22878</v>
      </c>
      <c r="C2084" s="37" t="s">
        <v>2348</v>
      </c>
      <c r="D2084" s="37" t="s">
        <v>2349</v>
      </c>
      <c r="E2084" s="212">
        <v>5.0999999999999996</v>
      </c>
    </row>
    <row r="2085" spans="1:5" ht="14.25">
      <c r="A2085" s="37">
        <v>38094</v>
      </c>
      <c r="B2085" s="37" t="s">
        <v>22879</v>
      </c>
      <c r="C2085" s="37" t="s">
        <v>2348</v>
      </c>
      <c r="D2085" s="37" t="s">
        <v>2349</v>
      </c>
      <c r="E2085" s="212">
        <v>2.69</v>
      </c>
    </row>
    <row r="2086" spans="1:5" ht="14.25">
      <c r="A2086" s="37">
        <v>38097</v>
      </c>
      <c r="B2086" s="37" t="s">
        <v>22880</v>
      </c>
      <c r="C2086" s="37" t="s">
        <v>2348</v>
      </c>
      <c r="D2086" s="37" t="s">
        <v>2349</v>
      </c>
      <c r="E2086" s="212">
        <v>5.47</v>
      </c>
    </row>
    <row r="2087" spans="1:5" ht="14.25">
      <c r="A2087" s="37">
        <v>38098</v>
      </c>
      <c r="B2087" s="37" t="s">
        <v>22881</v>
      </c>
      <c r="C2087" s="37" t="s">
        <v>2348</v>
      </c>
      <c r="D2087" s="37" t="s">
        <v>2349</v>
      </c>
      <c r="E2087" s="212">
        <v>5.47</v>
      </c>
    </row>
    <row r="2088" spans="1:5" ht="14.25">
      <c r="A2088" s="37">
        <v>11186</v>
      </c>
      <c r="B2088" s="37" t="s">
        <v>22882</v>
      </c>
      <c r="C2088" s="37" t="s">
        <v>28761</v>
      </c>
      <c r="D2088" s="37" t="s">
        <v>2349</v>
      </c>
      <c r="E2088" s="212">
        <v>617.82000000000005</v>
      </c>
    </row>
    <row r="2089" spans="1:5" ht="14.25">
      <c r="A2089" s="37">
        <v>11558</v>
      </c>
      <c r="B2089" s="37" t="s">
        <v>22883</v>
      </c>
      <c r="C2089" s="37" t="s">
        <v>2382</v>
      </c>
      <c r="D2089" s="37" t="s">
        <v>2349</v>
      </c>
      <c r="E2089" s="212">
        <v>12.83</v>
      </c>
    </row>
    <row r="2090" spans="1:5" ht="14.25">
      <c r="A2090" s="37">
        <v>11557</v>
      </c>
      <c r="B2090" s="37" t="s">
        <v>22884</v>
      </c>
      <c r="C2090" s="37" t="s">
        <v>2382</v>
      </c>
      <c r="D2090" s="37" t="s">
        <v>2349</v>
      </c>
      <c r="E2090" s="212">
        <v>32.479999999999997</v>
      </c>
    </row>
    <row r="2091" spans="1:5" ht="14.25">
      <c r="A2091" s="37">
        <v>2759</v>
      </c>
      <c r="B2091" s="37" t="s">
        <v>22885</v>
      </c>
      <c r="C2091" s="37" t="s">
        <v>2348</v>
      </c>
      <c r="D2091" s="37" t="s">
        <v>2351</v>
      </c>
      <c r="E2091" s="212">
        <v>10.58</v>
      </c>
    </row>
    <row r="2092" spans="1:5" ht="14.25">
      <c r="A2092" s="37">
        <v>38124</v>
      </c>
      <c r="B2092" s="37" t="s">
        <v>22886</v>
      </c>
      <c r="C2092" s="37" t="s">
        <v>2348</v>
      </c>
      <c r="D2092" s="37" t="s">
        <v>2353</v>
      </c>
      <c r="E2092" s="212">
        <v>26.6</v>
      </c>
    </row>
    <row r="2093" spans="1:5" ht="14.25">
      <c r="A2093" s="37">
        <v>38380</v>
      </c>
      <c r="B2093" s="37" t="s">
        <v>22887</v>
      </c>
      <c r="C2093" s="37" t="s">
        <v>2348</v>
      </c>
      <c r="D2093" s="37" t="s">
        <v>2349</v>
      </c>
      <c r="E2093" s="212">
        <v>31.29</v>
      </c>
    </row>
    <row r="2094" spans="1:5" ht="14.25">
      <c r="A2094" s="37">
        <v>20059</v>
      </c>
      <c r="B2094" s="37" t="s">
        <v>22888</v>
      </c>
      <c r="C2094" s="37" t="s">
        <v>2348</v>
      </c>
      <c r="D2094" s="37" t="s">
        <v>2351</v>
      </c>
      <c r="E2094" s="212">
        <v>19.399999999999999</v>
      </c>
    </row>
    <row r="2095" spans="1:5" ht="14.25">
      <c r="A2095" s="37">
        <v>42429</v>
      </c>
      <c r="B2095" s="37" t="s">
        <v>22889</v>
      </c>
      <c r="C2095" s="37" t="s">
        <v>2348</v>
      </c>
      <c r="D2095" s="37" t="s">
        <v>2351</v>
      </c>
      <c r="E2095" s="213">
        <v>5290.2</v>
      </c>
    </row>
    <row r="2096" spans="1:5" ht="14.25">
      <c r="A2096" s="37">
        <v>39616</v>
      </c>
      <c r="B2096" s="37" t="s">
        <v>22890</v>
      </c>
      <c r="C2096" s="37" t="s">
        <v>2348</v>
      </c>
      <c r="D2096" s="37" t="s">
        <v>2351</v>
      </c>
      <c r="E2096" s="212">
        <v>494.23</v>
      </c>
    </row>
    <row r="2097" spans="1:5" ht="14.25">
      <c r="A2097" s="37">
        <v>39618</v>
      </c>
      <c r="B2097" s="37" t="s">
        <v>22891</v>
      </c>
      <c r="C2097" s="37" t="s">
        <v>2348</v>
      </c>
      <c r="D2097" s="37" t="s">
        <v>2351</v>
      </c>
      <c r="E2097" s="212">
        <v>896.45</v>
      </c>
    </row>
    <row r="2098" spans="1:5" ht="14.25">
      <c r="A2098" s="37">
        <v>39619</v>
      </c>
      <c r="B2098" s="37" t="s">
        <v>22892</v>
      </c>
      <c r="C2098" s="37" t="s">
        <v>2348</v>
      </c>
      <c r="D2098" s="37" t="s">
        <v>2351</v>
      </c>
      <c r="E2098" s="213">
        <v>1227.77</v>
      </c>
    </row>
    <row r="2099" spans="1:5" ht="14.25">
      <c r="A2099" s="37">
        <v>39613</v>
      </c>
      <c r="B2099" s="37" t="s">
        <v>22893</v>
      </c>
      <c r="C2099" s="37" t="s">
        <v>2348</v>
      </c>
      <c r="D2099" s="37" t="s">
        <v>2351</v>
      </c>
      <c r="E2099" s="212">
        <v>196.32</v>
      </c>
    </row>
    <row r="2100" spans="1:5" ht="14.25">
      <c r="A2100" s="37">
        <v>39614</v>
      </c>
      <c r="B2100" s="37" t="s">
        <v>22894</v>
      </c>
      <c r="C2100" s="37" t="s">
        <v>2348</v>
      </c>
      <c r="D2100" s="37" t="s">
        <v>2351</v>
      </c>
      <c r="E2100" s="212">
        <v>286.41000000000003</v>
      </c>
    </row>
    <row r="2101" spans="1:5" ht="14.25">
      <c r="A2101" s="37">
        <v>38538</v>
      </c>
      <c r="B2101" s="37" t="s">
        <v>22895</v>
      </c>
      <c r="C2101" s="37" t="s">
        <v>2355</v>
      </c>
      <c r="D2101" s="37" t="s">
        <v>2351</v>
      </c>
      <c r="E2101" s="212">
        <v>44.9</v>
      </c>
    </row>
    <row r="2102" spans="1:5" ht="14.25">
      <c r="A2102" s="37">
        <v>38539</v>
      </c>
      <c r="B2102" s="37" t="s">
        <v>22896</v>
      </c>
      <c r="C2102" s="37" t="s">
        <v>2355</v>
      </c>
      <c r="D2102" s="37" t="s">
        <v>2351</v>
      </c>
      <c r="E2102" s="212">
        <v>61.05</v>
      </c>
    </row>
    <row r="2103" spans="1:5" ht="14.25">
      <c r="A2103" s="37">
        <v>38540</v>
      </c>
      <c r="B2103" s="37" t="s">
        <v>22897</v>
      </c>
      <c r="C2103" s="37" t="s">
        <v>2355</v>
      </c>
      <c r="D2103" s="37" t="s">
        <v>2351</v>
      </c>
      <c r="E2103" s="212">
        <v>156.47</v>
      </c>
    </row>
    <row r="2104" spans="1:5" ht="14.25">
      <c r="A2104" s="37">
        <v>38384</v>
      </c>
      <c r="B2104" s="37" t="s">
        <v>22898</v>
      </c>
      <c r="C2104" s="37" t="s">
        <v>2348</v>
      </c>
      <c r="D2104" s="37" t="s">
        <v>2349</v>
      </c>
      <c r="E2104" s="212">
        <v>18.579999999999998</v>
      </c>
    </row>
    <row r="2105" spans="1:5" ht="14.25">
      <c r="A2105" s="37">
        <v>13</v>
      </c>
      <c r="B2105" s="37" t="s">
        <v>22899</v>
      </c>
      <c r="C2105" s="37" t="s">
        <v>2356</v>
      </c>
      <c r="D2105" s="37" t="s">
        <v>2349</v>
      </c>
      <c r="E2105" s="212">
        <v>11.62</v>
      </c>
    </row>
    <row r="2106" spans="1:5" ht="14.25">
      <c r="A2106" s="37">
        <v>2762</v>
      </c>
      <c r="B2106" s="37" t="s">
        <v>22900</v>
      </c>
      <c r="C2106" s="37" t="s">
        <v>2355</v>
      </c>
      <c r="D2106" s="37" t="s">
        <v>2351</v>
      </c>
      <c r="E2106" s="212">
        <v>13.22</v>
      </c>
    </row>
    <row r="2107" spans="1:5" ht="14.25">
      <c r="A2107" s="37">
        <v>21142</v>
      </c>
      <c r="B2107" s="37" t="s">
        <v>22901</v>
      </c>
      <c r="C2107" s="37" t="s">
        <v>2348</v>
      </c>
      <c r="D2107" s="37" t="s">
        <v>2349</v>
      </c>
      <c r="E2107" s="212">
        <v>41.01</v>
      </c>
    </row>
    <row r="2108" spans="1:5" ht="14.25">
      <c r="A2108" s="37">
        <v>4223</v>
      </c>
      <c r="B2108" s="37" t="s">
        <v>22902</v>
      </c>
      <c r="C2108" s="37" t="s">
        <v>2363</v>
      </c>
      <c r="D2108" s="37" t="s">
        <v>2353</v>
      </c>
      <c r="E2108" s="212">
        <v>5.9</v>
      </c>
    </row>
    <row r="2109" spans="1:5" ht="14.25">
      <c r="A2109" s="37">
        <v>37372</v>
      </c>
      <c r="B2109" s="37" t="s">
        <v>22903</v>
      </c>
      <c r="C2109" s="37" t="s">
        <v>2352</v>
      </c>
      <c r="D2109" s="37" t="s">
        <v>2353</v>
      </c>
      <c r="E2109" s="212">
        <v>0.81</v>
      </c>
    </row>
    <row r="2110" spans="1:5" ht="14.25">
      <c r="A2110" s="37">
        <v>40863</v>
      </c>
      <c r="B2110" s="37" t="s">
        <v>22904</v>
      </c>
      <c r="C2110" s="37" t="s">
        <v>2369</v>
      </c>
      <c r="D2110" s="37" t="s">
        <v>2353</v>
      </c>
      <c r="E2110" s="212">
        <v>152.35</v>
      </c>
    </row>
    <row r="2111" spans="1:5" ht="14.25">
      <c r="A2111" s="37">
        <v>38475</v>
      </c>
      <c r="B2111" s="37" t="s">
        <v>22905</v>
      </c>
      <c r="C2111" s="37" t="s">
        <v>2348</v>
      </c>
      <c r="D2111" s="37" t="s">
        <v>2349</v>
      </c>
      <c r="E2111" s="212">
        <v>27.52</v>
      </c>
    </row>
    <row r="2112" spans="1:5" ht="14.25">
      <c r="A2112" s="37">
        <v>38474</v>
      </c>
      <c r="B2112" s="37" t="s">
        <v>22906</v>
      </c>
      <c r="C2112" s="37" t="s">
        <v>2348</v>
      </c>
      <c r="D2112" s="37" t="s">
        <v>2349</v>
      </c>
      <c r="E2112" s="212">
        <v>34.020000000000003</v>
      </c>
    </row>
    <row r="2113" spans="1:5" ht="14.25">
      <c r="A2113" s="37">
        <v>10886</v>
      </c>
      <c r="B2113" s="37" t="s">
        <v>22907</v>
      </c>
      <c r="C2113" s="37" t="s">
        <v>2348</v>
      </c>
      <c r="D2113" s="37" t="s">
        <v>2349</v>
      </c>
      <c r="E2113" s="212">
        <v>192.5</v>
      </c>
    </row>
    <row r="2114" spans="1:5" ht="14.25">
      <c r="A2114" s="37">
        <v>10888</v>
      </c>
      <c r="B2114" s="37" t="s">
        <v>22908</v>
      </c>
      <c r="C2114" s="37" t="s">
        <v>2348</v>
      </c>
      <c r="D2114" s="37" t="s">
        <v>2349</v>
      </c>
      <c r="E2114" s="212">
        <v>609.23</v>
      </c>
    </row>
    <row r="2115" spans="1:5" ht="14.25">
      <c r="A2115" s="37">
        <v>10889</v>
      </c>
      <c r="B2115" s="37" t="s">
        <v>22909</v>
      </c>
      <c r="C2115" s="37" t="s">
        <v>2348</v>
      </c>
      <c r="D2115" s="37" t="s">
        <v>2349</v>
      </c>
      <c r="E2115" s="212">
        <v>660</v>
      </c>
    </row>
    <row r="2116" spans="1:5" ht="14.25">
      <c r="A2116" s="37">
        <v>10890</v>
      </c>
      <c r="B2116" s="37" t="s">
        <v>22910</v>
      </c>
      <c r="C2116" s="37" t="s">
        <v>2348</v>
      </c>
      <c r="D2116" s="37" t="s">
        <v>2349</v>
      </c>
      <c r="E2116" s="212">
        <v>304.61</v>
      </c>
    </row>
    <row r="2117" spans="1:5" ht="14.25">
      <c r="A2117" s="37">
        <v>10891</v>
      </c>
      <c r="B2117" s="37" t="s">
        <v>22911</v>
      </c>
      <c r="C2117" s="37" t="s">
        <v>2348</v>
      </c>
      <c r="D2117" s="37" t="s">
        <v>2349</v>
      </c>
      <c r="E2117" s="212">
        <v>186.15</v>
      </c>
    </row>
    <row r="2118" spans="1:5" ht="14.25">
      <c r="A2118" s="37">
        <v>10892</v>
      </c>
      <c r="B2118" s="37" t="s">
        <v>22912</v>
      </c>
      <c r="C2118" s="37" t="s">
        <v>2348</v>
      </c>
      <c r="D2118" s="37" t="s">
        <v>2353</v>
      </c>
      <c r="E2118" s="212">
        <v>220</v>
      </c>
    </row>
    <row r="2119" spans="1:5" ht="14.25">
      <c r="A2119" s="37">
        <v>20977</v>
      </c>
      <c r="B2119" s="37" t="s">
        <v>22913</v>
      </c>
      <c r="C2119" s="37" t="s">
        <v>2348</v>
      </c>
      <c r="D2119" s="37" t="s">
        <v>2349</v>
      </c>
      <c r="E2119" s="212">
        <v>262.3</v>
      </c>
    </row>
    <row r="2120" spans="1:5" ht="14.25">
      <c r="A2120" s="37">
        <v>3073</v>
      </c>
      <c r="B2120" s="37" t="s">
        <v>22914</v>
      </c>
      <c r="C2120" s="37" t="s">
        <v>2348</v>
      </c>
      <c r="D2120" s="37" t="s">
        <v>2351</v>
      </c>
      <c r="E2120" s="212">
        <v>257.92</v>
      </c>
    </row>
    <row r="2121" spans="1:5" ht="14.25">
      <c r="A2121" s="37">
        <v>3068</v>
      </c>
      <c r="B2121" s="37" t="s">
        <v>22915</v>
      </c>
      <c r="C2121" s="37" t="s">
        <v>2348</v>
      </c>
      <c r="D2121" s="37" t="s">
        <v>2351</v>
      </c>
      <c r="E2121" s="212">
        <v>51.56</v>
      </c>
    </row>
    <row r="2122" spans="1:5" ht="14.25">
      <c r="A2122" s="37">
        <v>3074</v>
      </c>
      <c r="B2122" s="37" t="s">
        <v>22916</v>
      </c>
      <c r="C2122" s="37" t="s">
        <v>2348</v>
      </c>
      <c r="D2122" s="37" t="s">
        <v>2351</v>
      </c>
      <c r="E2122" s="212">
        <v>162.83000000000001</v>
      </c>
    </row>
    <row r="2123" spans="1:5" ht="14.25">
      <c r="A2123" s="37">
        <v>3076</v>
      </c>
      <c r="B2123" s="37" t="s">
        <v>22917</v>
      </c>
      <c r="C2123" s="37" t="s">
        <v>2348</v>
      </c>
      <c r="D2123" s="37" t="s">
        <v>2351</v>
      </c>
      <c r="E2123" s="212">
        <v>212.04</v>
      </c>
    </row>
    <row r="2124" spans="1:5" ht="14.25">
      <c r="A2124" s="37">
        <v>3072</v>
      </c>
      <c r="B2124" s="37" t="s">
        <v>22918</v>
      </c>
      <c r="C2124" s="37" t="s">
        <v>2348</v>
      </c>
      <c r="D2124" s="37" t="s">
        <v>2351</v>
      </c>
      <c r="E2124" s="212">
        <v>53.42</v>
      </c>
    </row>
    <row r="2125" spans="1:5" ht="14.25">
      <c r="A2125" s="37">
        <v>3075</v>
      </c>
      <c r="B2125" s="37" t="s">
        <v>22919</v>
      </c>
      <c r="C2125" s="37" t="s">
        <v>2348</v>
      </c>
      <c r="D2125" s="37" t="s">
        <v>2351</v>
      </c>
      <c r="E2125" s="212">
        <v>133.99</v>
      </c>
    </row>
    <row r="2126" spans="1:5" ht="14.25">
      <c r="A2126" s="37">
        <v>10780</v>
      </c>
      <c r="B2126" s="37" t="s">
        <v>22920</v>
      </c>
      <c r="C2126" s="37" t="s">
        <v>2348</v>
      </c>
      <c r="D2126" s="37" t="s">
        <v>2351</v>
      </c>
      <c r="E2126" s="212">
        <v>11.32</v>
      </c>
    </row>
    <row r="2127" spans="1:5" ht="14.25">
      <c r="A2127" s="37">
        <v>10781</v>
      </c>
      <c r="B2127" s="37" t="s">
        <v>22921</v>
      </c>
      <c r="C2127" s="37" t="s">
        <v>2348</v>
      </c>
      <c r="D2127" s="37" t="s">
        <v>2351</v>
      </c>
      <c r="E2127" s="212">
        <v>18.170000000000002</v>
      </c>
    </row>
    <row r="2128" spans="1:5" ht="14.25">
      <c r="A2128" s="37">
        <v>20106</v>
      </c>
      <c r="B2128" s="37" t="s">
        <v>22922</v>
      </c>
      <c r="C2128" s="37" t="s">
        <v>2348</v>
      </c>
      <c r="D2128" s="37" t="s">
        <v>2351</v>
      </c>
      <c r="E2128" s="212">
        <v>5.99</v>
      </c>
    </row>
    <row r="2129" spans="1:5" ht="14.25">
      <c r="A2129" s="37">
        <v>20107</v>
      </c>
      <c r="B2129" s="37" t="s">
        <v>22923</v>
      </c>
      <c r="C2129" s="37" t="s">
        <v>2348</v>
      </c>
      <c r="D2129" s="37" t="s">
        <v>2351</v>
      </c>
      <c r="E2129" s="212">
        <v>6.86</v>
      </c>
    </row>
    <row r="2130" spans="1:5" ht="14.25">
      <c r="A2130" s="37">
        <v>20108</v>
      </c>
      <c r="B2130" s="37" t="s">
        <v>22924</v>
      </c>
      <c r="C2130" s="37" t="s">
        <v>2348</v>
      </c>
      <c r="D2130" s="37" t="s">
        <v>2351</v>
      </c>
      <c r="E2130" s="212">
        <v>9.0500000000000007</v>
      </c>
    </row>
    <row r="2131" spans="1:5" ht="14.25">
      <c r="A2131" s="37">
        <v>20109</v>
      </c>
      <c r="B2131" s="37" t="s">
        <v>22925</v>
      </c>
      <c r="C2131" s="37" t="s">
        <v>2348</v>
      </c>
      <c r="D2131" s="37" t="s">
        <v>2351</v>
      </c>
      <c r="E2131" s="212">
        <v>11.32</v>
      </c>
    </row>
    <row r="2132" spans="1:5" ht="14.25">
      <c r="A2132" s="37">
        <v>43612</v>
      </c>
      <c r="B2132" s="37" t="s">
        <v>22926</v>
      </c>
      <c r="C2132" s="37" t="s">
        <v>2440</v>
      </c>
      <c r="D2132" s="37" t="s">
        <v>2349</v>
      </c>
      <c r="E2132" s="212">
        <v>78.17</v>
      </c>
    </row>
    <row r="2133" spans="1:5" ht="14.25">
      <c r="A2133" s="37">
        <v>43613</v>
      </c>
      <c r="B2133" s="37" t="s">
        <v>22927</v>
      </c>
      <c r="C2133" s="37" t="s">
        <v>2440</v>
      </c>
      <c r="D2133" s="37" t="s">
        <v>2349</v>
      </c>
      <c r="E2133" s="212">
        <v>64.72</v>
      </c>
    </row>
    <row r="2134" spans="1:5" ht="14.25">
      <c r="A2134" s="37">
        <v>11480</v>
      </c>
      <c r="B2134" s="37" t="s">
        <v>22928</v>
      </c>
      <c r="C2134" s="37" t="s">
        <v>2440</v>
      </c>
      <c r="D2134" s="37" t="s">
        <v>2349</v>
      </c>
      <c r="E2134" s="212">
        <v>99.32</v>
      </c>
    </row>
    <row r="2135" spans="1:5" ht="14.25">
      <c r="A2135" s="37">
        <v>11469</v>
      </c>
      <c r="B2135" s="37" t="s">
        <v>22929</v>
      </c>
      <c r="C2135" s="37" t="s">
        <v>2348</v>
      </c>
      <c r="D2135" s="37" t="s">
        <v>2349</v>
      </c>
      <c r="E2135" s="212">
        <v>10.6</v>
      </c>
    </row>
    <row r="2136" spans="1:5" ht="14.25">
      <c r="A2136" s="37">
        <v>11468</v>
      </c>
      <c r="B2136" s="37" t="s">
        <v>22930</v>
      </c>
      <c r="C2136" s="37" t="s">
        <v>2348</v>
      </c>
      <c r="D2136" s="37" t="s">
        <v>2349</v>
      </c>
      <c r="E2136" s="212">
        <v>10.61</v>
      </c>
    </row>
    <row r="2137" spans="1:5" ht="14.25">
      <c r="A2137" s="37">
        <v>11484</v>
      </c>
      <c r="B2137" s="37" t="s">
        <v>22931</v>
      </c>
      <c r="C2137" s="37" t="s">
        <v>2348</v>
      </c>
      <c r="D2137" s="37" t="s">
        <v>2349</v>
      </c>
      <c r="E2137" s="212">
        <v>46.59</v>
      </c>
    </row>
    <row r="2138" spans="1:5" ht="14.25">
      <c r="A2138" s="37">
        <v>38155</v>
      </c>
      <c r="B2138" s="37" t="s">
        <v>22932</v>
      </c>
      <c r="C2138" s="37" t="s">
        <v>2348</v>
      </c>
      <c r="D2138" s="37" t="s">
        <v>2349</v>
      </c>
      <c r="E2138" s="212">
        <v>72.34</v>
      </c>
    </row>
    <row r="2139" spans="1:5" ht="14.25">
      <c r="A2139" s="37">
        <v>11467</v>
      </c>
      <c r="B2139" s="37" t="s">
        <v>22933</v>
      </c>
      <c r="C2139" s="37" t="s">
        <v>2348</v>
      </c>
      <c r="D2139" s="37" t="s">
        <v>2349</v>
      </c>
      <c r="E2139" s="212">
        <v>16.53</v>
      </c>
    </row>
    <row r="2140" spans="1:5" ht="14.25">
      <c r="A2140" s="37">
        <v>38153</v>
      </c>
      <c r="B2140" s="37" t="s">
        <v>22934</v>
      </c>
      <c r="C2140" s="37" t="s">
        <v>2440</v>
      </c>
      <c r="D2140" s="37" t="s">
        <v>2349</v>
      </c>
      <c r="E2140" s="212">
        <v>42.22</v>
      </c>
    </row>
    <row r="2141" spans="1:5" ht="14.25">
      <c r="A2141" s="37">
        <v>43607</v>
      </c>
      <c r="B2141" s="37" t="s">
        <v>22935</v>
      </c>
      <c r="C2141" s="37" t="s">
        <v>2440</v>
      </c>
      <c r="D2141" s="37" t="s">
        <v>2349</v>
      </c>
      <c r="E2141" s="212">
        <v>79.87</v>
      </c>
    </row>
    <row r="2142" spans="1:5" ht="14.25">
      <c r="A2142" s="37">
        <v>3080</v>
      </c>
      <c r="B2142" s="37" t="s">
        <v>22936</v>
      </c>
      <c r="C2142" s="37" t="s">
        <v>2440</v>
      </c>
      <c r="D2142" s="37" t="s">
        <v>2353</v>
      </c>
      <c r="E2142" s="212">
        <v>53.7</v>
      </c>
    </row>
    <row r="2143" spans="1:5" ht="14.25">
      <c r="A2143" s="37">
        <v>3081</v>
      </c>
      <c r="B2143" s="37" t="s">
        <v>22937</v>
      </c>
      <c r="C2143" s="37" t="s">
        <v>2440</v>
      </c>
      <c r="D2143" s="37" t="s">
        <v>2349</v>
      </c>
      <c r="E2143" s="212">
        <v>106.24</v>
      </c>
    </row>
    <row r="2144" spans="1:5" ht="14.25">
      <c r="A2144" s="37">
        <v>3090</v>
      </c>
      <c r="B2144" s="37" t="s">
        <v>22938</v>
      </c>
      <c r="C2144" s="37" t="s">
        <v>2440</v>
      </c>
      <c r="D2144" s="37" t="s">
        <v>2349</v>
      </c>
      <c r="E2144" s="212">
        <v>47.93</v>
      </c>
    </row>
    <row r="2145" spans="1:5" ht="14.25">
      <c r="A2145" s="37">
        <v>43611</v>
      </c>
      <c r="B2145" s="37" t="s">
        <v>22939</v>
      </c>
      <c r="C2145" s="37" t="s">
        <v>2440</v>
      </c>
      <c r="D2145" s="37" t="s">
        <v>2349</v>
      </c>
      <c r="E2145" s="212">
        <v>79.53</v>
      </c>
    </row>
    <row r="2146" spans="1:5" ht="14.25">
      <c r="A2146" s="37">
        <v>3103</v>
      </c>
      <c r="B2146" s="37" t="s">
        <v>22940</v>
      </c>
      <c r="C2146" s="37" t="s">
        <v>2348</v>
      </c>
      <c r="D2146" s="37" t="s">
        <v>2349</v>
      </c>
      <c r="E2146" s="212">
        <v>39.74</v>
      </c>
    </row>
    <row r="2147" spans="1:5" ht="14.25">
      <c r="A2147" s="37">
        <v>3097</v>
      </c>
      <c r="B2147" s="37" t="s">
        <v>22941</v>
      </c>
      <c r="C2147" s="37" t="s">
        <v>2440</v>
      </c>
      <c r="D2147" s="37" t="s">
        <v>2349</v>
      </c>
      <c r="E2147" s="212">
        <v>60.12</v>
      </c>
    </row>
    <row r="2148" spans="1:5" ht="14.25">
      <c r="A2148" s="37">
        <v>3099</v>
      </c>
      <c r="B2148" s="37" t="s">
        <v>22942</v>
      </c>
      <c r="C2148" s="37" t="s">
        <v>2440</v>
      </c>
      <c r="D2148" s="37" t="s">
        <v>2349</v>
      </c>
      <c r="E2148" s="212">
        <v>96.27</v>
      </c>
    </row>
    <row r="2149" spans="1:5" ht="14.25">
      <c r="A2149" s="37">
        <v>38151</v>
      </c>
      <c r="B2149" s="37" t="s">
        <v>22943</v>
      </c>
      <c r="C2149" s="37" t="s">
        <v>2440</v>
      </c>
      <c r="D2149" s="37" t="s">
        <v>2349</v>
      </c>
      <c r="E2149" s="212">
        <v>69.790000000000006</v>
      </c>
    </row>
    <row r="2150" spans="1:5" ht="14.25">
      <c r="A2150" s="37">
        <v>38152</v>
      </c>
      <c r="B2150" s="37" t="s">
        <v>22944</v>
      </c>
      <c r="C2150" s="37" t="s">
        <v>2440</v>
      </c>
      <c r="D2150" s="37" t="s">
        <v>2349</v>
      </c>
      <c r="E2150" s="212">
        <v>112.59</v>
      </c>
    </row>
    <row r="2151" spans="1:5" ht="14.25">
      <c r="A2151" s="37">
        <v>43610</v>
      </c>
      <c r="B2151" s="37" t="s">
        <v>22945</v>
      </c>
      <c r="C2151" s="37" t="s">
        <v>2440</v>
      </c>
      <c r="D2151" s="37" t="s">
        <v>2349</v>
      </c>
      <c r="E2151" s="212">
        <v>59.65</v>
      </c>
    </row>
    <row r="2152" spans="1:5" ht="14.25">
      <c r="A2152" s="37">
        <v>3093</v>
      </c>
      <c r="B2152" s="37" t="s">
        <v>22946</v>
      </c>
      <c r="C2152" s="37" t="s">
        <v>2440</v>
      </c>
      <c r="D2152" s="37" t="s">
        <v>2349</v>
      </c>
      <c r="E2152" s="212">
        <v>96.27</v>
      </c>
    </row>
    <row r="2153" spans="1:5" ht="14.25">
      <c r="A2153" s="37">
        <v>38165</v>
      </c>
      <c r="B2153" s="37" t="s">
        <v>22947</v>
      </c>
      <c r="C2153" s="37" t="s">
        <v>2440</v>
      </c>
      <c r="D2153" s="37" t="s">
        <v>2349</v>
      </c>
      <c r="E2153" s="212">
        <v>61.73</v>
      </c>
    </row>
    <row r="2154" spans="1:5" ht="14.25">
      <c r="A2154" s="37">
        <v>38177</v>
      </c>
      <c r="B2154" s="37" t="s">
        <v>22948</v>
      </c>
      <c r="C2154" s="37" t="s">
        <v>2348</v>
      </c>
      <c r="D2154" s="37" t="s">
        <v>2349</v>
      </c>
      <c r="E2154" s="212">
        <v>18.34</v>
      </c>
    </row>
    <row r="2155" spans="1:5" ht="14.25">
      <c r="A2155" s="37">
        <v>11458</v>
      </c>
      <c r="B2155" s="37" t="s">
        <v>22949</v>
      </c>
      <c r="C2155" s="37" t="s">
        <v>2348</v>
      </c>
      <c r="D2155" s="37" t="s">
        <v>2349</v>
      </c>
      <c r="E2155" s="212">
        <v>21.9</v>
      </c>
    </row>
    <row r="2156" spans="1:5" ht="14.25">
      <c r="A2156" s="37">
        <v>3108</v>
      </c>
      <c r="B2156" s="37" t="s">
        <v>22950</v>
      </c>
      <c r="C2156" s="37" t="s">
        <v>2348</v>
      </c>
      <c r="D2156" s="37" t="s">
        <v>2349</v>
      </c>
      <c r="E2156" s="212">
        <v>93.09</v>
      </c>
    </row>
    <row r="2157" spans="1:5" ht="14.25">
      <c r="A2157" s="37">
        <v>3105</v>
      </c>
      <c r="B2157" s="37" t="s">
        <v>22951</v>
      </c>
      <c r="C2157" s="37" t="s">
        <v>2348</v>
      </c>
      <c r="D2157" s="37" t="s">
        <v>2349</v>
      </c>
      <c r="E2157" s="212">
        <v>121.76</v>
      </c>
    </row>
    <row r="2158" spans="1:5" ht="14.25">
      <c r="A2158" s="37">
        <v>38178</v>
      </c>
      <c r="B2158" s="37" t="s">
        <v>22952</v>
      </c>
      <c r="C2158" s="37" t="s">
        <v>2348</v>
      </c>
      <c r="D2158" s="37" t="s">
        <v>2349</v>
      </c>
      <c r="E2158" s="212">
        <v>20.18</v>
      </c>
    </row>
    <row r="2159" spans="1:5" ht="14.25">
      <c r="A2159" s="37">
        <v>43575</v>
      </c>
      <c r="B2159" s="37" t="s">
        <v>22953</v>
      </c>
      <c r="C2159" s="37" t="s">
        <v>2348</v>
      </c>
      <c r="D2159" s="37" t="s">
        <v>2349</v>
      </c>
      <c r="E2159" s="212">
        <v>43.73</v>
      </c>
    </row>
    <row r="2160" spans="1:5" ht="14.25">
      <c r="A2160" s="37">
        <v>43577</v>
      </c>
      <c r="B2160" s="37" t="s">
        <v>22954</v>
      </c>
      <c r="C2160" s="37" t="s">
        <v>2348</v>
      </c>
      <c r="D2160" s="37" t="s">
        <v>2349</v>
      </c>
      <c r="E2160" s="212">
        <v>76.02</v>
      </c>
    </row>
    <row r="2161" spans="1:5" ht="14.25">
      <c r="A2161" s="37">
        <v>43458</v>
      </c>
      <c r="B2161" s="37" t="s">
        <v>22955</v>
      </c>
      <c r="C2161" s="37" t="s">
        <v>2352</v>
      </c>
      <c r="D2161" s="37" t="s">
        <v>2353</v>
      </c>
      <c r="E2161" s="212">
        <v>0.05</v>
      </c>
    </row>
    <row r="2162" spans="1:5" ht="14.25">
      <c r="A2162" s="37">
        <v>43470</v>
      </c>
      <c r="B2162" s="37" t="s">
        <v>22956</v>
      </c>
      <c r="C2162" s="37" t="s">
        <v>2369</v>
      </c>
      <c r="D2162" s="37" t="s">
        <v>2353</v>
      </c>
      <c r="E2162" s="212">
        <v>9.2100000000000009</v>
      </c>
    </row>
    <row r="2163" spans="1:5" ht="14.25">
      <c r="A2163" s="37">
        <v>43459</v>
      </c>
      <c r="B2163" s="37" t="s">
        <v>22957</v>
      </c>
      <c r="C2163" s="37" t="s">
        <v>2352</v>
      </c>
      <c r="D2163" s="37" t="s">
        <v>2353</v>
      </c>
      <c r="E2163" s="212">
        <v>0.45</v>
      </c>
    </row>
    <row r="2164" spans="1:5" ht="14.25">
      <c r="A2164" s="37">
        <v>43471</v>
      </c>
      <c r="B2164" s="37" t="s">
        <v>22958</v>
      </c>
      <c r="C2164" s="37" t="s">
        <v>2369</v>
      </c>
      <c r="D2164" s="37" t="s">
        <v>2353</v>
      </c>
      <c r="E2164" s="212">
        <v>84.46</v>
      </c>
    </row>
    <row r="2165" spans="1:5" ht="14.25">
      <c r="A2165" s="37">
        <v>43460</v>
      </c>
      <c r="B2165" s="37" t="s">
        <v>22959</v>
      </c>
      <c r="C2165" s="37" t="s">
        <v>2352</v>
      </c>
      <c r="D2165" s="37" t="s">
        <v>2353</v>
      </c>
      <c r="E2165" s="212">
        <v>0.78</v>
      </c>
    </row>
    <row r="2166" spans="1:5" ht="14.25">
      <c r="A2166" s="37">
        <v>43472</v>
      </c>
      <c r="B2166" s="37" t="s">
        <v>22960</v>
      </c>
      <c r="C2166" s="37" t="s">
        <v>2369</v>
      </c>
      <c r="D2166" s="37" t="s">
        <v>2353</v>
      </c>
      <c r="E2166" s="212">
        <v>147.22999999999999</v>
      </c>
    </row>
    <row r="2167" spans="1:5" ht="14.25">
      <c r="A2167" s="37">
        <v>43461</v>
      </c>
      <c r="B2167" s="37" t="s">
        <v>22961</v>
      </c>
      <c r="C2167" s="37" t="s">
        <v>2352</v>
      </c>
      <c r="D2167" s="37" t="s">
        <v>2353</v>
      </c>
      <c r="E2167" s="212">
        <v>0.32</v>
      </c>
    </row>
    <row r="2168" spans="1:5" ht="14.25">
      <c r="A2168" s="37">
        <v>43473</v>
      </c>
      <c r="B2168" s="37" t="s">
        <v>22962</v>
      </c>
      <c r="C2168" s="37" t="s">
        <v>2369</v>
      </c>
      <c r="D2168" s="37" t="s">
        <v>2353</v>
      </c>
      <c r="E2168" s="212">
        <v>60.93</v>
      </c>
    </row>
    <row r="2169" spans="1:5" ht="14.25">
      <c r="A2169" s="37">
        <v>43463</v>
      </c>
      <c r="B2169" s="37" t="s">
        <v>22963</v>
      </c>
      <c r="C2169" s="37" t="s">
        <v>2352</v>
      </c>
      <c r="D2169" s="37" t="s">
        <v>2353</v>
      </c>
      <c r="E2169" s="212">
        <v>0.1</v>
      </c>
    </row>
    <row r="2170" spans="1:5" ht="14.25">
      <c r="A2170" s="37">
        <v>43475</v>
      </c>
      <c r="B2170" s="37" t="s">
        <v>22964</v>
      </c>
      <c r="C2170" s="37" t="s">
        <v>2369</v>
      </c>
      <c r="D2170" s="37" t="s">
        <v>2353</v>
      </c>
      <c r="E2170" s="212">
        <v>18.579999999999998</v>
      </c>
    </row>
    <row r="2171" spans="1:5" ht="14.25">
      <c r="A2171" s="37">
        <v>43462</v>
      </c>
      <c r="B2171" s="37" t="s">
        <v>22965</v>
      </c>
      <c r="C2171" s="37" t="s">
        <v>2352</v>
      </c>
      <c r="D2171" s="37" t="s">
        <v>2353</v>
      </c>
      <c r="E2171" s="212">
        <v>0.01</v>
      </c>
    </row>
    <row r="2172" spans="1:5" ht="14.25">
      <c r="A2172" s="37">
        <v>43474</v>
      </c>
      <c r="B2172" s="37" t="s">
        <v>22966</v>
      </c>
      <c r="C2172" s="37" t="s">
        <v>2369</v>
      </c>
      <c r="D2172" s="37" t="s">
        <v>2353</v>
      </c>
      <c r="E2172" s="212">
        <v>1.9</v>
      </c>
    </row>
    <row r="2173" spans="1:5" ht="14.25">
      <c r="A2173" s="37">
        <v>43464</v>
      </c>
      <c r="B2173" s="37" t="s">
        <v>22967</v>
      </c>
      <c r="C2173" s="37" t="s">
        <v>2352</v>
      </c>
      <c r="D2173" s="37" t="s">
        <v>2353</v>
      </c>
      <c r="E2173" s="212">
        <v>0.01</v>
      </c>
    </row>
    <row r="2174" spans="1:5" ht="14.25">
      <c r="A2174" s="37">
        <v>43476</v>
      </c>
      <c r="B2174" s="37" t="s">
        <v>22968</v>
      </c>
      <c r="C2174" s="37" t="s">
        <v>2369</v>
      </c>
      <c r="D2174" s="37" t="s">
        <v>2353</v>
      </c>
      <c r="E2174" s="212">
        <v>0.01</v>
      </c>
    </row>
    <row r="2175" spans="1:5" ht="14.25">
      <c r="A2175" s="37">
        <v>43465</v>
      </c>
      <c r="B2175" s="37" t="s">
        <v>22969</v>
      </c>
      <c r="C2175" s="37" t="s">
        <v>2352</v>
      </c>
      <c r="D2175" s="37" t="s">
        <v>2353</v>
      </c>
      <c r="E2175" s="212">
        <v>0.74</v>
      </c>
    </row>
    <row r="2176" spans="1:5" ht="14.25">
      <c r="A2176" s="37">
        <v>43477</v>
      </c>
      <c r="B2176" s="37" t="s">
        <v>22970</v>
      </c>
      <c r="C2176" s="37" t="s">
        <v>2369</v>
      </c>
      <c r="D2176" s="37" t="s">
        <v>2353</v>
      </c>
      <c r="E2176" s="212">
        <v>139.44</v>
      </c>
    </row>
    <row r="2177" spans="1:5" ht="14.25">
      <c r="A2177" s="37">
        <v>43466</v>
      </c>
      <c r="B2177" s="37" t="s">
        <v>22971</v>
      </c>
      <c r="C2177" s="37" t="s">
        <v>2352</v>
      </c>
      <c r="D2177" s="37" t="s">
        <v>2353</v>
      </c>
      <c r="E2177" s="212">
        <v>1.48</v>
      </c>
    </row>
    <row r="2178" spans="1:5" ht="14.25">
      <c r="A2178" s="37">
        <v>43478</v>
      </c>
      <c r="B2178" s="37" t="s">
        <v>22972</v>
      </c>
      <c r="C2178" s="37" t="s">
        <v>2369</v>
      </c>
      <c r="D2178" s="37" t="s">
        <v>2353</v>
      </c>
      <c r="E2178" s="212">
        <v>279.08999999999997</v>
      </c>
    </row>
    <row r="2179" spans="1:5" ht="14.25">
      <c r="A2179" s="37">
        <v>43467</v>
      </c>
      <c r="B2179" s="37" t="s">
        <v>22973</v>
      </c>
      <c r="C2179" s="37" t="s">
        <v>2352</v>
      </c>
      <c r="D2179" s="37" t="s">
        <v>2353</v>
      </c>
      <c r="E2179" s="212">
        <v>0.56000000000000005</v>
      </c>
    </row>
    <row r="2180" spans="1:5" ht="14.25">
      <c r="A2180" s="37">
        <v>43479</v>
      </c>
      <c r="B2180" s="37" t="s">
        <v>22974</v>
      </c>
      <c r="C2180" s="37" t="s">
        <v>2369</v>
      </c>
      <c r="D2180" s="37" t="s">
        <v>2353</v>
      </c>
      <c r="E2180" s="212">
        <v>106.33</v>
      </c>
    </row>
    <row r="2181" spans="1:5" ht="14.25">
      <c r="A2181" s="37">
        <v>43468</v>
      </c>
      <c r="B2181" s="37" t="s">
        <v>22975</v>
      </c>
      <c r="C2181" s="37" t="s">
        <v>2352</v>
      </c>
      <c r="D2181" s="37" t="s">
        <v>2353</v>
      </c>
      <c r="E2181" s="212">
        <v>1.07</v>
      </c>
    </row>
    <row r="2182" spans="1:5" ht="14.25">
      <c r="A2182" s="37">
        <v>43480</v>
      </c>
      <c r="B2182" s="37" t="s">
        <v>22976</v>
      </c>
      <c r="C2182" s="37" t="s">
        <v>2369</v>
      </c>
      <c r="D2182" s="37" t="s">
        <v>2353</v>
      </c>
      <c r="E2182" s="212">
        <v>201.56</v>
      </c>
    </row>
    <row r="2183" spans="1:5" ht="14.25">
      <c r="A2183" s="37">
        <v>43469</v>
      </c>
      <c r="B2183" s="37" t="s">
        <v>22977</v>
      </c>
      <c r="C2183" s="37" t="s">
        <v>2352</v>
      </c>
      <c r="D2183" s="37" t="s">
        <v>2353</v>
      </c>
      <c r="E2183" s="212">
        <v>7.0000000000000007E-2</v>
      </c>
    </row>
    <row r="2184" spans="1:5" ht="14.25">
      <c r="A2184" s="37">
        <v>43481</v>
      </c>
      <c r="B2184" s="37" t="s">
        <v>22978</v>
      </c>
      <c r="C2184" s="37" t="s">
        <v>2369</v>
      </c>
      <c r="D2184" s="37" t="s">
        <v>2353</v>
      </c>
      <c r="E2184" s="212">
        <v>13.21</v>
      </c>
    </row>
    <row r="2185" spans="1:5" ht="14.25">
      <c r="A2185" s="37">
        <v>3119</v>
      </c>
      <c r="B2185" s="37" t="s">
        <v>22979</v>
      </c>
      <c r="C2185" s="37" t="s">
        <v>2348</v>
      </c>
      <c r="D2185" s="37" t="s">
        <v>2349</v>
      </c>
      <c r="E2185" s="212">
        <v>2.37</v>
      </c>
    </row>
    <row r="2186" spans="1:5" ht="14.25">
      <c r="A2186" s="37">
        <v>3122</v>
      </c>
      <c r="B2186" s="37" t="s">
        <v>22980</v>
      </c>
      <c r="C2186" s="37" t="s">
        <v>2348</v>
      </c>
      <c r="D2186" s="37" t="s">
        <v>2349</v>
      </c>
      <c r="E2186" s="212">
        <v>4.82</v>
      </c>
    </row>
    <row r="2187" spans="1:5" ht="14.25">
      <c r="A2187" s="37">
        <v>3121</v>
      </c>
      <c r="B2187" s="37" t="s">
        <v>22981</v>
      </c>
      <c r="C2187" s="37" t="s">
        <v>2348</v>
      </c>
      <c r="D2187" s="37" t="s">
        <v>2349</v>
      </c>
      <c r="E2187" s="212">
        <v>5.47</v>
      </c>
    </row>
    <row r="2188" spans="1:5" ht="14.25">
      <c r="A2188" s="37">
        <v>3120</v>
      </c>
      <c r="B2188" s="37" t="s">
        <v>22982</v>
      </c>
      <c r="C2188" s="37" t="s">
        <v>2348</v>
      </c>
      <c r="D2188" s="37" t="s">
        <v>2349</v>
      </c>
      <c r="E2188" s="212">
        <v>10.36</v>
      </c>
    </row>
    <row r="2189" spans="1:5" ht="14.25">
      <c r="A2189" s="37">
        <v>11455</v>
      </c>
      <c r="B2189" s="37" t="s">
        <v>22983</v>
      </c>
      <c r="C2189" s="37" t="s">
        <v>2348</v>
      </c>
      <c r="D2189" s="37" t="s">
        <v>2349</v>
      </c>
      <c r="E2189" s="212">
        <v>14.99</v>
      </c>
    </row>
    <row r="2190" spans="1:5" ht="14.25">
      <c r="A2190" s="37">
        <v>11456</v>
      </c>
      <c r="B2190" s="37" t="s">
        <v>22984</v>
      </c>
      <c r="C2190" s="37" t="s">
        <v>2348</v>
      </c>
      <c r="D2190" s="37" t="s">
        <v>2349</v>
      </c>
      <c r="E2190" s="212">
        <v>17.920000000000002</v>
      </c>
    </row>
    <row r="2191" spans="1:5" ht="14.25">
      <c r="A2191" s="37">
        <v>3107</v>
      </c>
      <c r="B2191" s="37" t="s">
        <v>22985</v>
      </c>
      <c r="C2191" s="37" t="s">
        <v>2348</v>
      </c>
      <c r="D2191" s="37" t="s">
        <v>2349</v>
      </c>
      <c r="E2191" s="212">
        <v>7.56</v>
      </c>
    </row>
    <row r="2192" spans="1:5" ht="14.25">
      <c r="A2192" s="37">
        <v>43583</v>
      </c>
      <c r="B2192" s="37" t="s">
        <v>22986</v>
      </c>
      <c r="C2192" s="37" t="s">
        <v>2348</v>
      </c>
      <c r="D2192" s="37" t="s">
        <v>2349</v>
      </c>
      <c r="E2192" s="212">
        <v>8.52</v>
      </c>
    </row>
    <row r="2193" spans="1:5" ht="14.25">
      <c r="A2193" s="37">
        <v>43586</v>
      </c>
      <c r="B2193" s="37" t="s">
        <v>22987</v>
      </c>
      <c r="C2193" s="37" t="s">
        <v>2348</v>
      </c>
      <c r="D2193" s="37" t="s">
        <v>2349</v>
      </c>
      <c r="E2193" s="212">
        <v>8.73</v>
      </c>
    </row>
    <row r="2194" spans="1:5" ht="14.25">
      <c r="A2194" s="37">
        <v>11461</v>
      </c>
      <c r="B2194" s="37" t="s">
        <v>22988</v>
      </c>
      <c r="C2194" s="37" t="s">
        <v>2348</v>
      </c>
      <c r="D2194" s="37" t="s">
        <v>2349</v>
      </c>
      <c r="E2194" s="212">
        <v>9.52</v>
      </c>
    </row>
    <row r="2195" spans="1:5" ht="14.25">
      <c r="A2195" s="37">
        <v>43587</v>
      </c>
      <c r="B2195" s="37" t="s">
        <v>22989</v>
      </c>
      <c r="C2195" s="37" t="s">
        <v>2348</v>
      </c>
      <c r="D2195" s="37" t="s">
        <v>2349</v>
      </c>
      <c r="E2195" s="212">
        <v>10.98</v>
      </c>
    </row>
    <row r="2196" spans="1:5" ht="14.25">
      <c r="A2196" s="37">
        <v>3106</v>
      </c>
      <c r="B2196" s="37" t="s">
        <v>22990</v>
      </c>
      <c r="C2196" s="37" t="s">
        <v>2348</v>
      </c>
      <c r="D2196" s="37" t="s">
        <v>2349</v>
      </c>
      <c r="E2196" s="212">
        <v>13.94</v>
      </c>
    </row>
    <row r="2197" spans="1:5" ht="14.25">
      <c r="A2197" s="37">
        <v>44539</v>
      </c>
      <c r="B2197" s="37" t="s">
        <v>27986</v>
      </c>
      <c r="C2197" s="37" t="s">
        <v>2356</v>
      </c>
      <c r="D2197" s="37" t="s">
        <v>2349</v>
      </c>
      <c r="E2197" s="212">
        <v>3.27</v>
      </c>
    </row>
    <row r="2198" spans="1:5" ht="14.25">
      <c r="A2198" s="37">
        <v>3123</v>
      </c>
      <c r="B2198" s="37" t="s">
        <v>22991</v>
      </c>
      <c r="C2198" s="37" t="s">
        <v>2356</v>
      </c>
      <c r="D2198" s="37" t="s">
        <v>2353</v>
      </c>
      <c r="E2198" s="212">
        <v>3.05</v>
      </c>
    </row>
    <row r="2199" spans="1:5" ht="14.25">
      <c r="A2199" s="37">
        <v>38125</v>
      </c>
      <c r="B2199" s="37" t="s">
        <v>22992</v>
      </c>
      <c r="C2199" s="37" t="s">
        <v>2356</v>
      </c>
      <c r="D2199" s="37" t="s">
        <v>2349</v>
      </c>
      <c r="E2199" s="212">
        <v>1.1599999999999999</v>
      </c>
    </row>
    <row r="2200" spans="1:5" ht="14.25">
      <c r="A2200" s="37">
        <v>39014</v>
      </c>
      <c r="B2200" s="37" t="s">
        <v>22993</v>
      </c>
      <c r="C2200" s="37" t="s">
        <v>2356</v>
      </c>
      <c r="D2200" s="37" t="s">
        <v>2351</v>
      </c>
      <c r="E2200" s="212">
        <v>9.68</v>
      </c>
    </row>
    <row r="2201" spans="1:5" ht="14.25">
      <c r="A2201" s="37">
        <v>39365</v>
      </c>
      <c r="B2201" s="37" t="s">
        <v>22994</v>
      </c>
      <c r="C2201" s="37" t="s">
        <v>2348</v>
      </c>
      <c r="D2201" s="37" t="s">
        <v>2349</v>
      </c>
      <c r="E2201" s="213">
        <v>1290.47</v>
      </c>
    </row>
    <row r="2202" spans="1:5" ht="14.25">
      <c r="A2202" s="37">
        <v>39366</v>
      </c>
      <c r="B2202" s="37" t="s">
        <v>22995</v>
      </c>
      <c r="C2202" s="37" t="s">
        <v>2348</v>
      </c>
      <c r="D2202" s="37" t="s">
        <v>2349</v>
      </c>
      <c r="E2202" s="213">
        <v>3304.16</v>
      </c>
    </row>
    <row r="2203" spans="1:5" ht="14.25">
      <c r="A2203" s="37">
        <v>39367</v>
      </c>
      <c r="B2203" s="37" t="s">
        <v>22996</v>
      </c>
      <c r="C2203" s="37" t="s">
        <v>2348</v>
      </c>
      <c r="D2203" s="37" t="s">
        <v>2349</v>
      </c>
      <c r="E2203" s="213">
        <v>4516.1899999999996</v>
      </c>
    </row>
    <row r="2204" spans="1:5" ht="14.25">
      <c r="A2204" s="37">
        <v>37394</v>
      </c>
      <c r="B2204" s="37" t="s">
        <v>22997</v>
      </c>
      <c r="C2204" s="37" t="s">
        <v>2465</v>
      </c>
      <c r="D2204" s="37" t="s">
        <v>2351</v>
      </c>
      <c r="E2204" s="212">
        <v>42.13</v>
      </c>
    </row>
    <row r="2205" spans="1:5" ht="14.25">
      <c r="A2205" s="37">
        <v>14146</v>
      </c>
      <c r="B2205" s="37" t="s">
        <v>22998</v>
      </c>
      <c r="C2205" s="37" t="s">
        <v>2465</v>
      </c>
      <c r="D2205" s="37" t="s">
        <v>2351</v>
      </c>
      <c r="E2205" s="212">
        <v>67.75</v>
      </c>
    </row>
    <row r="2206" spans="1:5" ht="14.25">
      <c r="A2206" s="37">
        <v>38134</v>
      </c>
      <c r="B2206" s="37" t="s">
        <v>22999</v>
      </c>
      <c r="C2206" s="37" t="s">
        <v>2356</v>
      </c>
      <c r="D2206" s="37" t="s">
        <v>2349</v>
      </c>
      <c r="E2206" s="212">
        <v>108.33</v>
      </c>
    </row>
    <row r="2207" spans="1:5" ht="14.25">
      <c r="A2207" s="37">
        <v>38132</v>
      </c>
      <c r="B2207" s="37" t="s">
        <v>23000</v>
      </c>
      <c r="C2207" s="37" t="s">
        <v>2356</v>
      </c>
      <c r="D2207" s="37" t="s">
        <v>2349</v>
      </c>
      <c r="E2207" s="212">
        <v>110.49</v>
      </c>
    </row>
    <row r="2208" spans="1:5" ht="14.25">
      <c r="A2208" s="37">
        <v>38133</v>
      </c>
      <c r="B2208" s="37" t="s">
        <v>23001</v>
      </c>
      <c r="C2208" s="37" t="s">
        <v>2356</v>
      </c>
      <c r="D2208" s="37" t="s">
        <v>2349</v>
      </c>
      <c r="E2208" s="212">
        <v>106.88</v>
      </c>
    </row>
    <row r="2209" spans="1:5" ht="14.25">
      <c r="A2209" s="37">
        <v>938</v>
      </c>
      <c r="B2209" s="37" t="s">
        <v>23002</v>
      </c>
      <c r="C2209" s="37" t="s">
        <v>2355</v>
      </c>
      <c r="D2209" s="37" t="s">
        <v>2349</v>
      </c>
      <c r="E2209" s="212">
        <v>1.49</v>
      </c>
    </row>
    <row r="2210" spans="1:5" ht="14.25">
      <c r="A2210" s="37">
        <v>937</v>
      </c>
      <c r="B2210" s="37" t="s">
        <v>23003</v>
      </c>
      <c r="C2210" s="37" t="s">
        <v>2355</v>
      </c>
      <c r="D2210" s="37" t="s">
        <v>2349</v>
      </c>
      <c r="E2210" s="212">
        <v>9.1999999999999993</v>
      </c>
    </row>
    <row r="2211" spans="1:5" ht="14.25">
      <c r="A2211" s="37">
        <v>939</v>
      </c>
      <c r="B2211" s="37" t="s">
        <v>23004</v>
      </c>
      <c r="C2211" s="37" t="s">
        <v>2355</v>
      </c>
      <c r="D2211" s="37" t="s">
        <v>2349</v>
      </c>
      <c r="E2211" s="212">
        <v>2.38</v>
      </c>
    </row>
    <row r="2212" spans="1:5" ht="14.25">
      <c r="A2212" s="37">
        <v>944</v>
      </c>
      <c r="B2212" s="37" t="s">
        <v>23005</v>
      </c>
      <c r="C2212" s="37" t="s">
        <v>2355</v>
      </c>
      <c r="D2212" s="37" t="s">
        <v>2349</v>
      </c>
      <c r="E2212" s="212">
        <v>4.07</v>
      </c>
    </row>
    <row r="2213" spans="1:5" ht="14.25">
      <c r="A2213" s="37">
        <v>940</v>
      </c>
      <c r="B2213" s="37" t="s">
        <v>23006</v>
      </c>
      <c r="C2213" s="37" t="s">
        <v>2355</v>
      </c>
      <c r="D2213" s="37" t="s">
        <v>2349</v>
      </c>
      <c r="E2213" s="212">
        <v>5.63</v>
      </c>
    </row>
    <row r="2214" spans="1:5" ht="14.25">
      <c r="A2214" s="37">
        <v>936</v>
      </c>
      <c r="B2214" s="37" t="s">
        <v>23007</v>
      </c>
      <c r="C2214" s="37" t="s">
        <v>2355</v>
      </c>
      <c r="D2214" s="37" t="s">
        <v>2349</v>
      </c>
      <c r="E2214" s="212">
        <v>1.1499999999999999</v>
      </c>
    </row>
    <row r="2215" spans="1:5" ht="14.25">
      <c r="A2215" s="37">
        <v>935</v>
      </c>
      <c r="B2215" s="37" t="s">
        <v>23008</v>
      </c>
      <c r="C2215" s="37" t="s">
        <v>2355</v>
      </c>
      <c r="D2215" s="37" t="s">
        <v>2349</v>
      </c>
      <c r="E2215" s="212">
        <v>0.88</v>
      </c>
    </row>
    <row r="2216" spans="1:5" ht="14.25">
      <c r="A2216" s="37">
        <v>44397</v>
      </c>
      <c r="B2216" s="37" t="s">
        <v>23009</v>
      </c>
      <c r="C2216" s="37" t="s">
        <v>2355</v>
      </c>
      <c r="D2216" s="37" t="s">
        <v>2349</v>
      </c>
      <c r="E2216" s="212">
        <v>3.49</v>
      </c>
    </row>
    <row r="2217" spans="1:5" ht="14.25">
      <c r="A2217" s="37">
        <v>406</v>
      </c>
      <c r="B2217" s="37" t="s">
        <v>23010</v>
      </c>
      <c r="C2217" s="37" t="s">
        <v>2348</v>
      </c>
      <c r="D2217" s="37" t="s">
        <v>2349</v>
      </c>
      <c r="E2217" s="212">
        <v>83.47</v>
      </c>
    </row>
    <row r="2218" spans="1:5" ht="14.25">
      <c r="A2218" s="37">
        <v>42529</v>
      </c>
      <c r="B2218" s="37" t="s">
        <v>23011</v>
      </c>
      <c r="C2218" s="37" t="s">
        <v>2355</v>
      </c>
      <c r="D2218" s="37" t="s">
        <v>2349</v>
      </c>
      <c r="E2218" s="212">
        <v>1.0900000000000001</v>
      </c>
    </row>
    <row r="2219" spans="1:5" ht="14.25">
      <c r="A2219" s="37">
        <v>39634</v>
      </c>
      <c r="B2219" s="37" t="s">
        <v>23012</v>
      </c>
      <c r="C2219" s="37" t="s">
        <v>2355</v>
      </c>
      <c r="D2219" s="37" t="s">
        <v>2349</v>
      </c>
      <c r="E2219" s="212">
        <v>8.1199999999999992</v>
      </c>
    </row>
    <row r="2220" spans="1:5" ht="14.25">
      <c r="A2220" s="37">
        <v>39701</v>
      </c>
      <c r="B2220" s="37" t="s">
        <v>23013</v>
      </c>
      <c r="C2220" s="37" t="s">
        <v>2348</v>
      </c>
      <c r="D2220" s="37" t="s">
        <v>2349</v>
      </c>
      <c r="E2220" s="212">
        <v>112.28</v>
      </c>
    </row>
    <row r="2221" spans="1:5" ht="14.25">
      <c r="A2221" s="37">
        <v>12815</v>
      </c>
      <c r="B2221" s="37" t="s">
        <v>23014</v>
      </c>
      <c r="C2221" s="37" t="s">
        <v>2348</v>
      </c>
      <c r="D2221" s="37" t="s">
        <v>2349</v>
      </c>
      <c r="E2221" s="212">
        <v>8.18</v>
      </c>
    </row>
    <row r="2222" spans="1:5" ht="14.25">
      <c r="A2222" s="37">
        <v>407</v>
      </c>
      <c r="B2222" s="37" t="s">
        <v>23015</v>
      </c>
      <c r="C2222" s="37" t="s">
        <v>2356</v>
      </c>
      <c r="D2222" s="37" t="s">
        <v>2351</v>
      </c>
      <c r="E2222" s="212">
        <v>62.09</v>
      </c>
    </row>
    <row r="2223" spans="1:5" ht="14.25">
      <c r="A2223" s="37">
        <v>39431</v>
      </c>
      <c r="B2223" s="37" t="s">
        <v>23016</v>
      </c>
      <c r="C2223" s="37" t="s">
        <v>2355</v>
      </c>
      <c r="D2223" s="37" t="s">
        <v>2349</v>
      </c>
      <c r="E2223" s="212">
        <v>0.28999999999999998</v>
      </c>
    </row>
    <row r="2224" spans="1:5" ht="14.25">
      <c r="A2224" s="37">
        <v>39432</v>
      </c>
      <c r="B2224" s="37" t="s">
        <v>23017</v>
      </c>
      <c r="C2224" s="37" t="s">
        <v>2355</v>
      </c>
      <c r="D2224" s="37" t="s">
        <v>2349</v>
      </c>
      <c r="E2224" s="212">
        <v>2.56</v>
      </c>
    </row>
    <row r="2225" spans="1:5" ht="14.25">
      <c r="A2225" s="37">
        <v>20111</v>
      </c>
      <c r="B2225" s="37" t="s">
        <v>23018</v>
      </c>
      <c r="C2225" s="37" t="s">
        <v>2348</v>
      </c>
      <c r="D2225" s="37" t="s">
        <v>2353</v>
      </c>
      <c r="E2225" s="212">
        <v>11.71</v>
      </c>
    </row>
    <row r="2226" spans="1:5" ht="14.25">
      <c r="A2226" s="37">
        <v>21127</v>
      </c>
      <c r="B2226" s="37" t="s">
        <v>23019</v>
      </c>
      <c r="C2226" s="37" t="s">
        <v>2348</v>
      </c>
      <c r="D2226" s="37" t="s">
        <v>2349</v>
      </c>
      <c r="E2226" s="212">
        <v>4.42</v>
      </c>
    </row>
    <row r="2227" spans="1:5" ht="14.25">
      <c r="A2227" s="37">
        <v>404</v>
      </c>
      <c r="B2227" s="37" t="s">
        <v>23020</v>
      </c>
      <c r="C2227" s="37" t="s">
        <v>2355</v>
      </c>
      <c r="D2227" s="37" t="s">
        <v>2349</v>
      </c>
      <c r="E2227" s="212">
        <v>1.59</v>
      </c>
    </row>
    <row r="2228" spans="1:5" ht="14.25">
      <c r="A2228" s="37">
        <v>14151</v>
      </c>
      <c r="B2228" s="37" t="s">
        <v>23021</v>
      </c>
      <c r="C2228" s="37" t="s">
        <v>2348</v>
      </c>
      <c r="D2228" s="37" t="s">
        <v>2351</v>
      </c>
      <c r="E2228" s="212">
        <v>48.69</v>
      </c>
    </row>
    <row r="2229" spans="1:5" ht="14.25">
      <c r="A2229" s="37">
        <v>14153</v>
      </c>
      <c r="B2229" s="37" t="s">
        <v>23022</v>
      </c>
      <c r="C2229" s="37" t="s">
        <v>2348</v>
      </c>
      <c r="D2229" s="37" t="s">
        <v>2351</v>
      </c>
      <c r="E2229" s="212">
        <v>55.04</v>
      </c>
    </row>
    <row r="2230" spans="1:5" ht="14.25">
      <c r="A2230" s="37">
        <v>14152</v>
      </c>
      <c r="B2230" s="37" t="s">
        <v>23023</v>
      </c>
      <c r="C2230" s="37" t="s">
        <v>2348</v>
      </c>
      <c r="D2230" s="37" t="s">
        <v>2351</v>
      </c>
      <c r="E2230" s="212">
        <v>42.25</v>
      </c>
    </row>
    <row r="2231" spans="1:5" ht="14.25">
      <c r="A2231" s="37">
        <v>14154</v>
      </c>
      <c r="B2231" s="37" t="s">
        <v>23024</v>
      </c>
      <c r="C2231" s="37" t="s">
        <v>2348</v>
      </c>
      <c r="D2231" s="37" t="s">
        <v>2351</v>
      </c>
      <c r="E2231" s="212">
        <v>147.9</v>
      </c>
    </row>
    <row r="2232" spans="1:5" ht="14.25">
      <c r="A2232" s="37">
        <v>3146</v>
      </c>
      <c r="B2232" s="37" t="s">
        <v>23025</v>
      </c>
      <c r="C2232" s="37" t="s">
        <v>2348</v>
      </c>
      <c r="D2232" s="37" t="s">
        <v>2353</v>
      </c>
      <c r="E2232" s="212">
        <v>4.17</v>
      </c>
    </row>
    <row r="2233" spans="1:5" ht="14.25">
      <c r="A2233" s="37">
        <v>3143</v>
      </c>
      <c r="B2233" s="37" t="s">
        <v>23026</v>
      </c>
      <c r="C2233" s="37" t="s">
        <v>2348</v>
      </c>
      <c r="D2233" s="37" t="s">
        <v>2349</v>
      </c>
      <c r="E2233" s="212">
        <v>9.48</v>
      </c>
    </row>
    <row r="2234" spans="1:5" ht="14.25">
      <c r="A2234" s="37">
        <v>3148</v>
      </c>
      <c r="B2234" s="37" t="s">
        <v>23027</v>
      </c>
      <c r="C2234" s="37" t="s">
        <v>2348</v>
      </c>
      <c r="D2234" s="37" t="s">
        <v>2349</v>
      </c>
      <c r="E2234" s="212">
        <v>15.38</v>
      </c>
    </row>
    <row r="2235" spans="1:5" ht="14.25">
      <c r="A2235" s="37">
        <v>4310</v>
      </c>
      <c r="B2235" s="37" t="s">
        <v>23028</v>
      </c>
      <c r="C2235" s="37" t="s">
        <v>2348</v>
      </c>
      <c r="D2235" s="37" t="s">
        <v>2349</v>
      </c>
      <c r="E2235" s="212">
        <v>3.92</v>
      </c>
    </row>
    <row r="2236" spans="1:5" ht="14.25">
      <c r="A2236" s="37">
        <v>4311</v>
      </c>
      <c r="B2236" s="37" t="s">
        <v>23029</v>
      </c>
      <c r="C2236" s="37" t="s">
        <v>2348</v>
      </c>
      <c r="D2236" s="37" t="s">
        <v>2349</v>
      </c>
      <c r="E2236" s="212">
        <v>2.76</v>
      </c>
    </row>
    <row r="2237" spans="1:5" ht="14.25">
      <c r="A2237" s="37">
        <v>4312</v>
      </c>
      <c r="B2237" s="37" t="s">
        <v>23030</v>
      </c>
      <c r="C2237" s="37" t="s">
        <v>2348</v>
      </c>
      <c r="D2237" s="37" t="s">
        <v>2349</v>
      </c>
      <c r="E2237" s="212">
        <v>3.86</v>
      </c>
    </row>
    <row r="2238" spans="1:5" ht="14.25">
      <c r="A2238" s="37">
        <v>13261</v>
      </c>
      <c r="B2238" s="37" t="s">
        <v>23031</v>
      </c>
      <c r="C2238" s="37" t="s">
        <v>2348</v>
      </c>
      <c r="D2238" s="37" t="s">
        <v>2349</v>
      </c>
      <c r="E2238" s="212">
        <v>1.78</v>
      </c>
    </row>
    <row r="2239" spans="1:5" ht="14.25">
      <c r="A2239" s="37">
        <v>3255</v>
      </c>
      <c r="B2239" s="37" t="s">
        <v>23032</v>
      </c>
      <c r="C2239" s="37" t="s">
        <v>2348</v>
      </c>
      <c r="D2239" s="37" t="s">
        <v>2349</v>
      </c>
      <c r="E2239" s="212">
        <v>12.28</v>
      </c>
    </row>
    <row r="2240" spans="1:5" ht="14.25">
      <c r="A2240" s="37">
        <v>3254</v>
      </c>
      <c r="B2240" s="37" t="s">
        <v>23033</v>
      </c>
      <c r="C2240" s="37" t="s">
        <v>2348</v>
      </c>
      <c r="D2240" s="37" t="s">
        <v>2349</v>
      </c>
      <c r="E2240" s="212">
        <v>199.51</v>
      </c>
    </row>
    <row r="2241" spans="1:5" ht="14.25">
      <c r="A2241" s="37">
        <v>3259</v>
      </c>
      <c r="B2241" s="37" t="s">
        <v>23034</v>
      </c>
      <c r="C2241" s="37" t="s">
        <v>2348</v>
      </c>
      <c r="D2241" s="37" t="s">
        <v>2349</v>
      </c>
      <c r="E2241" s="212">
        <v>23.98</v>
      </c>
    </row>
    <row r="2242" spans="1:5" ht="14.25">
      <c r="A2242" s="37">
        <v>3258</v>
      </c>
      <c r="B2242" s="37" t="s">
        <v>23035</v>
      </c>
      <c r="C2242" s="37" t="s">
        <v>2348</v>
      </c>
      <c r="D2242" s="37" t="s">
        <v>2349</v>
      </c>
      <c r="E2242" s="212">
        <v>14.49</v>
      </c>
    </row>
    <row r="2243" spans="1:5" ht="14.25">
      <c r="A2243" s="37">
        <v>3251</v>
      </c>
      <c r="B2243" s="37" t="s">
        <v>23036</v>
      </c>
      <c r="C2243" s="37" t="s">
        <v>2348</v>
      </c>
      <c r="D2243" s="37" t="s">
        <v>2349</v>
      </c>
      <c r="E2243" s="212">
        <v>8.5399999999999991</v>
      </c>
    </row>
    <row r="2244" spans="1:5" ht="14.25">
      <c r="A2244" s="37">
        <v>3256</v>
      </c>
      <c r="B2244" s="37" t="s">
        <v>23037</v>
      </c>
      <c r="C2244" s="37" t="s">
        <v>2348</v>
      </c>
      <c r="D2244" s="37" t="s">
        <v>2349</v>
      </c>
      <c r="E2244" s="212">
        <v>16.18</v>
      </c>
    </row>
    <row r="2245" spans="1:5" ht="14.25">
      <c r="A2245" s="37">
        <v>3261</v>
      </c>
      <c r="B2245" s="37" t="s">
        <v>23038</v>
      </c>
      <c r="C2245" s="37" t="s">
        <v>2348</v>
      </c>
      <c r="D2245" s="37" t="s">
        <v>2349</v>
      </c>
      <c r="E2245" s="212">
        <v>176.44</v>
      </c>
    </row>
    <row r="2246" spans="1:5" ht="14.25">
      <c r="A2246" s="37">
        <v>3260</v>
      </c>
      <c r="B2246" s="37" t="s">
        <v>23039</v>
      </c>
      <c r="C2246" s="37" t="s">
        <v>2348</v>
      </c>
      <c r="D2246" s="37" t="s">
        <v>2349</v>
      </c>
      <c r="E2246" s="212">
        <v>30.31</v>
      </c>
    </row>
    <row r="2247" spans="1:5" ht="14.25">
      <c r="A2247" s="37">
        <v>3272</v>
      </c>
      <c r="B2247" s="37" t="s">
        <v>23040</v>
      </c>
      <c r="C2247" s="37" t="s">
        <v>2348</v>
      </c>
      <c r="D2247" s="37" t="s">
        <v>2351</v>
      </c>
      <c r="E2247" s="212">
        <v>47.45</v>
      </c>
    </row>
    <row r="2248" spans="1:5" ht="14.25">
      <c r="A2248" s="37">
        <v>3265</v>
      </c>
      <c r="B2248" s="37" t="s">
        <v>23041</v>
      </c>
      <c r="C2248" s="37" t="s">
        <v>2348</v>
      </c>
      <c r="D2248" s="37" t="s">
        <v>2351</v>
      </c>
      <c r="E2248" s="212">
        <v>37.700000000000003</v>
      </c>
    </row>
    <row r="2249" spans="1:5" ht="14.25">
      <c r="A2249" s="37">
        <v>3262</v>
      </c>
      <c r="B2249" s="37" t="s">
        <v>23042</v>
      </c>
      <c r="C2249" s="37" t="s">
        <v>2348</v>
      </c>
      <c r="D2249" s="37" t="s">
        <v>2351</v>
      </c>
      <c r="E2249" s="212">
        <v>16.5</v>
      </c>
    </row>
    <row r="2250" spans="1:5" ht="14.25">
      <c r="A2250" s="37">
        <v>3264</v>
      </c>
      <c r="B2250" s="37" t="s">
        <v>23043</v>
      </c>
      <c r="C2250" s="37" t="s">
        <v>2348</v>
      </c>
      <c r="D2250" s="37" t="s">
        <v>2351</v>
      </c>
      <c r="E2250" s="212">
        <v>27.11</v>
      </c>
    </row>
    <row r="2251" spans="1:5" ht="14.25">
      <c r="A2251" s="37">
        <v>3267</v>
      </c>
      <c r="B2251" s="37" t="s">
        <v>23044</v>
      </c>
      <c r="C2251" s="37" t="s">
        <v>2348</v>
      </c>
      <c r="D2251" s="37" t="s">
        <v>2351</v>
      </c>
      <c r="E2251" s="212">
        <v>88.54</v>
      </c>
    </row>
    <row r="2252" spans="1:5" ht="14.25">
      <c r="A2252" s="37">
        <v>3266</v>
      </c>
      <c r="B2252" s="37" t="s">
        <v>23045</v>
      </c>
      <c r="C2252" s="37" t="s">
        <v>2348</v>
      </c>
      <c r="D2252" s="37" t="s">
        <v>2351</v>
      </c>
      <c r="E2252" s="212">
        <v>56.33</v>
      </c>
    </row>
    <row r="2253" spans="1:5" ht="14.25">
      <c r="A2253" s="37">
        <v>3263</v>
      </c>
      <c r="B2253" s="37" t="s">
        <v>23046</v>
      </c>
      <c r="C2253" s="37" t="s">
        <v>2348</v>
      </c>
      <c r="D2253" s="37" t="s">
        <v>2351</v>
      </c>
      <c r="E2253" s="212">
        <v>22.54</v>
      </c>
    </row>
    <row r="2254" spans="1:5" ht="14.25">
      <c r="A2254" s="37">
        <v>3268</v>
      </c>
      <c r="B2254" s="37" t="s">
        <v>23047</v>
      </c>
      <c r="C2254" s="37" t="s">
        <v>2348</v>
      </c>
      <c r="D2254" s="37" t="s">
        <v>2351</v>
      </c>
      <c r="E2254" s="212">
        <v>119.71</v>
      </c>
    </row>
    <row r="2255" spans="1:5" ht="14.25">
      <c r="A2255" s="37">
        <v>3271</v>
      </c>
      <c r="B2255" s="37" t="s">
        <v>23048</v>
      </c>
      <c r="C2255" s="37" t="s">
        <v>2348</v>
      </c>
      <c r="D2255" s="37" t="s">
        <v>2351</v>
      </c>
      <c r="E2255" s="212">
        <v>176.98</v>
      </c>
    </row>
    <row r="2256" spans="1:5" ht="14.25">
      <c r="A2256" s="37">
        <v>3270</v>
      </c>
      <c r="B2256" s="37" t="s">
        <v>23049</v>
      </c>
      <c r="C2256" s="37" t="s">
        <v>2348</v>
      </c>
      <c r="D2256" s="37" t="s">
        <v>2351</v>
      </c>
      <c r="E2256" s="212">
        <v>297.33999999999997</v>
      </c>
    </row>
    <row r="2257" spans="1:5" ht="14.25">
      <c r="A2257" s="37">
        <v>3275</v>
      </c>
      <c r="B2257" s="37" t="s">
        <v>23050</v>
      </c>
      <c r="C2257" s="37" t="s">
        <v>28761</v>
      </c>
      <c r="D2257" s="37" t="s">
        <v>2349</v>
      </c>
      <c r="E2257" s="212">
        <v>119.18</v>
      </c>
    </row>
    <row r="2258" spans="1:5" ht="14.25">
      <c r="A2258" s="37">
        <v>39512</v>
      </c>
      <c r="B2258" s="37" t="s">
        <v>23051</v>
      </c>
      <c r="C2258" s="37" t="s">
        <v>28761</v>
      </c>
      <c r="D2258" s="37" t="s">
        <v>2351</v>
      </c>
      <c r="E2258" s="212">
        <v>135.61000000000001</v>
      </c>
    </row>
    <row r="2259" spans="1:5" ht="14.25">
      <c r="A2259" s="37">
        <v>39511</v>
      </c>
      <c r="B2259" s="37" t="s">
        <v>23052</v>
      </c>
      <c r="C2259" s="37" t="s">
        <v>28761</v>
      </c>
      <c r="D2259" s="37" t="s">
        <v>2351</v>
      </c>
      <c r="E2259" s="212">
        <v>147.91999999999999</v>
      </c>
    </row>
    <row r="2260" spans="1:5" ht="14.25">
      <c r="A2260" s="37">
        <v>39513</v>
      </c>
      <c r="B2260" s="37" t="s">
        <v>23053</v>
      </c>
      <c r="C2260" s="37" t="s">
        <v>28761</v>
      </c>
      <c r="D2260" s="37" t="s">
        <v>2351</v>
      </c>
      <c r="E2260" s="212">
        <v>158.65</v>
      </c>
    </row>
    <row r="2261" spans="1:5" ht="14.25">
      <c r="A2261" s="37">
        <v>3286</v>
      </c>
      <c r="B2261" s="37" t="s">
        <v>23054</v>
      </c>
      <c r="C2261" s="37" t="s">
        <v>28761</v>
      </c>
      <c r="D2261" s="37" t="s">
        <v>2351</v>
      </c>
      <c r="E2261" s="212">
        <v>79.41</v>
      </c>
    </row>
    <row r="2262" spans="1:5" ht="14.25">
      <c r="A2262" s="37">
        <v>3287</v>
      </c>
      <c r="B2262" s="37" t="s">
        <v>23055</v>
      </c>
      <c r="C2262" s="37" t="s">
        <v>28761</v>
      </c>
      <c r="D2262" s="37" t="s">
        <v>2351</v>
      </c>
      <c r="E2262" s="212">
        <v>120</v>
      </c>
    </row>
    <row r="2263" spans="1:5" ht="14.25">
      <c r="A2263" s="37">
        <v>3283</v>
      </c>
      <c r="B2263" s="37" t="s">
        <v>23056</v>
      </c>
      <c r="C2263" s="37" t="s">
        <v>28761</v>
      </c>
      <c r="D2263" s="37" t="s">
        <v>2351</v>
      </c>
      <c r="E2263" s="212">
        <v>25.2</v>
      </c>
    </row>
    <row r="2264" spans="1:5" ht="14.25">
      <c r="A2264" s="37">
        <v>11587</v>
      </c>
      <c r="B2264" s="37" t="s">
        <v>23057</v>
      </c>
      <c r="C2264" s="37" t="s">
        <v>28761</v>
      </c>
      <c r="D2264" s="37" t="s">
        <v>2349</v>
      </c>
      <c r="E2264" s="212">
        <v>81.72</v>
      </c>
    </row>
    <row r="2265" spans="1:5" ht="14.25">
      <c r="A2265" s="37">
        <v>36225</v>
      </c>
      <c r="B2265" s="37" t="s">
        <v>23058</v>
      </c>
      <c r="C2265" s="37" t="s">
        <v>28761</v>
      </c>
      <c r="D2265" s="37" t="s">
        <v>2349</v>
      </c>
      <c r="E2265" s="212">
        <v>33.200000000000003</v>
      </c>
    </row>
    <row r="2266" spans="1:5" ht="14.25">
      <c r="A2266" s="37">
        <v>36230</v>
      </c>
      <c r="B2266" s="37" t="s">
        <v>23059</v>
      </c>
      <c r="C2266" s="37" t="s">
        <v>28761</v>
      </c>
      <c r="D2266" s="37" t="s">
        <v>2353</v>
      </c>
      <c r="E2266" s="212">
        <v>24.39</v>
      </c>
    </row>
    <row r="2267" spans="1:5" ht="14.25">
      <c r="A2267" s="37">
        <v>36238</v>
      </c>
      <c r="B2267" s="37" t="s">
        <v>23060</v>
      </c>
      <c r="C2267" s="37" t="s">
        <v>28761</v>
      </c>
      <c r="D2267" s="37" t="s">
        <v>2349</v>
      </c>
      <c r="E2267" s="212">
        <v>23.83</v>
      </c>
    </row>
    <row r="2268" spans="1:5" ht="14.25">
      <c r="A2268" s="37">
        <v>39363</v>
      </c>
      <c r="B2268" s="37" t="s">
        <v>23061</v>
      </c>
      <c r="C2268" s="37" t="s">
        <v>2348</v>
      </c>
      <c r="D2268" s="37" t="s">
        <v>2349</v>
      </c>
      <c r="E2268" s="213">
        <v>5256.62</v>
      </c>
    </row>
    <row r="2269" spans="1:5" ht="14.25">
      <c r="A2269" s="37">
        <v>39361</v>
      </c>
      <c r="B2269" s="37" t="s">
        <v>23062</v>
      </c>
      <c r="C2269" s="37" t="s">
        <v>2348</v>
      </c>
      <c r="D2269" s="37" t="s">
        <v>2349</v>
      </c>
      <c r="E2269" s="213">
        <v>1351.7</v>
      </c>
    </row>
    <row r="2270" spans="1:5" ht="14.25">
      <c r="A2270" s="37">
        <v>39362</v>
      </c>
      <c r="B2270" s="37" t="s">
        <v>23063</v>
      </c>
      <c r="C2270" s="37" t="s">
        <v>2348</v>
      </c>
      <c r="D2270" s="37" t="s">
        <v>2349</v>
      </c>
      <c r="E2270" s="213">
        <v>4159.53</v>
      </c>
    </row>
    <row r="2271" spans="1:5" ht="14.25">
      <c r="A2271" s="37">
        <v>39364</v>
      </c>
      <c r="B2271" s="37" t="s">
        <v>23064</v>
      </c>
      <c r="C2271" s="37" t="s">
        <v>2348</v>
      </c>
      <c r="D2271" s="37" t="s">
        <v>2349</v>
      </c>
      <c r="E2271" s="213">
        <v>12015.14</v>
      </c>
    </row>
    <row r="2272" spans="1:5" ht="14.25">
      <c r="A2272" s="37">
        <v>14576</v>
      </c>
      <c r="B2272" s="37" t="s">
        <v>23065</v>
      </c>
      <c r="C2272" s="37" t="s">
        <v>2348</v>
      </c>
      <c r="D2272" s="37" t="s">
        <v>2351</v>
      </c>
      <c r="E2272" s="213">
        <v>7703087.96</v>
      </c>
    </row>
    <row r="2273" spans="1:5" ht="14.25">
      <c r="A2273" s="37">
        <v>13877</v>
      </c>
      <c r="B2273" s="37" t="s">
        <v>23066</v>
      </c>
      <c r="C2273" s="37" t="s">
        <v>2348</v>
      </c>
      <c r="D2273" s="37" t="s">
        <v>2351</v>
      </c>
      <c r="E2273" s="213">
        <v>3297577.06</v>
      </c>
    </row>
    <row r="2274" spans="1:5" ht="14.25">
      <c r="A2274" s="37">
        <v>7307</v>
      </c>
      <c r="B2274" s="37" t="s">
        <v>23067</v>
      </c>
      <c r="C2274" s="37" t="s">
        <v>2363</v>
      </c>
      <c r="D2274" s="37" t="s">
        <v>2349</v>
      </c>
      <c r="E2274" s="212">
        <v>37.44</v>
      </c>
    </row>
    <row r="2275" spans="1:5" ht="14.25">
      <c r="A2275" s="37">
        <v>38122</v>
      </c>
      <c r="B2275" s="37" t="s">
        <v>23068</v>
      </c>
      <c r="C2275" s="37" t="s">
        <v>2363</v>
      </c>
      <c r="D2275" s="37" t="s">
        <v>2349</v>
      </c>
      <c r="E2275" s="212">
        <v>18.260000000000002</v>
      </c>
    </row>
    <row r="2276" spans="1:5" ht="14.25">
      <c r="A2276" s="37">
        <v>43653</v>
      </c>
      <c r="B2276" s="37" t="s">
        <v>27987</v>
      </c>
      <c r="C2276" s="37" t="s">
        <v>2363</v>
      </c>
      <c r="D2276" s="37" t="s">
        <v>2349</v>
      </c>
      <c r="E2276" s="212">
        <v>46.04</v>
      </c>
    </row>
    <row r="2277" spans="1:5" ht="14.25">
      <c r="A2277" s="37">
        <v>38633</v>
      </c>
      <c r="B2277" s="37" t="s">
        <v>23069</v>
      </c>
      <c r="C2277" s="37" t="s">
        <v>2348</v>
      </c>
      <c r="D2277" s="37" t="s">
        <v>2349</v>
      </c>
      <c r="E2277" s="212">
        <v>14.66</v>
      </c>
    </row>
    <row r="2278" spans="1:5" ht="14.25">
      <c r="A2278" s="37">
        <v>12344</v>
      </c>
      <c r="B2278" s="37" t="s">
        <v>23070</v>
      </c>
      <c r="C2278" s="37" t="s">
        <v>2348</v>
      </c>
      <c r="D2278" s="37" t="s">
        <v>2349</v>
      </c>
      <c r="E2278" s="212">
        <v>3.28</v>
      </c>
    </row>
    <row r="2279" spans="1:5" ht="14.25">
      <c r="A2279" s="37">
        <v>12343</v>
      </c>
      <c r="B2279" s="37" t="s">
        <v>23071</v>
      </c>
      <c r="C2279" s="37" t="s">
        <v>2348</v>
      </c>
      <c r="D2279" s="37" t="s">
        <v>2349</v>
      </c>
      <c r="E2279" s="212">
        <v>5.09</v>
      </c>
    </row>
    <row r="2280" spans="1:5" ht="14.25">
      <c r="A2280" s="37">
        <v>3295</v>
      </c>
      <c r="B2280" s="37" t="s">
        <v>23072</v>
      </c>
      <c r="C2280" s="37" t="s">
        <v>2348</v>
      </c>
      <c r="D2280" s="37" t="s">
        <v>2349</v>
      </c>
      <c r="E2280" s="212">
        <v>17.78</v>
      </c>
    </row>
    <row r="2281" spans="1:5" ht="14.25">
      <c r="A2281" s="37">
        <v>3302</v>
      </c>
      <c r="B2281" s="37" t="s">
        <v>23073</v>
      </c>
      <c r="C2281" s="37" t="s">
        <v>2348</v>
      </c>
      <c r="D2281" s="37" t="s">
        <v>2349</v>
      </c>
      <c r="E2281" s="212">
        <v>18.59</v>
      </c>
    </row>
    <row r="2282" spans="1:5" ht="14.25">
      <c r="A2282" s="37">
        <v>3297</v>
      </c>
      <c r="B2282" s="37" t="s">
        <v>23074</v>
      </c>
      <c r="C2282" s="37" t="s">
        <v>2348</v>
      </c>
      <c r="D2282" s="37" t="s">
        <v>2349</v>
      </c>
      <c r="E2282" s="212">
        <v>19.850000000000001</v>
      </c>
    </row>
    <row r="2283" spans="1:5" ht="14.25">
      <c r="A2283" s="37">
        <v>3294</v>
      </c>
      <c r="B2283" s="37" t="s">
        <v>23075</v>
      </c>
      <c r="C2283" s="37" t="s">
        <v>2348</v>
      </c>
      <c r="D2283" s="37" t="s">
        <v>2349</v>
      </c>
      <c r="E2283" s="212">
        <v>20.149999999999999</v>
      </c>
    </row>
    <row r="2284" spans="1:5" ht="14.25">
      <c r="A2284" s="37">
        <v>3292</v>
      </c>
      <c r="B2284" s="37" t="s">
        <v>23076</v>
      </c>
      <c r="C2284" s="37" t="s">
        <v>2348</v>
      </c>
      <c r="D2284" s="37" t="s">
        <v>2353</v>
      </c>
      <c r="E2284" s="212">
        <v>18.93</v>
      </c>
    </row>
    <row r="2285" spans="1:5" ht="14.25">
      <c r="A2285" s="37">
        <v>3298</v>
      </c>
      <c r="B2285" s="37" t="s">
        <v>23077</v>
      </c>
      <c r="C2285" s="37" t="s">
        <v>2348</v>
      </c>
      <c r="D2285" s="37" t="s">
        <v>2349</v>
      </c>
      <c r="E2285" s="212">
        <v>44.36</v>
      </c>
    </row>
    <row r="2286" spans="1:5" ht="14.25">
      <c r="A2286" s="37">
        <v>11596</v>
      </c>
      <c r="B2286" s="37" t="s">
        <v>23078</v>
      </c>
      <c r="C2286" s="37" t="s">
        <v>2348</v>
      </c>
      <c r="D2286" s="37" t="s">
        <v>2351</v>
      </c>
      <c r="E2286" s="212">
        <v>471.02</v>
      </c>
    </row>
    <row r="2287" spans="1:5" ht="14.25">
      <c r="A2287" s="37">
        <v>34802</v>
      </c>
      <c r="B2287" s="37" t="s">
        <v>23079</v>
      </c>
      <c r="C2287" s="37" t="s">
        <v>2348</v>
      </c>
      <c r="D2287" s="37" t="s">
        <v>2351</v>
      </c>
      <c r="E2287" s="213">
        <v>1293.57</v>
      </c>
    </row>
    <row r="2288" spans="1:5" ht="14.25">
      <c r="A2288" s="37">
        <v>11588</v>
      </c>
      <c r="B2288" s="37" t="s">
        <v>23080</v>
      </c>
      <c r="C2288" s="37" t="s">
        <v>2348</v>
      </c>
      <c r="D2288" s="37" t="s">
        <v>2351</v>
      </c>
      <c r="E2288" s="213">
        <v>1395.55</v>
      </c>
    </row>
    <row r="2289" spans="1:5" ht="14.25">
      <c r="A2289" s="37">
        <v>34383</v>
      </c>
      <c r="B2289" s="37" t="s">
        <v>23081</v>
      </c>
      <c r="C2289" s="37" t="s">
        <v>2348</v>
      </c>
      <c r="D2289" s="37" t="s">
        <v>2351</v>
      </c>
      <c r="E2289" s="213">
        <v>1535.21</v>
      </c>
    </row>
    <row r="2290" spans="1:5" ht="14.25">
      <c r="A2290" s="37">
        <v>40451</v>
      </c>
      <c r="B2290" s="37" t="s">
        <v>23082</v>
      </c>
      <c r="C2290" s="37" t="s">
        <v>28761</v>
      </c>
      <c r="D2290" s="37" t="s">
        <v>2351</v>
      </c>
      <c r="E2290" s="212">
        <v>124.1</v>
      </c>
    </row>
    <row r="2291" spans="1:5" ht="14.25">
      <c r="A2291" s="37">
        <v>40453</v>
      </c>
      <c r="B2291" s="37" t="s">
        <v>23083</v>
      </c>
      <c r="C2291" s="37" t="s">
        <v>28761</v>
      </c>
      <c r="D2291" s="37" t="s">
        <v>2351</v>
      </c>
      <c r="E2291" s="212">
        <v>134.27000000000001</v>
      </c>
    </row>
    <row r="2292" spans="1:5" ht="14.25">
      <c r="A2292" s="37">
        <v>40452</v>
      </c>
      <c r="B2292" s="37" t="s">
        <v>23084</v>
      </c>
      <c r="C2292" s="37" t="s">
        <v>28761</v>
      </c>
      <c r="D2292" s="37" t="s">
        <v>2351</v>
      </c>
      <c r="E2292" s="212">
        <v>147.28</v>
      </c>
    </row>
    <row r="2293" spans="1:5" ht="14.25">
      <c r="A2293" s="37">
        <v>11594</v>
      </c>
      <c r="B2293" s="37" t="s">
        <v>23085</v>
      </c>
      <c r="C2293" s="37" t="s">
        <v>2348</v>
      </c>
      <c r="D2293" s="37" t="s">
        <v>2351</v>
      </c>
      <c r="E2293" s="212">
        <v>444.8</v>
      </c>
    </row>
    <row r="2294" spans="1:5" ht="14.25">
      <c r="A2294" s="37">
        <v>3311</v>
      </c>
      <c r="B2294" s="37" t="s">
        <v>23086</v>
      </c>
      <c r="C2294" s="37" t="s">
        <v>28760</v>
      </c>
      <c r="D2294" s="37" t="s">
        <v>2351</v>
      </c>
      <c r="E2294" s="212">
        <v>444.8</v>
      </c>
    </row>
    <row r="2295" spans="1:5" ht="14.25">
      <c r="A2295" s="37">
        <v>11599</v>
      </c>
      <c r="B2295" s="37" t="s">
        <v>23087</v>
      </c>
      <c r="C2295" s="37" t="s">
        <v>2348</v>
      </c>
      <c r="D2295" s="37" t="s">
        <v>2351</v>
      </c>
      <c r="E2295" s="212">
        <v>591.54</v>
      </c>
    </row>
    <row r="2296" spans="1:5" ht="14.25">
      <c r="A2296" s="37">
        <v>11593</v>
      </c>
      <c r="B2296" s="37" t="s">
        <v>23088</v>
      </c>
      <c r="C2296" s="37" t="s">
        <v>2348</v>
      </c>
      <c r="D2296" s="37" t="s">
        <v>2351</v>
      </c>
      <c r="E2296" s="212">
        <v>829.3</v>
      </c>
    </row>
    <row r="2297" spans="1:5" ht="14.25">
      <c r="A2297" s="37">
        <v>3314</v>
      </c>
      <c r="B2297" s="37" t="s">
        <v>23089</v>
      </c>
      <c r="C2297" s="37" t="s">
        <v>28760</v>
      </c>
      <c r="D2297" s="37" t="s">
        <v>2351</v>
      </c>
      <c r="E2297" s="212">
        <v>593.12</v>
      </c>
    </row>
    <row r="2298" spans="1:5" ht="14.25">
      <c r="A2298" s="37">
        <v>11597</v>
      </c>
      <c r="B2298" s="37" t="s">
        <v>23090</v>
      </c>
      <c r="C2298" s="37" t="s">
        <v>2348</v>
      </c>
      <c r="D2298" s="37" t="s">
        <v>2351</v>
      </c>
      <c r="E2298" s="212">
        <v>689.72</v>
      </c>
    </row>
    <row r="2299" spans="1:5" ht="14.25">
      <c r="A2299" s="37">
        <v>3309</v>
      </c>
      <c r="B2299" s="37" t="s">
        <v>23091</v>
      </c>
      <c r="C2299" s="37" t="s">
        <v>28760</v>
      </c>
      <c r="D2299" s="37" t="s">
        <v>2351</v>
      </c>
      <c r="E2299" s="212">
        <v>471.02</v>
      </c>
    </row>
    <row r="2300" spans="1:5" ht="14.25">
      <c r="A2300" s="37">
        <v>34612</v>
      </c>
      <c r="B2300" s="37" t="s">
        <v>23092</v>
      </c>
      <c r="C2300" s="37" t="s">
        <v>2348</v>
      </c>
      <c r="D2300" s="37" t="s">
        <v>2351</v>
      </c>
      <c r="E2300" s="212">
        <v>853.07</v>
      </c>
    </row>
    <row r="2301" spans="1:5" ht="14.25">
      <c r="A2301" s="37">
        <v>34635</v>
      </c>
      <c r="B2301" s="37" t="s">
        <v>23093</v>
      </c>
      <c r="C2301" s="37" t="s">
        <v>2348</v>
      </c>
      <c r="D2301" s="37" t="s">
        <v>2351</v>
      </c>
      <c r="E2301" s="213">
        <v>1097</v>
      </c>
    </row>
    <row r="2302" spans="1:5" ht="14.25">
      <c r="A2302" s="37">
        <v>34633</v>
      </c>
      <c r="B2302" s="37" t="s">
        <v>23094</v>
      </c>
      <c r="C2302" s="37" t="s">
        <v>2348</v>
      </c>
      <c r="D2302" s="37" t="s">
        <v>2351</v>
      </c>
      <c r="E2302" s="213">
        <v>1209.18</v>
      </c>
    </row>
    <row r="2303" spans="1:5" ht="14.25">
      <c r="A2303" s="37">
        <v>40440</v>
      </c>
      <c r="B2303" s="37" t="s">
        <v>23095</v>
      </c>
      <c r="C2303" s="37" t="s">
        <v>28760</v>
      </c>
      <c r="D2303" s="37" t="s">
        <v>2351</v>
      </c>
      <c r="E2303" s="212">
        <v>617.79</v>
      </c>
    </row>
    <row r="2304" spans="1:5" ht="14.25">
      <c r="A2304" s="37">
        <v>40441</v>
      </c>
      <c r="B2304" s="37" t="s">
        <v>23096</v>
      </c>
      <c r="C2304" s="37" t="s">
        <v>28760</v>
      </c>
      <c r="D2304" s="37" t="s">
        <v>2351</v>
      </c>
      <c r="E2304" s="212">
        <v>394.42</v>
      </c>
    </row>
    <row r="2305" spans="1:5" ht="14.25">
      <c r="A2305" s="37">
        <v>40449</v>
      </c>
      <c r="B2305" s="37" t="s">
        <v>23097</v>
      </c>
      <c r="C2305" s="37" t="s">
        <v>28760</v>
      </c>
      <c r="D2305" s="37" t="s">
        <v>2351</v>
      </c>
      <c r="E2305" s="212">
        <v>331.58</v>
      </c>
    </row>
    <row r="2306" spans="1:5" ht="14.25">
      <c r="A2306" s="37">
        <v>34800</v>
      </c>
      <c r="B2306" s="37" t="s">
        <v>23098</v>
      </c>
      <c r="C2306" s="37" t="s">
        <v>28760</v>
      </c>
      <c r="D2306" s="37" t="s">
        <v>2351</v>
      </c>
      <c r="E2306" s="212">
        <v>414.65</v>
      </c>
    </row>
    <row r="2307" spans="1:5" ht="14.25">
      <c r="A2307" s="37">
        <v>11592</v>
      </c>
      <c r="B2307" s="37" t="s">
        <v>23099</v>
      </c>
      <c r="C2307" s="37" t="s">
        <v>2348</v>
      </c>
      <c r="D2307" s="37" t="s">
        <v>2351</v>
      </c>
      <c r="E2307" s="212">
        <v>593.12</v>
      </c>
    </row>
    <row r="2308" spans="1:5" ht="14.25">
      <c r="A2308" s="37">
        <v>40438</v>
      </c>
      <c r="B2308" s="37" t="s">
        <v>23100</v>
      </c>
      <c r="C2308" s="37" t="s">
        <v>28760</v>
      </c>
      <c r="D2308" s="37" t="s">
        <v>2351</v>
      </c>
      <c r="E2308" s="212">
        <v>276.24</v>
      </c>
    </row>
    <row r="2309" spans="1:5" ht="14.25">
      <c r="A2309" s="37">
        <v>40436</v>
      </c>
      <c r="B2309" s="37" t="s">
        <v>23101</v>
      </c>
      <c r="C2309" s="37" t="s">
        <v>28760</v>
      </c>
      <c r="D2309" s="37" t="s">
        <v>2351</v>
      </c>
      <c r="E2309" s="212">
        <v>344.45</v>
      </c>
    </row>
    <row r="2310" spans="1:5" ht="14.25">
      <c r="A2310" s="37">
        <v>4315</v>
      </c>
      <c r="B2310" s="37" t="s">
        <v>23102</v>
      </c>
      <c r="C2310" s="37" t="s">
        <v>2348</v>
      </c>
      <c r="D2310" s="37" t="s">
        <v>2349</v>
      </c>
      <c r="E2310" s="212">
        <v>2.84</v>
      </c>
    </row>
    <row r="2311" spans="1:5" ht="14.25">
      <c r="A2311" s="37">
        <v>402</v>
      </c>
      <c r="B2311" s="37" t="s">
        <v>23103</v>
      </c>
      <c r="C2311" s="37" t="s">
        <v>2348</v>
      </c>
      <c r="D2311" s="37" t="s">
        <v>2349</v>
      </c>
      <c r="E2311" s="212">
        <v>13.25</v>
      </c>
    </row>
    <row r="2312" spans="1:5" ht="14.25">
      <c r="A2312" s="37">
        <v>4226</v>
      </c>
      <c r="B2312" s="37" t="s">
        <v>23104</v>
      </c>
      <c r="C2312" s="37" t="s">
        <v>2356</v>
      </c>
      <c r="D2312" s="37" t="s">
        <v>2353</v>
      </c>
      <c r="E2312" s="212">
        <v>7.5</v>
      </c>
    </row>
    <row r="2313" spans="1:5" ht="14.25">
      <c r="A2313" s="37">
        <v>4222</v>
      </c>
      <c r="B2313" s="37" t="s">
        <v>23105</v>
      </c>
      <c r="C2313" s="37" t="s">
        <v>2363</v>
      </c>
      <c r="D2313" s="37" t="s">
        <v>2353</v>
      </c>
      <c r="E2313" s="212">
        <v>6.74</v>
      </c>
    </row>
    <row r="2314" spans="1:5" ht="14.25">
      <c r="A2314" s="37">
        <v>34804</v>
      </c>
      <c r="B2314" s="37" t="s">
        <v>23106</v>
      </c>
      <c r="C2314" s="37" t="s">
        <v>28761</v>
      </c>
      <c r="D2314" s="37" t="s">
        <v>2351</v>
      </c>
      <c r="E2314" s="212">
        <v>50.07</v>
      </c>
    </row>
    <row r="2315" spans="1:5" ht="14.25">
      <c r="A2315" s="37">
        <v>4013</v>
      </c>
      <c r="B2315" s="37" t="s">
        <v>23107</v>
      </c>
      <c r="C2315" s="37" t="s">
        <v>28761</v>
      </c>
      <c r="D2315" s="37" t="s">
        <v>2349</v>
      </c>
      <c r="E2315" s="212">
        <v>7.92</v>
      </c>
    </row>
    <row r="2316" spans="1:5" ht="14.25">
      <c r="A2316" s="37">
        <v>4011</v>
      </c>
      <c r="B2316" s="37" t="s">
        <v>23108</v>
      </c>
      <c r="C2316" s="37" t="s">
        <v>28761</v>
      </c>
      <c r="D2316" s="37" t="s">
        <v>2349</v>
      </c>
      <c r="E2316" s="212">
        <v>8.84</v>
      </c>
    </row>
    <row r="2317" spans="1:5" ht="14.25">
      <c r="A2317" s="37">
        <v>4021</v>
      </c>
      <c r="B2317" s="37" t="s">
        <v>23109</v>
      </c>
      <c r="C2317" s="37" t="s">
        <v>28761</v>
      </c>
      <c r="D2317" s="37" t="s">
        <v>2349</v>
      </c>
      <c r="E2317" s="212">
        <v>11.03</v>
      </c>
    </row>
    <row r="2318" spans="1:5" ht="14.25">
      <c r="A2318" s="37">
        <v>4019</v>
      </c>
      <c r="B2318" s="37" t="s">
        <v>23110</v>
      </c>
      <c r="C2318" s="37" t="s">
        <v>28761</v>
      </c>
      <c r="D2318" s="37" t="s">
        <v>2349</v>
      </c>
      <c r="E2318" s="212">
        <v>13.24</v>
      </c>
    </row>
    <row r="2319" spans="1:5" ht="14.25">
      <c r="A2319" s="37">
        <v>4012</v>
      </c>
      <c r="B2319" s="37" t="s">
        <v>23111</v>
      </c>
      <c r="C2319" s="37" t="s">
        <v>28761</v>
      </c>
      <c r="D2319" s="37" t="s">
        <v>2349</v>
      </c>
      <c r="E2319" s="212">
        <v>17.739999999999998</v>
      </c>
    </row>
    <row r="2320" spans="1:5" ht="14.25">
      <c r="A2320" s="37">
        <v>4020</v>
      </c>
      <c r="B2320" s="37" t="s">
        <v>23112</v>
      </c>
      <c r="C2320" s="37" t="s">
        <v>28761</v>
      </c>
      <c r="D2320" s="37" t="s">
        <v>2349</v>
      </c>
      <c r="E2320" s="212">
        <v>22.22</v>
      </c>
    </row>
    <row r="2321" spans="1:5" ht="14.25">
      <c r="A2321" s="37">
        <v>4018</v>
      </c>
      <c r="B2321" s="37" t="s">
        <v>23113</v>
      </c>
      <c r="C2321" s="37" t="s">
        <v>28761</v>
      </c>
      <c r="D2321" s="37" t="s">
        <v>2349</v>
      </c>
      <c r="E2321" s="212">
        <v>26.62</v>
      </c>
    </row>
    <row r="2322" spans="1:5" ht="14.25">
      <c r="A2322" s="37">
        <v>36498</v>
      </c>
      <c r="B2322" s="37" t="s">
        <v>23114</v>
      </c>
      <c r="C2322" s="37" t="s">
        <v>2348</v>
      </c>
      <c r="D2322" s="37" t="s">
        <v>2351</v>
      </c>
      <c r="E2322" s="213">
        <v>6454.96</v>
      </c>
    </row>
    <row r="2323" spans="1:5" ht="14.25">
      <c r="A2323" s="37">
        <v>12872</v>
      </c>
      <c r="B2323" s="37" t="s">
        <v>23115</v>
      </c>
      <c r="C2323" s="37" t="s">
        <v>2352</v>
      </c>
      <c r="D2323" s="37" t="s">
        <v>2349</v>
      </c>
      <c r="E2323" s="212">
        <v>13.78</v>
      </c>
    </row>
    <row r="2324" spans="1:5" ht="14.25">
      <c r="A2324" s="37">
        <v>41075</v>
      </c>
      <c r="B2324" s="37" t="s">
        <v>23116</v>
      </c>
      <c r="C2324" s="37" t="s">
        <v>2369</v>
      </c>
      <c r="D2324" s="37" t="s">
        <v>2349</v>
      </c>
      <c r="E2324" s="213">
        <v>2425.84</v>
      </c>
    </row>
    <row r="2325" spans="1:5" ht="14.25">
      <c r="A2325" s="37">
        <v>44324</v>
      </c>
      <c r="B2325" s="37" t="s">
        <v>27988</v>
      </c>
      <c r="C2325" s="37" t="s">
        <v>2356</v>
      </c>
      <c r="D2325" s="37" t="s">
        <v>2349</v>
      </c>
      <c r="E2325" s="212">
        <v>2.54</v>
      </c>
    </row>
    <row r="2326" spans="1:5" ht="14.25">
      <c r="A2326" s="37">
        <v>3315</v>
      </c>
      <c r="B2326" s="37" t="s">
        <v>23117</v>
      </c>
      <c r="C2326" s="37" t="s">
        <v>2356</v>
      </c>
      <c r="D2326" s="37" t="s">
        <v>2349</v>
      </c>
      <c r="E2326" s="212">
        <v>0.73</v>
      </c>
    </row>
    <row r="2327" spans="1:5" ht="14.25">
      <c r="A2327" s="37">
        <v>36870</v>
      </c>
      <c r="B2327" s="37" t="s">
        <v>23118</v>
      </c>
      <c r="C2327" s="37" t="s">
        <v>2356</v>
      </c>
      <c r="D2327" s="37" t="s">
        <v>2349</v>
      </c>
      <c r="E2327" s="212">
        <v>0.56999999999999995</v>
      </c>
    </row>
    <row r="2328" spans="1:5" ht="14.25">
      <c r="A2328" s="37">
        <v>5092</v>
      </c>
      <c r="B2328" s="37" t="s">
        <v>23119</v>
      </c>
      <c r="C2328" s="37" t="s">
        <v>2382</v>
      </c>
      <c r="D2328" s="37" t="s">
        <v>2349</v>
      </c>
      <c r="E2328" s="212">
        <v>15.7</v>
      </c>
    </row>
    <row r="2329" spans="1:5" ht="14.25">
      <c r="A2329" s="37">
        <v>11462</v>
      </c>
      <c r="B2329" s="37" t="s">
        <v>23120</v>
      </c>
      <c r="C2329" s="37" t="s">
        <v>2382</v>
      </c>
      <c r="D2329" s="37" t="s">
        <v>2349</v>
      </c>
      <c r="E2329" s="212">
        <v>16.059999999999999</v>
      </c>
    </row>
    <row r="2330" spans="1:5" ht="14.25">
      <c r="A2330" s="37">
        <v>36529</v>
      </c>
      <c r="B2330" s="37" t="s">
        <v>23121</v>
      </c>
      <c r="C2330" s="37" t="s">
        <v>2348</v>
      </c>
      <c r="D2330" s="37" t="s">
        <v>2351</v>
      </c>
      <c r="E2330" s="213">
        <v>79081.63</v>
      </c>
    </row>
    <row r="2331" spans="1:5" ht="14.25">
      <c r="A2331" s="37">
        <v>3318</v>
      </c>
      <c r="B2331" s="37" t="s">
        <v>23122</v>
      </c>
      <c r="C2331" s="37" t="s">
        <v>2348</v>
      </c>
      <c r="D2331" s="37" t="s">
        <v>2351</v>
      </c>
      <c r="E2331" s="213">
        <v>62000</v>
      </c>
    </row>
    <row r="2332" spans="1:5" ht="14.25">
      <c r="A2332" s="37">
        <v>3324</v>
      </c>
      <c r="B2332" s="37" t="s">
        <v>23123</v>
      </c>
      <c r="C2332" s="37" t="s">
        <v>28761</v>
      </c>
      <c r="D2332" s="37" t="s">
        <v>2349</v>
      </c>
      <c r="E2332" s="212">
        <v>8.92</v>
      </c>
    </row>
    <row r="2333" spans="1:5" ht="14.25">
      <c r="A2333" s="37">
        <v>3322</v>
      </c>
      <c r="B2333" s="37" t="s">
        <v>23124</v>
      </c>
      <c r="C2333" s="37" t="s">
        <v>28761</v>
      </c>
      <c r="D2333" s="37" t="s">
        <v>2353</v>
      </c>
      <c r="E2333" s="212">
        <v>12.5</v>
      </c>
    </row>
    <row r="2334" spans="1:5" ht="14.25">
      <c r="A2334" s="37">
        <v>5076</v>
      </c>
      <c r="B2334" s="37" t="s">
        <v>23125</v>
      </c>
      <c r="C2334" s="37" t="s">
        <v>2356</v>
      </c>
      <c r="D2334" s="37" t="s">
        <v>2349</v>
      </c>
      <c r="E2334" s="212">
        <v>27.89</v>
      </c>
    </row>
    <row r="2335" spans="1:5" ht="14.25">
      <c r="A2335" s="37">
        <v>5077</v>
      </c>
      <c r="B2335" s="37" t="s">
        <v>23126</v>
      </c>
      <c r="C2335" s="37" t="s">
        <v>2356</v>
      </c>
      <c r="D2335" s="37" t="s">
        <v>2349</v>
      </c>
      <c r="E2335" s="212">
        <v>30.82</v>
      </c>
    </row>
    <row r="2336" spans="1:5" ht="14.25">
      <c r="A2336" s="37">
        <v>11837</v>
      </c>
      <c r="B2336" s="37" t="s">
        <v>23127</v>
      </c>
      <c r="C2336" s="37" t="s">
        <v>2348</v>
      </c>
      <c r="D2336" s="37" t="s">
        <v>2349</v>
      </c>
      <c r="E2336" s="212">
        <v>59.05</v>
      </c>
    </row>
    <row r="2337" spans="1:5" ht="14.25">
      <c r="A2337" s="37">
        <v>38055</v>
      </c>
      <c r="B2337" s="37" t="s">
        <v>23128</v>
      </c>
      <c r="C2337" s="37" t="s">
        <v>2348</v>
      </c>
      <c r="D2337" s="37" t="s">
        <v>2349</v>
      </c>
      <c r="E2337" s="212">
        <v>5.35</v>
      </c>
    </row>
    <row r="2338" spans="1:5" ht="14.25">
      <c r="A2338" s="37">
        <v>415</v>
      </c>
      <c r="B2338" s="37" t="s">
        <v>23129</v>
      </c>
      <c r="C2338" s="37" t="s">
        <v>2348</v>
      </c>
      <c r="D2338" s="37" t="s">
        <v>2349</v>
      </c>
      <c r="E2338" s="212">
        <v>24.21</v>
      </c>
    </row>
    <row r="2339" spans="1:5" ht="14.25">
      <c r="A2339" s="37">
        <v>416</v>
      </c>
      <c r="B2339" s="37" t="s">
        <v>23130</v>
      </c>
      <c r="C2339" s="37" t="s">
        <v>2348</v>
      </c>
      <c r="D2339" s="37" t="s">
        <v>2349</v>
      </c>
      <c r="E2339" s="212">
        <v>8.86</v>
      </c>
    </row>
    <row r="2340" spans="1:5" ht="14.25">
      <c r="A2340" s="37">
        <v>425</v>
      </c>
      <c r="B2340" s="37" t="s">
        <v>23131</v>
      </c>
      <c r="C2340" s="37" t="s">
        <v>2348</v>
      </c>
      <c r="D2340" s="37" t="s">
        <v>2349</v>
      </c>
      <c r="E2340" s="212">
        <v>5.49</v>
      </c>
    </row>
    <row r="2341" spans="1:5" ht="14.25">
      <c r="A2341" s="37">
        <v>426</v>
      </c>
      <c r="B2341" s="37" t="s">
        <v>23132</v>
      </c>
      <c r="C2341" s="37" t="s">
        <v>2348</v>
      </c>
      <c r="D2341" s="37" t="s">
        <v>2349</v>
      </c>
      <c r="E2341" s="212">
        <v>30.26</v>
      </c>
    </row>
    <row r="2342" spans="1:5" ht="14.25">
      <c r="A2342" s="37">
        <v>38056</v>
      </c>
      <c r="B2342" s="37" t="s">
        <v>23133</v>
      </c>
      <c r="C2342" s="37" t="s">
        <v>2348</v>
      </c>
      <c r="D2342" s="37" t="s">
        <v>2349</v>
      </c>
      <c r="E2342" s="212">
        <v>29.55</v>
      </c>
    </row>
    <row r="2343" spans="1:5" ht="14.25">
      <c r="A2343" s="37">
        <v>1564</v>
      </c>
      <c r="B2343" s="37" t="s">
        <v>23134</v>
      </c>
      <c r="C2343" s="37" t="s">
        <v>2348</v>
      </c>
      <c r="D2343" s="37" t="s">
        <v>2349</v>
      </c>
      <c r="E2343" s="212">
        <v>11.28</v>
      </c>
    </row>
    <row r="2344" spans="1:5" ht="14.25">
      <c r="A2344" s="37">
        <v>11032</v>
      </c>
      <c r="B2344" s="37" t="s">
        <v>23135</v>
      </c>
      <c r="C2344" s="37" t="s">
        <v>2348</v>
      </c>
      <c r="D2344" s="37" t="s">
        <v>2349</v>
      </c>
      <c r="E2344" s="212">
        <v>16.010000000000002</v>
      </c>
    </row>
    <row r="2345" spans="1:5" ht="14.25">
      <c r="A2345" s="37">
        <v>36786</v>
      </c>
      <c r="B2345" s="37" t="s">
        <v>23136</v>
      </c>
      <c r="C2345" s="37" t="s">
        <v>2475</v>
      </c>
      <c r="D2345" s="37" t="s">
        <v>2351</v>
      </c>
      <c r="E2345" s="212">
        <v>146.59</v>
      </c>
    </row>
    <row r="2346" spans="1:5" ht="14.25">
      <c r="A2346" s="37">
        <v>36785</v>
      </c>
      <c r="B2346" s="37" t="s">
        <v>23137</v>
      </c>
      <c r="C2346" s="37" t="s">
        <v>2475</v>
      </c>
      <c r="D2346" s="37" t="s">
        <v>2351</v>
      </c>
      <c r="E2346" s="212">
        <v>127.38</v>
      </c>
    </row>
    <row r="2347" spans="1:5" ht="14.25">
      <c r="A2347" s="37">
        <v>36782</v>
      </c>
      <c r="B2347" s="37" t="s">
        <v>23138</v>
      </c>
      <c r="C2347" s="37" t="s">
        <v>2475</v>
      </c>
      <c r="D2347" s="37" t="s">
        <v>2351</v>
      </c>
      <c r="E2347" s="212">
        <v>152.05000000000001</v>
      </c>
    </row>
    <row r="2348" spans="1:5" ht="14.25">
      <c r="A2348" s="37">
        <v>44481</v>
      </c>
      <c r="B2348" s="37" t="s">
        <v>27989</v>
      </c>
      <c r="C2348" s="37" t="s">
        <v>2475</v>
      </c>
      <c r="D2348" s="37" t="s">
        <v>2351</v>
      </c>
      <c r="E2348" s="212">
        <v>171.28</v>
      </c>
    </row>
    <row r="2349" spans="1:5" ht="14.25">
      <c r="A2349" s="37">
        <v>4824</v>
      </c>
      <c r="B2349" s="37" t="s">
        <v>23139</v>
      </c>
      <c r="C2349" s="37" t="s">
        <v>2356</v>
      </c>
      <c r="D2349" s="37" t="s">
        <v>2349</v>
      </c>
      <c r="E2349" s="212">
        <v>0.39</v>
      </c>
    </row>
    <row r="2350" spans="1:5" ht="14.25">
      <c r="A2350" s="37">
        <v>11795</v>
      </c>
      <c r="B2350" s="37" t="s">
        <v>23140</v>
      </c>
      <c r="C2350" s="37" t="s">
        <v>28761</v>
      </c>
      <c r="D2350" s="37" t="s">
        <v>2349</v>
      </c>
      <c r="E2350" s="212">
        <v>264.14999999999998</v>
      </c>
    </row>
    <row r="2351" spans="1:5" ht="14.25">
      <c r="A2351" s="37">
        <v>134</v>
      </c>
      <c r="B2351" s="37" t="s">
        <v>23141</v>
      </c>
      <c r="C2351" s="37" t="s">
        <v>2356</v>
      </c>
      <c r="D2351" s="37" t="s">
        <v>2349</v>
      </c>
      <c r="E2351" s="212">
        <v>1.49</v>
      </c>
    </row>
    <row r="2352" spans="1:5" ht="14.25">
      <c r="A2352" s="37">
        <v>4229</v>
      </c>
      <c r="B2352" s="37" t="s">
        <v>23142</v>
      </c>
      <c r="C2352" s="37" t="s">
        <v>2356</v>
      </c>
      <c r="D2352" s="37" t="s">
        <v>2349</v>
      </c>
      <c r="E2352" s="212">
        <v>40.369999999999997</v>
      </c>
    </row>
    <row r="2353" spans="1:5" ht="14.25">
      <c r="A2353" s="37">
        <v>11731</v>
      </c>
      <c r="B2353" s="37" t="s">
        <v>23143</v>
      </c>
      <c r="C2353" s="37" t="s">
        <v>2348</v>
      </c>
      <c r="D2353" s="37" t="s">
        <v>2349</v>
      </c>
      <c r="E2353" s="212">
        <v>11.42</v>
      </c>
    </row>
    <row r="2354" spans="1:5" ht="14.25">
      <c r="A2354" s="37">
        <v>11732</v>
      </c>
      <c r="B2354" s="37" t="s">
        <v>23144</v>
      </c>
      <c r="C2354" s="37" t="s">
        <v>2348</v>
      </c>
      <c r="D2354" s="37" t="s">
        <v>2349</v>
      </c>
      <c r="E2354" s="212">
        <v>29.93</v>
      </c>
    </row>
    <row r="2355" spans="1:5" ht="14.25">
      <c r="A2355" s="37">
        <v>11244</v>
      </c>
      <c r="B2355" s="37" t="s">
        <v>23145</v>
      </c>
      <c r="C2355" s="37" t="s">
        <v>2348</v>
      </c>
      <c r="D2355" s="37" t="s">
        <v>2351</v>
      </c>
      <c r="E2355" s="212">
        <v>292.55</v>
      </c>
    </row>
    <row r="2356" spans="1:5" ht="14.25">
      <c r="A2356" s="37">
        <v>11245</v>
      </c>
      <c r="B2356" s="37" t="s">
        <v>23146</v>
      </c>
      <c r="C2356" s="37" t="s">
        <v>2348</v>
      </c>
      <c r="D2356" s="37" t="s">
        <v>2351</v>
      </c>
      <c r="E2356" s="212">
        <v>404.65</v>
      </c>
    </row>
    <row r="2357" spans="1:5" ht="14.25">
      <c r="A2357" s="37">
        <v>11235</v>
      </c>
      <c r="B2357" s="37" t="s">
        <v>23147</v>
      </c>
      <c r="C2357" s="37" t="s">
        <v>2348</v>
      </c>
      <c r="D2357" s="37" t="s">
        <v>2351</v>
      </c>
      <c r="E2357" s="212">
        <v>223.25</v>
      </c>
    </row>
    <row r="2358" spans="1:5" ht="14.25">
      <c r="A2358" s="37">
        <v>11236</v>
      </c>
      <c r="B2358" s="37" t="s">
        <v>23148</v>
      </c>
      <c r="C2358" s="37" t="s">
        <v>2348</v>
      </c>
      <c r="D2358" s="37" t="s">
        <v>2351</v>
      </c>
      <c r="E2358" s="212">
        <v>283.72000000000003</v>
      </c>
    </row>
    <row r="2359" spans="1:5" ht="14.25">
      <c r="A2359" s="37">
        <v>36494</v>
      </c>
      <c r="B2359" s="37" t="s">
        <v>23149</v>
      </c>
      <c r="C2359" s="37" t="s">
        <v>2348</v>
      </c>
      <c r="D2359" s="37" t="s">
        <v>2351</v>
      </c>
      <c r="E2359" s="213">
        <v>630742.5</v>
      </c>
    </row>
    <row r="2360" spans="1:5" ht="14.25">
      <c r="A2360" s="37">
        <v>36493</v>
      </c>
      <c r="B2360" s="37" t="s">
        <v>23150</v>
      </c>
      <c r="C2360" s="37" t="s">
        <v>2348</v>
      </c>
      <c r="D2360" s="37" t="s">
        <v>2351</v>
      </c>
      <c r="E2360" s="213">
        <v>714605.63</v>
      </c>
    </row>
    <row r="2361" spans="1:5" ht="14.25">
      <c r="A2361" s="37">
        <v>36492</v>
      </c>
      <c r="B2361" s="37" t="s">
        <v>23151</v>
      </c>
      <c r="C2361" s="37" t="s">
        <v>2348</v>
      </c>
      <c r="D2361" s="37" t="s">
        <v>2351</v>
      </c>
      <c r="E2361" s="213">
        <v>1327466.25</v>
      </c>
    </row>
    <row r="2362" spans="1:5" ht="14.25">
      <c r="A2362" s="37">
        <v>13333</v>
      </c>
      <c r="B2362" s="37" t="s">
        <v>23152</v>
      </c>
      <c r="C2362" s="37" t="s">
        <v>2348</v>
      </c>
      <c r="D2362" s="37" t="s">
        <v>2351</v>
      </c>
      <c r="E2362" s="213">
        <v>178752.68</v>
      </c>
    </row>
    <row r="2363" spans="1:5" ht="14.25">
      <c r="A2363" s="37">
        <v>13533</v>
      </c>
      <c r="B2363" s="37" t="s">
        <v>23153</v>
      </c>
      <c r="C2363" s="37" t="s">
        <v>2348</v>
      </c>
      <c r="D2363" s="37" t="s">
        <v>2351</v>
      </c>
      <c r="E2363" s="213">
        <v>159785.04</v>
      </c>
    </row>
    <row r="2364" spans="1:5" ht="14.25">
      <c r="A2364" s="37">
        <v>36499</v>
      </c>
      <c r="B2364" s="37" t="s">
        <v>23154</v>
      </c>
      <c r="C2364" s="37" t="s">
        <v>2348</v>
      </c>
      <c r="D2364" s="37" t="s">
        <v>2351</v>
      </c>
      <c r="E2364" s="213">
        <v>3485.67</v>
      </c>
    </row>
    <row r="2365" spans="1:5" ht="14.25">
      <c r="A2365" s="37">
        <v>39585</v>
      </c>
      <c r="B2365" s="37" t="s">
        <v>23155</v>
      </c>
      <c r="C2365" s="37" t="s">
        <v>2348</v>
      </c>
      <c r="D2365" s="37" t="s">
        <v>2351</v>
      </c>
      <c r="E2365" s="213">
        <v>115420.6</v>
      </c>
    </row>
    <row r="2366" spans="1:5" ht="14.25">
      <c r="A2366" s="37">
        <v>39586</v>
      </c>
      <c r="B2366" s="37" t="s">
        <v>23156</v>
      </c>
      <c r="C2366" s="37" t="s">
        <v>2348</v>
      </c>
      <c r="D2366" s="37" t="s">
        <v>2351</v>
      </c>
      <c r="E2366" s="213">
        <v>135380.54999999999</v>
      </c>
    </row>
    <row r="2367" spans="1:5" ht="14.25">
      <c r="A2367" s="37">
        <v>39587</v>
      </c>
      <c r="B2367" s="37" t="s">
        <v>23157</v>
      </c>
      <c r="C2367" s="37" t="s">
        <v>2348</v>
      </c>
      <c r="D2367" s="37" t="s">
        <v>2351</v>
      </c>
      <c r="E2367" s="213">
        <v>164886.57</v>
      </c>
    </row>
    <row r="2368" spans="1:5" ht="14.25">
      <c r="A2368" s="37">
        <v>39588</v>
      </c>
      <c r="B2368" s="37" t="s">
        <v>23158</v>
      </c>
      <c r="C2368" s="37" t="s">
        <v>2348</v>
      </c>
      <c r="D2368" s="37" t="s">
        <v>2351</v>
      </c>
      <c r="E2368" s="213">
        <v>190921.29</v>
      </c>
    </row>
    <row r="2369" spans="1:5" ht="14.25">
      <c r="A2369" s="37">
        <v>39584</v>
      </c>
      <c r="B2369" s="37" t="s">
        <v>23159</v>
      </c>
      <c r="C2369" s="37" t="s">
        <v>2348</v>
      </c>
      <c r="D2369" s="37" t="s">
        <v>2351</v>
      </c>
      <c r="E2369" s="213">
        <v>102785.08</v>
      </c>
    </row>
    <row r="2370" spans="1:5" ht="14.25">
      <c r="A2370" s="37">
        <v>39590</v>
      </c>
      <c r="B2370" s="37" t="s">
        <v>23160</v>
      </c>
      <c r="C2370" s="37" t="s">
        <v>2348</v>
      </c>
      <c r="D2370" s="37" t="s">
        <v>2351</v>
      </c>
      <c r="E2370" s="213">
        <v>100320.46</v>
      </c>
    </row>
    <row r="2371" spans="1:5" ht="14.25">
      <c r="A2371" s="37">
        <v>39592</v>
      </c>
      <c r="B2371" s="37" t="s">
        <v>23161</v>
      </c>
      <c r="C2371" s="37" t="s">
        <v>2348</v>
      </c>
      <c r="D2371" s="37" t="s">
        <v>2351</v>
      </c>
      <c r="E2371" s="213">
        <v>144162.93</v>
      </c>
    </row>
    <row r="2372" spans="1:5" ht="14.25">
      <c r="A2372" s="37">
        <v>39593</v>
      </c>
      <c r="B2372" s="37" t="s">
        <v>23162</v>
      </c>
      <c r="C2372" s="37" t="s">
        <v>2348</v>
      </c>
      <c r="D2372" s="37" t="s">
        <v>2351</v>
      </c>
      <c r="E2372" s="213">
        <v>164886.57</v>
      </c>
    </row>
    <row r="2373" spans="1:5" ht="14.25">
      <c r="A2373" s="37">
        <v>14254</v>
      </c>
      <c r="B2373" s="37" t="s">
        <v>23163</v>
      </c>
      <c r="C2373" s="37" t="s">
        <v>2348</v>
      </c>
      <c r="D2373" s="37" t="s">
        <v>2351</v>
      </c>
      <c r="E2373" s="213">
        <v>93725</v>
      </c>
    </row>
    <row r="2374" spans="1:5" ht="14.25">
      <c r="A2374" s="37">
        <v>44494</v>
      </c>
      <c r="B2374" s="37" t="s">
        <v>27990</v>
      </c>
      <c r="C2374" s="37" t="s">
        <v>2348</v>
      </c>
      <c r="D2374" s="37" t="s">
        <v>2351</v>
      </c>
      <c r="E2374" s="213">
        <v>78267.850000000006</v>
      </c>
    </row>
    <row r="2375" spans="1:5" ht="14.25">
      <c r="A2375" s="37">
        <v>25019</v>
      </c>
      <c r="B2375" s="37" t="s">
        <v>23164</v>
      </c>
      <c r="C2375" s="37" t="s">
        <v>2348</v>
      </c>
      <c r="D2375" s="37" t="s">
        <v>2351</v>
      </c>
      <c r="E2375" s="213">
        <v>134159.84</v>
      </c>
    </row>
    <row r="2376" spans="1:5" ht="14.25">
      <c r="A2376" s="37">
        <v>36501</v>
      </c>
      <c r="B2376" s="37" t="s">
        <v>23165</v>
      </c>
      <c r="C2376" s="37" t="s">
        <v>2348</v>
      </c>
      <c r="D2376" s="37" t="s">
        <v>2351</v>
      </c>
      <c r="E2376" s="213">
        <v>119448.5</v>
      </c>
    </row>
    <row r="2377" spans="1:5" ht="14.25">
      <c r="A2377" s="37">
        <v>44493</v>
      </c>
      <c r="B2377" s="37" t="s">
        <v>27991</v>
      </c>
      <c r="C2377" s="37" t="s">
        <v>2348</v>
      </c>
      <c r="D2377" s="37" t="s">
        <v>2351</v>
      </c>
      <c r="E2377" s="213">
        <v>143599.98000000001</v>
      </c>
    </row>
    <row r="2378" spans="1:5" ht="14.25">
      <c r="A2378" s="37">
        <v>36500</v>
      </c>
      <c r="B2378" s="37" t="s">
        <v>23166</v>
      </c>
      <c r="C2378" s="37" t="s">
        <v>2348</v>
      </c>
      <c r="D2378" s="37" t="s">
        <v>2351</v>
      </c>
      <c r="E2378" s="213">
        <v>84410.99</v>
      </c>
    </row>
    <row r="2379" spans="1:5" ht="14.25">
      <c r="A2379" s="37">
        <v>20017</v>
      </c>
      <c r="B2379" s="37" t="s">
        <v>23167</v>
      </c>
      <c r="C2379" s="37" t="s">
        <v>2355</v>
      </c>
      <c r="D2379" s="37" t="s">
        <v>2349</v>
      </c>
      <c r="E2379" s="212">
        <v>8</v>
      </c>
    </row>
    <row r="2380" spans="1:5" ht="14.25">
      <c r="A2380" s="37">
        <v>20007</v>
      </c>
      <c r="B2380" s="37" t="s">
        <v>23168</v>
      </c>
      <c r="C2380" s="37" t="s">
        <v>2355</v>
      </c>
      <c r="D2380" s="37" t="s">
        <v>2349</v>
      </c>
      <c r="E2380" s="212">
        <v>4.7699999999999996</v>
      </c>
    </row>
    <row r="2381" spans="1:5" ht="14.25">
      <c r="A2381" s="37">
        <v>39831</v>
      </c>
      <c r="B2381" s="37" t="s">
        <v>23169</v>
      </c>
      <c r="C2381" s="37" t="s">
        <v>2386</v>
      </c>
      <c r="D2381" s="37" t="s">
        <v>2351</v>
      </c>
      <c r="E2381" s="212">
        <v>270.79000000000002</v>
      </c>
    </row>
    <row r="2382" spans="1:5" ht="14.25">
      <c r="A2382" s="37">
        <v>36888</v>
      </c>
      <c r="B2382" s="37" t="s">
        <v>27992</v>
      </c>
      <c r="C2382" s="37" t="s">
        <v>2355</v>
      </c>
      <c r="D2382" s="37" t="s">
        <v>2349</v>
      </c>
      <c r="E2382" s="212">
        <v>56.9</v>
      </c>
    </row>
    <row r="2383" spans="1:5" ht="14.25">
      <c r="A2383" s="37">
        <v>39836</v>
      </c>
      <c r="B2383" s="37" t="s">
        <v>23170</v>
      </c>
      <c r="C2383" s="37" t="s">
        <v>2386</v>
      </c>
      <c r="D2383" s="37" t="s">
        <v>2351</v>
      </c>
      <c r="E2383" s="212">
        <v>237.94</v>
      </c>
    </row>
    <row r="2384" spans="1:5" ht="14.25">
      <c r="A2384" s="37">
        <v>39830</v>
      </c>
      <c r="B2384" s="37" t="s">
        <v>23171</v>
      </c>
      <c r="C2384" s="37" t="s">
        <v>2386</v>
      </c>
      <c r="D2384" s="37" t="s">
        <v>2351</v>
      </c>
      <c r="E2384" s="212">
        <v>271.36</v>
      </c>
    </row>
    <row r="2385" spans="1:5" ht="14.25">
      <c r="A2385" s="37">
        <v>40527</v>
      </c>
      <c r="B2385" s="37" t="s">
        <v>23172</v>
      </c>
      <c r="C2385" s="37" t="s">
        <v>2348</v>
      </c>
      <c r="D2385" s="37" t="s">
        <v>2351</v>
      </c>
      <c r="E2385" s="213">
        <v>2452.52</v>
      </c>
    </row>
    <row r="2386" spans="1:5" ht="14.25">
      <c r="A2386" s="37">
        <v>36497</v>
      </c>
      <c r="B2386" s="37" t="s">
        <v>23173</v>
      </c>
      <c r="C2386" s="37" t="s">
        <v>2348</v>
      </c>
      <c r="D2386" s="37" t="s">
        <v>2351</v>
      </c>
      <c r="E2386" s="213">
        <v>2799.82</v>
      </c>
    </row>
    <row r="2387" spans="1:5" ht="14.25">
      <c r="A2387" s="37">
        <v>36487</v>
      </c>
      <c r="B2387" s="37" t="s">
        <v>23174</v>
      </c>
      <c r="C2387" s="37" t="s">
        <v>2348</v>
      </c>
      <c r="D2387" s="37" t="s">
        <v>2351</v>
      </c>
      <c r="E2387" s="213">
        <v>4874.92</v>
      </c>
    </row>
    <row r="2388" spans="1:5" ht="14.25">
      <c r="A2388" s="37">
        <v>44475</v>
      </c>
      <c r="B2388" s="37" t="s">
        <v>27993</v>
      </c>
      <c r="C2388" s="37" t="s">
        <v>2348</v>
      </c>
      <c r="D2388" s="37" t="s">
        <v>2351</v>
      </c>
      <c r="E2388" s="213">
        <v>1102950.23</v>
      </c>
    </row>
    <row r="2389" spans="1:5" ht="14.25">
      <c r="A2389" s="37">
        <v>44474</v>
      </c>
      <c r="B2389" s="37" t="s">
        <v>27994</v>
      </c>
      <c r="C2389" s="37" t="s">
        <v>2348</v>
      </c>
      <c r="D2389" s="37" t="s">
        <v>2351</v>
      </c>
      <c r="E2389" s="213">
        <v>2121058.13</v>
      </c>
    </row>
    <row r="2390" spans="1:5" ht="14.25">
      <c r="A2390" s="37">
        <v>44490</v>
      </c>
      <c r="B2390" s="37" t="s">
        <v>27995</v>
      </c>
      <c r="C2390" s="37" t="s">
        <v>2348</v>
      </c>
      <c r="D2390" s="37" t="s">
        <v>2351</v>
      </c>
      <c r="E2390" s="213">
        <v>3605798.8</v>
      </c>
    </row>
    <row r="2391" spans="1:5" ht="14.25">
      <c r="A2391" s="37">
        <v>37776</v>
      </c>
      <c r="B2391" s="37" t="s">
        <v>23175</v>
      </c>
      <c r="C2391" s="37" t="s">
        <v>2348</v>
      </c>
      <c r="D2391" s="37" t="s">
        <v>2351</v>
      </c>
      <c r="E2391" s="213">
        <v>220989.38</v>
      </c>
    </row>
    <row r="2392" spans="1:5" ht="14.25">
      <c r="A2392" s="37">
        <v>37775</v>
      </c>
      <c r="B2392" s="37" t="s">
        <v>23176</v>
      </c>
      <c r="C2392" s="37" t="s">
        <v>2348</v>
      </c>
      <c r="D2392" s="37" t="s">
        <v>2351</v>
      </c>
      <c r="E2392" s="213">
        <v>348075</v>
      </c>
    </row>
    <row r="2393" spans="1:5" ht="14.25">
      <c r="A2393" s="37">
        <v>36491</v>
      </c>
      <c r="B2393" s="37" t="s">
        <v>23177</v>
      </c>
      <c r="C2393" s="37" t="s">
        <v>2348</v>
      </c>
      <c r="D2393" s="37" t="s">
        <v>2351</v>
      </c>
      <c r="E2393" s="213">
        <v>1289025</v>
      </c>
    </row>
    <row r="2394" spans="1:5" ht="14.25">
      <c r="A2394" s="37">
        <v>10712</v>
      </c>
      <c r="B2394" s="37" t="s">
        <v>23178</v>
      </c>
      <c r="C2394" s="37" t="s">
        <v>2348</v>
      </c>
      <c r="D2394" s="37" t="s">
        <v>2351</v>
      </c>
      <c r="E2394" s="213">
        <v>87018.75</v>
      </c>
    </row>
    <row r="2395" spans="1:5" ht="14.25">
      <c r="A2395" s="37">
        <v>3363</v>
      </c>
      <c r="B2395" s="37" t="s">
        <v>23179</v>
      </c>
      <c r="C2395" s="37" t="s">
        <v>2348</v>
      </c>
      <c r="D2395" s="37" t="s">
        <v>2351</v>
      </c>
      <c r="E2395" s="213">
        <v>122400</v>
      </c>
    </row>
    <row r="2396" spans="1:5" ht="14.25">
      <c r="A2396" s="37">
        <v>3365</v>
      </c>
      <c r="B2396" s="37" t="s">
        <v>23180</v>
      </c>
      <c r="C2396" s="37" t="s">
        <v>2348</v>
      </c>
      <c r="D2396" s="37" t="s">
        <v>2351</v>
      </c>
      <c r="E2396" s="213">
        <v>286110</v>
      </c>
    </row>
    <row r="2397" spans="1:5" ht="14.25">
      <c r="A2397" s="37">
        <v>7569</v>
      </c>
      <c r="B2397" s="37" t="s">
        <v>23181</v>
      </c>
      <c r="C2397" s="37" t="s">
        <v>2348</v>
      </c>
      <c r="D2397" s="37" t="s">
        <v>2349</v>
      </c>
      <c r="E2397" s="212">
        <v>61.88</v>
      </c>
    </row>
    <row r="2398" spans="1:5" ht="14.25">
      <c r="A2398" s="37">
        <v>34349</v>
      </c>
      <c r="B2398" s="37" t="s">
        <v>23182</v>
      </c>
      <c r="C2398" s="37" t="s">
        <v>2348</v>
      </c>
      <c r="D2398" s="37" t="s">
        <v>2349</v>
      </c>
      <c r="E2398" s="212">
        <v>40.93</v>
      </c>
    </row>
    <row r="2399" spans="1:5" ht="14.25">
      <c r="A2399" s="37">
        <v>11991</v>
      </c>
      <c r="B2399" s="37" t="s">
        <v>23183</v>
      </c>
      <c r="C2399" s="37" t="s">
        <v>2348</v>
      </c>
      <c r="D2399" s="37" t="s">
        <v>2349</v>
      </c>
      <c r="E2399" s="212">
        <v>67.260000000000005</v>
      </c>
    </row>
    <row r="2400" spans="1:5" ht="14.25">
      <c r="A2400" s="37">
        <v>20062</v>
      </c>
      <c r="B2400" s="37" t="s">
        <v>23184</v>
      </c>
      <c r="C2400" s="37" t="s">
        <v>2348</v>
      </c>
      <c r="D2400" s="37" t="s">
        <v>2351</v>
      </c>
      <c r="E2400" s="212">
        <v>16.989999999999998</v>
      </c>
    </row>
    <row r="2401" spans="1:5" ht="14.25">
      <c r="A2401" s="37">
        <v>11029</v>
      </c>
      <c r="B2401" s="37" t="s">
        <v>23185</v>
      </c>
      <c r="C2401" s="37" t="s">
        <v>2440</v>
      </c>
      <c r="D2401" s="37" t="s">
        <v>2349</v>
      </c>
      <c r="E2401" s="212">
        <v>2.4500000000000002</v>
      </c>
    </row>
    <row r="2402" spans="1:5" ht="14.25">
      <c r="A2402" s="37">
        <v>4316</v>
      </c>
      <c r="B2402" s="37" t="s">
        <v>23186</v>
      </c>
      <c r="C2402" s="37" t="s">
        <v>2348</v>
      </c>
      <c r="D2402" s="37" t="s">
        <v>2349</v>
      </c>
      <c r="E2402" s="212">
        <v>2.48</v>
      </c>
    </row>
    <row r="2403" spans="1:5" ht="14.25">
      <c r="A2403" s="37">
        <v>4313</v>
      </c>
      <c r="B2403" s="37" t="s">
        <v>23187</v>
      </c>
      <c r="C2403" s="37" t="s">
        <v>2440</v>
      </c>
      <c r="D2403" s="37" t="s">
        <v>2349</v>
      </c>
      <c r="E2403" s="212">
        <v>3.56</v>
      </c>
    </row>
    <row r="2404" spans="1:5" ht="14.25">
      <c r="A2404" s="37">
        <v>4317</v>
      </c>
      <c r="B2404" s="37" t="s">
        <v>23188</v>
      </c>
      <c r="C2404" s="37" t="s">
        <v>2348</v>
      </c>
      <c r="D2404" s="37" t="s">
        <v>2349</v>
      </c>
      <c r="E2404" s="212">
        <v>4.05</v>
      </c>
    </row>
    <row r="2405" spans="1:5" ht="14.25">
      <c r="A2405" s="37">
        <v>4314</v>
      </c>
      <c r="B2405" s="37" t="s">
        <v>23189</v>
      </c>
      <c r="C2405" s="37" t="s">
        <v>2440</v>
      </c>
      <c r="D2405" s="37" t="s">
        <v>2349</v>
      </c>
      <c r="E2405" s="212">
        <v>4.75</v>
      </c>
    </row>
    <row r="2406" spans="1:5" ht="14.25">
      <c r="A2406" s="37">
        <v>10921</v>
      </c>
      <c r="B2406" s="37" t="s">
        <v>23190</v>
      </c>
      <c r="C2406" s="37" t="s">
        <v>2348</v>
      </c>
      <c r="D2406" s="37" t="s">
        <v>2351</v>
      </c>
      <c r="E2406" s="213">
        <v>5240</v>
      </c>
    </row>
    <row r="2407" spans="1:5" ht="14.25">
      <c r="A2407" s="37">
        <v>10922</v>
      </c>
      <c r="B2407" s="37" t="s">
        <v>23191</v>
      </c>
      <c r="C2407" s="37" t="s">
        <v>2348</v>
      </c>
      <c r="D2407" s="37" t="s">
        <v>2351</v>
      </c>
      <c r="E2407" s="213">
        <v>4746.26</v>
      </c>
    </row>
    <row r="2408" spans="1:5" ht="14.25">
      <c r="A2408" s="37">
        <v>10923</v>
      </c>
      <c r="B2408" s="37" t="s">
        <v>23192</v>
      </c>
      <c r="C2408" s="37" t="s">
        <v>2348</v>
      </c>
      <c r="D2408" s="37" t="s">
        <v>2351</v>
      </c>
      <c r="E2408" s="213">
        <v>2805.24</v>
      </c>
    </row>
    <row r="2409" spans="1:5" ht="14.25">
      <c r="A2409" s="37">
        <v>10924</v>
      </c>
      <c r="B2409" s="37" t="s">
        <v>23193</v>
      </c>
      <c r="C2409" s="37" t="s">
        <v>2348</v>
      </c>
      <c r="D2409" s="37" t="s">
        <v>2351</v>
      </c>
      <c r="E2409" s="213">
        <v>2954.46</v>
      </c>
    </row>
    <row r="2410" spans="1:5" ht="14.25">
      <c r="A2410" s="37">
        <v>37772</v>
      </c>
      <c r="B2410" s="37" t="s">
        <v>23194</v>
      </c>
      <c r="C2410" s="37" t="s">
        <v>2348</v>
      </c>
      <c r="D2410" s="37" t="s">
        <v>2351</v>
      </c>
      <c r="E2410" s="213">
        <v>251726.23</v>
      </c>
    </row>
    <row r="2411" spans="1:5" ht="14.25">
      <c r="A2411" s="37">
        <v>37771</v>
      </c>
      <c r="B2411" s="37" t="s">
        <v>23195</v>
      </c>
      <c r="C2411" s="37" t="s">
        <v>2348</v>
      </c>
      <c r="D2411" s="37" t="s">
        <v>2351</v>
      </c>
      <c r="E2411" s="213">
        <v>267796.62</v>
      </c>
    </row>
    <row r="2412" spans="1:5" ht="14.25">
      <c r="A2412" s="37">
        <v>12772</v>
      </c>
      <c r="B2412" s="37" t="s">
        <v>23196</v>
      </c>
      <c r="C2412" s="37" t="s">
        <v>2348</v>
      </c>
      <c r="D2412" s="37" t="s">
        <v>2351</v>
      </c>
      <c r="E2412" s="212">
        <v>832.94</v>
      </c>
    </row>
    <row r="2413" spans="1:5" ht="14.25">
      <c r="A2413" s="37">
        <v>12770</v>
      </c>
      <c r="B2413" s="37" t="s">
        <v>23197</v>
      </c>
      <c r="C2413" s="37" t="s">
        <v>2348</v>
      </c>
      <c r="D2413" s="37" t="s">
        <v>2351</v>
      </c>
      <c r="E2413" s="212">
        <v>501.17</v>
      </c>
    </row>
    <row r="2414" spans="1:5" ht="14.25">
      <c r="A2414" s="37">
        <v>12775</v>
      </c>
      <c r="B2414" s="37" t="s">
        <v>23198</v>
      </c>
      <c r="C2414" s="37" t="s">
        <v>2348</v>
      </c>
      <c r="D2414" s="37" t="s">
        <v>2351</v>
      </c>
      <c r="E2414" s="212">
        <v>367.05</v>
      </c>
    </row>
    <row r="2415" spans="1:5" ht="14.25">
      <c r="A2415" s="37">
        <v>12768</v>
      </c>
      <c r="B2415" s="37" t="s">
        <v>23199</v>
      </c>
      <c r="C2415" s="37" t="s">
        <v>2348</v>
      </c>
      <c r="D2415" s="37" t="s">
        <v>2351</v>
      </c>
      <c r="E2415" s="213">
        <v>1171.76</v>
      </c>
    </row>
    <row r="2416" spans="1:5" ht="14.25">
      <c r="A2416" s="37">
        <v>12769</v>
      </c>
      <c r="B2416" s="37" t="s">
        <v>23200</v>
      </c>
      <c r="C2416" s="37" t="s">
        <v>2348</v>
      </c>
      <c r="D2416" s="37" t="s">
        <v>2351</v>
      </c>
      <c r="E2416" s="212">
        <v>96</v>
      </c>
    </row>
    <row r="2417" spans="1:5" ht="14.25">
      <c r="A2417" s="37">
        <v>12773</v>
      </c>
      <c r="B2417" s="37" t="s">
        <v>23201</v>
      </c>
      <c r="C2417" s="37" t="s">
        <v>2348</v>
      </c>
      <c r="D2417" s="37" t="s">
        <v>2351</v>
      </c>
      <c r="E2417" s="212">
        <v>103.05</v>
      </c>
    </row>
    <row r="2418" spans="1:5" ht="14.25">
      <c r="A2418" s="37">
        <v>12774</v>
      </c>
      <c r="B2418" s="37" t="s">
        <v>23202</v>
      </c>
      <c r="C2418" s="37" t="s">
        <v>2348</v>
      </c>
      <c r="D2418" s="37" t="s">
        <v>2351</v>
      </c>
      <c r="E2418" s="212">
        <v>127.05</v>
      </c>
    </row>
    <row r="2419" spans="1:5" ht="14.25">
      <c r="A2419" s="37">
        <v>12776</v>
      </c>
      <c r="B2419" s="37" t="s">
        <v>23203</v>
      </c>
      <c r="C2419" s="37" t="s">
        <v>2348</v>
      </c>
      <c r="D2419" s="37" t="s">
        <v>2351</v>
      </c>
      <c r="E2419" s="213">
        <v>1891.76</v>
      </c>
    </row>
    <row r="2420" spans="1:5" ht="14.25">
      <c r="A2420" s="37">
        <v>12777</v>
      </c>
      <c r="B2420" s="37" t="s">
        <v>23204</v>
      </c>
      <c r="C2420" s="37" t="s">
        <v>2348</v>
      </c>
      <c r="D2420" s="37" t="s">
        <v>2351</v>
      </c>
      <c r="E2420" s="213">
        <v>2470.58</v>
      </c>
    </row>
    <row r="2421" spans="1:5" ht="14.25">
      <c r="A2421" s="37">
        <v>3391</v>
      </c>
      <c r="B2421" s="37" t="s">
        <v>23205</v>
      </c>
      <c r="C2421" s="37" t="s">
        <v>2348</v>
      </c>
      <c r="D2421" s="37" t="s">
        <v>2351</v>
      </c>
      <c r="E2421" s="212">
        <v>26.98</v>
      </c>
    </row>
    <row r="2422" spans="1:5" ht="14.25">
      <c r="A2422" s="37">
        <v>3389</v>
      </c>
      <c r="B2422" s="37" t="s">
        <v>23206</v>
      </c>
      <c r="C2422" s="37" t="s">
        <v>2348</v>
      </c>
      <c r="D2422" s="37" t="s">
        <v>2351</v>
      </c>
      <c r="E2422" s="212">
        <v>14</v>
      </c>
    </row>
    <row r="2423" spans="1:5" ht="14.25">
      <c r="A2423" s="37">
        <v>3390</v>
      </c>
      <c r="B2423" s="37" t="s">
        <v>23207</v>
      </c>
      <c r="C2423" s="37" t="s">
        <v>2348</v>
      </c>
      <c r="D2423" s="37" t="s">
        <v>2351</v>
      </c>
      <c r="E2423" s="212">
        <v>15.75</v>
      </c>
    </row>
    <row r="2424" spans="1:5" ht="14.25">
      <c r="A2424" s="37">
        <v>12873</v>
      </c>
      <c r="B2424" s="37" t="s">
        <v>23208</v>
      </c>
      <c r="C2424" s="37" t="s">
        <v>2352</v>
      </c>
      <c r="D2424" s="37" t="s">
        <v>2349</v>
      </c>
      <c r="E2424" s="212">
        <v>17.309999999999999</v>
      </c>
    </row>
    <row r="2425" spans="1:5" ht="14.25">
      <c r="A2425" s="37">
        <v>41076</v>
      </c>
      <c r="B2425" s="37" t="s">
        <v>23209</v>
      </c>
      <c r="C2425" s="37" t="s">
        <v>2369</v>
      </c>
      <c r="D2425" s="37" t="s">
        <v>2349</v>
      </c>
      <c r="E2425" s="213">
        <v>3046.92</v>
      </c>
    </row>
    <row r="2426" spans="1:5" ht="14.25">
      <c r="A2426" s="37">
        <v>140</v>
      </c>
      <c r="B2426" s="37" t="s">
        <v>23210</v>
      </c>
      <c r="C2426" s="37" t="s">
        <v>2356</v>
      </c>
      <c r="D2426" s="37" t="s">
        <v>2349</v>
      </c>
      <c r="E2426" s="212">
        <v>16.64</v>
      </c>
    </row>
    <row r="2427" spans="1:5" ht="14.25">
      <c r="A2427" s="37">
        <v>151</v>
      </c>
      <c r="B2427" s="37" t="s">
        <v>27996</v>
      </c>
      <c r="C2427" s="37" t="s">
        <v>2363</v>
      </c>
      <c r="D2427" s="37" t="s">
        <v>2349</v>
      </c>
      <c r="E2427" s="212">
        <v>24.56</v>
      </c>
    </row>
    <row r="2428" spans="1:5" ht="14.25">
      <c r="A2428" s="37">
        <v>7340</v>
      </c>
      <c r="B2428" s="37" t="s">
        <v>23211</v>
      </c>
      <c r="C2428" s="37" t="s">
        <v>2363</v>
      </c>
      <c r="D2428" s="37" t="s">
        <v>2349</v>
      </c>
      <c r="E2428" s="212">
        <v>24.25</v>
      </c>
    </row>
    <row r="2429" spans="1:5" ht="14.25">
      <c r="A2429" s="37">
        <v>2701</v>
      </c>
      <c r="B2429" s="37" t="s">
        <v>23212</v>
      </c>
      <c r="C2429" s="37" t="s">
        <v>2352</v>
      </c>
      <c r="D2429" s="37" t="s">
        <v>2349</v>
      </c>
      <c r="E2429" s="212">
        <v>20.03</v>
      </c>
    </row>
    <row r="2430" spans="1:5" ht="14.25">
      <c r="A2430" s="37">
        <v>40929</v>
      </c>
      <c r="B2430" s="37" t="s">
        <v>23213</v>
      </c>
      <c r="C2430" s="37" t="s">
        <v>2369</v>
      </c>
      <c r="D2430" s="37" t="s">
        <v>2349</v>
      </c>
      <c r="E2430" s="213">
        <v>3523.93</v>
      </c>
    </row>
    <row r="2431" spans="1:5" ht="14.25">
      <c r="A2431" s="37">
        <v>38114</v>
      </c>
      <c r="B2431" s="37" t="s">
        <v>23214</v>
      </c>
      <c r="C2431" s="37" t="s">
        <v>2348</v>
      </c>
      <c r="D2431" s="37" t="s">
        <v>2349</v>
      </c>
      <c r="E2431" s="212">
        <v>16.47</v>
      </c>
    </row>
    <row r="2432" spans="1:5" ht="14.25">
      <c r="A2432" s="37">
        <v>38064</v>
      </c>
      <c r="B2432" s="37" t="s">
        <v>23215</v>
      </c>
      <c r="C2432" s="37" t="s">
        <v>2348</v>
      </c>
      <c r="D2432" s="37" t="s">
        <v>2349</v>
      </c>
      <c r="E2432" s="212">
        <v>18.41</v>
      </c>
    </row>
    <row r="2433" spans="1:5" ht="14.25">
      <c r="A2433" s="37">
        <v>38115</v>
      </c>
      <c r="B2433" s="37" t="s">
        <v>23216</v>
      </c>
      <c r="C2433" s="37" t="s">
        <v>2348</v>
      </c>
      <c r="D2433" s="37" t="s">
        <v>2349</v>
      </c>
      <c r="E2433" s="212">
        <v>17.579999999999998</v>
      </c>
    </row>
    <row r="2434" spans="1:5" ht="14.25">
      <c r="A2434" s="37">
        <v>38065</v>
      </c>
      <c r="B2434" s="37" t="s">
        <v>23217</v>
      </c>
      <c r="C2434" s="37" t="s">
        <v>2348</v>
      </c>
      <c r="D2434" s="37" t="s">
        <v>2349</v>
      </c>
      <c r="E2434" s="212">
        <v>26.12</v>
      </c>
    </row>
    <row r="2435" spans="1:5" ht="14.25">
      <c r="A2435" s="37">
        <v>38078</v>
      </c>
      <c r="B2435" s="37" t="s">
        <v>23218</v>
      </c>
      <c r="C2435" s="37" t="s">
        <v>2348</v>
      </c>
      <c r="D2435" s="37" t="s">
        <v>2349</v>
      </c>
      <c r="E2435" s="212">
        <v>15.24</v>
      </c>
    </row>
    <row r="2436" spans="1:5" ht="14.25">
      <c r="A2436" s="37">
        <v>38113</v>
      </c>
      <c r="B2436" s="37" t="s">
        <v>23219</v>
      </c>
      <c r="C2436" s="37" t="s">
        <v>2348</v>
      </c>
      <c r="D2436" s="37" t="s">
        <v>2349</v>
      </c>
      <c r="E2436" s="212">
        <v>8.2799999999999994</v>
      </c>
    </row>
    <row r="2437" spans="1:5" ht="14.25">
      <c r="A2437" s="37">
        <v>38063</v>
      </c>
      <c r="B2437" s="37" t="s">
        <v>23220</v>
      </c>
      <c r="C2437" s="37" t="s">
        <v>2348</v>
      </c>
      <c r="D2437" s="37" t="s">
        <v>2349</v>
      </c>
      <c r="E2437" s="212">
        <v>8.8800000000000008</v>
      </c>
    </row>
    <row r="2438" spans="1:5" ht="14.25">
      <c r="A2438" s="37">
        <v>38080</v>
      </c>
      <c r="B2438" s="37" t="s">
        <v>23221</v>
      </c>
      <c r="C2438" s="37" t="s">
        <v>2348</v>
      </c>
      <c r="D2438" s="37" t="s">
        <v>2349</v>
      </c>
      <c r="E2438" s="212">
        <v>26.47</v>
      </c>
    </row>
    <row r="2439" spans="1:5" ht="14.25">
      <c r="A2439" s="37">
        <v>38069</v>
      </c>
      <c r="B2439" s="37" t="s">
        <v>23222</v>
      </c>
      <c r="C2439" s="37" t="s">
        <v>2348</v>
      </c>
      <c r="D2439" s="37" t="s">
        <v>2349</v>
      </c>
      <c r="E2439" s="212">
        <v>14.48</v>
      </c>
    </row>
    <row r="2440" spans="1:5" ht="14.25">
      <c r="A2440" s="37">
        <v>38077</v>
      </c>
      <c r="B2440" s="37" t="s">
        <v>23223</v>
      </c>
      <c r="C2440" s="37" t="s">
        <v>2348</v>
      </c>
      <c r="D2440" s="37" t="s">
        <v>2349</v>
      </c>
      <c r="E2440" s="212">
        <v>14.15</v>
      </c>
    </row>
    <row r="2441" spans="1:5" ht="14.25">
      <c r="A2441" s="37">
        <v>38073</v>
      </c>
      <c r="B2441" s="37" t="s">
        <v>23224</v>
      </c>
      <c r="C2441" s="37" t="s">
        <v>2348</v>
      </c>
      <c r="D2441" s="37" t="s">
        <v>2349</v>
      </c>
      <c r="E2441" s="212">
        <v>21.55</v>
      </c>
    </row>
    <row r="2442" spans="1:5" ht="14.25">
      <c r="A2442" s="37">
        <v>38112</v>
      </c>
      <c r="B2442" s="37" t="s">
        <v>23225</v>
      </c>
      <c r="C2442" s="37" t="s">
        <v>2348</v>
      </c>
      <c r="D2442" s="37" t="s">
        <v>2349</v>
      </c>
      <c r="E2442" s="212">
        <v>6.35</v>
      </c>
    </row>
    <row r="2443" spans="1:5" ht="14.25">
      <c r="A2443" s="37">
        <v>38062</v>
      </c>
      <c r="B2443" s="37" t="s">
        <v>23226</v>
      </c>
      <c r="C2443" s="37" t="s">
        <v>2348</v>
      </c>
      <c r="D2443" s="37" t="s">
        <v>2349</v>
      </c>
      <c r="E2443" s="212">
        <v>6.52</v>
      </c>
    </row>
    <row r="2444" spans="1:5" ht="14.25">
      <c r="A2444" s="37">
        <v>12128</v>
      </c>
      <c r="B2444" s="37" t="s">
        <v>23227</v>
      </c>
      <c r="C2444" s="37" t="s">
        <v>2348</v>
      </c>
      <c r="D2444" s="37" t="s">
        <v>2349</v>
      </c>
      <c r="E2444" s="212">
        <v>8.7200000000000006</v>
      </c>
    </row>
    <row r="2445" spans="1:5" ht="14.25">
      <c r="A2445" s="37">
        <v>12129</v>
      </c>
      <c r="B2445" s="37" t="s">
        <v>23228</v>
      </c>
      <c r="C2445" s="37" t="s">
        <v>2348</v>
      </c>
      <c r="D2445" s="37" t="s">
        <v>2349</v>
      </c>
      <c r="E2445" s="212">
        <v>11.53</v>
      </c>
    </row>
    <row r="2446" spans="1:5" ht="14.25">
      <c r="A2446" s="37">
        <v>38081</v>
      </c>
      <c r="B2446" s="37" t="s">
        <v>23229</v>
      </c>
      <c r="C2446" s="37" t="s">
        <v>2348</v>
      </c>
      <c r="D2446" s="37" t="s">
        <v>2349</v>
      </c>
      <c r="E2446" s="212">
        <v>22.45</v>
      </c>
    </row>
    <row r="2447" spans="1:5" ht="14.25">
      <c r="A2447" s="37">
        <v>38070</v>
      </c>
      <c r="B2447" s="37" t="s">
        <v>23230</v>
      </c>
      <c r="C2447" s="37" t="s">
        <v>2348</v>
      </c>
      <c r="D2447" s="37" t="s">
        <v>2349</v>
      </c>
      <c r="E2447" s="212">
        <v>15.47</v>
      </c>
    </row>
    <row r="2448" spans="1:5" ht="14.25">
      <c r="A2448" s="37">
        <v>38074</v>
      </c>
      <c r="B2448" s="37" t="s">
        <v>23231</v>
      </c>
      <c r="C2448" s="37" t="s">
        <v>2348</v>
      </c>
      <c r="D2448" s="37" t="s">
        <v>2349</v>
      </c>
      <c r="E2448" s="212">
        <v>23.52</v>
      </c>
    </row>
    <row r="2449" spans="1:5" ht="14.25">
      <c r="A2449" s="37">
        <v>38079</v>
      </c>
      <c r="B2449" s="37" t="s">
        <v>23232</v>
      </c>
      <c r="C2449" s="37" t="s">
        <v>2348</v>
      </c>
      <c r="D2449" s="37" t="s">
        <v>2349</v>
      </c>
      <c r="E2449" s="212">
        <v>20.190000000000001</v>
      </c>
    </row>
    <row r="2450" spans="1:5" ht="14.25">
      <c r="A2450" s="37">
        <v>38072</v>
      </c>
      <c r="B2450" s="37" t="s">
        <v>23233</v>
      </c>
      <c r="C2450" s="37" t="s">
        <v>2348</v>
      </c>
      <c r="D2450" s="37" t="s">
        <v>2349</v>
      </c>
      <c r="E2450" s="212">
        <v>19.399999999999999</v>
      </c>
    </row>
    <row r="2451" spans="1:5" ht="14.25">
      <c r="A2451" s="37">
        <v>38068</v>
      </c>
      <c r="B2451" s="37" t="s">
        <v>23234</v>
      </c>
      <c r="C2451" s="37" t="s">
        <v>2348</v>
      </c>
      <c r="D2451" s="37" t="s">
        <v>2349</v>
      </c>
      <c r="E2451" s="212">
        <v>13.39</v>
      </c>
    </row>
    <row r="2452" spans="1:5" ht="14.25">
      <c r="A2452" s="37">
        <v>38071</v>
      </c>
      <c r="B2452" s="37" t="s">
        <v>23235</v>
      </c>
      <c r="C2452" s="37" t="s">
        <v>2348</v>
      </c>
      <c r="D2452" s="37" t="s">
        <v>2349</v>
      </c>
      <c r="E2452" s="212">
        <v>16.010000000000002</v>
      </c>
    </row>
    <row r="2453" spans="1:5" ht="14.25">
      <c r="A2453" s="37">
        <v>38412</v>
      </c>
      <c r="B2453" s="37" t="s">
        <v>23236</v>
      </c>
      <c r="C2453" s="37" t="s">
        <v>2348</v>
      </c>
      <c r="D2453" s="37" t="s">
        <v>2353</v>
      </c>
      <c r="E2453" s="213">
        <v>1495</v>
      </c>
    </row>
    <row r="2454" spans="1:5" ht="14.25">
      <c r="A2454" s="37">
        <v>3405</v>
      </c>
      <c r="B2454" s="37" t="s">
        <v>23237</v>
      </c>
      <c r="C2454" s="37" t="s">
        <v>2348</v>
      </c>
      <c r="D2454" s="37" t="s">
        <v>2349</v>
      </c>
      <c r="E2454" s="212">
        <v>88.21</v>
      </c>
    </row>
    <row r="2455" spans="1:5" ht="14.25">
      <c r="A2455" s="37">
        <v>3394</v>
      </c>
      <c r="B2455" s="37" t="s">
        <v>23238</v>
      </c>
      <c r="C2455" s="37" t="s">
        <v>2348</v>
      </c>
      <c r="D2455" s="37" t="s">
        <v>2349</v>
      </c>
      <c r="E2455" s="212">
        <v>465.62</v>
      </c>
    </row>
    <row r="2456" spans="1:5" ht="14.25">
      <c r="A2456" s="37">
        <v>3393</v>
      </c>
      <c r="B2456" s="37" t="s">
        <v>23239</v>
      </c>
      <c r="C2456" s="37" t="s">
        <v>2348</v>
      </c>
      <c r="D2456" s="37" t="s">
        <v>2349</v>
      </c>
      <c r="E2456" s="212">
        <v>792.78</v>
      </c>
    </row>
    <row r="2457" spans="1:5" ht="14.25">
      <c r="A2457" s="37">
        <v>3406</v>
      </c>
      <c r="B2457" s="37" t="s">
        <v>23240</v>
      </c>
      <c r="C2457" s="37" t="s">
        <v>2348</v>
      </c>
      <c r="D2457" s="37" t="s">
        <v>2353</v>
      </c>
      <c r="E2457" s="212">
        <v>27</v>
      </c>
    </row>
    <row r="2458" spans="1:5" ht="14.25">
      <c r="A2458" s="37">
        <v>3395</v>
      </c>
      <c r="B2458" s="37" t="s">
        <v>23241</v>
      </c>
      <c r="C2458" s="37" t="s">
        <v>2348</v>
      </c>
      <c r="D2458" s="37" t="s">
        <v>2349</v>
      </c>
      <c r="E2458" s="212">
        <v>113.9</v>
      </c>
    </row>
    <row r="2459" spans="1:5" ht="14.25">
      <c r="A2459" s="37">
        <v>3398</v>
      </c>
      <c r="B2459" s="37" t="s">
        <v>23242</v>
      </c>
      <c r="C2459" s="37" t="s">
        <v>2348</v>
      </c>
      <c r="D2459" s="37" t="s">
        <v>2349</v>
      </c>
      <c r="E2459" s="212">
        <v>5.41</v>
      </c>
    </row>
    <row r="2460" spans="1:5" ht="14.25">
      <c r="A2460" s="37">
        <v>40662</v>
      </c>
      <c r="B2460" s="37" t="s">
        <v>23243</v>
      </c>
      <c r="C2460" s="37" t="s">
        <v>2348</v>
      </c>
      <c r="D2460" s="37" t="s">
        <v>2351</v>
      </c>
      <c r="E2460" s="212">
        <v>232.08</v>
      </c>
    </row>
    <row r="2461" spans="1:5" ht="14.25">
      <c r="A2461" s="37">
        <v>3437</v>
      </c>
      <c r="B2461" s="37" t="s">
        <v>23244</v>
      </c>
      <c r="C2461" s="37" t="s">
        <v>28761</v>
      </c>
      <c r="D2461" s="37" t="s">
        <v>2351</v>
      </c>
      <c r="E2461" s="212">
        <v>644.66</v>
      </c>
    </row>
    <row r="2462" spans="1:5" ht="14.25">
      <c r="A2462" s="37">
        <v>11190</v>
      </c>
      <c r="B2462" s="37" t="s">
        <v>23245</v>
      </c>
      <c r="C2462" s="37" t="s">
        <v>2348</v>
      </c>
      <c r="D2462" s="37" t="s">
        <v>2351</v>
      </c>
      <c r="E2462" s="212">
        <v>179.9</v>
      </c>
    </row>
    <row r="2463" spans="1:5" ht="14.25">
      <c r="A2463" s="37">
        <v>34377</v>
      </c>
      <c r="B2463" s="37" t="s">
        <v>27997</v>
      </c>
      <c r="C2463" s="37" t="s">
        <v>2348</v>
      </c>
      <c r="D2463" s="37" t="s">
        <v>2349</v>
      </c>
      <c r="E2463" s="212">
        <v>400.66</v>
      </c>
    </row>
    <row r="2464" spans="1:5" ht="14.25">
      <c r="A2464" s="37">
        <v>3428</v>
      </c>
      <c r="B2464" s="37" t="s">
        <v>23246</v>
      </c>
      <c r="C2464" s="37" t="s">
        <v>28761</v>
      </c>
      <c r="D2464" s="37" t="s">
        <v>2351</v>
      </c>
      <c r="E2464" s="212">
        <v>956.25</v>
      </c>
    </row>
    <row r="2465" spans="1:5" ht="14.25">
      <c r="A2465" s="37">
        <v>3429</v>
      </c>
      <c r="B2465" s="37" t="s">
        <v>23247</v>
      </c>
      <c r="C2465" s="37" t="s">
        <v>28761</v>
      </c>
      <c r="D2465" s="37" t="s">
        <v>2351</v>
      </c>
      <c r="E2465" s="212">
        <v>546.35</v>
      </c>
    </row>
    <row r="2466" spans="1:5" ht="14.25">
      <c r="A2466" s="37">
        <v>34364</v>
      </c>
      <c r="B2466" s="37" t="s">
        <v>27998</v>
      </c>
      <c r="C2466" s="37" t="s">
        <v>2348</v>
      </c>
      <c r="D2466" s="37" t="s">
        <v>2349</v>
      </c>
      <c r="E2466" s="213">
        <v>1314.66</v>
      </c>
    </row>
    <row r="2467" spans="1:5" ht="14.25">
      <c r="A2467" s="37">
        <v>34369</v>
      </c>
      <c r="B2467" s="37" t="s">
        <v>27999</v>
      </c>
      <c r="C2467" s="37" t="s">
        <v>2348</v>
      </c>
      <c r="D2467" s="37" t="s">
        <v>2349</v>
      </c>
      <c r="E2467" s="213">
        <v>1393.56</v>
      </c>
    </row>
    <row r="2468" spans="1:5" ht="14.25">
      <c r="A2468" s="37">
        <v>36896</v>
      </c>
      <c r="B2468" s="37" t="s">
        <v>28000</v>
      </c>
      <c r="C2468" s="37" t="s">
        <v>2348</v>
      </c>
      <c r="D2468" s="37" t="s">
        <v>2353</v>
      </c>
      <c r="E2468" s="212">
        <v>776</v>
      </c>
    </row>
    <row r="2469" spans="1:5" ht="14.25">
      <c r="A2469" s="37">
        <v>34367</v>
      </c>
      <c r="B2469" s="37" t="s">
        <v>28001</v>
      </c>
      <c r="C2469" s="37" t="s">
        <v>2348</v>
      </c>
      <c r="D2469" s="37" t="s">
        <v>2349</v>
      </c>
      <c r="E2469" s="213">
        <v>1000.14</v>
      </c>
    </row>
    <row r="2470" spans="1:5" ht="14.25">
      <c r="A2470" s="37">
        <v>36897</v>
      </c>
      <c r="B2470" s="37" t="s">
        <v>28002</v>
      </c>
      <c r="C2470" s="37" t="s">
        <v>2348</v>
      </c>
      <c r="D2470" s="37" t="s">
        <v>2349</v>
      </c>
      <c r="E2470" s="213">
        <v>1210.93</v>
      </c>
    </row>
    <row r="2471" spans="1:5" ht="14.25">
      <c r="A2471" s="37">
        <v>40659</v>
      </c>
      <c r="B2471" s="37" t="s">
        <v>23248</v>
      </c>
      <c r="C2471" s="37" t="s">
        <v>28761</v>
      </c>
      <c r="D2471" s="37" t="s">
        <v>2351</v>
      </c>
      <c r="E2471" s="212">
        <v>912.11</v>
      </c>
    </row>
    <row r="2472" spans="1:5" ht="14.25">
      <c r="A2472" s="37">
        <v>40660</v>
      </c>
      <c r="B2472" s="37" t="s">
        <v>23249</v>
      </c>
      <c r="C2472" s="37" t="s">
        <v>28761</v>
      </c>
      <c r="D2472" s="37" t="s">
        <v>2351</v>
      </c>
      <c r="E2472" s="213">
        <v>1155.99</v>
      </c>
    </row>
    <row r="2473" spans="1:5" ht="14.25">
      <c r="A2473" s="37">
        <v>40661</v>
      </c>
      <c r="B2473" s="37" t="s">
        <v>23250</v>
      </c>
      <c r="C2473" s="37" t="s">
        <v>28761</v>
      </c>
      <c r="D2473" s="37" t="s">
        <v>2351</v>
      </c>
      <c r="E2473" s="212">
        <v>710.73</v>
      </c>
    </row>
    <row r="2474" spans="1:5" ht="14.25">
      <c r="A2474" s="37">
        <v>3421</v>
      </c>
      <c r="B2474" s="37" t="s">
        <v>23251</v>
      </c>
      <c r="C2474" s="37" t="s">
        <v>28761</v>
      </c>
      <c r="D2474" s="37" t="s">
        <v>2351</v>
      </c>
      <c r="E2474" s="212">
        <v>716.17</v>
      </c>
    </row>
    <row r="2475" spans="1:5" ht="14.25">
      <c r="A2475" s="37">
        <v>599</v>
      </c>
      <c r="B2475" s="37" t="s">
        <v>28003</v>
      </c>
      <c r="C2475" s="37" t="s">
        <v>28761</v>
      </c>
      <c r="D2475" s="37" t="s">
        <v>2349</v>
      </c>
      <c r="E2475" s="213">
        <v>1415.26</v>
      </c>
    </row>
    <row r="2476" spans="1:5" ht="14.25">
      <c r="A2476" s="37">
        <v>44053</v>
      </c>
      <c r="B2476" s="37" t="s">
        <v>28004</v>
      </c>
      <c r="C2476" s="37" t="s">
        <v>2348</v>
      </c>
      <c r="D2476" s="37" t="s">
        <v>2349</v>
      </c>
      <c r="E2476" s="213">
        <v>3141.21</v>
      </c>
    </row>
    <row r="2477" spans="1:5" ht="14.25">
      <c r="A2477" s="37">
        <v>3423</v>
      </c>
      <c r="B2477" s="37" t="s">
        <v>23252</v>
      </c>
      <c r="C2477" s="37" t="s">
        <v>28761</v>
      </c>
      <c r="D2477" s="37" t="s">
        <v>2351</v>
      </c>
      <c r="E2477" s="213">
        <v>1009.97</v>
      </c>
    </row>
    <row r="2478" spans="1:5" ht="14.25">
      <c r="A2478" s="37">
        <v>34381</v>
      </c>
      <c r="B2478" s="37" t="s">
        <v>28005</v>
      </c>
      <c r="C2478" s="37" t="s">
        <v>2348</v>
      </c>
      <c r="D2478" s="37" t="s">
        <v>2349</v>
      </c>
      <c r="E2478" s="212">
        <v>571.45000000000005</v>
      </c>
    </row>
    <row r="2479" spans="1:5" ht="14.25">
      <c r="A2479" s="37">
        <v>34797</v>
      </c>
      <c r="B2479" s="37" t="s">
        <v>23253</v>
      </c>
      <c r="C2479" s="37" t="s">
        <v>2348</v>
      </c>
      <c r="D2479" s="37" t="s">
        <v>2351</v>
      </c>
      <c r="E2479" s="212">
        <v>391.85</v>
      </c>
    </row>
    <row r="2480" spans="1:5" ht="14.25">
      <c r="A2480" s="37">
        <v>44054</v>
      </c>
      <c r="B2480" s="37" t="s">
        <v>28006</v>
      </c>
      <c r="C2480" s="37" t="s">
        <v>2348</v>
      </c>
      <c r="D2480" s="37" t="s">
        <v>2349</v>
      </c>
      <c r="E2480" s="213">
        <v>1126.8699999999999</v>
      </c>
    </row>
    <row r="2481" spans="1:5" ht="14.25">
      <c r="A2481" s="37">
        <v>44399</v>
      </c>
      <c r="B2481" s="37" t="s">
        <v>28007</v>
      </c>
      <c r="C2481" s="37" t="s">
        <v>2348</v>
      </c>
      <c r="D2481" s="37" t="s">
        <v>2349</v>
      </c>
      <c r="E2481" s="213">
        <v>1539.68</v>
      </c>
    </row>
    <row r="2482" spans="1:5" ht="14.25">
      <c r="A2482" s="37">
        <v>41077</v>
      </c>
      <c r="B2482" s="37" t="s">
        <v>23254</v>
      </c>
      <c r="C2482" s="37" t="s">
        <v>2369</v>
      </c>
      <c r="D2482" s="37" t="s">
        <v>2349</v>
      </c>
      <c r="E2482" s="213">
        <v>3178.38</v>
      </c>
    </row>
    <row r="2483" spans="1:5" ht="14.25">
      <c r="A2483" s="37">
        <v>44503</v>
      </c>
      <c r="B2483" s="37" t="s">
        <v>28008</v>
      </c>
      <c r="C2483" s="37" t="s">
        <v>2352</v>
      </c>
      <c r="D2483" s="37" t="s">
        <v>2349</v>
      </c>
      <c r="E2483" s="212">
        <v>18.07</v>
      </c>
    </row>
    <row r="2484" spans="1:5" ht="14.25">
      <c r="A2484" s="37">
        <v>20159</v>
      </c>
      <c r="B2484" s="37" t="s">
        <v>23255</v>
      </c>
      <c r="C2484" s="37" t="s">
        <v>2348</v>
      </c>
      <c r="D2484" s="37" t="s">
        <v>2349</v>
      </c>
      <c r="E2484" s="212">
        <v>84.04</v>
      </c>
    </row>
    <row r="2485" spans="1:5" ht="14.25">
      <c r="A2485" s="37">
        <v>37963</v>
      </c>
      <c r="B2485" s="37" t="s">
        <v>23256</v>
      </c>
      <c r="C2485" s="37" t="s">
        <v>2348</v>
      </c>
      <c r="D2485" s="37" t="s">
        <v>2349</v>
      </c>
      <c r="E2485" s="212">
        <v>5.08</v>
      </c>
    </row>
    <row r="2486" spans="1:5" ht="14.25">
      <c r="A2486" s="37">
        <v>37964</v>
      </c>
      <c r="B2486" s="37" t="s">
        <v>23257</v>
      </c>
      <c r="C2486" s="37" t="s">
        <v>2348</v>
      </c>
      <c r="D2486" s="37" t="s">
        <v>2349</v>
      </c>
      <c r="E2486" s="212">
        <v>8.4700000000000006</v>
      </c>
    </row>
    <row r="2487" spans="1:5" ht="14.25">
      <c r="A2487" s="37">
        <v>37965</v>
      </c>
      <c r="B2487" s="37" t="s">
        <v>23258</v>
      </c>
      <c r="C2487" s="37" t="s">
        <v>2348</v>
      </c>
      <c r="D2487" s="37" t="s">
        <v>2349</v>
      </c>
      <c r="E2487" s="212">
        <v>12.28</v>
      </c>
    </row>
    <row r="2488" spans="1:5" ht="14.25">
      <c r="A2488" s="37">
        <v>37966</v>
      </c>
      <c r="B2488" s="37" t="s">
        <v>23259</v>
      </c>
      <c r="C2488" s="37" t="s">
        <v>2348</v>
      </c>
      <c r="D2488" s="37" t="s">
        <v>2349</v>
      </c>
      <c r="E2488" s="212">
        <v>22.24</v>
      </c>
    </row>
    <row r="2489" spans="1:5" ht="14.25">
      <c r="A2489" s="37">
        <v>37967</v>
      </c>
      <c r="B2489" s="37" t="s">
        <v>23260</v>
      </c>
      <c r="C2489" s="37" t="s">
        <v>2348</v>
      </c>
      <c r="D2489" s="37" t="s">
        <v>2349</v>
      </c>
      <c r="E2489" s="212">
        <v>35.659999999999997</v>
      </c>
    </row>
    <row r="2490" spans="1:5" ht="14.25">
      <c r="A2490" s="37">
        <v>37968</v>
      </c>
      <c r="B2490" s="37" t="s">
        <v>23261</v>
      </c>
      <c r="C2490" s="37" t="s">
        <v>2348</v>
      </c>
      <c r="D2490" s="37" t="s">
        <v>2349</v>
      </c>
      <c r="E2490" s="212">
        <v>78.209999999999994</v>
      </c>
    </row>
    <row r="2491" spans="1:5" ht="14.25">
      <c r="A2491" s="37">
        <v>37969</v>
      </c>
      <c r="B2491" s="37" t="s">
        <v>23262</v>
      </c>
      <c r="C2491" s="37" t="s">
        <v>2348</v>
      </c>
      <c r="D2491" s="37" t="s">
        <v>2349</v>
      </c>
      <c r="E2491" s="212">
        <v>208.95</v>
      </c>
    </row>
    <row r="2492" spans="1:5" ht="14.25">
      <c r="A2492" s="37">
        <v>37970</v>
      </c>
      <c r="B2492" s="37" t="s">
        <v>23263</v>
      </c>
      <c r="C2492" s="37" t="s">
        <v>2348</v>
      </c>
      <c r="D2492" s="37" t="s">
        <v>2349</v>
      </c>
      <c r="E2492" s="212">
        <v>243.75</v>
      </c>
    </row>
    <row r="2493" spans="1:5" ht="14.25">
      <c r="A2493" s="37">
        <v>21118</v>
      </c>
      <c r="B2493" s="37" t="s">
        <v>23264</v>
      </c>
      <c r="C2493" s="37" t="s">
        <v>2348</v>
      </c>
      <c r="D2493" s="37" t="s">
        <v>2353</v>
      </c>
      <c r="E2493" s="212">
        <v>3.84</v>
      </c>
    </row>
    <row r="2494" spans="1:5" ht="14.25">
      <c r="A2494" s="37">
        <v>37956</v>
      </c>
      <c r="B2494" s="37" t="s">
        <v>23265</v>
      </c>
      <c r="C2494" s="37" t="s">
        <v>2348</v>
      </c>
      <c r="D2494" s="37" t="s">
        <v>2349</v>
      </c>
      <c r="E2494" s="212">
        <v>6.08</v>
      </c>
    </row>
    <row r="2495" spans="1:5" ht="14.25">
      <c r="A2495" s="37">
        <v>37957</v>
      </c>
      <c r="B2495" s="37" t="s">
        <v>23266</v>
      </c>
      <c r="C2495" s="37" t="s">
        <v>2348</v>
      </c>
      <c r="D2495" s="37" t="s">
        <v>2349</v>
      </c>
      <c r="E2495" s="212">
        <v>12.83</v>
      </c>
    </row>
    <row r="2496" spans="1:5" ht="14.25">
      <c r="A2496" s="37">
        <v>37958</v>
      </c>
      <c r="B2496" s="37" t="s">
        <v>23267</v>
      </c>
      <c r="C2496" s="37" t="s">
        <v>2348</v>
      </c>
      <c r="D2496" s="37" t="s">
        <v>2349</v>
      </c>
      <c r="E2496" s="212">
        <v>22.24</v>
      </c>
    </row>
    <row r="2497" spans="1:5" ht="14.25">
      <c r="A2497" s="37">
        <v>37959</v>
      </c>
      <c r="B2497" s="37" t="s">
        <v>23268</v>
      </c>
      <c r="C2497" s="37" t="s">
        <v>2348</v>
      </c>
      <c r="D2497" s="37" t="s">
        <v>2349</v>
      </c>
      <c r="E2497" s="212">
        <v>35.659999999999997</v>
      </c>
    </row>
    <row r="2498" spans="1:5" ht="14.25">
      <c r="A2498" s="37">
        <v>37960</v>
      </c>
      <c r="B2498" s="37" t="s">
        <v>23269</v>
      </c>
      <c r="C2498" s="37" t="s">
        <v>2348</v>
      </c>
      <c r="D2498" s="37" t="s">
        <v>2349</v>
      </c>
      <c r="E2498" s="212">
        <v>76.8</v>
      </c>
    </row>
    <row r="2499" spans="1:5" ht="14.25">
      <c r="A2499" s="37">
        <v>37961</v>
      </c>
      <c r="B2499" s="37" t="s">
        <v>23270</v>
      </c>
      <c r="C2499" s="37" t="s">
        <v>2348</v>
      </c>
      <c r="D2499" s="37" t="s">
        <v>2349</v>
      </c>
      <c r="E2499" s="212">
        <v>203.76</v>
      </c>
    </row>
    <row r="2500" spans="1:5" ht="14.25">
      <c r="A2500" s="37">
        <v>37962</v>
      </c>
      <c r="B2500" s="37" t="s">
        <v>23271</v>
      </c>
      <c r="C2500" s="37" t="s">
        <v>2348</v>
      </c>
      <c r="D2500" s="37" t="s">
        <v>2349</v>
      </c>
      <c r="E2500" s="212">
        <v>236.76</v>
      </c>
    </row>
    <row r="2501" spans="1:5" ht="14.25">
      <c r="A2501" s="37">
        <v>3533</v>
      </c>
      <c r="B2501" s="37" t="s">
        <v>23272</v>
      </c>
      <c r="C2501" s="37" t="s">
        <v>2348</v>
      </c>
      <c r="D2501" s="37" t="s">
        <v>2349</v>
      </c>
      <c r="E2501" s="212">
        <v>3.68</v>
      </c>
    </row>
    <row r="2502" spans="1:5" ht="14.25">
      <c r="A2502" s="37">
        <v>3538</v>
      </c>
      <c r="B2502" s="37" t="s">
        <v>23273</v>
      </c>
      <c r="C2502" s="37" t="s">
        <v>2348</v>
      </c>
      <c r="D2502" s="37" t="s">
        <v>2349</v>
      </c>
      <c r="E2502" s="212">
        <v>6.35</v>
      </c>
    </row>
    <row r="2503" spans="1:5" ht="14.25">
      <c r="A2503" s="37">
        <v>3497</v>
      </c>
      <c r="B2503" s="37" t="s">
        <v>23274</v>
      </c>
      <c r="C2503" s="37" t="s">
        <v>2348</v>
      </c>
      <c r="D2503" s="37" t="s">
        <v>2349</v>
      </c>
      <c r="E2503" s="212">
        <v>23.72</v>
      </c>
    </row>
    <row r="2504" spans="1:5" ht="14.25">
      <c r="A2504" s="37">
        <v>3498</v>
      </c>
      <c r="B2504" s="37" t="s">
        <v>23275</v>
      </c>
      <c r="C2504" s="37" t="s">
        <v>2348</v>
      </c>
      <c r="D2504" s="37" t="s">
        <v>2349</v>
      </c>
      <c r="E2504" s="212">
        <v>7.53</v>
      </c>
    </row>
    <row r="2505" spans="1:5" ht="14.25">
      <c r="A2505" s="37">
        <v>3496</v>
      </c>
      <c r="B2505" s="37" t="s">
        <v>23276</v>
      </c>
      <c r="C2505" s="37" t="s">
        <v>2348</v>
      </c>
      <c r="D2505" s="37" t="s">
        <v>2349</v>
      </c>
      <c r="E2505" s="212">
        <v>6.08</v>
      </c>
    </row>
    <row r="2506" spans="1:5" ht="14.25">
      <c r="A2506" s="37">
        <v>38429</v>
      </c>
      <c r="B2506" s="37" t="s">
        <v>23277</v>
      </c>
      <c r="C2506" s="37" t="s">
        <v>2348</v>
      </c>
      <c r="D2506" s="37" t="s">
        <v>2349</v>
      </c>
      <c r="E2506" s="212">
        <v>12.97</v>
      </c>
    </row>
    <row r="2507" spans="1:5" ht="14.25">
      <c r="A2507" s="37">
        <v>38431</v>
      </c>
      <c r="B2507" s="37" t="s">
        <v>23278</v>
      </c>
      <c r="C2507" s="37" t="s">
        <v>2348</v>
      </c>
      <c r="D2507" s="37" t="s">
        <v>2349</v>
      </c>
      <c r="E2507" s="212">
        <v>20.54</v>
      </c>
    </row>
    <row r="2508" spans="1:5" ht="14.25">
      <c r="A2508" s="37">
        <v>38430</v>
      </c>
      <c r="B2508" s="37" t="s">
        <v>23279</v>
      </c>
      <c r="C2508" s="37" t="s">
        <v>2348</v>
      </c>
      <c r="D2508" s="37" t="s">
        <v>2349</v>
      </c>
      <c r="E2508" s="212">
        <v>26.25</v>
      </c>
    </row>
    <row r="2509" spans="1:5" ht="14.25">
      <c r="A2509" s="37">
        <v>36348</v>
      </c>
      <c r="B2509" s="37" t="s">
        <v>23280</v>
      </c>
      <c r="C2509" s="37" t="s">
        <v>2348</v>
      </c>
      <c r="D2509" s="37" t="s">
        <v>2351</v>
      </c>
      <c r="E2509" s="212">
        <v>2.04</v>
      </c>
    </row>
    <row r="2510" spans="1:5" ht="14.25">
      <c r="A2510" s="37">
        <v>36349</v>
      </c>
      <c r="B2510" s="37" t="s">
        <v>23281</v>
      </c>
      <c r="C2510" s="37" t="s">
        <v>2348</v>
      </c>
      <c r="D2510" s="37" t="s">
        <v>2351</v>
      </c>
      <c r="E2510" s="212">
        <v>3.06</v>
      </c>
    </row>
    <row r="2511" spans="1:5" ht="14.25">
      <c r="A2511" s="37">
        <v>38433</v>
      </c>
      <c r="B2511" s="37" t="s">
        <v>23282</v>
      </c>
      <c r="C2511" s="37" t="s">
        <v>2348</v>
      </c>
      <c r="D2511" s="37" t="s">
        <v>2351</v>
      </c>
      <c r="E2511" s="212">
        <v>5.68</v>
      </c>
    </row>
    <row r="2512" spans="1:5" ht="14.25">
      <c r="A2512" s="37">
        <v>38440</v>
      </c>
      <c r="B2512" s="37" t="s">
        <v>23283</v>
      </c>
      <c r="C2512" s="37" t="s">
        <v>2348</v>
      </c>
      <c r="D2512" s="37" t="s">
        <v>2351</v>
      </c>
      <c r="E2512" s="212">
        <v>195.77</v>
      </c>
    </row>
    <row r="2513" spans="1:5" ht="14.25">
      <c r="A2513" s="37">
        <v>36359</v>
      </c>
      <c r="B2513" s="37" t="s">
        <v>23284</v>
      </c>
      <c r="C2513" s="37" t="s">
        <v>2348</v>
      </c>
      <c r="D2513" s="37" t="s">
        <v>2351</v>
      </c>
      <c r="E2513" s="212">
        <v>2.4300000000000002</v>
      </c>
    </row>
    <row r="2514" spans="1:5" ht="14.25">
      <c r="A2514" s="37">
        <v>36360</v>
      </c>
      <c r="B2514" s="37" t="s">
        <v>23285</v>
      </c>
      <c r="C2514" s="37" t="s">
        <v>2348</v>
      </c>
      <c r="D2514" s="37" t="s">
        <v>2351</v>
      </c>
      <c r="E2514" s="212">
        <v>3.75</v>
      </c>
    </row>
    <row r="2515" spans="1:5" ht="14.25">
      <c r="A2515" s="37">
        <v>38434</v>
      </c>
      <c r="B2515" s="37" t="s">
        <v>23286</v>
      </c>
      <c r="C2515" s="37" t="s">
        <v>2348</v>
      </c>
      <c r="D2515" s="37" t="s">
        <v>2351</v>
      </c>
      <c r="E2515" s="212">
        <v>5.75</v>
      </c>
    </row>
    <row r="2516" spans="1:5" ht="14.25">
      <c r="A2516" s="37">
        <v>38435</v>
      </c>
      <c r="B2516" s="37" t="s">
        <v>23287</v>
      </c>
      <c r="C2516" s="37" t="s">
        <v>2348</v>
      </c>
      <c r="D2516" s="37" t="s">
        <v>2351</v>
      </c>
      <c r="E2516" s="212">
        <v>10.92</v>
      </c>
    </row>
    <row r="2517" spans="1:5" ht="14.25">
      <c r="A2517" s="37">
        <v>38436</v>
      </c>
      <c r="B2517" s="37" t="s">
        <v>23288</v>
      </c>
      <c r="C2517" s="37" t="s">
        <v>2348</v>
      </c>
      <c r="D2517" s="37" t="s">
        <v>2351</v>
      </c>
      <c r="E2517" s="212">
        <v>22.57</v>
      </c>
    </row>
    <row r="2518" spans="1:5" ht="14.25">
      <c r="A2518" s="37">
        <v>38437</v>
      </c>
      <c r="B2518" s="37" t="s">
        <v>23289</v>
      </c>
      <c r="C2518" s="37" t="s">
        <v>2348</v>
      </c>
      <c r="D2518" s="37" t="s">
        <v>2351</v>
      </c>
      <c r="E2518" s="212">
        <v>33.89</v>
      </c>
    </row>
    <row r="2519" spans="1:5" ht="14.25">
      <c r="A2519" s="37">
        <v>38438</v>
      </c>
      <c r="B2519" s="37" t="s">
        <v>23290</v>
      </c>
      <c r="C2519" s="37" t="s">
        <v>2348</v>
      </c>
      <c r="D2519" s="37" t="s">
        <v>2351</v>
      </c>
      <c r="E2519" s="212">
        <v>85.64</v>
      </c>
    </row>
    <row r="2520" spans="1:5" ht="14.25">
      <c r="A2520" s="37">
        <v>38439</v>
      </c>
      <c r="B2520" s="37" t="s">
        <v>23291</v>
      </c>
      <c r="C2520" s="37" t="s">
        <v>2348</v>
      </c>
      <c r="D2520" s="37" t="s">
        <v>2351</v>
      </c>
      <c r="E2520" s="212">
        <v>130.54</v>
      </c>
    </row>
    <row r="2521" spans="1:5" ht="14.25">
      <c r="A2521" s="37">
        <v>10836</v>
      </c>
      <c r="B2521" s="37" t="s">
        <v>23292</v>
      </c>
      <c r="C2521" s="37" t="s">
        <v>2348</v>
      </c>
      <c r="D2521" s="37" t="s">
        <v>2349</v>
      </c>
      <c r="E2521" s="212">
        <v>29.46</v>
      </c>
    </row>
    <row r="2522" spans="1:5" ht="14.25">
      <c r="A2522" s="37">
        <v>20128</v>
      </c>
      <c r="B2522" s="37" t="s">
        <v>23293</v>
      </c>
      <c r="C2522" s="37" t="s">
        <v>2348</v>
      </c>
      <c r="D2522" s="37" t="s">
        <v>2349</v>
      </c>
      <c r="E2522" s="212">
        <v>86.34</v>
      </c>
    </row>
    <row r="2523" spans="1:5" ht="14.25">
      <c r="A2523" s="37">
        <v>20131</v>
      </c>
      <c r="B2523" s="37" t="s">
        <v>23294</v>
      </c>
      <c r="C2523" s="37" t="s">
        <v>2348</v>
      </c>
      <c r="D2523" s="37" t="s">
        <v>2349</v>
      </c>
      <c r="E2523" s="212">
        <v>78.81</v>
      </c>
    </row>
    <row r="2524" spans="1:5" ht="14.25">
      <c r="A2524" s="37">
        <v>3521</v>
      </c>
      <c r="B2524" s="37" t="s">
        <v>23295</v>
      </c>
      <c r="C2524" s="37" t="s">
        <v>2348</v>
      </c>
      <c r="D2524" s="37" t="s">
        <v>2349</v>
      </c>
      <c r="E2524" s="212">
        <v>3.2</v>
      </c>
    </row>
    <row r="2525" spans="1:5" ht="14.25">
      <c r="A2525" s="37">
        <v>3531</v>
      </c>
      <c r="B2525" s="37" t="s">
        <v>23296</v>
      </c>
      <c r="C2525" s="37" t="s">
        <v>2348</v>
      </c>
      <c r="D2525" s="37" t="s">
        <v>2349</v>
      </c>
      <c r="E2525" s="212">
        <v>3.62</v>
      </c>
    </row>
    <row r="2526" spans="1:5" ht="14.25">
      <c r="A2526" s="37">
        <v>3522</v>
      </c>
      <c r="B2526" s="37" t="s">
        <v>23297</v>
      </c>
      <c r="C2526" s="37" t="s">
        <v>2348</v>
      </c>
      <c r="D2526" s="37" t="s">
        <v>2349</v>
      </c>
      <c r="E2526" s="212">
        <v>5.39</v>
      </c>
    </row>
    <row r="2527" spans="1:5" ht="14.25">
      <c r="A2527" s="37">
        <v>3527</v>
      </c>
      <c r="B2527" s="37" t="s">
        <v>23298</v>
      </c>
      <c r="C2527" s="37" t="s">
        <v>2348</v>
      </c>
      <c r="D2527" s="37" t="s">
        <v>2349</v>
      </c>
      <c r="E2527" s="212">
        <v>18.52</v>
      </c>
    </row>
    <row r="2528" spans="1:5" ht="14.25">
      <c r="A2528" s="37">
        <v>10835</v>
      </c>
      <c r="B2528" s="37" t="s">
        <v>23299</v>
      </c>
      <c r="C2528" s="37" t="s">
        <v>2348</v>
      </c>
      <c r="D2528" s="37" t="s">
        <v>2349</v>
      </c>
      <c r="E2528" s="212">
        <v>6.17</v>
      </c>
    </row>
    <row r="2529" spans="1:5" ht="14.25">
      <c r="A2529" s="37">
        <v>3475</v>
      </c>
      <c r="B2529" s="37" t="s">
        <v>23300</v>
      </c>
      <c r="C2529" s="37" t="s">
        <v>2348</v>
      </c>
      <c r="D2529" s="37" t="s">
        <v>2349</v>
      </c>
      <c r="E2529" s="212">
        <v>6.22</v>
      </c>
    </row>
    <row r="2530" spans="1:5" ht="14.25">
      <c r="A2530" s="37">
        <v>3485</v>
      </c>
      <c r="B2530" s="37" t="s">
        <v>23301</v>
      </c>
      <c r="C2530" s="37" t="s">
        <v>2348</v>
      </c>
      <c r="D2530" s="37" t="s">
        <v>2349</v>
      </c>
      <c r="E2530" s="212">
        <v>19.88</v>
      </c>
    </row>
    <row r="2531" spans="1:5" ht="14.25">
      <c r="A2531" s="37">
        <v>3534</v>
      </c>
      <c r="B2531" s="37" t="s">
        <v>23302</v>
      </c>
      <c r="C2531" s="37" t="s">
        <v>2348</v>
      </c>
      <c r="D2531" s="37" t="s">
        <v>2349</v>
      </c>
      <c r="E2531" s="212">
        <v>7.86</v>
      </c>
    </row>
    <row r="2532" spans="1:5" ht="14.25">
      <c r="A2532" s="37">
        <v>3543</v>
      </c>
      <c r="B2532" s="37" t="s">
        <v>23303</v>
      </c>
      <c r="C2532" s="37" t="s">
        <v>2348</v>
      </c>
      <c r="D2532" s="37" t="s">
        <v>2349</v>
      </c>
      <c r="E2532" s="212">
        <v>3.95</v>
      </c>
    </row>
    <row r="2533" spans="1:5" ht="14.25">
      <c r="A2533" s="37">
        <v>3482</v>
      </c>
      <c r="B2533" s="37" t="s">
        <v>23304</v>
      </c>
      <c r="C2533" s="37" t="s">
        <v>2348</v>
      </c>
      <c r="D2533" s="37" t="s">
        <v>2349</v>
      </c>
      <c r="E2533" s="212">
        <v>9.99</v>
      </c>
    </row>
    <row r="2534" spans="1:5" ht="14.25">
      <c r="A2534" s="37">
        <v>3505</v>
      </c>
      <c r="B2534" s="37" t="s">
        <v>23305</v>
      </c>
      <c r="C2534" s="37" t="s">
        <v>2348</v>
      </c>
      <c r="D2534" s="37" t="s">
        <v>2349</v>
      </c>
      <c r="E2534" s="212">
        <v>5.67</v>
      </c>
    </row>
    <row r="2535" spans="1:5" ht="14.25">
      <c r="A2535" s="37">
        <v>3516</v>
      </c>
      <c r="B2535" s="37" t="s">
        <v>23306</v>
      </c>
      <c r="C2535" s="37" t="s">
        <v>2348</v>
      </c>
      <c r="D2535" s="37" t="s">
        <v>2349</v>
      </c>
      <c r="E2535" s="212">
        <v>1.61</v>
      </c>
    </row>
    <row r="2536" spans="1:5" ht="14.25">
      <c r="A2536" s="37">
        <v>3517</v>
      </c>
      <c r="B2536" s="37" t="s">
        <v>23307</v>
      </c>
      <c r="C2536" s="37" t="s">
        <v>2348</v>
      </c>
      <c r="D2536" s="37" t="s">
        <v>2349</v>
      </c>
      <c r="E2536" s="212">
        <v>5.63</v>
      </c>
    </row>
    <row r="2537" spans="1:5" ht="14.25">
      <c r="A2537" s="37">
        <v>3515</v>
      </c>
      <c r="B2537" s="37" t="s">
        <v>23308</v>
      </c>
      <c r="C2537" s="37" t="s">
        <v>2348</v>
      </c>
      <c r="D2537" s="37" t="s">
        <v>2349</v>
      </c>
      <c r="E2537" s="212">
        <v>9.18</v>
      </c>
    </row>
    <row r="2538" spans="1:5" ht="14.25">
      <c r="A2538" s="37">
        <v>20147</v>
      </c>
      <c r="B2538" s="37" t="s">
        <v>23309</v>
      </c>
      <c r="C2538" s="37" t="s">
        <v>2348</v>
      </c>
      <c r="D2538" s="37" t="s">
        <v>2349</v>
      </c>
      <c r="E2538" s="212">
        <v>9.8800000000000008</v>
      </c>
    </row>
    <row r="2539" spans="1:5" ht="14.25">
      <c r="A2539" s="37">
        <v>3524</v>
      </c>
      <c r="B2539" s="37" t="s">
        <v>23310</v>
      </c>
      <c r="C2539" s="37" t="s">
        <v>2348</v>
      </c>
      <c r="D2539" s="37" t="s">
        <v>2349</v>
      </c>
      <c r="E2539" s="212">
        <v>11.71</v>
      </c>
    </row>
    <row r="2540" spans="1:5" ht="14.25">
      <c r="A2540" s="37">
        <v>3532</v>
      </c>
      <c r="B2540" s="37" t="s">
        <v>23311</v>
      </c>
      <c r="C2540" s="37" t="s">
        <v>2348</v>
      </c>
      <c r="D2540" s="37" t="s">
        <v>2349</v>
      </c>
      <c r="E2540" s="212">
        <v>21.43</v>
      </c>
    </row>
    <row r="2541" spans="1:5" ht="14.25">
      <c r="A2541" s="37">
        <v>3528</v>
      </c>
      <c r="B2541" s="37" t="s">
        <v>23312</v>
      </c>
      <c r="C2541" s="37" t="s">
        <v>2348</v>
      </c>
      <c r="D2541" s="37" t="s">
        <v>2349</v>
      </c>
      <c r="E2541" s="212">
        <v>12.71</v>
      </c>
    </row>
    <row r="2542" spans="1:5" ht="14.25">
      <c r="A2542" s="37">
        <v>37952</v>
      </c>
      <c r="B2542" s="37" t="s">
        <v>23313</v>
      </c>
      <c r="C2542" s="37" t="s">
        <v>2348</v>
      </c>
      <c r="D2542" s="37" t="s">
        <v>2349</v>
      </c>
      <c r="E2542" s="212">
        <v>90.53</v>
      </c>
    </row>
    <row r="2543" spans="1:5" ht="14.25">
      <c r="A2543" s="37">
        <v>37951</v>
      </c>
      <c r="B2543" s="37" t="s">
        <v>23314</v>
      </c>
      <c r="C2543" s="37" t="s">
        <v>2348</v>
      </c>
      <c r="D2543" s="37" t="s">
        <v>2349</v>
      </c>
      <c r="E2543" s="212">
        <v>3.29</v>
      </c>
    </row>
    <row r="2544" spans="1:5" ht="14.25">
      <c r="A2544" s="37">
        <v>3518</v>
      </c>
      <c r="B2544" s="37" t="s">
        <v>23315</v>
      </c>
      <c r="C2544" s="37" t="s">
        <v>2348</v>
      </c>
      <c r="D2544" s="37" t="s">
        <v>2349</v>
      </c>
      <c r="E2544" s="212">
        <v>4.82</v>
      </c>
    </row>
    <row r="2545" spans="1:5" ht="14.25">
      <c r="A2545" s="37">
        <v>3519</v>
      </c>
      <c r="B2545" s="37" t="s">
        <v>23316</v>
      </c>
      <c r="C2545" s="37" t="s">
        <v>2348</v>
      </c>
      <c r="D2545" s="37" t="s">
        <v>2349</v>
      </c>
      <c r="E2545" s="212">
        <v>11.41</v>
      </c>
    </row>
    <row r="2546" spans="1:5" ht="14.25">
      <c r="A2546" s="37">
        <v>3520</v>
      </c>
      <c r="B2546" s="37" t="s">
        <v>23317</v>
      </c>
      <c r="C2546" s="37" t="s">
        <v>2348</v>
      </c>
      <c r="D2546" s="37" t="s">
        <v>2349</v>
      </c>
      <c r="E2546" s="212">
        <v>12.79</v>
      </c>
    </row>
    <row r="2547" spans="1:5" ht="14.25">
      <c r="A2547" s="37">
        <v>37950</v>
      </c>
      <c r="B2547" s="37" t="s">
        <v>23318</v>
      </c>
      <c r="C2547" s="37" t="s">
        <v>2348</v>
      </c>
      <c r="D2547" s="37" t="s">
        <v>2349</v>
      </c>
      <c r="E2547" s="212">
        <v>78.81</v>
      </c>
    </row>
    <row r="2548" spans="1:5" ht="14.25">
      <c r="A2548" s="37">
        <v>37949</v>
      </c>
      <c r="B2548" s="37" t="s">
        <v>23319</v>
      </c>
      <c r="C2548" s="37" t="s">
        <v>2348</v>
      </c>
      <c r="D2548" s="37" t="s">
        <v>2349</v>
      </c>
      <c r="E2548" s="212">
        <v>2.88</v>
      </c>
    </row>
    <row r="2549" spans="1:5" ht="14.25">
      <c r="A2549" s="37">
        <v>3526</v>
      </c>
      <c r="B2549" s="37" t="s">
        <v>23320</v>
      </c>
      <c r="C2549" s="37" t="s">
        <v>2348</v>
      </c>
      <c r="D2549" s="37" t="s">
        <v>2349</v>
      </c>
      <c r="E2549" s="212">
        <v>3.87</v>
      </c>
    </row>
    <row r="2550" spans="1:5" ht="14.25">
      <c r="A2550" s="37">
        <v>3509</v>
      </c>
      <c r="B2550" s="37" t="s">
        <v>23321</v>
      </c>
      <c r="C2550" s="37" t="s">
        <v>2348</v>
      </c>
      <c r="D2550" s="37" t="s">
        <v>2349</v>
      </c>
      <c r="E2550" s="212">
        <v>10.06</v>
      </c>
    </row>
    <row r="2551" spans="1:5" ht="14.25">
      <c r="A2551" s="37">
        <v>3530</v>
      </c>
      <c r="B2551" s="37" t="s">
        <v>23322</v>
      </c>
      <c r="C2551" s="37" t="s">
        <v>2348</v>
      </c>
      <c r="D2551" s="37" t="s">
        <v>2349</v>
      </c>
      <c r="E2551" s="212">
        <v>368.93</v>
      </c>
    </row>
    <row r="2552" spans="1:5" ht="14.25">
      <c r="A2552" s="37">
        <v>3542</v>
      </c>
      <c r="B2552" s="37" t="s">
        <v>23323</v>
      </c>
      <c r="C2552" s="37" t="s">
        <v>2348</v>
      </c>
      <c r="D2552" s="37" t="s">
        <v>2349</v>
      </c>
      <c r="E2552" s="212">
        <v>0.86</v>
      </c>
    </row>
    <row r="2553" spans="1:5" ht="14.25">
      <c r="A2553" s="37">
        <v>3529</v>
      </c>
      <c r="B2553" s="37" t="s">
        <v>23324</v>
      </c>
      <c r="C2553" s="37" t="s">
        <v>2348</v>
      </c>
      <c r="D2553" s="37" t="s">
        <v>2349</v>
      </c>
      <c r="E2553" s="212">
        <v>1.18</v>
      </c>
    </row>
    <row r="2554" spans="1:5" ht="14.25">
      <c r="A2554" s="37">
        <v>3536</v>
      </c>
      <c r="B2554" s="37" t="s">
        <v>23325</v>
      </c>
      <c r="C2554" s="37" t="s">
        <v>2348</v>
      </c>
      <c r="D2554" s="37" t="s">
        <v>2349</v>
      </c>
      <c r="E2554" s="212">
        <v>3.53</v>
      </c>
    </row>
    <row r="2555" spans="1:5" ht="14.25">
      <c r="A2555" s="37">
        <v>3535</v>
      </c>
      <c r="B2555" s="37" t="s">
        <v>23326</v>
      </c>
      <c r="C2555" s="37" t="s">
        <v>2348</v>
      </c>
      <c r="D2555" s="37" t="s">
        <v>2349</v>
      </c>
      <c r="E2555" s="212">
        <v>8.3800000000000008</v>
      </c>
    </row>
    <row r="2556" spans="1:5" ht="14.25">
      <c r="A2556" s="37">
        <v>3540</v>
      </c>
      <c r="B2556" s="37" t="s">
        <v>23327</v>
      </c>
      <c r="C2556" s="37" t="s">
        <v>2348</v>
      </c>
      <c r="D2556" s="37" t="s">
        <v>2349</v>
      </c>
      <c r="E2556" s="212">
        <v>9.07</v>
      </c>
    </row>
    <row r="2557" spans="1:5" ht="14.25">
      <c r="A2557" s="37">
        <v>3539</v>
      </c>
      <c r="B2557" s="37" t="s">
        <v>23328</v>
      </c>
      <c r="C2557" s="37" t="s">
        <v>2348</v>
      </c>
      <c r="D2557" s="37" t="s">
        <v>2349</v>
      </c>
      <c r="E2557" s="212">
        <v>39.35</v>
      </c>
    </row>
    <row r="2558" spans="1:5" ht="14.25">
      <c r="A2558" s="37">
        <v>3513</v>
      </c>
      <c r="B2558" s="37" t="s">
        <v>23329</v>
      </c>
      <c r="C2558" s="37" t="s">
        <v>2348</v>
      </c>
      <c r="D2558" s="37" t="s">
        <v>2349</v>
      </c>
      <c r="E2558" s="212">
        <v>174.89</v>
      </c>
    </row>
    <row r="2559" spans="1:5" ht="14.25">
      <c r="A2559" s="37">
        <v>3492</v>
      </c>
      <c r="B2559" s="37" t="s">
        <v>23330</v>
      </c>
      <c r="C2559" s="37" t="s">
        <v>2348</v>
      </c>
      <c r="D2559" s="37" t="s">
        <v>2349</v>
      </c>
      <c r="E2559" s="212">
        <v>33.67</v>
      </c>
    </row>
    <row r="2560" spans="1:5" ht="14.25">
      <c r="A2560" s="37">
        <v>3491</v>
      </c>
      <c r="B2560" s="37" t="s">
        <v>23331</v>
      </c>
      <c r="C2560" s="37" t="s">
        <v>2348</v>
      </c>
      <c r="D2560" s="37" t="s">
        <v>2349</v>
      </c>
      <c r="E2560" s="212">
        <v>19.2</v>
      </c>
    </row>
    <row r="2561" spans="1:5" ht="14.25">
      <c r="A2561" s="37">
        <v>3493</v>
      </c>
      <c r="B2561" s="37" t="s">
        <v>23332</v>
      </c>
      <c r="C2561" s="37" t="s">
        <v>2348</v>
      </c>
      <c r="D2561" s="37" t="s">
        <v>2349</v>
      </c>
      <c r="E2561" s="212">
        <v>46.03</v>
      </c>
    </row>
    <row r="2562" spans="1:5" ht="14.25">
      <c r="A2562" s="37">
        <v>12628</v>
      </c>
      <c r="B2562" s="37" t="s">
        <v>23333</v>
      </c>
      <c r="C2562" s="37" t="s">
        <v>2348</v>
      </c>
      <c r="D2562" s="37" t="s">
        <v>2351</v>
      </c>
      <c r="E2562" s="212">
        <v>8.61</v>
      </c>
    </row>
    <row r="2563" spans="1:5" ht="14.25">
      <c r="A2563" s="37">
        <v>12629</v>
      </c>
      <c r="B2563" s="37" t="s">
        <v>23334</v>
      </c>
      <c r="C2563" s="37" t="s">
        <v>2348</v>
      </c>
      <c r="D2563" s="37" t="s">
        <v>2351</v>
      </c>
      <c r="E2563" s="212">
        <v>9.34</v>
      </c>
    </row>
    <row r="2564" spans="1:5" ht="14.25">
      <c r="A2564" s="37">
        <v>3481</v>
      </c>
      <c r="B2564" s="37" t="s">
        <v>23335</v>
      </c>
      <c r="C2564" s="37" t="s">
        <v>2348</v>
      </c>
      <c r="D2564" s="37" t="s">
        <v>2349</v>
      </c>
      <c r="E2564" s="212">
        <v>23.32</v>
      </c>
    </row>
    <row r="2565" spans="1:5" ht="14.25">
      <c r="A2565" s="37">
        <v>3510</v>
      </c>
      <c r="B2565" s="37" t="s">
        <v>23336</v>
      </c>
      <c r="C2565" s="37" t="s">
        <v>2348</v>
      </c>
      <c r="D2565" s="37" t="s">
        <v>2349</v>
      </c>
      <c r="E2565" s="212">
        <v>21.79</v>
      </c>
    </row>
    <row r="2566" spans="1:5" ht="14.25">
      <c r="A2566" s="37">
        <v>3508</v>
      </c>
      <c r="B2566" s="37" t="s">
        <v>23337</v>
      </c>
      <c r="C2566" s="37" t="s">
        <v>2348</v>
      </c>
      <c r="D2566" s="37" t="s">
        <v>2349</v>
      </c>
      <c r="E2566" s="212">
        <v>56.96</v>
      </c>
    </row>
    <row r="2567" spans="1:5" ht="14.25">
      <c r="A2567" s="37">
        <v>38939</v>
      </c>
      <c r="B2567" s="37" t="s">
        <v>23338</v>
      </c>
      <c r="C2567" s="37" t="s">
        <v>2348</v>
      </c>
      <c r="D2567" s="37" t="s">
        <v>2351</v>
      </c>
      <c r="E2567" s="212">
        <v>18.489999999999998</v>
      </c>
    </row>
    <row r="2568" spans="1:5" ht="14.25">
      <c r="A2568" s="37">
        <v>38940</v>
      </c>
      <c r="B2568" s="37" t="s">
        <v>23339</v>
      </c>
      <c r="C2568" s="37" t="s">
        <v>2348</v>
      </c>
      <c r="D2568" s="37" t="s">
        <v>2351</v>
      </c>
      <c r="E2568" s="212">
        <v>28.23</v>
      </c>
    </row>
    <row r="2569" spans="1:5" ht="14.25">
      <c r="A2569" s="37">
        <v>38941</v>
      </c>
      <c r="B2569" s="37" t="s">
        <v>23340</v>
      </c>
      <c r="C2569" s="37" t="s">
        <v>2348</v>
      </c>
      <c r="D2569" s="37" t="s">
        <v>2351</v>
      </c>
      <c r="E2569" s="212">
        <v>33.35</v>
      </c>
    </row>
    <row r="2570" spans="1:5" ht="14.25">
      <c r="A2570" s="37">
        <v>38942</v>
      </c>
      <c r="B2570" s="37" t="s">
        <v>23341</v>
      </c>
      <c r="C2570" s="37" t="s">
        <v>2348</v>
      </c>
      <c r="D2570" s="37" t="s">
        <v>2351</v>
      </c>
      <c r="E2570" s="212">
        <v>37.36</v>
      </c>
    </row>
    <row r="2571" spans="1:5" ht="14.25">
      <c r="A2571" s="37">
        <v>38987</v>
      </c>
      <c r="B2571" s="37" t="s">
        <v>23342</v>
      </c>
      <c r="C2571" s="37" t="s">
        <v>2348</v>
      </c>
      <c r="D2571" s="37" t="s">
        <v>2351</v>
      </c>
      <c r="E2571" s="212">
        <v>10.16</v>
      </c>
    </row>
    <row r="2572" spans="1:5" ht="14.25">
      <c r="A2572" s="37">
        <v>38988</v>
      </c>
      <c r="B2572" s="37" t="s">
        <v>23343</v>
      </c>
      <c r="C2572" s="37" t="s">
        <v>2348</v>
      </c>
      <c r="D2572" s="37" t="s">
        <v>2351</v>
      </c>
      <c r="E2572" s="212">
        <v>23.6</v>
      </c>
    </row>
    <row r="2573" spans="1:5" ht="14.25">
      <c r="A2573" s="37">
        <v>38989</v>
      </c>
      <c r="B2573" s="37" t="s">
        <v>23344</v>
      </c>
      <c r="C2573" s="37" t="s">
        <v>2348</v>
      </c>
      <c r="D2573" s="37" t="s">
        <v>2351</v>
      </c>
      <c r="E2573" s="212">
        <v>31.36</v>
      </c>
    </row>
    <row r="2574" spans="1:5" ht="14.25">
      <c r="A2574" s="37">
        <v>38990</v>
      </c>
      <c r="B2574" s="37" t="s">
        <v>23345</v>
      </c>
      <c r="C2574" s="37" t="s">
        <v>2348</v>
      </c>
      <c r="D2574" s="37" t="s">
        <v>2351</v>
      </c>
      <c r="E2574" s="212">
        <v>82.67</v>
      </c>
    </row>
    <row r="2575" spans="1:5" ht="14.25">
      <c r="A2575" s="37">
        <v>38991</v>
      </c>
      <c r="B2575" s="37" t="s">
        <v>23346</v>
      </c>
      <c r="C2575" s="37" t="s">
        <v>2348</v>
      </c>
      <c r="D2575" s="37" t="s">
        <v>2351</v>
      </c>
      <c r="E2575" s="212">
        <v>167.03</v>
      </c>
    </row>
    <row r="2576" spans="1:5" ht="14.25">
      <c r="A2576" s="37">
        <v>38913</v>
      </c>
      <c r="B2576" s="37" t="s">
        <v>23347</v>
      </c>
      <c r="C2576" s="37" t="s">
        <v>2348</v>
      </c>
      <c r="D2576" s="37" t="s">
        <v>2351</v>
      </c>
      <c r="E2576" s="212">
        <v>17.16</v>
      </c>
    </row>
    <row r="2577" spans="1:5" ht="14.25">
      <c r="A2577" s="37">
        <v>38914</v>
      </c>
      <c r="B2577" s="37" t="s">
        <v>23348</v>
      </c>
      <c r="C2577" s="37" t="s">
        <v>2348</v>
      </c>
      <c r="D2577" s="37" t="s">
        <v>2351</v>
      </c>
      <c r="E2577" s="212">
        <v>19.899999999999999</v>
      </c>
    </row>
    <row r="2578" spans="1:5" ht="14.25">
      <c r="A2578" s="37">
        <v>38915</v>
      </c>
      <c r="B2578" s="37" t="s">
        <v>23349</v>
      </c>
      <c r="C2578" s="37" t="s">
        <v>2348</v>
      </c>
      <c r="D2578" s="37" t="s">
        <v>2351</v>
      </c>
      <c r="E2578" s="212">
        <v>34.56</v>
      </c>
    </row>
    <row r="2579" spans="1:5" ht="14.25">
      <c r="A2579" s="37">
        <v>38916</v>
      </c>
      <c r="B2579" s="37" t="s">
        <v>23350</v>
      </c>
      <c r="C2579" s="37" t="s">
        <v>2348</v>
      </c>
      <c r="D2579" s="37" t="s">
        <v>2351</v>
      </c>
      <c r="E2579" s="212">
        <v>45.59</v>
      </c>
    </row>
    <row r="2580" spans="1:5" ht="14.25">
      <c r="A2580" s="37">
        <v>39300</v>
      </c>
      <c r="B2580" s="37" t="s">
        <v>23351</v>
      </c>
      <c r="C2580" s="37" t="s">
        <v>2348</v>
      </c>
      <c r="D2580" s="37" t="s">
        <v>2351</v>
      </c>
      <c r="E2580" s="212">
        <v>15.5</v>
      </c>
    </row>
    <row r="2581" spans="1:5" ht="14.25">
      <c r="A2581" s="37">
        <v>39301</v>
      </c>
      <c r="B2581" s="37" t="s">
        <v>23352</v>
      </c>
      <c r="C2581" s="37" t="s">
        <v>2348</v>
      </c>
      <c r="D2581" s="37" t="s">
        <v>2351</v>
      </c>
      <c r="E2581" s="212">
        <v>21.51</v>
      </c>
    </row>
    <row r="2582" spans="1:5" ht="14.25">
      <c r="A2582" s="37">
        <v>39302</v>
      </c>
      <c r="B2582" s="37" t="s">
        <v>23353</v>
      </c>
      <c r="C2582" s="37" t="s">
        <v>2348</v>
      </c>
      <c r="D2582" s="37" t="s">
        <v>2351</v>
      </c>
      <c r="E2582" s="212">
        <v>27.02</v>
      </c>
    </row>
    <row r="2583" spans="1:5" ht="14.25">
      <c r="A2583" s="37">
        <v>39303</v>
      </c>
      <c r="B2583" s="37" t="s">
        <v>23354</v>
      </c>
      <c r="C2583" s="37" t="s">
        <v>2348</v>
      </c>
      <c r="D2583" s="37" t="s">
        <v>2351</v>
      </c>
      <c r="E2583" s="212">
        <v>47.51</v>
      </c>
    </row>
    <row r="2584" spans="1:5" ht="14.25">
      <c r="A2584" s="37">
        <v>38923</v>
      </c>
      <c r="B2584" s="37" t="s">
        <v>23355</v>
      </c>
      <c r="C2584" s="37" t="s">
        <v>2348</v>
      </c>
      <c r="D2584" s="37" t="s">
        <v>2351</v>
      </c>
      <c r="E2584" s="212">
        <v>15.13</v>
      </c>
    </row>
    <row r="2585" spans="1:5" ht="14.25">
      <c r="A2585" s="37">
        <v>38925</v>
      </c>
      <c r="B2585" s="37" t="s">
        <v>23356</v>
      </c>
      <c r="C2585" s="37" t="s">
        <v>2348</v>
      </c>
      <c r="D2585" s="37" t="s">
        <v>2351</v>
      </c>
      <c r="E2585" s="212">
        <v>16.260000000000002</v>
      </c>
    </row>
    <row r="2586" spans="1:5" ht="14.25">
      <c r="A2586" s="37">
        <v>38926</v>
      </c>
      <c r="B2586" s="37" t="s">
        <v>23357</v>
      </c>
      <c r="C2586" s="37" t="s">
        <v>2348</v>
      </c>
      <c r="D2586" s="37" t="s">
        <v>2351</v>
      </c>
      <c r="E2586" s="212">
        <v>23.23</v>
      </c>
    </row>
    <row r="2587" spans="1:5" ht="14.25">
      <c r="A2587" s="37">
        <v>38927</v>
      </c>
      <c r="B2587" s="37" t="s">
        <v>23358</v>
      </c>
      <c r="C2587" s="37" t="s">
        <v>2348</v>
      </c>
      <c r="D2587" s="37" t="s">
        <v>2351</v>
      </c>
      <c r="E2587" s="212">
        <v>24.84</v>
      </c>
    </row>
    <row r="2588" spans="1:5" ht="14.25">
      <c r="A2588" s="37">
        <v>39304</v>
      </c>
      <c r="B2588" s="37" t="s">
        <v>23359</v>
      </c>
      <c r="C2588" s="37" t="s">
        <v>2348</v>
      </c>
      <c r="D2588" s="37" t="s">
        <v>2351</v>
      </c>
      <c r="E2588" s="212">
        <v>19.14</v>
      </c>
    </row>
    <row r="2589" spans="1:5" ht="14.25">
      <c r="A2589" s="37">
        <v>38924</v>
      </c>
      <c r="B2589" s="37" t="s">
        <v>23360</v>
      </c>
      <c r="C2589" s="37" t="s">
        <v>2348</v>
      </c>
      <c r="D2589" s="37" t="s">
        <v>2351</v>
      </c>
      <c r="E2589" s="212">
        <v>27.28</v>
      </c>
    </row>
    <row r="2590" spans="1:5" ht="14.25">
      <c r="A2590" s="37">
        <v>39305</v>
      </c>
      <c r="B2590" s="37" t="s">
        <v>23361</v>
      </c>
      <c r="C2590" s="37" t="s">
        <v>2348</v>
      </c>
      <c r="D2590" s="37" t="s">
        <v>2351</v>
      </c>
      <c r="E2590" s="212">
        <v>25.06</v>
      </c>
    </row>
    <row r="2591" spans="1:5" ht="14.25">
      <c r="A2591" s="37">
        <v>39306</v>
      </c>
      <c r="B2591" s="37" t="s">
        <v>23362</v>
      </c>
      <c r="C2591" s="37" t="s">
        <v>2348</v>
      </c>
      <c r="D2591" s="37" t="s">
        <v>2351</v>
      </c>
      <c r="E2591" s="212">
        <v>31.35</v>
      </c>
    </row>
    <row r="2592" spans="1:5" ht="14.25">
      <c r="A2592" s="37">
        <v>38928</v>
      </c>
      <c r="B2592" s="37" t="s">
        <v>23363</v>
      </c>
      <c r="C2592" s="37" t="s">
        <v>2348</v>
      </c>
      <c r="D2592" s="37" t="s">
        <v>2351</v>
      </c>
      <c r="E2592" s="212">
        <v>27.54</v>
      </c>
    </row>
    <row r="2593" spans="1:5" ht="14.25">
      <c r="A2593" s="37">
        <v>38929</v>
      </c>
      <c r="B2593" s="37" t="s">
        <v>23364</v>
      </c>
      <c r="C2593" s="37" t="s">
        <v>2348</v>
      </c>
      <c r="D2593" s="37" t="s">
        <v>2351</v>
      </c>
      <c r="E2593" s="212">
        <v>48.83</v>
      </c>
    </row>
    <row r="2594" spans="1:5" ht="14.25">
      <c r="A2594" s="37">
        <v>39307</v>
      </c>
      <c r="B2594" s="37" t="s">
        <v>23365</v>
      </c>
      <c r="C2594" s="37" t="s">
        <v>2348</v>
      </c>
      <c r="D2594" s="37" t="s">
        <v>2351</v>
      </c>
      <c r="E2594" s="212">
        <v>36.08</v>
      </c>
    </row>
    <row r="2595" spans="1:5" ht="14.25">
      <c r="A2595" s="37">
        <v>38930</v>
      </c>
      <c r="B2595" s="37" t="s">
        <v>23366</v>
      </c>
      <c r="C2595" s="37" t="s">
        <v>2348</v>
      </c>
      <c r="D2595" s="37" t="s">
        <v>2351</v>
      </c>
      <c r="E2595" s="212">
        <v>61.34</v>
      </c>
    </row>
    <row r="2596" spans="1:5" ht="14.25">
      <c r="A2596" s="37">
        <v>38931</v>
      </c>
      <c r="B2596" s="37" t="s">
        <v>23367</v>
      </c>
      <c r="C2596" s="37" t="s">
        <v>2348</v>
      </c>
      <c r="D2596" s="37" t="s">
        <v>2351</v>
      </c>
      <c r="E2596" s="212">
        <v>15.45</v>
      </c>
    </row>
    <row r="2597" spans="1:5" ht="14.25">
      <c r="A2597" s="37">
        <v>38932</v>
      </c>
      <c r="B2597" s="37" t="s">
        <v>23368</v>
      </c>
      <c r="C2597" s="37" t="s">
        <v>2348</v>
      </c>
      <c r="D2597" s="37" t="s">
        <v>2351</v>
      </c>
      <c r="E2597" s="212">
        <v>15.6</v>
      </c>
    </row>
    <row r="2598" spans="1:5" ht="14.25">
      <c r="A2598" s="37">
        <v>38934</v>
      </c>
      <c r="B2598" s="37" t="s">
        <v>23369</v>
      </c>
      <c r="C2598" s="37" t="s">
        <v>2348</v>
      </c>
      <c r="D2598" s="37" t="s">
        <v>2351</v>
      </c>
      <c r="E2598" s="212">
        <v>23.05</v>
      </c>
    </row>
    <row r="2599" spans="1:5" ht="14.25">
      <c r="A2599" s="37">
        <v>38935</v>
      </c>
      <c r="B2599" s="37" t="s">
        <v>23370</v>
      </c>
      <c r="C2599" s="37" t="s">
        <v>2348</v>
      </c>
      <c r="D2599" s="37" t="s">
        <v>2351</v>
      </c>
      <c r="E2599" s="212">
        <v>24.67</v>
      </c>
    </row>
    <row r="2600" spans="1:5" ht="14.25">
      <c r="A2600" s="37">
        <v>38936</v>
      </c>
      <c r="B2600" s="37" t="s">
        <v>23371</v>
      </c>
      <c r="C2600" s="37" t="s">
        <v>2348</v>
      </c>
      <c r="D2600" s="37" t="s">
        <v>2351</v>
      </c>
      <c r="E2600" s="212">
        <v>26.42</v>
      </c>
    </row>
    <row r="2601" spans="1:5" ht="14.25">
      <c r="A2601" s="37">
        <v>38937</v>
      </c>
      <c r="B2601" s="37" t="s">
        <v>23372</v>
      </c>
      <c r="C2601" s="37" t="s">
        <v>2348</v>
      </c>
      <c r="D2601" s="37" t="s">
        <v>2351</v>
      </c>
      <c r="E2601" s="212">
        <v>32.200000000000003</v>
      </c>
    </row>
    <row r="2602" spans="1:5" ht="14.25">
      <c r="A2602" s="37">
        <v>38938</v>
      </c>
      <c r="B2602" s="37" t="s">
        <v>23373</v>
      </c>
      <c r="C2602" s="37" t="s">
        <v>2348</v>
      </c>
      <c r="D2602" s="37" t="s">
        <v>2351</v>
      </c>
      <c r="E2602" s="212">
        <v>47.88</v>
      </c>
    </row>
    <row r="2603" spans="1:5" ht="14.25">
      <c r="A2603" s="37">
        <v>3489</v>
      </c>
      <c r="B2603" s="37" t="s">
        <v>23374</v>
      </c>
      <c r="C2603" s="37" t="s">
        <v>2348</v>
      </c>
      <c r="D2603" s="37" t="s">
        <v>2349</v>
      </c>
      <c r="E2603" s="212">
        <v>21.53</v>
      </c>
    </row>
    <row r="2604" spans="1:5" ht="14.25">
      <c r="A2604" s="37">
        <v>20151</v>
      </c>
      <c r="B2604" s="37" t="s">
        <v>23375</v>
      </c>
      <c r="C2604" s="37" t="s">
        <v>2348</v>
      </c>
      <c r="D2604" s="37" t="s">
        <v>2349</v>
      </c>
      <c r="E2604" s="212">
        <v>35.49</v>
      </c>
    </row>
    <row r="2605" spans="1:5" ht="14.25">
      <c r="A2605" s="37">
        <v>20152</v>
      </c>
      <c r="B2605" s="37" t="s">
        <v>23376</v>
      </c>
      <c r="C2605" s="37" t="s">
        <v>2348</v>
      </c>
      <c r="D2605" s="37" t="s">
        <v>2349</v>
      </c>
      <c r="E2605" s="212">
        <v>123.5</v>
      </c>
    </row>
    <row r="2606" spans="1:5" ht="14.25">
      <c r="A2606" s="37">
        <v>20148</v>
      </c>
      <c r="B2606" s="37" t="s">
        <v>23377</v>
      </c>
      <c r="C2606" s="37" t="s">
        <v>2348</v>
      </c>
      <c r="D2606" s="37" t="s">
        <v>2349</v>
      </c>
      <c r="E2606" s="212">
        <v>7.06</v>
      </c>
    </row>
    <row r="2607" spans="1:5" ht="14.25">
      <c r="A2607" s="37">
        <v>20149</v>
      </c>
      <c r="B2607" s="37" t="s">
        <v>23378</v>
      </c>
      <c r="C2607" s="37" t="s">
        <v>2348</v>
      </c>
      <c r="D2607" s="37" t="s">
        <v>2349</v>
      </c>
      <c r="E2607" s="212">
        <v>10.93</v>
      </c>
    </row>
    <row r="2608" spans="1:5" ht="14.25">
      <c r="A2608" s="37">
        <v>20150</v>
      </c>
      <c r="B2608" s="37" t="s">
        <v>23379</v>
      </c>
      <c r="C2608" s="37" t="s">
        <v>2348</v>
      </c>
      <c r="D2608" s="37" t="s">
        <v>2349</v>
      </c>
      <c r="E2608" s="212">
        <v>25.48</v>
      </c>
    </row>
    <row r="2609" spans="1:5" ht="14.25">
      <c r="A2609" s="37">
        <v>20157</v>
      </c>
      <c r="B2609" s="37" t="s">
        <v>23380</v>
      </c>
      <c r="C2609" s="37" t="s">
        <v>2348</v>
      </c>
      <c r="D2609" s="37" t="s">
        <v>2349</v>
      </c>
      <c r="E2609" s="212">
        <v>47.88</v>
      </c>
    </row>
    <row r="2610" spans="1:5" ht="14.25">
      <c r="A2610" s="37">
        <v>20158</v>
      </c>
      <c r="B2610" s="37" t="s">
        <v>23381</v>
      </c>
      <c r="C2610" s="37" t="s">
        <v>2348</v>
      </c>
      <c r="D2610" s="37" t="s">
        <v>2349</v>
      </c>
      <c r="E2610" s="212">
        <v>159.09</v>
      </c>
    </row>
    <row r="2611" spans="1:5" ht="14.25">
      <c r="A2611" s="37">
        <v>20154</v>
      </c>
      <c r="B2611" s="37" t="s">
        <v>23382</v>
      </c>
      <c r="C2611" s="37" t="s">
        <v>2348</v>
      </c>
      <c r="D2611" s="37" t="s">
        <v>2349</v>
      </c>
      <c r="E2611" s="212">
        <v>9.08</v>
      </c>
    </row>
    <row r="2612" spans="1:5" ht="14.25">
      <c r="A2612" s="37">
        <v>20155</v>
      </c>
      <c r="B2612" s="37" t="s">
        <v>23383</v>
      </c>
      <c r="C2612" s="37" t="s">
        <v>2348</v>
      </c>
      <c r="D2612" s="37" t="s">
        <v>2349</v>
      </c>
      <c r="E2612" s="212">
        <v>13.59</v>
      </c>
    </row>
    <row r="2613" spans="1:5" ht="14.25">
      <c r="A2613" s="37">
        <v>20156</v>
      </c>
      <c r="B2613" s="37" t="s">
        <v>23384</v>
      </c>
      <c r="C2613" s="37" t="s">
        <v>2348</v>
      </c>
      <c r="D2613" s="37" t="s">
        <v>2349</v>
      </c>
      <c r="E2613" s="212">
        <v>30.57</v>
      </c>
    </row>
    <row r="2614" spans="1:5" ht="14.25">
      <c r="A2614" s="37">
        <v>3512</v>
      </c>
      <c r="B2614" s="37" t="s">
        <v>23385</v>
      </c>
      <c r="C2614" s="37" t="s">
        <v>2348</v>
      </c>
      <c r="D2614" s="37" t="s">
        <v>2349</v>
      </c>
      <c r="E2614" s="212">
        <v>337.39</v>
      </c>
    </row>
    <row r="2615" spans="1:5" ht="14.25">
      <c r="A2615" s="37">
        <v>3499</v>
      </c>
      <c r="B2615" s="37" t="s">
        <v>23386</v>
      </c>
      <c r="C2615" s="37" t="s">
        <v>2348</v>
      </c>
      <c r="D2615" s="37" t="s">
        <v>2349</v>
      </c>
      <c r="E2615" s="212">
        <v>1.43</v>
      </c>
    </row>
    <row r="2616" spans="1:5" ht="14.25">
      <c r="A2616" s="37">
        <v>3500</v>
      </c>
      <c r="B2616" s="37" t="s">
        <v>23387</v>
      </c>
      <c r="C2616" s="37" t="s">
        <v>2348</v>
      </c>
      <c r="D2616" s="37" t="s">
        <v>2349</v>
      </c>
      <c r="E2616" s="212">
        <v>2.42</v>
      </c>
    </row>
    <row r="2617" spans="1:5" ht="14.25">
      <c r="A2617" s="37">
        <v>3501</v>
      </c>
      <c r="B2617" s="37" t="s">
        <v>23388</v>
      </c>
      <c r="C2617" s="37" t="s">
        <v>2348</v>
      </c>
      <c r="D2617" s="37" t="s">
        <v>2349</v>
      </c>
      <c r="E2617" s="212">
        <v>7</v>
      </c>
    </row>
    <row r="2618" spans="1:5" ht="14.25">
      <c r="A2618" s="37">
        <v>3502</v>
      </c>
      <c r="B2618" s="37" t="s">
        <v>23389</v>
      </c>
      <c r="C2618" s="37" t="s">
        <v>2348</v>
      </c>
      <c r="D2618" s="37" t="s">
        <v>2349</v>
      </c>
      <c r="E2618" s="212">
        <v>9.9600000000000009</v>
      </c>
    </row>
    <row r="2619" spans="1:5" ht="14.25">
      <c r="A2619" s="37">
        <v>3503</v>
      </c>
      <c r="B2619" s="37" t="s">
        <v>23390</v>
      </c>
      <c r="C2619" s="37" t="s">
        <v>2348</v>
      </c>
      <c r="D2619" s="37" t="s">
        <v>2349</v>
      </c>
      <c r="E2619" s="212">
        <v>11.92</v>
      </c>
    </row>
    <row r="2620" spans="1:5" ht="14.25">
      <c r="A2620" s="37">
        <v>3477</v>
      </c>
      <c r="B2620" s="37" t="s">
        <v>23391</v>
      </c>
      <c r="C2620" s="37" t="s">
        <v>2348</v>
      </c>
      <c r="D2620" s="37" t="s">
        <v>2349</v>
      </c>
      <c r="E2620" s="212">
        <v>46.18</v>
      </c>
    </row>
    <row r="2621" spans="1:5" ht="14.25">
      <c r="A2621" s="37">
        <v>3478</v>
      </c>
      <c r="B2621" s="37" t="s">
        <v>23392</v>
      </c>
      <c r="C2621" s="37" t="s">
        <v>2348</v>
      </c>
      <c r="D2621" s="37" t="s">
        <v>2349</v>
      </c>
      <c r="E2621" s="212">
        <v>106.12</v>
      </c>
    </row>
    <row r="2622" spans="1:5" ht="14.25">
      <c r="A2622" s="37">
        <v>3525</v>
      </c>
      <c r="B2622" s="37" t="s">
        <v>23393</v>
      </c>
      <c r="C2622" s="37" t="s">
        <v>2348</v>
      </c>
      <c r="D2622" s="37" t="s">
        <v>2349</v>
      </c>
      <c r="E2622" s="212">
        <v>125.9</v>
      </c>
    </row>
    <row r="2623" spans="1:5" ht="14.25">
      <c r="A2623" s="37">
        <v>3511</v>
      </c>
      <c r="B2623" s="37" t="s">
        <v>23394</v>
      </c>
      <c r="C2623" s="37" t="s">
        <v>2348</v>
      </c>
      <c r="D2623" s="37" t="s">
        <v>2349</v>
      </c>
      <c r="E2623" s="212">
        <v>147.72999999999999</v>
      </c>
    </row>
    <row r="2624" spans="1:5" ht="14.25">
      <c r="A2624" s="37">
        <v>38917</v>
      </c>
      <c r="B2624" s="37" t="s">
        <v>23395</v>
      </c>
      <c r="C2624" s="37" t="s">
        <v>2348</v>
      </c>
      <c r="D2624" s="37" t="s">
        <v>2351</v>
      </c>
      <c r="E2624" s="212">
        <v>14.77</v>
      </c>
    </row>
    <row r="2625" spans="1:5" ht="14.25">
      <c r="A2625" s="37">
        <v>38919</v>
      </c>
      <c r="B2625" s="37" t="s">
        <v>23396</v>
      </c>
      <c r="C2625" s="37" t="s">
        <v>2348</v>
      </c>
      <c r="D2625" s="37" t="s">
        <v>2351</v>
      </c>
      <c r="E2625" s="212">
        <v>21.98</v>
      </c>
    </row>
    <row r="2626" spans="1:5" ht="14.25">
      <c r="A2626" s="37">
        <v>38922</v>
      </c>
      <c r="B2626" s="37" t="s">
        <v>23397</v>
      </c>
      <c r="C2626" s="37" t="s">
        <v>2348</v>
      </c>
      <c r="D2626" s="37" t="s">
        <v>2351</v>
      </c>
      <c r="E2626" s="212">
        <v>28.41</v>
      </c>
    </row>
    <row r="2627" spans="1:5" ht="14.25">
      <c r="A2627" s="37">
        <v>38921</v>
      </c>
      <c r="B2627" s="37" t="s">
        <v>23398</v>
      </c>
      <c r="C2627" s="37" t="s">
        <v>2348</v>
      </c>
      <c r="D2627" s="37" t="s">
        <v>2351</v>
      </c>
      <c r="E2627" s="212">
        <v>35.119999999999997</v>
      </c>
    </row>
    <row r="2628" spans="1:5" ht="14.25">
      <c r="A2628" s="37">
        <v>38918</v>
      </c>
      <c r="B2628" s="37" t="s">
        <v>23399</v>
      </c>
      <c r="C2628" s="37" t="s">
        <v>2348</v>
      </c>
      <c r="D2628" s="37" t="s">
        <v>2351</v>
      </c>
      <c r="E2628" s="212">
        <v>33.380000000000003</v>
      </c>
    </row>
    <row r="2629" spans="1:5" ht="14.25">
      <c r="A2629" s="37">
        <v>38920</v>
      </c>
      <c r="B2629" s="37" t="s">
        <v>23400</v>
      </c>
      <c r="C2629" s="37" t="s">
        <v>2348</v>
      </c>
      <c r="D2629" s="37" t="s">
        <v>2351</v>
      </c>
      <c r="E2629" s="212">
        <v>41.73</v>
      </c>
    </row>
    <row r="2630" spans="1:5" ht="14.25">
      <c r="A2630" s="37">
        <v>12032</v>
      </c>
      <c r="B2630" s="37" t="s">
        <v>23401</v>
      </c>
      <c r="C2630" s="37" t="s">
        <v>2386</v>
      </c>
      <c r="D2630" s="37" t="s">
        <v>2349</v>
      </c>
      <c r="E2630" s="212">
        <v>48.88</v>
      </c>
    </row>
    <row r="2631" spans="1:5" ht="14.25">
      <c r="A2631" s="37">
        <v>12030</v>
      </c>
      <c r="B2631" s="37" t="s">
        <v>23402</v>
      </c>
      <c r="C2631" s="37" t="s">
        <v>2386</v>
      </c>
      <c r="D2631" s="37" t="s">
        <v>2349</v>
      </c>
      <c r="E2631" s="212">
        <v>45.93</v>
      </c>
    </row>
    <row r="2632" spans="1:5" ht="14.25">
      <c r="A2632" s="37">
        <v>10908</v>
      </c>
      <c r="B2632" s="37" t="s">
        <v>23403</v>
      </c>
      <c r="C2632" s="37" t="s">
        <v>2348</v>
      </c>
      <c r="D2632" s="37" t="s">
        <v>2349</v>
      </c>
      <c r="E2632" s="212">
        <v>26.81</v>
      </c>
    </row>
    <row r="2633" spans="1:5" ht="14.25">
      <c r="A2633" s="37">
        <v>10909</v>
      </c>
      <c r="B2633" s="37" t="s">
        <v>23404</v>
      </c>
      <c r="C2633" s="37" t="s">
        <v>2348</v>
      </c>
      <c r="D2633" s="37" t="s">
        <v>2349</v>
      </c>
      <c r="E2633" s="212">
        <v>42.76</v>
      </c>
    </row>
    <row r="2634" spans="1:5" ht="14.25">
      <c r="A2634" s="37">
        <v>3669</v>
      </c>
      <c r="B2634" s="37" t="s">
        <v>23405</v>
      </c>
      <c r="C2634" s="37" t="s">
        <v>2348</v>
      </c>
      <c r="D2634" s="37" t="s">
        <v>2349</v>
      </c>
      <c r="E2634" s="212">
        <v>18.32</v>
      </c>
    </row>
    <row r="2635" spans="1:5" ht="14.25">
      <c r="A2635" s="37">
        <v>20138</v>
      </c>
      <c r="B2635" s="37" t="s">
        <v>23406</v>
      </c>
      <c r="C2635" s="37" t="s">
        <v>2348</v>
      </c>
      <c r="D2635" s="37" t="s">
        <v>2349</v>
      </c>
      <c r="E2635" s="212">
        <v>91.02</v>
      </c>
    </row>
    <row r="2636" spans="1:5" ht="14.25">
      <c r="A2636" s="37">
        <v>20139</v>
      </c>
      <c r="B2636" s="37" t="s">
        <v>23407</v>
      </c>
      <c r="C2636" s="37" t="s">
        <v>2348</v>
      </c>
      <c r="D2636" s="37" t="s">
        <v>2349</v>
      </c>
      <c r="E2636" s="212">
        <v>152.91999999999999</v>
      </c>
    </row>
    <row r="2637" spans="1:5" ht="14.25">
      <c r="A2637" s="37">
        <v>3668</v>
      </c>
      <c r="B2637" s="37" t="s">
        <v>23408</v>
      </c>
      <c r="C2637" s="37" t="s">
        <v>2348</v>
      </c>
      <c r="D2637" s="37" t="s">
        <v>2349</v>
      </c>
      <c r="E2637" s="212">
        <v>60.63</v>
      </c>
    </row>
    <row r="2638" spans="1:5" ht="14.25">
      <c r="A2638" s="37">
        <v>3656</v>
      </c>
      <c r="B2638" s="37" t="s">
        <v>23409</v>
      </c>
      <c r="C2638" s="37" t="s">
        <v>2348</v>
      </c>
      <c r="D2638" s="37" t="s">
        <v>2349</v>
      </c>
      <c r="E2638" s="212">
        <v>30.05</v>
      </c>
    </row>
    <row r="2639" spans="1:5" ht="14.25">
      <c r="A2639" s="37">
        <v>10911</v>
      </c>
      <c r="B2639" s="37" t="s">
        <v>23410</v>
      </c>
      <c r="C2639" s="37" t="s">
        <v>2348</v>
      </c>
      <c r="D2639" s="37" t="s">
        <v>2349</v>
      </c>
      <c r="E2639" s="212">
        <v>33.35</v>
      </c>
    </row>
    <row r="2640" spans="1:5" ht="14.25">
      <c r="A2640" s="37">
        <v>3654</v>
      </c>
      <c r="B2640" s="37" t="s">
        <v>23411</v>
      </c>
      <c r="C2640" s="37" t="s">
        <v>2348</v>
      </c>
      <c r="D2640" s="37" t="s">
        <v>2349</v>
      </c>
      <c r="E2640" s="212">
        <v>7.49</v>
      </c>
    </row>
    <row r="2641" spans="1:5" ht="14.25">
      <c r="A2641" s="37">
        <v>3664</v>
      </c>
      <c r="B2641" s="37" t="s">
        <v>23412</v>
      </c>
      <c r="C2641" s="37" t="s">
        <v>2348</v>
      </c>
      <c r="D2641" s="37" t="s">
        <v>2349</v>
      </c>
      <c r="E2641" s="212">
        <v>9.3000000000000007</v>
      </c>
    </row>
    <row r="2642" spans="1:5" ht="14.25">
      <c r="A2642" s="37">
        <v>3657</v>
      </c>
      <c r="B2642" s="37" t="s">
        <v>23413</v>
      </c>
      <c r="C2642" s="37" t="s">
        <v>2348</v>
      </c>
      <c r="D2642" s="37" t="s">
        <v>2349</v>
      </c>
      <c r="E2642" s="212">
        <v>10.029999999999999</v>
      </c>
    </row>
    <row r="2643" spans="1:5" ht="14.25">
      <c r="A2643" s="37">
        <v>12625</v>
      </c>
      <c r="B2643" s="37" t="s">
        <v>23414</v>
      </c>
      <c r="C2643" s="37" t="s">
        <v>2348</v>
      </c>
      <c r="D2643" s="37" t="s">
        <v>2351</v>
      </c>
      <c r="E2643" s="212">
        <v>11.81</v>
      </c>
    </row>
    <row r="2644" spans="1:5" ht="14.25">
      <c r="A2644" s="37">
        <v>20136</v>
      </c>
      <c r="B2644" s="37" t="s">
        <v>23415</v>
      </c>
      <c r="C2644" s="37" t="s">
        <v>2348</v>
      </c>
      <c r="D2644" s="37" t="s">
        <v>2349</v>
      </c>
      <c r="E2644" s="212">
        <v>205.41</v>
      </c>
    </row>
    <row r="2645" spans="1:5" ht="14.25">
      <c r="A2645" s="37">
        <v>20144</v>
      </c>
      <c r="B2645" s="37" t="s">
        <v>23416</v>
      </c>
      <c r="C2645" s="37" t="s">
        <v>2348</v>
      </c>
      <c r="D2645" s="37" t="s">
        <v>2349</v>
      </c>
      <c r="E2645" s="212">
        <v>90.23</v>
      </c>
    </row>
    <row r="2646" spans="1:5" ht="14.25">
      <c r="A2646" s="37">
        <v>20143</v>
      </c>
      <c r="B2646" s="37" t="s">
        <v>23417</v>
      </c>
      <c r="C2646" s="37" t="s">
        <v>2348</v>
      </c>
      <c r="D2646" s="37" t="s">
        <v>2349</v>
      </c>
      <c r="E2646" s="212">
        <v>84.27</v>
      </c>
    </row>
    <row r="2647" spans="1:5" ht="14.25">
      <c r="A2647" s="37">
        <v>20145</v>
      </c>
      <c r="B2647" s="37" t="s">
        <v>23418</v>
      </c>
      <c r="C2647" s="37" t="s">
        <v>2348</v>
      </c>
      <c r="D2647" s="37" t="s">
        <v>2349</v>
      </c>
      <c r="E2647" s="212">
        <v>239.13</v>
      </c>
    </row>
    <row r="2648" spans="1:5" ht="14.25">
      <c r="A2648" s="37">
        <v>20146</v>
      </c>
      <c r="B2648" s="37" t="s">
        <v>23419</v>
      </c>
      <c r="C2648" s="37" t="s">
        <v>2348</v>
      </c>
      <c r="D2648" s="37" t="s">
        <v>2349</v>
      </c>
      <c r="E2648" s="212">
        <v>269.64999999999998</v>
      </c>
    </row>
    <row r="2649" spans="1:5" ht="14.25">
      <c r="A2649" s="37">
        <v>20140</v>
      </c>
      <c r="B2649" s="37" t="s">
        <v>23420</v>
      </c>
      <c r="C2649" s="37" t="s">
        <v>2348</v>
      </c>
      <c r="D2649" s="37" t="s">
        <v>2349</v>
      </c>
      <c r="E2649" s="212">
        <v>10.74</v>
      </c>
    </row>
    <row r="2650" spans="1:5" ht="14.25">
      <c r="A2650" s="37">
        <v>20141</v>
      </c>
      <c r="B2650" s="37" t="s">
        <v>23421</v>
      </c>
      <c r="C2650" s="37" t="s">
        <v>2348</v>
      </c>
      <c r="D2650" s="37" t="s">
        <v>2349</v>
      </c>
      <c r="E2650" s="212">
        <v>18.850000000000001</v>
      </c>
    </row>
    <row r="2651" spans="1:5" ht="14.25">
      <c r="A2651" s="37">
        <v>20142</v>
      </c>
      <c r="B2651" s="37" t="s">
        <v>23422</v>
      </c>
      <c r="C2651" s="37" t="s">
        <v>2348</v>
      </c>
      <c r="D2651" s="37" t="s">
        <v>2349</v>
      </c>
      <c r="E2651" s="212">
        <v>57.67</v>
      </c>
    </row>
    <row r="2652" spans="1:5" ht="14.25">
      <c r="A2652" s="37">
        <v>3659</v>
      </c>
      <c r="B2652" s="37" t="s">
        <v>23423</v>
      </c>
      <c r="C2652" s="37" t="s">
        <v>2348</v>
      </c>
      <c r="D2652" s="37" t="s">
        <v>2349</v>
      </c>
      <c r="E2652" s="212">
        <v>25.01</v>
      </c>
    </row>
    <row r="2653" spans="1:5" ht="14.25">
      <c r="A2653" s="37">
        <v>3660</v>
      </c>
      <c r="B2653" s="37" t="s">
        <v>23424</v>
      </c>
      <c r="C2653" s="37" t="s">
        <v>2348</v>
      </c>
      <c r="D2653" s="37" t="s">
        <v>2349</v>
      </c>
      <c r="E2653" s="212">
        <v>36.049999999999997</v>
      </c>
    </row>
    <row r="2654" spans="1:5" ht="14.25">
      <c r="A2654" s="37">
        <v>3662</v>
      </c>
      <c r="B2654" s="37" t="s">
        <v>23425</v>
      </c>
      <c r="C2654" s="37" t="s">
        <v>2348</v>
      </c>
      <c r="D2654" s="37" t="s">
        <v>2349</v>
      </c>
      <c r="E2654" s="212">
        <v>13.62</v>
      </c>
    </row>
    <row r="2655" spans="1:5" ht="14.25">
      <c r="A2655" s="37">
        <v>3661</v>
      </c>
      <c r="B2655" s="37" t="s">
        <v>23426</v>
      </c>
      <c r="C2655" s="37" t="s">
        <v>2348</v>
      </c>
      <c r="D2655" s="37" t="s">
        <v>2349</v>
      </c>
      <c r="E2655" s="212">
        <v>20.04</v>
      </c>
    </row>
    <row r="2656" spans="1:5" ht="14.25">
      <c r="A2656" s="37">
        <v>3658</v>
      </c>
      <c r="B2656" s="37" t="s">
        <v>23427</v>
      </c>
      <c r="C2656" s="37" t="s">
        <v>2348</v>
      </c>
      <c r="D2656" s="37" t="s">
        <v>2349</v>
      </c>
      <c r="E2656" s="212">
        <v>25.51</v>
      </c>
    </row>
    <row r="2657" spans="1:5" ht="14.25">
      <c r="A2657" s="37">
        <v>3670</v>
      </c>
      <c r="B2657" s="37" t="s">
        <v>23428</v>
      </c>
      <c r="C2657" s="37" t="s">
        <v>2348</v>
      </c>
      <c r="D2657" s="37" t="s">
        <v>2349</v>
      </c>
      <c r="E2657" s="212">
        <v>33.28</v>
      </c>
    </row>
    <row r="2658" spans="1:5" ht="14.25">
      <c r="A2658" s="37">
        <v>3666</v>
      </c>
      <c r="B2658" s="37" t="s">
        <v>23429</v>
      </c>
      <c r="C2658" s="37" t="s">
        <v>2348</v>
      </c>
      <c r="D2658" s="37" t="s">
        <v>2349</v>
      </c>
      <c r="E2658" s="212">
        <v>5.64</v>
      </c>
    </row>
    <row r="2659" spans="1:5" ht="14.25">
      <c r="A2659" s="37">
        <v>14157</v>
      </c>
      <c r="B2659" s="37" t="s">
        <v>23430</v>
      </c>
      <c r="C2659" s="37" t="s">
        <v>2348</v>
      </c>
      <c r="D2659" s="37" t="s">
        <v>2351</v>
      </c>
      <c r="E2659" s="212">
        <v>1.26</v>
      </c>
    </row>
    <row r="2660" spans="1:5" ht="14.25">
      <c r="A2660" s="37">
        <v>3653</v>
      </c>
      <c r="B2660" s="37" t="s">
        <v>23431</v>
      </c>
      <c r="C2660" s="37" t="s">
        <v>2348</v>
      </c>
      <c r="D2660" s="37" t="s">
        <v>2351</v>
      </c>
      <c r="E2660" s="212">
        <v>136.68</v>
      </c>
    </row>
    <row r="2661" spans="1:5" ht="14.25">
      <c r="A2661" s="37">
        <v>3649</v>
      </c>
      <c r="B2661" s="37" t="s">
        <v>23432</v>
      </c>
      <c r="C2661" s="37" t="s">
        <v>2348</v>
      </c>
      <c r="D2661" s="37" t="s">
        <v>2351</v>
      </c>
      <c r="E2661" s="212">
        <v>283.10000000000002</v>
      </c>
    </row>
    <row r="2662" spans="1:5" ht="14.25">
      <c r="A2662" s="37">
        <v>42696</v>
      </c>
      <c r="B2662" s="37" t="s">
        <v>23433</v>
      </c>
      <c r="C2662" s="37" t="s">
        <v>2348</v>
      </c>
      <c r="D2662" s="37" t="s">
        <v>2351</v>
      </c>
      <c r="E2662" s="212">
        <v>792.09</v>
      </c>
    </row>
    <row r="2663" spans="1:5" ht="14.25">
      <c r="A2663" s="37">
        <v>42697</v>
      </c>
      <c r="B2663" s="37" t="s">
        <v>23434</v>
      </c>
      <c r="C2663" s="37" t="s">
        <v>2348</v>
      </c>
      <c r="D2663" s="37" t="s">
        <v>2351</v>
      </c>
      <c r="E2663" s="213">
        <v>1192.9100000000001</v>
      </c>
    </row>
    <row r="2664" spans="1:5" ht="14.25">
      <c r="A2664" s="37">
        <v>42698</v>
      </c>
      <c r="B2664" s="37" t="s">
        <v>23435</v>
      </c>
      <c r="C2664" s="37" t="s">
        <v>2348</v>
      </c>
      <c r="D2664" s="37" t="s">
        <v>2351</v>
      </c>
      <c r="E2664" s="213">
        <v>1661.68</v>
      </c>
    </row>
    <row r="2665" spans="1:5" ht="14.25">
      <c r="A2665" s="37">
        <v>39875</v>
      </c>
      <c r="B2665" s="37" t="s">
        <v>23436</v>
      </c>
      <c r="C2665" s="37" t="s">
        <v>2348</v>
      </c>
      <c r="D2665" s="37" t="s">
        <v>2351</v>
      </c>
      <c r="E2665" s="212">
        <v>753.53</v>
      </c>
    </row>
    <row r="2666" spans="1:5" ht="14.25">
      <c r="A2666" s="37">
        <v>39876</v>
      </c>
      <c r="B2666" s="37" t="s">
        <v>23437</v>
      </c>
      <c r="C2666" s="37" t="s">
        <v>2348</v>
      </c>
      <c r="D2666" s="37" t="s">
        <v>2351</v>
      </c>
      <c r="E2666" s="212">
        <v>943.42</v>
      </c>
    </row>
    <row r="2667" spans="1:5" ht="14.25">
      <c r="A2667" s="37">
        <v>39877</v>
      </c>
      <c r="B2667" s="37" t="s">
        <v>23438</v>
      </c>
      <c r="C2667" s="37" t="s">
        <v>2348</v>
      </c>
      <c r="D2667" s="37" t="s">
        <v>2351</v>
      </c>
      <c r="E2667" s="213">
        <v>1308.49</v>
      </c>
    </row>
    <row r="2668" spans="1:5" ht="14.25">
      <c r="A2668" s="37">
        <v>39878</v>
      </c>
      <c r="B2668" s="37" t="s">
        <v>23439</v>
      </c>
      <c r="C2668" s="37" t="s">
        <v>2348</v>
      </c>
      <c r="D2668" s="37" t="s">
        <v>2351</v>
      </c>
      <c r="E2668" s="213">
        <v>1728.3</v>
      </c>
    </row>
    <row r="2669" spans="1:5" ht="14.25">
      <c r="A2669" s="37">
        <v>39872</v>
      </c>
      <c r="B2669" s="37" t="s">
        <v>23440</v>
      </c>
      <c r="C2669" s="37" t="s">
        <v>2348</v>
      </c>
      <c r="D2669" s="37" t="s">
        <v>2351</v>
      </c>
      <c r="E2669" s="212">
        <v>516.75</v>
      </c>
    </row>
    <row r="2670" spans="1:5" ht="14.25">
      <c r="A2670" s="37">
        <v>39873</v>
      </c>
      <c r="B2670" s="37" t="s">
        <v>23441</v>
      </c>
      <c r="C2670" s="37" t="s">
        <v>2348</v>
      </c>
      <c r="D2670" s="37" t="s">
        <v>2351</v>
      </c>
      <c r="E2670" s="212">
        <v>599.4</v>
      </c>
    </row>
    <row r="2671" spans="1:5" ht="14.25">
      <c r="A2671" s="37">
        <v>39874</v>
      </c>
      <c r="B2671" s="37" t="s">
        <v>23442</v>
      </c>
      <c r="C2671" s="37" t="s">
        <v>2348</v>
      </c>
      <c r="D2671" s="37" t="s">
        <v>2351</v>
      </c>
      <c r="E2671" s="212">
        <v>658.36</v>
      </c>
    </row>
    <row r="2672" spans="1:5" ht="14.25">
      <c r="A2672" s="37">
        <v>3674</v>
      </c>
      <c r="B2672" s="37" t="s">
        <v>23443</v>
      </c>
      <c r="C2672" s="37" t="s">
        <v>2355</v>
      </c>
      <c r="D2672" s="37" t="s">
        <v>2351</v>
      </c>
      <c r="E2672" s="212">
        <v>71.790000000000006</v>
      </c>
    </row>
    <row r="2673" spans="1:5" ht="14.25">
      <c r="A2673" s="37">
        <v>3681</v>
      </c>
      <c r="B2673" s="37" t="s">
        <v>23444</v>
      </c>
      <c r="C2673" s="37" t="s">
        <v>2355</v>
      </c>
      <c r="D2673" s="37" t="s">
        <v>2351</v>
      </c>
      <c r="E2673" s="212">
        <v>106.82</v>
      </c>
    </row>
    <row r="2674" spans="1:5" ht="14.25">
      <c r="A2674" s="37">
        <v>3676</v>
      </c>
      <c r="B2674" s="37" t="s">
        <v>23445</v>
      </c>
      <c r="C2674" s="37" t="s">
        <v>2355</v>
      </c>
      <c r="D2674" s="37" t="s">
        <v>2351</v>
      </c>
      <c r="E2674" s="212">
        <v>402.01</v>
      </c>
    </row>
    <row r="2675" spans="1:5" ht="14.25">
      <c r="A2675" s="37">
        <v>3679</v>
      </c>
      <c r="B2675" s="37" t="s">
        <v>23446</v>
      </c>
      <c r="C2675" s="37" t="s">
        <v>2355</v>
      </c>
      <c r="D2675" s="37" t="s">
        <v>2351</v>
      </c>
      <c r="E2675" s="212">
        <v>332.59</v>
      </c>
    </row>
    <row r="2676" spans="1:5" ht="14.25">
      <c r="A2676" s="37">
        <v>3672</v>
      </c>
      <c r="B2676" s="37" t="s">
        <v>23447</v>
      </c>
      <c r="C2676" s="37" t="s">
        <v>2355</v>
      </c>
      <c r="D2676" s="37" t="s">
        <v>2351</v>
      </c>
      <c r="E2676" s="212">
        <v>1.1299999999999999</v>
      </c>
    </row>
    <row r="2677" spans="1:5" ht="14.25">
      <c r="A2677" s="37">
        <v>3671</v>
      </c>
      <c r="B2677" s="37" t="s">
        <v>23448</v>
      </c>
      <c r="C2677" s="37" t="s">
        <v>2355</v>
      </c>
      <c r="D2677" s="37" t="s">
        <v>2351</v>
      </c>
      <c r="E2677" s="212">
        <v>1.07</v>
      </c>
    </row>
    <row r="2678" spans="1:5" ht="14.25">
      <c r="A2678" s="37">
        <v>3673</v>
      </c>
      <c r="B2678" s="37" t="s">
        <v>23449</v>
      </c>
      <c r="C2678" s="37" t="s">
        <v>2355</v>
      </c>
      <c r="D2678" s="37" t="s">
        <v>2351</v>
      </c>
      <c r="E2678" s="212">
        <v>1.68</v>
      </c>
    </row>
    <row r="2679" spans="1:5" ht="14.25">
      <c r="A2679" s="37">
        <v>38394</v>
      </c>
      <c r="B2679" s="37" t="s">
        <v>23450</v>
      </c>
      <c r="C2679" s="37" t="s">
        <v>2348</v>
      </c>
      <c r="D2679" s="37" t="s">
        <v>2349</v>
      </c>
      <c r="E2679" s="212">
        <v>293.26</v>
      </c>
    </row>
    <row r="2680" spans="1:5" ht="14.25">
      <c r="A2680" s="37">
        <v>3729</v>
      </c>
      <c r="B2680" s="37" t="s">
        <v>23451</v>
      </c>
      <c r="C2680" s="37" t="s">
        <v>2348</v>
      </c>
      <c r="D2680" s="37" t="s">
        <v>2349</v>
      </c>
      <c r="E2680" s="212">
        <v>125.27</v>
      </c>
    </row>
    <row r="2681" spans="1:5" ht="14.25">
      <c r="A2681" s="37">
        <v>39357</v>
      </c>
      <c r="B2681" s="37" t="s">
        <v>23452</v>
      </c>
      <c r="C2681" s="37" t="s">
        <v>2348</v>
      </c>
      <c r="D2681" s="37" t="s">
        <v>2351</v>
      </c>
      <c r="E2681" s="212">
        <v>134.25</v>
      </c>
    </row>
    <row r="2682" spans="1:5" ht="14.25">
      <c r="A2682" s="37">
        <v>39358</v>
      </c>
      <c r="B2682" s="37" t="s">
        <v>23453</v>
      </c>
      <c r="C2682" s="37" t="s">
        <v>2348</v>
      </c>
      <c r="D2682" s="37" t="s">
        <v>2351</v>
      </c>
      <c r="E2682" s="212">
        <v>147.21</v>
      </c>
    </row>
    <row r="2683" spans="1:5" ht="14.25">
      <c r="A2683" s="37">
        <v>39356</v>
      </c>
      <c r="B2683" s="37" t="s">
        <v>23454</v>
      </c>
      <c r="C2683" s="37" t="s">
        <v>2348</v>
      </c>
      <c r="D2683" s="37" t="s">
        <v>2351</v>
      </c>
      <c r="E2683" s="212">
        <v>251.14</v>
      </c>
    </row>
    <row r="2684" spans="1:5" ht="14.25">
      <c r="A2684" s="37">
        <v>39355</v>
      </c>
      <c r="B2684" s="37" t="s">
        <v>23455</v>
      </c>
      <c r="C2684" s="37" t="s">
        <v>2348</v>
      </c>
      <c r="D2684" s="37" t="s">
        <v>2351</v>
      </c>
      <c r="E2684" s="212">
        <v>216.11</v>
      </c>
    </row>
    <row r="2685" spans="1:5" ht="14.25">
      <c r="A2685" s="37">
        <v>39353</v>
      </c>
      <c r="B2685" s="37" t="s">
        <v>23456</v>
      </c>
      <c r="C2685" s="37" t="s">
        <v>2348</v>
      </c>
      <c r="D2685" s="37" t="s">
        <v>2351</v>
      </c>
      <c r="E2685" s="212">
        <v>296.36</v>
      </c>
    </row>
    <row r="2686" spans="1:5" ht="14.25">
      <c r="A2686" s="37">
        <v>39354</v>
      </c>
      <c r="B2686" s="37" t="s">
        <v>23457</v>
      </c>
      <c r="C2686" s="37" t="s">
        <v>2348</v>
      </c>
      <c r="D2686" s="37" t="s">
        <v>2351</v>
      </c>
      <c r="E2686" s="212">
        <v>295.37</v>
      </c>
    </row>
    <row r="2687" spans="1:5" ht="14.25">
      <c r="A2687" s="37">
        <v>39398</v>
      </c>
      <c r="B2687" s="37" t="s">
        <v>23458</v>
      </c>
      <c r="C2687" s="37" t="s">
        <v>2348</v>
      </c>
      <c r="D2687" s="37" t="s">
        <v>2349</v>
      </c>
      <c r="E2687" s="212">
        <v>76.19</v>
      </c>
    </row>
    <row r="2688" spans="1:5" ht="14.25">
      <c r="A2688" s="37">
        <v>13343</v>
      </c>
      <c r="B2688" s="37" t="s">
        <v>23459</v>
      </c>
      <c r="C2688" s="37" t="s">
        <v>2348</v>
      </c>
      <c r="D2688" s="37" t="s">
        <v>2351</v>
      </c>
      <c r="E2688" s="212">
        <v>42.24</v>
      </c>
    </row>
    <row r="2689" spans="1:5" ht="14.25">
      <c r="A2689" s="37">
        <v>12118</v>
      </c>
      <c r="B2689" s="37" t="s">
        <v>23460</v>
      </c>
      <c r="C2689" s="37" t="s">
        <v>2348</v>
      </c>
      <c r="D2689" s="37" t="s">
        <v>2349</v>
      </c>
      <c r="E2689" s="212">
        <v>20.92</v>
      </c>
    </row>
    <row r="2690" spans="1:5" ht="14.25">
      <c r="A2690" s="37">
        <v>39482</v>
      </c>
      <c r="B2690" s="37" t="s">
        <v>23461</v>
      </c>
      <c r="C2690" s="37" t="s">
        <v>2348</v>
      </c>
      <c r="D2690" s="37" t="s">
        <v>2349</v>
      </c>
      <c r="E2690" s="212">
        <v>556.02</v>
      </c>
    </row>
    <row r="2691" spans="1:5" ht="14.25">
      <c r="A2691" s="37">
        <v>39486</v>
      </c>
      <c r="B2691" s="37" t="s">
        <v>23462</v>
      </c>
      <c r="C2691" s="37" t="s">
        <v>2348</v>
      </c>
      <c r="D2691" s="37" t="s">
        <v>2349</v>
      </c>
      <c r="E2691" s="212">
        <v>453.79</v>
      </c>
    </row>
    <row r="2692" spans="1:5" ht="14.25">
      <c r="A2692" s="37">
        <v>39484</v>
      </c>
      <c r="B2692" s="37" t="s">
        <v>23463</v>
      </c>
      <c r="C2692" s="37" t="s">
        <v>2348</v>
      </c>
      <c r="D2692" s="37" t="s">
        <v>2349</v>
      </c>
      <c r="E2692" s="212">
        <v>556.02</v>
      </c>
    </row>
    <row r="2693" spans="1:5" ht="14.25">
      <c r="A2693" s="37">
        <v>39488</v>
      </c>
      <c r="B2693" s="37" t="s">
        <v>23464</v>
      </c>
      <c r="C2693" s="37" t="s">
        <v>2348</v>
      </c>
      <c r="D2693" s="37" t="s">
        <v>2349</v>
      </c>
      <c r="E2693" s="212">
        <v>461.22</v>
      </c>
    </row>
    <row r="2694" spans="1:5" ht="14.25">
      <c r="A2694" s="37">
        <v>39485</v>
      </c>
      <c r="B2694" s="37" t="s">
        <v>23465</v>
      </c>
      <c r="C2694" s="37" t="s">
        <v>2348</v>
      </c>
      <c r="D2694" s="37" t="s">
        <v>2349</v>
      </c>
      <c r="E2694" s="212">
        <v>556.02</v>
      </c>
    </row>
    <row r="2695" spans="1:5" ht="14.25">
      <c r="A2695" s="37">
        <v>39489</v>
      </c>
      <c r="B2695" s="37" t="s">
        <v>23466</v>
      </c>
      <c r="C2695" s="37" t="s">
        <v>2348</v>
      </c>
      <c r="D2695" s="37" t="s">
        <v>2349</v>
      </c>
      <c r="E2695" s="212">
        <v>469.04</v>
      </c>
    </row>
    <row r="2696" spans="1:5" ht="14.25">
      <c r="A2696" s="37">
        <v>39490</v>
      </c>
      <c r="B2696" s="37" t="s">
        <v>23467</v>
      </c>
      <c r="C2696" s="37" t="s">
        <v>2348</v>
      </c>
      <c r="D2696" s="37" t="s">
        <v>2349</v>
      </c>
      <c r="E2696" s="212">
        <v>698.92</v>
      </c>
    </row>
    <row r="2697" spans="1:5" ht="14.25">
      <c r="A2697" s="37">
        <v>39494</v>
      </c>
      <c r="B2697" s="37" t="s">
        <v>23468</v>
      </c>
      <c r="C2697" s="37" t="s">
        <v>2348</v>
      </c>
      <c r="D2697" s="37" t="s">
        <v>2349</v>
      </c>
      <c r="E2697" s="212">
        <v>501.89</v>
      </c>
    </row>
    <row r="2698" spans="1:5" ht="14.25">
      <c r="A2698" s="37">
        <v>39495</v>
      </c>
      <c r="B2698" s="37" t="s">
        <v>23469</v>
      </c>
      <c r="C2698" s="37" t="s">
        <v>2348</v>
      </c>
      <c r="D2698" s="37" t="s">
        <v>2349</v>
      </c>
      <c r="E2698" s="212">
        <v>565.55999999999995</v>
      </c>
    </row>
    <row r="2699" spans="1:5" ht="14.25">
      <c r="A2699" s="37">
        <v>39496</v>
      </c>
      <c r="B2699" s="37" t="s">
        <v>23470</v>
      </c>
      <c r="C2699" s="37" t="s">
        <v>2348</v>
      </c>
      <c r="D2699" s="37" t="s">
        <v>2349</v>
      </c>
      <c r="E2699" s="212">
        <v>622.11</v>
      </c>
    </row>
    <row r="2700" spans="1:5" ht="14.25">
      <c r="A2700" s="37">
        <v>39492</v>
      </c>
      <c r="B2700" s="37" t="s">
        <v>23471</v>
      </c>
      <c r="C2700" s="37" t="s">
        <v>2348</v>
      </c>
      <c r="D2700" s="37" t="s">
        <v>2349</v>
      </c>
      <c r="E2700" s="212">
        <v>720.24</v>
      </c>
    </row>
    <row r="2701" spans="1:5" ht="14.25">
      <c r="A2701" s="37">
        <v>39497</v>
      </c>
      <c r="B2701" s="37" t="s">
        <v>23472</v>
      </c>
      <c r="C2701" s="37" t="s">
        <v>2348</v>
      </c>
      <c r="D2701" s="37" t="s">
        <v>2349</v>
      </c>
      <c r="E2701" s="212">
        <v>650.55999999999995</v>
      </c>
    </row>
    <row r="2702" spans="1:5" ht="14.25">
      <c r="A2702" s="37">
        <v>39493</v>
      </c>
      <c r="B2702" s="37" t="s">
        <v>23473</v>
      </c>
      <c r="C2702" s="37" t="s">
        <v>2348</v>
      </c>
      <c r="D2702" s="37" t="s">
        <v>2349</v>
      </c>
      <c r="E2702" s="212">
        <v>772.52</v>
      </c>
    </row>
    <row r="2703" spans="1:5" ht="14.25">
      <c r="A2703" s="37">
        <v>39500</v>
      </c>
      <c r="B2703" s="37" t="s">
        <v>23474</v>
      </c>
      <c r="C2703" s="37" t="s">
        <v>2348</v>
      </c>
      <c r="D2703" s="37" t="s">
        <v>2349</v>
      </c>
      <c r="E2703" s="212">
        <v>842.89</v>
      </c>
    </row>
    <row r="2704" spans="1:5" ht="14.25">
      <c r="A2704" s="37">
        <v>39498</v>
      </c>
      <c r="B2704" s="37" t="s">
        <v>23475</v>
      </c>
      <c r="C2704" s="37" t="s">
        <v>2348</v>
      </c>
      <c r="D2704" s="37" t="s">
        <v>2349</v>
      </c>
      <c r="E2704" s="213">
        <v>1039.56</v>
      </c>
    </row>
    <row r="2705" spans="1:5" ht="14.25">
      <c r="A2705" s="37">
        <v>43628</v>
      </c>
      <c r="B2705" s="37" t="s">
        <v>23476</v>
      </c>
      <c r="C2705" s="37" t="s">
        <v>2348</v>
      </c>
      <c r="D2705" s="37" t="s">
        <v>2349</v>
      </c>
      <c r="E2705" s="212">
        <v>819.39</v>
      </c>
    </row>
    <row r="2706" spans="1:5" ht="14.25">
      <c r="A2706" s="37">
        <v>39501</v>
      </c>
      <c r="B2706" s="37" t="s">
        <v>23477</v>
      </c>
      <c r="C2706" s="37" t="s">
        <v>2348</v>
      </c>
      <c r="D2706" s="37" t="s">
        <v>2349</v>
      </c>
      <c r="E2706" s="212">
        <v>865.71</v>
      </c>
    </row>
    <row r="2707" spans="1:5" ht="14.25">
      <c r="A2707" s="37">
        <v>39499</v>
      </c>
      <c r="B2707" s="37" t="s">
        <v>23478</v>
      </c>
      <c r="C2707" s="37" t="s">
        <v>2348</v>
      </c>
      <c r="D2707" s="37" t="s">
        <v>2349</v>
      </c>
      <c r="E2707" s="213">
        <v>1054.32</v>
      </c>
    </row>
    <row r="2708" spans="1:5" ht="14.25">
      <c r="A2708" s="37">
        <v>43621</v>
      </c>
      <c r="B2708" s="37" t="s">
        <v>23479</v>
      </c>
      <c r="C2708" s="37" t="s">
        <v>2348</v>
      </c>
      <c r="D2708" s="37" t="s">
        <v>2349</v>
      </c>
      <c r="E2708" s="212">
        <v>870.61</v>
      </c>
    </row>
    <row r="2709" spans="1:5" ht="14.25">
      <c r="A2709" s="37">
        <v>3733</v>
      </c>
      <c r="B2709" s="37" t="s">
        <v>23480</v>
      </c>
      <c r="C2709" s="37" t="s">
        <v>28761</v>
      </c>
      <c r="D2709" s="37" t="s">
        <v>2351</v>
      </c>
      <c r="E2709" s="212">
        <v>60.52</v>
      </c>
    </row>
    <row r="2710" spans="1:5" ht="14.25">
      <c r="A2710" s="37">
        <v>3731</v>
      </c>
      <c r="B2710" s="37" t="s">
        <v>23481</v>
      </c>
      <c r="C2710" s="37" t="s">
        <v>28761</v>
      </c>
      <c r="D2710" s="37" t="s">
        <v>2351</v>
      </c>
      <c r="E2710" s="212">
        <v>56.18</v>
      </c>
    </row>
    <row r="2711" spans="1:5" ht="14.25">
      <c r="A2711" s="37">
        <v>38137</v>
      </c>
      <c r="B2711" s="37" t="s">
        <v>23482</v>
      </c>
      <c r="C2711" s="37" t="s">
        <v>28761</v>
      </c>
      <c r="D2711" s="37" t="s">
        <v>2351</v>
      </c>
      <c r="E2711" s="212">
        <v>56.51</v>
      </c>
    </row>
    <row r="2712" spans="1:5" ht="14.25">
      <c r="A2712" s="37">
        <v>38135</v>
      </c>
      <c r="B2712" s="37" t="s">
        <v>23483</v>
      </c>
      <c r="C2712" s="37" t="s">
        <v>28761</v>
      </c>
      <c r="D2712" s="37" t="s">
        <v>2351</v>
      </c>
      <c r="E2712" s="212">
        <v>71.63</v>
      </c>
    </row>
    <row r="2713" spans="1:5" ht="14.25">
      <c r="A2713" s="37">
        <v>38138</v>
      </c>
      <c r="B2713" s="37" t="s">
        <v>23484</v>
      </c>
      <c r="C2713" s="37" t="s">
        <v>28761</v>
      </c>
      <c r="D2713" s="37" t="s">
        <v>2351</v>
      </c>
      <c r="E2713" s="212">
        <v>55.49</v>
      </c>
    </row>
    <row r="2714" spans="1:5" ht="14.25">
      <c r="A2714" s="37">
        <v>3736</v>
      </c>
      <c r="B2714" s="37" t="s">
        <v>23485</v>
      </c>
      <c r="C2714" s="37" t="s">
        <v>28761</v>
      </c>
      <c r="D2714" s="37" t="s">
        <v>2353</v>
      </c>
      <c r="E2714" s="212">
        <v>45</v>
      </c>
    </row>
    <row r="2715" spans="1:5" ht="14.25">
      <c r="A2715" s="37">
        <v>3741</v>
      </c>
      <c r="B2715" s="37" t="s">
        <v>23486</v>
      </c>
      <c r="C2715" s="37" t="s">
        <v>28761</v>
      </c>
      <c r="D2715" s="37" t="s">
        <v>2349</v>
      </c>
      <c r="E2715" s="212">
        <v>46.9</v>
      </c>
    </row>
    <row r="2716" spans="1:5" ht="14.25">
      <c r="A2716" s="37">
        <v>3745</v>
      </c>
      <c r="B2716" s="37" t="s">
        <v>23487</v>
      </c>
      <c r="C2716" s="37" t="s">
        <v>28761</v>
      </c>
      <c r="D2716" s="37" t="s">
        <v>2349</v>
      </c>
      <c r="E2716" s="212">
        <v>50.58</v>
      </c>
    </row>
    <row r="2717" spans="1:5" ht="14.25">
      <c r="A2717" s="37">
        <v>3743</v>
      </c>
      <c r="B2717" s="37" t="s">
        <v>23488</v>
      </c>
      <c r="C2717" s="37" t="s">
        <v>28761</v>
      </c>
      <c r="D2717" s="37" t="s">
        <v>2349</v>
      </c>
      <c r="E2717" s="212">
        <v>46.74</v>
      </c>
    </row>
    <row r="2718" spans="1:5" ht="14.25">
      <c r="A2718" s="37">
        <v>3744</v>
      </c>
      <c r="B2718" s="37" t="s">
        <v>23489</v>
      </c>
      <c r="C2718" s="37" t="s">
        <v>28761</v>
      </c>
      <c r="D2718" s="37" t="s">
        <v>2349</v>
      </c>
      <c r="E2718" s="212">
        <v>51.45</v>
      </c>
    </row>
    <row r="2719" spans="1:5" ht="14.25">
      <c r="A2719" s="37">
        <v>3739</v>
      </c>
      <c r="B2719" s="37" t="s">
        <v>23490</v>
      </c>
      <c r="C2719" s="37" t="s">
        <v>28761</v>
      </c>
      <c r="D2719" s="37" t="s">
        <v>2349</v>
      </c>
      <c r="E2719" s="212">
        <v>54.06</v>
      </c>
    </row>
    <row r="2720" spans="1:5" ht="14.25">
      <c r="A2720" s="37">
        <v>3737</v>
      </c>
      <c r="B2720" s="37" t="s">
        <v>23491</v>
      </c>
      <c r="C2720" s="37" t="s">
        <v>28761</v>
      </c>
      <c r="D2720" s="37" t="s">
        <v>2349</v>
      </c>
      <c r="E2720" s="212">
        <v>56.68</v>
      </c>
    </row>
    <row r="2721" spans="1:5" ht="14.25">
      <c r="A2721" s="37">
        <v>3738</v>
      </c>
      <c r="B2721" s="37" t="s">
        <v>23492</v>
      </c>
      <c r="C2721" s="37" t="s">
        <v>28761</v>
      </c>
      <c r="D2721" s="37" t="s">
        <v>2349</v>
      </c>
      <c r="E2721" s="212">
        <v>65.400000000000006</v>
      </c>
    </row>
    <row r="2722" spans="1:5" ht="14.25">
      <c r="A2722" s="37">
        <v>3747</v>
      </c>
      <c r="B2722" s="37" t="s">
        <v>23493</v>
      </c>
      <c r="C2722" s="37" t="s">
        <v>28761</v>
      </c>
      <c r="D2722" s="37" t="s">
        <v>2349</v>
      </c>
      <c r="E2722" s="212">
        <v>51.45</v>
      </c>
    </row>
    <row r="2723" spans="1:5" ht="14.25">
      <c r="A2723" s="37">
        <v>11649</v>
      </c>
      <c r="B2723" s="37" t="s">
        <v>23494</v>
      </c>
      <c r="C2723" s="37" t="s">
        <v>2348</v>
      </c>
      <c r="D2723" s="37" t="s">
        <v>2349</v>
      </c>
      <c r="E2723" s="212">
        <v>373.25</v>
      </c>
    </row>
    <row r="2724" spans="1:5" ht="14.25">
      <c r="A2724" s="37">
        <v>11650</v>
      </c>
      <c r="B2724" s="37" t="s">
        <v>23495</v>
      </c>
      <c r="C2724" s="37" t="s">
        <v>2348</v>
      </c>
      <c r="D2724" s="37" t="s">
        <v>2349</v>
      </c>
      <c r="E2724" s="212">
        <v>636.19000000000005</v>
      </c>
    </row>
    <row r="2725" spans="1:5" ht="14.25">
      <c r="A2725" s="37">
        <v>3742</v>
      </c>
      <c r="B2725" s="37" t="s">
        <v>23496</v>
      </c>
      <c r="C2725" s="37" t="s">
        <v>28761</v>
      </c>
      <c r="D2725" s="37" t="s">
        <v>2349</v>
      </c>
      <c r="E2725" s="212">
        <v>67.84</v>
      </c>
    </row>
    <row r="2726" spans="1:5" ht="14.25">
      <c r="A2726" s="37">
        <v>3746</v>
      </c>
      <c r="B2726" s="37" t="s">
        <v>23497</v>
      </c>
      <c r="C2726" s="37" t="s">
        <v>28761</v>
      </c>
      <c r="D2726" s="37" t="s">
        <v>2349</v>
      </c>
      <c r="E2726" s="212">
        <v>79.22</v>
      </c>
    </row>
    <row r="2727" spans="1:5" ht="14.25">
      <c r="A2727" s="37">
        <v>21106</v>
      </c>
      <c r="B2727" s="37" t="s">
        <v>23498</v>
      </c>
      <c r="C2727" s="37" t="s">
        <v>2356</v>
      </c>
      <c r="D2727" s="37" t="s">
        <v>2351</v>
      </c>
      <c r="E2727" s="212">
        <v>45.61</v>
      </c>
    </row>
    <row r="2728" spans="1:5" ht="14.25">
      <c r="A2728" s="37">
        <v>3755</v>
      </c>
      <c r="B2728" s="37" t="s">
        <v>23499</v>
      </c>
      <c r="C2728" s="37" t="s">
        <v>2348</v>
      </c>
      <c r="D2728" s="37" t="s">
        <v>2351</v>
      </c>
      <c r="E2728" s="212">
        <v>28.03</v>
      </c>
    </row>
    <row r="2729" spans="1:5" ht="14.25">
      <c r="A2729" s="37">
        <v>3750</v>
      </c>
      <c r="B2729" s="37" t="s">
        <v>23500</v>
      </c>
      <c r="C2729" s="37" t="s">
        <v>2348</v>
      </c>
      <c r="D2729" s="37" t="s">
        <v>2351</v>
      </c>
      <c r="E2729" s="212">
        <v>37.68</v>
      </c>
    </row>
    <row r="2730" spans="1:5" ht="14.25">
      <c r="A2730" s="37">
        <v>3756</v>
      </c>
      <c r="B2730" s="37" t="s">
        <v>23501</v>
      </c>
      <c r="C2730" s="37" t="s">
        <v>2348</v>
      </c>
      <c r="D2730" s="37" t="s">
        <v>2351</v>
      </c>
      <c r="E2730" s="212">
        <v>70.42</v>
      </c>
    </row>
    <row r="2731" spans="1:5" ht="14.25">
      <c r="A2731" s="37">
        <v>39377</v>
      </c>
      <c r="B2731" s="37" t="s">
        <v>23502</v>
      </c>
      <c r="C2731" s="37" t="s">
        <v>2348</v>
      </c>
      <c r="D2731" s="37" t="s">
        <v>2351</v>
      </c>
      <c r="E2731" s="212">
        <v>208.6</v>
      </c>
    </row>
    <row r="2732" spans="1:5" ht="14.25">
      <c r="A2732" s="37">
        <v>38191</v>
      </c>
      <c r="B2732" s="37" t="s">
        <v>23503</v>
      </c>
      <c r="C2732" s="37" t="s">
        <v>2348</v>
      </c>
      <c r="D2732" s="37" t="s">
        <v>2351</v>
      </c>
      <c r="E2732" s="212">
        <v>15.53</v>
      </c>
    </row>
    <row r="2733" spans="1:5" ht="14.25">
      <c r="A2733" s="37">
        <v>39381</v>
      </c>
      <c r="B2733" s="37" t="s">
        <v>23504</v>
      </c>
      <c r="C2733" s="37" t="s">
        <v>2348</v>
      </c>
      <c r="D2733" s="37" t="s">
        <v>2351</v>
      </c>
      <c r="E2733" s="212">
        <v>14.48</v>
      </c>
    </row>
    <row r="2734" spans="1:5" ht="14.25">
      <c r="A2734" s="37">
        <v>38780</v>
      </c>
      <c r="B2734" s="37" t="s">
        <v>23505</v>
      </c>
      <c r="C2734" s="37" t="s">
        <v>2348</v>
      </c>
      <c r="D2734" s="37" t="s">
        <v>2351</v>
      </c>
      <c r="E2734" s="212">
        <v>17.72</v>
      </c>
    </row>
    <row r="2735" spans="1:5" ht="14.25">
      <c r="A2735" s="37">
        <v>38781</v>
      </c>
      <c r="B2735" s="37" t="s">
        <v>23506</v>
      </c>
      <c r="C2735" s="37" t="s">
        <v>2348</v>
      </c>
      <c r="D2735" s="37" t="s">
        <v>2351</v>
      </c>
      <c r="E2735" s="212">
        <v>59.83</v>
      </c>
    </row>
    <row r="2736" spans="1:5" ht="14.25">
      <c r="A2736" s="37">
        <v>38192</v>
      </c>
      <c r="B2736" s="37" t="s">
        <v>23507</v>
      </c>
      <c r="C2736" s="37" t="s">
        <v>2348</v>
      </c>
      <c r="D2736" s="37" t="s">
        <v>2351</v>
      </c>
      <c r="E2736" s="212">
        <v>108.26</v>
      </c>
    </row>
    <row r="2737" spans="1:5" ht="14.25">
      <c r="A2737" s="37">
        <v>3753</v>
      </c>
      <c r="B2737" s="37" t="s">
        <v>23508</v>
      </c>
      <c r="C2737" s="37" t="s">
        <v>2348</v>
      </c>
      <c r="D2737" s="37" t="s">
        <v>2351</v>
      </c>
      <c r="E2737" s="212">
        <v>9.48</v>
      </c>
    </row>
    <row r="2738" spans="1:5" ht="14.25">
      <c r="A2738" s="37">
        <v>38782</v>
      </c>
      <c r="B2738" s="37" t="s">
        <v>23509</v>
      </c>
      <c r="C2738" s="37" t="s">
        <v>2348</v>
      </c>
      <c r="D2738" s="37" t="s">
        <v>2351</v>
      </c>
      <c r="E2738" s="212">
        <v>12.34</v>
      </c>
    </row>
    <row r="2739" spans="1:5" ht="14.25">
      <c r="A2739" s="37">
        <v>38778</v>
      </c>
      <c r="B2739" s="37" t="s">
        <v>23510</v>
      </c>
      <c r="C2739" s="37" t="s">
        <v>2348</v>
      </c>
      <c r="D2739" s="37" t="s">
        <v>2351</v>
      </c>
      <c r="E2739" s="212">
        <v>9.26</v>
      </c>
    </row>
    <row r="2740" spans="1:5" ht="14.25">
      <c r="A2740" s="37">
        <v>38779</v>
      </c>
      <c r="B2740" s="37" t="s">
        <v>23511</v>
      </c>
      <c r="C2740" s="37" t="s">
        <v>2348</v>
      </c>
      <c r="D2740" s="37" t="s">
        <v>2351</v>
      </c>
      <c r="E2740" s="212">
        <v>9.82</v>
      </c>
    </row>
    <row r="2741" spans="1:5" ht="14.25">
      <c r="A2741" s="37">
        <v>39388</v>
      </c>
      <c r="B2741" s="37" t="s">
        <v>23512</v>
      </c>
      <c r="C2741" s="37" t="s">
        <v>2348</v>
      </c>
      <c r="D2741" s="37" t="s">
        <v>2349</v>
      </c>
      <c r="E2741" s="212">
        <v>11.07</v>
      </c>
    </row>
    <row r="2742" spans="1:5" ht="14.25">
      <c r="A2742" s="37">
        <v>39387</v>
      </c>
      <c r="B2742" s="37" t="s">
        <v>23513</v>
      </c>
      <c r="C2742" s="37" t="s">
        <v>2348</v>
      </c>
      <c r="D2742" s="37" t="s">
        <v>2349</v>
      </c>
      <c r="E2742" s="212">
        <v>17.25</v>
      </c>
    </row>
    <row r="2743" spans="1:5" ht="14.25">
      <c r="A2743" s="37">
        <v>39386</v>
      </c>
      <c r="B2743" s="37" t="s">
        <v>23514</v>
      </c>
      <c r="C2743" s="37" t="s">
        <v>2348</v>
      </c>
      <c r="D2743" s="37" t="s">
        <v>2349</v>
      </c>
      <c r="E2743" s="212">
        <v>12.03</v>
      </c>
    </row>
    <row r="2744" spans="1:5" ht="14.25">
      <c r="A2744" s="37">
        <v>38194</v>
      </c>
      <c r="B2744" s="37" t="s">
        <v>23515</v>
      </c>
      <c r="C2744" s="37" t="s">
        <v>2348</v>
      </c>
      <c r="D2744" s="37" t="s">
        <v>2353</v>
      </c>
      <c r="E2744" s="212">
        <v>9</v>
      </c>
    </row>
    <row r="2745" spans="1:5" ht="14.25">
      <c r="A2745" s="37">
        <v>38193</v>
      </c>
      <c r="B2745" s="37" t="s">
        <v>23516</v>
      </c>
      <c r="C2745" s="37" t="s">
        <v>2348</v>
      </c>
      <c r="D2745" s="37" t="s">
        <v>2349</v>
      </c>
      <c r="E2745" s="212">
        <v>7.82</v>
      </c>
    </row>
    <row r="2746" spans="1:5" ht="14.25">
      <c r="A2746" s="37">
        <v>12216</v>
      </c>
      <c r="B2746" s="37" t="s">
        <v>23517</v>
      </c>
      <c r="C2746" s="37" t="s">
        <v>2348</v>
      </c>
      <c r="D2746" s="37" t="s">
        <v>2351</v>
      </c>
      <c r="E2746" s="212">
        <v>54.14</v>
      </c>
    </row>
    <row r="2747" spans="1:5" ht="14.25">
      <c r="A2747" s="37">
        <v>3757</v>
      </c>
      <c r="B2747" s="37" t="s">
        <v>23518</v>
      </c>
      <c r="C2747" s="37" t="s">
        <v>2348</v>
      </c>
      <c r="D2747" s="37" t="s">
        <v>2351</v>
      </c>
      <c r="E2747" s="212">
        <v>62.6</v>
      </c>
    </row>
    <row r="2748" spans="1:5" ht="14.25">
      <c r="A2748" s="37">
        <v>3758</v>
      </c>
      <c r="B2748" s="37" t="s">
        <v>23519</v>
      </c>
      <c r="C2748" s="37" t="s">
        <v>2348</v>
      </c>
      <c r="D2748" s="37" t="s">
        <v>2351</v>
      </c>
      <c r="E2748" s="212">
        <v>73</v>
      </c>
    </row>
    <row r="2749" spans="1:5" ht="14.25">
      <c r="A2749" s="37">
        <v>12214</v>
      </c>
      <c r="B2749" s="37" t="s">
        <v>23520</v>
      </c>
      <c r="C2749" s="37" t="s">
        <v>2348</v>
      </c>
      <c r="D2749" s="37" t="s">
        <v>2351</v>
      </c>
      <c r="E2749" s="212">
        <v>24.99</v>
      </c>
    </row>
    <row r="2750" spans="1:5" ht="14.25">
      <c r="A2750" s="37">
        <v>3749</v>
      </c>
      <c r="B2750" s="37" t="s">
        <v>23521</v>
      </c>
      <c r="C2750" s="37" t="s">
        <v>2348</v>
      </c>
      <c r="D2750" s="37" t="s">
        <v>2351</v>
      </c>
      <c r="E2750" s="212">
        <v>44.55</v>
      </c>
    </row>
    <row r="2751" spans="1:5" ht="14.25">
      <c r="A2751" s="37">
        <v>3751</v>
      </c>
      <c r="B2751" s="37" t="s">
        <v>23522</v>
      </c>
      <c r="C2751" s="37" t="s">
        <v>2348</v>
      </c>
      <c r="D2751" s="37" t="s">
        <v>2351</v>
      </c>
      <c r="E2751" s="212">
        <v>60.8</v>
      </c>
    </row>
    <row r="2752" spans="1:5" ht="14.25">
      <c r="A2752" s="37">
        <v>39376</v>
      </c>
      <c r="B2752" s="37" t="s">
        <v>23523</v>
      </c>
      <c r="C2752" s="37" t="s">
        <v>2348</v>
      </c>
      <c r="D2752" s="37" t="s">
        <v>2351</v>
      </c>
      <c r="E2752" s="212">
        <v>51.25</v>
      </c>
    </row>
    <row r="2753" spans="1:5" ht="14.25">
      <c r="A2753" s="37">
        <v>3752</v>
      </c>
      <c r="B2753" s="37" t="s">
        <v>23524</v>
      </c>
      <c r="C2753" s="37" t="s">
        <v>2348</v>
      </c>
      <c r="D2753" s="37" t="s">
        <v>2351</v>
      </c>
      <c r="E2753" s="212">
        <v>100.29</v>
      </c>
    </row>
    <row r="2754" spans="1:5" ht="14.25">
      <c r="A2754" s="37">
        <v>746</v>
      </c>
      <c r="B2754" s="37" t="s">
        <v>23525</v>
      </c>
      <c r="C2754" s="37" t="s">
        <v>2348</v>
      </c>
      <c r="D2754" s="37" t="s">
        <v>2353</v>
      </c>
      <c r="E2754" s="213">
        <v>2423.7399999999998</v>
      </c>
    </row>
    <row r="2755" spans="1:5" ht="14.25">
      <c r="A2755" s="37">
        <v>20269</v>
      </c>
      <c r="B2755" s="37" t="s">
        <v>23526</v>
      </c>
      <c r="C2755" s="37" t="s">
        <v>2348</v>
      </c>
      <c r="D2755" s="37" t="s">
        <v>2349</v>
      </c>
      <c r="E2755" s="212">
        <v>75.22</v>
      </c>
    </row>
    <row r="2756" spans="1:5" ht="14.25">
      <c r="A2756" s="37">
        <v>20270</v>
      </c>
      <c r="B2756" s="37" t="s">
        <v>23527</v>
      </c>
      <c r="C2756" s="37" t="s">
        <v>2348</v>
      </c>
      <c r="D2756" s="37" t="s">
        <v>2349</v>
      </c>
      <c r="E2756" s="212">
        <v>83.12</v>
      </c>
    </row>
    <row r="2757" spans="1:5" ht="14.25">
      <c r="A2757" s="37">
        <v>11696</v>
      </c>
      <c r="B2757" s="37" t="s">
        <v>23528</v>
      </c>
      <c r="C2757" s="37" t="s">
        <v>2348</v>
      </c>
      <c r="D2757" s="37" t="s">
        <v>2349</v>
      </c>
      <c r="E2757" s="212">
        <v>133.06</v>
      </c>
    </row>
    <row r="2758" spans="1:5" ht="14.25">
      <c r="A2758" s="37">
        <v>10427</v>
      </c>
      <c r="B2758" s="37" t="s">
        <v>23529</v>
      </c>
      <c r="C2758" s="37" t="s">
        <v>2348</v>
      </c>
      <c r="D2758" s="37" t="s">
        <v>2349</v>
      </c>
      <c r="E2758" s="212">
        <v>372.35</v>
      </c>
    </row>
    <row r="2759" spans="1:5" ht="14.25">
      <c r="A2759" s="37">
        <v>10428</v>
      </c>
      <c r="B2759" s="37" t="s">
        <v>23530</v>
      </c>
      <c r="C2759" s="37" t="s">
        <v>2348</v>
      </c>
      <c r="D2759" s="37" t="s">
        <v>2349</v>
      </c>
      <c r="E2759" s="212">
        <v>383.64</v>
      </c>
    </row>
    <row r="2760" spans="1:5" ht="14.25">
      <c r="A2760" s="37">
        <v>36521</v>
      </c>
      <c r="B2760" s="37" t="s">
        <v>23531</v>
      </c>
      <c r="C2760" s="37" t="s">
        <v>2348</v>
      </c>
      <c r="D2760" s="37" t="s">
        <v>2349</v>
      </c>
      <c r="E2760" s="212">
        <v>119.7</v>
      </c>
    </row>
    <row r="2761" spans="1:5" ht="14.25">
      <c r="A2761" s="37">
        <v>36794</v>
      </c>
      <c r="B2761" s="37" t="s">
        <v>23532</v>
      </c>
      <c r="C2761" s="37" t="s">
        <v>2348</v>
      </c>
      <c r="D2761" s="37" t="s">
        <v>2349</v>
      </c>
      <c r="E2761" s="212">
        <v>127.43</v>
      </c>
    </row>
    <row r="2762" spans="1:5" ht="14.25">
      <c r="A2762" s="37">
        <v>10426</v>
      </c>
      <c r="B2762" s="37" t="s">
        <v>23533</v>
      </c>
      <c r="C2762" s="37" t="s">
        <v>2348</v>
      </c>
      <c r="D2762" s="37" t="s">
        <v>2349</v>
      </c>
      <c r="E2762" s="212">
        <v>142.69999999999999</v>
      </c>
    </row>
    <row r="2763" spans="1:5" ht="14.25">
      <c r="A2763" s="37">
        <v>10425</v>
      </c>
      <c r="B2763" s="37" t="s">
        <v>23534</v>
      </c>
      <c r="C2763" s="37" t="s">
        <v>2348</v>
      </c>
      <c r="D2763" s="37" t="s">
        <v>2349</v>
      </c>
      <c r="E2763" s="212">
        <v>72.39</v>
      </c>
    </row>
    <row r="2764" spans="1:5" ht="14.25">
      <c r="A2764" s="37">
        <v>10431</v>
      </c>
      <c r="B2764" s="37" t="s">
        <v>23535</v>
      </c>
      <c r="C2764" s="37" t="s">
        <v>2348</v>
      </c>
      <c r="D2764" s="37" t="s">
        <v>2349</v>
      </c>
      <c r="E2764" s="212">
        <v>247.84</v>
      </c>
    </row>
    <row r="2765" spans="1:5" ht="14.25">
      <c r="A2765" s="37">
        <v>10429</v>
      </c>
      <c r="B2765" s="37" t="s">
        <v>23536</v>
      </c>
      <c r="C2765" s="37" t="s">
        <v>2348</v>
      </c>
      <c r="D2765" s="37" t="s">
        <v>2349</v>
      </c>
      <c r="E2765" s="212">
        <v>122.27</v>
      </c>
    </row>
    <row r="2766" spans="1:5" ht="14.25">
      <c r="A2766" s="37">
        <v>2354</v>
      </c>
      <c r="B2766" s="37" t="s">
        <v>23537</v>
      </c>
      <c r="C2766" s="37" t="s">
        <v>2352</v>
      </c>
      <c r="D2766" s="37" t="s">
        <v>2349</v>
      </c>
      <c r="E2766" s="212">
        <v>15.09</v>
      </c>
    </row>
    <row r="2767" spans="1:5" ht="14.25">
      <c r="A2767" s="37">
        <v>40932</v>
      </c>
      <c r="B2767" s="37" t="s">
        <v>23538</v>
      </c>
      <c r="C2767" s="37" t="s">
        <v>2369</v>
      </c>
      <c r="D2767" s="37" t="s">
        <v>2349</v>
      </c>
      <c r="E2767" s="213">
        <v>2655.3</v>
      </c>
    </row>
    <row r="2768" spans="1:5" ht="14.25">
      <c r="A2768" s="37">
        <v>10853</v>
      </c>
      <c r="B2768" s="37" t="s">
        <v>23539</v>
      </c>
      <c r="C2768" s="37" t="s">
        <v>2348</v>
      </c>
      <c r="D2768" s="37" t="s">
        <v>2349</v>
      </c>
      <c r="E2768" s="212">
        <v>98.63</v>
      </c>
    </row>
    <row r="2769" spans="1:5" ht="14.25">
      <c r="A2769" s="37">
        <v>5093</v>
      </c>
      <c r="B2769" s="37" t="s">
        <v>23540</v>
      </c>
      <c r="C2769" s="37" t="s">
        <v>2382</v>
      </c>
      <c r="D2769" s="37" t="s">
        <v>2349</v>
      </c>
      <c r="E2769" s="212">
        <v>15.53</v>
      </c>
    </row>
    <row r="2770" spans="1:5" ht="14.25">
      <c r="A2770" s="37">
        <v>44331</v>
      </c>
      <c r="B2770" s="37" t="s">
        <v>28009</v>
      </c>
      <c r="C2770" s="37" t="s">
        <v>2363</v>
      </c>
      <c r="D2770" s="37" t="s">
        <v>2349</v>
      </c>
      <c r="E2770" s="212">
        <v>38.99</v>
      </c>
    </row>
    <row r="2771" spans="1:5" ht="14.25">
      <c r="A2771" s="37">
        <v>37768</v>
      </c>
      <c r="B2771" s="37" t="s">
        <v>23541</v>
      </c>
      <c r="C2771" s="37" t="s">
        <v>2348</v>
      </c>
      <c r="D2771" s="37" t="s">
        <v>2351</v>
      </c>
      <c r="E2771" s="213">
        <v>216500</v>
      </c>
    </row>
    <row r="2772" spans="1:5" ht="14.25">
      <c r="A2772" s="37">
        <v>37773</v>
      </c>
      <c r="B2772" s="37" t="s">
        <v>23542</v>
      </c>
      <c r="C2772" s="37" t="s">
        <v>2348</v>
      </c>
      <c r="D2772" s="37" t="s">
        <v>2351</v>
      </c>
      <c r="E2772" s="213">
        <v>183845</v>
      </c>
    </row>
    <row r="2773" spans="1:5" ht="14.25">
      <c r="A2773" s="37">
        <v>37769</v>
      </c>
      <c r="B2773" s="37" t="s">
        <v>23543</v>
      </c>
      <c r="C2773" s="37" t="s">
        <v>2348</v>
      </c>
      <c r="D2773" s="37" t="s">
        <v>2351</v>
      </c>
      <c r="E2773" s="213">
        <v>307779.69</v>
      </c>
    </row>
    <row r="2774" spans="1:5" ht="14.25">
      <c r="A2774" s="37">
        <v>37770</v>
      </c>
      <c r="B2774" s="37" t="s">
        <v>23544</v>
      </c>
      <c r="C2774" s="37" t="s">
        <v>2348</v>
      </c>
      <c r="D2774" s="37" t="s">
        <v>2351</v>
      </c>
      <c r="E2774" s="213">
        <v>522351.23</v>
      </c>
    </row>
    <row r="2775" spans="1:5" ht="14.25">
      <c r="A2775" s="37">
        <v>38382</v>
      </c>
      <c r="B2775" s="37" t="s">
        <v>23545</v>
      </c>
      <c r="C2775" s="37" t="s">
        <v>2348</v>
      </c>
      <c r="D2775" s="37" t="s">
        <v>2349</v>
      </c>
      <c r="E2775" s="212">
        <v>10.67</v>
      </c>
    </row>
    <row r="2776" spans="1:5" ht="14.25">
      <c r="A2776" s="37">
        <v>38383</v>
      </c>
      <c r="B2776" s="37" t="s">
        <v>23546</v>
      </c>
      <c r="C2776" s="37" t="s">
        <v>2348</v>
      </c>
      <c r="D2776" s="37" t="s">
        <v>2349</v>
      </c>
      <c r="E2776" s="212">
        <v>1.99</v>
      </c>
    </row>
    <row r="2777" spans="1:5" ht="14.25">
      <c r="A2777" s="37">
        <v>3768</v>
      </c>
      <c r="B2777" s="37" t="s">
        <v>23547</v>
      </c>
      <c r="C2777" s="37" t="s">
        <v>2348</v>
      </c>
      <c r="D2777" s="37" t="s">
        <v>2349</v>
      </c>
      <c r="E2777" s="212">
        <v>4.72</v>
      </c>
    </row>
    <row r="2778" spans="1:5" ht="14.25">
      <c r="A2778" s="37">
        <v>3767</v>
      </c>
      <c r="B2778" s="37" t="s">
        <v>28010</v>
      </c>
      <c r="C2778" s="37" t="s">
        <v>2348</v>
      </c>
      <c r="D2778" s="37" t="s">
        <v>2349</v>
      </c>
      <c r="E2778" s="212">
        <v>1.58</v>
      </c>
    </row>
    <row r="2779" spans="1:5" ht="14.25">
      <c r="A2779" s="37">
        <v>13192</v>
      </c>
      <c r="B2779" s="37" t="s">
        <v>23548</v>
      </c>
      <c r="C2779" s="37" t="s">
        <v>2348</v>
      </c>
      <c r="D2779" s="37" t="s">
        <v>2349</v>
      </c>
      <c r="E2779" s="213">
        <v>7505.21</v>
      </c>
    </row>
    <row r="2780" spans="1:5" ht="14.25">
      <c r="A2780" s="37">
        <v>38413</v>
      </c>
      <c r="B2780" s="37" t="s">
        <v>23549</v>
      </c>
      <c r="C2780" s="37" t="s">
        <v>2348</v>
      </c>
      <c r="D2780" s="37" t="s">
        <v>2349</v>
      </c>
      <c r="E2780" s="213">
        <v>1241.25</v>
      </c>
    </row>
    <row r="2781" spans="1:5" ht="14.25">
      <c r="A2781" s="37">
        <v>42440</v>
      </c>
      <c r="B2781" s="37" t="s">
        <v>23550</v>
      </c>
      <c r="C2781" s="37" t="s">
        <v>2348</v>
      </c>
      <c r="D2781" s="37" t="s">
        <v>2351</v>
      </c>
      <c r="E2781" s="213">
        <v>1085.17</v>
      </c>
    </row>
    <row r="2782" spans="1:5" ht="14.25">
      <c r="A2782" s="37">
        <v>20193</v>
      </c>
      <c r="B2782" s="37" t="s">
        <v>23551</v>
      </c>
      <c r="C2782" s="37" t="s">
        <v>28762</v>
      </c>
      <c r="D2782" s="37" t="s">
        <v>2349</v>
      </c>
      <c r="E2782" s="212">
        <v>4.33</v>
      </c>
    </row>
    <row r="2783" spans="1:5" ht="14.25">
      <c r="A2783" s="37">
        <v>10527</v>
      </c>
      <c r="B2783" s="37" t="s">
        <v>23552</v>
      </c>
      <c r="C2783" s="37" t="s">
        <v>2490</v>
      </c>
      <c r="D2783" s="37" t="s">
        <v>2353</v>
      </c>
      <c r="E2783" s="212">
        <v>13</v>
      </c>
    </row>
    <row r="2784" spans="1:5" ht="14.25">
      <c r="A2784" s="37">
        <v>41805</v>
      </c>
      <c r="B2784" s="37" t="s">
        <v>23553</v>
      </c>
      <c r="C2784" s="37" t="s">
        <v>2369</v>
      </c>
      <c r="D2784" s="37" t="s">
        <v>2351</v>
      </c>
      <c r="E2784" s="212">
        <v>465</v>
      </c>
    </row>
    <row r="2785" spans="1:5" ht="14.25">
      <c r="A2785" s="37">
        <v>40271</v>
      </c>
      <c r="B2785" s="37" t="s">
        <v>23554</v>
      </c>
      <c r="C2785" s="37" t="s">
        <v>2369</v>
      </c>
      <c r="D2785" s="37" t="s">
        <v>2349</v>
      </c>
      <c r="E2785" s="212">
        <v>8.4499999999999993</v>
      </c>
    </row>
    <row r="2786" spans="1:5" ht="14.25">
      <c r="A2786" s="37">
        <v>40287</v>
      </c>
      <c r="B2786" s="37" t="s">
        <v>23555</v>
      </c>
      <c r="C2786" s="37" t="s">
        <v>2369</v>
      </c>
      <c r="D2786" s="37" t="s">
        <v>2349</v>
      </c>
      <c r="E2786" s="212">
        <v>3.25</v>
      </c>
    </row>
    <row r="2787" spans="1:5" ht="14.25">
      <c r="A2787" s="37">
        <v>4084</v>
      </c>
      <c r="B2787" s="37" t="s">
        <v>23556</v>
      </c>
      <c r="C2787" s="37" t="s">
        <v>2352</v>
      </c>
      <c r="D2787" s="37" t="s">
        <v>2351</v>
      </c>
      <c r="E2787" s="212">
        <v>1.69</v>
      </c>
    </row>
    <row r="2788" spans="1:5" ht="14.25">
      <c r="A2788" s="37">
        <v>743</v>
      </c>
      <c r="B2788" s="37" t="s">
        <v>23557</v>
      </c>
      <c r="C2788" s="37" t="s">
        <v>2352</v>
      </c>
      <c r="D2788" s="37" t="s">
        <v>2351</v>
      </c>
      <c r="E2788" s="212">
        <v>1.69</v>
      </c>
    </row>
    <row r="2789" spans="1:5" ht="14.25">
      <c r="A2789" s="37">
        <v>40293</v>
      </c>
      <c r="B2789" s="37" t="s">
        <v>23558</v>
      </c>
      <c r="C2789" s="37" t="s">
        <v>2352</v>
      </c>
      <c r="D2789" s="37" t="s">
        <v>2351</v>
      </c>
      <c r="E2789" s="212">
        <v>2.02</v>
      </c>
    </row>
    <row r="2790" spans="1:5" ht="14.25">
      <c r="A2790" s="37">
        <v>40294</v>
      </c>
      <c r="B2790" s="37" t="s">
        <v>23559</v>
      </c>
      <c r="C2790" s="37" t="s">
        <v>2352</v>
      </c>
      <c r="D2790" s="37" t="s">
        <v>2351</v>
      </c>
      <c r="E2790" s="212">
        <v>1.69</v>
      </c>
    </row>
    <row r="2791" spans="1:5" ht="14.25">
      <c r="A2791" s="37">
        <v>4085</v>
      </c>
      <c r="B2791" s="37" t="s">
        <v>23560</v>
      </c>
      <c r="C2791" s="37" t="s">
        <v>2352</v>
      </c>
      <c r="D2791" s="37" t="s">
        <v>2351</v>
      </c>
      <c r="E2791" s="212">
        <v>2.36</v>
      </c>
    </row>
    <row r="2792" spans="1:5" ht="14.25">
      <c r="A2792" s="37">
        <v>10775</v>
      </c>
      <c r="B2792" s="37" t="s">
        <v>23561</v>
      </c>
      <c r="C2792" s="37" t="s">
        <v>2369</v>
      </c>
      <c r="D2792" s="37" t="s">
        <v>2353</v>
      </c>
      <c r="E2792" s="213">
        <v>1275</v>
      </c>
    </row>
    <row r="2793" spans="1:5" ht="14.25">
      <c r="A2793" s="37">
        <v>10776</v>
      </c>
      <c r="B2793" s="37" t="s">
        <v>23562</v>
      </c>
      <c r="C2793" s="37" t="s">
        <v>2369</v>
      </c>
      <c r="D2793" s="37" t="s">
        <v>2349</v>
      </c>
      <c r="E2793" s="212">
        <v>996.09</v>
      </c>
    </row>
    <row r="2794" spans="1:5" ht="14.25">
      <c r="A2794" s="37">
        <v>10779</v>
      </c>
      <c r="B2794" s="37" t="s">
        <v>23563</v>
      </c>
      <c r="C2794" s="37" t="s">
        <v>2369</v>
      </c>
      <c r="D2794" s="37" t="s">
        <v>2349</v>
      </c>
      <c r="E2794" s="213">
        <v>1593.75</v>
      </c>
    </row>
    <row r="2795" spans="1:5" ht="14.25">
      <c r="A2795" s="37">
        <v>10777</v>
      </c>
      <c r="B2795" s="37" t="s">
        <v>23564</v>
      </c>
      <c r="C2795" s="37" t="s">
        <v>2369</v>
      </c>
      <c r="D2795" s="37" t="s">
        <v>2349</v>
      </c>
      <c r="E2795" s="213">
        <v>1447.65</v>
      </c>
    </row>
    <row r="2796" spans="1:5" ht="14.25">
      <c r="A2796" s="37">
        <v>10778</v>
      </c>
      <c r="B2796" s="37" t="s">
        <v>23565</v>
      </c>
      <c r="C2796" s="37" t="s">
        <v>2369</v>
      </c>
      <c r="D2796" s="37" t="s">
        <v>2349</v>
      </c>
      <c r="E2796" s="213">
        <v>1593.75</v>
      </c>
    </row>
    <row r="2797" spans="1:5" ht="14.25">
      <c r="A2797" s="37">
        <v>40339</v>
      </c>
      <c r="B2797" s="37" t="s">
        <v>23566</v>
      </c>
      <c r="C2797" s="37" t="s">
        <v>2369</v>
      </c>
      <c r="D2797" s="37" t="s">
        <v>2349</v>
      </c>
      <c r="E2797" s="212">
        <v>3.25</v>
      </c>
    </row>
    <row r="2798" spans="1:5" ht="14.25">
      <c r="A2798" s="37">
        <v>10749</v>
      </c>
      <c r="B2798" s="37" t="s">
        <v>23567</v>
      </c>
      <c r="C2798" s="37" t="s">
        <v>2369</v>
      </c>
      <c r="D2798" s="37" t="s">
        <v>2349</v>
      </c>
      <c r="E2798" s="212">
        <v>5.95</v>
      </c>
    </row>
    <row r="2799" spans="1:5" ht="14.25">
      <c r="A2799" s="37">
        <v>40290</v>
      </c>
      <c r="B2799" s="37" t="s">
        <v>23568</v>
      </c>
      <c r="C2799" s="37" t="s">
        <v>2369</v>
      </c>
      <c r="D2799" s="37" t="s">
        <v>2349</v>
      </c>
      <c r="E2799" s="212">
        <v>8.58</v>
      </c>
    </row>
    <row r="2800" spans="1:5" ht="14.25">
      <c r="A2800" s="37">
        <v>3346</v>
      </c>
      <c r="B2800" s="37" t="s">
        <v>23569</v>
      </c>
      <c r="C2800" s="37" t="s">
        <v>2352</v>
      </c>
      <c r="D2800" s="37" t="s">
        <v>2351</v>
      </c>
      <c r="E2800" s="212">
        <v>15.75</v>
      </c>
    </row>
    <row r="2801" spans="1:5" ht="14.25">
      <c r="A2801" s="37">
        <v>3348</v>
      </c>
      <c r="B2801" s="37" t="s">
        <v>23570</v>
      </c>
      <c r="C2801" s="37" t="s">
        <v>2352</v>
      </c>
      <c r="D2801" s="37" t="s">
        <v>2351</v>
      </c>
      <c r="E2801" s="212">
        <v>18.84</v>
      </c>
    </row>
    <row r="2802" spans="1:5" ht="14.25">
      <c r="A2802" s="37">
        <v>39833</v>
      </c>
      <c r="B2802" s="37" t="s">
        <v>23571</v>
      </c>
      <c r="C2802" s="37" t="s">
        <v>2352</v>
      </c>
      <c r="D2802" s="37" t="s">
        <v>2351</v>
      </c>
      <c r="E2802" s="212">
        <v>25.81</v>
      </c>
    </row>
    <row r="2803" spans="1:5" ht="14.25">
      <c r="A2803" s="37">
        <v>7252</v>
      </c>
      <c r="B2803" s="37" t="s">
        <v>23572</v>
      </c>
      <c r="C2803" s="37" t="s">
        <v>2352</v>
      </c>
      <c r="D2803" s="37" t="s">
        <v>2351</v>
      </c>
      <c r="E2803" s="212">
        <v>2.25</v>
      </c>
    </row>
    <row r="2804" spans="1:5" ht="14.25">
      <c r="A2804" s="37">
        <v>7247</v>
      </c>
      <c r="B2804" s="37" t="s">
        <v>23573</v>
      </c>
      <c r="C2804" s="37" t="s">
        <v>2352</v>
      </c>
      <c r="D2804" s="37" t="s">
        <v>2351</v>
      </c>
      <c r="E2804" s="212">
        <v>2.25</v>
      </c>
    </row>
    <row r="2805" spans="1:5" ht="14.25">
      <c r="A2805" s="37">
        <v>40291</v>
      </c>
      <c r="B2805" s="37" t="s">
        <v>23574</v>
      </c>
      <c r="C2805" s="37" t="s">
        <v>2369</v>
      </c>
      <c r="D2805" s="37" t="s">
        <v>2349</v>
      </c>
      <c r="E2805" s="212">
        <v>453.49</v>
      </c>
    </row>
    <row r="2806" spans="1:5" ht="14.25">
      <c r="A2806" s="37">
        <v>40275</v>
      </c>
      <c r="B2806" s="37" t="s">
        <v>23575</v>
      </c>
      <c r="C2806" s="37" t="s">
        <v>2369</v>
      </c>
      <c r="D2806" s="37" t="s">
        <v>2349</v>
      </c>
      <c r="E2806" s="212">
        <v>13</v>
      </c>
    </row>
    <row r="2807" spans="1:5" ht="14.25">
      <c r="A2807" s="37">
        <v>42408</v>
      </c>
      <c r="B2807" s="37" t="s">
        <v>23576</v>
      </c>
      <c r="C2807" s="37" t="s">
        <v>28761</v>
      </c>
      <c r="D2807" s="37" t="s">
        <v>2349</v>
      </c>
      <c r="E2807" s="212">
        <v>1.52</v>
      </c>
    </row>
    <row r="2808" spans="1:5" ht="14.25">
      <c r="A2808" s="37">
        <v>3777</v>
      </c>
      <c r="B2808" s="37" t="s">
        <v>23577</v>
      </c>
      <c r="C2808" s="37" t="s">
        <v>28761</v>
      </c>
      <c r="D2808" s="37" t="s">
        <v>2353</v>
      </c>
      <c r="E2808" s="212">
        <v>1.1000000000000001</v>
      </c>
    </row>
    <row r="2809" spans="1:5" ht="14.25">
      <c r="A2809" s="37">
        <v>3798</v>
      </c>
      <c r="B2809" s="37" t="s">
        <v>23578</v>
      </c>
      <c r="C2809" s="37" t="s">
        <v>2348</v>
      </c>
      <c r="D2809" s="37" t="s">
        <v>2351</v>
      </c>
      <c r="E2809" s="212">
        <v>105.59</v>
      </c>
    </row>
    <row r="2810" spans="1:5" ht="14.25">
      <c r="A2810" s="37">
        <v>38769</v>
      </c>
      <c r="B2810" s="37" t="s">
        <v>23579</v>
      </c>
      <c r="C2810" s="37" t="s">
        <v>2348</v>
      </c>
      <c r="D2810" s="37" t="s">
        <v>2351</v>
      </c>
      <c r="E2810" s="212">
        <v>82.46</v>
      </c>
    </row>
    <row r="2811" spans="1:5" ht="14.25">
      <c r="A2811" s="37">
        <v>39510</v>
      </c>
      <c r="B2811" s="37" t="s">
        <v>23580</v>
      </c>
      <c r="C2811" s="37" t="s">
        <v>2348</v>
      </c>
      <c r="D2811" s="37" t="s">
        <v>2351</v>
      </c>
      <c r="E2811" s="212">
        <v>333.71</v>
      </c>
    </row>
    <row r="2812" spans="1:5" ht="14.25">
      <c r="A2812" s="37">
        <v>38776</v>
      </c>
      <c r="B2812" s="37" t="s">
        <v>23581</v>
      </c>
      <c r="C2812" s="37" t="s">
        <v>2348</v>
      </c>
      <c r="D2812" s="37" t="s">
        <v>2351</v>
      </c>
      <c r="E2812" s="212">
        <v>354.16</v>
      </c>
    </row>
    <row r="2813" spans="1:5" ht="14.25">
      <c r="A2813" s="37">
        <v>38774</v>
      </c>
      <c r="B2813" s="37" t="s">
        <v>23582</v>
      </c>
      <c r="C2813" s="37" t="s">
        <v>2348</v>
      </c>
      <c r="D2813" s="37" t="s">
        <v>2349</v>
      </c>
      <c r="E2813" s="212">
        <v>22.61</v>
      </c>
    </row>
    <row r="2814" spans="1:5" ht="14.25">
      <c r="A2814" s="37">
        <v>42247</v>
      </c>
      <c r="B2814" s="37" t="s">
        <v>23583</v>
      </c>
      <c r="C2814" s="37" t="s">
        <v>2348</v>
      </c>
      <c r="D2814" s="37" t="s">
        <v>2349</v>
      </c>
      <c r="E2814" s="212">
        <v>771.74</v>
      </c>
    </row>
    <row r="2815" spans="1:5" ht="14.25">
      <c r="A2815" s="37">
        <v>42248</v>
      </c>
      <c r="B2815" s="37" t="s">
        <v>23584</v>
      </c>
      <c r="C2815" s="37" t="s">
        <v>2348</v>
      </c>
      <c r="D2815" s="37" t="s">
        <v>2349</v>
      </c>
      <c r="E2815" s="212">
        <v>896.43</v>
      </c>
    </row>
    <row r="2816" spans="1:5" ht="14.25">
      <c r="A2816" s="37">
        <v>42249</v>
      </c>
      <c r="B2816" s="37" t="s">
        <v>23585</v>
      </c>
      <c r="C2816" s="37" t="s">
        <v>2348</v>
      </c>
      <c r="D2816" s="37" t="s">
        <v>2349</v>
      </c>
      <c r="E2816" s="213">
        <v>1485.07</v>
      </c>
    </row>
    <row r="2817" spans="1:5" ht="14.25">
      <c r="A2817" s="37">
        <v>42244</v>
      </c>
      <c r="B2817" s="37" t="s">
        <v>23586</v>
      </c>
      <c r="C2817" s="37" t="s">
        <v>2348</v>
      </c>
      <c r="D2817" s="37" t="s">
        <v>2349</v>
      </c>
      <c r="E2817" s="212">
        <v>231.92</v>
      </c>
    </row>
    <row r="2818" spans="1:5" ht="14.25">
      <c r="A2818" s="37">
        <v>42245</v>
      </c>
      <c r="B2818" s="37" t="s">
        <v>23587</v>
      </c>
      <c r="C2818" s="37" t="s">
        <v>2348</v>
      </c>
      <c r="D2818" s="37" t="s">
        <v>2349</v>
      </c>
      <c r="E2818" s="212">
        <v>427.97</v>
      </c>
    </row>
    <row r="2819" spans="1:5" ht="14.25">
      <c r="A2819" s="37">
        <v>42246</v>
      </c>
      <c r="B2819" s="37" t="s">
        <v>23588</v>
      </c>
      <c r="C2819" s="37" t="s">
        <v>2348</v>
      </c>
      <c r="D2819" s="37" t="s">
        <v>2349</v>
      </c>
      <c r="E2819" s="212">
        <v>473.74</v>
      </c>
    </row>
    <row r="2820" spans="1:5" ht="14.25">
      <c r="A2820" s="37">
        <v>42243</v>
      </c>
      <c r="B2820" s="37" t="s">
        <v>23589</v>
      </c>
      <c r="C2820" s="37" t="s">
        <v>2348</v>
      </c>
      <c r="D2820" s="37" t="s">
        <v>2349</v>
      </c>
      <c r="E2820" s="212">
        <v>571.25</v>
      </c>
    </row>
    <row r="2821" spans="1:5" ht="14.25">
      <c r="A2821" s="37">
        <v>38889</v>
      </c>
      <c r="B2821" s="37" t="s">
        <v>23590</v>
      </c>
      <c r="C2821" s="37" t="s">
        <v>2348</v>
      </c>
      <c r="D2821" s="37" t="s">
        <v>2351</v>
      </c>
      <c r="E2821" s="212">
        <v>63.2</v>
      </c>
    </row>
    <row r="2822" spans="1:5" ht="14.25">
      <c r="A2822" s="37">
        <v>38784</v>
      </c>
      <c r="B2822" s="37" t="s">
        <v>23591</v>
      </c>
      <c r="C2822" s="37" t="s">
        <v>2348</v>
      </c>
      <c r="D2822" s="37" t="s">
        <v>2351</v>
      </c>
      <c r="E2822" s="212">
        <v>84.55</v>
      </c>
    </row>
    <row r="2823" spans="1:5" ht="14.25">
      <c r="A2823" s="37">
        <v>3788</v>
      </c>
      <c r="B2823" s="37" t="s">
        <v>23592</v>
      </c>
      <c r="C2823" s="37" t="s">
        <v>2348</v>
      </c>
      <c r="D2823" s="37" t="s">
        <v>2351</v>
      </c>
      <c r="E2823" s="212">
        <v>88.11</v>
      </c>
    </row>
    <row r="2824" spans="1:5" ht="14.25">
      <c r="A2824" s="37">
        <v>12230</v>
      </c>
      <c r="B2824" s="37" t="s">
        <v>23593</v>
      </c>
      <c r="C2824" s="37" t="s">
        <v>2348</v>
      </c>
      <c r="D2824" s="37" t="s">
        <v>2351</v>
      </c>
      <c r="E2824" s="212">
        <v>22.66</v>
      </c>
    </row>
    <row r="2825" spans="1:5" ht="14.25">
      <c r="A2825" s="37">
        <v>3780</v>
      </c>
      <c r="B2825" s="37" t="s">
        <v>23594</v>
      </c>
      <c r="C2825" s="37" t="s">
        <v>2348</v>
      </c>
      <c r="D2825" s="37" t="s">
        <v>2351</v>
      </c>
      <c r="E2825" s="212">
        <v>130</v>
      </c>
    </row>
    <row r="2826" spans="1:5" ht="14.25">
      <c r="A2826" s="37">
        <v>12231</v>
      </c>
      <c r="B2826" s="37" t="s">
        <v>23595</v>
      </c>
      <c r="C2826" s="37" t="s">
        <v>2348</v>
      </c>
      <c r="D2826" s="37" t="s">
        <v>2351</v>
      </c>
      <c r="E2826" s="212">
        <v>37.69</v>
      </c>
    </row>
    <row r="2827" spans="1:5" ht="14.25">
      <c r="A2827" s="37">
        <v>3811</v>
      </c>
      <c r="B2827" s="37" t="s">
        <v>23596</v>
      </c>
      <c r="C2827" s="37" t="s">
        <v>2348</v>
      </c>
      <c r="D2827" s="37" t="s">
        <v>2351</v>
      </c>
      <c r="E2827" s="212">
        <v>122.11</v>
      </c>
    </row>
    <row r="2828" spans="1:5" ht="14.25">
      <c r="A2828" s="37">
        <v>12232</v>
      </c>
      <c r="B2828" s="37" t="s">
        <v>23597</v>
      </c>
      <c r="C2828" s="37" t="s">
        <v>2348</v>
      </c>
      <c r="D2828" s="37" t="s">
        <v>2351</v>
      </c>
      <c r="E2828" s="212">
        <v>39.479999999999997</v>
      </c>
    </row>
    <row r="2829" spans="1:5" ht="14.25">
      <c r="A2829" s="37">
        <v>3799</v>
      </c>
      <c r="B2829" s="37" t="s">
        <v>23598</v>
      </c>
      <c r="C2829" s="37" t="s">
        <v>2348</v>
      </c>
      <c r="D2829" s="37" t="s">
        <v>2351</v>
      </c>
      <c r="E2829" s="212">
        <v>172.69</v>
      </c>
    </row>
    <row r="2830" spans="1:5" ht="14.25">
      <c r="A2830" s="37">
        <v>12239</v>
      </c>
      <c r="B2830" s="37" t="s">
        <v>23599</v>
      </c>
      <c r="C2830" s="37" t="s">
        <v>2348</v>
      </c>
      <c r="D2830" s="37" t="s">
        <v>2351</v>
      </c>
      <c r="E2830" s="212">
        <v>51.7</v>
      </c>
    </row>
    <row r="2831" spans="1:5" ht="14.25">
      <c r="A2831" s="37">
        <v>38773</v>
      </c>
      <c r="B2831" s="37" t="s">
        <v>23600</v>
      </c>
      <c r="C2831" s="37" t="s">
        <v>2348</v>
      </c>
      <c r="D2831" s="37" t="s">
        <v>2351</v>
      </c>
      <c r="E2831" s="212">
        <v>8.2899999999999991</v>
      </c>
    </row>
    <row r="2832" spans="1:5" ht="14.25">
      <c r="A2832" s="37">
        <v>12271</v>
      </c>
      <c r="B2832" s="37" t="s">
        <v>23601</v>
      </c>
      <c r="C2832" s="37" t="s">
        <v>2348</v>
      </c>
      <c r="D2832" s="37" t="s">
        <v>2351</v>
      </c>
      <c r="E2832" s="212">
        <v>462.39</v>
      </c>
    </row>
    <row r="2833" spans="1:5" ht="14.25">
      <c r="A2833" s="37">
        <v>38785</v>
      </c>
      <c r="B2833" s="37" t="s">
        <v>23602</v>
      </c>
      <c r="C2833" s="37" t="s">
        <v>2348</v>
      </c>
      <c r="D2833" s="37" t="s">
        <v>2351</v>
      </c>
      <c r="E2833" s="212">
        <v>218.91</v>
      </c>
    </row>
    <row r="2834" spans="1:5" ht="14.25">
      <c r="A2834" s="37">
        <v>38786</v>
      </c>
      <c r="B2834" s="37" t="s">
        <v>23603</v>
      </c>
      <c r="C2834" s="37" t="s">
        <v>2348</v>
      </c>
      <c r="D2834" s="37" t="s">
        <v>2351</v>
      </c>
      <c r="E2834" s="212">
        <v>269.64999999999998</v>
      </c>
    </row>
    <row r="2835" spans="1:5" ht="14.25">
      <c r="A2835" s="37">
        <v>39385</v>
      </c>
      <c r="B2835" s="37" t="s">
        <v>23604</v>
      </c>
      <c r="C2835" s="37" t="s">
        <v>2348</v>
      </c>
      <c r="D2835" s="37" t="s">
        <v>2349</v>
      </c>
      <c r="E2835" s="212">
        <v>20.68</v>
      </c>
    </row>
    <row r="2836" spans="1:5" ht="14.25">
      <c r="A2836" s="37">
        <v>39389</v>
      </c>
      <c r="B2836" s="37" t="s">
        <v>23605</v>
      </c>
      <c r="C2836" s="37" t="s">
        <v>2348</v>
      </c>
      <c r="D2836" s="37" t="s">
        <v>2349</v>
      </c>
      <c r="E2836" s="212">
        <v>22.44</v>
      </c>
    </row>
    <row r="2837" spans="1:5" ht="14.25">
      <c r="A2837" s="37">
        <v>39390</v>
      </c>
      <c r="B2837" s="37" t="s">
        <v>23606</v>
      </c>
      <c r="C2837" s="37" t="s">
        <v>2348</v>
      </c>
      <c r="D2837" s="37" t="s">
        <v>2349</v>
      </c>
      <c r="E2837" s="212">
        <v>47.03</v>
      </c>
    </row>
    <row r="2838" spans="1:5" ht="14.25">
      <c r="A2838" s="37">
        <v>39391</v>
      </c>
      <c r="B2838" s="37" t="s">
        <v>23607</v>
      </c>
      <c r="C2838" s="37" t="s">
        <v>2348</v>
      </c>
      <c r="D2838" s="37" t="s">
        <v>2349</v>
      </c>
      <c r="E2838" s="212">
        <v>52.8</v>
      </c>
    </row>
    <row r="2839" spans="1:5" ht="14.25">
      <c r="A2839" s="37">
        <v>3803</v>
      </c>
      <c r="B2839" s="37" t="s">
        <v>23608</v>
      </c>
      <c r="C2839" s="37" t="s">
        <v>2348</v>
      </c>
      <c r="D2839" s="37" t="s">
        <v>2351</v>
      </c>
      <c r="E2839" s="212">
        <v>78.19</v>
      </c>
    </row>
    <row r="2840" spans="1:5" ht="14.25">
      <c r="A2840" s="37">
        <v>38770</v>
      </c>
      <c r="B2840" s="37" t="s">
        <v>23609</v>
      </c>
      <c r="C2840" s="37" t="s">
        <v>2348</v>
      </c>
      <c r="D2840" s="37" t="s">
        <v>2351</v>
      </c>
      <c r="E2840" s="212">
        <v>90.53</v>
      </c>
    </row>
    <row r="2841" spans="1:5" ht="14.25">
      <c r="A2841" s="37">
        <v>12267</v>
      </c>
      <c r="B2841" s="37" t="s">
        <v>23610</v>
      </c>
      <c r="C2841" s="37" t="s">
        <v>2348</v>
      </c>
      <c r="D2841" s="37" t="s">
        <v>2351</v>
      </c>
      <c r="E2841" s="212">
        <v>265.3</v>
      </c>
    </row>
    <row r="2842" spans="1:5" ht="14.25">
      <c r="A2842" s="37">
        <v>43265</v>
      </c>
      <c r="B2842" s="37" t="s">
        <v>23611</v>
      </c>
      <c r="C2842" s="37" t="s">
        <v>2348</v>
      </c>
      <c r="D2842" s="37" t="s">
        <v>2349</v>
      </c>
      <c r="E2842" s="212">
        <v>64.67</v>
      </c>
    </row>
    <row r="2843" spans="1:5" ht="14.25">
      <c r="A2843" s="37">
        <v>12266</v>
      </c>
      <c r="B2843" s="37" t="s">
        <v>23612</v>
      </c>
      <c r="C2843" s="37" t="s">
        <v>2348</v>
      </c>
      <c r="D2843" s="37" t="s">
        <v>2351</v>
      </c>
      <c r="E2843" s="212">
        <v>135.79</v>
      </c>
    </row>
    <row r="2844" spans="1:5" ht="14.25">
      <c r="A2844" s="37">
        <v>39378</v>
      </c>
      <c r="B2844" s="37" t="s">
        <v>23613</v>
      </c>
      <c r="C2844" s="37" t="s">
        <v>2348</v>
      </c>
      <c r="D2844" s="37" t="s">
        <v>2351</v>
      </c>
      <c r="E2844" s="212">
        <v>96.27</v>
      </c>
    </row>
    <row r="2845" spans="1:5" ht="14.25">
      <c r="A2845" s="37">
        <v>43543</v>
      </c>
      <c r="B2845" s="37" t="s">
        <v>23614</v>
      </c>
      <c r="C2845" s="37" t="s">
        <v>2348</v>
      </c>
      <c r="D2845" s="37" t="s">
        <v>2351</v>
      </c>
      <c r="E2845" s="212">
        <v>200.57</v>
      </c>
    </row>
    <row r="2846" spans="1:5" ht="14.25">
      <c r="A2846" s="37">
        <v>38775</v>
      </c>
      <c r="B2846" s="37" t="s">
        <v>23615</v>
      </c>
      <c r="C2846" s="37" t="s">
        <v>2348</v>
      </c>
      <c r="D2846" s="37" t="s">
        <v>2351</v>
      </c>
      <c r="E2846" s="212">
        <v>102.06</v>
      </c>
    </row>
    <row r="2847" spans="1:5" ht="14.25">
      <c r="A2847" s="37">
        <v>21119</v>
      </c>
      <c r="B2847" s="37" t="s">
        <v>23616</v>
      </c>
      <c r="C2847" s="37" t="s">
        <v>2348</v>
      </c>
      <c r="D2847" s="37" t="s">
        <v>2349</v>
      </c>
      <c r="E2847" s="212">
        <v>2.2799999999999998</v>
      </c>
    </row>
    <row r="2848" spans="1:5" ht="14.25">
      <c r="A2848" s="37">
        <v>37974</v>
      </c>
      <c r="B2848" s="37" t="s">
        <v>23617</v>
      </c>
      <c r="C2848" s="37" t="s">
        <v>2348</v>
      </c>
      <c r="D2848" s="37" t="s">
        <v>2349</v>
      </c>
      <c r="E2848" s="212">
        <v>3.39</v>
      </c>
    </row>
    <row r="2849" spans="1:5" ht="14.25">
      <c r="A2849" s="37">
        <v>37975</v>
      </c>
      <c r="B2849" s="37" t="s">
        <v>23618</v>
      </c>
      <c r="C2849" s="37" t="s">
        <v>2348</v>
      </c>
      <c r="D2849" s="37" t="s">
        <v>2349</v>
      </c>
      <c r="E2849" s="212">
        <v>6.88</v>
      </c>
    </row>
    <row r="2850" spans="1:5" ht="14.25">
      <c r="A2850" s="37">
        <v>37976</v>
      </c>
      <c r="B2850" s="37" t="s">
        <v>23619</v>
      </c>
      <c r="C2850" s="37" t="s">
        <v>2348</v>
      </c>
      <c r="D2850" s="37" t="s">
        <v>2349</v>
      </c>
      <c r="E2850" s="212">
        <v>14.11</v>
      </c>
    </row>
    <row r="2851" spans="1:5" ht="14.25">
      <c r="A2851" s="37">
        <v>37977</v>
      </c>
      <c r="B2851" s="37" t="s">
        <v>23620</v>
      </c>
      <c r="C2851" s="37" t="s">
        <v>2348</v>
      </c>
      <c r="D2851" s="37" t="s">
        <v>2349</v>
      </c>
      <c r="E2851" s="212">
        <v>19.399999999999999</v>
      </c>
    </row>
    <row r="2852" spans="1:5" ht="14.25">
      <c r="A2852" s="37">
        <v>37978</v>
      </c>
      <c r="B2852" s="37" t="s">
        <v>23621</v>
      </c>
      <c r="C2852" s="37" t="s">
        <v>2348</v>
      </c>
      <c r="D2852" s="37" t="s">
        <v>2349</v>
      </c>
      <c r="E2852" s="212">
        <v>39.33</v>
      </c>
    </row>
    <row r="2853" spans="1:5" ht="14.25">
      <c r="A2853" s="37">
        <v>37979</v>
      </c>
      <c r="B2853" s="37" t="s">
        <v>23622</v>
      </c>
      <c r="C2853" s="37" t="s">
        <v>2348</v>
      </c>
      <c r="D2853" s="37" t="s">
        <v>2349</v>
      </c>
      <c r="E2853" s="212">
        <v>168.96</v>
      </c>
    </row>
    <row r="2854" spans="1:5" ht="14.25">
      <c r="A2854" s="37">
        <v>37980</v>
      </c>
      <c r="B2854" s="37" t="s">
        <v>23623</v>
      </c>
      <c r="C2854" s="37" t="s">
        <v>2348</v>
      </c>
      <c r="D2854" s="37" t="s">
        <v>2349</v>
      </c>
      <c r="E2854" s="212">
        <v>189.88</v>
      </c>
    </row>
    <row r="2855" spans="1:5" ht="14.25">
      <c r="A2855" s="37">
        <v>36147</v>
      </c>
      <c r="B2855" s="37" t="s">
        <v>23624</v>
      </c>
      <c r="C2855" s="37" t="s">
        <v>2382</v>
      </c>
      <c r="D2855" s="37" t="s">
        <v>2349</v>
      </c>
      <c r="E2855" s="212">
        <v>385.55</v>
      </c>
    </row>
    <row r="2856" spans="1:5" ht="14.25">
      <c r="A2856" s="37">
        <v>12731</v>
      </c>
      <c r="B2856" s="37" t="s">
        <v>23625</v>
      </c>
      <c r="C2856" s="37" t="s">
        <v>2348</v>
      </c>
      <c r="D2856" s="37" t="s">
        <v>2351</v>
      </c>
      <c r="E2856" s="212">
        <v>430.04</v>
      </c>
    </row>
    <row r="2857" spans="1:5" ht="14.25">
      <c r="A2857" s="37">
        <v>12723</v>
      </c>
      <c r="B2857" s="37" t="s">
        <v>23626</v>
      </c>
      <c r="C2857" s="37" t="s">
        <v>2348</v>
      </c>
      <c r="D2857" s="37" t="s">
        <v>2351</v>
      </c>
      <c r="E2857" s="212">
        <v>3.33</v>
      </c>
    </row>
    <row r="2858" spans="1:5" ht="14.25">
      <c r="A2858" s="37">
        <v>12724</v>
      </c>
      <c r="B2858" s="37" t="s">
        <v>23627</v>
      </c>
      <c r="C2858" s="37" t="s">
        <v>2348</v>
      </c>
      <c r="D2858" s="37" t="s">
        <v>2351</v>
      </c>
      <c r="E2858" s="212">
        <v>6.4</v>
      </c>
    </row>
    <row r="2859" spans="1:5" ht="14.25">
      <c r="A2859" s="37">
        <v>12725</v>
      </c>
      <c r="B2859" s="37" t="s">
        <v>23628</v>
      </c>
      <c r="C2859" s="37" t="s">
        <v>2348</v>
      </c>
      <c r="D2859" s="37" t="s">
        <v>2351</v>
      </c>
      <c r="E2859" s="212">
        <v>12.85</v>
      </c>
    </row>
    <row r="2860" spans="1:5" ht="14.25">
      <c r="A2860" s="37">
        <v>12726</v>
      </c>
      <c r="B2860" s="37" t="s">
        <v>23629</v>
      </c>
      <c r="C2860" s="37" t="s">
        <v>2348</v>
      </c>
      <c r="D2860" s="37" t="s">
        <v>2351</v>
      </c>
      <c r="E2860" s="212">
        <v>28.37</v>
      </c>
    </row>
    <row r="2861" spans="1:5" ht="14.25">
      <c r="A2861" s="37">
        <v>12727</v>
      </c>
      <c r="B2861" s="37" t="s">
        <v>23630</v>
      </c>
      <c r="C2861" s="37" t="s">
        <v>2348</v>
      </c>
      <c r="D2861" s="37" t="s">
        <v>2351</v>
      </c>
      <c r="E2861" s="212">
        <v>35.979999999999997</v>
      </c>
    </row>
    <row r="2862" spans="1:5" ht="14.25">
      <c r="A2862" s="37">
        <v>12728</v>
      </c>
      <c r="B2862" s="37" t="s">
        <v>23631</v>
      </c>
      <c r="C2862" s="37" t="s">
        <v>2348</v>
      </c>
      <c r="D2862" s="37" t="s">
        <v>2351</v>
      </c>
      <c r="E2862" s="212">
        <v>58.77</v>
      </c>
    </row>
    <row r="2863" spans="1:5" ht="14.25">
      <c r="A2863" s="37">
        <v>12729</v>
      </c>
      <c r="B2863" s="37" t="s">
        <v>23632</v>
      </c>
      <c r="C2863" s="37" t="s">
        <v>2348</v>
      </c>
      <c r="D2863" s="37" t="s">
        <v>2351</v>
      </c>
      <c r="E2863" s="212">
        <v>192.62</v>
      </c>
    </row>
    <row r="2864" spans="1:5" ht="14.25">
      <c r="A2864" s="37">
        <v>12730</v>
      </c>
      <c r="B2864" s="37" t="s">
        <v>23633</v>
      </c>
      <c r="C2864" s="37" t="s">
        <v>2348</v>
      </c>
      <c r="D2864" s="37" t="s">
        <v>2351</v>
      </c>
      <c r="E2864" s="212">
        <v>294.91000000000003</v>
      </c>
    </row>
    <row r="2865" spans="1:5" ht="14.25">
      <c r="A2865" s="37">
        <v>3840</v>
      </c>
      <c r="B2865" s="37" t="s">
        <v>23634</v>
      </c>
      <c r="C2865" s="37" t="s">
        <v>2348</v>
      </c>
      <c r="D2865" s="37" t="s">
        <v>2351</v>
      </c>
      <c r="E2865" s="212">
        <v>67.8</v>
      </c>
    </row>
    <row r="2866" spans="1:5" ht="14.25">
      <c r="A2866" s="37">
        <v>3838</v>
      </c>
      <c r="B2866" s="37" t="s">
        <v>23635</v>
      </c>
      <c r="C2866" s="37" t="s">
        <v>2348</v>
      </c>
      <c r="D2866" s="37" t="s">
        <v>2351</v>
      </c>
      <c r="E2866" s="212">
        <v>149.63999999999999</v>
      </c>
    </row>
    <row r="2867" spans="1:5" ht="14.25">
      <c r="A2867" s="37">
        <v>3844</v>
      </c>
      <c r="B2867" s="37" t="s">
        <v>23636</v>
      </c>
      <c r="C2867" s="37" t="s">
        <v>2348</v>
      </c>
      <c r="D2867" s="37" t="s">
        <v>2351</v>
      </c>
      <c r="E2867" s="212">
        <v>266.92</v>
      </c>
    </row>
    <row r="2868" spans="1:5" ht="14.25">
      <c r="A2868" s="37">
        <v>3839</v>
      </c>
      <c r="B2868" s="37" t="s">
        <v>23637</v>
      </c>
      <c r="C2868" s="37" t="s">
        <v>2348</v>
      </c>
      <c r="D2868" s="37" t="s">
        <v>2351</v>
      </c>
      <c r="E2868" s="212">
        <v>486.19</v>
      </c>
    </row>
    <row r="2869" spans="1:5" ht="14.25">
      <c r="A2869" s="37">
        <v>3843</v>
      </c>
      <c r="B2869" s="37" t="s">
        <v>23638</v>
      </c>
      <c r="C2869" s="37" t="s">
        <v>2348</v>
      </c>
      <c r="D2869" s="37" t="s">
        <v>2351</v>
      </c>
      <c r="E2869" s="212">
        <v>667.3</v>
      </c>
    </row>
    <row r="2870" spans="1:5" ht="14.25">
      <c r="A2870" s="37">
        <v>3900</v>
      </c>
      <c r="B2870" s="37" t="s">
        <v>23639</v>
      </c>
      <c r="C2870" s="37" t="s">
        <v>2348</v>
      </c>
      <c r="D2870" s="37" t="s">
        <v>2349</v>
      </c>
      <c r="E2870" s="212">
        <v>67.58</v>
      </c>
    </row>
    <row r="2871" spans="1:5" ht="14.25">
      <c r="A2871" s="37">
        <v>3846</v>
      </c>
      <c r="B2871" s="37" t="s">
        <v>23640</v>
      </c>
      <c r="C2871" s="37" t="s">
        <v>2348</v>
      </c>
      <c r="D2871" s="37" t="s">
        <v>2349</v>
      </c>
      <c r="E2871" s="212">
        <v>21.3</v>
      </c>
    </row>
    <row r="2872" spans="1:5" ht="14.25">
      <c r="A2872" s="37">
        <v>3886</v>
      </c>
      <c r="B2872" s="37" t="s">
        <v>23641</v>
      </c>
      <c r="C2872" s="37" t="s">
        <v>2348</v>
      </c>
      <c r="D2872" s="37" t="s">
        <v>2349</v>
      </c>
      <c r="E2872" s="212">
        <v>22.43</v>
      </c>
    </row>
    <row r="2873" spans="1:5" ht="14.25">
      <c r="A2873" s="37">
        <v>3854</v>
      </c>
      <c r="B2873" s="37" t="s">
        <v>23642</v>
      </c>
      <c r="C2873" s="37" t="s">
        <v>2348</v>
      </c>
      <c r="D2873" s="37" t="s">
        <v>2349</v>
      </c>
      <c r="E2873" s="212">
        <v>12.47</v>
      </c>
    </row>
    <row r="2874" spans="1:5" ht="14.25">
      <c r="A2874" s="37">
        <v>3873</v>
      </c>
      <c r="B2874" s="37" t="s">
        <v>23643</v>
      </c>
      <c r="C2874" s="37" t="s">
        <v>2348</v>
      </c>
      <c r="D2874" s="37" t="s">
        <v>2349</v>
      </c>
      <c r="E2874" s="212">
        <v>16.5</v>
      </c>
    </row>
    <row r="2875" spans="1:5" ht="14.25">
      <c r="A2875" s="37">
        <v>38021</v>
      </c>
      <c r="B2875" s="37" t="s">
        <v>23644</v>
      </c>
      <c r="C2875" s="37" t="s">
        <v>2348</v>
      </c>
      <c r="D2875" s="37" t="s">
        <v>2349</v>
      </c>
      <c r="E2875" s="212">
        <v>39.46</v>
      </c>
    </row>
    <row r="2876" spans="1:5" ht="14.25">
      <c r="A2876" s="37">
        <v>3847</v>
      </c>
      <c r="B2876" s="37" t="s">
        <v>23645</v>
      </c>
      <c r="C2876" s="37" t="s">
        <v>2348</v>
      </c>
      <c r="D2876" s="37" t="s">
        <v>2349</v>
      </c>
      <c r="E2876" s="212">
        <v>44.8</v>
      </c>
    </row>
    <row r="2877" spans="1:5" ht="14.25">
      <c r="A2877" s="37">
        <v>38022</v>
      </c>
      <c r="B2877" s="37" t="s">
        <v>23646</v>
      </c>
      <c r="C2877" s="37" t="s">
        <v>2348</v>
      </c>
      <c r="D2877" s="37" t="s">
        <v>2349</v>
      </c>
      <c r="E2877" s="212">
        <v>69.97</v>
      </c>
    </row>
    <row r="2878" spans="1:5" ht="14.25">
      <c r="A2878" s="37">
        <v>3833</v>
      </c>
      <c r="B2878" s="37" t="s">
        <v>23647</v>
      </c>
      <c r="C2878" s="37" t="s">
        <v>2348</v>
      </c>
      <c r="D2878" s="37" t="s">
        <v>2351</v>
      </c>
      <c r="E2878" s="212">
        <v>28.68</v>
      </c>
    </row>
    <row r="2879" spans="1:5" ht="14.25">
      <c r="A2879" s="37">
        <v>3835</v>
      </c>
      <c r="B2879" s="37" t="s">
        <v>23648</v>
      </c>
      <c r="C2879" s="37" t="s">
        <v>2348</v>
      </c>
      <c r="D2879" s="37" t="s">
        <v>2351</v>
      </c>
      <c r="E2879" s="212">
        <v>93.39</v>
      </c>
    </row>
    <row r="2880" spans="1:5" ht="14.25">
      <c r="A2880" s="37">
        <v>3836</v>
      </c>
      <c r="B2880" s="37" t="s">
        <v>23649</v>
      </c>
      <c r="C2880" s="37" t="s">
        <v>2348</v>
      </c>
      <c r="D2880" s="37" t="s">
        <v>2351</v>
      </c>
      <c r="E2880" s="212">
        <v>200.99</v>
      </c>
    </row>
    <row r="2881" spans="1:5" ht="14.25">
      <c r="A2881" s="37">
        <v>3830</v>
      </c>
      <c r="B2881" s="37" t="s">
        <v>23650</v>
      </c>
      <c r="C2881" s="37" t="s">
        <v>2348</v>
      </c>
      <c r="D2881" s="37" t="s">
        <v>2351</v>
      </c>
      <c r="E2881" s="212">
        <v>328.63</v>
      </c>
    </row>
    <row r="2882" spans="1:5" ht="14.25">
      <c r="A2882" s="37">
        <v>3831</v>
      </c>
      <c r="B2882" s="37" t="s">
        <v>23651</v>
      </c>
      <c r="C2882" s="37" t="s">
        <v>2348</v>
      </c>
      <c r="D2882" s="37" t="s">
        <v>2351</v>
      </c>
      <c r="E2882" s="212">
        <v>549.35</v>
      </c>
    </row>
    <row r="2883" spans="1:5" ht="14.25">
      <c r="A2883" s="37">
        <v>37981</v>
      </c>
      <c r="B2883" s="37" t="s">
        <v>23652</v>
      </c>
      <c r="C2883" s="37" t="s">
        <v>2348</v>
      </c>
      <c r="D2883" s="37" t="s">
        <v>2349</v>
      </c>
      <c r="E2883" s="212">
        <v>7.74</v>
      </c>
    </row>
    <row r="2884" spans="1:5" ht="14.25">
      <c r="A2884" s="37">
        <v>37982</v>
      </c>
      <c r="B2884" s="37" t="s">
        <v>23653</v>
      </c>
      <c r="C2884" s="37" t="s">
        <v>2348</v>
      </c>
      <c r="D2884" s="37" t="s">
        <v>2349</v>
      </c>
      <c r="E2884" s="212">
        <v>11.76</v>
      </c>
    </row>
    <row r="2885" spans="1:5" ht="14.25">
      <c r="A2885" s="37">
        <v>37983</v>
      </c>
      <c r="B2885" s="37" t="s">
        <v>23654</v>
      </c>
      <c r="C2885" s="37" t="s">
        <v>2348</v>
      </c>
      <c r="D2885" s="37" t="s">
        <v>2349</v>
      </c>
      <c r="E2885" s="212">
        <v>16.46</v>
      </c>
    </row>
    <row r="2886" spans="1:5" ht="14.25">
      <c r="A2886" s="37">
        <v>37984</v>
      </c>
      <c r="B2886" s="37" t="s">
        <v>23655</v>
      </c>
      <c r="C2886" s="37" t="s">
        <v>2348</v>
      </c>
      <c r="D2886" s="37" t="s">
        <v>2349</v>
      </c>
      <c r="E2886" s="212">
        <v>28.43</v>
      </c>
    </row>
    <row r="2887" spans="1:5" ht="14.25">
      <c r="A2887" s="37">
        <v>37985</v>
      </c>
      <c r="B2887" s="37" t="s">
        <v>23656</v>
      </c>
      <c r="C2887" s="37" t="s">
        <v>2348</v>
      </c>
      <c r="D2887" s="37" t="s">
        <v>2349</v>
      </c>
      <c r="E2887" s="212">
        <v>39.81</v>
      </c>
    </row>
    <row r="2888" spans="1:5" ht="14.25">
      <c r="A2888" s="37">
        <v>3826</v>
      </c>
      <c r="B2888" s="37" t="s">
        <v>23657</v>
      </c>
      <c r="C2888" s="37" t="s">
        <v>2348</v>
      </c>
      <c r="D2888" s="37" t="s">
        <v>2351</v>
      </c>
      <c r="E2888" s="212">
        <v>67.28</v>
      </c>
    </row>
    <row r="2889" spans="1:5" ht="14.25">
      <c r="A2889" s="37">
        <v>3825</v>
      </c>
      <c r="B2889" s="37" t="s">
        <v>23658</v>
      </c>
      <c r="C2889" s="37" t="s">
        <v>2348</v>
      </c>
      <c r="D2889" s="37" t="s">
        <v>2351</v>
      </c>
      <c r="E2889" s="212">
        <v>19.350000000000001</v>
      </c>
    </row>
    <row r="2890" spans="1:5" ht="14.25">
      <c r="A2890" s="37">
        <v>3827</v>
      </c>
      <c r="B2890" s="37" t="s">
        <v>23659</v>
      </c>
      <c r="C2890" s="37" t="s">
        <v>2348</v>
      </c>
      <c r="D2890" s="37" t="s">
        <v>2351</v>
      </c>
      <c r="E2890" s="212">
        <v>42.27</v>
      </c>
    </row>
    <row r="2891" spans="1:5" ht="14.25">
      <c r="A2891" s="37">
        <v>20165</v>
      </c>
      <c r="B2891" s="37" t="s">
        <v>23660</v>
      </c>
      <c r="C2891" s="37" t="s">
        <v>2348</v>
      </c>
      <c r="D2891" s="37" t="s">
        <v>2349</v>
      </c>
      <c r="E2891" s="212">
        <v>39.68</v>
      </c>
    </row>
    <row r="2892" spans="1:5" ht="14.25">
      <c r="A2892" s="37">
        <v>20166</v>
      </c>
      <c r="B2892" s="37" t="s">
        <v>23661</v>
      </c>
      <c r="C2892" s="37" t="s">
        <v>2348</v>
      </c>
      <c r="D2892" s="37" t="s">
        <v>2349</v>
      </c>
      <c r="E2892" s="212">
        <v>128.22</v>
      </c>
    </row>
    <row r="2893" spans="1:5" ht="14.25">
      <c r="A2893" s="37">
        <v>20164</v>
      </c>
      <c r="B2893" s="37" t="s">
        <v>23662</v>
      </c>
      <c r="C2893" s="37" t="s">
        <v>2348</v>
      </c>
      <c r="D2893" s="37" t="s">
        <v>2349</v>
      </c>
      <c r="E2893" s="212">
        <v>20.96</v>
      </c>
    </row>
    <row r="2894" spans="1:5" ht="14.25">
      <c r="A2894" s="37">
        <v>3893</v>
      </c>
      <c r="B2894" s="37" t="s">
        <v>23663</v>
      </c>
      <c r="C2894" s="37" t="s">
        <v>2348</v>
      </c>
      <c r="D2894" s="37" t="s">
        <v>2349</v>
      </c>
      <c r="E2894" s="212">
        <v>26</v>
      </c>
    </row>
    <row r="2895" spans="1:5" ht="14.25">
      <c r="A2895" s="37">
        <v>3848</v>
      </c>
      <c r="B2895" s="37" t="s">
        <v>23664</v>
      </c>
      <c r="C2895" s="37" t="s">
        <v>2348</v>
      </c>
      <c r="D2895" s="37" t="s">
        <v>2349</v>
      </c>
      <c r="E2895" s="212">
        <v>15.8</v>
      </c>
    </row>
    <row r="2896" spans="1:5" ht="14.25">
      <c r="A2896" s="37">
        <v>3895</v>
      </c>
      <c r="B2896" s="37" t="s">
        <v>23665</v>
      </c>
      <c r="C2896" s="37" t="s">
        <v>2348</v>
      </c>
      <c r="D2896" s="37" t="s">
        <v>2349</v>
      </c>
      <c r="E2896" s="212">
        <v>17.190000000000001</v>
      </c>
    </row>
    <row r="2897" spans="1:5" ht="14.25">
      <c r="A2897" s="37">
        <v>12404</v>
      </c>
      <c r="B2897" s="37" t="s">
        <v>23666</v>
      </c>
      <c r="C2897" s="37" t="s">
        <v>2348</v>
      </c>
      <c r="D2897" s="37" t="s">
        <v>2351</v>
      </c>
      <c r="E2897" s="212">
        <v>9.99</v>
      </c>
    </row>
    <row r="2898" spans="1:5" ht="14.25">
      <c r="A2898" s="37">
        <v>3939</v>
      </c>
      <c r="B2898" s="37" t="s">
        <v>23667</v>
      </c>
      <c r="C2898" s="37" t="s">
        <v>2348</v>
      </c>
      <c r="D2898" s="37" t="s">
        <v>2351</v>
      </c>
      <c r="E2898" s="212">
        <v>20.58</v>
      </c>
    </row>
    <row r="2899" spans="1:5" ht="14.25">
      <c r="A2899" s="37">
        <v>3911</v>
      </c>
      <c r="B2899" s="37" t="s">
        <v>23668</v>
      </c>
      <c r="C2899" s="37" t="s">
        <v>2348</v>
      </c>
      <c r="D2899" s="37" t="s">
        <v>2351</v>
      </c>
      <c r="E2899" s="212">
        <v>16.809999999999999</v>
      </c>
    </row>
    <row r="2900" spans="1:5" ht="14.25">
      <c r="A2900" s="37">
        <v>3908</v>
      </c>
      <c r="B2900" s="37" t="s">
        <v>23669</v>
      </c>
      <c r="C2900" s="37" t="s">
        <v>2348</v>
      </c>
      <c r="D2900" s="37" t="s">
        <v>2351</v>
      </c>
      <c r="E2900" s="212">
        <v>5.44</v>
      </c>
    </row>
    <row r="2901" spans="1:5" ht="14.25">
      <c r="A2901" s="37">
        <v>3910</v>
      </c>
      <c r="B2901" s="37" t="s">
        <v>23670</v>
      </c>
      <c r="C2901" s="37" t="s">
        <v>2348</v>
      </c>
      <c r="D2901" s="37" t="s">
        <v>2351</v>
      </c>
      <c r="E2901" s="212">
        <v>12.03</v>
      </c>
    </row>
    <row r="2902" spans="1:5" ht="14.25">
      <c r="A2902" s="37">
        <v>3913</v>
      </c>
      <c r="B2902" s="37" t="s">
        <v>23671</v>
      </c>
      <c r="C2902" s="37" t="s">
        <v>2348</v>
      </c>
      <c r="D2902" s="37" t="s">
        <v>2351</v>
      </c>
      <c r="E2902" s="212">
        <v>57.51</v>
      </c>
    </row>
    <row r="2903" spans="1:5" ht="14.25">
      <c r="A2903" s="37">
        <v>3912</v>
      </c>
      <c r="B2903" s="37" t="s">
        <v>23672</v>
      </c>
      <c r="C2903" s="37" t="s">
        <v>2348</v>
      </c>
      <c r="D2903" s="37" t="s">
        <v>2351</v>
      </c>
      <c r="E2903" s="212">
        <v>31.52</v>
      </c>
    </row>
    <row r="2904" spans="1:5" ht="14.25">
      <c r="A2904" s="37">
        <v>3909</v>
      </c>
      <c r="B2904" s="37" t="s">
        <v>23673</v>
      </c>
      <c r="C2904" s="37" t="s">
        <v>2348</v>
      </c>
      <c r="D2904" s="37" t="s">
        <v>2351</v>
      </c>
      <c r="E2904" s="212">
        <v>7.4</v>
      </c>
    </row>
    <row r="2905" spans="1:5" ht="14.25">
      <c r="A2905" s="37">
        <v>3914</v>
      </c>
      <c r="B2905" s="37" t="s">
        <v>23674</v>
      </c>
      <c r="C2905" s="37" t="s">
        <v>2348</v>
      </c>
      <c r="D2905" s="37" t="s">
        <v>2351</v>
      </c>
      <c r="E2905" s="212">
        <v>86.75</v>
      </c>
    </row>
    <row r="2906" spans="1:5" ht="14.25">
      <c r="A2906" s="37">
        <v>3915</v>
      </c>
      <c r="B2906" s="37" t="s">
        <v>23675</v>
      </c>
      <c r="C2906" s="37" t="s">
        <v>2348</v>
      </c>
      <c r="D2906" s="37" t="s">
        <v>2351</v>
      </c>
      <c r="E2906" s="212">
        <v>136.80000000000001</v>
      </c>
    </row>
    <row r="2907" spans="1:5" ht="14.25">
      <c r="A2907" s="37">
        <v>3916</v>
      </c>
      <c r="B2907" s="37" t="s">
        <v>23676</v>
      </c>
      <c r="C2907" s="37" t="s">
        <v>2348</v>
      </c>
      <c r="D2907" s="37" t="s">
        <v>2351</v>
      </c>
      <c r="E2907" s="212">
        <v>249.23</v>
      </c>
    </row>
    <row r="2908" spans="1:5" ht="14.25">
      <c r="A2908" s="37">
        <v>3917</v>
      </c>
      <c r="B2908" s="37" t="s">
        <v>23677</v>
      </c>
      <c r="C2908" s="37" t="s">
        <v>2348</v>
      </c>
      <c r="D2908" s="37" t="s">
        <v>2351</v>
      </c>
      <c r="E2908" s="212">
        <v>411.08</v>
      </c>
    </row>
    <row r="2909" spans="1:5" ht="14.25">
      <c r="A2909" s="37">
        <v>1904</v>
      </c>
      <c r="B2909" s="37" t="s">
        <v>23678</v>
      </c>
      <c r="C2909" s="37" t="s">
        <v>2348</v>
      </c>
      <c r="D2909" s="37" t="s">
        <v>2349</v>
      </c>
      <c r="E2909" s="212">
        <v>1.19</v>
      </c>
    </row>
    <row r="2910" spans="1:5" ht="14.25">
      <c r="A2910" s="37">
        <v>1899</v>
      </c>
      <c r="B2910" s="37" t="s">
        <v>23679</v>
      </c>
      <c r="C2910" s="37" t="s">
        <v>2348</v>
      </c>
      <c r="D2910" s="37" t="s">
        <v>2349</v>
      </c>
      <c r="E2910" s="212">
        <v>1.35</v>
      </c>
    </row>
    <row r="2911" spans="1:5" ht="14.25">
      <c r="A2911" s="37">
        <v>1900</v>
      </c>
      <c r="B2911" s="37" t="s">
        <v>23680</v>
      </c>
      <c r="C2911" s="37" t="s">
        <v>2348</v>
      </c>
      <c r="D2911" s="37" t="s">
        <v>2349</v>
      </c>
      <c r="E2911" s="212">
        <v>2.19</v>
      </c>
    </row>
    <row r="2912" spans="1:5" ht="14.25">
      <c r="A2912" s="37">
        <v>12407</v>
      </c>
      <c r="B2912" s="37" t="s">
        <v>23681</v>
      </c>
      <c r="C2912" s="37" t="s">
        <v>2348</v>
      </c>
      <c r="D2912" s="37" t="s">
        <v>2351</v>
      </c>
      <c r="E2912" s="212">
        <v>31.12</v>
      </c>
    </row>
    <row r="2913" spans="1:5" ht="14.25">
      <c r="A2913" s="37">
        <v>12408</v>
      </c>
      <c r="B2913" s="37" t="s">
        <v>23682</v>
      </c>
      <c r="C2913" s="37" t="s">
        <v>2348</v>
      </c>
      <c r="D2913" s="37" t="s">
        <v>2351</v>
      </c>
      <c r="E2913" s="212">
        <v>17.559999999999999</v>
      </c>
    </row>
    <row r="2914" spans="1:5" ht="14.25">
      <c r="A2914" s="37">
        <v>12409</v>
      </c>
      <c r="B2914" s="37" t="s">
        <v>23683</v>
      </c>
      <c r="C2914" s="37" t="s">
        <v>2348</v>
      </c>
      <c r="D2914" s="37" t="s">
        <v>2351</v>
      </c>
      <c r="E2914" s="212">
        <v>17.559999999999999</v>
      </c>
    </row>
    <row r="2915" spans="1:5" ht="14.25">
      <c r="A2915" s="37">
        <v>12410</v>
      </c>
      <c r="B2915" s="37" t="s">
        <v>23684</v>
      </c>
      <c r="C2915" s="37" t="s">
        <v>2348</v>
      </c>
      <c r="D2915" s="37" t="s">
        <v>2351</v>
      </c>
      <c r="E2915" s="212">
        <v>12.1</v>
      </c>
    </row>
    <row r="2916" spans="1:5" ht="14.25">
      <c r="A2916" s="37">
        <v>3936</v>
      </c>
      <c r="B2916" s="37" t="s">
        <v>23685</v>
      </c>
      <c r="C2916" s="37" t="s">
        <v>2348</v>
      </c>
      <c r="D2916" s="37" t="s">
        <v>2351</v>
      </c>
      <c r="E2916" s="212">
        <v>21.86</v>
      </c>
    </row>
    <row r="2917" spans="1:5" ht="14.25">
      <c r="A2917" s="37">
        <v>3922</v>
      </c>
      <c r="B2917" s="37" t="s">
        <v>23686</v>
      </c>
      <c r="C2917" s="37" t="s">
        <v>2348</v>
      </c>
      <c r="D2917" s="37" t="s">
        <v>2351</v>
      </c>
      <c r="E2917" s="212">
        <v>20.11</v>
      </c>
    </row>
    <row r="2918" spans="1:5" ht="14.25">
      <c r="A2918" s="37">
        <v>3924</v>
      </c>
      <c r="B2918" s="37" t="s">
        <v>23687</v>
      </c>
      <c r="C2918" s="37" t="s">
        <v>2348</v>
      </c>
      <c r="D2918" s="37" t="s">
        <v>2351</v>
      </c>
      <c r="E2918" s="212">
        <v>21.86</v>
      </c>
    </row>
    <row r="2919" spans="1:5" ht="14.25">
      <c r="A2919" s="37">
        <v>3923</v>
      </c>
      <c r="B2919" s="37" t="s">
        <v>23688</v>
      </c>
      <c r="C2919" s="37" t="s">
        <v>2348</v>
      </c>
      <c r="D2919" s="37" t="s">
        <v>2351</v>
      </c>
      <c r="E2919" s="212">
        <v>21.86</v>
      </c>
    </row>
    <row r="2920" spans="1:5" ht="14.25">
      <c r="A2920" s="37">
        <v>3937</v>
      </c>
      <c r="B2920" s="37" t="s">
        <v>23689</v>
      </c>
      <c r="C2920" s="37" t="s">
        <v>2348</v>
      </c>
      <c r="D2920" s="37" t="s">
        <v>2351</v>
      </c>
      <c r="E2920" s="212">
        <v>18.04</v>
      </c>
    </row>
    <row r="2921" spans="1:5" ht="14.25">
      <c r="A2921" s="37">
        <v>3921</v>
      </c>
      <c r="B2921" s="37" t="s">
        <v>23690</v>
      </c>
      <c r="C2921" s="37" t="s">
        <v>2348</v>
      </c>
      <c r="D2921" s="37" t="s">
        <v>2351</v>
      </c>
      <c r="E2921" s="212">
        <v>18.05</v>
      </c>
    </row>
    <row r="2922" spans="1:5" ht="14.25">
      <c r="A2922" s="37">
        <v>3920</v>
      </c>
      <c r="B2922" s="37" t="s">
        <v>23691</v>
      </c>
      <c r="C2922" s="37" t="s">
        <v>2348</v>
      </c>
      <c r="D2922" s="37" t="s">
        <v>2351</v>
      </c>
      <c r="E2922" s="212">
        <v>18.04</v>
      </c>
    </row>
    <row r="2923" spans="1:5" ht="14.25">
      <c r="A2923" s="37">
        <v>3938</v>
      </c>
      <c r="B2923" s="37" t="s">
        <v>23692</v>
      </c>
      <c r="C2923" s="37" t="s">
        <v>2348</v>
      </c>
      <c r="D2923" s="37" t="s">
        <v>2351</v>
      </c>
      <c r="E2923" s="212">
        <v>11.89</v>
      </c>
    </row>
    <row r="2924" spans="1:5" ht="14.25">
      <c r="A2924" s="37">
        <v>3919</v>
      </c>
      <c r="B2924" s="37" t="s">
        <v>23693</v>
      </c>
      <c r="C2924" s="37" t="s">
        <v>2348</v>
      </c>
      <c r="D2924" s="37" t="s">
        <v>2351</v>
      </c>
      <c r="E2924" s="212">
        <v>12.12</v>
      </c>
    </row>
    <row r="2925" spans="1:5" ht="14.25">
      <c r="A2925" s="37">
        <v>3927</v>
      </c>
      <c r="B2925" s="37" t="s">
        <v>23694</v>
      </c>
      <c r="C2925" s="37" t="s">
        <v>2348</v>
      </c>
      <c r="D2925" s="37" t="s">
        <v>2351</v>
      </c>
      <c r="E2925" s="212">
        <v>61.4</v>
      </c>
    </row>
    <row r="2926" spans="1:5" ht="14.25">
      <c r="A2926" s="37">
        <v>3928</v>
      </c>
      <c r="B2926" s="37" t="s">
        <v>23695</v>
      </c>
      <c r="C2926" s="37" t="s">
        <v>2348</v>
      </c>
      <c r="D2926" s="37" t="s">
        <v>2351</v>
      </c>
      <c r="E2926" s="212">
        <v>61.4</v>
      </c>
    </row>
    <row r="2927" spans="1:5" ht="14.25">
      <c r="A2927" s="37">
        <v>3926</v>
      </c>
      <c r="B2927" s="37" t="s">
        <v>23696</v>
      </c>
      <c r="C2927" s="37" t="s">
        <v>2348</v>
      </c>
      <c r="D2927" s="37" t="s">
        <v>2351</v>
      </c>
      <c r="E2927" s="212">
        <v>35</v>
      </c>
    </row>
    <row r="2928" spans="1:5" ht="14.25">
      <c r="A2928" s="37">
        <v>3935</v>
      </c>
      <c r="B2928" s="37" t="s">
        <v>23697</v>
      </c>
      <c r="C2928" s="37" t="s">
        <v>2348</v>
      </c>
      <c r="D2928" s="37" t="s">
        <v>2351</v>
      </c>
      <c r="E2928" s="212">
        <v>35</v>
      </c>
    </row>
    <row r="2929" spans="1:5" ht="14.25">
      <c r="A2929" s="37">
        <v>3925</v>
      </c>
      <c r="B2929" s="37" t="s">
        <v>23698</v>
      </c>
      <c r="C2929" s="37" t="s">
        <v>2348</v>
      </c>
      <c r="D2929" s="37" t="s">
        <v>2351</v>
      </c>
      <c r="E2929" s="212">
        <v>35</v>
      </c>
    </row>
    <row r="2930" spans="1:5" ht="14.25">
      <c r="A2930" s="37">
        <v>12406</v>
      </c>
      <c r="B2930" s="37" t="s">
        <v>23699</v>
      </c>
      <c r="C2930" s="37" t="s">
        <v>2348</v>
      </c>
      <c r="D2930" s="37" t="s">
        <v>2351</v>
      </c>
      <c r="E2930" s="212">
        <v>8.59</v>
      </c>
    </row>
    <row r="2931" spans="1:5" ht="14.25">
      <c r="A2931" s="37">
        <v>3929</v>
      </c>
      <c r="B2931" s="37" t="s">
        <v>23700</v>
      </c>
      <c r="C2931" s="37" t="s">
        <v>2348</v>
      </c>
      <c r="D2931" s="37" t="s">
        <v>2351</v>
      </c>
      <c r="E2931" s="212">
        <v>93.55</v>
      </c>
    </row>
    <row r="2932" spans="1:5" ht="14.25">
      <c r="A2932" s="37">
        <v>3931</v>
      </c>
      <c r="B2932" s="37" t="s">
        <v>23701</v>
      </c>
      <c r="C2932" s="37" t="s">
        <v>2348</v>
      </c>
      <c r="D2932" s="37" t="s">
        <v>2351</v>
      </c>
      <c r="E2932" s="212">
        <v>93.55</v>
      </c>
    </row>
    <row r="2933" spans="1:5" ht="14.25">
      <c r="A2933" s="37">
        <v>3930</v>
      </c>
      <c r="B2933" s="37" t="s">
        <v>23702</v>
      </c>
      <c r="C2933" s="37" t="s">
        <v>2348</v>
      </c>
      <c r="D2933" s="37" t="s">
        <v>2351</v>
      </c>
      <c r="E2933" s="212">
        <v>93.55</v>
      </c>
    </row>
    <row r="2934" spans="1:5" ht="14.25">
      <c r="A2934" s="37">
        <v>3932</v>
      </c>
      <c r="B2934" s="37" t="s">
        <v>23703</v>
      </c>
      <c r="C2934" s="37" t="s">
        <v>2348</v>
      </c>
      <c r="D2934" s="37" t="s">
        <v>2351</v>
      </c>
      <c r="E2934" s="212">
        <v>161.54</v>
      </c>
    </row>
    <row r="2935" spans="1:5" ht="14.25">
      <c r="A2935" s="37">
        <v>3933</v>
      </c>
      <c r="B2935" s="37" t="s">
        <v>23704</v>
      </c>
      <c r="C2935" s="37" t="s">
        <v>2348</v>
      </c>
      <c r="D2935" s="37" t="s">
        <v>2351</v>
      </c>
      <c r="E2935" s="212">
        <v>161.54</v>
      </c>
    </row>
    <row r="2936" spans="1:5" ht="14.25">
      <c r="A2936" s="37">
        <v>3934</v>
      </c>
      <c r="B2936" s="37" t="s">
        <v>23705</v>
      </c>
      <c r="C2936" s="37" t="s">
        <v>2348</v>
      </c>
      <c r="D2936" s="37" t="s">
        <v>2351</v>
      </c>
      <c r="E2936" s="212">
        <v>161.54</v>
      </c>
    </row>
    <row r="2937" spans="1:5" ht="14.25">
      <c r="A2937" s="37">
        <v>40355</v>
      </c>
      <c r="B2937" s="37" t="s">
        <v>23706</v>
      </c>
      <c r="C2937" s="37" t="s">
        <v>2348</v>
      </c>
      <c r="D2937" s="37" t="s">
        <v>2349</v>
      </c>
      <c r="E2937" s="212">
        <v>14.18</v>
      </c>
    </row>
    <row r="2938" spans="1:5" ht="14.25">
      <c r="A2938" s="37">
        <v>40364</v>
      </c>
      <c r="B2938" s="37" t="s">
        <v>23707</v>
      </c>
      <c r="C2938" s="37" t="s">
        <v>2348</v>
      </c>
      <c r="D2938" s="37" t="s">
        <v>2349</v>
      </c>
      <c r="E2938" s="212">
        <v>66.45</v>
      </c>
    </row>
    <row r="2939" spans="1:5" ht="14.25">
      <c r="A2939" s="37">
        <v>40361</v>
      </c>
      <c r="B2939" s="37" t="s">
        <v>23708</v>
      </c>
      <c r="C2939" s="37" t="s">
        <v>2348</v>
      </c>
      <c r="D2939" s="37" t="s">
        <v>2349</v>
      </c>
      <c r="E2939" s="212">
        <v>51.96</v>
      </c>
    </row>
    <row r="2940" spans="1:5" ht="14.25">
      <c r="A2940" s="37">
        <v>40358</v>
      </c>
      <c r="B2940" s="37" t="s">
        <v>23709</v>
      </c>
      <c r="C2940" s="37" t="s">
        <v>2348</v>
      </c>
      <c r="D2940" s="37" t="s">
        <v>2349</v>
      </c>
      <c r="E2940" s="212">
        <v>19.809999999999999</v>
      </c>
    </row>
    <row r="2941" spans="1:5" ht="14.25">
      <c r="A2941" s="37">
        <v>40370</v>
      </c>
      <c r="B2941" s="37" t="s">
        <v>23710</v>
      </c>
      <c r="C2941" s="37" t="s">
        <v>2348</v>
      </c>
      <c r="D2941" s="37" t="s">
        <v>2349</v>
      </c>
      <c r="E2941" s="212">
        <v>210.85</v>
      </c>
    </row>
    <row r="2942" spans="1:5" ht="14.25">
      <c r="A2942" s="37">
        <v>40367</v>
      </c>
      <c r="B2942" s="37" t="s">
        <v>23711</v>
      </c>
      <c r="C2942" s="37" t="s">
        <v>2348</v>
      </c>
      <c r="D2942" s="37" t="s">
        <v>2349</v>
      </c>
      <c r="E2942" s="212">
        <v>104.8</v>
      </c>
    </row>
    <row r="2943" spans="1:5" ht="14.25">
      <c r="A2943" s="37">
        <v>40373</v>
      </c>
      <c r="B2943" s="37" t="s">
        <v>23712</v>
      </c>
      <c r="C2943" s="37" t="s">
        <v>2348</v>
      </c>
      <c r="D2943" s="37" t="s">
        <v>2349</v>
      </c>
      <c r="E2943" s="212">
        <v>285.12</v>
      </c>
    </row>
    <row r="2944" spans="1:5" ht="14.25">
      <c r="A2944" s="37">
        <v>38947</v>
      </c>
      <c r="B2944" s="37" t="s">
        <v>23713</v>
      </c>
      <c r="C2944" s="37" t="s">
        <v>2348</v>
      </c>
      <c r="D2944" s="37" t="s">
        <v>2351</v>
      </c>
      <c r="E2944" s="212">
        <v>8.69</v>
      </c>
    </row>
    <row r="2945" spans="1:5" ht="14.25">
      <c r="A2945" s="37">
        <v>38948</v>
      </c>
      <c r="B2945" s="37" t="s">
        <v>23714</v>
      </c>
      <c r="C2945" s="37" t="s">
        <v>2348</v>
      </c>
      <c r="D2945" s="37" t="s">
        <v>2351</v>
      </c>
      <c r="E2945" s="212">
        <v>13.87</v>
      </c>
    </row>
    <row r="2946" spans="1:5" ht="14.25">
      <c r="A2946" s="37">
        <v>38949</v>
      </c>
      <c r="B2946" s="37" t="s">
        <v>23715</v>
      </c>
      <c r="C2946" s="37" t="s">
        <v>2348</v>
      </c>
      <c r="D2946" s="37" t="s">
        <v>2351</v>
      </c>
      <c r="E2946" s="212">
        <v>15.39</v>
      </c>
    </row>
    <row r="2947" spans="1:5" ht="14.25">
      <c r="A2947" s="37">
        <v>38951</v>
      </c>
      <c r="B2947" s="37" t="s">
        <v>23716</v>
      </c>
      <c r="C2947" s="37" t="s">
        <v>2348</v>
      </c>
      <c r="D2947" s="37" t="s">
        <v>2351</v>
      </c>
      <c r="E2947" s="212">
        <v>24.34</v>
      </c>
    </row>
    <row r="2948" spans="1:5" ht="14.25">
      <c r="A2948" s="37">
        <v>39312</v>
      </c>
      <c r="B2948" s="37" t="s">
        <v>23717</v>
      </c>
      <c r="C2948" s="37" t="s">
        <v>2348</v>
      </c>
      <c r="D2948" s="37" t="s">
        <v>2351</v>
      </c>
      <c r="E2948" s="212">
        <v>18.88</v>
      </c>
    </row>
    <row r="2949" spans="1:5" ht="14.25">
      <c r="A2949" s="37">
        <v>39313</v>
      </c>
      <c r="B2949" s="37" t="s">
        <v>23718</v>
      </c>
      <c r="C2949" s="37" t="s">
        <v>2348</v>
      </c>
      <c r="D2949" s="37" t="s">
        <v>2351</v>
      </c>
      <c r="E2949" s="212">
        <v>24.64</v>
      </c>
    </row>
    <row r="2950" spans="1:5" ht="14.25">
      <c r="A2950" s="37">
        <v>38950</v>
      </c>
      <c r="B2950" s="37" t="s">
        <v>23719</v>
      </c>
      <c r="C2950" s="37" t="s">
        <v>2348</v>
      </c>
      <c r="D2950" s="37" t="s">
        <v>2351</v>
      </c>
      <c r="E2950" s="212">
        <v>37.08</v>
      </c>
    </row>
    <row r="2951" spans="1:5" ht="14.25">
      <c r="A2951" s="37">
        <v>39314</v>
      </c>
      <c r="B2951" s="37" t="s">
        <v>23720</v>
      </c>
      <c r="C2951" s="37" t="s">
        <v>2348</v>
      </c>
      <c r="D2951" s="37" t="s">
        <v>2351</v>
      </c>
      <c r="E2951" s="212">
        <v>39.130000000000003</v>
      </c>
    </row>
    <row r="2952" spans="1:5" ht="14.25">
      <c r="A2952" s="37">
        <v>3907</v>
      </c>
      <c r="B2952" s="37" t="s">
        <v>23721</v>
      </c>
      <c r="C2952" s="37" t="s">
        <v>2348</v>
      </c>
      <c r="D2952" s="37" t="s">
        <v>2349</v>
      </c>
      <c r="E2952" s="212">
        <v>7</v>
      </c>
    </row>
    <row r="2953" spans="1:5" ht="14.25">
      <c r="A2953" s="37">
        <v>3889</v>
      </c>
      <c r="B2953" s="37" t="s">
        <v>23722</v>
      </c>
      <c r="C2953" s="37" t="s">
        <v>2348</v>
      </c>
      <c r="D2953" s="37" t="s">
        <v>2349</v>
      </c>
      <c r="E2953" s="212">
        <v>5.35</v>
      </c>
    </row>
    <row r="2954" spans="1:5" ht="14.25">
      <c r="A2954" s="37">
        <v>3868</v>
      </c>
      <c r="B2954" s="37" t="s">
        <v>23723</v>
      </c>
      <c r="C2954" s="37" t="s">
        <v>2348</v>
      </c>
      <c r="D2954" s="37" t="s">
        <v>2349</v>
      </c>
      <c r="E2954" s="212">
        <v>2.08</v>
      </c>
    </row>
    <row r="2955" spans="1:5" ht="14.25">
      <c r="A2955" s="37">
        <v>3869</v>
      </c>
      <c r="B2955" s="37" t="s">
        <v>23724</v>
      </c>
      <c r="C2955" s="37" t="s">
        <v>2348</v>
      </c>
      <c r="D2955" s="37" t="s">
        <v>2349</v>
      </c>
      <c r="E2955" s="212">
        <v>5.95</v>
      </c>
    </row>
    <row r="2956" spans="1:5" ht="14.25">
      <c r="A2956" s="37">
        <v>3872</v>
      </c>
      <c r="B2956" s="37" t="s">
        <v>23725</v>
      </c>
      <c r="C2956" s="37" t="s">
        <v>2348</v>
      </c>
      <c r="D2956" s="37" t="s">
        <v>2349</v>
      </c>
      <c r="E2956" s="212">
        <v>7.22</v>
      </c>
    </row>
    <row r="2957" spans="1:5" ht="14.25">
      <c r="A2957" s="37">
        <v>3850</v>
      </c>
      <c r="B2957" s="37" t="s">
        <v>23726</v>
      </c>
      <c r="C2957" s="37" t="s">
        <v>2348</v>
      </c>
      <c r="D2957" s="37" t="s">
        <v>2349</v>
      </c>
      <c r="E2957" s="212">
        <v>18.61</v>
      </c>
    </row>
    <row r="2958" spans="1:5" ht="14.25">
      <c r="A2958" s="37">
        <v>38023</v>
      </c>
      <c r="B2958" s="37" t="s">
        <v>23727</v>
      </c>
      <c r="C2958" s="37" t="s">
        <v>2348</v>
      </c>
      <c r="D2958" s="37" t="s">
        <v>2349</v>
      </c>
      <c r="E2958" s="212">
        <v>7.85</v>
      </c>
    </row>
    <row r="2959" spans="1:5" ht="14.25">
      <c r="A2959" s="37">
        <v>37986</v>
      </c>
      <c r="B2959" s="37" t="s">
        <v>23728</v>
      </c>
      <c r="C2959" s="37" t="s">
        <v>2348</v>
      </c>
      <c r="D2959" s="37" t="s">
        <v>2349</v>
      </c>
      <c r="E2959" s="212">
        <v>2.66</v>
      </c>
    </row>
    <row r="2960" spans="1:5" ht="14.25">
      <c r="A2960" s="37">
        <v>37987</v>
      </c>
      <c r="B2960" s="37" t="s">
        <v>23729</v>
      </c>
      <c r="C2960" s="37" t="s">
        <v>2348</v>
      </c>
      <c r="D2960" s="37" t="s">
        <v>2349</v>
      </c>
      <c r="E2960" s="212">
        <v>198.71</v>
      </c>
    </row>
    <row r="2961" spans="1:5" ht="14.25">
      <c r="A2961" s="37">
        <v>37988</v>
      </c>
      <c r="B2961" s="37" t="s">
        <v>23730</v>
      </c>
      <c r="C2961" s="37" t="s">
        <v>2348</v>
      </c>
      <c r="D2961" s="37" t="s">
        <v>2349</v>
      </c>
      <c r="E2961" s="212">
        <v>324.11</v>
      </c>
    </row>
    <row r="2962" spans="1:5" ht="14.25">
      <c r="A2962" s="37">
        <v>21120</v>
      </c>
      <c r="B2962" s="37" t="s">
        <v>23731</v>
      </c>
      <c r="C2962" s="37" t="s">
        <v>2348</v>
      </c>
      <c r="D2962" s="37" t="s">
        <v>2349</v>
      </c>
      <c r="E2962" s="212">
        <v>16.149999999999999</v>
      </c>
    </row>
    <row r="2963" spans="1:5" ht="14.25">
      <c r="A2963" s="37">
        <v>39318</v>
      </c>
      <c r="B2963" s="37" t="s">
        <v>23732</v>
      </c>
      <c r="C2963" s="37" t="s">
        <v>2348</v>
      </c>
      <c r="D2963" s="37" t="s">
        <v>2349</v>
      </c>
      <c r="E2963" s="212">
        <v>13.32</v>
      </c>
    </row>
    <row r="2964" spans="1:5" ht="14.25">
      <c r="A2964" s="37">
        <v>20162</v>
      </c>
      <c r="B2964" s="37" t="s">
        <v>23733</v>
      </c>
      <c r="C2964" s="37" t="s">
        <v>2348</v>
      </c>
      <c r="D2964" s="37" t="s">
        <v>2349</v>
      </c>
      <c r="E2964" s="212">
        <v>27.56</v>
      </c>
    </row>
    <row r="2965" spans="1:5" ht="14.25">
      <c r="A2965" s="37">
        <v>40366</v>
      </c>
      <c r="B2965" s="37" t="s">
        <v>23734</v>
      </c>
      <c r="C2965" s="37" t="s">
        <v>2348</v>
      </c>
      <c r="D2965" s="37" t="s">
        <v>2349</v>
      </c>
      <c r="E2965" s="212">
        <v>51.83</v>
      </c>
    </row>
    <row r="2966" spans="1:5" ht="14.25">
      <c r="A2966" s="37">
        <v>40363</v>
      </c>
      <c r="B2966" s="37" t="s">
        <v>23735</v>
      </c>
      <c r="C2966" s="37" t="s">
        <v>2348</v>
      </c>
      <c r="D2966" s="37" t="s">
        <v>2349</v>
      </c>
      <c r="E2966" s="212">
        <v>40.54</v>
      </c>
    </row>
    <row r="2967" spans="1:5" ht="14.25">
      <c r="A2967" s="37">
        <v>40354</v>
      </c>
      <c r="B2967" s="37" t="s">
        <v>23736</v>
      </c>
      <c r="C2967" s="37" t="s">
        <v>2348</v>
      </c>
      <c r="D2967" s="37" t="s">
        <v>2353</v>
      </c>
      <c r="E2967" s="212">
        <v>17.649999999999999</v>
      </c>
    </row>
    <row r="2968" spans="1:5" ht="14.25">
      <c r="A2968" s="37">
        <v>40360</v>
      </c>
      <c r="B2968" s="37" t="s">
        <v>23737</v>
      </c>
      <c r="C2968" s="37" t="s">
        <v>2348</v>
      </c>
      <c r="D2968" s="37" t="s">
        <v>2349</v>
      </c>
      <c r="E2968" s="212">
        <v>26.58</v>
      </c>
    </row>
    <row r="2969" spans="1:5" ht="14.25">
      <c r="A2969" s="37">
        <v>40372</v>
      </c>
      <c r="B2969" s="37" t="s">
        <v>23738</v>
      </c>
      <c r="C2969" s="37" t="s">
        <v>2348</v>
      </c>
      <c r="D2969" s="37" t="s">
        <v>2349</v>
      </c>
      <c r="E2969" s="212">
        <v>164.13</v>
      </c>
    </row>
    <row r="2970" spans="1:5" ht="14.25">
      <c r="A2970" s="37">
        <v>40369</v>
      </c>
      <c r="B2970" s="37" t="s">
        <v>23739</v>
      </c>
      <c r="C2970" s="37" t="s">
        <v>2348</v>
      </c>
      <c r="D2970" s="37" t="s">
        <v>2349</v>
      </c>
      <c r="E2970" s="212">
        <v>81.69</v>
      </c>
    </row>
    <row r="2971" spans="1:5" ht="14.25">
      <c r="A2971" s="37">
        <v>40357</v>
      </c>
      <c r="B2971" s="37" t="s">
        <v>23740</v>
      </c>
      <c r="C2971" s="37" t="s">
        <v>2348</v>
      </c>
      <c r="D2971" s="37" t="s">
        <v>2349</v>
      </c>
      <c r="E2971" s="212">
        <v>19.809999999999999</v>
      </c>
    </row>
    <row r="2972" spans="1:5" ht="14.25">
      <c r="A2972" s="37">
        <v>40375</v>
      </c>
      <c r="B2972" s="37" t="s">
        <v>23741</v>
      </c>
      <c r="C2972" s="37" t="s">
        <v>2348</v>
      </c>
      <c r="D2972" s="37" t="s">
        <v>2349</v>
      </c>
      <c r="E2972" s="212">
        <v>222.19</v>
      </c>
    </row>
    <row r="2973" spans="1:5" ht="14.25">
      <c r="A2973" s="37">
        <v>1893</v>
      </c>
      <c r="B2973" s="37" t="s">
        <v>23742</v>
      </c>
      <c r="C2973" s="37" t="s">
        <v>2348</v>
      </c>
      <c r="D2973" s="37" t="s">
        <v>2349</v>
      </c>
      <c r="E2973" s="212">
        <v>4.5</v>
      </c>
    </row>
    <row r="2974" spans="1:5" ht="14.25">
      <c r="A2974" s="37">
        <v>1902</v>
      </c>
      <c r="B2974" s="37" t="s">
        <v>23743</v>
      </c>
      <c r="C2974" s="37" t="s">
        <v>2348</v>
      </c>
      <c r="D2974" s="37" t="s">
        <v>2349</v>
      </c>
      <c r="E2974" s="212">
        <v>3.28</v>
      </c>
    </row>
    <row r="2975" spans="1:5" ht="14.25">
      <c r="A2975" s="37">
        <v>1901</v>
      </c>
      <c r="B2975" s="37" t="s">
        <v>23744</v>
      </c>
      <c r="C2975" s="37" t="s">
        <v>2348</v>
      </c>
      <c r="D2975" s="37" t="s">
        <v>2349</v>
      </c>
      <c r="E2975" s="212">
        <v>1.02</v>
      </c>
    </row>
    <row r="2976" spans="1:5" ht="14.25">
      <c r="A2976" s="37">
        <v>1892</v>
      </c>
      <c r="B2976" s="37" t="s">
        <v>23745</v>
      </c>
      <c r="C2976" s="37" t="s">
        <v>2348</v>
      </c>
      <c r="D2976" s="37" t="s">
        <v>2349</v>
      </c>
      <c r="E2976" s="212">
        <v>2.11</v>
      </c>
    </row>
    <row r="2977" spans="1:5" ht="14.25">
      <c r="A2977" s="37">
        <v>1907</v>
      </c>
      <c r="B2977" s="37" t="s">
        <v>23746</v>
      </c>
      <c r="C2977" s="37" t="s">
        <v>2348</v>
      </c>
      <c r="D2977" s="37" t="s">
        <v>2349</v>
      </c>
      <c r="E2977" s="212">
        <v>14.49</v>
      </c>
    </row>
    <row r="2978" spans="1:5" ht="14.25">
      <c r="A2978" s="37">
        <v>1894</v>
      </c>
      <c r="B2978" s="37" t="s">
        <v>23747</v>
      </c>
      <c r="C2978" s="37" t="s">
        <v>2348</v>
      </c>
      <c r="D2978" s="37" t="s">
        <v>2349</v>
      </c>
      <c r="E2978" s="212">
        <v>6.52</v>
      </c>
    </row>
    <row r="2979" spans="1:5" ht="14.25">
      <c r="A2979" s="37">
        <v>1891</v>
      </c>
      <c r="B2979" s="37" t="s">
        <v>23748</v>
      </c>
      <c r="C2979" s="37" t="s">
        <v>2348</v>
      </c>
      <c r="D2979" s="37" t="s">
        <v>2349</v>
      </c>
      <c r="E2979" s="212">
        <v>1.51</v>
      </c>
    </row>
    <row r="2980" spans="1:5" ht="14.25">
      <c r="A2980" s="37">
        <v>1896</v>
      </c>
      <c r="B2980" s="37" t="s">
        <v>23749</v>
      </c>
      <c r="C2980" s="37" t="s">
        <v>2348</v>
      </c>
      <c r="D2980" s="37" t="s">
        <v>2349</v>
      </c>
      <c r="E2980" s="212">
        <v>19.46</v>
      </c>
    </row>
    <row r="2981" spans="1:5" ht="14.25">
      <c r="A2981" s="37">
        <v>1895</v>
      </c>
      <c r="B2981" s="37" t="s">
        <v>23750</v>
      </c>
      <c r="C2981" s="37" t="s">
        <v>2348</v>
      </c>
      <c r="D2981" s="37" t="s">
        <v>2349</v>
      </c>
      <c r="E2981" s="212">
        <v>34.200000000000003</v>
      </c>
    </row>
    <row r="2982" spans="1:5" ht="14.25">
      <c r="A2982" s="37">
        <v>2641</v>
      </c>
      <c r="B2982" s="37" t="s">
        <v>23751</v>
      </c>
      <c r="C2982" s="37" t="s">
        <v>2348</v>
      </c>
      <c r="D2982" s="37" t="s">
        <v>2351</v>
      </c>
      <c r="E2982" s="212">
        <v>35.64</v>
      </c>
    </row>
    <row r="2983" spans="1:5" ht="14.25">
      <c r="A2983" s="37">
        <v>2636</v>
      </c>
      <c r="B2983" s="37" t="s">
        <v>23752</v>
      </c>
      <c r="C2983" s="37" t="s">
        <v>2348</v>
      </c>
      <c r="D2983" s="37" t="s">
        <v>2351</v>
      </c>
      <c r="E2983" s="212">
        <v>2.29</v>
      </c>
    </row>
    <row r="2984" spans="1:5" ht="14.25">
      <c r="A2984" s="37">
        <v>2637</v>
      </c>
      <c r="B2984" s="37" t="s">
        <v>23753</v>
      </c>
      <c r="C2984" s="37" t="s">
        <v>2348</v>
      </c>
      <c r="D2984" s="37" t="s">
        <v>2351</v>
      </c>
      <c r="E2984" s="212">
        <v>2.44</v>
      </c>
    </row>
    <row r="2985" spans="1:5" ht="14.25">
      <c r="A2985" s="37">
        <v>2638</v>
      </c>
      <c r="B2985" s="37" t="s">
        <v>23754</v>
      </c>
      <c r="C2985" s="37" t="s">
        <v>2348</v>
      </c>
      <c r="D2985" s="37" t="s">
        <v>2351</v>
      </c>
      <c r="E2985" s="212">
        <v>2.84</v>
      </c>
    </row>
    <row r="2986" spans="1:5" ht="14.25">
      <c r="A2986" s="37">
        <v>2639</v>
      </c>
      <c r="B2986" s="37" t="s">
        <v>23755</v>
      </c>
      <c r="C2986" s="37" t="s">
        <v>2348</v>
      </c>
      <c r="D2986" s="37" t="s">
        <v>2351</v>
      </c>
      <c r="E2986" s="212">
        <v>5.03</v>
      </c>
    </row>
    <row r="2987" spans="1:5" ht="14.25">
      <c r="A2987" s="37">
        <v>2644</v>
      </c>
      <c r="B2987" s="37" t="s">
        <v>23756</v>
      </c>
      <c r="C2987" s="37" t="s">
        <v>2348</v>
      </c>
      <c r="D2987" s="37" t="s">
        <v>2351</v>
      </c>
      <c r="E2987" s="212">
        <v>7.29</v>
      </c>
    </row>
    <row r="2988" spans="1:5" ht="14.25">
      <c r="A2988" s="37">
        <v>2643</v>
      </c>
      <c r="B2988" s="37" t="s">
        <v>23757</v>
      </c>
      <c r="C2988" s="37" t="s">
        <v>2348</v>
      </c>
      <c r="D2988" s="37" t="s">
        <v>2351</v>
      </c>
      <c r="E2988" s="212">
        <v>10.16</v>
      </c>
    </row>
    <row r="2989" spans="1:5" ht="14.25">
      <c r="A2989" s="37">
        <v>2640</v>
      </c>
      <c r="B2989" s="37" t="s">
        <v>23758</v>
      </c>
      <c r="C2989" s="37" t="s">
        <v>2348</v>
      </c>
      <c r="D2989" s="37" t="s">
        <v>2351</v>
      </c>
      <c r="E2989" s="212">
        <v>14.83</v>
      </c>
    </row>
    <row r="2990" spans="1:5" ht="14.25">
      <c r="A2990" s="37">
        <v>2642</v>
      </c>
      <c r="B2990" s="37" t="s">
        <v>23759</v>
      </c>
      <c r="C2990" s="37" t="s">
        <v>2348</v>
      </c>
      <c r="D2990" s="37" t="s">
        <v>2351</v>
      </c>
      <c r="E2990" s="212">
        <v>22.58</v>
      </c>
    </row>
    <row r="2991" spans="1:5" ht="14.25">
      <c r="A2991" s="37">
        <v>38943</v>
      </c>
      <c r="B2991" s="37" t="s">
        <v>23760</v>
      </c>
      <c r="C2991" s="37" t="s">
        <v>2348</v>
      </c>
      <c r="D2991" s="37" t="s">
        <v>2351</v>
      </c>
      <c r="E2991" s="212">
        <v>6.42</v>
      </c>
    </row>
    <row r="2992" spans="1:5" ht="14.25">
      <c r="A2992" s="37">
        <v>38944</v>
      </c>
      <c r="B2992" s="37" t="s">
        <v>23761</v>
      </c>
      <c r="C2992" s="37" t="s">
        <v>2348</v>
      </c>
      <c r="D2992" s="37" t="s">
        <v>2351</v>
      </c>
      <c r="E2992" s="212">
        <v>9.92</v>
      </c>
    </row>
    <row r="2993" spans="1:5" ht="14.25">
      <c r="A2993" s="37">
        <v>38945</v>
      </c>
      <c r="B2993" s="37" t="s">
        <v>23762</v>
      </c>
      <c r="C2993" s="37" t="s">
        <v>2348</v>
      </c>
      <c r="D2993" s="37" t="s">
        <v>2351</v>
      </c>
      <c r="E2993" s="212">
        <v>20.12</v>
      </c>
    </row>
    <row r="2994" spans="1:5" ht="14.25">
      <c r="A2994" s="37">
        <v>38946</v>
      </c>
      <c r="B2994" s="37" t="s">
        <v>23763</v>
      </c>
      <c r="C2994" s="37" t="s">
        <v>2348</v>
      </c>
      <c r="D2994" s="37" t="s">
        <v>2351</v>
      </c>
      <c r="E2994" s="212">
        <v>30</v>
      </c>
    </row>
    <row r="2995" spans="1:5" ht="14.25">
      <c r="A2995" s="37">
        <v>39308</v>
      </c>
      <c r="B2995" s="37" t="s">
        <v>23764</v>
      </c>
      <c r="C2995" s="37" t="s">
        <v>2348</v>
      </c>
      <c r="D2995" s="37" t="s">
        <v>2351</v>
      </c>
      <c r="E2995" s="212">
        <v>13.08</v>
      </c>
    </row>
    <row r="2996" spans="1:5" ht="14.25">
      <c r="A2996" s="37">
        <v>39309</v>
      </c>
      <c r="B2996" s="37" t="s">
        <v>23765</v>
      </c>
      <c r="C2996" s="37" t="s">
        <v>2348</v>
      </c>
      <c r="D2996" s="37" t="s">
        <v>2351</v>
      </c>
      <c r="E2996" s="212">
        <v>18.920000000000002</v>
      </c>
    </row>
    <row r="2997" spans="1:5" ht="14.25">
      <c r="A2997" s="37">
        <v>39310</v>
      </c>
      <c r="B2997" s="37" t="s">
        <v>23766</v>
      </c>
      <c r="C2997" s="37" t="s">
        <v>2348</v>
      </c>
      <c r="D2997" s="37" t="s">
        <v>2351</v>
      </c>
      <c r="E2997" s="212">
        <v>28.67</v>
      </c>
    </row>
    <row r="2998" spans="1:5" ht="14.25">
      <c r="A2998" s="37">
        <v>39311</v>
      </c>
      <c r="B2998" s="37" t="s">
        <v>23767</v>
      </c>
      <c r="C2998" s="37" t="s">
        <v>2348</v>
      </c>
      <c r="D2998" s="37" t="s">
        <v>2351</v>
      </c>
      <c r="E2998" s="212">
        <v>43.09</v>
      </c>
    </row>
    <row r="2999" spans="1:5" ht="14.25">
      <c r="A2999" s="37">
        <v>39855</v>
      </c>
      <c r="B2999" s="37" t="s">
        <v>23768</v>
      </c>
      <c r="C2999" s="37" t="s">
        <v>2348</v>
      </c>
      <c r="D2999" s="37" t="s">
        <v>2351</v>
      </c>
      <c r="E2999" s="212">
        <v>3.37</v>
      </c>
    </row>
    <row r="3000" spans="1:5" ht="14.25">
      <c r="A3000" s="37">
        <v>39856</v>
      </c>
      <c r="B3000" s="37" t="s">
        <v>23769</v>
      </c>
      <c r="C3000" s="37" t="s">
        <v>2348</v>
      </c>
      <c r="D3000" s="37" t="s">
        <v>2351</v>
      </c>
      <c r="E3000" s="212">
        <v>7.94</v>
      </c>
    </row>
    <row r="3001" spans="1:5" ht="14.25">
      <c r="A3001" s="37">
        <v>39857</v>
      </c>
      <c r="B3001" s="37" t="s">
        <v>23770</v>
      </c>
      <c r="C3001" s="37" t="s">
        <v>2348</v>
      </c>
      <c r="D3001" s="37" t="s">
        <v>2351</v>
      </c>
      <c r="E3001" s="212">
        <v>12.85</v>
      </c>
    </row>
    <row r="3002" spans="1:5" ht="14.25">
      <c r="A3002" s="37">
        <v>39858</v>
      </c>
      <c r="B3002" s="37" t="s">
        <v>23771</v>
      </c>
      <c r="C3002" s="37" t="s">
        <v>2348</v>
      </c>
      <c r="D3002" s="37" t="s">
        <v>2351</v>
      </c>
      <c r="E3002" s="212">
        <v>28.52</v>
      </c>
    </row>
    <row r="3003" spans="1:5" ht="14.25">
      <c r="A3003" s="37">
        <v>39859</v>
      </c>
      <c r="B3003" s="37" t="s">
        <v>23772</v>
      </c>
      <c r="C3003" s="37" t="s">
        <v>2348</v>
      </c>
      <c r="D3003" s="37" t="s">
        <v>2351</v>
      </c>
      <c r="E3003" s="212">
        <v>43.96</v>
      </c>
    </row>
    <row r="3004" spans="1:5" ht="14.25">
      <c r="A3004" s="37">
        <v>39860</v>
      </c>
      <c r="B3004" s="37" t="s">
        <v>23773</v>
      </c>
      <c r="C3004" s="37" t="s">
        <v>2348</v>
      </c>
      <c r="D3004" s="37" t="s">
        <v>2351</v>
      </c>
      <c r="E3004" s="212">
        <v>67.459999999999994</v>
      </c>
    </row>
    <row r="3005" spans="1:5" ht="14.25">
      <c r="A3005" s="37">
        <v>39861</v>
      </c>
      <c r="B3005" s="37" t="s">
        <v>23774</v>
      </c>
      <c r="C3005" s="37" t="s">
        <v>2348</v>
      </c>
      <c r="D3005" s="37" t="s">
        <v>2351</v>
      </c>
      <c r="E3005" s="212">
        <v>192.62</v>
      </c>
    </row>
    <row r="3006" spans="1:5" ht="14.25">
      <c r="A3006" s="37">
        <v>38447</v>
      </c>
      <c r="B3006" s="37" t="s">
        <v>23775</v>
      </c>
      <c r="C3006" s="37" t="s">
        <v>2348</v>
      </c>
      <c r="D3006" s="37" t="s">
        <v>2351</v>
      </c>
      <c r="E3006" s="212">
        <v>140.91</v>
      </c>
    </row>
    <row r="3007" spans="1:5" ht="14.25">
      <c r="A3007" s="37">
        <v>36320</v>
      </c>
      <c r="B3007" s="37" t="s">
        <v>23776</v>
      </c>
      <c r="C3007" s="37" t="s">
        <v>2348</v>
      </c>
      <c r="D3007" s="37" t="s">
        <v>2351</v>
      </c>
      <c r="E3007" s="212">
        <v>2.04</v>
      </c>
    </row>
    <row r="3008" spans="1:5" ht="14.25">
      <c r="A3008" s="37">
        <v>36324</v>
      </c>
      <c r="B3008" s="37" t="s">
        <v>23777</v>
      </c>
      <c r="C3008" s="37" t="s">
        <v>2348</v>
      </c>
      <c r="D3008" s="37" t="s">
        <v>2351</v>
      </c>
      <c r="E3008" s="212">
        <v>3.09</v>
      </c>
    </row>
    <row r="3009" spans="1:5" ht="14.25">
      <c r="A3009" s="37">
        <v>38441</v>
      </c>
      <c r="B3009" s="37" t="s">
        <v>23778</v>
      </c>
      <c r="C3009" s="37" t="s">
        <v>2348</v>
      </c>
      <c r="D3009" s="37" t="s">
        <v>2351</v>
      </c>
      <c r="E3009" s="212">
        <v>4.0599999999999996</v>
      </c>
    </row>
    <row r="3010" spans="1:5" ht="14.25">
      <c r="A3010" s="37">
        <v>38442</v>
      </c>
      <c r="B3010" s="37" t="s">
        <v>23779</v>
      </c>
      <c r="C3010" s="37" t="s">
        <v>2348</v>
      </c>
      <c r="D3010" s="37" t="s">
        <v>2351</v>
      </c>
      <c r="E3010" s="212">
        <v>10.33</v>
      </c>
    </row>
    <row r="3011" spans="1:5" ht="14.25">
      <c r="A3011" s="37">
        <v>38443</v>
      </c>
      <c r="B3011" s="37" t="s">
        <v>23780</v>
      </c>
      <c r="C3011" s="37" t="s">
        <v>2348</v>
      </c>
      <c r="D3011" s="37" t="s">
        <v>2351</v>
      </c>
      <c r="E3011" s="212">
        <v>15.61</v>
      </c>
    </row>
    <row r="3012" spans="1:5" ht="14.25">
      <c r="A3012" s="37">
        <v>38444</v>
      </c>
      <c r="B3012" s="37" t="s">
        <v>23781</v>
      </c>
      <c r="C3012" s="37" t="s">
        <v>2348</v>
      </c>
      <c r="D3012" s="37" t="s">
        <v>2351</v>
      </c>
      <c r="E3012" s="212">
        <v>23.23</v>
      </c>
    </row>
    <row r="3013" spans="1:5" ht="14.25">
      <c r="A3013" s="37">
        <v>38445</v>
      </c>
      <c r="B3013" s="37" t="s">
        <v>23782</v>
      </c>
      <c r="C3013" s="37" t="s">
        <v>2348</v>
      </c>
      <c r="D3013" s="37" t="s">
        <v>2351</v>
      </c>
      <c r="E3013" s="212">
        <v>54.56</v>
      </c>
    </row>
    <row r="3014" spans="1:5" ht="14.25">
      <c r="A3014" s="37">
        <v>38446</v>
      </c>
      <c r="B3014" s="37" t="s">
        <v>23783</v>
      </c>
      <c r="C3014" s="37" t="s">
        <v>2348</v>
      </c>
      <c r="D3014" s="37" t="s">
        <v>2351</v>
      </c>
      <c r="E3014" s="212">
        <v>88.06</v>
      </c>
    </row>
    <row r="3015" spans="1:5" ht="14.25">
      <c r="A3015" s="37">
        <v>3867</v>
      </c>
      <c r="B3015" s="37" t="s">
        <v>23784</v>
      </c>
      <c r="C3015" s="37" t="s">
        <v>2348</v>
      </c>
      <c r="D3015" s="37" t="s">
        <v>2349</v>
      </c>
      <c r="E3015" s="212">
        <v>124.99</v>
      </c>
    </row>
    <row r="3016" spans="1:5" ht="14.25">
      <c r="A3016" s="37">
        <v>3861</v>
      </c>
      <c r="B3016" s="37" t="s">
        <v>23785</v>
      </c>
      <c r="C3016" s="37" t="s">
        <v>2348</v>
      </c>
      <c r="D3016" s="37" t="s">
        <v>2349</v>
      </c>
      <c r="E3016" s="212">
        <v>1.04</v>
      </c>
    </row>
    <row r="3017" spans="1:5" ht="14.25">
      <c r="A3017" s="37">
        <v>3904</v>
      </c>
      <c r="B3017" s="37" t="s">
        <v>23786</v>
      </c>
      <c r="C3017" s="37" t="s">
        <v>2348</v>
      </c>
      <c r="D3017" s="37" t="s">
        <v>2349</v>
      </c>
      <c r="E3017" s="212">
        <v>1.27</v>
      </c>
    </row>
    <row r="3018" spans="1:5" ht="14.25">
      <c r="A3018" s="37">
        <v>3903</v>
      </c>
      <c r="B3018" s="37" t="s">
        <v>23787</v>
      </c>
      <c r="C3018" s="37" t="s">
        <v>2348</v>
      </c>
      <c r="D3018" s="37" t="s">
        <v>2349</v>
      </c>
      <c r="E3018" s="212">
        <v>3.11</v>
      </c>
    </row>
    <row r="3019" spans="1:5" ht="14.25">
      <c r="A3019" s="37">
        <v>3862</v>
      </c>
      <c r="B3019" s="37" t="s">
        <v>23788</v>
      </c>
      <c r="C3019" s="37" t="s">
        <v>2348</v>
      </c>
      <c r="D3019" s="37" t="s">
        <v>2349</v>
      </c>
      <c r="E3019" s="212">
        <v>6.33</v>
      </c>
    </row>
    <row r="3020" spans="1:5" ht="14.25">
      <c r="A3020" s="37">
        <v>3863</v>
      </c>
      <c r="B3020" s="37" t="s">
        <v>23789</v>
      </c>
      <c r="C3020" s="37" t="s">
        <v>2348</v>
      </c>
      <c r="D3020" s="37" t="s">
        <v>2349</v>
      </c>
      <c r="E3020" s="212">
        <v>7.43</v>
      </c>
    </row>
    <row r="3021" spans="1:5" ht="14.25">
      <c r="A3021" s="37">
        <v>3864</v>
      </c>
      <c r="B3021" s="37" t="s">
        <v>23790</v>
      </c>
      <c r="C3021" s="37" t="s">
        <v>2348</v>
      </c>
      <c r="D3021" s="37" t="s">
        <v>2349</v>
      </c>
      <c r="E3021" s="212">
        <v>19.350000000000001</v>
      </c>
    </row>
    <row r="3022" spans="1:5" ht="14.25">
      <c r="A3022" s="37">
        <v>3865</v>
      </c>
      <c r="B3022" s="37" t="s">
        <v>23791</v>
      </c>
      <c r="C3022" s="37" t="s">
        <v>2348</v>
      </c>
      <c r="D3022" s="37" t="s">
        <v>2349</v>
      </c>
      <c r="E3022" s="212">
        <v>33.67</v>
      </c>
    </row>
    <row r="3023" spans="1:5" ht="14.25">
      <c r="A3023" s="37">
        <v>3866</v>
      </c>
      <c r="B3023" s="37" t="s">
        <v>23792</v>
      </c>
      <c r="C3023" s="37" t="s">
        <v>2348</v>
      </c>
      <c r="D3023" s="37" t="s">
        <v>2349</v>
      </c>
      <c r="E3023" s="212">
        <v>77.05</v>
      </c>
    </row>
    <row r="3024" spans="1:5" ht="14.25">
      <c r="A3024" s="37">
        <v>3902</v>
      </c>
      <c r="B3024" s="37" t="s">
        <v>23793</v>
      </c>
      <c r="C3024" s="37" t="s">
        <v>2348</v>
      </c>
      <c r="D3024" s="37" t="s">
        <v>2349</v>
      </c>
      <c r="E3024" s="212">
        <v>37.47</v>
      </c>
    </row>
    <row r="3025" spans="1:5" ht="14.25">
      <c r="A3025" s="37">
        <v>3878</v>
      </c>
      <c r="B3025" s="37" t="s">
        <v>23794</v>
      </c>
      <c r="C3025" s="37" t="s">
        <v>2348</v>
      </c>
      <c r="D3025" s="37" t="s">
        <v>2349</v>
      </c>
      <c r="E3025" s="212">
        <v>11.84</v>
      </c>
    </row>
    <row r="3026" spans="1:5" ht="14.25">
      <c r="A3026" s="37">
        <v>3877</v>
      </c>
      <c r="B3026" s="37" t="s">
        <v>23795</v>
      </c>
      <c r="C3026" s="37" t="s">
        <v>2348</v>
      </c>
      <c r="D3026" s="37" t="s">
        <v>2349</v>
      </c>
      <c r="E3026" s="212">
        <v>10.82</v>
      </c>
    </row>
    <row r="3027" spans="1:5" ht="14.25">
      <c r="A3027" s="37">
        <v>3879</v>
      </c>
      <c r="B3027" s="37" t="s">
        <v>23796</v>
      </c>
      <c r="C3027" s="37" t="s">
        <v>2348</v>
      </c>
      <c r="D3027" s="37" t="s">
        <v>2349</v>
      </c>
      <c r="E3027" s="212">
        <v>23.88</v>
      </c>
    </row>
    <row r="3028" spans="1:5" ht="14.25">
      <c r="A3028" s="37">
        <v>3880</v>
      </c>
      <c r="B3028" s="37" t="s">
        <v>23797</v>
      </c>
      <c r="C3028" s="37" t="s">
        <v>2348</v>
      </c>
      <c r="D3028" s="37" t="s">
        <v>2349</v>
      </c>
      <c r="E3028" s="212">
        <v>53.88</v>
      </c>
    </row>
    <row r="3029" spans="1:5" ht="14.25">
      <c r="A3029" s="37">
        <v>12892</v>
      </c>
      <c r="B3029" s="37" t="s">
        <v>23798</v>
      </c>
      <c r="C3029" s="37" t="s">
        <v>2382</v>
      </c>
      <c r="D3029" s="37" t="s">
        <v>2349</v>
      </c>
      <c r="E3029" s="212">
        <v>13.41</v>
      </c>
    </row>
    <row r="3030" spans="1:5" ht="14.25">
      <c r="A3030" s="37">
        <v>3883</v>
      </c>
      <c r="B3030" s="37" t="s">
        <v>23799</v>
      </c>
      <c r="C3030" s="37" t="s">
        <v>2348</v>
      </c>
      <c r="D3030" s="37" t="s">
        <v>2349</v>
      </c>
      <c r="E3030" s="212">
        <v>2.4900000000000002</v>
      </c>
    </row>
    <row r="3031" spans="1:5" ht="14.25">
      <c r="A3031" s="37">
        <v>3876</v>
      </c>
      <c r="B3031" s="37" t="s">
        <v>23800</v>
      </c>
      <c r="C3031" s="37" t="s">
        <v>2348</v>
      </c>
      <c r="D3031" s="37" t="s">
        <v>2349</v>
      </c>
      <c r="E3031" s="212">
        <v>6.23</v>
      </c>
    </row>
    <row r="3032" spans="1:5" ht="14.25">
      <c r="A3032" s="37">
        <v>3884</v>
      </c>
      <c r="B3032" s="37" t="s">
        <v>23801</v>
      </c>
      <c r="C3032" s="37" t="s">
        <v>2348</v>
      </c>
      <c r="D3032" s="37" t="s">
        <v>2349</v>
      </c>
      <c r="E3032" s="212">
        <v>3.73</v>
      </c>
    </row>
    <row r="3033" spans="1:5" ht="14.25">
      <c r="A3033" s="37">
        <v>3837</v>
      </c>
      <c r="B3033" s="37" t="s">
        <v>23802</v>
      </c>
      <c r="C3033" s="37" t="s">
        <v>2348</v>
      </c>
      <c r="D3033" s="37" t="s">
        <v>2351</v>
      </c>
      <c r="E3033" s="212">
        <v>58.4</v>
      </c>
    </row>
    <row r="3034" spans="1:5" ht="14.25">
      <c r="A3034" s="37">
        <v>3845</v>
      </c>
      <c r="B3034" s="37" t="s">
        <v>23803</v>
      </c>
      <c r="C3034" s="37" t="s">
        <v>2348</v>
      </c>
      <c r="D3034" s="37" t="s">
        <v>2351</v>
      </c>
      <c r="E3034" s="212">
        <v>21.34</v>
      </c>
    </row>
    <row r="3035" spans="1:5" ht="14.25">
      <c r="A3035" s="37">
        <v>11045</v>
      </c>
      <c r="B3035" s="37" t="s">
        <v>23804</v>
      </c>
      <c r="C3035" s="37" t="s">
        <v>2348</v>
      </c>
      <c r="D3035" s="37" t="s">
        <v>2351</v>
      </c>
      <c r="E3035" s="212">
        <v>41.15</v>
      </c>
    </row>
    <row r="3036" spans="1:5" ht="14.25">
      <c r="A3036" s="37">
        <v>20170</v>
      </c>
      <c r="B3036" s="37" t="s">
        <v>23805</v>
      </c>
      <c r="C3036" s="37" t="s">
        <v>2348</v>
      </c>
      <c r="D3036" s="37" t="s">
        <v>2349</v>
      </c>
      <c r="E3036" s="212">
        <v>22.33</v>
      </c>
    </row>
    <row r="3037" spans="1:5" ht="14.25">
      <c r="A3037" s="37">
        <v>20171</v>
      </c>
      <c r="B3037" s="37" t="s">
        <v>23806</v>
      </c>
      <c r="C3037" s="37" t="s">
        <v>2348</v>
      </c>
      <c r="D3037" s="37" t="s">
        <v>2349</v>
      </c>
      <c r="E3037" s="212">
        <v>66.34</v>
      </c>
    </row>
    <row r="3038" spans="1:5" ht="14.25">
      <c r="A3038" s="37">
        <v>20167</v>
      </c>
      <c r="B3038" s="37" t="s">
        <v>23807</v>
      </c>
      <c r="C3038" s="37" t="s">
        <v>2348</v>
      </c>
      <c r="D3038" s="37" t="s">
        <v>2349</v>
      </c>
      <c r="E3038" s="212">
        <v>8.2899999999999991</v>
      </c>
    </row>
    <row r="3039" spans="1:5" ht="14.25">
      <c r="A3039" s="37">
        <v>20168</v>
      </c>
      <c r="B3039" s="37" t="s">
        <v>23808</v>
      </c>
      <c r="C3039" s="37" t="s">
        <v>2348</v>
      </c>
      <c r="D3039" s="37" t="s">
        <v>2349</v>
      </c>
      <c r="E3039" s="212">
        <v>13.01</v>
      </c>
    </row>
    <row r="3040" spans="1:5" ht="14.25">
      <c r="A3040" s="37">
        <v>20169</v>
      </c>
      <c r="B3040" s="37" t="s">
        <v>23809</v>
      </c>
      <c r="C3040" s="37" t="s">
        <v>2348</v>
      </c>
      <c r="D3040" s="37" t="s">
        <v>2349</v>
      </c>
      <c r="E3040" s="212">
        <v>18.420000000000002</v>
      </c>
    </row>
    <row r="3041" spans="1:5" ht="14.25">
      <c r="A3041" s="37">
        <v>3899</v>
      </c>
      <c r="B3041" s="37" t="s">
        <v>23810</v>
      </c>
      <c r="C3041" s="37" t="s">
        <v>2348</v>
      </c>
      <c r="D3041" s="37" t="s">
        <v>2349</v>
      </c>
      <c r="E3041" s="212">
        <v>9.75</v>
      </c>
    </row>
    <row r="3042" spans="1:5" ht="14.25">
      <c r="A3042" s="37">
        <v>38676</v>
      </c>
      <c r="B3042" s="37" t="s">
        <v>23811</v>
      </c>
      <c r="C3042" s="37" t="s">
        <v>2348</v>
      </c>
      <c r="D3042" s="37" t="s">
        <v>2349</v>
      </c>
      <c r="E3042" s="212">
        <v>47.2</v>
      </c>
    </row>
    <row r="3043" spans="1:5" ht="14.25">
      <c r="A3043" s="37">
        <v>3897</v>
      </c>
      <c r="B3043" s="37" t="s">
        <v>23812</v>
      </c>
      <c r="C3043" s="37" t="s">
        <v>2348</v>
      </c>
      <c r="D3043" s="37" t="s">
        <v>2349</v>
      </c>
      <c r="E3043" s="212">
        <v>2.0499999999999998</v>
      </c>
    </row>
    <row r="3044" spans="1:5" ht="14.25">
      <c r="A3044" s="37">
        <v>3875</v>
      </c>
      <c r="B3044" s="37" t="s">
        <v>23813</v>
      </c>
      <c r="C3044" s="37" t="s">
        <v>2348</v>
      </c>
      <c r="D3044" s="37" t="s">
        <v>2349</v>
      </c>
      <c r="E3044" s="212">
        <v>4.4400000000000004</v>
      </c>
    </row>
    <row r="3045" spans="1:5" ht="14.25">
      <c r="A3045" s="37">
        <v>3898</v>
      </c>
      <c r="B3045" s="37" t="s">
        <v>23814</v>
      </c>
      <c r="C3045" s="37" t="s">
        <v>2348</v>
      </c>
      <c r="D3045" s="37" t="s">
        <v>2349</v>
      </c>
      <c r="E3045" s="212">
        <v>8.41</v>
      </c>
    </row>
    <row r="3046" spans="1:5" ht="14.25">
      <c r="A3046" s="37">
        <v>3855</v>
      </c>
      <c r="B3046" s="37" t="s">
        <v>23815</v>
      </c>
      <c r="C3046" s="37" t="s">
        <v>2348</v>
      </c>
      <c r="D3046" s="37" t="s">
        <v>2349</v>
      </c>
      <c r="E3046" s="212">
        <v>8.27</v>
      </c>
    </row>
    <row r="3047" spans="1:5" ht="14.25">
      <c r="A3047" s="37">
        <v>3874</v>
      </c>
      <c r="B3047" s="37" t="s">
        <v>23816</v>
      </c>
      <c r="C3047" s="37" t="s">
        <v>2348</v>
      </c>
      <c r="D3047" s="37" t="s">
        <v>2349</v>
      </c>
      <c r="E3047" s="212">
        <v>8.7799999999999994</v>
      </c>
    </row>
    <row r="3048" spans="1:5" ht="14.25">
      <c r="A3048" s="37">
        <v>3870</v>
      </c>
      <c r="B3048" s="37" t="s">
        <v>23817</v>
      </c>
      <c r="C3048" s="37" t="s">
        <v>2348</v>
      </c>
      <c r="D3048" s="37" t="s">
        <v>2349</v>
      </c>
      <c r="E3048" s="212">
        <v>10.9</v>
      </c>
    </row>
    <row r="3049" spans="1:5" ht="14.25">
      <c r="A3049" s="37">
        <v>38678</v>
      </c>
      <c r="B3049" s="37" t="s">
        <v>23818</v>
      </c>
      <c r="C3049" s="37" t="s">
        <v>2348</v>
      </c>
      <c r="D3049" s="37" t="s">
        <v>2349</v>
      </c>
      <c r="E3049" s="212">
        <v>29.67</v>
      </c>
    </row>
    <row r="3050" spans="1:5" ht="14.25">
      <c r="A3050" s="37">
        <v>3859</v>
      </c>
      <c r="B3050" s="37" t="s">
        <v>23819</v>
      </c>
      <c r="C3050" s="37" t="s">
        <v>2348</v>
      </c>
      <c r="D3050" s="37" t="s">
        <v>2349</v>
      </c>
      <c r="E3050" s="212">
        <v>2.2000000000000002</v>
      </c>
    </row>
    <row r="3051" spans="1:5" ht="14.25">
      <c r="A3051" s="37">
        <v>3856</v>
      </c>
      <c r="B3051" s="37" t="s">
        <v>23820</v>
      </c>
      <c r="C3051" s="37" t="s">
        <v>2348</v>
      </c>
      <c r="D3051" s="37" t="s">
        <v>2349</v>
      </c>
      <c r="E3051" s="212">
        <v>2.79</v>
      </c>
    </row>
    <row r="3052" spans="1:5" ht="14.25">
      <c r="A3052" s="37">
        <v>3906</v>
      </c>
      <c r="B3052" s="37" t="s">
        <v>23821</v>
      </c>
      <c r="C3052" s="37" t="s">
        <v>2348</v>
      </c>
      <c r="D3052" s="37" t="s">
        <v>2349</v>
      </c>
      <c r="E3052" s="212">
        <v>2.63</v>
      </c>
    </row>
    <row r="3053" spans="1:5" ht="14.25">
      <c r="A3053" s="37">
        <v>3860</v>
      </c>
      <c r="B3053" s="37" t="s">
        <v>23822</v>
      </c>
      <c r="C3053" s="37" t="s">
        <v>2348</v>
      </c>
      <c r="D3053" s="37" t="s">
        <v>2349</v>
      </c>
      <c r="E3053" s="212">
        <v>8.6300000000000008</v>
      </c>
    </row>
    <row r="3054" spans="1:5" ht="14.25">
      <c r="A3054" s="37">
        <v>3905</v>
      </c>
      <c r="B3054" s="37" t="s">
        <v>23823</v>
      </c>
      <c r="C3054" s="37" t="s">
        <v>2348</v>
      </c>
      <c r="D3054" s="37" t="s">
        <v>2349</v>
      </c>
      <c r="E3054" s="212">
        <v>19.09</v>
      </c>
    </row>
    <row r="3055" spans="1:5" ht="14.25">
      <c r="A3055" s="37">
        <v>3871</v>
      </c>
      <c r="B3055" s="37" t="s">
        <v>23824</v>
      </c>
      <c r="C3055" s="37" t="s">
        <v>2348</v>
      </c>
      <c r="D3055" s="37" t="s">
        <v>2349</v>
      </c>
      <c r="E3055" s="212">
        <v>39.630000000000003</v>
      </c>
    </row>
    <row r="3056" spans="1:5" ht="14.25">
      <c r="A3056" s="37">
        <v>37429</v>
      </c>
      <c r="B3056" s="37" t="s">
        <v>23825</v>
      </c>
      <c r="C3056" s="37" t="s">
        <v>2348</v>
      </c>
      <c r="D3056" s="37" t="s">
        <v>2351</v>
      </c>
      <c r="E3056" s="213">
        <v>2819.77</v>
      </c>
    </row>
    <row r="3057" spans="1:5" ht="14.25">
      <c r="A3057" s="37">
        <v>37426</v>
      </c>
      <c r="B3057" s="37" t="s">
        <v>23826</v>
      </c>
      <c r="C3057" s="37" t="s">
        <v>2348</v>
      </c>
      <c r="D3057" s="37" t="s">
        <v>2351</v>
      </c>
      <c r="E3057" s="212">
        <v>27.12</v>
      </c>
    </row>
    <row r="3058" spans="1:5" ht="14.25">
      <c r="A3058" s="37">
        <v>37427</v>
      </c>
      <c r="B3058" s="37" t="s">
        <v>23827</v>
      </c>
      <c r="C3058" s="37" t="s">
        <v>2348</v>
      </c>
      <c r="D3058" s="37" t="s">
        <v>2351</v>
      </c>
      <c r="E3058" s="212">
        <v>64.7</v>
      </c>
    </row>
    <row r="3059" spans="1:5" ht="14.25">
      <c r="A3059" s="37">
        <v>37424</v>
      </c>
      <c r="B3059" s="37" t="s">
        <v>23828</v>
      </c>
      <c r="C3059" s="37" t="s">
        <v>2348</v>
      </c>
      <c r="D3059" s="37" t="s">
        <v>2351</v>
      </c>
      <c r="E3059" s="212">
        <v>12.46</v>
      </c>
    </row>
    <row r="3060" spans="1:5" ht="14.25">
      <c r="A3060" s="37">
        <v>37428</v>
      </c>
      <c r="B3060" s="37" t="s">
        <v>23829</v>
      </c>
      <c r="C3060" s="37" t="s">
        <v>2348</v>
      </c>
      <c r="D3060" s="37" t="s">
        <v>2351</v>
      </c>
      <c r="E3060" s="212">
        <v>222.98</v>
      </c>
    </row>
    <row r="3061" spans="1:5" ht="14.25">
      <c r="A3061" s="37">
        <v>37425</v>
      </c>
      <c r="B3061" s="37" t="s">
        <v>23830</v>
      </c>
      <c r="C3061" s="37" t="s">
        <v>2348</v>
      </c>
      <c r="D3061" s="37" t="s">
        <v>2351</v>
      </c>
      <c r="E3061" s="212">
        <v>13.43</v>
      </c>
    </row>
    <row r="3062" spans="1:5" ht="14.25">
      <c r="A3062" s="37">
        <v>11519</v>
      </c>
      <c r="B3062" s="37" t="s">
        <v>23831</v>
      </c>
      <c r="C3062" s="37" t="s">
        <v>2382</v>
      </c>
      <c r="D3062" s="37" t="s">
        <v>2349</v>
      </c>
      <c r="E3062" s="212">
        <v>40.19</v>
      </c>
    </row>
    <row r="3063" spans="1:5" ht="14.25">
      <c r="A3063" s="37">
        <v>11520</v>
      </c>
      <c r="B3063" s="37" t="s">
        <v>23832</v>
      </c>
      <c r="C3063" s="37" t="s">
        <v>2382</v>
      </c>
      <c r="D3063" s="37" t="s">
        <v>2349</v>
      </c>
      <c r="E3063" s="212">
        <v>18.579999999999998</v>
      </c>
    </row>
    <row r="3064" spans="1:5" ht="14.25">
      <c r="A3064" s="37">
        <v>11518</v>
      </c>
      <c r="B3064" s="37" t="s">
        <v>23833</v>
      </c>
      <c r="C3064" s="37" t="s">
        <v>2382</v>
      </c>
      <c r="D3064" s="37" t="s">
        <v>2349</v>
      </c>
      <c r="E3064" s="212">
        <v>67.56</v>
      </c>
    </row>
    <row r="3065" spans="1:5" ht="14.25">
      <c r="A3065" s="37">
        <v>38473</v>
      </c>
      <c r="B3065" s="37" t="s">
        <v>23834</v>
      </c>
      <c r="C3065" s="37" t="s">
        <v>2348</v>
      </c>
      <c r="D3065" s="37" t="s">
        <v>2349</v>
      </c>
      <c r="E3065" s="212">
        <v>114.5</v>
      </c>
    </row>
    <row r="3066" spans="1:5" ht="14.25">
      <c r="A3066" s="37">
        <v>4244</v>
      </c>
      <c r="B3066" s="37" t="s">
        <v>23835</v>
      </c>
      <c r="C3066" s="37" t="s">
        <v>2352</v>
      </c>
      <c r="D3066" s="37" t="s">
        <v>2349</v>
      </c>
      <c r="E3066" s="212">
        <v>20.07</v>
      </c>
    </row>
    <row r="3067" spans="1:5" ht="14.25">
      <c r="A3067" s="37">
        <v>40977</v>
      </c>
      <c r="B3067" s="37" t="s">
        <v>23836</v>
      </c>
      <c r="C3067" s="37" t="s">
        <v>2369</v>
      </c>
      <c r="D3067" s="37" t="s">
        <v>2349</v>
      </c>
      <c r="E3067" s="213">
        <v>3530.31</v>
      </c>
    </row>
    <row r="3068" spans="1:5" ht="14.25">
      <c r="A3068" s="37">
        <v>4115</v>
      </c>
      <c r="B3068" s="37" t="s">
        <v>23837</v>
      </c>
      <c r="C3068" s="37" t="s">
        <v>2355</v>
      </c>
      <c r="D3068" s="37" t="s">
        <v>2351</v>
      </c>
      <c r="E3068" s="212">
        <v>21.43</v>
      </c>
    </row>
    <row r="3069" spans="1:5" ht="14.25">
      <c r="A3069" s="37">
        <v>4119</v>
      </c>
      <c r="B3069" s="37" t="s">
        <v>23838</v>
      </c>
      <c r="C3069" s="37" t="s">
        <v>2355</v>
      </c>
      <c r="D3069" s="37" t="s">
        <v>2351</v>
      </c>
      <c r="E3069" s="212">
        <v>43.28</v>
      </c>
    </row>
    <row r="3070" spans="1:5" ht="14.25">
      <c r="A3070" s="37">
        <v>2794</v>
      </c>
      <c r="B3070" s="37" t="s">
        <v>23839</v>
      </c>
      <c r="C3070" s="37" t="s">
        <v>2355</v>
      </c>
      <c r="D3070" s="37" t="s">
        <v>2351</v>
      </c>
      <c r="E3070" s="212">
        <v>114.82</v>
      </c>
    </row>
    <row r="3071" spans="1:5" ht="14.25">
      <c r="A3071" s="37">
        <v>2788</v>
      </c>
      <c r="B3071" s="37" t="s">
        <v>23840</v>
      </c>
      <c r="C3071" s="37" t="s">
        <v>2355</v>
      </c>
      <c r="D3071" s="37" t="s">
        <v>2351</v>
      </c>
      <c r="E3071" s="212">
        <v>167.27</v>
      </c>
    </row>
    <row r="3072" spans="1:5" ht="14.25">
      <c r="A3072" s="37">
        <v>4006</v>
      </c>
      <c r="B3072" s="37" t="s">
        <v>23841</v>
      </c>
      <c r="C3072" s="37" t="s">
        <v>28760</v>
      </c>
      <c r="D3072" s="37" t="s">
        <v>2349</v>
      </c>
      <c r="E3072" s="213">
        <v>1719.85</v>
      </c>
    </row>
    <row r="3073" spans="1:5" ht="14.25">
      <c r="A3073" s="37">
        <v>36151</v>
      </c>
      <c r="B3073" s="37" t="s">
        <v>23842</v>
      </c>
      <c r="C3073" s="37" t="s">
        <v>2348</v>
      </c>
      <c r="D3073" s="37" t="s">
        <v>2349</v>
      </c>
      <c r="E3073" s="212">
        <v>29.8</v>
      </c>
    </row>
    <row r="3074" spans="1:5" ht="14.25">
      <c r="A3074" s="37">
        <v>37457</v>
      </c>
      <c r="B3074" s="37" t="s">
        <v>23843</v>
      </c>
      <c r="C3074" s="37" t="s">
        <v>2355</v>
      </c>
      <c r="D3074" s="37" t="s">
        <v>2349</v>
      </c>
      <c r="E3074" s="212">
        <v>4</v>
      </c>
    </row>
    <row r="3075" spans="1:5" ht="14.25">
      <c r="A3075" s="37">
        <v>37456</v>
      </c>
      <c r="B3075" s="37" t="s">
        <v>23844</v>
      </c>
      <c r="C3075" s="37" t="s">
        <v>2355</v>
      </c>
      <c r="D3075" s="37" t="s">
        <v>2349</v>
      </c>
      <c r="E3075" s="212">
        <v>2.11</v>
      </c>
    </row>
    <row r="3076" spans="1:5" ht="14.25">
      <c r="A3076" s="37">
        <v>37461</v>
      </c>
      <c r="B3076" s="37" t="s">
        <v>23845</v>
      </c>
      <c r="C3076" s="37" t="s">
        <v>2355</v>
      </c>
      <c r="D3076" s="37" t="s">
        <v>2349</v>
      </c>
      <c r="E3076" s="212">
        <v>14.86</v>
      </c>
    </row>
    <row r="3077" spans="1:5" ht="14.25">
      <c r="A3077" s="37">
        <v>37460</v>
      </c>
      <c r="B3077" s="37" t="s">
        <v>23846</v>
      </c>
      <c r="C3077" s="37" t="s">
        <v>2355</v>
      </c>
      <c r="D3077" s="37" t="s">
        <v>2349</v>
      </c>
      <c r="E3077" s="212">
        <v>20.3</v>
      </c>
    </row>
    <row r="3078" spans="1:5" ht="14.25">
      <c r="A3078" s="37">
        <v>37458</v>
      </c>
      <c r="B3078" s="37" t="s">
        <v>23847</v>
      </c>
      <c r="C3078" s="37" t="s">
        <v>2355</v>
      </c>
      <c r="D3078" s="37" t="s">
        <v>2353</v>
      </c>
      <c r="E3078" s="212">
        <v>5.95</v>
      </c>
    </row>
    <row r="3079" spans="1:5" ht="14.25">
      <c r="A3079" s="37">
        <v>37454</v>
      </c>
      <c r="B3079" s="37" t="s">
        <v>23848</v>
      </c>
      <c r="C3079" s="37" t="s">
        <v>2355</v>
      </c>
      <c r="D3079" s="37" t="s">
        <v>2349</v>
      </c>
      <c r="E3079" s="212">
        <v>1.56</v>
      </c>
    </row>
    <row r="3080" spans="1:5" ht="14.25">
      <c r="A3080" s="37">
        <v>37455</v>
      </c>
      <c r="B3080" s="37" t="s">
        <v>23849</v>
      </c>
      <c r="C3080" s="37" t="s">
        <v>2355</v>
      </c>
      <c r="D3080" s="37" t="s">
        <v>2349</v>
      </c>
      <c r="E3080" s="212">
        <v>2.62</v>
      </c>
    </row>
    <row r="3081" spans="1:5" ht="14.25">
      <c r="A3081" s="37">
        <v>37459</v>
      </c>
      <c r="B3081" s="37" t="s">
        <v>23850</v>
      </c>
      <c r="C3081" s="37" t="s">
        <v>2355</v>
      </c>
      <c r="D3081" s="37" t="s">
        <v>2349</v>
      </c>
      <c r="E3081" s="212">
        <v>8.35</v>
      </c>
    </row>
    <row r="3082" spans="1:5" ht="14.25">
      <c r="A3082" s="37">
        <v>21029</v>
      </c>
      <c r="B3082" s="37" t="s">
        <v>23851</v>
      </c>
      <c r="C3082" s="37" t="s">
        <v>2348</v>
      </c>
      <c r="D3082" s="37" t="s">
        <v>2353</v>
      </c>
      <c r="E3082" s="212">
        <v>328.49</v>
      </c>
    </row>
    <row r="3083" spans="1:5" ht="14.25">
      <c r="A3083" s="37">
        <v>21030</v>
      </c>
      <c r="B3083" s="37" t="s">
        <v>23852</v>
      </c>
      <c r="C3083" s="37" t="s">
        <v>2348</v>
      </c>
      <c r="D3083" s="37" t="s">
        <v>2349</v>
      </c>
      <c r="E3083" s="212">
        <v>404.92</v>
      </c>
    </row>
    <row r="3084" spans="1:5" ht="14.25">
      <c r="A3084" s="37">
        <v>21031</v>
      </c>
      <c r="B3084" s="37" t="s">
        <v>23853</v>
      </c>
      <c r="C3084" s="37" t="s">
        <v>2348</v>
      </c>
      <c r="D3084" s="37" t="s">
        <v>2349</v>
      </c>
      <c r="E3084" s="212">
        <v>504.11</v>
      </c>
    </row>
    <row r="3085" spans="1:5" ht="14.25">
      <c r="A3085" s="37">
        <v>21032</v>
      </c>
      <c r="B3085" s="37" t="s">
        <v>23854</v>
      </c>
      <c r="C3085" s="37" t="s">
        <v>2348</v>
      </c>
      <c r="D3085" s="37" t="s">
        <v>2349</v>
      </c>
      <c r="E3085" s="212">
        <v>538.26</v>
      </c>
    </row>
    <row r="3086" spans="1:5" ht="14.25">
      <c r="A3086" s="37">
        <v>37527</v>
      </c>
      <c r="B3086" s="37" t="s">
        <v>23855</v>
      </c>
      <c r="C3086" s="37" t="s">
        <v>2348</v>
      </c>
      <c r="D3086" s="37" t="s">
        <v>2349</v>
      </c>
      <c r="E3086" s="212">
        <v>486.23</v>
      </c>
    </row>
    <row r="3087" spans="1:5" ht="14.25">
      <c r="A3087" s="37">
        <v>37528</v>
      </c>
      <c r="B3087" s="37" t="s">
        <v>23856</v>
      </c>
      <c r="C3087" s="37" t="s">
        <v>2348</v>
      </c>
      <c r="D3087" s="37" t="s">
        <v>2349</v>
      </c>
      <c r="E3087" s="212">
        <v>579.73</v>
      </c>
    </row>
    <row r="3088" spans="1:5" ht="14.25">
      <c r="A3088" s="37">
        <v>37529</v>
      </c>
      <c r="B3088" s="37" t="s">
        <v>23857</v>
      </c>
      <c r="C3088" s="37" t="s">
        <v>2348</v>
      </c>
      <c r="D3088" s="37" t="s">
        <v>2349</v>
      </c>
      <c r="E3088" s="212">
        <v>585.41999999999996</v>
      </c>
    </row>
    <row r="3089" spans="1:5" ht="14.25">
      <c r="A3089" s="37">
        <v>37530</v>
      </c>
      <c r="B3089" s="37" t="s">
        <v>23858</v>
      </c>
      <c r="C3089" s="37" t="s">
        <v>2348</v>
      </c>
      <c r="D3089" s="37" t="s">
        <v>2349</v>
      </c>
      <c r="E3089" s="212">
        <v>764.3</v>
      </c>
    </row>
    <row r="3090" spans="1:5" ht="14.25">
      <c r="A3090" s="37">
        <v>21034</v>
      </c>
      <c r="B3090" s="37" t="s">
        <v>23859</v>
      </c>
      <c r="C3090" s="37" t="s">
        <v>2348</v>
      </c>
      <c r="D3090" s="37" t="s">
        <v>2349</v>
      </c>
      <c r="E3090" s="212">
        <v>652.1</v>
      </c>
    </row>
    <row r="3091" spans="1:5" ht="14.25">
      <c r="A3091" s="37">
        <v>37531</v>
      </c>
      <c r="B3091" s="37" t="s">
        <v>23860</v>
      </c>
      <c r="C3091" s="37" t="s">
        <v>2348</v>
      </c>
      <c r="D3091" s="37" t="s">
        <v>2349</v>
      </c>
      <c r="E3091" s="212">
        <v>821.22</v>
      </c>
    </row>
    <row r="3092" spans="1:5" ht="14.25">
      <c r="A3092" s="37">
        <v>21036</v>
      </c>
      <c r="B3092" s="37" t="s">
        <v>23861</v>
      </c>
      <c r="C3092" s="37" t="s">
        <v>2348</v>
      </c>
      <c r="D3092" s="37" t="s">
        <v>2349</v>
      </c>
      <c r="E3092" s="212">
        <v>998.47</v>
      </c>
    </row>
    <row r="3093" spans="1:5" ht="14.25">
      <c r="A3093" s="37">
        <v>21037</v>
      </c>
      <c r="B3093" s="37" t="s">
        <v>23862</v>
      </c>
      <c r="C3093" s="37" t="s">
        <v>2348</v>
      </c>
      <c r="D3093" s="37" t="s">
        <v>2349</v>
      </c>
      <c r="E3093" s="213">
        <v>1138.33</v>
      </c>
    </row>
    <row r="3094" spans="1:5" ht="14.25">
      <c r="A3094" s="37">
        <v>20185</v>
      </c>
      <c r="B3094" s="37" t="s">
        <v>23863</v>
      </c>
      <c r="C3094" s="37" t="s">
        <v>2355</v>
      </c>
      <c r="D3094" s="37" t="s">
        <v>2349</v>
      </c>
      <c r="E3094" s="212">
        <v>24.17</v>
      </c>
    </row>
    <row r="3095" spans="1:5" ht="14.25">
      <c r="A3095" s="37">
        <v>20260</v>
      </c>
      <c r="B3095" s="37" t="s">
        <v>23864</v>
      </c>
      <c r="C3095" s="37" t="s">
        <v>2348</v>
      </c>
      <c r="D3095" s="37" t="s">
        <v>2349</v>
      </c>
      <c r="E3095" s="212">
        <v>19.43</v>
      </c>
    </row>
    <row r="3096" spans="1:5" ht="14.25">
      <c r="A3096" s="37">
        <v>37523</v>
      </c>
      <c r="B3096" s="37" t="s">
        <v>23865</v>
      </c>
      <c r="C3096" s="37" t="s">
        <v>2348</v>
      </c>
      <c r="D3096" s="37" t="s">
        <v>2351</v>
      </c>
      <c r="E3096" s="213">
        <v>519087.13</v>
      </c>
    </row>
    <row r="3097" spans="1:5" ht="14.25">
      <c r="A3097" s="37">
        <v>37515</v>
      </c>
      <c r="B3097" s="37" t="s">
        <v>23866</v>
      </c>
      <c r="C3097" s="37" t="s">
        <v>2348</v>
      </c>
      <c r="D3097" s="37" t="s">
        <v>2351</v>
      </c>
      <c r="E3097" s="213">
        <v>461495</v>
      </c>
    </row>
    <row r="3098" spans="1:5" ht="14.25">
      <c r="A3098" s="37">
        <v>12899</v>
      </c>
      <c r="B3098" s="37" t="s">
        <v>23867</v>
      </c>
      <c r="C3098" s="37" t="s">
        <v>2348</v>
      </c>
      <c r="D3098" s="37" t="s">
        <v>2351</v>
      </c>
      <c r="E3098" s="212">
        <v>90.49</v>
      </c>
    </row>
    <row r="3099" spans="1:5" ht="14.25">
      <c r="A3099" s="37">
        <v>12898</v>
      </c>
      <c r="B3099" s="37" t="s">
        <v>23868</v>
      </c>
      <c r="C3099" s="37" t="s">
        <v>2348</v>
      </c>
      <c r="D3099" s="37" t="s">
        <v>2351</v>
      </c>
      <c r="E3099" s="212">
        <v>143.55000000000001</v>
      </c>
    </row>
    <row r="3100" spans="1:5" ht="14.25">
      <c r="A3100" s="37">
        <v>42528</v>
      </c>
      <c r="B3100" s="37" t="s">
        <v>23869</v>
      </c>
      <c r="C3100" s="37" t="s">
        <v>28761</v>
      </c>
      <c r="D3100" s="37" t="s">
        <v>2349</v>
      </c>
      <c r="E3100" s="212">
        <v>7.39</v>
      </c>
    </row>
    <row r="3101" spans="1:5" ht="14.25">
      <c r="A3101" s="37">
        <v>39696</v>
      </c>
      <c r="B3101" s="37" t="s">
        <v>23870</v>
      </c>
      <c r="C3101" s="37" t="s">
        <v>28761</v>
      </c>
      <c r="D3101" s="37" t="s">
        <v>2353</v>
      </c>
      <c r="E3101" s="212">
        <v>5.2</v>
      </c>
    </row>
    <row r="3102" spans="1:5" ht="14.25">
      <c r="A3102" s="37">
        <v>39700</v>
      </c>
      <c r="B3102" s="37" t="s">
        <v>23871</v>
      </c>
      <c r="C3102" s="37" t="s">
        <v>28761</v>
      </c>
      <c r="D3102" s="37" t="s">
        <v>2349</v>
      </c>
      <c r="E3102" s="212">
        <v>30.42</v>
      </c>
    </row>
    <row r="3103" spans="1:5" ht="14.25">
      <c r="A3103" s="37">
        <v>11621</v>
      </c>
      <c r="B3103" s="37" t="s">
        <v>23872</v>
      </c>
      <c r="C3103" s="37" t="s">
        <v>28761</v>
      </c>
      <c r="D3103" s="37" t="s">
        <v>2349</v>
      </c>
      <c r="E3103" s="212">
        <v>60.53</v>
      </c>
    </row>
    <row r="3104" spans="1:5" ht="14.25">
      <c r="A3104" s="37">
        <v>4014</v>
      </c>
      <c r="B3104" s="37" t="s">
        <v>23873</v>
      </c>
      <c r="C3104" s="37" t="s">
        <v>28761</v>
      </c>
      <c r="D3104" s="37" t="s">
        <v>2349</v>
      </c>
      <c r="E3104" s="212">
        <v>62.63</v>
      </c>
    </row>
    <row r="3105" spans="1:5" ht="14.25">
      <c r="A3105" s="37">
        <v>4015</v>
      </c>
      <c r="B3105" s="37" t="s">
        <v>23874</v>
      </c>
      <c r="C3105" s="37" t="s">
        <v>28761</v>
      </c>
      <c r="D3105" s="37" t="s">
        <v>2349</v>
      </c>
      <c r="E3105" s="212">
        <v>76.91</v>
      </c>
    </row>
    <row r="3106" spans="1:5" ht="14.25">
      <c r="A3106" s="37">
        <v>4017</v>
      </c>
      <c r="B3106" s="37" t="s">
        <v>23875</v>
      </c>
      <c r="C3106" s="37" t="s">
        <v>28761</v>
      </c>
      <c r="D3106" s="37" t="s">
        <v>2349</v>
      </c>
      <c r="E3106" s="212">
        <v>111.91</v>
      </c>
    </row>
    <row r="3107" spans="1:5" ht="14.25">
      <c r="A3107" s="37">
        <v>4016</v>
      </c>
      <c r="B3107" s="37" t="s">
        <v>23876</v>
      </c>
      <c r="C3107" s="37" t="s">
        <v>28761</v>
      </c>
      <c r="D3107" s="37" t="s">
        <v>2353</v>
      </c>
      <c r="E3107" s="212">
        <v>44.2</v>
      </c>
    </row>
    <row r="3108" spans="1:5" ht="14.25">
      <c r="A3108" s="37">
        <v>39699</v>
      </c>
      <c r="B3108" s="37" t="s">
        <v>23877</v>
      </c>
      <c r="C3108" s="37" t="s">
        <v>28761</v>
      </c>
      <c r="D3108" s="37" t="s">
        <v>2349</v>
      </c>
      <c r="E3108" s="212">
        <v>15.05</v>
      </c>
    </row>
    <row r="3109" spans="1:5" ht="14.25">
      <c r="A3109" s="37">
        <v>38544</v>
      </c>
      <c r="B3109" s="37" t="s">
        <v>23878</v>
      </c>
      <c r="C3109" s="37" t="s">
        <v>28761</v>
      </c>
      <c r="D3109" s="37" t="s">
        <v>2349</v>
      </c>
      <c r="E3109" s="212">
        <v>11.34</v>
      </c>
    </row>
    <row r="3110" spans="1:5" ht="14.25">
      <c r="A3110" s="37">
        <v>38545</v>
      </c>
      <c r="B3110" s="37" t="s">
        <v>23879</v>
      </c>
      <c r="C3110" s="37" t="s">
        <v>28761</v>
      </c>
      <c r="D3110" s="37" t="s">
        <v>2349</v>
      </c>
      <c r="E3110" s="212">
        <v>7.29</v>
      </c>
    </row>
    <row r="3111" spans="1:5" ht="14.25">
      <c r="A3111" s="37">
        <v>42527</v>
      </c>
      <c r="B3111" s="37" t="s">
        <v>23880</v>
      </c>
      <c r="C3111" s="37" t="s">
        <v>28761</v>
      </c>
      <c r="D3111" s="37" t="s">
        <v>2349</v>
      </c>
      <c r="E3111" s="212">
        <v>19.54</v>
      </c>
    </row>
    <row r="3112" spans="1:5" ht="14.25">
      <c r="A3112" s="37">
        <v>39323</v>
      </c>
      <c r="B3112" s="37" t="s">
        <v>23881</v>
      </c>
      <c r="C3112" s="37" t="s">
        <v>28761</v>
      </c>
      <c r="D3112" s="37" t="s">
        <v>2349</v>
      </c>
      <c r="E3112" s="212">
        <v>27.8</v>
      </c>
    </row>
    <row r="3113" spans="1:5" ht="14.25">
      <c r="A3113" s="37">
        <v>626</v>
      </c>
      <c r="B3113" s="37" t="s">
        <v>23882</v>
      </c>
      <c r="C3113" s="37" t="s">
        <v>2356</v>
      </c>
      <c r="D3113" s="37" t="s">
        <v>2353</v>
      </c>
      <c r="E3113" s="212">
        <v>16.04</v>
      </c>
    </row>
    <row r="3114" spans="1:5" ht="14.25">
      <c r="A3114" s="37">
        <v>44504</v>
      </c>
      <c r="B3114" s="37" t="s">
        <v>28011</v>
      </c>
      <c r="C3114" s="37" t="s">
        <v>28761</v>
      </c>
      <c r="D3114" s="37" t="s">
        <v>2351</v>
      </c>
      <c r="E3114" s="212">
        <v>14.23</v>
      </c>
    </row>
    <row r="3115" spans="1:5" ht="14.25">
      <c r="A3115" s="37">
        <v>44505</v>
      </c>
      <c r="B3115" s="37" t="s">
        <v>28012</v>
      </c>
      <c r="C3115" s="37" t="s">
        <v>28761</v>
      </c>
      <c r="D3115" s="37" t="s">
        <v>2351</v>
      </c>
      <c r="E3115" s="212">
        <v>21.47</v>
      </c>
    </row>
    <row r="3116" spans="1:5" ht="14.25">
      <c r="A3116" s="37">
        <v>44506</v>
      </c>
      <c r="B3116" s="37" t="s">
        <v>28013</v>
      </c>
      <c r="C3116" s="37" t="s">
        <v>28761</v>
      </c>
      <c r="D3116" s="37" t="s">
        <v>2351</v>
      </c>
      <c r="E3116" s="212">
        <v>22.79</v>
      </c>
    </row>
    <row r="3117" spans="1:5" ht="14.25">
      <c r="A3117" s="37">
        <v>44507</v>
      </c>
      <c r="B3117" s="37" t="s">
        <v>28014</v>
      </c>
      <c r="C3117" s="37" t="s">
        <v>28761</v>
      </c>
      <c r="D3117" s="37" t="s">
        <v>2351</v>
      </c>
      <c r="E3117" s="212">
        <v>28.49</v>
      </c>
    </row>
    <row r="3118" spans="1:5" ht="14.25">
      <c r="A3118" s="37">
        <v>44508</v>
      </c>
      <c r="B3118" s="37" t="s">
        <v>28015</v>
      </c>
      <c r="C3118" s="37" t="s">
        <v>28761</v>
      </c>
      <c r="D3118" s="37" t="s">
        <v>2351</v>
      </c>
      <c r="E3118" s="212">
        <v>42.73</v>
      </c>
    </row>
    <row r="3119" spans="1:5" ht="14.25">
      <c r="A3119" s="37">
        <v>44509</v>
      </c>
      <c r="B3119" s="37" t="s">
        <v>28016</v>
      </c>
      <c r="C3119" s="37" t="s">
        <v>28761</v>
      </c>
      <c r="D3119" s="37" t="s">
        <v>2351</v>
      </c>
      <c r="E3119" s="212">
        <v>57.23</v>
      </c>
    </row>
    <row r="3120" spans="1:5" ht="14.25">
      <c r="A3120" s="37">
        <v>44510</v>
      </c>
      <c r="B3120" s="37" t="s">
        <v>28017</v>
      </c>
      <c r="C3120" s="37" t="s">
        <v>28761</v>
      </c>
      <c r="D3120" s="37" t="s">
        <v>2351</v>
      </c>
      <c r="E3120" s="212">
        <v>71.069999999999993</v>
      </c>
    </row>
    <row r="3121" spans="1:5" ht="14.25">
      <c r="A3121" s="37">
        <v>44512</v>
      </c>
      <c r="B3121" s="37" t="s">
        <v>28018</v>
      </c>
      <c r="C3121" s="37" t="s">
        <v>28761</v>
      </c>
      <c r="D3121" s="37" t="s">
        <v>2351</v>
      </c>
      <c r="E3121" s="212">
        <v>15.86</v>
      </c>
    </row>
    <row r="3122" spans="1:5" ht="14.25">
      <c r="A3122" s="37">
        <v>44513</v>
      </c>
      <c r="B3122" s="37" t="s">
        <v>28019</v>
      </c>
      <c r="C3122" s="37" t="s">
        <v>28761</v>
      </c>
      <c r="D3122" s="37" t="s">
        <v>2351</v>
      </c>
      <c r="E3122" s="212">
        <v>22.39</v>
      </c>
    </row>
    <row r="3123" spans="1:5" ht="14.25">
      <c r="A3123" s="37">
        <v>44514</v>
      </c>
      <c r="B3123" s="37" t="s">
        <v>28020</v>
      </c>
      <c r="C3123" s="37" t="s">
        <v>28761</v>
      </c>
      <c r="D3123" s="37" t="s">
        <v>2351</v>
      </c>
      <c r="E3123" s="212">
        <v>25.38</v>
      </c>
    </row>
    <row r="3124" spans="1:5" ht="14.25">
      <c r="A3124" s="37">
        <v>44515</v>
      </c>
      <c r="B3124" s="37" t="s">
        <v>28021</v>
      </c>
      <c r="C3124" s="37" t="s">
        <v>28761</v>
      </c>
      <c r="D3124" s="37" t="s">
        <v>2351</v>
      </c>
      <c r="E3124" s="212">
        <v>31.17</v>
      </c>
    </row>
    <row r="3125" spans="1:5" ht="14.25">
      <c r="A3125" s="37">
        <v>44511</v>
      </c>
      <c r="B3125" s="37" t="s">
        <v>28022</v>
      </c>
      <c r="C3125" s="37" t="s">
        <v>28761</v>
      </c>
      <c r="D3125" s="37" t="s">
        <v>2351</v>
      </c>
      <c r="E3125" s="212">
        <v>46.14</v>
      </c>
    </row>
    <row r="3126" spans="1:5" ht="14.25">
      <c r="A3126" s="37">
        <v>44516</v>
      </c>
      <c r="B3126" s="37" t="s">
        <v>28023</v>
      </c>
      <c r="C3126" s="37" t="s">
        <v>28761</v>
      </c>
      <c r="D3126" s="37" t="s">
        <v>2351</v>
      </c>
      <c r="E3126" s="212">
        <v>62.35</v>
      </c>
    </row>
    <row r="3127" spans="1:5" ht="14.25">
      <c r="A3127" s="37">
        <v>44517</v>
      </c>
      <c r="B3127" s="37" t="s">
        <v>28024</v>
      </c>
      <c r="C3127" s="37" t="s">
        <v>28761</v>
      </c>
      <c r="D3127" s="37" t="s">
        <v>2351</v>
      </c>
      <c r="E3127" s="212">
        <v>77.77</v>
      </c>
    </row>
    <row r="3128" spans="1:5" ht="14.25">
      <c r="A3128" s="37">
        <v>11479</v>
      </c>
      <c r="B3128" s="37" t="s">
        <v>23883</v>
      </c>
      <c r="C3128" s="37" t="s">
        <v>2348</v>
      </c>
      <c r="D3128" s="37" t="s">
        <v>2349</v>
      </c>
      <c r="E3128" s="212">
        <v>28.22</v>
      </c>
    </row>
    <row r="3129" spans="1:5" ht="14.25">
      <c r="A3129" s="37">
        <v>11481</v>
      </c>
      <c r="B3129" s="37" t="s">
        <v>23884</v>
      </c>
      <c r="C3129" s="37" t="s">
        <v>2348</v>
      </c>
      <c r="D3129" s="37" t="s">
        <v>2349</v>
      </c>
      <c r="E3129" s="212">
        <v>25.52</v>
      </c>
    </row>
    <row r="3130" spans="1:5" ht="14.25">
      <c r="A3130" s="37">
        <v>43609</v>
      </c>
      <c r="B3130" s="37" t="s">
        <v>23885</v>
      </c>
      <c r="C3130" s="37" t="s">
        <v>2348</v>
      </c>
      <c r="D3130" s="37" t="s">
        <v>2349</v>
      </c>
      <c r="E3130" s="212">
        <v>25.52</v>
      </c>
    </row>
    <row r="3131" spans="1:5" ht="14.25">
      <c r="A3131" s="37">
        <v>11478</v>
      </c>
      <c r="B3131" s="37" t="s">
        <v>23886</v>
      </c>
      <c r="C3131" s="37" t="s">
        <v>2348</v>
      </c>
      <c r="D3131" s="37" t="s">
        <v>2349</v>
      </c>
      <c r="E3131" s="212">
        <v>48.41</v>
      </c>
    </row>
    <row r="3132" spans="1:5" ht="14.25">
      <c r="A3132" s="37">
        <v>43608</v>
      </c>
      <c r="B3132" s="37" t="s">
        <v>23887</v>
      </c>
      <c r="C3132" s="37" t="s">
        <v>2348</v>
      </c>
      <c r="D3132" s="37" t="s">
        <v>2349</v>
      </c>
      <c r="E3132" s="212">
        <v>36.94</v>
      </c>
    </row>
    <row r="3133" spans="1:5" ht="14.25">
      <c r="A3133" s="37">
        <v>11476</v>
      </c>
      <c r="B3133" s="37" t="s">
        <v>23888</v>
      </c>
      <c r="C3133" s="37" t="s">
        <v>2348</v>
      </c>
      <c r="D3133" s="37" t="s">
        <v>2349</v>
      </c>
      <c r="E3133" s="212">
        <v>36.94</v>
      </c>
    </row>
    <row r="3134" spans="1:5" ht="14.25">
      <c r="A3134" s="37">
        <v>40637</v>
      </c>
      <c r="B3134" s="37" t="s">
        <v>23889</v>
      </c>
      <c r="C3134" s="37" t="s">
        <v>2348</v>
      </c>
      <c r="D3134" s="37" t="s">
        <v>2351</v>
      </c>
      <c r="E3134" s="213">
        <v>743846.85</v>
      </c>
    </row>
    <row r="3135" spans="1:5" ht="14.25">
      <c r="A3135" s="37">
        <v>13836</v>
      </c>
      <c r="B3135" s="37" t="s">
        <v>23890</v>
      </c>
      <c r="C3135" s="37" t="s">
        <v>2348</v>
      </c>
      <c r="D3135" s="37" t="s">
        <v>2351</v>
      </c>
      <c r="E3135" s="213">
        <v>70491.09</v>
      </c>
    </row>
    <row r="3136" spans="1:5" ht="14.25">
      <c r="A3136" s="37">
        <v>14534</v>
      </c>
      <c r="B3136" s="37" t="s">
        <v>23891</v>
      </c>
      <c r="C3136" s="37" t="s">
        <v>2348</v>
      </c>
      <c r="D3136" s="37" t="s">
        <v>2351</v>
      </c>
      <c r="E3136" s="213">
        <v>29509.43</v>
      </c>
    </row>
    <row r="3137" spans="1:5" ht="14.25">
      <c r="A3137" s="37">
        <v>14619</v>
      </c>
      <c r="B3137" s="37" t="s">
        <v>23892</v>
      </c>
      <c r="C3137" s="37" t="s">
        <v>2348</v>
      </c>
      <c r="D3137" s="37" t="s">
        <v>2349</v>
      </c>
      <c r="E3137" s="213">
        <v>21215.17</v>
      </c>
    </row>
    <row r="3138" spans="1:5" ht="14.25">
      <c r="A3138" s="37">
        <v>14535</v>
      </c>
      <c r="B3138" s="37" t="s">
        <v>23893</v>
      </c>
      <c r="C3138" s="37" t="s">
        <v>2348</v>
      </c>
      <c r="D3138" s="37" t="s">
        <v>2351</v>
      </c>
      <c r="E3138" s="213">
        <v>292883.95</v>
      </c>
    </row>
    <row r="3139" spans="1:5" ht="14.25">
      <c r="A3139" s="37">
        <v>39813</v>
      </c>
      <c r="B3139" s="37" t="s">
        <v>23894</v>
      </c>
      <c r="C3139" s="37" t="s">
        <v>2348</v>
      </c>
      <c r="D3139" s="37" t="s">
        <v>2351</v>
      </c>
      <c r="E3139" s="213">
        <v>28690.13</v>
      </c>
    </row>
    <row r="3140" spans="1:5" ht="14.25">
      <c r="A3140" s="37">
        <v>40403</v>
      </c>
      <c r="B3140" s="37" t="s">
        <v>23895</v>
      </c>
      <c r="C3140" s="37" t="s">
        <v>2348</v>
      </c>
      <c r="D3140" s="37" t="s">
        <v>2349</v>
      </c>
      <c r="E3140" s="212">
        <v>725.58</v>
      </c>
    </row>
    <row r="3141" spans="1:5" ht="14.25">
      <c r="A3141" s="37">
        <v>12868</v>
      </c>
      <c r="B3141" s="37" t="s">
        <v>23896</v>
      </c>
      <c r="C3141" s="37" t="s">
        <v>2352</v>
      </c>
      <c r="D3141" s="37" t="s">
        <v>2349</v>
      </c>
      <c r="E3141" s="212">
        <v>19.28</v>
      </c>
    </row>
    <row r="3142" spans="1:5" ht="14.25">
      <c r="A3142" s="37">
        <v>40916</v>
      </c>
      <c r="B3142" s="37" t="s">
        <v>23897</v>
      </c>
      <c r="C3142" s="37" t="s">
        <v>2369</v>
      </c>
      <c r="D3142" s="37" t="s">
        <v>2349</v>
      </c>
      <c r="E3142" s="213">
        <v>3391.38</v>
      </c>
    </row>
    <row r="3143" spans="1:5" ht="14.25">
      <c r="A3143" s="37">
        <v>4755</v>
      </c>
      <c r="B3143" s="37" t="s">
        <v>23898</v>
      </c>
      <c r="C3143" s="37" t="s">
        <v>2352</v>
      </c>
      <c r="D3143" s="37" t="s">
        <v>2349</v>
      </c>
      <c r="E3143" s="212">
        <v>19.600000000000001</v>
      </c>
    </row>
    <row r="3144" spans="1:5" ht="14.25">
      <c r="A3144" s="37">
        <v>41067</v>
      </c>
      <c r="B3144" s="37" t="s">
        <v>23899</v>
      </c>
      <c r="C3144" s="37" t="s">
        <v>2369</v>
      </c>
      <c r="D3144" s="37" t="s">
        <v>2349</v>
      </c>
      <c r="E3144" s="213">
        <v>3450.61</v>
      </c>
    </row>
    <row r="3145" spans="1:5" ht="14.25">
      <c r="A3145" s="37">
        <v>38463</v>
      </c>
      <c r="B3145" s="37" t="s">
        <v>23900</v>
      </c>
      <c r="C3145" s="37" t="s">
        <v>2348</v>
      </c>
      <c r="D3145" s="37" t="s">
        <v>2349</v>
      </c>
      <c r="E3145" s="212">
        <v>27.81</v>
      </c>
    </row>
    <row r="3146" spans="1:5" ht="14.25">
      <c r="A3146" s="37">
        <v>40703</v>
      </c>
      <c r="B3146" s="37" t="s">
        <v>23901</v>
      </c>
      <c r="C3146" s="37" t="s">
        <v>2348</v>
      </c>
      <c r="D3146" s="37" t="s">
        <v>2351</v>
      </c>
      <c r="E3146" s="213">
        <v>7100</v>
      </c>
    </row>
    <row r="3147" spans="1:5" ht="14.25">
      <c r="A3147" s="37">
        <v>14531</v>
      </c>
      <c r="B3147" s="37" t="s">
        <v>23902</v>
      </c>
      <c r="C3147" s="37" t="s">
        <v>2348</v>
      </c>
      <c r="D3147" s="37" t="s">
        <v>2351</v>
      </c>
      <c r="E3147" s="213">
        <v>13237.07</v>
      </c>
    </row>
    <row r="3148" spans="1:5" ht="14.25">
      <c r="A3148" s="37">
        <v>36533</v>
      </c>
      <c r="B3148" s="37" t="s">
        <v>23903</v>
      </c>
      <c r="C3148" s="37" t="s">
        <v>2348</v>
      </c>
      <c r="D3148" s="37" t="s">
        <v>2351</v>
      </c>
      <c r="E3148" s="213">
        <v>15232.49</v>
      </c>
    </row>
    <row r="3149" spans="1:5" ht="14.25">
      <c r="A3149" s="37">
        <v>11616</v>
      </c>
      <c r="B3149" s="37" t="s">
        <v>23904</v>
      </c>
      <c r="C3149" s="37" t="s">
        <v>2348</v>
      </c>
      <c r="D3149" s="37" t="s">
        <v>2351</v>
      </c>
      <c r="E3149" s="213">
        <v>14386.86</v>
      </c>
    </row>
    <row r="3150" spans="1:5" ht="14.25">
      <c r="A3150" s="37">
        <v>41898</v>
      </c>
      <c r="B3150" s="37" t="s">
        <v>23905</v>
      </c>
      <c r="C3150" s="37" t="s">
        <v>2348</v>
      </c>
      <c r="D3150" s="37" t="s">
        <v>2351</v>
      </c>
      <c r="E3150" s="213">
        <v>16187.17</v>
      </c>
    </row>
    <row r="3151" spans="1:5" ht="14.25">
      <c r="A3151" s="37">
        <v>13447</v>
      </c>
      <c r="B3151" s="37" t="s">
        <v>23906</v>
      </c>
      <c r="C3151" s="37" t="s">
        <v>2348</v>
      </c>
      <c r="D3151" s="37" t="s">
        <v>2351</v>
      </c>
      <c r="E3151" s="213">
        <v>29785.51</v>
      </c>
    </row>
    <row r="3152" spans="1:5" ht="14.25">
      <c r="A3152" s="37">
        <v>14529</v>
      </c>
      <c r="B3152" s="37" t="s">
        <v>23907</v>
      </c>
      <c r="C3152" s="37" t="s">
        <v>2348</v>
      </c>
      <c r="D3152" s="37" t="s">
        <v>2351</v>
      </c>
      <c r="E3152" s="213">
        <v>16658.28</v>
      </c>
    </row>
    <row r="3153" spans="1:5" ht="14.25">
      <c r="A3153" s="37">
        <v>10747</v>
      </c>
      <c r="B3153" s="37" t="s">
        <v>23908</v>
      </c>
      <c r="C3153" s="37" t="s">
        <v>2348</v>
      </c>
      <c r="D3153" s="37" t="s">
        <v>2351</v>
      </c>
      <c r="E3153" s="213">
        <v>16344.32</v>
      </c>
    </row>
    <row r="3154" spans="1:5" ht="14.25">
      <c r="A3154" s="37">
        <v>36141</v>
      </c>
      <c r="B3154" s="37" t="s">
        <v>23909</v>
      </c>
      <c r="C3154" s="37" t="s">
        <v>2348</v>
      </c>
      <c r="D3154" s="37" t="s">
        <v>2349</v>
      </c>
      <c r="E3154" s="212">
        <v>40.229999999999997</v>
      </c>
    </row>
    <row r="3155" spans="1:5" ht="14.25">
      <c r="A3155" s="37">
        <v>43651</v>
      </c>
      <c r="B3155" s="37" t="s">
        <v>28025</v>
      </c>
      <c r="C3155" s="37" t="s">
        <v>2356</v>
      </c>
      <c r="D3155" s="37" t="s">
        <v>2349</v>
      </c>
      <c r="E3155" s="212">
        <v>8.42</v>
      </c>
    </row>
    <row r="3156" spans="1:5" ht="14.25">
      <c r="A3156" s="37">
        <v>43626</v>
      </c>
      <c r="B3156" s="37" t="s">
        <v>28026</v>
      </c>
      <c r="C3156" s="37" t="s">
        <v>2356</v>
      </c>
      <c r="D3156" s="37" t="s">
        <v>2353</v>
      </c>
      <c r="E3156" s="212">
        <v>4.68</v>
      </c>
    </row>
    <row r="3157" spans="1:5" ht="14.25">
      <c r="A3157" s="37">
        <v>39434</v>
      </c>
      <c r="B3157" s="37" t="s">
        <v>23910</v>
      </c>
      <c r="C3157" s="37" t="s">
        <v>2356</v>
      </c>
      <c r="D3157" s="37" t="s">
        <v>2349</v>
      </c>
      <c r="E3157" s="212">
        <v>3.21</v>
      </c>
    </row>
    <row r="3158" spans="1:5" ht="14.25">
      <c r="A3158" s="37">
        <v>39433</v>
      </c>
      <c r="B3158" s="37" t="s">
        <v>23911</v>
      </c>
      <c r="C3158" s="37" t="s">
        <v>2356</v>
      </c>
      <c r="D3158" s="37" t="s">
        <v>2349</v>
      </c>
      <c r="E3158" s="212">
        <v>2.5499999999999998</v>
      </c>
    </row>
    <row r="3159" spans="1:5" ht="14.25">
      <c r="A3159" s="37">
        <v>4049</v>
      </c>
      <c r="B3159" s="37" t="s">
        <v>23912</v>
      </c>
      <c r="C3159" s="37" t="s">
        <v>2363</v>
      </c>
      <c r="D3159" s="37" t="s">
        <v>2349</v>
      </c>
      <c r="E3159" s="212">
        <v>93.93</v>
      </c>
    </row>
    <row r="3160" spans="1:5" ht="14.25">
      <c r="A3160" s="37">
        <v>38120</v>
      </c>
      <c r="B3160" s="37" t="s">
        <v>23913</v>
      </c>
      <c r="C3160" s="37" t="s">
        <v>2356</v>
      </c>
      <c r="D3160" s="37" t="s">
        <v>2349</v>
      </c>
      <c r="E3160" s="212">
        <v>114.15</v>
      </c>
    </row>
    <row r="3161" spans="1:5" ht="14.25">
      <c r="A3161" s="37">
        <v>43652</v>
      </c>
      <c r="B3161" s="37" t="s">
        <v>28027</v>
      </c>
      <c r="C3161" s="37" t="s">
        <v>2356</v>
      </c>
      <c r="D3161" s="37" t="s">
        <v>2349</v>
      </c>
      <c r="E3161" s="212">
        <v>18.86</v>
      </c>
    </row>
    <row r="3162" spans="1:5" ht="14.25">
      <c r="A3162" s="37">
        <v>10498</v>
      </c>
      <c r="B3162" s="37" t="s">
        <v>23914</v>
      </c>
      <c r="C3162" s="37" t="s">
        <v>2356</v>
      </c>
      <c r="D3162" s="37" t="s">
        <v>2349</v>
      </c>
      <c r="E3162" s="212">
        <v>13.7</v>
      </c>
    </row>
    <row r="3163" spans="1:5" ht="14.25">
      <c r="A3163" s="37">
        <v>4823</v>
      </c>
      <c r="B3163" s="37" t="s">
        <v>23915</v>
      </c>
      <c r="C3163" s="37" t="s">
        <v>2356</v>
      </c>
      <c r="D3163" s="37" t="s">
        <v>2349</v>
      </c>
      <c r="E3163" s="212">
        <v>33.97</v>
      </c>
    </row>
    <row r="3164" spans="1:5" ht="14.25">
      <c r="A3164" s="37">
        <v>38877</v>
      </c>
      <c r="B3164" s="37" t="s">
        <v>28028</v>
      </c>
      <c r="C3164" s="37" t="s">
        <v>2356</v>
      </c>
      <c r="D3164" s="37" t="s">
        <v>2349</v>
      </c>
      <c r="E3164" s="212">
        <v>5.34</v>
      </c>
    </row>
    <row r="3165" spans="1:5" ht="14.25">
      <c r="A3165" s="37">
        <v>34546</v>
      </c>
      <c r="B3165" s="37" t="s">
        <v>28029</v>
      </c>
      <c r="C3165" s="37" t="s">
        <v>2356</v>
      </c>
      <c r="D3165" s="37" t="s">
        <v>2349</v>
      </c>
      <c r="E3165" s="212">
        <v>5.49</v>
      </c>
    </row>
    <row r="3166" spans="1:5" ht="14.25">
      <c r="A3166" s="37">
        <v>41387</v>
      </c>
      <c r="B3166" s="37" t="s">
        <v>23916</v>
      </c>
      <c r="C3166" s="37" t="s">
        <v>2355</v>
      </c>
      <c r="D3166" s="37" t="s">
        <v>2349</v>
      </c>
      <c r="E3166" s="212">
        <v>40.5</v>
      </c>
    </row>
    <row r="3167" spans="1:5" ht="14.25">
      <c r="A3167" s="37">
        <v>41388</v>
      </c>
      <c r="B3167" s="37" t="s">
        <v>23917</v>
      </c>
      <c r="C3167" s="37" t="s">
        <v>2355</v>
      </c>
      <c r="D3167" s="37" t="s">
        <v>2349</v>
      </c>
      <c r="E3167" s="212">
        <v>48.59</v>
      </c>
    </row>
    <row r="3168" spans="1:5" ht="14.25">
      <c r="A3168" s="37">
        <v>41380</v>
      </c>
      <c r="B3168" s="37" t="s">
        <v>23918</v>
      </c>
      <c r="C3168" s="37" t="s">
        <v>2348</v>
      </c>
      <c r="D3168" s="37" t="s">
        <v>2349</v>
      </c>
      <c r="E3168" s="212">
        <v>323.32</v>
      </c>
    </row>
    <row r="3169" spans="1:5" ht="14.25">
      <c r="A3169" s="37">
        <v>41381</v>
      </c>
      <c r="B3169" s="37" t="s">
        <v>23919</v>
      </c>
      <c r="C3169" s="37" t="s">
        <v>2348</v>
      </c>
      <c r="D3169" s="37" t="s">
        <v>2349</v>
      </c>
      <c r="E3169" s="212">
        <v>338.71</v>
      </c>
    </row>
    <row r="3170" spans="1:5" ht="14.25">
      <c r="A3170" s="37">
        <v>41382</v>
      </c>
      <c r="B3170" s="37" t="s">
        <v>23920</v>
      </c>
      <c r="C3170" s="37" t="s">
        <v>2348</v>
      </c>
      <c r="D3170" s="37" t="s">
        <v>2349</v>
      </c>
      <c r="E3170" s="212">
        <v>327.86</v>
      </c>
    </row>
    <row r="3171" spans="1:5" ht="14.25">
      <c r="A3171" s="37">
        <v>41383</v>
      </c>
      <c r="B3171" s="37" t="s">
        <v>23921</v>
      </c>
      <c r="C3171" s="37" t="s">
        <v>2348</v>
      </c>
      <c r="D3171" s="37" t="s">
        <v>2349</v>
      </c>
      <c r="E3171" s="212">
        <v>445</v>
      </c>
    </row>
    <row r="3172" spans="1:5" ht="14.25">
      <c r="A3172" s="37">
        <v>41385</v>
      </c>
      <c r="B3172" s="37" t="s">
        <v>23922</v>
      </c>
      <c r="C3172" s="37" t="s">
        <v>2348</v>
      </c>
      <c r="D3172" s="37" t="s">
        <v>2349</v>
      </c>
      <c r="E3172" s="212">
        <v>553.74</v>
      </c>
    </row>
    <row r="3173" spans="1:5" ht="14.25">
      <c r="A3173" s="37">
        <v>11079</v>
      </c>
      <c r="B3173" s="37" t="s">
        <v>23923</v>
      </c>
      <c r="C3173" s="37" t="s">
        <v>28760</v>
      </c>
      <c r="D3173" s="37" t="s">
        <v>2349</v>
      </c>
      <c r="E3173" s="213">
        <v>1937.25</v>
      </c>
    </row>
    <row r="3174" spans="1:5" ht="14.25">
      <c r="A3174" s="37">
        <v>11082</v>
      </c>
      <c r="B3174" s="37" t="s">
        <v>23924</v>
      </c>
      <c r="C3174" s="37" t="s">
        <v>28760</v>
      </c>
      <c r="D3174" s="37" t="s">
        <v>2349</v>
      </c>
      <c r="E3174" s="213">
        <v>1937.25</v>
      </c>
    </row>
    <row r="3175" spans="1:5" ht="14.25">
      <c r="A3175" s="37">
        <v>4058</v>
      </c>
      <c r="B3175" s="37" t="s">
        <v>23925</v>
      </c>
      <c r="C3175" s="37" t="s">
        <v>2352</v>
      </c>
      <c r="D3175" s="37" t="s">
        <v>2349</v>
      </c>
      <c r="E3175" s="212">
        <v>27.23</v>
      </c>
    </row>
    <row r="3176" spans="1:5" ht="14.25">
      <c r="A3176" s="37">
        <v>40974</v>
      </c>
      <c r="B3176" s="37" t="s">
        <v>23926</v>
      </c>
      <c r="C3176" s="37" t="s">
        <v>2369</v>
      </c>
      <c r="D3176" s="37" t="s">
        <v>2349</v>
      </c>
      <c r="E3176" s="213">
        <v>4791.57</v>
      </c>
    </row>
    <row r="3177" spans="1:5" ht="14.25">
      <c r="A3177" s="37">
        <v>34794</v>
      </c>
      <c r="B3177" s="37" t="s">
        <v>23927</v>
      </c>
      <c r="C3177" s="37" t="s">
        <v>2352</v>
      </c>
      <c r="D3177" s="37" t="s">
        <v>2349</v>
      </c>
      <c r="E3177" s="212">
        <v>17.66</v>
      </c>
    </row>
    <row r="3178" spans="1:5" ht="14.25">
      <c r="A3178" s="37">
        <v>40925</v>
      </c>
      <c r="B3178" s="37" t="s">
        <v>23928</v>
      </c>
      <c r="C3178" s="37" t="s">
        <v>2369</v>
      </c>
      <c r="D3178" s="37" t="s">
        <v>2349</v>
      </c>
      <c r="E3178" s="213">
        <v>3108.2</v>
      </c>
    </row>
    <row r="3179" spans="1:5" ht="14.25">
      <c r="A3179" s="37">
        <v>13741</v>
      </c>
      <c r="B3179" s="37" t="s">
        <v>23929</v>
      </c>
      <c r="C3179" s="37" t="s">
        <v>2348</v>
      </c>
      <c r="D3179" s="37" t="s">
        <v>2349</v>
      </c>
      <c r="E3179" s="213">
        <v>2281.56</v>
      </c>
    </row>
    <row r="3180" spans="1:5" ht="14.25">
      <c r="A3180" s="37">
        <v>3288</v>
      </c>
      <c r="B3180" s="37" t="s">
        <v>23930</v>
      </c>
      <c r="C3180" s="37" t="s">
        <v>2355</v>
      </c>
      <c r="D3180" s="37" t="s">
        <v>2351</v>
      </c>
      <c r="E3180" s="212">
        <v>6</v>
      </c>
    </row>
    <row r="3181" spans="1:5" ht="14.25">
      <c r="A3181" s="37">
        <v>13587</v>
      </c>
      <c r="B3181" s="37" t="s">
        <v>23931</v>
      </c>
      <c r="C3181" s="37" t="s">
        <v>2355</v>
      </c>
      <c r="D3181" s="37" t="s">
        <v>2351</v>
      </c>
      <c r="E3181" s="212">
        <v>3.62</v>
      </c>
    </row>
    <row r="3182" spans="1:5" ht="14.25">
      <c r="A3182" s="37">
        <v>38598</v>
      </c>
      <c r="B3182" s="37" t="s">
        <v>23932</v>
      </c>
      <c r="C3182" s="37" t="s">
        <v>2348</v>
      </c>
      <c r="D3182" s="37" t="s">
        <v>2349</v>
      </c>
      <c r="E3182" s="212">
        <v>2.3199999999999998</v>
      </c>
    </row>
    <row r="3183" spans="1:5" ht="14.25">
      <c r="A3183" s="37">
        <v>38595</v>
      </c>
      <c r="B3183" s="37" t="s">
        <v>23933</v>
      </c>
      <c r="C3183" s="37" t="s">
        <v>2348</v>
      </c>
      <c r="D3183" s="37" t="s">
        <v>2349</v>
      </c>
      <c r="E3183" s="212">
        <v>1.97</v>
      </c>
    </row>
    <row r="3184" spans="1:5" ht="14.25">
      <c r="A3184" s="37">
        <v>38592</v>
      </c>
      <c r="B3184" s="37" t="s">
        <v>23934</v>
      </c>
      <c r="C3184" s="37" t="s">
        <v>2348</v>
      </c>
      <c r="D3184" s="37" t="s">
        <v>2349</v>
      </c>
      <c r="E3184" s="212">
        <v>1.99</v>
      </c>
    </row>
    <row r="3185" spans="1:5" ht="14.25">
      <c r="A3185" s="37">
        <v>38588</v>
      </c>
      <c r="B3185" s="37" t="s">
        <v>23935</v>
      </c>
      <c r="C3185" s="37" t="s">
        <v>2348</v>
      </c>
      <c r="D3185" s="37" t="s">
        <v>2349</v>
      </c>
      <c r="E3185" s="212">
        <v>1.59</v>
      </c>
    </row>
    <row r="3186" spans="1:5" ht="14.25">
      <c r="A3186" s="37">
        <v>38593</v>
      </c>
      <c r="B3186" s="37" t="s">
        <v>23936</v>
      </c>
      <c r="C3186" s="37" t="s">
        <v>2348</v>
      </c>
      <c r="D3186" s="37" t="s">
        <v>2349</v>
      </c>
      <c r="E3186" s="212">
        <v>2.2000000000000002</v>
      </c>
    </row>
    <row r="3187" spans="1:5" ht="14.25">
      <c r="A3187" s="37">
        <v>38589</v>
      </c>
      <c r="B3187" s="37" t="s">
        <v>23937</v>
      </c>
      <c r="C3187" s="37" t="s">
        <v>2348</v>
      </c>
      <c r="D3187" s="37" t="s">
        <v>2349</v>
      </c>
      <c r="E3187" s="212">
        <v>1.67</v>
      </c>
    </row>
    <row r="3188" spans="1:5" ht="14.25">
      <c r="A3188" s="37">
        <v>38594</v>
      </c>
      <c r="B3188" s="37" t="s">
        <v>23938</v>
      </c>
      <c r="C3188" s="37" t="s">
        <v>2348</v>
      </c>
      <c r="D3188" s="37" t="s">
        <v>2349</v>
      </c>
      <c r="E3188" s="212">
        <v>3.47</v>
      </c>
    </row>
    <row r="3189" spans="1:5" ht="14.25">
      <c r="A3189" s="37">
        <v>34773</v>
      </c>
      <c r="B3189" s="37" t="s">
        <v>23939</v>
      </c>
      <c r="C3189" s="37" t="s">
        <v>2348</v>
      </c>
      <c r="D3189" s="37" t="s">
        <v>2349</v>
      </c>
      <c r="E3189" s="212">
        <v>1.64</v>
      </c>
    </row>
    <row r="3190" spans="1:5" ht="14.25">
      <c r="A3190" s="37">
        <v>34769</v>
      </c>
      <c r="B3190" s="37" t="s">
        <v>23940</v>
      </c>
      <c r="C3190" s="37" t="s">
        <v>2348</v>
      </c>
      <c r="D3190" s="37" t="s">
        <v>2349</v>
      </c>
      <c r="E3190" s="212">
        <v>2.0299999999999998</v>
      </c>
    </row>
    <row r="3191" spans="1:5" ht="14.25">
      <c r="A3191" s="37">
        <v>34763</v>
      </c>
      <c r="B3191" s="37" t="s">
        <v>23941</v>
      </c>
      <c r="C3191" s="37" t="s">
        <v>2348</v>
      </c>
      <c r="D3191" s="37" t="s">
        <v>2349</v>
      </c>
      <c r="E3191" s="212">
        <v>1.25</v>
      </c>
    </row>
    <row r="3192" spans="1:5" ht="14.25">
      <c r="A3192" s="37">
        <v>34774</v>
      </c>
      <c r="B3192" s="37" t="s">
        <v>23942</v>
      </c>
      <c r="C3192" s="37" t="s">
        <v>2348</v>
      </c>
      <c r="D3192" s="37" t="s">
        <v>2349</v>
      </c>
      <c r="E3192" s="212">
        <v>1.56</v>
      </c>
    </row>
    <row r="3193" spans="1:5" ht="14.25">
      <c r="A3193" s="37">
        <v>34771</v>
      </c>
      <c r="B3193" s="37" t="s">
        <v>23943</v>
      </c>
      <c r="C3193" s="37" t="s">
        <v>2348</v>
      </c>
      <c r="D3193" s="37" t="s">
        <v>2349</v>
      </c>
      <c r="E3193" s="212">
        <v>1.88</v>
      </c>
    </row>
    <row r="3194" spans="1:5" ht="14.25">
      <c r="A3194" s="37">
        <v>34764</v>
      </c>
      <c r="B3194" s="37" t="s">
        <v>23944</v>
      </c>
      <c r="C3194" s="37" t="s">
        <v>2348</v>
      </c>
      <c r="D3194" s="37" t="s">
        <v>2349</v>
      </c>
      <c r="E3194" s="212">
        <v>1.23</v>
      </c>
    </row>
    <row r="3195" spans="1:5" ht="14.25">
      <c r="A3195" s="37">
        <v>34788</v>
      </c>
      <c r="B3195" s="37" t="s">
        <v>23945</v>
      </c>
      <c r="C3195" s="37" t="s">
        <v>2348</v>
      </c>
      <c r="D3195" s="37" t="s">
        <v>2349</v>
      </c>
      <c r="E3195" s="212">
        <v>0.92</v>
      </c>
    </row>
    <row r="3196" spans="1:5" ht="14.25">
      <c r="A3196" s="37">
        <v>34781</v>
      </c>
      <c r="B3196" s="37" t="s">
        <v>23946</v>
      </c>
      <c r="C3196" s="37" t="s">
        <v>2348</v>
      </c>
      <c r="D3196" s="37" t="s">
        <v>2349</v>
      </c>
      <c r="E3196" s="212">
        <v>1.04</v>
      </c>
    </row>
    <row r="3197" spans="1:5" ht="14.25">
      <c r="A3197" s="37">
        <v>41682</v>
      </c>
      <c r="B3197" s="37" t="s">
        <v>23947</v>
      </c>
      <c r="C3197" s="37" t="s">
        <v>2348</v>
      </c>
      <c r="D3197" s="37" t="s">
        <v>2349</v>
      </c>
      <c r="E3197" s="212">
        <v>30.26</v>
      </c>
    </row>
    <row r="3198" spans="1:5" ht="14.25">
      <c r="A3198" s="37">
        <v>41683</v>
      </c>
      <c r="B3198" s="37" t="s">
        <v>23948</v>
      </c>
      <c r="C3198" s="37" t="s">
        <v>2348</v>
      </c>
      <c r="D3198" s="37" t="s">
        <v>2349</v>
      </c>
      <c r="E3198" s="212">
        <v>22.26</v>
      </c>
    </row>
    <row r="3199" spans="1:5" ht="14.25">
      <c r="A3199" s="37">
        <v>41680</v>
      </c>
      <c r="B3199" s="37" t="s">
        <v>23949</v>
      </c>
      <c r="C3199" s="37" t="s">
        <v>2348</v>
      </c>
      <c r="D3199" s="37" t="s">
        <v>2349</v>
      </c>
      <c r="E3199" s="212">
        <v>11.99</v>
      </c>
    </row>
    <row r="3200" spans="1:5" ht="14.25">
      <c r="A3200" s="37">
        <v>41679</v>
      </c>
      <c r="B3200" s="37" t="s">
        <v>23950</v>
      </c>
      <c r="C3200" s="37" t="s">
        <v>2348</v>
      </c>
      <c r="D3200" s="37" t="s">
        <v>2349</v>
      </c>
      <c r="E3200" s="212">
        <v>27.4</v>
      </c>
    </row>
    <row r="3201" spans="1:5" ht="14.25">
      <c r="A3201" s="37">
        <v>41681</v>
      </c>
      <c r="B3201" s="37" t="s">
        <v>23951</v>
      </c>
      <c r="C3201" s="37" t="s">
        <v>2348</v>
      </c>
      <c r="D3201" s="37" t="s">
        <v>2349</v>
      </c>
      <c r="E3201" s="212">
        <v>18.75</v>
      </c>
    </row>
    <row r="3202" spans="1:5" ht="14.25">
      <c r="A3202" s="37">
        <v>43386</v>
      </c>
      <c r="B3202" s="37" t="s">
        <v>23952</v>
      </c>
      <c r="C3202" s="37" t="s">
        <v>2348</v>
      </c>
      <c r="D3202" s="37" t="s">
        <v>2349</v>
      </c>
      <c r="E3202" s="212">
        <v>42.82</v>
      </c>
    </row>
    <row r="3203" spans="1:5" ht="14.25">
      <c r="A3203" s="37">
        <v>4059</v>
      </c>
      <c r="B3203" s="37" t="s">
        <v>23953</v>
      </c>
      <c r="C3203" s="37" t="s">
        <v>2355</v>
      </c>
      <c r="D3203" s="37" t="s">
        <v>2349</v>
      </c>
      <c r="E3203" s="212">
        <v>30.26</v>
      </c>
    </row>
    <row r="3204" spans="1:5" ht="14.25">
      <c r="A3204" s="37">
        <v>4062</v>
      </c>
      <c r="B3204" s="37" t="s">
        <v>23954</v>
      </c>
      <c r="C3204" s="37" t="s">
        <v>2348</v>
      </c>
      <c r="D3204" s="37" t="s">
        <v>2349</v>
      </c>
      <c r="E3204" s="212">
        <v>30.26</v>
      </c>
    </row>
    <row r="3205" spans="1:5" ht="14.25">
      <c r="A3205" s="37">
        <v>4061</v>
      </c>
      <c r="B3205" s="37" t="s">
        <v>23955</v>
      </c>
      <c r="C3205" s="37" t="s">
        <v>2348</v>
      </c>
      <c r="D3205" s="37" t="s">
        <v>2349</v>
      </c>
      <c r="E3205" s="212">
        <v>37.68</v>
      </c>
    </row>
    <row r="3206" spans="1:5" ht="14.25">
      <c r="A3206" s="37">
        <v>41315</v>
      </c>
      <c r="B3206" s="37" t="s">
        <v>23956</v>
      </c>
      <c r="C3206" s="37" t="s">
        <v>2356</v>
      </c>
      <c r="D3206" s="37" t="s">
        <v>2349</v>
      </c>
      <c r="E3206" s="212">
        <v>77.569999999999993</v>
      </c>
    </row>
    <row r="3207" spans="1:5" ht="14.25">
      <c r="A3207" s="37">
        <v>43148</v>
      </c>
      <c r="B3207" s="37" t="s">
        <v>23957</v>
      </c>
      <c r="C3207" s="37" t="s">
        <v>2356</v>
      </c>
      <c r="D3207" s="37" t="s">
        <v>2349</v>
      </c>
      <c r="E3207" s="212">
        <v>52.65</v>
      </c>
    </row>
    <row r="3208" spans="1:5" ht="14.25">
      <c r="A3208" s="37">
        <v>43147</v>
      </c>
      <c r="B3208" s="37" t="s">
        <v>23958</v>
      </c>
      <c r="C3208" s="37" t="s">
        <v>2356</v>
      </c>
      <c r="D3208" s="37" t="s">
        <v>2349</v>
      </c>
      <c r="E3208" s="212">
        <v>20.39</v>
      </c>
    </row>
    <row r="3209" spans="1:5" ht="14.25">
      <c r="A3209" s="37">
        <v>10608</v>
      </c>
      <c r="B3209" s="37" t="s">
        <v>23959</v>
      </c>
      <c r="C3209" s="37" t="s">
        <v>2348</v>
      </c>
      <c r="D3209" s="37" t="s">
        <v>2351</v>
      </c>
      <c r="E3209" s="213">
        <v>10084.049999999999</v>
      </c>
    </row>
    <row r="3210" spans="1:5" ht="14.25">
      <c r="A3210" s="37">
        <v>4069</v>
      </c>
      <c r="B3210" s="37" t="s">
        <v>23960</v>
      </c>
      <c r="C3210" s="37" t="s">
        <v>2352</v>
      </c>
      <c r="D3210" s="37" t="s">
        <v>2349</v>
      </c>
      <c r="E3210" s="212">
        <v>51.6</v>
      </c>
    </row>
    <row r="3211" spans="1:5" ht="14.25">
      <c r="A3211" s="37">
        <v>40819</v>
      </c>
      <c r="B3211" s="37" t="s">
        <v>23961</v>
      </c>
      <c r="C3211" s="37" t="s">
        <v>2369</v>
      </c>
      <c r="D3211" s="37" t="s">
        <v>2349</v>
      </c>
      <c r="E3211" s="213">
        <v>9075.9</v>
      </c>
    </row>
    <row r="3212" spans="1:5" ht="14.25">
      <c r="A3212" s="37">
        <v>34361</v>
      </c>
      <c r="B3212" s="37" t="s">
        <v>23962</v>
      </c>
      <c r="C3212" s="37" t="s">
        <v>2356</v>
      </c>
      <c r="D3212" s="37" t="s">
        <v>2349</v>
      </c>
      <c r="E3212" s="212">
        <v>14.84</v>
      </c>
    </row>
    <row r="3213" spans="1:5" ht="14.25">
      <c r="A3213" s="37">
        <v>36512</v>
      </c>
      <c r="B3213" s="37" t="s">
        <v>23963</v>
      </c>
      <c r="C3213" s="37" t="s">
        <v>2348</v>
      </c>
      <c r="D3213" s="37" t="s">
        <v>2351</v>
      </c>
      <c r="E3213" s="213">
        <v>17558.39</v>
      </c>
    </row>
    <row r="3214" spans="1:5" ht="14.25">
      <c r="A3214" s="37">
        <v>44478</v>
      </c>
      <c r="B3214" s="37" t="s">
        <v>28030</v>
      </c>
      <c r="C3214" s="37" t="s">
        <v>2356</v>
      </c>
      <c r="D3214" s="37" t="s">
        <v>2349</v>
      </c>
      <c r="E3214" s="212">
        <v>17.95</v>
      </c>
    </row>
    <row r="3215" spans="1:5" ht="14.25">
      <c r="A3215" s="37">
        <v>44477</v>
      </c>
      <c r="B3215" s="37" t="s">
        <v>28031</v>
      </c>
      <c r="C3215" s="37" t="s">
        <v>2356</v>
      </c>
      <c r="D3215" s="37" t="s">
        <v>2349</v>
      </c>
      <c r="E3215" s="212">
        <v>17.95</v>
      </c>
    </row>
    <row r="3216" spans="1:5" ht="14.25">
      <c r="A3216" s="37">
        <v>11697</v>
      </c>
      <c r="B3216" s="37" t="s">
        <v>23964</v>
      </c>
      <c r="C3216" s="37" t="s">
        <v>2348</v>
      </c>
      <c r="D3216" s="37" t="s">
        <v>2349</v>
      </c>
      <c r="E3216" s="212">
        <v>674.85</v>
      </c>
    </row>
    <row r="3217" spans="1:5" ht="14.25">
      <c r="A3217" s="37">
        <v>11698</v>
      </c>
      <c r="B3217" s="37" t="s">
        <v>23965</v>
      </c>
      <c r="C3217" s="37" t="s">
        <v>2348</v>
      </c>
      <c r="D3217" s="37" t="s">
        <v>2349</v>
      </c>
      <c r="E3217" s="212">
        <v>805.06</v>
      </c>
    </row>
    <row r="3218" spans="1:5" ht="14.25">
      <c r="A3218" s="37">
        <v>10432</v>
      </c>
      <c r="B3218" s="37" t="s">
        <v>23966</v>
      </c>
      <c r="C3218" s="37" t="s">
        <v>2348</v>
      </c>
      <c r="D3218" s="37" t="s">
        <v>2349</v>
      </c>
      <c r="E3218" s="212">
        <v>278.39999999999998</v>
      </c>
    </row>
    <row r="3219" spans="1:5" ht="14.25">
      <c r="A3219" s="37">
        <v>11699</v>
      </c>
      <c r="B3219" s="37" t="s">
        <v>23967</v>
      </c>
      <c r="C3219" s="37" t="s">
        <v>2348</v>
      </c>
      <c r="D3219" s="37" t="s">
        <v>2349</v>
      </c>
      <c r="E3219" s="212">
        <v>889.77</v>
      </c>
    </row>
    <row r="3220" spans="1:5" ht="14.25">
      <c r="A3220" s="37">
        <v>44020</v>
      </c>
      <c r="B3220" s="37" t="s">
        <v>23968</v>
      </c>
      <c r="C3220" s="37" t="s">
        <v>2348</v>
      </c>
      <c r="D3220" s="37" t="s">
        <v>2349</v>
      </c>
      <c r="E3220" s="212">
        <v>686.84</v>
      </c>
    </row>
    <row r="3221" spans="1:5" ht="14.25">
      <c r="A3221" s="37">
        <v>41420</v>
      </c>
      <c r="B3221" s="37" t="s">
        <v>23969</v>
      </c>
      <c r="C3221" s="37" t="s">
        <v>2348</v>
      </c>
      <c r="D3221" s="37" t="s">
        <v>2349</v>
      </c>
      <c r="E3221" s="212">
        <v>8.24</v>
      </c>
    </row>
    <row r="3222" spans="1:5" ht="14.25">
      <c r="A3222" s="37">
        <v>41422</v>
      </c>
      <c r="B3222" s="37" t="s">
        <v>23970</v>
      </c>
      <c r="C3222" s="37" t="s">
        <v>2348</v>
      </c>
      <c r="D3222" s="37" t="s">
        <v>2349</v>
      </c>
      <c r="E3222" s="212">
        <v>11.26</v>
      </c>
    </row>
    <row r="3223" spans="1:5" ht="14.25">
      <c r="A3223" s="37">
        <v>41425</v>
      </c>
      <c r="B3223" s="37" t="s">
        <v>23971</v>
      </c>
      <c r="C3223" s="37" t="s">
        <v>2348</v>
      </c>
      <c r="D3223" s="37" t="s">
        <v>2349</v>
      </c>
      <c r="E3223" s="212">
        <v>5.76</v>
      </c>
    </row>
    <row r="3224" spans="1:5" ht="14.25">
      <c r="A3224" s="37">
        <v>41426</v>
      </c>
      <c r="B3224" s="37" t="s">
        <v>23972</v>
      </c>
      <c r="C3224" s="37" t="s">
        <v>2348</v>
      </c>
      <c r="D3224" s="37" t="s">
        <v>2349</v>
      </c>
      <c r="E3224" s="212">
        <v>10.38</v>
      </c>
    </row>
    <row r="3225" spans="1:5" ht="14.25">
      <c r="A3225" s="37">
        <v>41419</v>
      </c>
      <c r="B3225" s="37" t="s">
        <v>23973</v>
      </c>
      <c r="C3225" s="37" t="s">
        <v>2348</v>
      </c>
      <c r="D3225" s="37" t="s">
        <v>2349</v>
      </c>
      <c r="E3225" s="212">
        <v>6.06</v>
      </c>
    </row>
    <row r="3226" spans="1:5" ht="14.25">
      <c r="A3226" s="37">
        <v>41421</v>
      </c>
      <c r="B3226" s="37" t="s">
        <v>23974</v>
      </c>
      <c r="C3226" s="37" t="s">
        <v>2348</v>
      </c>
      <c r="D3226" s="37" t="s">
        <v>2349</v>
      </c>
      <c r="E3226" s="212">
        <v>8.2200000000000006</v>
      </c>
    </row>
    <row r="3227" spans="1:5" ht="14.25">
      <c r="A3227" s="37">
        <v>41414</v>
      </c>
      <c r="B3227" s="37" t="s">
        <v>23975</v>
      </c>
      <c r="C3227" s="37" t="s">
        <v>2348</v>
      </c>
      <c r="D3227" s="37" t="s">
        <v>2349</v>
      </c>
      <c r="E3227" s="212">
        <v>19.059999999999999</v>
      </c>
    </row>
    <row r="3228" spans="1:5" ht="14.25">
      <c r="A3228" s="37">
        <v>41415</v>
      </c>
      <c r="B3228" s="37" t="s">
        <v>23976</v>
      </c>
      <c r="C3228" s="37" t="s">
        <v>2348</v>
      </c>
      <c r="D3228" s="37" t="s">
        <v>2349</v>
      </c>
      <c r="E3228" s="212">
        <v>22.2</v>
      </c>
    </row>
    <row r="3229" spans="1:5" ht="14.25">
      <c r="A3229" s="37">
        <v>37514</v>
      </c>
      <c r="B3229" s="37" t="s">
        <v>23977</v>
      </c>
      <c r="C3229" s="37" t="s">
        <v>2348</v>
      </c>
      <c r="D3229" s="37" t="s">
        <v>2351</v>
      </c>
      <c r="E3229" s="213">
        <v>189750</v>
      </c>
    </row>
    <row r="3230" spans="1:5" ht="14.25">
      <c r="A3230" s="37">
        <v>37519</v>
      </c>
      <c r="B3230" s="37" t="s">
        <v>23978</v>
      </c>
      <c r="C3230" s="37" t="s">
        <v>2348</v>
      </c>
      <c r="D3230" s="37" t="s">
        <v>2351</v>
      </c>
      <c r="E3230" s="213">
        <v>292839.92</v>
      </c>
    </row>
    <row r="3231" spans="1:5" ht="14.25">
      <c r="A3231" s="37">
        <v>37520</v>
      </c>
      <c r="B3231" s="37" t="s">
        <v>23979</v>
      </c>
      <c r="C3231" s="37" t="s">
        <v>2348</v>
      </c>
      <c r="D3231" s="37" t="s">
        <v>2351</v>
      </c>
      <c r="E3231" s="213">
        <v>288039.26</v>
      </c>
    </row>
    <row r="3232" spans="1:5" ht="14.25">
      <c r="A3232" s="37">
        <v>37521</v>
      </c>
      <c r="B3232" s="37" t="s">
        <v>23980</v>
      </c>
      <c r="C3232" s="37" t="s">
        <v>2348</v>
      </c>
      <c r="D3232" s="37" t="s">
        <v>2351</v>
      </c>
      <c r="E3232" s="213">
        <v>351407.91</v>
      </c>
    </row>
    <row r="3233" spans="1:5" ht="14.25">
      <c r="A3233" s="37">
        <v>37522</v>
      </c>
      <c r="B3233" s="37" t="s">
        <v>23981</v>
      </c>
      <c r="C3233" s="37" t="s">
        <v>2348</v>
      </c>
      <c r="D3233" s="37" t="s">
        <v>2351</v>
      </c>
      <c r="E3233" s="213">
        <v>361980.28</v>
      </c>
    </row>
    <row r="3234" spans="1:5" ht="14.25">
      <c r="A3234" s="37">
        <v>21109</v>
      </c>
      <c r="B3234" s="37" t="s">
        <v>23982</v>
      </c>
      <c r="C3234" s="37" t="s">
        <v>2348</v>
      </c>
      <c r="D3234" s="37" t="s">
        <v>2351</v>
      </c>
      <c r="E3234" s="212">
        <v>36.39</v>
      </c>
    </row>
    <row r="3235" spans="1:5" ht="14.25">
      <c r="A3235" s="37">
        <v>11769</v>
      </c>
      <c r="B3235" s="37" t="s">
        <v>28032</v>
      </c>
      <c r="C3235" s="37" t="s">
        <v>2348</v>
      </c>
      <c r="D3235" s="37" t="s">
        <v>2349</v>
      </c>
      <c r="E3235" s="212">
        <v>271.14</v>
      </c>
    </row>
    <row r="3236" spans="1:5" ht="14.25">
      <c r="A3236" s="37">
        <v>36793</v>
      </c>
      <c r="B3236" s="37" t="s">
        <v>28033</v>
      </c>
      <c r="C3236" s="37" t="s">
        <v>2348</v>
      </c>
      <c r="D3236" s="37" t="s">
        <v>2349</v>
      </c>
      <c r="E3236" s="212">
        <v>613.54999999999995</v>
      </c>
    </row>
    <row r="3237" spans="1:5" ht="14.25">
      <c r="A3237" s="37">
        <v>37546</v>
      </c>
      <c r="B3237" s="37" t="s">
        <v>23983</v>
      </c>
      <c r="C3237" s="37" t="s">
        <v>2348</v>
      </c>
      <c r="D3237" s="37" t="s">
        <v>2351</v>
      </c>
      <c r="E3237" s="213">
        <v>12207.83</v>
      </c>
    </row>
    <row r="3238" spans="1:5" ht="14.25">
      <c r="A3238" s="37">
        <v>37544</v>
      </c>
      <c r="B3238" s="37" t="s">
        <v>23984</v>
      </c>
      <c r="C3238" s="37" t="s">
        <v>2348</v>
      </c>
      <c r="D3238" s="37" t="s">
        <v>2351</v>
      </c>
      <c r="E3238" s="213">
        <v>12911.83</v>
      </c>
    </row>
    <row r="3239" spans="1:5" ht="14.25">
      <c r="A3239" s="37">
        <v>37545</v>
      </c>
      <c r="B3239" s="37" t="s">
        <v>23985</v>
      </c>
      <c r="C3239" s="37" t="s">
        <v>2348</v>
      </c>
      <c r="D3239" s="37" t="s">
        <v>2351</v>
      </c>
      <c r="E3239" s="213">
        <v>15363.35</v>
      </c>
    </row>
    <row r="3240" spans="1:5" ht="14.25">
      <c r="A3240" s="37">
        <v>11771</v>
      </c>
      <c r="B3240" s="37" t="s">
        <v>28034</v>
      </c>
      <c r="C3240" s="37" t="s">
        <v>2348</v>
      </c>
      <c r="D3240" s="37" t="s">
        <v>2349</v>
      </c>
      <c r="E3240" s="212">
        <v>332.11</v>
      </c>
    </row>
    <row r="3241" spans="1:5" ht="14.25">
      <c r="A3241" s="37">
        <v>39919</v>
      </c>
      <c r="B3241" s="37" t="s">
        <v>23986</v>
      </c>
      <c r="C3241" s="37" t="s">
        <v>2348</v>
      </c>
      <c r="D3241" s="37" t="s">
        <v>2351</v>
      </c>
      <c r="E3241" s="213">
        <v>61106.96</v>
      </c>
    </row>
    <row r="3242" spans="1:5" ht="14.25">
      <c r="A3242" s="37">
        <v>38385</v>
      </c>
      <c r="B3242" s="37" t="s">
        <v>23987</v>
      </c>
      <c r="C3242" s="37" t="s">
        <v>2348</v>
      </c>
      <c r="D3242" s="37" t="s">
        <v>2349</v>
      </c>
      <c r="E3242" s="212">
        <v>43.73</v>
      </c>
    </row>
    <row r="3243" spans="1:5" ht="14.25">
      <c r="A3243" s="37">
        <v>37587</v>
      </c>
      <c r="B3243" s="37" t="s">
        <v>28035</v>
      </c>
      <c r="C3243" s="37" t="s">
        <v>2348</v>
      </c>
      <c r="D3243" s="37" t="s">
        <v>2349</v>
      </c>
      <c r="E3243" s="212">
        <v>357.94</v>
      </c>
    </row>
    <row r="3244" spans="1:5" ht="14.25">
      <c r="A3244" s="37">
        <v>36800</v>
      </c>
      <c r="B3244" s="37" t="s">
        <v>28036</v>
      </c>
      <c r="C3244" s="37" t="s">
        <v>2348</v>
      </c>
      <c r="D3244" s="37" t="s">
        <v>2349</v>
      </c>
      <c r="E3244" s="212">
        <v>162.91999999999999</v>
      </c>
    </row>
    <row r="3245" spans="1:5" ht="14.25">
      <c r="A3245" s="37">
        <v>11561</v>
      </c>
      <c r="B3245" s="37" t="s">
        <v>23988</v>
      </c>
      <c r="C3245" s="37" t="s">
        <v>2348</v>
      </c>
      <c r="D3245" s="37" t="s">
        <v>2349</v>
      </c>
      <c r="E3245" s="212">
        <v>207.27</v>
      </c>
    </row>
    <row r="3246" spans="1:5" ht="14.25">
      <c r="A3246" s="37">
        <v>43604</v>
      </c>
      <c r="B3246" s="37" t="s">
        <v>23989</v>
      </c>
      <c r="C3246" s="37" t="s">
        <v>2348</v>
      </c>
      <c r="D3246" s="37" t="s">
        <v>2349</v>
      </c>
      <c r="E3246" s="212">
        <v>110.5</v>
      </c>
    </row>
    <row r="3247" spans="1:5" ht="14.25">
      <c r="A3247" s="37">
        <v>11560</v>
      </c>
      <c r="B3247" s="37" t="s">
        <v>23990</v>
      </c>
      <c r="C3247" s="37" t="s">
        <v>2348</v>
      </c>
      <c r="D3247" s="37" t="s">
        <v>2349</v>
      </c>
      <c r="E3247" s="212">
        <v>159.97999999999999</v>
      </c>
    </row>
    <row r="3248" spans="1:5" ht="14.25">
      <c r="A3248" s="37">
        <v>11499</v>
      </c>
      <c r="B3248" s="37" t="s">
        <v>23991</v>
      </c>
      <c r="C3248" s="37" t="s">
        <v>2348</v>
      </c>
      <c r="D3248" s="37" t="s">
        <v>2349</v>
      </c>
      <c r="E3248" s="212">
        <v>667.01</v>
      </c>
    </row>
    <row r="3249" spans="1:5" ht="14.25">
      <c r="A3249" s="37">
        <v>34761</v>
      </c>
      <c r="B3249" s="37" t="s">
        <v>23992</v>
      </c>
      <c r="C3249" s="37" t="s">
        <v>2352</v>
      </c>
      <c r="D3249" s="37" t="s">
        <v>2349</v>
      </c>
      <c r="E3249" s="212">
        <v>18.07</v>
      </c>
    </row>
    <row r="3250" spans="1:5" ht="14.25">
      <c r="A3250" s="37">
        <v>40924</v>
      </c>
      <c r="B3250" s="37" t="s">
        <v>23993</v>
      </c>
      <c r="C3250" s="37" t="s">
        <v>2369</v>
      </c>
      <c r="D3250" s="37" t="s">
        <v>2349</v>
      </c>
      <c r="E3250" s="213">
        <v>3179.28</v>
      </c>
    </row>
    <row r="3251" spans="1:5" ht="14.25">
      <c r="A3251" s="37">
        <v>40983</v>
      </c>
      <c r="B3251" s="37" t="s">
        <v>23994</v>
      </c>
      <c r="C3251" s="37" t="s">
        <v>2369</v>
      </c>
      <c r="D3251" s="37" t="s">
        <v>2349</v>
      </c>
      <c r="E3251" s="213">
        <v>3640.69</v>
      </c>
    </row>
    <row r="3252" spans="1:5" ht="14.25">
      <c r="A3252" s="37">
        <v>44497</v>
      </c>
      <c r="B3252" s="37" t="s">
        <v>28037</v>
      </c>
      <c r="C3252" s="37" t="s">
        <v>2352</v>
      </c>
      <c r="D3252" s="37" t="s">
        <v>2349</v>
      </c>
      <c r="E3252" s="212">
        <v>20.7</v>
      </c>
    </row>
    <row r="3253" spans="1:5" ht="14.25">
      <c r="A3253" s="37">
        <v>2437</v>
      </c>
      <c r="B3253" s="37" t="s">
        <v>23995</v>
      </c>
      <c r="C3253" s="37" t="s">
        <v>2352</v>
      </c>
      <c r="D3253" s="37" t="s">
        <v>2349</v>
      </c>
      <c r="E3253" s="212">
        <v>28.98</v>
      </c>
    </row>
    <row r="3254" spans="1:5" ht="14.25">
      <c r="A3254" s="37">
        <v>40921</v>
      </c>
      <c r="B3254" s="37" t="s">
        <v>23996</v>
      </c>
      <c r="C3254" s="37" t="s">
        <v>2369</v>
      </c>
      <c r="D3254" s="37" t="s">
        <v>2349</v>
      </c>
      <c r="E3254" s="213">
        <v>5099.71</v>
      </c>
    </row>
    <row r="3255" spans="1:5" ht="14.25">
      <c r="A3255" s="37">
        <v>14252</v>
      </c>
      <c r="B3255" s="37" t="s">
        <v>23997</v>
      </c>
      <c r="C3255" s="37" t="s">
        <v>2348</v>
      </c>
      <c r="D3255" s="37" t="s">
        <v>2349</v>
      </c>
      <c r="E3255" s="213">
        <v>2700.93</v>
      </c>
    </row>
    <row r="3256" spans="1:5" ht="14.25">
      <c r="A3256" s="37">
        <v>730</v>
      </c>
      <c r="B3256" s="37" t="s">
        <v>23998</v>
      </c>
      <c r="C3256" s="37" t="s">
        <v>2348</v>
      </c>
      <c r="D3256" s="37" t="s">
        <v>2349</v>
      </c>
      <c r="E3256" s="213">
        <v>7216.39</v>
      </c>
    </row>
    <row r="3257" spans="1:5" ht="14.25">
      <c r="A3257" s="37">
        <v>723</v>
      </c>
      <c r="B3257" s="37" t="s">
        <v>23999</v>
      </c>
      <c r="C3257" s="37" t="s">
        <v>2348</v>
      </c>
      <c r="D3257" s="37" t="s">
        <v>2349</v>
      </c>
      <c r="E3257" s="213">
        <v>3586.8</v>
      </c>
    </row>
    <row r="3258" spans="1:5" ht="14.25">
      <c r="A3258" s="37">
        <v>36502</v>
      </c>
      <c r="B3258" s="37" t="s">
        <v>24000</v>
      </c>
      <c r="C3258" s="37" t="s">
        <v>2348</v>
      </c>
      <c r="D3258" s="37" t="s">
        <v>2349</v>
      </c>
      <c r="E3258" s="213">
        <v>3371.16</v>
      </c>
    </row>
    <row r="3259" spans="1:5" ht="14.25">
      <c r="A3259" s="37">
        <v>36503</v>
      </c>
      <c r="B3259" s="37" t="s">
        <v>24001</v>
      </c>
      <c r="C3259" s="37" t="s">
        <v>2348</v>
      </c>
      <c r="D3259" s="37" t="s">
        <v>2349</v>
      </c>
      <c r="E3259" s="213">
        <v>4157.04</v>
      </c>
    </row>
    <row r="3260" spans="1:5" ht="14.25">
      <c r="A3260" s="37">
        <v>4090</v>
      </c>
      <c r="B3260" s="37" t="s">
        <v>24002</v>
      </c>
      <c r="C3260" s="37" t="s">
        <v>2348</v>
      </c>
      <c r="D3260" s="37" t="s">
        <v>2353</v>
      </c>
      <c r="E3260" s="213">
        <v>1019500</v>
      </c>
    </row>
    <row r="3261" spans="1:5" ht="14.25">
      <c r="A3261" s="37">
        <v>13227</v>
      </c>
      <c r="B3261" s="37" t="s">
        <v>24003</v>
      </c>
      <c r="C3261" s="37" t="s">
        <v>2348</v>
      </c>
      <c r="D3261" s="37" t="s">
        <v>2349</v>
      </c>
      <c r="E3261" s="213">
        <v>1266855.8799999999</v>
      </c>
    </row>
    <row r="3262" spans="1:5" ht="14.25">
      <c r="A3262" s="37">
        <v>10597</v>
      </c>
      <c r="B3262" s="37" t="s">
        <v>24004</v>
      </c>
      <c r="C3262" s="37" t="s">
        <v>2348</v>
      </c>
      <c r="D3262" s="37" t="s">
        <v>2349</v>
      </c>
      <c r="E3262" s="213">
        <v>1333529.24</v>
      </c>
    </row>
    <row r="3263" spans="1:5" ht="14.25">
      <c r="A3263" s="37">
        <v>39628</v>
      </c>
      <c r="B3263" s="37" t="s">
        <v>24005</v>
      </c>
      <c r="C3263" s="37" t="s">
        <v>2348</v>
      </c>
      <c r="D3263" s="37" t="s">
        <v>2351</v>
      </c>
      <c r="E3263" s="213">
        <v>4094.61</v>
      </c>
    </row>
    <row r="3264" spans="1:5" ht="14.25">
      <c r="A3264" s="37">
        <v>39404</v>
      </c>
      <c r="B3264" s="37" t="s">
        <v>24006</v>
      </c>
      <c r="C3264" s="37" t="s">
        <v>2348</v>
      </c>
      <c r="D3264" s="37" t="s">
        <v>2351</v>
      </c>
      <c r="E3264" s="213">
        <v>2030.38</v>
      </c>
    </row>
    <row r="3265" spans="1:5" ht="14.25">
      <c r="A3265" s="37">
        <v>39402</v>
      </c>
      <c r="B3265" s="37" t="s">
        <v>24007</v>
      </c>
      <c r="C3265" s="37" t="s">
        <v>2348</v>
      </c>
      <c r="D3265" s="37" t="s">
        <v>2351</v>
      </c>
      <c r="E3265" s="213">
        <v>1672.65</v>
      </c>
    </row>
    <row r="3266" spans="1:5" ht="14.25">
      <c r="A3266" s="37">
        <v>39403</v>
      </c>
      <c r="B3266" s="37" t="s">
        <v>24008</v>
      </c>
      <c r="C3266" s="37" t="s">
        <v>2348</v>
      </c>
      <c r="D3266" s="37" t="s">
        <v>2351</v>
      </c>
      <c r="E3266" s="213">
        <v>1636.26</v>
      </c>
    </row>
    <row r="3267" spans="1:5" ht="14.25">
      <c r="A3267" s="37">
        <v>4093</v>
      </c>
      <c r="B3267" s="37" t="s">
        <v>24009</v>
      </c>
      <c r="C3267" s="37" t="s">
        <v>2352</v>
      </c>
      <c r="D3267" s="37" t="s">
        <v>2349</v>
      </c>
      <c r="E3267" s="212">
        <v>19.77</v>
      </c>
    </row>
    <row r="3268" spans="1:5" ht="14.25">
      <c r="A3268" s="37">
        <v>10512</v>
      </c>
      <c r="B3268" s="37" t="s">
        <v>24010</v>
      </c>
      <c r="C3268" s="37" t="s">
        <v>2369</v>
      </c>
      <c r="D3268" s="37" t="s">
        <v>2349</v>
      </c>
      <c r="E3268" s="213">
        <v>3478</v>
      </c>
    </row>
    <row r="3269" spans="1:5" ht="14.25">
      <c r="A3269" s="37">
        <v>20020</v>
      </c>
      <c r="B3269" s="37" t="s">
        <v>24011</v>
      </c>
      <c r="C3269" s="37" t="s">
        <v>2352</v>
      </c>
      <c r="D3269" s="37" t="s">
        <v>2349</v>
      </c>
      <c r="E3269" s="212">
        <v>18.649999999999999</v>
      </c>
    </row>
    <row r="3270" spans="1:5" ht="14.25">
      <c r="A3270" s="37">
        <v>41038</v>
      </c>
      <c r="B3270" s="37" t="s">
        <v>24012</v>
      </c>
      <c r="C3270" s="37" t="s">
        <v>2369</v>
      </c>
      <c r="D3270" s="37" t="s">
        <v>2349</v>
      </c>
      <c r="E3270" s="213">
        <v>3280.63</v>
      </c>
    </row>
    <row r="3271" spans="1:5" ht="14.25">
      <c r="A3271" s="37">
        <v>4094</v>
      </c>
      <c r="B3271" s="37" t="s">
        <v>24013</v>
      </c>
      <c r="C3271" s="37" t="s">
        <v>2352</v>
      </c>
      <c r="D3271" s="37" t="s">
        <v>2349</v>
      </c>
      <c r="E3271" s="212">
        <v>26.39</v>
      </c>
    </row>
    <row r="3272" spans="1:5" ht="14.25">
      <c r="A3272" s="37">
        <v>40988</v>
      </c>
      <c r="B3272" s="37" t="s">
        <v>24014</v>
      </c>
      <c r="C3272" s="37" t="s">
        <v>2369</v>
      </c>
      <c r="D3272" s="37" t="s">
        <v>2349</v>
      </c>
      <c r="E3272" s="213">
        <v>4644.63</v>
      </c>
    </row>
    <row r="3273" spans="1:5" ht="14.25">
      <c r="A3273" s="37">
        <v>4095</v>
      </c>
      <c r="B3273" s="37" t="s">
        <v>24015</v>
      </c>
      <c r="C3273" s="37" t="s">
        <v>2352</v>
      </c>
      <c r="D3273" s="37" t="s">
        <v>2349</v>
      </c>
      <c r="E3273" s="212">
        <v>19.059999999999999</v>
      </c>
    </row>
    <row r="3274" spans="1:5" ht="14.25">
      <c r="A3274" s="37">
        <v>40990</v>
      </c>
      <c r="B3274" s="37" t="s">
        <v>24016</v>
      </c>
      <c r="C3274" s="37" t="s">
        <v>2369</v>
      </c>
      <c r="D3274" s="37" t="s">
        <v>2349</v>
      </c>
      <c r="E3274" s="213">
        <v>3352.72</v>
      </c>
    </row>
    <row r="3275" spans="1:5" ht="14.25">
      <c r="A3275" s="37">
        <v>4097</v>
      </c>
      <c r="B3275" s="37" t="s">
        <v>24017</v>
      </c>
      <c r="C3275" s="37" t="s">
        <v>2352</v>
      </c>
      <c r="D3275" s="37" t="s">
        <v>2349</v>
      </c>
      <c r="E3275" s="212">
        <v>22.7</v>
      </c>
    </row>
    <row r="3276" spans="1:5" ht="14.25">
      <c r="A3276" s="37">
        <v>40994</v>
      </c>
      <c r="B3276" s="37" t="s">
        <v>24018</v>
      </c>
      <c r="C3276" s="37" t="s">
        <v>2369</v>
      </c>
      <c r="D3276" s="37" t="s">
        <v>2349</v>
      </c>
      <c r="E3276" s="213">
        <v>3996.4</v>
      </c>
    </row>
    <row r="3277" spans="1:5" ht="14.25">
      <c r="A3277" s="37">
        <v>4096</v>
      </c>
      <c r="B3277" s="37" t="s">
        <v>24019</v>
      </c>
      <c r="C3277" s="37" t="s">
        <v>2352</v>
      </c>
      <c r="D3277" s="37" t="s">
        <v>2349</v>
      </c>
      <c r="E3277" s="212">
        <v>22.94</v>
      </c>
    </row>
    <row r="3278" spans="1:5" ht="14.25">
      <c r="A3278" s="37">
        <v>40992</v>
      </c>
      <c r="B3278" s="37" t="s">
        <v>24020</v>
      </c>
      <c r="C3278" s="37" t="s">
        <v>2369</v>
      </c>
      <c r="D3278" s="37" t="s">
        <v>2349</v>
      </c>
      <c r="E3278" s="213">
        <v>4035.22</v>
      </c>
    </row>
    <row r="3279" spans="1:5" ht="14.25">
      <c r="A3279" s="37">
        <v>4114</v>
      </c>
      <c r="B3279" s="37" t="s">
        <v>24021</v>
      </c>
      <c r="C3279" s="37" t="s">
        <v>2348</v>
      </c>
      <c r="D3279" s="37" t="s">
        <v>2349</v>
      </c>
      <c r="E3279" s="212">
        <v>69.37</v>
      </c>
    </row>
    <row r="3280" spans="1:5" ht="14.25">
      <c r="A3280" s="37">
        <v>36797</v>
      </c>
      <c r="B3280" s="37" t="s">
        <v>24022</v>
      </c>
      <c r="C3280" s="37" t="s">
        <v>2348</v>
      </c>
      <c r="D3280" s="37" t="s">
        <v>2349</v>
      </c>
      <c r="E3280" s="212">
        <v>61.77</v>
      </c>
    </row>
    <row r="3281" spans="1:5" ht="14.25">
      <c r="A3281" s="37">
        <v>4107</v>
      </c>
      <c r="B3281" s="37" t="s">
        <v>24023</v>
      </c>
      <c r="C3281" s="37" t="s">
        <v>2348</v>
      </c>
      <c r="D3281" s="37" t="s">
        <v>2349</v>
      </c>
      <c r="E3281" s="212">
        <v>58.24</v>
      </c>
    </row>
    <row r="3282" spans="1:5" ht="14.25">
      <c r="A3282" s="37">
        <v>4102</v>
      </c>
      <c r="B3282" s="37" t="s">
        <v>24024</v>
      </c>
      <c r="C3282" s="37" t="s">
        <v>2348</v>
      </c>
      <c r="D3282" s="37" t="s">
        <v>2353</v>
      </c>
      <c r="E3282" s="212">
        <v>71.09</v>
      </c>
    </row>
    <row r="3283" spans="1:5" ht="14.25">
      <c r="A3283" s="37">
        <v>36799</v>
      </c>
      <c r="B3283" s="37" t="s">
        <v>24025</v>
      </c>
      <c r="C3283" s="37" t="s">
        <v>2348</v>
      </c>
      <c r="D3283" s="37" t="s">
        <v>2349</v>
      </c>
      <c r="E3283" s="212">
        <v>59.95</v>
      </c>
    </row>
    <row r="3284" spans="1:5" ht="14.25">
      <c r="A3284" s="37">
        <v>2747</v>
      </c>
      <c r="B3284" s="37" t="s">
        <v>24026</v>
      </c>
      <c r="C3284" s="37" t="s">
        <v>2355</v>
      </c>
      <c r="D3284" s="37" t="s">
        <v>2351</v>
      </c>
      <c r="E3284" s="212">
        <v>24.29</v>
      </c>
    </row>
    <row r="3285" spans="1:5" ht="14.25">
      <c r="A3285" s="37">
        <v>21138</v>
      </c>
      <c r="B3285" s="37" t="s">
        <v>24027</v>
      </c>
      <c r="C3285" s="37" t="s">
        <v>2355</v>
      </c>
      <c r="D3285" s="37" t="s">
        <v>2351</v>
      </c>
      <c r="E3285" s="212">
        <v>7.7</v>
      </c>
    </row>
    <row r="3286" spans="1:5" ht="14.25">
      <c r="A3286" s="37">
        <v>10826</v>
      </c>
      <c r="B3286" s="37" t="s">
        <v>24028</v>
      </c>
      <c r="C3286" s="37" t="s">
        <v>2348</v>
      </c>
      <c r="D3286" s="37" t="s">
        <v>2349</v>
      </c>
      <c r="E3286" s="212">
        <v>64.650000000000006</v>
      </c>
    </row>
    <row r="3287" spans="1:5" ht="14.25">
      <c r="A3287" s="37">
        <v>365</v>
      </c>
      <c r="B3287" s="37" t="s">
        <v>24029</v>
      </c>
      <c r="C3287" s="37" t="s">
        <v>2348</v>
      </c>
      <c r="D3287" s="37" t="s">
        <v>2349</v>
      </c>
      <c r="E3287" s="212">
        <v>40.08</v>
      </c>
    </row>
    <row r="3288" spans="1:5" ht="14.25">
      <c r="A3288" s="37">
        <v>38639</v>
      </c>
      <c r="B3288" s="37" t="s">
        <v>24030</v>
      </c>
      <c r="C3288" s="37" t="s">
        <v>2348</v>
      </c>
      <c r="D3288" s="37" t="s">
        <v>2349</v>
      </c>
      <c r="E3288" s="212">
        <v>155.16999999999999</v>
      </c>
    </row>
    <row r="3289" spans="1:5" ht="14.25">
      <c r="A3289" s="37">
        <v>38640</v>
      </c>
      <c r="B3289" s="37" t="s">
        <v>24031</v>
      </c>
      <c r="C3289" s="37" t="s">
        <v>2348</v>
      </c>
      <c r="D3289" s="37" t="s">
        <v>2349</v>
      </c>
      <c r="E3289" s="212">
        <v>2.3199999999999998</v>
      </c>
    </row>
    <row r="3290" spans="1:5" ht="14.25">
      <c r="A3290" s="37">
        <v>358</v>
      </c>
      <c r="B3290" s="37" t="s">
        <v>24032</v>
      </c>
      <c r="C3290" s="37" t="s">
        <v>2348</v>
      </c>
      <c r="D3290" s="37" t="s">
        <v>2349</v>
      </c>
      <c r="E3290" s="212">
        <v>47.84</v>
      </c>
    </row>
    <row r="3291" spans="1:5" ht="14.25">
      <c r="A3291" s="37">
        <v>359</v>
      </c>
      <c r="B3291" s="37" t="s">
        <v>24033</v>
      </c>
      <c r="C3291" s="37" t="s">
        <v>2348</v>
      </c>
      <c r="D3291" s="37" t="s">
        <v>2349</v>
      </c>
      <c r="E3291" s="212">
        <v>98.27</v>
      </c>
    </row>
    <row r="3292" spans="1:5" ht="14.25">
      <c r="A3292" s="37">
        <v>38641</v>
      </c>
      <c r="B3292" s="37" t="s">
        <v>24034</v>
      </c>
      <c r="C3292" s="37" t="s">
        <v>2348</v>
      </c>
      <c r="D3292" s="37" t="s">
        <v>2349</v>
      </c>
      <c r="E3292" s="212">
        <v>96.98</v>
      </c>
    </row>
    <row r="3293" spans="1:5" ht="14.25">
      <c r="A3293" s="37">
        <v>360</v>
      </c>
      <c r="B3293" s="37" t="s">
        <v>24035</v>
      </c>
      <c r="C3293" s="37" t="s">
        <v>2348</v>
      </c>
      <c r="D3293" s="37" t="s">
        <v>2353</v>
      </c>
      <c r="E3293" s="212">
        <v>2.25</v>
      </c>
    </row>
    <row r="3294" spans="1:5" ht="14.25">
      <c r="A3294" s="37">
        <v>42430</v>
      </c>
      <c r="B3294" s="37" t="s">
        <v>24036</v>
      </c>
      <c r="C3294" s="37" t="s">
        <v>2348</v>
      </c>
      <c r="D3294" s="37" t="s">
        <v>2351</v>
      </c>
      <c r="E3294" s="213">
        <v>5649.42</v>
      </c>
    </row>
    <row r="3295" spans="1:5" ht="14.25">
      <c r="A3295" s="37">
        <v>4214</v>
      </c>
      <c r="B3295" s="37" t="s">
        <v>24037</v>
      </c>
      <c r="C3295" s="37" t="s">
        <v>2348</v>
      </c>
      <c r="D3295" s="37" t="s">
        <v>2349</v>
      </c>
      <c r="E3295" s="212">
        <v>14.82</v>
      </c>
    </row>
    <row r="3296" spans="1:5" ht="14.25">
      <c r="A3296" s="37">
        <v>4215</v>
      </c>
      <c r="B3296" s="37" t="s">
        <v>24038</v>
      </c>
      <c r="C3296" s="37" t="s">
        <v>2348</v>
      </c>
      <c r="D3296" s="37" t="s">
        <v>2349</v>
      </c>
      <c r="E3296" s="212">
        <v>9.75</v>
      </c>
    </row>
    <row r="3297" spans="1:5" ht="14.25">
      <c r="A3297" s="37">
        <v>4210</v>
      </c>
      <c r="B3297" s="37" t="s">
        <v>24039</v>
      </c>
      <c r="C3297" s="37" t="s">
        <v>2348</v>
      </c>
      <c r="D3297" s="37" t="s">
        <v>2349</v>
      </c>
      <c r="E3297" s="212">
        <v>1.64</v>
      </c>
    </row>
    <row r="3298" spans="1:5" ht="14.25">
      <c r="A3298" s="37">
        <v>4212</v>
      </c>
      <c r="B3298" s="37" t="s">
        <v>24040</v>
      </c>
      <c r="C3298" s="37" t="s">
        <v>2348</v>
      </c>
      <c r="D3298" s="37" t="s">
        <v>2349</v>
      </c>
      <c r="E3298" s="212">
        <v>4.71</v>
      </c>
    </row>
    <row r="3299" spans="1:5" ht="14.25">
      <c r="A3299" s="37">
        <v>4213</v>
      </c>
      <c r="B3299" s="37" t="s">
        <v>24041</v>
      </c>
      <c r="C3299" s="37" t="s">
        <v>2348</v>
      </c>
      <c r="D3299" s="37" t="s">
        <v>2349</v>
      </c>
      <c r="E3299" s="212">
        <v>21.05</v>
      </c>
    </row>
    <row r="3300" spans="1:5" ht="14.25">
      <c r="A3300" s="37">
        <v>4211</v>
      </c>
      <c r="B3300" s="37" t="s">
        <v>24042</v>
      </c>
      <c r="C3300" s="37" t="s">
        <v>2348</v>
      </c>
      <c r="D3300" s="37" t="s">
        <v>2349</v>
      </c>
      <c r="E3300" s="212">
        <v>2.35</v>
      </c>
    </row>
    <row r="3301" spans="1:5" ht="14.25">
      <c r="A3301" s="37">
        <v>4209</v>
      </c>
      <c r="B3301" s="37" t="s">
        <v>24043</v>
      </c>
      <c r="C3301" s="37" t="s">
        <v>2348</v>
      </c>
      <c r="D3301" s="37" t="s">
        <v>2351</v>
      </c>
      <c r="E3301" s="212">
        <v>20.28</v>
      </c>
    </row>
    <row r="3302" spans="1:5" ht="14.25">
      <c r="A3302" s="37">
        <v>4180</v>
      </c>
      <c r="B3302" s="37" t="s">
        <v>24044</v>
      </c>
      <c r="C3302" s="37" t="s">
        <v>2348</v>
      </c>
      <c r="D3302" s="37" t="s">
        <v>2351</v>
      </c>
      <c r="E3302" s="212">
        <v>15.27</v>
      </c>
    </row>
    <row r="3303" spans="1:5" ht="14.25">
      <c r="A3303" s="37">
        <v>4177</v>
      </c>
      <c r="B3303" s="37" t="s">
        <v>24045</v>
      </c>
      <c r="C3303" s="37" t="s">
        <v>2348</v>
      </c>
      <c r="D3303" s="37" t="s">
        <v>2351</v>
      </c>
      <c r="E3303" s="212">
        <v>5.07</v>
      </c>
    </row>
    <row r="3304" spans="1:5" ht="14.25">
      <c r="A3304" s="37">
        <v>4179</v>
      </c>
      <c r="B3304" s="37" t="s">
        <v>24046</v>
      </c>
      <c r="C3304" s="37" t="s">
        <v>2348</v>
      </c>
      <c r="D3304" s="37" t="s">
        <v>2351</v>
      </c>
      <c r="E3304" s="212">
        <v>10.37</v>
      </c>
    </row>
    <row r="3305" spans="1:5" ht="14.25">
      <c r="A3305" s="37">
        <v>4208</v>
      </c>
      <c r="B3305" s="37" t="s">
        <v>24047</v>
      </c>
      <c r="C3305" s="37" t="s">
        <v>2348</v>
      </c>
      <c r="D3305" s="37" t="s">
        <v>2351</v>
      </c>
      <c r="E3305" s="212">
        <v>48.28</v>
      </c>
    </row>
    <row r="3306" spans="1:5" ht="14.25">
      <c r="A3306" s="37">
        <v>4181</v>
      </c>
      <c r="B3306" s="37" t="s">
        <v>24048</v>
      </c>
      <c r="C3306" s="37" t="s">
        <v>2348</v>
      </c>
      <c r="D3306" s="37" t="s">
        <v>2351</v>
      </c>
      <c r="E3306" s="212">
        <v>31.55</v>
      </c>
    </row>
    <row r="3307" spans="1:5" ht="14.25">
      <c r="A3307" s="37">
        <v>4178</v>
      </c>
      <c r="B3307" s="37" t="s">
        <v>24049</v>
      </c>
      <c r="C3307" s="37" t="s">
        <v>2348</v>
      </c>
      <c r="D3307" s="37" t="s">
        <v>2351</v>
      </c>
      <c r="E3307" s="212">
        <v>7.03</v>
      </c>
    </row>
    <row r="3308" spans="1:5" ht="14.25">
      <c r="A3308" s="37">
        <v>4182</v>
      </c>
      <c r="B3308" s="37" t="s">
        <v>24050</v>
      </c>
      <c r="C3308" s="37" t="s">
        <v>2348</v>
      </c>
      <c r="D3308" s="37" t="s">
        <v>2351</v>
      </c>
      <c r="E3308" s="212">
        <v>78.540000000000006</v>
      </c>
    </row>
    <row r="3309" spans="1:5" ht="14.25">
      <c r="A3309" s="37">
        <v>4183</v>
      </c>
      <c r="B3309" s="37" t="s">
        <v>24051</v>
      </c>
      <c r="C3309" s="37" t="s">
        <v>2348</v>
      </c>
      <c r="D3309" s="37" t="s">
        <v>2351</v>
      </c>
      <c r="E3309" s="212">
        <v>126.45</v>
      </c>
    </row>
    <row r="3310" spans="1:5" ht="14.25">
      <c r="A3310" s="37">
        <v>4184</v>
      </c>
      <c r="B3310" s="37" t="s">
        <v>24052</v>
      </c>
      <c r="C3310" s="37" t="s">
        <v>2348</v>
      </c>
      <c r="D3310" s="37" t="s">
        <v>2351</v>
      </c>
      <c r="E3310" s="212">
        <v>279.14</v>
      </c>
    </row>
    <row r="3311" spans="1:5" ht="14.25">
      <c r="A3311" s="37">
        <v>4185</v>
      </c>
      <c r="B3311" s="37" t="s">
        <v>24053</v>
      </c>
      <c r="C3311" s="37" t="s">
        <v>2348</v>
      </c>
      <c r="D3311" s="37" t="s">
        <v>2351</v>
      </c>
      <c r="E3311" s="212">
        <v>463.8</v>
      </c>
    </row>
    <row r="3312" spans="1:5" ht="14.25">
      <c r="A3312" s="37">
        <v>4205</v>
      </c>
      <c r="B3312" s="37" t="s">
        <v>24054</v>
      </c>
      <c r="C3312" s="37" t="s">
        <v>2348</v>
      </c>
      <c r="D3312" s="37" t="s">
        <v>2351</v>
      </c>
      <c r="E3312" s="212">
        <v>26.79</v>
      </c>
    </row>
    <row r="3313" spans="1:5" ht="14.25">
      <c r="A3313" s="37">
        <v>4192</v>
      </c>
      <c r="B3313" s="37" t="s">
        <v>24055</v>
      </c>
      <c r="C3313" s="37" t="s">
        <v>2348</v>
      </c>
      <c r="D3313" s="37" t="s">
        <v>2351</v>
      </c>
      <c r="E3313" s="212">
        <v>26.79</v>
      </c>
    </row>
    <row r="3314" spans="1:5" ht="14.25">
      <c r="A3314" s="37">
        <v>4191</v>
      </c>
      <c r="B3314" s="37" t="s">
        <v>24056</v>
      </c>
      <c r="C3314" s="37" t="s">
        <v>2348</v>
      </c>
      <c r="D3314" s="37" t="s">
        <v>2351</v>
      </c>
      <c r="E3314" s="212">
        <v>26.79</v>
      </c>
    </row>
    <row r="3315" spans="1:5" ht="14.25">
      <c r="A3315" s="37">
        <v>4207</v>
      </c>
      <c r="B3315" s="37" t="s">
        <v>24057</v>
      </c>
      <c r="C3315" s="37" t="s">
        <v>2348</v>
      </c>
      <c r="D3315" s="37" t="s">
        <v>2351</v>
      </c>
      <c r="E3315" s="212">
        <v>21.55</v>
      </c>
    </row>
    <row r="3316" spans="1:5" ht="14.25">
      <c r="A3316" s="37">
        <v>4206</v>
      </c>
      <c r="B3316" s="37" t="s">
        <v>24058</v>
      </c>
      <c r="C3316" s="37" t="s">
        <v>2348</v>
      </c>
      <c r="D3316" s="37" t="s">
        <v>2351</v>
      </c>
      <c r="E3316" s="212">
        <v>20.93</v>
      </c>
    </row>
    <row r="3317" spans="1:5" ht="14.25">
      <c r="A3317" s="37">
        <v>4190</v>
      </c>
      <c r="B3317" s="37" t="s">
        <v>24059</v>
      </c>
      <c r="C3317" s="37" t="s">
        <v>2348</v>
      </c>
      <c r="D3317" s="37" t="s">
        <v>2351</v>
      </c>
      <c r="E3317" s="212">
        <v>20.93</v>
      </c>
    </row>
    <row r="3318" spans="1:5" ht="14.25">
      <c r="A3318" s="37">
        <v>4186</v>
      </c>
      <c r="B3318" s="37" t="s">
        <v>24060</v>
      </c>
      <c r="C3318" s="37" t="s">
        <v>2348</v>
      </c>
      <c r="D3318" s="37" t="s">
        <v>2351</v>
      </c>
      <c r="E3318" s="212">
        <v>6.19</v>
      </c>
    </row>
    <row r="3319" spans="1:5" ht="14.25">
      <c r="A3319" s="37">
        <v>4188</v>
      </c>
      <c r="B3319" s="37" t="s">
        <v>24061</v>
      </c>
      <c r="C3319" s="37" t="s">
        <v>2348</v>
      </c>
      <c r="D3319" s="37" t="s">
        <v>2351</v>
      </c>
      <c r="E3319" s="212">
        <v>12.63</v>
      </c>
    </row>
    <row r="3320" spans="1:5" ht="14.25">
      <c r="A3320" s="37">
        <v>4189</v>
      </c>
      <c r="B3320" s="37" t="s">
        <v>24062</v>
      </c>
      <c r="C3320" s="37" t="s">
        <v>2348</v>
      </c>
      <c r="D3320" s="37" t="s">
        <v>2351</v>
      </c>
      <c r="E3320" s="212">
        <v>12.63</v>
      </c>
    </row>
    <row r="3321" spans="1:5" ht="14.25">
      <c r="A3321" s="37">
        <v>4197</v>
      </c>
      <c r="B3321" s="37" t="s">
        <v>24063</v>
      </c>
      <c r="C3321" s="37" t="s">
        <v>2348</v>
      </c>
      <c r="D3321" s="37" t="s">
        <v>2351</v>
      </c>
      <c r="E3321" s="212">
        <v>66.88</v>
      </c>
    </row>
    <row r="3322" spans="1:5" ht="14.25">
      <c r="A3322" s="37">
        <v>4194</v>
      </c>
      <c r="B3322" s="37" t="s">
        <v>24064</v>
      </c>
      <c r="C3322" s="37" t="s">
        <v>2348</v>
      </c>
      <c r="D3322" s="37" t="s">
        <v>2351</v>
      </c>
      <c r="E3322" s="212">
        <v>40.409999999999997</v>
      </c>
    </row>
    <row r="3323" spans="1:5" ht="14.25">
      <c r="A3323" s="37">
        <v>4193</v>
      </c>
      <c r="B3323" s="37" t="s">
        <v>24065</v>
      </c>
      <c r="C3323" s="37" t="s">
        <v>2348</v>
      </c>
      <c r="D3323" s="37" t="s">
        <v>2351</v>
      </c>
      <c r="E3323" s="212">
        <v>40.409999999999997</v>
      </c>
    </row>
    <row r="3324" spans="1:5" ht="14.25">
      <c r="A3324" s="37">
        <v>4204</v>
      </c>
      <c r="B3324" s="37" t="s">
        <v>24066</v>
      </c>
      <c r="C3324" s="37" t="s">
        <v>2348</v>
      </c>
      <c r="D3324" s="37" t="s">
        <v>2351</v>
      </c>
      <c r="E3324" s="212">
        <v>40.409999999999997</v>
      </c>
    </row>
    <row r="3325" spans="1:5" ht="14.25">
      <c r="A3325" s="37">
        <v>4187</v>
      </c>
      <c r="B3325" s="37" t="s">
        <v>24067</v>
      </c>
      <c r="C3325" s="37" t="s">
        <v>2348</v>
      </c>
      <c r="D3325" s="37" t="s">
        <v>2351</v>
      </c>
      <c r="E3325" s="212">
        <v>8.0500000000000007</v>
      </c>
    </row>
    <row r="3326" spans="1:5" ht="14.25">
      <c r="A3326" s="37">
        <v>4202</v>
      </c>
      <c r="B3326" s="37" t="s">
        <v>24068</v>
      </c>
      <c r="C3326" s="37" t="s">
        <v>2348</v>
      </c>
      <c r="D3326" s="37" t="s">
        <v>2351</v>
      </c>
      <c r="E3326" s="212">
        <v>122.14</v>
      </c>
    </row>
    <row r="3327" spans="1:5" ht="14.25">
      <c r="A3327" s="37">
        <v>4203</v>
      </c>
      <c r="B3327" s="37" t="s">
        <v>24069</v>
      </c>
      <c r="C3327" s="37" t="s">
        <v>2348</v>
      </c>
      <c r="D3327" s="37" t="s">
        <v>2351</v>
      </c>
      <c r="E3327" s="212">
        <v>107.87</v>
      </c>
    </row>
    <row r="3328" spans="1:5" ht="14.25">
      <c r="A3328" s="37">
        <v>40368</v>
      </c>
      <c r="B3328" s="37" t="s">
        <v>24070</v>
      </c>
      <c r="C3328" s="37" t="s">
        <v>2348</v>
      </c>
      <c r="D3328" s="37" t="s">
        <v>2349</v>
      </c>
      <c r="E3328" s="212">
        <v>63.5</v>
      </c>
    </row>
    <row r="3329" spans="1:5" ht="14.25">
      <c r="A3329" s="37">
        <v>40365</v>
      </c>
      <c r="B3329" s="37" t="s">
        <v>24071</v>
      </c>
      <c r="C3329" s="37" t="s">
        <v>2348</v>
      </c>
      <c r="D3329" s="37" t="s">
        <v>2349</v>
      </c>
      <c r="E3329" s="212">
        <v>42.84</v>
      </c>
    </row>
    <row r="3330" spans="1:5" ht="14.25">
      <c r="A3330" s="37">
        <v>40356</v>
      </c>
      <c r="B3330" s="37" t="s">
        <v>24072</v>
      </c>
      <c r="C3330" s="37" t="s">
        <v>2348</v>
      </c>
      <c r="D3330" s="37" t="s">
        <v>2349</v>
      </c>
      <c r="E3330" s="212">
        <v>14.63</v>
      </c>
    </row>
    <row r="3331" spans="1:5" ht="14.25">
      <c r="A3331" s="37">
        <v>40362</v>
      </c>
      <c r="B3331" s="37" t="s">
        <v>24073</v>
      </c>
      <c r="C3331" s="37" t="s">
        <v>2348</v>
      </c>
      <c r="D3331" s="37" t="s">
        <v>2349</v>
      </c>
      <c r="E3331" s="212">
        <v>28.37</v>
      </c>
    </row>
    <row r="3332" spans="1:5" ht="14.25">
      <c r="A3332" s="37">
        <v>40374</v>
      </c>
      <c r="B3332" s="37" t="s">
        <v>24074</v>
      </c>
      <c r="C3332" s="37" t="s">
        <v>2348</v>
      </c>
      <c r="D3332" s="37" t="s">
        <v>2349</v>
      </c>
      <c r="E3332" s="212">
        <v>165.96</v>
      </c>
    </row>
    <row r="3333" spans="1:5" ht="14.25">
      <c r="A3333" s="37">
        <v>40371</v>
      </c>
      <c r="B3333" s="37" t="s">
        <v>24075</v>
      </c>
      <c r="C3333" s="37" t="s">
        <v>2348</v>
      </c>
      <c r="D3333" s="37" t="s">
        <v>2349</v>
      </c>
      <c r="E3333" s="212">
        <v>104.47</v>
      </c>
    </row>
    <row r="3334" spans="1:5" ht="14.25">
      <c r="A3334" s="37">
        <v>40359</v>
      </c>
      <c r="B3334" s="37" t="s">
        <v>24076</v>
      </c>
      <c r="C3334" s="37" t="s">
        <v>2348</v>
      </c>
      <c r="D3334" s="37" t="s">
        <v>2349</v>
      </c>
      <c r="E3334" s="212">
        <v>18.91</v>
      </c>
    </row>
    <row r="3335" spans="1:5" ht="14.25">
      <c r="A3335" s="37">
        <v>7595</v>
      </c>
      <c r="B3335" s="37" t="s">
        <v>24077</v>
      </c>
      <c r="C3335" s="37" t="s">
        <v>2352</v>
      </c>
      <c r="D3335" s="37" t="s">
        <v>2349</v>
      </c>
      <c r="E3335" s="212">
        <v>13.5</v>
      </c>
    </row>
    <row r="3336" spans="1:5" ht="14.25">
      <c r="A3336" s="37">
        <v>41094</v>
      </c>
      <c r="B3336" s="37" t="s">
        <v>24078</v>
      </c>
      <c r="C3336" s="37" t="s">
        <v>2369</v>
      </c>
      <c r="D3336" s="37" t="s">
        <v>2349</v>
      </c>
      <c r="E3336" s="213">
        <v>2376.65</v>
      </c>
    </row>
    <row r="3337" spans="1:5" ht="14.25">
      <c r="A3337" s="37">
        <v>39609</v>
      </c>
      <c r="B3337" s="37" t="s">
        <v>24079</v>
      </c>
      <c r="C3337" s="37" t="s">
        <v>2348</v>
      </c>
      <c r="D3337" s="37" t="s">
        <v>2351</v>
      </c>
      <c r="E3337" s="213">
        <v>68456.479999999996</v>
      </c>
    </row>
    <row r="3338" spans="1:5" ht="14.25">
      <c r="A3338" s="37">
        <v>39610</v>
      </c>
      <c r="B3338" s="37" t="s">
        <v>24080</v>
      </c>
      <c r="C3338" s="37" t="s">
        <v>2348</v>
      </c>
      <c r="D3338" s="37" t="s">
        <v>2351</v>
      </c>
      <c r="E3338" s="213">
        <v>99925.11</v>
      </c>
    </row>
    <row r="3339" spans="1:5" ht="14.25">
      <c r="A3339" s="37">
        <v>39611</v>
      </c>
      <c r="B3339" s="37" t="s">
        <v>24081</v>
      </c>
      <c r="C3339" s="37" t="s">
        <v>2348</v>
      </c>
      <c r="D3339" s="37" t="s">
        <v>2351</v>
      </c>
      <c r="E3339" s="213">
        <v>120925.74</v>
      </c>
    </row>
    <row r="3340" spans="1:5" ht="14.25">
      <c r="A3340" s="37">
        <v>39612</v>
      </c>
      <c r="B3340" s="37" t="s">
        <v>24082</v>
      </c>
      <c r="C3340" s="37" t="s">
        <v>2348</v>
      </c>
      <c r="D3340" s="37" t="s">
        <v>2351</v>
      </c>
      <c r="E3340" s="213">
        <v>189432.9</v>
      </c>
    </row>
    <row r="3341" spans="1:5" ht="14.25">
      <c r="A3341" s="37">
        <v>39608</v>
      </c>
      <c r="B3341" s="37" t="s">
        <v>24083</v>
      </c>
      <c r="C3341" s="37" t="s">
        <v>2348</v>
      </c>
      <c r="D3341" s="37" t="s">
        <v>2351</v>
      </c>
      <c r="E3341" s="213">
        <v>54737.08</v>
      </c>
    </row>
    <row r="3342" spans="1:5" ht="14.25">
      <c r="A3342" s="37">
        <v>38175</v>
      </c>
      <c r="B3342" s="37" t="s">
        <v>24084</v>
      </c>
      <c r="C3342" s="37" t="s">
        <v>2348</v>
      </c>
      <c r="D3342" s="37" t="s">
        <v>2349</v>
      </c>
      <c r="E3342" s="212">
        <v>4.1500000000000004</v>
      </c>
    </row>
    <row r="3343" spans="1:5" ht="14.25">
      <c r="A3343" s="37">
        <v>38176</v>
      </c>
      <c r="B3343" s="37" t="s">
        <v>24085</v>
      </c>
      <c r="C3343" s="37" t="s">
        <v>2348</v>
      </c>
      <c r="D3343" s="37" t="s">
        <v>2349</v>
      </c>
      <c r="E3343" s="212">
        <v>12.23</v>
      </c>
    </row>
    <row r="3344" spans="1:5" ht="14.25">
      <c r="A3344" s="37">
        <v>36152</v>
      </c>
      <c r="B3344" s="37" t="s">
        <v>24086</v>
      </c>
      <c r="C3344" s="37" t="s">
        <v>2348</v>
      </c>
      <c r="D3344" s="37" t="s">
        <v>2349</v>
      </c>
      <c r="E3344" s="212">
        <v>5.81</v>
      </c>
    </row>
    <row r="3345" spans="1:5" ht="14.25">
      <c r="A3345" s="37">
        <v>11138</v>
      </c>
      <c r="B3345" s="37" t="s">
        <v>24087</v>
      </c>
      <c r="C3345" s="37" t="s">
        <v>2363</v>
      </c>
      <c r="D3345" s="37" t="s">
        <v>2349</v>
      </c>
      <c r="E3345" s="212">
        <v>3.29</v>
      </c>
    </row>
    <row r="3346" spans="1:5" ht="14.25">
      <c r="A3346" s="37">
        <v>4221</v>
      </c>
      <c r="B3346" s="37" t="s">
        <v>24088</v>
      </c>
      <c r="C3346" s="37" t="s">
        <v>2363</v>
      </c>
      <c r="D3346" s="37" t="s">
        <v>2353</v>
      </c>
      <c r="E3346" s="212">
        <v>5.1100000000000003</v>
      </c>
    </row>
    <row r="3347" spans="1:5" ht="14.25">
      <c r="A3347" s="37">
        <v>4227</v>
      </c>
      <c r="B3347" s="37" t="s">
        <v>24089</v>
      </c>
      <c r="C3347" s="37" t="s">
        <v>2363</v>
      </c>
      <c r="D3347" s="37" t="s">
        <v>2353</v>
      </c>
      <c r="E3347" s="212">
        <v>27.5</v>
      </c>
    </row>
    <row r="3348" spans="1:5" ht="14.25">
      <c r="A3348" s="37">
        <v>38170</v>
      </c>
      <c r="B3348" s="37" t="s">
        <v>24090</v>
      </c>
      <c r="C3348" s="37" t="s">
        <v>2348</v>
      </c>
      <c r="D3348" s="37" t="s">
        <v>2349</v>
      </c>
      <c r="E3348" s="212">
        <v>18.16</v>
      </c>
    </row>
    <row r="3349" spans="1:5" ht="14.25">
      <c r="A3349" s="37">
        <v>4252</v>
      </c>
      <c r="B3349" s="37" t="s">
        <v>24091</v>
      </c>
      <c r="C3349" s="37" t="s">
        <v>2352</v>
      </c>
      <c r="D3349" s="37" t="s">
        <v>2349</v>
      </c>
      <c r="E3349" s="212">
        <v>24.19</v>
      </c>
    </row>
    <row r="3350" spans="1:5" ht="14.25">
      <c r="A3350" s="37">
        <v>40980</v>
      </c>
      <c r="B3350" s="37" t="s">
        <v>24092</v>
      </c>
      <c r="C3350" s="37" t="s">
        <v>2369</v>
      </c>
      <c r="D3350" s="37" t="s">
        <v>2349</v>
      </c>
      <c r="E3350" s="213">
        <v>4255.2</v>
      </c>
    </row>
    <row r="3351" spans="1:5" ht="14.25">
      <c r="A3351" s="37">
        <v>4243</v>
      </c>
      <c r="B3351" s="37" t="s">
        <v>24093</v>
      </c>
      <c r="C3351" s="37" t="s">
        <v>2352</v>
      </c>
      <c r="D3351" s="37" t="s">
        <v>2349</v>
      </c>
      <c r="E3351" s="212">
        <v>17.809999999999999</v>
      </c>
    </row>
    <row r="3352" spans="1:5" ht="14.25">
      <c r="A3352" s="37">
        <v>41031</v>
      </c>
      <c r="B3352" s="37" t="s">
        <v>24094</v>
      </c>
      <c r="C3352" s="37" t="s">
        <v>2369</v>
      </c>
      <c r="D3352" s="37" t="s">
        <v>2349</v>
      </c>
      <c r="E3352" s="213">
        <v>3135.9</v>
      </c>
    </row>
    <row r="3353" spans="1:5" ht="14.25">
      <c r="A3353" s="37">
        <v>37666</v>
      </c>
      <c r="B3353" s="37" t="s">
        <v>24095</v>
      </c>
      <c r="C3353" s="37" t="s">
        <v>2352</v>
      </c>
      <c r="D3353" s="37" t="s">
        <v>2349</v>
      </c>
      <c r="E3353" s="212">
        <v>17.2</v>
      </c>
    </row>
    <row r="3354" spans="1:5" ht="14.25">
      <c r="A3354" s="37">
        <v>40986</v>
      </c>
      <c r="B3354" s="37" t="s">
        <v>24096</v>
      </c>
      <c r="C3354" s="37" t="s">
        <v>2369</v>
      </c>
      <c r="D3354" s="37" t="s">
        <v>2349</v>
      </c>
      <c r="E3354" s="213">
        <v>3026.24</v>
      </c>
    </row>
    <row r="3355" spans="1:5" ht="14.25">
      <c r="A3355" s="37">
        <v>4250</v>
      </c>
      <c r="B3355" s="37" t="s">
        <v>24097</v>
      </c>
      <c r="C3355" s="37" t="s">
        <v>2352</v>
      </c>
      <c r="D3355" s="37" t="s">
        <v>2349</v>
      </c>
      <c r="E3355" s="212">
        <v>20.81</v>
      </c>
    </row>
    <row r="3356" spans="1:5" ht="14.25">
      <c r="A3356" s="37">
        <v>40978</v>
      </c>
      <c r="B3356" s="37" t="s">
        <v>24098</v>
      </c>
      <c r="C3356" s="37" t="s">
        <v>2369</v>
      </c>
      <c r="D3356" s="37" t="s">
        <v>2349</v>
      </c>
      <c r="E3356" s="213">
        <v>3661.92</v>
      </c>
    </row>
    <row r="3357" spans="1:5" ht="14.25">
      <c r="A3357" s="37">
        <v>41043</v>
      </c>
      <c r="B3357" s="37" t="s">
        <v>24099</v>
      </c>
      <c r="C3357" s="37" t="s">
        <v>2369</v>
      </c>
      <c r="D3357" s="37" t="s">
        <v>2349</v>
      </c>
      <c r="E3357" s="213">
        <v>3859.57</v>
      </c>
    </row>
    <row r="3358" spans="1:5" ht="14.25">
      <c r="A3358" s="37">
        <v>44501</v>
      </c>
      <c r="B3358" s="37" t="s">
        <v>28038</v>
      </c>
      <c r="C3358" s="37" t="s">
        <v>2352</v>
      </c>
      <c r="D3358" s="37" t="s">
        <v>2349</v>
      </c>
      <c r="E3358" s="212">
        <v>21.93</v>
      </c>
    </row>
    <row r="3359" spans="1:5" ht="14.25">
      <c r="A3359" s="37">
        <v>4234</v>
      </c>
      <c r="B3359" s="37" t="s">
        <v>24100</v>
      </c>
      <c r="C3359" s="37" t="s">
        <v>2352</v>
      </c>
      <c r="D3359" s="37" t="s">
        <v>2353</v>
      </c>
      <c r="E3359" s="212">
        <v>24.04</v>
      </c>
    </row>
    <row r="3360" spans="1:5" ht="14.25">
      <c r="A3360" s="37">
        <v>40987</v>
      </c>
      <c r="B3360" s="37" t="s">
        <v>24101</v>
      </c>
      <c r="C3360" s="37" t="s">
        <v>2369</v>
      </c>
      <c r="D3360" s="37" t="s">
        <v>2349</v>
      </c>
      <c r="E3360" s="213">
        <v>4227.99</v>
      </c>
    </row>
    <row r="3361" spans="1:5" ht="14.25">
      <c r="A3361" s="37">
        <v>4253</v>
      </c>
      <c r="B3361" s="37" t="s">
        <v>24102</v>
      </c>
      <c r="C3361" s="37" t="s">
        <v>2352</v>
      </c>
      <c r="D3361" s="37" t="s">
        <v>2349</v>
      </c>
      <c r="E3361" s="212">
        <v>19.059999999999999</v>
      </c>
    </row>
    <row r="3362" spans="1:5" ht="14.25">
      <c r="A3362" s="37">
        <v>40981</v>
      </c>
      <c r="B3362" s="37" t="s">
        <v>24103</v>
      </c>
      <c r="C3362" s="37" t="s">
        <v>2369</v>
      </c>
      <c r="D3362" s="37" t="s">
        <v>2349</v>
      </c>
      <c r="E3362" s="213">
        <v>3352.72</v>
      </c>
    </row>
    <row r="3363" spans="1:5" ht="14.25">
      <c r="A3363" s="37">
        <v>4254</v>
      </c>
      <c r="B3363" s="37" t="s">
        <v>24104</v>
      </c>
      <c r="C3363" s="37" t="s">
        <v>2352</v>
      </c>
      <c r="D3363" s="37" t="s">
        <v>2349</v>
      </c>
      <c r="E3363" s="212">
        <v>35.56</v>
      </c>
    </row>
    <row r="3364" spans="1:5" ht="14.25">
      <c r="A3364" s="37">
        <v>41036</v>
      </c>
      <c r="B3364" s="37" t="s">
        <v>24105</v>
      </c>
      <c r="C3364" s="37" t="s">
        <v>2369</v>
      </c>
      <c r="D3364" s="37" t="s">
        <v>2349</v>
      </c>
      <c r="E3364" s="213">
        <v>6255.94</v>
      </c>
    </row>
    <row r="3365" spans="1:5" ht="14.25">
      <c r="A3365" s="37">
        <v>4251</v>
      </c>
      <c r="B3365" s="37" t="s">
        <v>24106</v>
      </c>
      <c r="C3365" s="37" t="s">
        <v>2352</v>
      </c>
      <c r="D3365" s="37" t="s">
        <v>2349</v>
      </c>
      <c r="E3365" s="212">
        <v>21.52</v>
      </c>
    </row>
    <row r="3366" spans="1:5" ht="14.25">
      <c r="A3366" s="37">
        <v>40979</v>
      </c>
      <c r="B3366" s="37" t="s">
        <v>24107</v>
      </c>
      <c r="C3366" s="37" t="s">
        <v>2369</v>
      </c>
      <c r="D3366" s="37" t="s">
        <v>2349</v>
      </c>
      <c r="E3366" s="213">
        <v>3785</v>
      </c>
    </row>
    <row r="3367" spans="1:5" ht="14.25">
      <c r="A3367" s="37">
        <v>4230</v>
      </c>
      <c r="B3367" s="37" t="s">
        <v>24108</v>
      </c>
      <c r="C3367" s="37" t="s">
        <v>2352</v>
      </c>
      <c r="D3367" s="37" t="s">
        <v>2349</v>
      </c>
      <c r="E3367" s="212">
        <v>22.73</v>
      </c>
    </row>
    <row r="3368" spans="1:5" ht="14.25">
      <c r="A3368" s="37">
        <v>40998</v>
      </c>
      <c r="B3368" s="37" t="s">
        <v>24109</v>
      </c>
      <c r="C3368" s="37" t="s">
        <v>2369</v>
      </c>
      <c r="D3368" s="37" t="s">
        <v>2349</v>
      </c>
      <c r="E3368" s="213">
        <v>4000.19</v>
      </c>
    </row>
    <row r="3369" spans="1:5" ht="14.25">
      <c r="A3369" s="37">
        <v>4257</v>
      </c>
      <c r="B3369" s="37" t="s">
        <v>24110</v>
      </c>
      <c r="C3369" s="37" t="s">
        <v>2352</v>
      </c>
      <c r="D3369" s="37" t="s">
        <v>2349</v>
      </c>
      <c r="E3369" s="212">
        <v>11.21</v>
      </c>
    </row>
    <row r="3370" spans="1:5" ht="14.25">
      <c r="A3370" s="37">
        <v>40982</v>
      </c>
      <c r="B3370" s="37" t="s">
        <v>24111</v>
      </c>
      <c r="C3370" s="37" t="s">
        <v>2369</v>
      </c>
      <c r="D3370" s="37" t="s">
        <v>2349</v>
      </c>
      <c r="E3370" s="213">
        <v>1973.59</v>
      </c>
    </row>
    <row r="3371" spans="1:5" ht="14.25">
      <c r="A3371" s="37">
        <v>4240</v>
      </c>
      <c r="B3371" s="37" t="s">
        <v>24112</v>
      </c>
      <c r="C3371" s="37" t="s">
        <v>2352</v>
      </c>
      <c r="D3371" s="37" t="s">
        <v>2349</v>
      </c>
      <c r="E3371" s="212">
        <v>22.32</v>
      </c>
    </row>
    <row r="3372" spans="1:5" ht="14.25">
      <c r="A3372" s="37">
        <v>41026</v>
      </c>
      <c r="B3372" s="37" t="s">
        <v>24113</v>
      </c>
      <c r="C3372" s="37" t="s">
        <v>2369</v>
      </c>
      <c r="D3372" s="37" t="s">
        <v>2349</v>
      </c>
      <c r="E3372" s="213">
        <v>3925.36</v>
      </c>
    </row>
    <row r="3373" spans="1:5" ht="14.25">
      <c r="A3373" s="37">
        <v>4239</v>
      </c>
      <c r="B3373" s="37" t="s">
        <v>24114</v>
      </c>
      <c r="C3373" s="37" t="s">
        <v>2352</v>
      </c>
      <c r="D3373" s="37" t="s">
        <v>2349</v>
      </c>
      <c r="E3373" s="212">
        <v>27.36</v>
      </c>
    </row>
    <row r="3374" spans="1:5" ht="14.25">
      <c r="A3374" s="37">
        <v>41024</v>
      </c>
      <c r="B3374" s="37" t="s">
        <v>24115</v>
      </c>
      <c r="C3374" s="37" t="s">
        <v>2369</v>
      </c>
      <c r="D3374" s="37" t="s">
        <v>2349</v>
      </c>
      <c r="E3374" s="213">
        <v>4815.68</v>
      </c>
    </row>
    <row r="3375" spans="1:5" ht="14.25">
      <c r="A3375" s="37">
        <v>4248</v>
      </c>
      <c r="B3375" s="37" t="s">
        <v>24116</v>
      </c>
      <c r="C3375" s="37" t="s">
        <v>2352</v>
      </c>
      <c r="D3375" s="37" t="s">
        <v>2349</v>
      </c>
      <c r="E3375" s="212">
        <v>21.52</v>
      </c>
    </row>
    <row r="3376" spans="1:5" ht="14.25">
      <c r="A3376" s="37">
        <v>41033</v>
      </c>
      <c r="B3376" s="37" t="s">
        <v>24117</v>
      </c>
      <c r="C3376" s="37" t="s">
        <v>2369</v>
      </c>
      <c r="D3376" s="37" t="s">
        <v>2349</v>
      </c>
      <c r="E3376" s="213">
        <v>3786.16</v>
      </c>
    </row>
    <row r="3377" spans="1:5" ht="14.25">
      <c r="A3377" s="37">
        <v>41040</v>
      </c>
      <c r="B3377" s="37" t="s">
        <v>24118</v>
      </c>
      <c r="C3377" s="37" t="s">
        <v>2369</v>
      </c>
      <c r="D3377" s="37" t="s">
        <v>2349</v>
      </c>
      <c r="E3377" s="213">
        <v>4052.54</v>
      </c>
    </row>
    <row r="3378" spans="1:5" ht="14.25">
      <c r="A3378" s="37">
        <v>44500</v>
      </c>
      <c r="B3378" s="37" t="s">
        <v>28039</v>
      </c>
      <c r="C3378" s="37" t="s">
        <v>2352</v>
      </c>
      <c r="D3378" s="37" t="s">
        <v>2349</v>
      </c>
      <c r="E3378" s="212">
        <v>23.03</v>
      </c>
    </row>
    <row r="3379" spans="1:5" ht="14.25">
      <c r="A3379" s="37">
        <v>4238</v>
      </c>
      <c r="B3379" s="37" t="s">
        <v>24119</v>
      </c>
      <c r="C3379" s="37" t="s">
        <v>2352</v>
      </c>
      <c r="D3379" s="37" t="s">
        <v>2349</v>
      </c>
      <c r="E3379" s="212">
        <v>17.329999999999998</v>
      </c>
    </row>
    <row r="3380" spans="1:5" ht="14.25">
      <c r="A3380" s="37">
        <v>41012</v>
      </c>
      <c r="B3380" s="37" t="s">
        <v>24120</v>
      </c>
      <c r="C3380" s="37" t="s">
        <v>2369</v>
      </c>
      <c r="D3380" s="37" t="s">
        <v>2349</v>
      </c>
      <c r="E3380" s="213">
        <v>3051.75</v>
      </c>
    </row>
    <row r="3381" spans="1:5" ht="14.25">
      <c r="A3381" s="37">
        <v>4237</v>
      </c>
      <c r="B3381" s="37" t="s">
        <v>24121</v>
      </c>
      <c r="C3381" s="37" t="s">
        <v>2352</v>
      </c>
      <c r="D3381" s="37" t="s">
        <v>2349</v>
      </c>
      <c r="E3381" s="212">
        <v>25.1</v>
      </c>
    </row>
    <row r="3382" spans="1:5" ht="14.25">
      <c r="A3382" s="37">
        <v>41002</v>
      </c>
      <c r="B3382" s="37" t="s">
        <v>24122</v>
      </c>
      <c r="C3382" s="37" t="s">
        <v>2369</v>
      </c>
      <c r="D3382" s="37" t="s">
        <v>2349</v>
      </c>
      <c r="E3382" s="213">
        <v>4416.7</v>
      </c>
    </row>
    <row r="3383" spans="1:5" ht="14.25">
      <c r="A3383" s="37">
        <v>4233</v>
      </c>
      <c r="B3383" s="37" t="s">
        <v>24123</v>
      </c>
      <c r="C3383" s="37" t="s">
        <v>2352</v>
      </c>
      <c r="D3383" s="37" t="s">
        <v>2349</v>
      </c>
      <c r="E3383" s="212">
        <v>19.77</v>
      </c>
    </row>
    <row r="3384" spans="1:5" ht="14.25">
      <c r="A3384" s="37">
        <v>41001</v>
      </c>
      <c r="B3384" s="37" t="s">
        <v>24124</v>
      </c>
      <c r="C3384" s="37" t="s">
        <v>2369</v>
      </c>
      <c r="D3384" s="37" t="s">
        <v>2349</v>
      </c>
      <c r="E3384" s="213">
        <v>3480.18</v>
      </c>
    </row>
    <row r="3385" spans="1:5" ht="14.25">
      <c r="A3385" s="37">
        <v>2</v>
      </c>
      <c r="B3385" s="37" t="s">
        <v>24125</v>
      </c>
      <c r="C3385" s="37" t="s">
        <v>28760</v>
      </c>
      <c r="D3385" s="37" t="s">
        <v>2349</v>
      </c>
      <c r="E3385" s="212">
        <v>10.95</v>
      </c>
    </row>
    <row r="3386" spans="1:5" ht="14.25">
      <c r="A3386" s="37">
        <v>36517</v>
      </c>
      <c r="B3386" s="37" t="s">
        <v>24126</v>
      </c>
      <c r="C3386" s="37" t="s">
        <v>2348</v>
      </c>
      <c r="D3386" s="37" t="s">
        <v>2349</v>
      </c>
      <c r="E3386" s="213">
        <v>586080</v>
      </c>
    </row>
    <row r="3387" spans="1:5" ht="14.25">
      <c r="A3387" s="37">
        <v>4262</v>
      </c>
      <c r="B3387" s="37" t="s">
        <v>24127</v>
      </c>
      <c r="C3387" s="37" t="s">
        <v>2348</v>
      </c>
      <c r="D3387" s="37" t="s">
        <v>2353</v>
      </c>
      <c r="E3387" s="213">
        <v>660000</v>
      </c>
    </row>
    <row r="3388" spans="1:5" ht="14.25">
      <c r="A3388" s="37">
        <v>4263</v>
      </c>
      <c r="B3388" s="37" t="s">
        <v>24128</v>
      </c>
      <c r="C3388" s="37" t="s">
        <v>2348</v>
      </c>
      <c r="D3388" s="37" t="s">
        <v>2349</v>
      </c>
      <c r="E3388" s="213">
        <v>915199.95</v>
      </c>
    </row>
    <row r="3389" spans="1:5" ht="14.25">
      <c r="A3389" s="37">
        <v>36518</v>
      </c>
      <c r="B3389" s="37" t="s">
        <v>24129</v>
      </c>
      <c r="C3389" s="37" t="s">
        <v>2348</v>
      </c>
      <c r="D3389" s="37" t="s">
        <v>2349</v>
      </c>
      <c r="E3389" s="213">
        <v>1041919.95</v>
      </c>
    </row>
    <row r="3390" spans="1:5" ht="14.25">
      <c r="A3390" s="37">
        <v>14221</v>
      </c>
      <c r="B3390" s="37" t="s">
        <v>24130</v>
      </c>
      <c r="C3390" s="37" t="s">
        <v>2348</v>
      </c>
      <c r="D3390" s="37" t="s">
        <v>2349</v>
      </c>
      <c r="E3390" s="213">
        <v>608079.97</v>
      </c>
    </row>
    <row r="3391" spans="1:5" ht="14.25">
      <c r="A3391" s="37">
        <v>38402</v>
      </c>
      <c r="B3391" s="37" t="s">
        <v>24131</v>
      </c>
      <c r="C3391" s="37" t="s">
        <v>2348</v>
      </c>
      <c r="D3391" s="37" t="s">
        <v>2349</v>
      </c>
      <c r="E3391" s="212">
        <v>7.31</v>
      </c>
    </row>
    <row r="3392" spans="1:5" ht="14.25">
      <c r="A3392" s="37">
        <v>3412</v>
      </c>
      <c r="B3392" s="37" t="s">
        <v>24132</v>
      </c>
      <c r="C3392" s="37" t="s">
        <v>28761</v>
      </c>
      <c r="D3392" s="37" t="s">
        <v>2349</v>
      </c>
      <c r="E3392" s="212">
        <v>14.39</v>
      </c>
    </row>
    <row r="3393" spans="1:5" ht="14.25">
      <c r="A3393" s="37">
        <v>3413</v>
      </c>
      <c r="B3393" s="37" t="s">
        <v>24133</v>
      </c>
      <c r="C3393" s="37" t="s">
        <v>28761</v>
      </c>
      <c r="D3393" s="37" t="s">
        <v>2349</v>
      </c>
      <c r="E3393" s="212">
        <v>32.39</v>
      </c>
    </row>
    <row r="3394" spans="1:5" ht="14.25">
      <c r="A3394" s="37">
        <v>39744</v>
      </c>
      <c r="B3394" s="37" t="s">
        <v>24134</v>
      </c>
      <c r="C3394" s="37" t="s">
        <v>28761</v>
      </c>
      <c r="D3394" s="37" t="s">
        <v>2349</v>
      </c>
      <c r="E3394" s="212">
        <v>25.15</v>
      </c>
    </row>
    <row r="3395" spans="1:5" ht="14.25">
      <c r="A3395" s="37">
        <v>39745</v>
      </c>
      <c r="B3395" s="37" t="s">
        <v>24135</v>
      </c>
      <c r="C3395" s="37" t="s">
        <v>28761</v>
      </c>
      <c r="D3395" s="37" t="s">
        <v>2349</v>
      </c>
      <c r="E3395" s="212">
        <v>53.08</v>
      </c>
    </row>
    <row r="3396" spans="1:5" ht="14.25">
      <c r="A3396" s="37">
        <v>39637</v>
      </c>
      <c r="B3396" s="37" t="s">
        <v>24136</v>
      </c>
      <c r="C3396" s="37" t="s">
        <v>28761</v>
      </c>
      <c r="D3396" s="37" t="s">
        <v>2349</v>
      </c>
      <c r="E3396" s="212">
        <v>101.4</v>
      </c>
    </row>
    <row r="3397" spans="1:5" ht="14.25">
      <c r="A3397" s="37">
        <v>39638</v>
      </c>
      <c r="B3397" s="37" t="s">
        <v>24137</v>
      </c>
      <c r="C3397" s="37" t="s">
        <v>28761</v>
      </c>
      <c r="D3397" s="37" t="s">
        <v>2349</v>
      </c>
      <c r="E3397" s="212">
        <v>114.75</v>
      </c>
    </row>
    <row r="3398" spans="1:5" ht="14.25">
      <c r="A3398" s="37">
        <v>39639</v>
      </c>
      <c r="B3398" s="37" t="s">
        <v>24138</v>
      </c>
      <c r="C3398" s="37" t="s">
        <v>28761</v>
      </c>
      <c r="D3398" s="37" t="s">
        <v>2349</v>
      </c>
      <c r="E3398" s="212">
        <v>173.13</v>
      </c>
    </row>
    <row r="3399" spans="1:5" ht="14.25">
      <c r="A3399" s="37">
        <v>39517</v>
      </c>
      <c r="B3399" s="37" t="s">
        <v>24139</v>
      </c>
      <c r="C3399" s="37" t="s">
        <v>28761</v>
      </c>
      <c r="D3399" s="37" t="s">
        <v>2351</v>
      </c>
      <c r="E3399" s="212">
        <v>335.57</v>
      </c>
    </row>
    <row r="3400" spans="1:5" ht="14.25">
      <c r="A3400" s="37">
        <v>39518</v>
      </c>
      <c r="B3400" s="37" t="s">
        <v>24140</v>
      </c>
      <c r="C3400" s="37" t="s">
        <v>28761</v>
      </c>
      <c r="D3400" s="37" t="s">
        <v>2351</v>
      </c>
      <c r="E3400" s="212">
        <v>397.83</v>
      </c>
    </row>
    <row r="3401" spans="1:5" ht="14.25">
      <c r="A3401" s="37">
        <v>38366</v>
      </c>
      <c r="B3401" s="37" t="s">
        <v>24141</v>
      </c>
      <c r="C3401" s="37" t="s">
        <v>28761</v>
      </c>
      <c r="D3401" s="37" t="s">
        <v>2349</v>
      </c>
      <c r="E3401" s="212">
        <v>6.43</v>
      </c>
    </row>
    <row r="3402" spans="1:5" ht="14.25">
      <c r="A3402" s="37">
        <v>11703</v>
      </c>
      <c r="B3402" s="37" t="s">
        <v>24142</v>
      </c>
      <c r="C3402" s="37" t="s">
        <v>2348</v>
      </c>
      <c r="D3402" s="37" t="s">
        <v>2349</v>
      </c>
      <c r="E3402" s="212">
        <v>29.64</v>
      </c>
    </row>
    <row r="3403" spans="1:5" ht="14.25">
      <c r="A3403" s="37">
        <v>37400</v>
      </c>
      <c r="B3403" s="37" t="s">
        <v>24143</v>
      </c>
      <c r="C3403" s="37" t="s">
        <v>2348</v>
      </c>
      <c r="D3403" s="37" t="s">
        <v>2349</v>
      </c>
      <c r="E3403" s="212">
        <v>72.77</v>
      </c>
    </row>
    <row r="3404" spans="1:5" ht="14.25">
      <c r="A3404" s="37">
        <v>25400</v>
      </c>
      <c r="B3404" s="37" t="s">
        <v>28040</v>
      </c>
      <c r="C3404" s="37" t="s">
        <v>2348</v>
      </c>
      <c r="D3404" s="37" t="s">
        <v>2349</v>
      </c>
      <c r="E3404" s="213">
        <v>3711.59</v>
      </c>
    </row>
    <row r="3405" spans="1:5" ht="14.25">
      <c r="A3405" s="37">
        <v>4276</v>
      </c>
      <c r="B3405" s="37" t="s">
        <v>24144</v>
      </c>
      <c r="C3405" s="37" t="s">
        <v>2348</v>
      </c>
      <c r="D3405" s="37" t="s">
        <v>2349</v>
      </c>
      <c r="E3405" s="212">
        <v>153.43</v>
      </c>
    </row>
    <row r="3406" spans="1:5" ht="14.25">
      <c r="A3406" s="37">
        <v>4273</v>
      </c>
      <c r="B3406" s="37" t="s">
        <v>24145</v>
      </c>
      <c r="C3406" s="37" t="s">
        <v>2348</v>
      </c>
      <c r="D3406" s="37" t="s">
        <v>2349</v>
      </c>
      <c r="E3406" s="212">
        <v>278.56</v>
      </c>
    </row>
    <row r="3407" spans="1:5" ht="14.25">
      <c r="A3407" s="37">
        <v>4274</v>
      </c>
      <c r="B3407" s="37" t="s">
        <v>24146</v>
      </c>
      <c r="C3407" s="37" t="s">
        <v>2348</v>
      </c>
      <c r="D3407" s="37" t="s">
        <v>2353</v>
      </c>
      <c r="E3407" s="212">
        <v>101.91</v>
      </c>
    </row>
    <row r="3408" spans="1:5" ht="14.25">
      <c r="A3408" s="37">
        <v>39438</v>
      </c>
      <c r="B3408" s="37" t="s">
        <v>24147</v>
      </c>
      <c r="C3408" s="37" t="s">
        <v>2348</v>
      </c>
      <c r="D3408" s="37" t="s">
        <v>2351</v>
      </c>
      <c r="E3408" s="212">
        <v>0.24</v>
      </c>
    </row>
    <row r="3409" spans="1:5" ht="14.25">
      <c r="A3409" s="37">
        <v>11963</v>
      </c>
      <c r="B3409" s="37" t="s">
        <v>24148</v>
      </c>
      <c r="C3409" s="37" t="s">
        <v>2348</v>
      </c>
      <c r="D3409" s="37" t="s">
        <v>2351</v>
      </c>
      <c r="E3409" s="212">
        <v>8.9600000000000009</v>
      </c>
    </row>
    <row r="3410" spans="1:5" ht="14.25">
      <c r="A3410" s="37">
        <v>11964</v>
      </c>
      <c r="B3410" s="37" t="s">
        <v>24149</v>
      </c>
      <c r="C3410" s="37" t="s">
        <v>2348</v>
      </c>
      <c r="D3410" s="37" t="s">
        <v>2351</v>
      </c>
      <c r="E3410" s="212">
        <v>2.2599999999999998</v>
      </c>
    </row>
    <row r="3411" spans="1:5" ht="14.25">
      <c r="A3411" s="37">
        <v>4379</v>
      </c>
      <c r="B3411" s="37" t="s">
        <v>24150</v>
      </c>
      <c r="C3411" s="37" t="s">
        <v>2348</v>
      </c>
      <c r="D3411" s="37" t="s">
        <v>2351</v>
      </c>
      <c r="E3411" s="212">
        <v>0.04</v>
      </c>
    </row>
    <row r="3412" spans="1:5" ht="14.25">
      <c r="A3412" s="37">
        <v>4377</v>
      </c>
      <c r="B3412" s="37" t="s">
        <v>24151</v>
      </c>
      <c r="C3412" s="37" t="s">
        <v>2348</v>
      </c>
      <c r="D3412" s="37" t="s">
        <v>2351</v>
      </c>
      <c r="E3412" s="212">
        <v>0.17</v>
      </c>
    </row>
    <row r="3413" spans="1:5" ht="14.25">
      <c r="A3413" s="37">
        <v>4356</v>
      </c>
      <c r="B3413" s="37" t="s">
        <v>24152</v>
      </c>
      <c r="C3413" s="37" t="s">
        <v>2348</v>
      </c>
      <c r="D3413" s="37" t="s">
        <v>2351</v>
      </c>
      <c r="E3413" s="212">
        <v>0.24</v>
      </c>
    </row>
    <row r="3414" spans="1:5" ht="14.25">
      <c r="A3414" s="37">
        <v>13246</v>
      </c>
      <c r="B3414" s="37" t="s">
        <v>24153</v>
      </c>
      <c r="C3414" s="37" t="s">
        <v>2348</v>
      </c>
      <c r="D3414" s="37" t="s">
        <v>2351</v>
      </c>
      <c r="E3414" s="212">
        <v>0.42</v>
      </c>
    </row>
    <row r="3415" spans="1:5" ht="14.25">
      <c r="A3415" s="37">
        <v>4346</v>
      </c>
      <c r="B3415" s="37" t="s">
        <v>24154</v>
      </c>
      <c r="C3415" s="37" t="s">
        <v>2348</v>
      </c>
      <c r="D3415" s="37" t="s">
        <v>2351</v>
      </c>
      <c r="E3415" s="212">
        <v>9.6</v>
      </c>
    </row>
    <row r="3416" spans="1:5" ht="14.25">
      <c r="A3416" s="37">
        <v>11955</v>
      </c>
      <c r="B3416" s="37" t="s">
        <v>24155</v>
      </c>
      <c r="C3416" s="37" t="s">
        <v>2348</v>
      </c>
      <c r="D3416" s="37" t="s">
        <v>2351</v>
      </c>
      <c r="E3416" s="212">
        <v>4.2</v>
      </c>
    </row>
    <row r="3417" spans="1:5" ht="14.25">
      <c r="A3417" s="37">
        <v>11960</v>
      </c>
      <c r="B3417" s="37" t="s">
        <v>24156</v>
      </c>
      <c r="C3417" s="37" t="s">
        <v>2348</v>
      </c>
      <c r="D3417" s="37" t="s">
        <v>2351</v>
      </c>
      <c r="E3417" s="212">
        <v>0.14000000000000001</v>
      </c>
    </row>
    <row r="3418" spans="1:5" ht="14.25">
      <c r="A3418" s="37">
        <v>4333</v>
      </c>
      <c r="B3418" s="37" t="s">
        <v>24157</v>
      </c>
      <c r="C3418" s="37" t="s">
        <v>2348</v>
      </c>
      <c r="D3418" s="37" t="s">
        <v>2351</v>
      </c>
      <c r="E3418" s="212">
        <v>0.24</v>
      </c>
    </row>
    <row r="3419" spans="1:5" ht="14.25">
      <c r="A3419" s="37">
        <v>4358</v>
      </c>
      <c r="B3419" s="37" t="s">
        <v>24158</v>
      </c>
      <c r="C3419" s="37" t="s">
        <v>2348</v>
      </c>
      <c r="D3419" s="37" t="s">
        <v>2351</v>
      </c>
      <c r="E3419" s="212">
        <v>1.92</v>
      </c>
    </row>
    <row r="3420" spans="1:5" ht="14.25">
      <c r="A3420" s="37">
        <v>39435</v>
      </c>
      <c r="B3420" s="37" t="s">
        <v>24159</v>
      </c>
      <c r="C3420" s="37" t="s">
        <v>2348</v>
      </c>
      <c r="D3420" s="37" t="s">
        <v>2351</v>
      </c>
      <c r="E3420" s="212">
        <v>0.09</v>
      </c>
    </row>
    <row r="3421" spans="1:5" ht="14.25">
      <c r="A3421" s="37">
        <v>39436</v>
      </c>
      <c r="B3421" s="37" t="s">
        <v>24160</v>
      </c>
      <c r="C3421" s="37" t="s">
        <v>2348</v>
      </c>
      <c r="D3421" s="37" t="s">
        <v>2351</v>
      </c>
      <c r="E3421" s="212">
        <v>0.16</v>
      </c>
    </row>
    <row r="3422" spans="1:5" ht="14.25">
      <c r="A3422" s="37">
        <v>39437</v>
      </c>
      <c r="B3422" s="37" t="s">
        <v>24161</v>
      </c>
      <c r="C3422" s="37" t="s">
        <v>2348</v>
      </c>
      <c r="D3422" s="37" t="s">
        <v>2351</v>
      </c>
      <c r="E3422" s="212">
        <v>0.21</v>
      </c>
    </row>
    <row r="3423" spans="1:5" ht="14.25">
      <c r="A3423" s="37">
        <v>39439</v>
      </c>
      <c r="B3423" s="37" t="s">
        <v>24162</v>
      </c>
      <c r="C3423" s="37" t="s">
        <v>2348</v>
      </c>
      <c r="D3423" s="37" t="s">
        <v>2351</v>
      </c>
      <c r="E3423" s="212">
        <v>0.15</v>
      </c>
    </row>
    <row r="3424" spans="1:5" ht="14.25">
      <c r="A3424" s="37">
        <v>39440</v>
      </c>
      <c r="B3424" s="37" t="s">
        <v>24163</v>
      </c>
      <c r="C3424" s="37" t="s">
        <v>2348</v>
      </c>
      <c r="D3424" s="37" t="s">
        <v>2351</v>
      </c>
      <c r="E3424" s="212">
        <v>0.19</v>
      </c>
    </row>
    <row r="3425" spans="1:5" ht="14.25">
      <c r="A3425" s="37">
        <v>39441</v>
      </c>
      <c r="B3425" s="37" t="s">
        <v>24164</v>
      </c>
      <c r="C3425" s="37" t="s">
        <v>2348</v>
      </c>
      <c r="D3425" s="37" t="s">
        <v>2351</v>
      </c>
      <c r="E3425" s="212">
        <v>0.24</v>
      </c>
    </row>
    <row r="3426" spans="1:5" ht="14.25">
      <c r="A3426" s="37">
        <v>39442</v>
      </c>
      <c r="B3426" s="37" t="s">
        <v>24165</v>
      </c>
      <c r="C3426" s="37" t="s">
        <v>2348</v>
      </c>
      <c r="D3426" s="37" t="s">
        <v>2351</v>
      </c>
      <c r="E3426" s="212">
        <v>0.17</v>
      </c>
    </row>
    <row r="3427" spans="1:5" ht="14.25">
      <c r="A3427" s="37">
        <v>39443</v>
      </c>
      <c r="B3427" s="37" t="s">
        <v>24166</v>
      </c>
      <c r="C3427" s="37" t="s">
        <v>2348</v>
      </c>
      <c r="D3427" s="37" t="s">
        <v>2351</v>
      </c>
      <c r="E3427" s="212">
        <v>0.23</v>
      </c>
    </row>
    <row r="3428" spans="1:5" ht="14.25">
      <c r="A3428" s="37">
        <v>4329</v>
      </c>
      <c r="B3428" s="37" t="s">
        <v>24167</v>
      </c>
      <c r="C3428" s="37" t="s">
        <v>2348</v>
      </c>
      <c r="D3428" s="37" t="s">
        <v>2351</v>
      </c>
      <c r="E3428" s="212">
        <v>2.0499999999999998</v>
      </c>
    </row>
    <row r="3429" spans="1:5" ht="14.25">
      <c r="A3429" s="37">
        <v>4383</v>
      </c>
      <c r="B3429" s="37" t="s">
        <v>24168</v>
      </c>
      <c r="C3429" s="37" t="s">
        <v>2348</v>
      </c>
      <c r="D3429" s="37" t="s">
        <v>2351</v>
      </c>
      <c r="E3429" s="212">
        <v>18.53</v>
      </c>
    </row>
    <row r="3430" spans="1:5" ht="14.25">
      <c r="A3430" s="37">
        <v>4344</v>
      </c>
      <c r="B3430" s="37" t="s">
        <v>24169</v>
      </c>
      <c r="C3430" s="37" t="s">
        <v>2348</v>
      </c>
      <c r="D3430" s="37" t="s">
        <v>2351</v>
      </c>
      <c r="E3430" s="212">
        <v>19.43</v>
      </c>
    </row>
    <row r="3431" spans="1:5" ht="14.25">
      <c r="A3431" s="37">
        <v>436</v>
      </c>
      <c r="B3431" s="37" t="s">
        <v>24170</v>
      </c>
      <c r="C3431" s="37" t="s">
        <v>2348</v>
      </c>
      <c r="D3431" s="37" t="s">
        <v>2351</v>
      </c>
      <c r="E3431" s="212">
        <v>6.85</v>
      </c>
    </row>
    <row r="3432" spans="1:5" ht="14.25">
      <c r="A3432" s="37">
        <v>442</v>
      </c>
      <c r="B3432" s="37" t="s">
        <v>24171</v>
      </c>
      <c r="C3432" s="37" t="s">
        <v>2348</v>
      </c>
      <c r="D3432" s="37" t="s">
        <v>2351</v>
      </c>
      <c r="E3432" s="212">
        <v>4.05</v>
      </c>
    </row>
    <row r="3433" spans="1:5" ht="14.25">
      <c r="A3433" s="37">
        <v>11953</v>
      </c>
      <c r="B3433" s="37" t="s">
        <v>24172</v>
      </c>
      <c r="C3433" s="37" t="s">
        <v>2348</v>
      </c>
      <c r="D3433" s="37" t="s">
        <v>2351</v>
      </c>
      <c r="E3433" s="212">
        <v>3.08</v>
      </c>
    </row>
    <row r="3434" spans="1:5" ht="14.25">
      <c r="A3434" s="37">
        <v>4335</v>
      </c>
      <c r="B3434" s="37" t="s">
        <v>24173</v>
      </c>
      <c r="C3434" s="37" t="s">
        <v>2348</v>
      </c>
      <c r="D3434" s="37" t="s">
        <v>2351</v>
      </c>
      <c r="E3434" s="212">
        <v>13.04</v>
      </c>
    </row>
    <row r="3435" spans="1:5" ht="14.25">
      <c r="A3435" s="37">
        <v>4334</v>
      </c>
      <c r="B3435" s="37" t="s">
        <v>24174</v>
      </c>
      <c r="C3435" s="37" t="s">
        <v>2348</v>
      </c>
      <c r="D3435" s="37" t="s">
        <v>2351</v>
      </c>
      <c r="E3435" s="212">
        <v>17.89</v>
      </c>
    </row>
    <row r="3436" spans="1:5" ht="14.25">
      <c r="A3436" s="37">
        <v>4343</v>
      </c>
      <c r="B3436" s="37" t="s">
        <v>24175</v>
      </c>
      <c r="C3436" s="37" t="s">
        <v>2348</v>
      </c>
      <c r="D3436" s="37" t="s">
        <v>2351</v>
      </c>
      <c r="E3436" s="212">
        <v>4.4000000000000004</v>
      </c>
    </row>
    <row r="3437" spans="1:5" ht="14.25">
      <c r="A3437" s="37">
        <v>430</v>
      </c>
      <c r="B3437" s="37" t="s">
        <v>24176</v>
      </c>
      <c r="C3437" s="37" t="s">
        <v>2348</v>
      </c>
      <c r="D3437" s="37" t="s">
        <v>2351</v>
      </c>
      <c r="E3437" s="212">
        <v>6.13</v>
      </c>
    </row>
    <row r="3438" spans="1:5" ht="14.25">
      <c r="A3438" s="37">
        <v>441</v>
      </c>
      <c r="B3438" s="37" t="s">
        <v>24177</v>
      </c>
      <c r="C3438" s="37" t="s">
        <v>2348</v>
      </c>
      <c r="D3438" s="37" t="s">
        <v>2351</v>
      </c>
      <c r="E3438" s="212">
        <v>6.74</v>
      </c>
    </row>
    <row r="3439" spans="1:5" ht="14.25">
      <c r="A3439" s="37">
        <v>431</v>
      </c>
      <c r="B3439" s="37" t="s">
        <v>24178</v>
      </c>
      <c r="C3439" s="37" t="s">
        <v>2348</v>
      </c>
      <c r="D3439" s="37" t="s">
        <v>2351</v>
      </c>
      <c r="E3439" s="212">
        <v>8.14</v>
      </c>
    </row>
    <row r="3440" spans="1:5" ht="14.25">
      <c r="A3440" s="37">
        <v>432</v>
      </c>
      <c r="B3440" s="37" t="s">
        <v>24179</v>
      </c>
      <c r="C3440" s="37" t="s">
        <v>2348</v>
      </c>
      <c r="D3440" s="37" t="s">
        <v>2351</v>
      </c>
      <c r="E3440" s="212">
        <v>8.99</v>
      </c>
    </row>
    <row r="3441" spans="1:5" ht="14.25">
      <c r="A3441" s="37">
        <v>429</v>
      </c>
      <c r="B3441" s="37" t="s">
        <v>24180</v>
      </c>
      <c r="C3441" s="37" t="s">
        <v>2348</v>
      </c>
      <c r="D3441" s="37" t="s">
        <v>2351</v>
      </c>
      <c r="E3441" s="212">
        <v>12.11</v>
      </c>
    </row>
    <row r="3442" spans="1:5" ht="14.25">
      <c r="A3442" s="37">
        <v>439</v>
      </c>
      <c r="B3442" s="37" t="s">
        <v>24181</v>
      </c>
      <c r="C3442" s="37" t="s">
        <v>2348</v>
      </c>
      <c r="D3442" s="37" t="s">
        <v>2351</v>
      </c>
      <c r="E3442" s="212">
        <v>10.32</v>
      </c>
    </row>
    <row r="3443" spans="1:5" ht="14.25">
      <c r="A3443" s="37">
        <v>433</v>
      </c>
      <c r="B3443" s="37" t="s">
        <v>24182</v>
      </c>
      <c r="C3443" s="37" t="s">
        <v>2348</v>
      </c>
      <c r="D3443" s="37" t="s">
        <v>2351</v>
      </c>
      <c r="E3443" s="212">
        <v>12.05</v>
      </c>
    </row>
    <row r="3444" spans="1:5" ht="14.25">
      <c r="A3444" s="37">
        <v>437</v>
      </c>
      <c r="B3444" s="37" t="s">
        <v>24183</v>
      </c>
      <c r="C3444" s="37" t="s">
        <v>2348</v>
      </c>
      <c r="D3444" s="37" t="s">
        <v>2351</v>
      </c>
      <c r="E3444" s="212">
        <v>16.010000000000002</v>
      </c>
    </row>
    <row r="3445" spans="1:5" ht="14.25">
      <c r="A3445" s="37">
        <v>11790</v>
      </c>
      <c r="B3445" s="37" t="s">
        <v>24184</v>
      </c>
      <c r="C3445" s="37" t="s">
        <v>2348</v>
      </c>
      <c r="D3445" s="37" t="s">
        <v>2351</v>
      </c>
      <c r="E3445" s="212">
        <v>18.16</v>
      </c>
    </row>
    <row r="3446" spans="1:5" ht="14.25">
      <c r="A3446" s="37">
        <v>428</v>
      </c>
      <c r="B3446" s="37" t="s">
        <v>24185</v>
      </c>
      <c r="C3446" s="37" t="s">
        <v>2348</v>
      </c>
      <c r="D3446" s="37" t="s">
        <v>2351</v>
      </c>
      <c r="E3446" s="212">
        <v>19.75</v>
      </c>
    </row>
    <row r="3447" spans="1:5" ht="14.25">
      <c r="A3447" s="37">
        <v>4384</v>
      </c>
      <c r="B3447" s="37" t="s">
        <v>24186</v>
      </c>
      <c r="C3447" s="37" t="s">
        <v>2348</v>
      </c>
      <c r="D3447" s="37" t="s">
        <v>2351</v>
      </c>
      <c r="E3447" s="212">
        <v>21.3</v>
      </c>
    </row>
    <row r="3448" spans="1:5" ht="14.25">
      <c r="A3448" s="37">
        <v>4351</v>
      </c>
      <c r="B3448" s="37" t="s">
        <v>24187</v>
      </c>
      <c r="C3448" s="37" t="s">
        <v>2348</v>
      </c>
      <c r="D3448" s="37" t="s">
        <v>2351</v>
      </c>
      <c r="E3448" s="212">
        <v>15.79</v>
      </c>
    </row>
    <row r="3449" spans="1:5" ht="14.25">
      <c r="A3449" s="37">
        <v>11054</v>
      </c>
      <c r="B3449" s="37" t="s">
        <v>24188</v>
      </c>
      <c r="C3449" s="37" t="s">
        <v>2348</v>
      </c>
      <c r="D3449" s="37" t="s">
        <v>2349</v>
      </c>
      <c r="E3449" s="212">
        <v>0.06</v>
      </c>
    </row>
    <row r="3450" spans="1:5" ht="14.25">
      <c r="A3450" s="37">
        <v>11055</v>
      </c>
      <c r="B3450" s="37" t="s">
        <v>24189</v>
      </c>
      <c r="C3450" s="37" t="s">
        <v>2348</v>
      </c>
      <c r="D3450" s="37" t="s">
        <v>2349</v>
      </c>
      <c r="E3450" s="212">
        <v>0.1</v>
      </c>
    </row>
    <row r="3451" spans="1:5" ht="14.25">
      <c r="A3451" s="37">
        <v>11056</v>
      </c>
      <c r="B3451" s="37" t="s">
        <v>24190</v>
      </c>
      <c r="C3451" s="37" t="s">
        <v>2348</v>
      </c>
      <c r="D3451" s="37" t="s">
        <v>2349</v>
      </c>
      <c r="E3451" s="212">
        <v>0.11</v>
      </c>
    </row>
    <row r="3452" spans="1:5" ht="14.25">
      <c r="A3452" s="37">
        <v>11057</v>
      </c>
      <c r="B3452" s="37" t="s">
        <v>24191</v>
      </c>
      <c r="C3452" s="37" t="s">
        <v>2348</v>
      </c>
      <c r="D3452" s="37" t="s">
        <v>2349</v>
      </c>
      <c r="E3452" s="212">
        <v>0.22</v>
      </c>
    </row>
    <row r="3453" spans="1:5" ht="14.25">
      <c r="A3453" s="37">
        <v>11059</v>
      </c>
      <c r="B3453" s="37" t="s">
        <v>24192</v>
      </c>
      <c r="C3453" s="37" t="s">
        <v>2348</v>
      </c>
      <c r="D3453" s="37" t="s">
        <v>2349</v>
      </c>
      <c r="E3453" s="212">
        <v>0.42</v>
      </c>
    </row>
    <row r="3454" spans="1:5" ht="14.25">
      <c r="A3454" s="37">
        <v>11058</v>
      </c>
      <c r="B3454" s="37" t="s">
        <v>24193</v>
      </c>
      <c r="C3454" s="37" t="s">
        <v>2348</v>
      </c>
      <c r="D3454" s="37" t="s">
        <v>2349</v>
      </c>
      <c r="E3454" s="212">
        <v>0.55000000000000004</v>
      </c>
    </row>
    <row r="3455" spans="1:5" ht="14.25">
      <c r="A3455" s="37">
        <v>4380</v>
      </c>
      <c r="B3455" s="37" t="s">
        <v>24194</v>
      </c>
      <c r="C3455" s="37" t="s">
        <v>2348</v>
      </c>
      <c r="D3455" s="37" t="s">
        <v>2349</v>
      </c>
      <c r="E3455" s="212">
        <v>1.85</v>
      </c>
    </row>
    <row r="3456" spans="1:5" ht="14.25">
      <c r="A3456" s="37">
        <v>4299</v>
      </c>
      <c r="B3456" s="37" t="s">
        <v>24195</v>
      </c>
      <c r="C3456" s="37" t="s">
        <v>2348</v>
      </c>
      <c r="D3456" s="37" t="s">
        <v>2353</v>
      </c>
      <c r="E3456" s="212">
        <v>1.74</v>
      </c>
    </row>
    <row r="3457" spans="1:5" ht="14.25">
      <c r="A3457" s="37">
        <v>4304</v>
      </c>
      <c r="B3457" s="37" t="s">
        <v>24196</v>
      </c>
      <c r="C3457" s="37" t="s">
        <v>2348</v>
      </c>
      <c r="D3457" s="37" t="s">
        <v>2349</v>
      </c>
      <c r="E3457" s="212">
        <v>2.37</v>
      </c>
    </row>
    <row r="3458" spans="1:5" ht="14.25">
      <c r="A3458" s="37">
        <v>4305</v>
      </c>
      <c r="B3458" s="37" t="s">
        <v>24197</v>
      </c>
      <c r="C3458" s="37" t="s">
        <v>2348</v>
      </c>
      <c r="D3458" s="37" t="s">
        <v>2349</v>
      </c>
      <c r="E3458" s="212">
        <v>2.76</v>
      </c>
    </row>
    <row r="3459" spans="1:5" ht="14.25">
      <c r="A3459" s="37">
        <v>4306</v>
      </c>
      <c r="B3459" s="37" t="s">
        <v>24198</v>
      </c>
      <c r="C3459" s="37" t="s">
        <v>2348</v>
      </c>
      <c r="D3459" s="37" t="s">
        <v>2349</v>
      </c>
      <c r="E3459" s="212">
        <v>3.2</v>
      </c>
    </row>
    <row r="3460" spans="1:5" ht="14.25">
      <c r="A3460" s="37">
        <v>4308</v>
      </c>
      <c r="B3460" s="37" t="s">
        <v>24199</v>
      </c>
      <c r="C3460" s="37" t="s">
        <v>2348</v>
      </c>
      <c r="D3460" s="37" t="s">
        <v>2349</v>
      </c>
      <c r="E3460" s="212">
        <v>6.62</v>
      </c>
    </row>
    <row r="3461" spans="1:5" ht="14.25">
      <c r="A3461" s="37">
        <v>4302</v>
      </c>
      <c r="B3461" s="37" t="s">
        <v>24200</v>
      </c>
      <c r="C3461" s="37" t="s">
        <v>2348</v>
      </c>
      <c r="D3461" s="37" t="s">
        <v>2349</v>
      </c>
      <c r="E3461" s="212">
        <v>4.97</v>
      </c>
    </row>
    <row r="3462" spans="1:5" ht="14.25">
      <c r="A3462" s="37">
        <v>4300</v>
      </c>
      <c r="B3462" s="37" t="s">
        <v>24201</v>
      </c>
      <c r="C3462" s="37" t="s">
        <v>2348</v>
      </c>
      <c r="D3462" s="37" t="s">
        <v>2349</v>
      </c>
      <c r="E3462" s="212">
        <v>1.18</v>
      </c>
    </row>
    <row r="3463" spans="1:5" ht="14.25">
      <c r="A3463" s="37">
        <v>4301</v>
      </c>
      <c r="B3463" s="37" t="s">
        <v>24202</v>
      </c>
      <c r="C3463" s="37" t="s">
        <v>2348</v>
      </c>
      <c r="D3463" s="37" t="s">
        <v>2349</v>
      </c>
      <c r="E3463" s="212">
        <v>1.44</v>
      </c>
    </row>
    <row r="3464" spans="1:5" ht="14.25">
      <c r="A3464" s="37">
        <v>4320</v>
      </c>
      <c r="B3464" s="37" t="s">
        <v>24203</v>
      </c>
      <c r="C3464" s="37" t="s">
        <v>2348</v>
      </c>
      <c r="D3464" s="37" t="s">
        <v>2349</v>
      </c>
      <c r="E3464" s="212">
        <v>4.3899999999999997</v>
      </c>
    </row>
    <row r="3465" spans="1:5" ht="14.25">
      <c r="A3465" s="37">
        <v>4318</v>
      </c>
      <c r="B3465" s="37" t="s">
        <v>24204</v>
      </c>
      <c r="C3465" s="37" t="s">
        <v>2348</v>
      </c>
      <c r="D3465" s="37" t="s">
        <v>2349</v>
      </c>
      <c r="E3465" s="212">
        <v>2.14</v>
      </c>
    </row>
    <row r="3466" spans="1:5" ht="14.25">
      <c r="A3466" s="37">
        <v>40547</v>
      </c>
      <c r="B3466" s="37" t="s">
        <v>24205</v>
      </c>
      <c r="C3466" s="37" t="s">
        <v>2465</v>
      </c>
      <c r="D3466" s="37" t="s">
        <v>2351</v>
      </c>
      <c r="E3466" s="212">
        <v>25.88</v>
      </c>
    </row>
    <row r="3467" spans="1:5" ht="14.25">
      <c r="A3467" s="37">
        <v>11962</v>
      </c>
      <c r="B3467" s="37" t="s">
        <v>24206</v>
      </c>
      <c r="C3467" s="37" t="s">
        <v>2348</v>
      </c>
      <c r="D3467" s="37" t="s">
        <v>2351</v>
      </c>
      <c r="E3467" s="212">
        <v>0.21</v>
      </c>
    </row>
    <row r="3468" spans="1:5" ht="14.25">
      <c r="A3468" s="37">
        <v>4332</v>
      </c>
      <c r="B3468" s="37" t="s">
        <v>24207</v>
      </c>
      <c r="C3468" s="37" t="s">
        <v>2348</v>
      </c>
      <c r="D3468" s="37" t="s">
        <v>2351</v>
      </c>
      <c r="E3468" s="212">
        <v>1.03</v>
      </c>
    </row>
    <row r="3469" spans="1:5" ht="14.25">
      <c r="A3469" s="37">
        <v>4331</v>
      </c>
      <c r="B3469" s="37" t="s">
        <v>24208</v>
      </c>
      <c r="C3469" s="37" t="s">
        <v>2348</v>
      </c>
      <c r="D3469" s="37" t="s">
        <v>2351</v>
      </c>
      <c r="E3469" s="212">
        <v>3.88</v>
      </c>
    </row>
    <row r="3470" spans="1:5" ht="14.25">
      <c r="A3470" s="37">
        <v>4336</v>
      </c>
      <c r="B3470" s="37" t="s">
        <v>24209</v>
      </c>
      <c r="C3470" s="37" t="s">
        <v>2348</v>
      </c>
      <c r="D3470" s="37" t="s">
        <v>2351</v>
      </c>
      <c r="E3470" s="212">
        <v>4.97</v>
      </c>
    </row>
    <row r="3471" spans="1:5" ht="14.25">
      <c r="A3471" s="37">
        <v>13294</v>
      </c>
      <c r="B3471" s="37" t="s">
        <v>24210</v>
      </c>
      <c r="C3471" s="37" t="s">
        <v>2348</v>
      </c>
      <c r="D3471" s="37" t="s">
        <v>2351</v>
      </c>
      <c r="E3471" s="212">
        <v>1.42</v>
      </c>
    </row>
    <row r="3472" spans="1:5" ht="14.25">
      <c r="A3472" s="37">
        <v>11948</v>
      </c>
      <c r="B3472" s="37" t="s">
        <v>24211</v>
      </c>
      <c r="C3472" s="37" t="s">
        <v>2348</v>
      </c>
      <c r="D3472" s="37" t="s">
        <v>2351</v>
      </c>
      <c r="E3472" s="212">
        <v>0.64</v>
      </c>
    </row>
    <row r="3473" spans="1:5" ht="14.25">
      <c r="A3473" s="37">
        <v>4382</v>
      </c>
      <c r="B3473" s="37" t="s">
        <v>24212</v>
      </c>
      <c r="C3473" s="37" t="s">
        <v>2348</v>
      </c>
      <c r="D3473" s="37" t="s">
        <v>2351</v>
      </c>
      <c r="E3473" s="212">
        <v>1.06</v>
      </c>
    </row>
    <row r="3474" spans="1:5" ht="14.25">
      <c r="A3474" s="37">
        <v>4354</v>
      </c>
      <c r="B3474" s="37" t="s">
        <v>24213</v>
      </c>
      <c r="C3474" s="37" t="s">
        <v>2348</v>
      </c>
      <c r="D3474" s="37" t="s">
        <v>2351</v>
      </c>
      <c r="E3474" s="212">
        <v>44.56</v>
      </c>
    </row>
    <row r="3475" spans="1:5" ht="14.25">
      <c r="A3475" s="37">
        <v>40839</v>
      </c>
      <c r="B3475" s="37" t="s">
        <v>24214</v>
      </c>
      <c r="C3475" s="37" t="s">
        <v>2465</v>
      </c>
      <c r="D3475" s="37" t="s">
        <v>2351</v>
      </c>
      <c r="E3475" s="212">
        <v>107.23</v>
      </c>
    </row>
    <row r="3476" spans="1:5" ht="14.25">
      <c r="A3476" s="37">
        <v>40552</v>
      </c>
      <c r="B3476" s="37" t="s">
        <v>24215</v>
      </c>
      <c r="C3476" s="37" t="s">
        <v>2465</v>
      </c>
      <c r="D3476" s="37" t="s">
        <v>2351</v>
      </c>
      <c r="E3476" s="212">
        <v>44.37</v>
      </c>
    </row>
    <row r="3477" spans="1:5" ht="14.25">
      <c r="A3477" s="37">
        <v>40549</v>
      </c>
      <c r="B3477" s="37" t="s">
        <v>24216</v>
      </c>
      <c r="C3477" s="37" t="s">
        <v>2465</v>
      </c>
      <c r="D3477" s="37" t="s">
        <v>2351</v>
      </c>
      <c r="E3477" s="212">
        <v>175.64</v>
      </c>
    </row>
    <row r="3478" spans="1:5" ht="14.25">
      <c r="A3478" s="37">
        <v>4385</v>
      </c>
      <c r="B3478" s="37" t="s">
        <v>24217</v>
      </c>
      <c r="C3478" s="37" t="s">
        <v>2387</v>
      </c>
      <c r="D3478" s="37" t="s">
        <v>2349</v>
      </c>
      <c r="E3478" s="213">
        <v>3470.99</v>
      </c>
    </row>
    <row r="3479" spans="1:5" ht="14.25">
      <c r="A3479" s="37">
        <v>20078</v>
      </c>
      <c r="B3479" s="37" t="s">
        <v>24218</v>
      </c>
      <c r="C3479" s="37" t="s">
        <v>2348</v>
      </c>
      <c r="D3479" s="37" t="s">
        <v>2349</v>
      </c>
      <c r="E3479" s="212">
        <v>29.63</v>
      </c>
    </row>
    <row r="3480" spans="1:5" ht="14.25">
      <c r="A3480" s="37">
        <v>39897</v>
      </c>
      <c r="B3480" s="37" t="s">
        <v>24219</v>
      </c>
      <c r="C3480" s="37" t="s">
        <v>2348</v>
      </c>
      <c r="D3480" s="37" t="s">
        <v>2351</v>
      </c>
      <c r="E3480" s="212">
        <v>61.84</v>
      </c>
    </row>
    <row r="3481" spans="1:5" ht="14.25">
      <c r="A3481" s="37">
        <v>118</v>
      </c>
      <c r="B3481" s="37" t="s">
        <v>24220</v>
      </c>
      <c r="C3481" s="37" t="s">
        <v>2348</v>
      </c>
      <c r="D3481" s="37" t="s">
        <v>2349</v>
      </c>
      <c r="E3481" s="212">
        <v>62.64</v>
      </c>
    </row>
    <row r="3482" spans="1:5" ht="14.25">
      <c r="A3482" s="37">
        <v>4396</v>
      </c>
      <c r="B3482" s="37" t="s">
        <v>24221</v>
      </c>
      <c r="C3482" s="37" t="s">
        <v>28761</v>
      </c>
      <c r="D3482" s="37" t="s">
        <v>2349</v>
      </c>
      <c r="E3482" s="212">
        <v>226.42</v>
      </c>
    </row>
    <row r="3483" spans="1:5" ht="14.25">
      <c r="A3483" s="37">
        <v>36881</v>
      </c>
      <c r="B3483" s="37" t="s">
        <v>24222</v>
      </c>
      <c r="C3483" s="37" t="s">
        <v>28761</v>
      </c>
      <c r="D3483" s="37" t="s">
        <v>2349</v>
      </c>
      <c r="E3483" s="212">
        <v>145.82</v>
      </c>
    </row>
    <row r="3484" spans="1:5" ht="14.25">
      <c r="A3484" s="37">
        <v>4397</v>
      </c>
      <c r="B3484" s="37" t="s">
        <v>24223</v>
      </c>
      <c r="C3484" s="37" t="s">
        <v>28761</v>
      </c>
      <c r="D3484" s="37" t="s">
        <v>2349</v>
      </c>
      <c r="E3484" s="212">
        <v>246.29</v>
      </c>
    </row>
    <row r="3485" spans="1:5" ht="14.25">
      <c r="A3485" s="37">
        <v>36882</v>
      </c>
      <c r="B3485" s="37" t="s">
        <v>24224</v>
      </c>
      <c r="C3485" s="37" t="s">
        <v>28761</v>
      </c>
      <c r="D3485" s="37" t="s">
        <v>2349</v>
      </c>
      <c r="E3485" s="212">
        <v>174.36</v>
      </c>
    </row>
    <row r="3486" spans="1:5" ht="14.25">
      <c r="A3486" s="37">
        <v>4751</v>
      </c>
      <c r="B3486" s="37" t="s">
        <v>24225</v>
      </c>
      <c r="C3486" s="37" t="s">
        <v>2352</v>
      </c>
      <c r="D3486" s="37" t="s">
        <v>2349</v>
      </c>
      <c r="E3486" s="212">
        <v>19.600000000000001</v>
      </c>
    </row>
    <row r="3487" spans="1:5" ht="14.25">
      <c r="A3487" s="37">
        <v>41066</v>
      </c>
      <c r="B3487" s="37" t="s">
        <v>24226</v>
      </c>
      <c r="C3487" s="37" t="s">
        <v>2369</v>
      </c>
      <c r="D3487" s="37" t="s">
        <v>2349</v>
      </c>
      <c r="E3487" s="213">
        <v>3450.62</v>
      </c>
    </row>
    <row r="3488" spans="1:5" ht="14.25">
      <c r="A3488" s="37">
        <v>39604</v>
      </c>
      <c r="B3488" s="37" t="s">
        <v>24227</v>
      </c>
      <c r="C3488" s="37" t="s">
        <v>2348</v>
      </c>
      <c r="D3488" s="37" t="s">
        <v>2349</v>
      </c>
      <c r="E3488" s="212">
        <v>31.74</v>
      </c>
    </row>
    <row r="3489" spans="1:5" ht="14.25">
      <c r="A3489" s="37">
        <v>39605</v>
      </c>
      <c r="B3489" s="37" t="s">
        <v>24228</v>
      </c>
      <c r="C3489" s="37" t="s">
        <v>2348</v>
      </c>
      <c r="D3489" s="37" t="s">
        <v>2349</v>
      </c>
      <c r="E3489" s="212">
        <v>44.05</v>
      </c>
    </row>
    <row r="3490" spans="1:5" ht="14.25">
      <c r="A3490" s="37">
        <v>39606</v>
      </c>
      <c r="B3490" s="37" t="s">
        <v>24229</v>
      </c>
      <c r="C3490" s="37" t="s">
        <v>2348</v>
      </c>
      <c r="D3490" s="37" t="s">
        <v>2349</v>
      </c>
      <c r="E3490" s="212">
        <v>55.95</v>
      </c>
    </row>
    <row r="3491" spans="1:5" ht="14.25">
      <c r="A3491" s="37">
        <v>39607</v>
      </c>
      <c r="B3491" s="37" t="s">
        <v>24230</v>
      </c>
      <c r="C3491" s="37" t="s">
        <v>2348</v>
      </c>
      <c r="D3491" s="37" t="s">
        <v>2349</v>
      </c>
      <c r="E3491" s="212">
        <v>64.180000000000007</v>
      </c>
    </row>
    <row r="3492" spans="1:5" ht="14.25">
      <c r="A3492" s="37">
        <v>39594</v>
      </c>
      <c r="B3492" s="37" t="s">
        <v>24231</v>
      </c>
      <c r="C3492" s="37" t="s">
        <v>2348</v>
      </c>
      <c r="D3492" s="37" t="s">
        <v>2353</v>
      </c>
      <c r="E3492" s="212">
        <v>607.6</v>
      </c>
    </row>
    <row r="3493" spans="1:5" ht="14.25">
      <c r="A3493" s="37">
        <v>39596</v>
      </c>
      <c r="B3493" s="37" t="s">
        <v>24232</v>
      </c>
      <c r="C3493" s="37" t="s">
        <v>2348</v>
      </c>
      <c r="D3493" s="37" t="s">
        <v>2349</v>
      </c>
      <c r="E3493" s="213">
        <v>1059.03</v>
      </c>
    </row>
    <row r="3494" spans="1:5" ht="14.25">
      <c r="A3494" s="37">
        <v>39595</v>
      </c>
      <c r="B3494" s="37" t="s">
        <v>24233</v>
      </c>
      <c r="C3494" s="37" t="s">
        <v>2348</v>
      </c>
      <c r="D3494" s="37" t="s">
        <v>2349</v>
      </c>
      <c r="E3494" s="212">
        <v>888.96</v>
      </c>
    </row>
    <row r="3495" spans="1:5" ht="14.25">
      <c r="A3495" s="37">
        <v>39597</v>
      </c>
      <c r="B3495" s="37" t="s">
        <v>24234</v>
      </c>
      <c r="C3495" s="37" t="s">
        <v>2348</v>
      </c>
      <c r="D3495" s="37" t="s">
        <v>2349</v>
      </c>
      <c r="E3495" s="213">
        <v>1428.14</v>
      </c>
    </row>
    <row r="3496" spans="1:5" ht="14.25">
      <c r="A3496" s="37">
        <v>10731</v>
      </c>
      <c r="B3496" s="37" t="s">
        <v>24235</v>
      </c>
      <c r="C3496" s="37" t="s">
        <v>28761</v>
      </c>
      <c r="D3496" s="37" t="s">
        <v>2353</v>
      </c>
      <c r="E3496" s="212">
        <v>36.5</v>
      </c>
    </row>
    <row r="3497" spans="1:5" ht="14.25">
      <c r="A3497" s="37">
        <v>4704</v>
      </c>
      <c r="B3497" s="37" t="s">
        <v>24236</v>
      </c>
      <c r="C3497" s="37" t="s">
        <v>28761</v>
      </c>
      <c r="D3497" s="37" t="s">
        <v>2349</v>
      </c>
      <c r="E3497" s="212">
        <v>32.94</v>
      </c>
    </row>
    <row r="3498" spans="1:5" ht="14.25">
      <c r="A3498" s="37">
        <v>10730</v>
      </c>
      <c r="B3498" s="37" t="s">
        <v>24237</v>
      </c>
      <c r="C3498" s="37" t="s">
        <v>28761</v>
      </c>
      <c r="D3498" s="37" t="s">
        <v>2349</v>
      </c>
      <c r="E3498" s="212">
        <v>35.29</v>
      </c>
    </row>
    <row r="3499" spans="1:5" ht="14.25">
      <c r="A3499" s="37">
        <v>4729</v>
      </c>
      <c r="B3499" s="37" t="s">
        <v>24238</v>
      </c>
      <c r="C3499" s="37" t="s">
        <v>28760</v>
      </c>
      <c r="D3499" s="37" t="s">
        <v>2349</v>
      </c>
      <c r="E3499" s="212">
        <v>93.71</v>
      </c>
    </row>
    <row r="3500" spans="1:5" ht="14.25">
      <c r="A3500" s="37">
        <v>4720</v>
      </c>
      <c r="B3500" s="37" t="s">
        <v>24239</v>
      </c>
      <c r="C3500" s="37" t="s">
        <v>28760</v>
      </c>
      <c r="D3500" s="37" t="s">
        <v>2349</v>
      </c>
      <c r="E3500" s="212">
        <v>107.38</v>
      </c>
    </row>
    <row r="3501" spans="1:5" ht="14.25">
      <c r="A3501" s="37">
        <v>4721</v>
      </c>
      <c r="B3501" s="37" t="s">
        <v>24240</v>
      </c>
      <c r="C3501" s="37" t="s">
        <v>28760</v>
      </c>
      <c r="D3501" s="37" t="s">
        <v>2349</v>
      </c>
      <c r="E3501" s="212">
        <v>93.01</v>
      </c>
    </row>
    <row r="3502" spans="1:5" ht="14.25">
      <c r="A3502" s="37">
        <v>4718</v>
      </c>
      <c r="B3502" s="37" t="s">
        <v>24241</v>
      </c>
      <c r="C3502" s="37" t="s">
        <v>28760</v>
      </c>
      <c r="D3502" s="37" t="s">
        <v>2353</v>
      </c>
      <c r="E3502" s="212">
        <v>93.5</v>
      </c>
    </row>
    <row r="3503" spans="1:5" ht="14.25">
      <c r="A3503" s="37">
        <v>4722</v>
      </c>
      <c r="B3503" s="37" t="s">
        <v>24242</v>
      </c>
      <c r="C3503" s="37" t="s">
        <v>28760</v>
      </c>
      <c r="D3503" s="37" t="s">
        <v>2349</v>
      </c>
      <c r="E3503" s="212">
        <v>87.85</v>
      </c>
    </row>
    <row r="3504" spans="1:5" ht="14.25">
      <c r="A3504" s="37">
        <v>4723</v>
      </c>
      <c r="B3504" s="37" t="s">
        <v>24243</v>
      </c>
      <c r="C3504" s="37" t="s">
        <v>28760</v>
      </c>
      <c r="D3504" s="37" t="s">
        <v>2349</v>
      </c>
      <c r="E3504" s="212">
        <v>87.1</v>
      </c>
    </row>
    <row r="3505" spans="1:5" ht="14.25">
      <c r="A3505" s="37">
        <v>4727</v>
      </c>
      <c r="B3505" s="37" t="s">
        <v>24244</v>
      </c>
      <c r="C3505" s="37" t="s">
        <v>28760</v>
      </c>
      <c r="D3505" s="37" t="s">
        <v>2349</v>
      </c>
      <c r="E3505" s="212">
        <v>79.72</v>
      </c>
    </row>
    <row r="3506" spans="1:5" ht="14.25">
      <c r="A3506" s="37">
        <v>4748</v>
      </c>
      <c r="B3506" s="37" t="s">
        <v>24245</v>
      </c>
      <c r="C3506" s="37" t="s">
        <v>28760</v>
      </c>
      <c r="D3506" s="37" t="s">
        <v>2349</v>
      </c>
      <c r="E3506" s="212">
        <v>85.9</v>
      </c>
    </row>
    <row r="3507" spans="1:5" ht="14.25">
      <c r="A3507" s="37">
        <v>4730</v>
      </c>
      <c r="B3507" s="37" t="s">
        <v>24246</v>
      </c>
      <c r="C3507" s="37" t="s">
        <v>28760</v>
      </c>
      <c r="D3507" s="37" t="s">
        <v>2349</v>
      </c>
      <c r="E3507" s="212">
        <v>87.42</v>
      </c>
    </row>
    <row r="3508" spans="1:5" ht="14.25">
      <c r="A3508" s="37">
        <v>13186</v>
      </c>
      <c r="B3508" s="37" t="s">
        <v>24247</v>
      </c>
      <c r="C3508" s="37" t="s">
        <v>28760</v>
      </c>
      <c r="D3508" s="37" t="s">
        <v>2349</v>
      </c>
      <c r="E3508" s="212">
        <v>68.87</v>
      </c>
    </row>
    <row r="3509" spans="1:5" ht="14.25">
      <c r="A3509" s="37">
        <v>10737</v>
      </c>
      <c r="B3509" s="37" t="s">
        <v>24248</v>
      </c>
      <c r="C3509" s="37" t="s">
        <v>28761</v>
      </c>
      <c r="D3509" s="37" t="s">
        <v>2349</v>
      </c>
      <c r="E3509" s="212">
        <v>114.7</v>
      </c>
    </row>
    <row r="3510" spans="1:5" ht="14.25">
      <c r="A3510" s="37">
        <v>10734</v>
      </c>
      <c r="B3510" s="37" t="s">
        <v>24249</v>
      </c>
      <c r="C3510" s="37" t="s">
        <v>28761</v>
      </c>
      <c r="D3510" s="37" t="s">
        <v>2349</v>
      </c>
      <c r="E3510" s="212">
        <v>68.23</v>
      </c>
    </row>
    <row r="3511" spans="1:5" ht="14.25">
      <c r="A3511" s="37">
        <v>4708</v>
      </c>
      <c r="B3511" s="37" t="s">
        <v>24250</v>
      </c>
      <c r="C3511" s="37" t="s">
        <v>28761</v>
      </c>
      <c r="D3511" s="37" t="s">
        <v>2349</v>
      </c>
      <c r="E3511" s="212">
        <v>132.35</v>
      </c>
    </row>
    <row r="3512" spans="1:5" ht="14.25">
      <c r="A3512" s="37">
        <v>4712</v>
      </c>
      <c r="B3512" s="37" t="s">
        <v>24251</v>
      </c>
      <c r="C3512" s="37" t="s">
        <v>28761</v>
      </c>
      <c r="D3512" s="37" t="s">
        <v>2349</v>
      </c>
      <c r="E3512" s="212">
        <v>64.7</v>
      </c>
    </row>
    <row r="3513" spans="1:5" ht="14.25">
      <c r="A3513" s="37">
        <v>4710</v>
      </c>
      <c r="B3513" s="37" t="s">
        <v>24252</v>
      </c>
      <c r="C3513" s="37" t="s">
        <v>28761</v>
      </c>
      <c r="D3513" s="37" t="s">
        <v>2349</v>
      </c>
      <c r="E3513" s="212">
        <v>207.49</v>
      </c>
    </row>
    <row r="3514" spans="1:5" ht="14.25">
      <c r="A3514" s="37">
        <v>4746</v>
      </c>
      <c r="B3514" s="37" t="s">
        <v>24253</v>
      </c>
      <c r="C3514" s="37" t="s">
        <v>28760</v>
      </c>
      <c r="D3514" s="37" t="s">
        <v>2349</v>
      </c>
      <c r="E3514" s="212">
        <v>65.290000000000006</v>
      </c>
    </row>
    <row r="3515" spans="1:5" ht="14.25">
      <c r="A3515" s="37">
        <v>4750</v>
      </c>
      <c r="B3515" s="37" t="s">
        <v>24254</v>
      </c>
      <c r="C3515" s="37" t="s">
        <v>2352</v>
      </c>
      <c r="D3515" s="37" t="s">
        <v>2353</v>
      </c>
      <c r="E3515" s="212">
        <v>18.670000000000002</v>
      </c>
    </row>
    <row r="3516" spans="1:5" ht="14.25">
      <c r="A3516" s="37">
        <v>41065</v>
      </c>
      <c r="B3516" s="37" t="s">
        <v>24255</v>
      </c>
      <c r="C3516" s="37" t="s">
        <v>2369</v>
      </c>
      <c r="D3516" s="37" t="s">
        <v>2349</v>
      </c>
      <c r="E3516" s="213">
        <v>3283.8</v>
      </c>
    </row>
    <row r="3517" spans="1:5" ht="14.25">
      <c r="A3517" s="37">
        <v>34747</v>
      </c>
      <c r="B3517" s="37" t="s">
        <v>24256</v>
      </c>
      <c r="C3517" s="37" t="s">
        <v>2355</v>
      </c>
      <c r="D3517" s="37" t="s">
        <v>2349</v>
      </c>
      <c r="E3517" s="212">
        <v>64.94</v>
      </c>
    </row>
    <row r="3518" spans="1:5" ht="14.25">
      <c r="A3518" s="37">
        <v>4826</v>
      </c>
      <c r="B3518" s="37" t="s">
        <v>24257</v>
      </c>
      <c r="C3518" s="37" t="s">
        <v>2355</v>
      </c>
      <c r="D3518" s="37" t="s">
        <v>2349</v>
      </c>
      <c r="E3518" s="212">
        <v>69.83</v>
      </c>
    </row>
    <row r="3519" spans="1:5" ht="14.25">
      <c r="A3519" s="37">
        <v>41975</v>
      </c>
      <c r="B3519" s="37" t="s">
        <v>24258</v>
      </c>
      <c r="C3519" s="37" t="s">
        <v>28761</v>
      </c>
      <c r="D3519" s="37" t="s">
        <v>2351</v>
      </c>
      <c r="E3519" s="212">
        <v>75.650000000000006</v>
      </c>
    </row>
    <row r="3520" spans="1:5" ht="14.25">
      <c r="A3520" s="37">
        <v>4825</v>
      </c>
      <c r="B3520" s="37" t="s">
        <v>24259</v>
      </c>
      <c r="C3520" s="37" t="s">
        <v>2355</v>
      </c>
      <c r="D3520" s="37" t="s">
        <v>2349</v>
      </c>
      <c r="E3520" s="212">
        <v>96.65</v>
      </c>
    </row>
    <row r="3521" spans="1:5" ht="14.25">
      <c r="A3521" s="37">
        <v>34744</v>
      </c>
      <c r="B3521" s="37" t="s">
        <v>24260</v>
      </c>
      <c r="C3521" s="37" t="s">
        <v>28761</v>
      </c>
      <c r="D3521" s="37" t="s">
        <v>2351</v>
      </c>
      <c r="E3521" s="212">
        <v>20.92</v>
      </c>
    </row>
    <row r="3522" spans="1:5" ht="14.25">
      <c r="A3522" s="37">
        <v>39430</v>
      </c>
      <c r="B3522" s="37" t="s">
        <v>24261</v>
      </c>
      <c r="C3522" s="37" t="s">
        <v>2348</v>
      </c>
      <c r="D3522" s="37" t="s">
        <v>2349</v>
      </c>
      <c r="E3522" s="212">
        <v>2.67</v>
      </c>
    </row>
    <row r="3523" spans="1:5" ht="14.25">
      <c r="A3523" s="37">
        <v>39573</v>
      </c>
      <c r="B3523" s="37" t="s">
        <v>24262</v>
      </c>
      <c r="C3523" s="37" t="s">
        <v>2348</v>
      </c>
      <c r="D3523" s="37" t="s">
        <v>2349</v>
      </c>
      <c r="E3523" s="212">
        <v>2.63</v>
      </c>
    </row>
    <row r="3524" spans="1:5" ht="14.25">
      <c r="A3524" s="37">
        <v>38410</v>
      </c>
      <c r="B3524" s="37" t="s">
        <v>24263</v>
      </c>
      <c r="C3524" s="37" t="s">
        <v>2348</v>
      </c>
      <c r="D3524" s="37" t="s">
        <v>2351</v>
      </c>
      <c r="E3524" s="213">
        <v>14295.2</v>
      </c>
    </row>
    <row r="3525" spans="1:5" ht="14.25">
      <c r="A3525" s="37">
        <v>41596</v>
      </c>
      <c r="B3525" s="37" t="s">
        <v>24264</v>
      </c>
      <c r="C3525" s="37" t="s">
        <v>2356</v>
      </c>
      <c r="D3525" s="37" t="s">
        <v>2349</v>
      </c>
      <c r="E3525" s="212">
        <v>16.079999999999998</v>
      </c>
    </row>
    <row r="3526" spans="1:5" ht="14.25">
      <c r="A3526" s="37">
        <v>41598</v>
      </c>
      <c r="B3526" s="37" t="s">
        <v>24265</v>
      </c>
      <c r="C3526" s="37" t="s">
        <v>2356</v>
      </c>
      <c r="D3526" s="37" t="s">
        <v>2349</v>
      </c>
      <c r="E3526" s="212">
        <v>16.079999999999998</v>
      </c>
    </row>
    <row r="3527" spans="1:5" ht="14.25">
      <c r="A3527" s="37">
        <v>41594</v>
      </c>
      <c r="B3527" s="37" t="s">
        <v>24266</v>
      </c>
      <c r="C3527" s="37" t="s">
        <v>2356</v>
      </c>
      <c r="D3527" s="37" t="s">
        <v>2349</v>
      </c>
      <c r="E3527" s="212">
        <v>16.329999999999998</v>
      </c>
    </row>
    <row r="3528" spans="1:5" ht="14.25">
      <c r="A3528" s="37">
        <v>43663</v>
      </c>
      <c r="B3528" s="37" t="s">
        <v>24267</v>
      </c>
      <c r="C3528" s="37" t="s">
        <v>2356</v>
      </c>
      <c r="D3528" s="37" t="s">
        <v>2349</v>
      </c>
      <c r="E3528" s="212">
        <v>13.45</v>
      </c>
    </row>
    <row r="3529" spans="1:5" ht="14.25">
      <c r="A3529" s="37">
        <v>4766</v>
      </c>
      <c r="B3529" s="37" t="s">
        <v>24268</v>
      </c>
      <c r="C3529" s="37" t="s">
        <v>2356</v>
      </c>
      <c r="D3529" s="37" t="s">
        <v>2349</v>
      </c>
      <c r="E3529" s="212">
        <v>12.67</v>
      </c>
    </row>
    <row r="3530" spans="1:5" ht="14.25">
      <c r="A3530" s="37">
        <v>43664</v>
      </c>
      <c r="B3530" s="37" t="s">
        <v>24269</v>
      </c>
      <c r="C3530" s="37" t="s">
        <v>2356</v>
      </c>
      <c r="D3530" s="37" t="s">
        <v>2349</v>
      </c>
      <c r="E3530" s="212">
        <v>13.52</v>
      </c>
    </row>
    <row r="3531" spans="1:5" ht="14.25">
      <c r="A3531" s="37">
        <v>43082</v>
      </c>
      <c r="B3531" s="37" t="s">
        <v>24270</v>
      </c>
      <c r="C3531" s="37" t="s">
        <v>2356</v>
      </c>
      <c r="D3531" s="37" t="s">
        <v>2353</v>
      </c>
      <c r="E3531" s="212">
        <v>14.74</v>
      </c>
    </row>
    <row r="3532" spans="1:5" ht="14.25">
      <c r="A3532" s="37">
        <v>43665</v>
      </c>
      <c r="B3532" s="37" t="s">
        <v>24271</v>
      </c>
      <c r="C3532" s="37" t="s">
        <v>2356</v>
      </c>
      <c r="D3532" s="37" t="s">
        <v>2349</v>
      </c>
      <c r="E3532" s="212">
        <v>12.67</v>
      </c>
    </row>
    <row r="3533" spans="1:5" ht="14.25">
      <c r="A3533" s="37">
        <v>10966</v>
      </c>
      <c r="B3533" s="37" t="s">
        <v>24272</v>
      </c>
      <c r="C3533" s="37" t="s">
        <v>2356</v>
      </c>
      <c r="D3533" s="37" t="s">
        <v>2349</v>
      </c>
      <c r="E3533" s="212">
        <v>13.45</v>
      </c>
    </row>
    <row r="3534" spans="1:5" ht="14.25">
      <c r="A3534" s="37">
        <v>43692</v>
      </c>
      <c r="B3534" s="37" t="s">
        <v>24273</v>
      </c>
      <c r="C3534" s="37" t="s">
        <v>2356</v>
      </c>
      <c r="D3534" s="37" t="s">
        <v>2349</v>
      </c>
      <c r="E3534" s="212">
        <v>13.45</v>
      </c>
    </row>
    <row r="3535" spans="1:5" ht="14.25">
      <c r="A3535" s="37">
        <v>43083</v>
      </c>
      <c r="B3535" s="37" t="s">
        <v>24274</v>
      </c>
      <c r="C3535" s="37" t="s">
        <v>2356</v>
      </c>
      <c r="D3535" s="37" t="s">
        <v>2349</v>
      </c>
      <c r="E3535" s="212">
        <v>12.77</v>
      </c>
    </row>
    <row r="3536" spans="1:5" ht="14.25">
      <c r="A3536" s="37">
        <v>40535</v>
      </c>
      <c r="B3536" s="37" t="s">
        <v>24275</v>
      </c>
      <c r="C3536" s="37" t="s">
        <v>2356</v>
      </c>
      <c r="D3536" s="37" t="s">
        <v>2349</v>
      </c>
      <c r="E3536" s="212">
        <v>12.77</v>
      </c>
    </row>
    <row r="3537" spans="1:5" ht="14.25">
      <c r="A3537" s="37">
        <v>39427</v>
      </c>
      <c r="B3537" s="37" t="s">
        <v>24276</v>
      </c>
      <c r="C3537" s="37" t="s">
        <v>2355</v>
      </c>
      <c r="D3537" s="37" t="s">
        <v>2349</v>
      </c>
      <c r="E3537" s="212">
        <v>7.09</v>
      </c>
    </row>
    <row r="3538" spans="1:5" ht="14.25">
      <c r="A3538" s="37">
        <v>39424</v>
      </c>
      <c r="B3538" s="37" t="s">
        <v>24277</v>
      </c>
      <c r="C3538" s="37" t="s">
        <v>2355</v>
      </c>
      <c r="D3538" s="37" t="s">
        <v>2349</v>
      </c>
      <c r="E3538" s="212">
        <v>4.22</v>
      </c>
    </row>
    <row r="3539" spans="1:5" ht="14.25">
      <c r="A3539" s="37">
        <v>39425</v>
      </c>
      <c r="B3539" s="37" t="s">
        <v>24278</v>
      </c>
      <c r="C3539" s="37" t="s">
        <v>2355</v>
      </c>
      <c r="D3539" s="37" t="s">
        <v>2349</v>
      </c>
      <c r="E3539" s="212">
        <v>4.16</v>
      </c>
    </row>
    <row r="3540" spans="1:5" ht="14.25">
      <c r="A3540" s="37">
        <v>40664</v>
      </c>
      <c r="B3540" s="37" t="s">
        <v>24279</v>
      </c>
      <c r="C3540" s="37" t="s">
        <v>2356</v>
      </c>
      <c r="D3540" s="37" t="s">
        <v>2349</v>
      </c>
      <c r="E3540" s="212">
        <v>26.2</v>
      </c>
    </row>
    <row r="3541" spans="1:5" ht="14.25">
      <c r="A3541" s="37">
        <v>34360</v>
      </c>
      <c r="B3541" s="37" t="s">
        <v>24280</v>
      </c>
      <c r="C3541" s="37" t="s">
        <v>2356</v>
      </c>
      <c r="D3541" s="37" t="s">
        <v>2351</v>
      </c>
      <c r="E3541" s="212">
        <v>45.27</v>
      </c>
    </row>
    <row r="3542" spans="1:5" ht="14.25">
      <c r="A3542" s="37">
        <v>20259</v>
      </c>
      <c r="B3542" s="37" t="s">
        <v>24281</v>
      </c>
      <c r="C3542" s="37" t="s">
        <v>2355</v>
      </c>
      <c r="D3542" s="37" t="s">
        <v>2351</v>
      </c>
      <c r="E3542" s="212">
        <v>10.7</v>
      </c>
    </row>
    <row r="3543" spans="1:5" ht="14.25">
      <c r="A3543" s="37">
        <v>14077</v>
      </c>
      <c r="B3543" s="37" t="s">
        <v>24282</v>
      </c>
      <c r="C3543" s="37" t="s">
        <v>2355</v>
      </c>
      <c r="D3543" s="37" t="s">
        <v>2351</v>
      </c>
      <c r="E3543" s="212">
        <v>163.77000000000001</v>
      </c>
    </row>
    <row r="3544" spans="1:5" ht="14.25">
      <c r="A3544" s="37">
        <v>3678</v>
      </c>
      <c r="B3544" s="37" t="s">
        <v>24283</v>
      </c>
      <c r="C3544" s="37" t="s">
        <v>2355</v>
      </c>
      <c r="D3544" s="37" t="s">
        <v>2351</v>
      </c>
      <c r="E3544" s="212">
        <v>74.02</v>
      </c>
    </row>
    <row r="3545" spans="1:5" ht="14.25">
      <c r="A3545" s="37">
        <v>39418</v>
      </c>
      <c r="B3545" s="37" t="s">
        <v>24284</v>
      </c>
      <c r="C3545" s="37" t="s">
        <v>2355</v>
      </c>
      <c r="D3545" s="37" t="s">
        <v>2349</v>
      </c>
      <c r="E3545" s="212">
        <v>7.91</v>
      </c>
    </row>
    <row r="3546" spans="1:5" ht="14.25">
      <c r="A3546" s="37">
        <v>39419</v>
      </c>
      <c r="B3546" s="37" t="s">
        <v>24285</v>
      </c>
      <c r="C3546" s="37" t="s">
        <v>2355</v>
      </c>
      <c r="D3546" s="37" t="s">
        <v>2349</v>
      </c>
      <c r="E3546" s="212">
        <v>9.64</v>
      </c>
    </row>
    <row r="3547" spans="1:5" ht="14.25">
      <c r="A3547" s="37">
        <v>39420</v>
      </c>
      <c r="B3547" s="37" t="s">
        <v>24286</v>
      </c>
      <c r="C3547" s="37" t="s">
        <v>2355</v>
      </c>
      <c r="D3547" s="37" t="s">
        <v>2349</v>
      </c>
      <c r="E3547" s="212">
        <v>10.64</v>
      </c>
    </row>
    <row r="3548" spans="1:5" ht="14.25">
      <c r="A3548" s="37">
        <v>39571</v>
      </c>
      <c r="B3548" s="37" t="s">
        <v>28041</v>
      </c>
      <c r="C3548" s="37" t="s">
        <v>2355</v>
      </c>
      <c r="D3548" s="37" t="s">
        <v>2349</v>
      </c>
      <c r="E3548" s="212">
        <v>6.43</v>
      </c>
    </row>
    <row r="3549" spans="1:5" ht="14.25">
      <c r="A3549" s="37">
        <v>39421</v>
      </c>
      <c r="B3549" s="37" t="s">
        <v>24287</v>
      </c>
      <c r="C3549" s="37" t="s">
        <v>2355</v>
      </c>
      <c r="D3549" s="37" t="s">
        <v>2349</v>
      </c>
      <c r="E3549" s="212">
        <v>9.3699999999999992</v>
      </c>
    </row>
    <row r="3550" spans="1:5" ht="14.25">
      <c r="A3550" s="37">
        <v>39422</v>
      </c>
      <c r="B3550" s="37" t="s">
        <v>24288</v>
      </c>
      <c r="C3550" s="37" t="s">
        <v>2355</v>
      </c>
      <c r="D3550" s="37" t="s">
        <v>2353</v>
      </c>
      <c r="E3550" s="212">
        <v>10.94</v>
      </c>
    </row>
    <row r="3551" spans="1:5" ht="14.25">
      <c r="A3551" s="37">
        <v>39423</v>
      </c>
      <c r="B3551" s="37" t="s">
        <v>24289</v>
      </c>
      <c r="C3551" s="37" t="s">
        <v>2355</v>
      </c>
      <c r="D3551" s="37" t="s">
        <v>2349</v>
      </c>
      <c r="E3551" s="212">
        <v>12.7</v>
      </c>
    </row>
    <row r="3552" spans="1:5" ht="14.25">
      <c r="A3552" s="37">
        <v>39426</v>
      </c>
      <c r="B3552" s="37" t="s">
        <v>24290</v>
      </c>
      <c r="C3552" s="37" t="s">
        <v>2355</v>
      </c>
      <c r="D3552" s="37" t="s">
        <v>2349</v>
      </c>
      <c r="E3552" s="212">
        <v>28.56</v>
      </c>
    </row>
    <row r="3553" spans="1:5" ht="14.25">
      <c r="A3553" s="37">
        <v>39429</v>
      </c>
      <c r="B3553" s="37" t="s">
        <v>24291</v>
      </c>
      <c r="C3553" s="37" t="s">
        <v>2355</v>
      </c>
      <c r="D3553" s="37" t="s">
        <v>2349</v>
      </c>
      <c r="E3553" s="212">
        <v>9.01</v>
      </c>
    </row>
    <row r="3554" spans="1:5" ht="14.25">
      <c r="A3554" s="37">
        <v>39428</v>
      </c>
      <c r="B3554" s="37" t="s">
        <v>24292</v>
      </c>
      <c r="C3554" s="37" t="s">
        <v>2355</v>
      </c>
      <c r="D3554" s="37" t="s">
        <v>2349</v>
      </c>
      <c r="E3554" s="212">
        <v>6.88</v>
      </c>
    </row>
    <row r="3555" spans="1:5" ht="14.25">
      <c r="A3555" s="37">
        <v>39572</v>
      </c>
      <c r="B3555" s="37" t="s">
        <v>24293</v>
      </c>
      <c r="C3555" s="37" t="s">
        <v>2355</v>
      </c>
      <c r="D3555" s="37" t="s">
        <v>2349</v>
      </c>
      <c r="E3555" s="212">
        <v>5.96</v>
      </c>
    </row>
    <row r="3556" spans="1:5" ht="14.25">
      <c r="A3556" s="37">
        <v>39570</v>
      </c>
      <c r="B3556" s="37" t="s">
        <v>24294</v>
      </c>
      <c r="C3556" s="37" t="s">
        <v>2355</v>
      </c>
      <c r="D3556" s="37" t="s">
        <v>2349</v>
      </c>
      <c r="E3556" s="212">
        <v>6.32</v>
      </c>
    </row>
    <row r="3557" spans="1:5" ht="14.25">
      <c r="A3557" s="37">
        <v>39569</v>
      </c>
      <c r="B3557" s="37" t="s">
        <v>24295</v>
      </c>
      <c r="C3557" s="37" t="s">
        <v>2355</v>
      </c>
      <c r="D3557" s="37" t="s">
        <v>2349</v>
      </c>
      <c r="E3557" s="212">
        <v>6.24</v>
      </c>
    </row>
    <row r="3558" spans="1:5" ht="14.25">
      <c r="A3558" s="37">
        <v>11552</v>
      </c>
      <c r="B3558" s="37" t="s">
        <v>24296</v>
      </c>
      <c r="C3558" s="37" t="s">
        <v>2355</v>
      </c>
      <c r="D3558" s="37" t="s">
        <v>2349</v>
      </c>
      <c r="E3558" s="212">
        <v>6.41</v>
      </c>
    </row>
    <row r="3559" spans="1:5" ht="14.25">
      <c r="A3559" s="37">
        <v>40598</v>
      </c>
      <c r="B3559" s="37" t="s">
        <v>24297</v>
      </c>
      <c r="C3559" s="37" t="s">
        <v>2356</v>
      </c>
      <c r="D3559" s="37" t="s">
        <v>2349</v>
      </c>
      <c r="E3559" s="212">
        <v>12.45</v>
      </c>
    </row>
    <row r="3560" spans="1:5" ht="14.25">
      <c r="A3560" s="37">
        <v>39029</v>
      </c>
      <c r="B3560" s="37" t="s">
        <v>24298</v>
      </c>
      <c r="C3560" s="37" t="s">
        <v>2355</v>
      </c>
      <c r="D3560" s="37" t="s">
        <v>2349</v>
      </c>
      <c r="E3560" s="212">
        <v>20.16</v>
      </c>
    </row>
    <row r="3561" spans="1:5" ht="14.25">
      <c r="A3561" s="37">
        <v>39028</v>
      </c>
      <c r="B3561" s="37" t="s">
        <v>24299</v>
      </c>
      <c r="C3561" s="37" t="s">
        <v>2355</v>
      </c>
      <c r="D3561" s="37" t="s">
        <v>2349</v>
      </c>
      <c r="E3561" s="212">
        <v>11.74</v>
      </c>
    </row>
    <row r="3562" spans="1:5" ht="14.25">
      <c r="A3562" s="37">
        <v>39328</v>
      </c>
      <c r="B3562" s="37" t="s">
        <v>24300</v>
      </c>
      <c r="C3562" s="37" t="s">
        <v>2355</v>
      </c>
      <c r="D3562" s="37" t="s">
        <v>2349</v>
      </c>
      <c r="E3562" s="212">
        <v>6.45</v>
      </c>
    </row>
    <row r="3563" spans="1:5" ht="14.25">
      <c r="A3563" s="37">
        <v>38541</v>
      </c>
      <c r="B3563" s="37" t="s">
        <v>24301</v>
      </c>
      <c r="C3563" s="37" t="s">
        <v>2348</v>
      </c>
      <c r="D3563" s="37" t="s">
        <v>2349</v>
      </c>
      <c r="E3563" s="213">
        <v>4171710.49</v>
      </c>
    </row>
    <row r="3564" spans="1:5" ht="14.25">
      <c r="A3564" s="37">
        <v>38542</v>
      </c>
      <c r="B3564" s="37" t="s">
        <v>24302</v>
      </c>
      <c r="C3564" s="37" t="s">
        <v>2348</v>
      </c>
      <c r="D3564" s="37" t="s">
        <v>2349</v>
      </c>
      <c r="E3564" s="213">
        <v>6486842.0599999996</v>
      </c>
    </row>
    <row r="3565" spans="1:5" ht="14.25">
      <c r="A3565" s="37">
        <v>38543</v>
      </c>
      <c r="B3565" s="37" t="s">
        <v>24303</v>
      </c>
      <c r="C3565" s="37" t="s">
        <v>2348</v>
      </c>
      <c r="D3565" s="37" t="s">
        <v>2349</v>
      </c>
      <c r="E3565" s="213">
        <v>1588157.93</v>
      </c>
    </row>
    <row r="3566" spans="1:5" ht="14.25">
      <c r="A3566" s="37">
        <v>40406</v>
      </c>
      <c r="B3566" s="37" t="s">
        <v>24304</v>
      </c>
      <c r="C3566" s="37" t="s">
        <v>2348</v>
      </c>
      <c r="D3566" s="37" t="s">
        <v>2351</v>
      </c>
      <c r="E3566" s="213">
        <v>47813.06</v>
      </c>
    </row>
    <row r="3567" spans="1:5" ht="14.25">
      <c r="A3567" s="37">
        <v>40789</v>
      </c>
      <c r="B3567" s="37" t="s">
        <v>24305</v>
      </c>
      <c r="C3567" s="37" t="s">
        <v>2348</v>
      </c>
      <c r="D3567" s="37" t="s">
        <v>2351</v>
      </c>
      <c r="E3567" s="213">
        <v>6890.35</v>
      </c>
    </row>
    <row r="3568" spans="1:5" ht="14.25">
      <c r="A3568" s="37">
        <v>40791</v>
      </c>
      <c r="B3568" s="37" t="s">
        <v>24306</v>
      </c>
      <c r="C3568" s="37" t="s">
        <v>2348</v>
      </c>
      <c r="D3568" s="37" t="s">
        <v>2351</v>
      </c>
      <c r="E3568" s="213">
        <v>21569.8</v>
      </c>
    </row>
    <row r="3569" spans="1:5" ht="14.25">
      <c r="A3569" s="37">
        <v>11651</v>
      </c>
      <c r="B3569" s="37" t="s">
        <v>24307</v>
      </c>
      <c r="C3569" s="37" t="s">
        <v>2348</v>
      </c>
      <c r="D3569" s="37" t="s">
        <v>2351</v>
      </c>
      <c r="E3569" s="213">
        <v>11796.83</v>
      </c>
    </row>
    <row r="3570" spans="1:5" ht="14.25">
      <c r="A3570" s="37">
        <v>40435</v>
      </c>
      <c r="B3570" s="37" t="s">
        <v>24308</v>
      </c>
      <c r="C3570" s="37" t="s">
        <v>2348</v>
      </c>
      <c r="D3570" s="37" t="s">
        <v>2349</v>
      </c>
      <c r="E3570" s="213">
        <v>871250</v>
      </c>
    </row>
    <row r="3571" spans="1:5" ht="14.25">
      <c r="A3571" s="37">
        <v>39012</v>
      </c>
      <c r="B3571" s="37" t="s">
        <v>24309</v>
      </c>
      <c r="C3571" s="37" t="s">
        <v>2348</v>
      </c>
      <c r="D3571" s="37" t="s">
        <v>2349</v>
      </c>
      <c r="E3571" s="213">
        <v>909028.93</v>
      </c>
    </row>
    <row r="3572" spans="1:5" ht="14.25">
      <c r="A3572" s="37">
        <v>13617</v>
      </c>
      <c r="B3572" s="37" t="s">
        <v>24310</v>
      </c>
      <c r="C3572" s="37" t="s">
        <v>2348</v>
      </c>
      <c r="D3572" s="37" t="s">
        <v>2349</v>
      </c>
      <c r="E3572" s="213">
        <v>71680.77</v>
      </c>
    </row>
    <row r="3573" spans="1:5" ht="14.25">
      <c r="A3573" s="37">
        <v>35274</v>
      </c>
      <c r="B3573" s="37" t="s">
        <v>24311</v>
      </c>
      <c r="C3573" s="37" t="s">
        <v>2355</v>
      </c>
      <c r="D3573" s="37" t="s">
        <v>2349</v>
      </c>
      <c r="E3573" s="212">
        <v>51.76</v>
      </c>
    </row>
    <row r="3574" spans="1:5" ht="14.25">
      <c r="A3574" s="37">
        <v>35275</v>
      </c>
      <c r="B3574" s="37" t="s">
        <v>24312</v>
      </c>
      <c r="C3574" s="37" t="s">
        <v>2355</v>
      </c>
      <c r="D3574" s="37" t="s">
        <v>2349</v>
      </c>
      <c r="E3574" s="212">
        <v>109.87</v>
      </c>
    </row>
    <row r="3575" spans="1:5" ht="14.25">
      <c r="A3575" s="37">
        <v>35276</v>
      </c>
      <c r="B3575" s="37" t="s">
        <v>24313</v>
      </c>
      <c r="C3575" s="37" t="s">
        <v>2355</v>
      </c>
      <c r="D3575" s="37" t="s">
        <v>2349</v>
      </c>
      <c r="E3575" s="212">
        <v>191.16</v>
      </c>
    </row>
    <row r="3576" spans="1:5" ht="14.25">
      <c r="A3576" s="37">
        <v>38386</v>
      </c>
      <c r="B3576" s="37" t="s">
        <v>24314</v>
      </c>
      <c r="C3576" s="37" t="s">
        <v>2348</v>
      </c>
      <c r="D3576" s="37" t="s">
        <v>2349</v>
      </c>
      <c r="E3576" s="212">
        <v>4.6900000000000004</v>
      </c>
    </row>
    <row r="3577" spans="1:5" ht="14.25">
      <c r="A3577" s="37">
        <v>11091</v>
      </c>
      <c r="B3577" s="37" t="s">
        <v>24315</v>
      </c>
      <c r="C3577" s="37" t="s">
        <v>2348</v>
      </c>
      <c r="D3577" s="37" t="s">
        <v>2349</v>
      </c>
      <c r="E3577" s="212">
        <v>2.12</v>
      </c>
    </row>
    <row r="3578" spans="1:5" ht="14.25">
      <c r="A3578" s="37">
        <v>37586</v>
      </c>
      <c r="B3578" s="37" t="s">
        <v>24316</v>
      </c>
      <c r="C3578" s="37" t="s">
        <v>2465</v>
      </c>
      <c r="D3578" s="37" t="s">
        <v>2351</v>
      </c>
      <c r="E3578" s="212">
        <v>46.53</v>
      </c>
    </row>
    <row r="3579" spans="1:5" ht="14.25">
      <c r="A3579" s="37">
        <v>37395</v>
      </c>
      <c r="B3579" s="37" t="s">
        <v>24317</v>
      </c>
      <c r="C3579" s="37" t="s">
        <v>2465</v>
      </c>
      <c r="D3579" s="37" t="s">
        <v>2351</v>
      </c>
      <c r="E3579" s="212">
        <v>40.01</v>
      </c>
    </row>
    <row r="3580" spans="1:5" ht="14.25">
      <c r="A3580" s="37">
        <v>14147</v>
      </c>
      <c r="B3580" s="37" t="s">
        <v>24318</v>
      </c>
      <c r="C3580" s="37" t="s">
        <v>2465</v>
      </c>
      <c r="D3580" s="37" t="s">
        <v>2351</v>
      </c>
      <c r="E3580" s="212">
        <v>53.07</v>
      </c>
    </row>
    <row r="3581" spans="1:5" ht="14.25">
      <c r="A3581" s="37">
        <v>37396</v>
      </c>
      <c r="B3581" s="37" t="s">
        <v>24319</v>
      </c>
      <c r="C3581" s="37" t="s">
        <v>2465</v>
      </c>
      <c r="D3581" s="37" t="s">
        <v>2351</v>
      </c>
      <c r="E3581" s="212">
        <v>32.74</v>
      </c>
    </row>
    <row r="3582" spans="1:5" ht="14.25">
      <c r="A3582" s="37">
        <v>37397</v>
      </c>
      <c r="B3582" s="37" t="s">
        <v>24320</v>
      </c>
      <c r="C3582" s="37" t="s">
        <v>2465</v>
      </c>
      <c r="D3582" s="37" t="s">
        <v>2351</v>
      </c>
      <c r="E3582" s="212">
        <v>34.29</v>
      </c>
    </row>
    <row r="3583" spans="1:5" ht="14.25">
      <c r="A3583" s="37">
        <v>43606</v>
      </c>
      <c r="B3583" s="37" t="s">
        <v>24321</v>
      </c>
      <c r="C3583" s="37" t="s">
        <v>2348</v>
      </c>
      <c r="D3583" s="37" t="s">
        <v>2349</v>
      </c>
      <c r="E3583" s="212">
        <v>7.68</v>
      </c>
    </row>
    <row r="3584" spans="1:5" ht="14.25">
      <c r="A3584" s="37">
        <v>444</v>
      </c>
      <c r="B3584" s="37" t="s">
        <v>24322</v>
      </c>
      <c r="C3584" s="37" t="s">
        <v>2348</v>
      </c>
      <c r="D3584" s="37" t="s">
        <v>2349</v>
      </c>
      <c r="E3584" s="212">
        <v>26.24</v>
      </c>
    </row>
    <row r="3585" spans="1:5" ht="14.25">
      <c r="A3585" s="37">
        <v>445</v>
      </c>
      <c r="B3585" s="37" t="s">
        <v>24323</v>
      </c>
      <c r="C3585" s="37" t="s">
        <v>2348</v>
      </c>
      <c r="D3585" s="37" t="s">
        <v>2349</v>
      </c>
      <c r="E3585" s="212">
        <v>35.92</v>
      </c>
    </row>
    <row r="3586" spans="1:5" ht="14.25">
      <c r="A3586" s="37">
        <v>4783</v>
      </c>
      <c r="B3586" s="37" t="s">
        <v>24324</v>
      </c>
      <c r="C3586" s="37" t="s">
        <v>2352</v>
      </c>
      <c r="D3586" s="37" t="s">
        <v>2353</v>
      </c>
      <c r="E3586" s="212">
        <v>18.78</v>
      </c>
    </row>
    <row r="3587" spans="1:5" ht="14.25">
      <c r="A3587" s="37">
        <v>41079</v>
      </c>
      <c r="B3587" s="37" t="s">
        <v>24325</v>
      </c>
      <c r="C3587" s="37" t="s">
        <v>2369</v>
      </c>
      <c r="D3587" s="37" t="s">
        <v>2349</v>
      </c>
      <c r="E3587" s="213">
        <v>3302.76</v>
      </c>
    </row>
    <row r="3588" spans="1:5" ht="14.25">
      <c r="A3588" s="37">
        <v>12874</v>
      </c>
      <c r="B3588" s="37" t="s">
        <v>24326</v>
      </c>
      <c r="C3588" s="37" t="s">
        <v>2352</v>
      </c>
      <c r="D3588" s="37" t="s">
        <v>2349</v>
      </c>
      <c r="E3588" s="212">
        <v>24.73</v>
      </c>
    </row>
    <row r="3589" spans="1:5" ht="14.25">
      <c r="A3589" s="37">
        <v>41082</v>
      </c>
      <c r="B3589" s="37" t="s">
        <v>24327</v>
      </c>
      <c r="C3589" s="37" t="s">
        <v>2369</v>
      </c>
      <c r="D3589" s="37" t="s">
        <v>2349</v>
      </c>
      <c r="E3589" s="213">
        <v>4351.76</v>
      </c>
    </row>
    <row r="3590" spans="1:5" ht="14.25">
      <c r="A3590" s="37">
        <v>4785</v>
      </c>
      <c r="B3590" s="37" t="s">
        <v>24328</v>
      </c>
      <c r="C3590" s="37" t="s">
        <v>2352</v>
      </c>
      <c r="D3590" s="37" t="s">
        <v>2349</v>
      </c>
      <c r="E3590" s="212">
        <v>20.18</v>
      </c>
    </row>
    <row r="3591" spans="1:5" ht="14.25">
      <c r="A3591" s="37">
        <v>41081</v>
      </c>
      <c r="B3591" s="37" t="s">
        <v>24329</v>
      </c>
      <c r="C3591" s="37" t="s">
        <v>2369</v>
      </c>
      <c r="D3591" s="37" t="s">
        <v>2349</v>
      </c>
      <c r="E3591" s="213">
        <v>3552.46</v>
      </c>
    </row>
    <row r="3592" spans="1:5" ht="14.25">
      <c r="A3592" s="37">
        <v>4801</v>
      </c>
      <c r="B3592" s="37" t="s">
        <v>24330</v>
      </c>
      <c r="C3592" s="37" t="s">
        <v>28761</v>
      </c>
      <c r="D3592" s="37" t="s">
        <v>2349</v>
      </c>
      <c r="E3592" s="212">
        <v>71.73</v>
      </c>
    </row>
    <row r="3593" spans="1:5" ht="14.25">
      <c r="A3593" s="37">
        <v>4794</v>
      </c>
      <c r="B3593" s="37" t="s">
        <v>24331</v>
      </c>
      <c r="C3593" s="37" t="s">
        <v>28761</v>
      </c>
      <c r="D3593" s="37" t="s">
        <v>2349</v>
      </c>
      <c r="E3593" s="212">
        <v>326.7</v>
      </c>
    </row>
    <row r="3594" spans="1:5" ht="14.25">
      <c r="A3594" s="37">
        <v>4796</v>
      </c>
      <c r="B3594" s="37" t="s">
        <v>24332</v>
      </c>
      <c r="C3594" s="37" t="s">
        <v>28761</v>
      </c>
      <c r="D3594" s="37" t="s">
        <v>2349</v>
      </c>
      <c r="E3594" s="212">
        <v>198.43</v>
      </c>
    </row>
    <row r="3595" spans="1:5" ht="14.25">
      <c r="A3595" s="37">
        <v>4800</v>
      </c>
      <c r="B3595" s="37" t="s">
        <v>24333</v>
      </c>
      <c r="C3595" s="37" t="s">
        <v>28761</v>
      </c>
      <c r="D3595" s="37" t="s">
        <v>2349</v>
      </c>
      <c r="E3595" s="212">
        <v>54.57</v>
      </c>
    </row>
    <row r="3596" spans="1:5" ht="14.25">
      <c r="A3596" s="37">
        <v>4795</v>
      </c>
      <c r="B3596" s="37" t="s">
        <v>24334</v>
      </c>
      <c r="C3596" s="37" t="s">
        <v>28761</v>
      </c>
      <c r="D3596" s="37" t="s">
        <v>2349</v>
      </c>
      <c r="E3596" s="212">
        <v>318.02999999999997</v>
      </c>
    </row>
    <row r="3597" spans="1:5" ht="14.25">
      <c r="A3597" s="37">
        <v>39694</v>
      </c>
      <c r="B3597" s="37" t="s">
        <v>24335</v>
      </c>
      <c r="C3597" s="37" t="s">
        <v>28761</v>
      </c>
      <c r="D3597" s="37" t="s">
        <v>2349</v>
      </c>
      <c r="E3597" s="212">
        <v>383.08</v>
      </c>
    </row>
    <row r="3598" spans="1:5" ht="14.25">
      <c r="A3598" s="37">
        <v>1292</v>
      </c>
      <c r="B3598" s="37" t="s">
        <v>24336</v>
      </c>
      <c r="C3598" s="37" t="s">
        <v>28761</v>
      </c>
      <c r="D3598" s="37" t="s">
        <v>2349</v>
      </c>
      <c r="E3598" s="212">
        <v>65.209999999999994</v>
      </c>
    </row>
    <row r="3599" spans="1:5" ht="14.25">
      <c r="A3599" s="37">
        <v>1287</v>
      </c>
      <c r="B3599" s="37" t="s">
        <v>24337</v>
      </c>
      <c r="C3599" s="37" t="s">
        <v>28761</v>
      </c>
      <c r="D3599" s="37" t="s">
        <v>2353</v>
      </c>
      <c r="E3599" s="212">
        <v>31.99</v>
      </c>
    </row>
    <row r="3600" spans="1:5" ht="14.25">
      <c r="A3600" s="37">
        <v>1297</v>
      </c>
      <c r="B3600" s="37" t="s">
        <v>24338</v>
      </c>
      <c r="C3600" s="37" t="s">
        <v>28761</v>
      </c>
      <c r="D3600" s="37" t="s">
        <v>2349</v>
      </c>
      <c r="E3600" s="212">
        <v>26.53</v>
      </c>
    </row>
    <row r="3601" spans="1:5" ht="14.25">
      <c r="A3601" s="37">
        <v>4786</v>
      </c>
      <c r="B3601" s="37" t="s">
        <v>24339</v>
      </c>
      <c r="C3601" s="37" t="s">
        <v>28761</v>
      </c>
      <c r="D3601" s="37" t="s">
        <v>2351</v>
      </c>
      <c r="E3601" s="212">
        <v>87</v>
      </c>
    </row>
    <row r="3602" spans="1:5" ht="14.25">
      <c r="A3602" s="37">
        <v>10840</v>
      </c>
      <c r="B3602" s="37" t="s">
        <v>24340</v>
      </c>
      <c r="C3602" s="37" t="s">
        <v>28761</v>
      </c>
      <c r="D3602" s="37" t="s">
        <v>2353</v>
      </c>
      <c r="E3602" s="212">
        <v>175</v>
      </c>
    </row>
    <row r="3603" spans="1:5" ht="14.25">
      <c r="A3603" s="37">
        <v>10841</v>
      </c>
      <c r="B3603" s="37" t="s">
        <v>24341</v>
      </c>
      <c r="C3603" s="37" t="s">
        <v>28761</v>
      </c>
      <c r="D3603" s="37" t="s">
        <v>2349</v>
      </c>
      <c r="E3603" s="212">
        <v>132.07</v>
      </c>
    </row>
    <row r="3604" spans="1:5" ht="14.25">
      <c r="A3604" s="37">
        <v>44540</v>
      </c>
      <c r="B3604" s="37" t="s">
        <v>28042</v>
      </c>
      <c r="C3604" s="37" t="s">
        <v>28761</v>
      </c>
      <c r="D3604" s="37" t="s">
        <v>2349</v>
      </c>
      <c r="E3604" s="212">
        <v>168.76</v>
      </c>
    </row>
    <row r="3605" spans="1:5" ht="14.25">
      <c r="A3605" s="37">
        <v>10842</v>
      </c>
      <c r="B3605" s="37" t="s">
        <v>24342</v>
      </c>
      <c r="C3605" s="37" t="s">
        <v>28761</v>
      </c>
      <c r="D3605" s="37" t="s">
        <v>2349</v>
      </c>
      <c r="E3605" s="212">
        <v>190.77</v>
      </c>
    </row>
    <row r="3606" spans="1:5" ht="14.25">
      <c r="A3606" s="37">
        <v>21108</v>
      </c>
      <c r="B3606" s="37" t="s">
        <v>24343</v>
      </c>
      <c r="C3606" s="37" t="s">
        <v>28761</v>
      </c>
      <c r="D3606" s="37" t="s">
        <v>2349</v>
      </c>
      <c r="E3606" s="212">
        <v>86.91</v>
      </c>
    </row>
    <row r="3607" spans="1:5" ht="14.25">
      <c r="A3607" s="37">
        <v>38180</v>
      </c>
      <c r="B3607" s="37" t="s">
        <v>24344</v>
      </c>
      <c r="C3607" s="37" t="s">
        <v>28761</v>
      </c>
      <c r="D3607" s="37" t="s">
        <v>2349</v>
      </c>
      <c r="E3607" s="212">
        <v>159.76</v>
      </c>
    </row>
    <row r="3608" spans="1:5" ht="14.25">
      <c r="A3608" s="37">
        <v>40648</v>
      </c>
      <c r="B3608" s="37" t="s">
        <v>24345</v>
      </c>
      <c r="C3608" s="37" t="s">
        <v>28761</v>
      </c>
      <c r="D3608" s="37" t="s">
        <v>2351</v>
      </c>
      <c r="E3608" s="212">
        <v>167.04</v>
      </c>
    </row>
    <row r="3609" spans="1:5" ht="14.25">
      <c r="A3609" s="37">
        <v>40649</v>
      </c>
      <c r="B3609" s="37" t="s">
        <v>24346</v>
      </c>
      <c r="C3609" s="37" t="s">
        <v>28761</v>
      </c>
      <c r="D3609" s="37" t="s">
        <v>2351</v>
      </c>
      <c r="E3609" s="212">
        <v>97.3</v>
      </c>
    </row>
    <row r="3610" spans="1:5" ht="14.25">
      <c r="A3610" s="37">
        <v>40650</v>
      </c>
      <c r="B3610" s="37" t="s">
        <v>24347</v>
      </c>
      <c r="C3610" s="37" t="s">
        <v>28761</v>
      </c>
      <c r="D3610" s="37" t="s">
        <v>2351</v>
      </c>
      <c r="E3610" s="212">
        <v>125.28</v>
      </c>
    </row>
    <row r="3611" spans="1:5" ht="14.25">
      <c r="A3611" s="37">
        <v>40651</v>
      </c>
      <c r="B3611" s="37" t="s">
        <v>24348</v>
      </c>
      <c r="C3611" s="37" t="s">
        <v>28761</v>
      </c>
      <c r="D3611" s="37" t="s">
        <v>2351</v>
      </c>
      <c r="E3611" s="212">
        <v>231.07</v>
      </c>
    </row>
    <row r="3612" spans="1:5" ht="14.25">
      <c r="A3612" s="37">
        <v>40652</v>
      </c>
      <c r="B3612" s="37" t="s">
        <v>24349</v>
      </c>
      <c r="C3612" s="37" t="s">
        <v>28761</v>
      </c>
      <c r="D3612" s="37" t="s">
        <v>2351</v>
      </c>
      <c r="E3612" s="212">
        <v>123.88</v>
      </c>
    </row>
    <row r="3613" spans="1:5" ht="14.25">
      <c r="A3613" s="37">
        <v>40647</v>
      </c>
      <c r="B3613" s="37" t="s">
        <v>24350</v>
      </c>
      <c r="C3613" s="37" t="s">
        <v>28761</v>
      </c>
      <c r="D3613" s="37" t="s">
        <v>2351</v>
      </c>
      <c r="E3613" s="212">
        <v>136.41</v>
      </c>
    </row>
    <row r="3614" spans="1:5" ht="14.25">
      <c r="A3614" s="37">
        <v>40653</v>
      </c>
      <c r="B3614" s="37" t="s">
        <v>24351</v>
      </c>
      <c r="C3614" s="37" t="s">
        <v>28761</v>
      </c>
      <c r="D3614" s="37" t="s">
        <v>2351</v>
      </c>
      <c r="E3614" s="212">
        <v>104.4</v>
      </c>
    </row>
    <row r="3615" spans="1:5" ht="14.25">
      <c r="A3615" s="37">
        <v>36178</v>
      </c>
      <c r="B3615" s="37" t="s">
        <v>24352</v>
      </c>
      <c r="C3615" s="37" t="s">
        <v>2348</v>
      </c>
      <c r="D3615" s="37" t="s">
        <v>2349</v>
      </c>
      <c r="E3615" s="212">
        <v>11.09</v>
      </c>
    </row>
    <row r="3616" spans="1:5" ht="14.25">
      <c r="A3616" s="37">
        <v>38195</v>
      </c>
      <c r="B3616" s="37" t="s">
        <v>24353</v>
      </c>
      <c r="C3616" s="37" t="s">
        <v>28761</v>
      </c>
      <c r="D3616" s="37" t="s">
        <v>2349</v>
      </c>
      <c r="E3616" s="212">
        <v>102.65</v>
      </c>
    </row>
    <row r="3617" spans="1:5" ht="14.25">
      <c r="A3617" s="37">
        <v>38181</v>
      </c>
      <c r="B3617" s="37" t="s">
        <v>24354</v>
      </c>
      <c r="C3617" s="37" t="s">
        <v>28761</v>
      </c>
      <c r="D3617" s="37" t="s">
        <v>2349</v>
      </c>
      <c r="E3617" s="212">
        <v>218.1</v>
      </c>
    </row>
    <row r="3618" spans="1:5" ht="14.25">
      <c r="A3618" s="37">
        <v>38182</v>
      </c>
      <c r="B3618" s="37" t="s">
        <v>24355</v>
      </c>
      <c r="C3618" s="37" t="s">
        <v>28761</v>
      </c>
      <c r="D3618" s="37" t="s">
        <v>2349</v>
      </c>
      <c r="E3618" s="212">
        <v>207.75</v>
      </c>
    </row>
    <row r="3619" spans="1:5" ht="14.25">
      <c r="A3619" s="37">
        <v>38186</v>
      </c>
      <c r="B3619" s="37" t="s">
        <v>24356</v>
      </c>
      <c r="C3619" s="37" t="s">
        <v>28761</v>
      </c>
      <c r="D3619" s="37" t="s">
        <v>2349</v>
      </c>
      <c r="E3619" s="212">
        <v>540.02</v>
      </c>
    </row>
    <row r="3620" spans="1:5" ht="14.25">
      <c r="A3620" s="37">
        <v>38185</v>
      </c>
      <c r="B3620" s="37" t="s">
        <v>24357</v>
      </c>
      <c r="C3620" s="37" t="s">
        <v>28761</v>
      </c>
      <c r="D3620" s="37" t="s">
        <v>2349</v>
      </c>
      <c r="E3620" s="212">
        <v>480.8</v>
      </c>
    </row>
    <row r="3621" spans="1:5" ht="14.25">
      <c r="A3621" s="37">
        <v>40654</v>
      </c>
      <c r="B3621" s="37" t="s">
        <v>24358</v>
      </c>
      <c r="C3621" s="37" t="s">
        <v>28761</v>
      </c>
      <c r="D3621" s="37" t="s">
        <v>2351</v>
      </c>
      <c r="E3621" s="212">
        <v>162.16</v>
      </c>
    </row>
    <row r="3622" spans="1:5" ht="14.25">
      <c r="A3622" s="37">
        <v>44541</v>
      </c>
      <c r="B3622" s="37" t="s">
        <v>28043</v>
      </c>
      <c r="C3622" s="37" t="s">
        <v>28761</v>
      </c>
      <c r="D3622" s="37" t="s">
        <v>2349</v>
      </c>
      <c r="E3622" s="212">
        <v>139.41</v>
      </c>
    </row>
    <row r="3623" spans="1:5" ht="14.25">
      <c r="A3623" s="37">
        <v>4822</v>
      </c>
      <c r="B3623" s="37" t="s">
        <v>24359</v>
      </c>
      <c r="C3623" s="37" t="s">
        <v>28761</v>
      </c>
      <c r="D3623" s="37" t="s">
        <v>2349</v>
      </c>
      <c r="E3623" s="212">
        <v>267.54000000000002</v>
      </c>
    </row>
    <row r="3624" spans="1:5" ht="14.25">
      <c r="A3624" s="37">
        <v>4818</v>
      </c>
      <c r="B3624" s="37" t="s">
        <v>24360</v>
      </c>
      <c r="C3624" s="37" t="s">
        <v>28761</v>
      </c>
      <c r="D3624" s="37" t="s">
        <v>2353</v>
      </c>
      <c r="E3624" s="212">
        <v>275</v>
      </c>
    </row>
    <row r="3625" spans="1:5" ht="14.25">
      <c r="A3625" s="37">
        <v>39567</v>
      </c>
      <c r="B3625" s="37" t="s">
        <v>24361</v>
      </c>
      <c r="C3625" s="37" t="s">
        <v>28761</v>
      </c>
      <c r="D3625" s="37" t="s">
        <v>2349</v>
      </c>
      <c r="E3625" s="212">
        <v>38.840000000000003</v>
      </c>
    </row>
    <row r="3626" spans="1:5" ht="14.25">
      <c r="A3626" s="37">
        <v>39566</v>
      </c>
      <c r="B3626" s="37" t="s">
        <v>24362</v>
      </c>
      <c r="C3626" s="37" t="s">
        <v>28761</v>
      </c>
      <c r="D3626" s="37" t="s">
        <v>2349</v>
      </c>
      <c r="E3626" s="212">
        <v>41.11</v>
      </c>
    </row>
    <row r="3627" spans="1:5" ht="14.25">
      <c r="A3627" s="37">
        <v>39416</v>
      </c>
      <c r="B3627" s="37" t="s">
        <v>24363</v>
      </c>
      <c r="C3627" s="37" t="s">
        <v>28761</v>
      </c>
      <c r="D3627" s="37" t="s">
        <v>2349</v>
      </c>
      <c r="E3627" s="212">
        <v>25.05</v>
      </c>
    </row>
    <row r="3628" spans="1:5" ht="14.25">
      <c r="A3628" s="37">
        <v>39417</v>
      </c>
      <c r="B3628" s="37" t="s">
        <v>24364</v>
      </c>
      <c r="C3628" s="37" t="s">
        <v>28761</v>
      </c>
      <c r="D3628" s="37" t="s">
        <v>2349</v>
      </c>
      <c r="E3628" s="212">
        <v>24.44</v>
      </c>
    </row>
    <row r="3629" spans="1:5" ht="14.25">
      <c r="A3629" s="37">
        <v>43742</v>
      </c>
      <c r="B3629" s="37" t="s">
        <v>28044</v>
      </c>
      <c r="C3629" s="37" t="s">
        <v>28761</v>
      </c>
      <c r="D3629" s="37" t="s">
        <v>2349</v>
      </c>
      <c r="E3629" s="212">
        <v>26.36</v>
      </c>
    </row>
    <row r="3630" spans="1:5" ht="14.25">
      <c r="A3630" s="37">
        <v>39414</v>
      </c>
      <c r="B3630" s="37" t="s">
        <v>24365</v>
      </c>
      <c r="C3630" s="37" t="s">
        <v>28761</v>
      </c>
      <c r="D3630" s="37" t="s">
        <v>2349</v>
      </c>
      <c r="E3630" s="212">
        <v>23.73</v>
      </c>
    </row>
    <row r="3631" spans="1:5" ht="14.25">
      <c r="A3631" s="37">
        <v>39415</v>
      </c>
      <c r="B3631" s="37" t="s">
        <v>24366</v>
      </c>
      <c r="C3631" s="37" t="s">
        <v>28761</v>
      </c>
      <c r="D3631" s="37" t="s">
        <v>2349</v>
      </c>
      <c r="E3631" s="212">
        <v>20.45</v>
      </c>
    </row>
    <row r="3632" spans="1:5" ht="14.25">
      <c r="A3632" s="37">
        <v>43740</v>
      </c>
      <c r="B3632" s="37" t="s">
        <v>28045</v>
      </c>
      <c r="C3632" s="37" t="s">
        <v>28761</v>
      </c>
      <c r="D3632" s="37" t="s">
        <v>2349</v>
      </c>
      <c r="E3632" s="212">
        <v>24.98</v>
      </c>
    </row>
    <row r="3633" spans="1:5" ht="14.25">
      <c r="A3633" s="37">
        <v>39412</v>
      </c>
      <c r="B3633" s="37" t="s">
        <v>24367</v>
      </c>
      <c r="C3633" s="37" t="s">
        <v>28761</v>
      </c>
      <c r="D3633" s="37" t="s">
        <v>2353</v>
      </c>
      <c r="E3633" s="212">
        <v>17.13</v>
      </c>
    </row>
    <row r="3634" spans="1:5" ht="14.25">
      <c r="A3634" s="37">
        <v>39413</v>
      </c>
      <c r="B3634" s="37" t="s">
        <v>24368</v>
      </c>
      <c r="C3634" s="37" t="s">
        <v>28761</v>
      </c>
      <c r="D3634" s="37" t="s">
        <v>2349</v>
      </c>
      <c r="E3634" s="212">
        <v>18.52</v>
      </c>
    </row>
    <row r="3635" spans="1:5" ht="14.25">
      <c r="A3635" s="37">
        <v>43741</v>
      </c>
      <c r="B3635" s="37" t="s">
        <v>28046</v>
      </c>
      <c r="C3635" s="37" t="s">
        <v>28761</v>
      </c>
      <c r="D3635" s="37" t="s">
        <v>2349</v>
      </c>
      <c r="E3635" s="212">
        <v>19.75</v>
      </c>
    </row>
    <row r="3636" spans="1:5" ht="14.25">
      <c r="A3636" s="37">
        <v>11062</v>
      </c>
      <c r="B3636" s="37" t="s">
        <v>28047</v>
      </c>
      <c r="C3636" s="37" t="s">
        <v>28761</v>
      </c>
      <c r="D3636" s="37" t="s">
        <v>2349</v>
      </c>
      <c r="E3636" s="212">
        <v>52.78</v>
      </c>
    </row>
    <row r="3637" spans="1:5" ht="14.25">
      <c r="A3637" s="37">
        <v>11063</v>
      </c>
      <c r="B3637" s="37" t="s">
        <v>28048</v>
      </c>
      <c r="C3637" s="37" t="s">
        <v>28761</v>
      </c>
      <c r="D3637" s="37" t="s">
        <v>2349</v>
      </c>
      <c r="E3637" s="212">
        <v>32.299999999999997</v>
      </c>
    </row>
    <row r="3638" spans="1:5" ht="14.25">
      <c r="A3638" s="37">
        <v>13521</v>
      </c>
      <c r="B3638" s="37" t="s">
        <v>24369</v>
      </c>
      <c r="C3638" s="37" t="s">
        <v>2348</v>
      </c>
      <c r="D3638" s="37" t="s">
        <v>2351</v>
      </c>
      <c r="E3638" s="212">
        <v>74.25</v>
      </c>
    </row>
    <row r="3639" spans="1:5" ht="14.25">
      <c r="A3639" s="37">
        <v>10851</v>
      </c>
      <c r="B3639" s="37" t="s">
        <v>24370</v>
      </c>
      <c r="C3639" s="37" t="s">
        <v>2348</v>
      </c>
      <c r="D3639" s="37" t="s">
        <v>2351</v>
      </c>
      <c r="E3639" s="212">
        <v>57.96</v>
      </c>
    </row>
    <row r="3640" spans="1:5" ht="14.25">
      <c r="A3640" s="37">
        <v>39515</v>
      </c>
      <c r="B3640" s="37" t="s">
        <v>24371</v>
      </c>
      <c r="C3640" s="37" t="s">
        <v>2348</v>
      </c>
      <c r="D3640" s="37" t="s">
        <v>2351</v>
      </c>
      <c r="E3640" s="212">
        <v>62.82</v>
      </c>
    </row>
    <row r="3641" spans="1:5" ht="14.25">
      <c r="A3641" s="37">
        <v>39516</v>
      </c>
      <c r="B3641" s="37" t="s">
        <v>24372</v>
      </c>
      <c r="C3641" s="37" t="s">
        <v>2348</v>
      </c>
      <c r="D3641" s="37" t="s">
        <v>2351</v>
      </c>
      <c r="E3641" s="212">
        <v>52.96</v>
      </c>
    </row>
    <row r="3642" spans="1:5" ht="14.25">
      <c r="A3642" s="37">
        <v>39514</v>
      </c>
      <c r="B3642" s="37" t="s">
        <v>24373</v>
      </c>
      <c r="C3642" s="37" t="s">
        <v>2348</v>
      </c>
      <c r="D3642" s="37" t="s">
        <v>2351</v>
      </c>
      <c r="E3642" s="212">
        <v>32.950000000000003</v>
      </c>
    </row>
    <row r="3643" spans="1:5" ht="14.25">
      <c r="A3643" s="37">
        <v>4812</v>
      </c>
      <c r="B3643" s="37" t="s">
        <v>24374</v>
      </c>
      <c r="C3643" s="37" t="s">
        <v>28761</v>
      </c>
      <c r="D3643" s="37" t="s">
        <v>2349</v>
      </c>
      <c r="E3643" s="212">
        <v>10.27</v>
      </c>
    </row>
    <row r="3644" spans="1:5" ht="14.25">
      <c r="A3644" s="37">
        <v>10849</v>
      </c>
      <c r="B3644" s="37" t="s">
        <v>24375</v>
      </c>
      <c r="C3644" s="37" t="s">
        <v>2348</v>
      </c>
      <c r="D3644" s="37" t="s">
        <v>2351</v>
      </c>
      <c r="E3644" s="213">
        <v>1080.01</v>
      </c>
    </row>
    <row r="3645" spans="1:5" ht="14.25">
      <c r="A3645" s="37">
        <v>10848</v>
      </c>
      <c r="B3645" s="37" t="s">
        <v>24376</v>
      </c>
      <c r="C3645" s="37" t="s">
        <v>2348</v>
      </c>
      <c r="D3645" s="37" t="s">
        <v>2351</v>
      </c>
      <c r="E3645" s="212">
        <v>678.38</v>
      </c>
    </row>
    <row r="3646" spans="1:5" ht="14.25">
      <c r="A3646" s="37">
        <v>4813</v>
      </c>
      <c r="B3646" s="37" t="s">
        <v>28049</v>
      </c>
      <c r="C3646" s="37" t="s">
        <v>28761</v>
      </c>
      <c r="D3646" s="37" t="s">
        <v>2351</v>
      </c>
      <c r="E3646" s="212">
        <v>225</v>
      </c>
    </row>
    <row r="3647" spans="1:5" ht="14.25">
      <c r="A3647" s="37">
        <v>37560</v>
      </c>
      <c r="B3647" s="37" t="s">
        <v>24377</v>
      </c>
      <c r="C3647" s="37" t="s">
        <v>2348</v>
      </c>
      <c r="D3647" s="37" t="s">
        <v>2349</v>
      </c>
      <c r="E3647" s="212">
        <v>42.22</v>
      </c>
    </row>
    <row r="3648" spans="1:5" ht="14.25">
      <c r="A3648" s="37">
        <v>37557</v>
      </c>
      <c r="B3648" s="37" t="s">
        <v>24378</v>
      </c>
      <c r="C3648" s="37" t="s">
        <v>2348</v>
      </c>
      <c r="D3648" s="37" t="s">
        <v>2349</v>
      </c>
      <c r="E3648" s="212">
        <v>12.82</v>
      </c>
    </row>
    <row r="3649" spans="1:5" ht="14.25">
      <c r="A3649" s="37">
        <v>37556</v>
      </c>
      <c r="B3649" s="37" t="s">
        <v>24379</v>
      </c>
      <c r="C3649" s="37" t="s">
        <v>2348</v>
      </c>
      <c r="D3649" s="37" t="s">
        <v>2349</v>
      </c>
      <c r="E3649" s="212">
        <v>24.81</v>
      </c>
    </row>
    <row r="3650" spans="1:5" ht="14.25">
      <c r="A3650" s="37">
        <v>37559</v>
      </c>
      <c r="B3650" s="37" t="s">
        <v>24380</v>
      </c>
      <c r="C3650" s="37" t="s">
        <v>2348</v>
      </c>
      <c r="D3650" s="37" t="s">
        <v>2349</v>
      </c>
      <c r="E3650" s="212">
        <v>30.43</v>
      </c>
    </row>
    <row r="3651" spans="1:5" ht="14.25">
      <c r="A3651" s="37">
        <v>37539</v>
      </c>
      <c r="B3651" s="37" t="s">
        <v>24381</v>
      </c>
      <c r="C3651" s="37" t="s">
        <v>2348</v>
      </c>
      <c r="D3651" s="37" t="s">
        <v>2353</v>
      </c>
      <c r="E3651" s="212">
        <v>21.45</v>
      </c>
    </row>
    <row r="3652" spans="1:5" ht="14.25">
      <c r="A3652" s="37">
        <v>37558</v>
      </c>
      <c r="B3652" s="37" t="s">
        <v>24382</v>
      </c>
      <c r="C3652" s="37" t="s">
        <v>2348</v>
      </c>
      <c r="D3652" s="37" t="s">
        <v>2349</v>
      </c>
      <c r="E3652" s="212">
        <v>39.99</v>
      </c>
    </row>
    <row r="3653" spans="1:5" ht="14.25">
      <c r="A3653" s="37">
        <v>34723</v>
      </c>
      <c r="B3653" s="37" t="s">
        <v>24383</v>
      </c>
      <c r="C3653" s="37" t="s">
        <v>28761</v>
      </c>
      <c r="D3653" s="37" t="s">
        <v>2351</v>
      </c>
      <c r="E3653" s="212">
        <v>519.75</v>
      </c>
    </row>
    <row r="3654" spans="1:5" ht="14.25">
      <c r="A3654" s="37">
        <v>34721</v>
      </c>
      <c r="B3654" s="37" t="s">
        <v>24384</v>
      </c>
      <c r="C3654" s="37" t="s">
        <v>28761</v>
      </c>
      <c r="D3654" s="37" t="s">
        <v>2351</v>
      </c>
      <c r="E3654" s="212">
        <v>648</v>
      </c>
    </row>
    <row r="3655" spans="1:5" ht="14.25">
      <c r="A3655" s="37">
        <v>4309</v>
      </c>
      <c r="B3655" s="37" t="s">
        <v>24385</v>
      </c>
      <c r="C3655" s="37" t="s">
        <v>2348</v>
      </c>
      <c r="D3655" s="37" t="s">
        <v>2349</v>
      </c>
      <c r="E3655" s="212">
        <v>9.52</v>
      </c>
    </row>
    <row r="3656" spans="1:5" ht="14.25">
      <c r="A3656" s="37">
        <v>4307</v>
      </c>
      <c r="B3656" s="37" t="s">
        <v>24386</v>
      </c>
      <c r="C3656" s="37" t="s">
        <v>2348</v>
      </c>
      <c r="D3656" s="37" t="s">
        <v>2349</v>
      </c>
      <c r="E3656" s="212">
        <v>16.29</v>
      </c>
    </row>
    <row r="3657" spans="1:5" ht="14.25">
      <c r="A3657" s="37">
        <v>10850</v>
      </c>
      <c r="B3657" s="37" t="s">
        <v>24387</v>
      </c>
      <c r="C3657" s="37" t="s">
        <v>2348</v>
      </c>
      <c r="D3657" s="37" t="s">
        <v>2351</v>
      </c>
      <c r="E3657" s="212">
        <v>33.75</v>
      </c>
    </row>
    <row r="3658" spans="1:5" ht="14.25">
      <c r="A3658" s="37">
        <v>42438</v>
      </c>
      <c r="B3658" s="37" t="s">
        <v>24388</v>
      </c>
      <c r="C3658" s="37" t="s">
        <v>2348</v>
      </c>
      <c r="D3658" s="37" t="s">
        <v>2351</v>
      </c>
      <c r="E3658" s="213">
        <v>1835.74</v>
      </c>
    </row>
    <row r="3659" spans="1:5" ht="14.25">
      <c r="A3659" s="37">
        <v>4792</v>
      </c>
      <c r="B3659" s="37" t="s">
        <v>24389</v>
      </c>
      <c r="C3659" s="37" t="s">
        <v>28761</v>
      </c>
      <c r="D3659" s="37" t="s">
        <v>2349</v>
      </c>
      <c r="E3659" s="212">
        <v>153.36000000000001</v>
      </c>
    </row>
    <row r="3660" spans="1:5" ht="14.25">
      <c r="A3660" s="37">
        <v>4790</v>
      </c>
      <c r="B3660" s="37" t="s">
        <v>24390</v>
      </c>
      <c r="C3660" s="37" t="s">
        <v>28761</v>
      </c>
      <c r="D3660" s="37" t="s">
        <v>2353</v>
      </c>
      <c r="E3660" s="212">
        <v>92.21</v>
      </c>
    </row>
    <row r="3661" spans="1:5" ht="14.25">
      <c r="A3661" s="37">
        <v>40671</v>
      </c>
      <c r="B3661" s="37" t="s">
        <v>24391</v>
      </c>
      <c r="C3661" s="37" t="s">
        <v>28761</v>
      </c>
      <c r="D3661" s="37" t="s">
        <v>2349</v>
      </c>
      <c r="E3661" s="212">
        <v>72.78</v>
      </c>
    </row>
    <row r="3662" spans="1:5" ht="14.25">
      <c r="A3662" s="37">
        <v>7552</v>
      </c>
      <c r="B3662" s="37" t="s">
        <v>24392</v>
      </c>
      <c r="C3662" s="37" t="s">
        <v>2348</v>
      </c>
      <c r="D3662" s="37" t="s">
        <v>2351</v>
      </c>
      <c r="E3662" s="212">
        <v>33.15</v>
      </c>
    </row>
    <row r="3663" spans="1:5" ht="14.25">
      <c r="A3663" s="37">
        <v>4893</v>
      </c>
      <c r="B3663" s="37" t="s">
        <v>24393</v>
      </c>
      <c r="C3663" s="37" t="s">
        <v>2348</v>
      </c>
      <c r="D3663" s="37" t="s">
        <v>2351</v>
      </c>
      <c r="E3663" s="212">
        <v>12.65</v>
      </c>
    </row>
    <row r="3664" spans="1:5" ht="14.25">
      <c r="A3664" s="37">
        <v>4894</v>
      </c>
      <c r="B3664" s="37" t="s">
        <v>24394</v>
      </c>
      <c r="C3664" s="37" t="s">
        <v>2348</v>
      </c>
      <c r="D3664" s="37" t="s">
        <v>2351</v>
      </c>
      <c r="E3664" s="212">
        <v>10.85</v>
      </c>
    </row>
    <row r="3665" spans="1:5" ht="14.25">
      <c r="A3665" s="37">
        <v>4888</v>
      </c>
      <c r="B3665" s="37" t="s">
        <v>24395</v>
      </c>
      <c r="C3665" s="37" t="s">
        <v>2348</v>
      </c>
      <c r="D3665" s="37" t="s">
        <v>2351</v>
      </c>
      <c r="E3665" s="212">
        <v>3.7</v>
      </c>
    </row>
    <row r="3666" spans="1:5" ht="14.25">
      <c r="A3666" s="37">
        <v>4890</v>
      </c>
      <c r="B3666" s="37" t="s">
        <v>24396</v>
      </c>
      <c r="C3666" s="37" t="s">
        <v>2348</v>
      </c>
      <c r="D3666" s="37" t="s">
        <v>2351</v>
      </c>
      <c r="E3666" s="212">
        <v>6.95</v>
      </c>
    </row>
    <row r="3667" spans="1:5" ht="14.25">
      <c r="A3667" s="37">
        <v>12411</v>
      </c>
      <c r="B3667" s="37" t="s">
        <v>24397</v>
      </c>
      <c r="C3667" s="37" t="s">
        <v>2348</v>
      </c>
      <c r="D3667" s="37" t="s">
        <v>2351</v>
      </c>
      <c r="E3667" s="212">
        <v>37.409999999999997</v>
      </c>
    </row>
    <row r="3668" spans="1:5" ht="14.25">
      <c r="A3668" s="37">
        <v>4891</v>
      </c>
      <c r="B3668" s="37" t="s">
        <v>24398</v>
      </c>
      <c r="C3668" s="37" t="s">
        <v>2348</v>
      </c>
      <c r="D3668" s="37" t="s">
        <v>2351</v>
      </c>
      <c r="E3668" s="212">
        <v>18.7</v>
      </c>
    </row>
    <row r="3669" spans="1:5" ht="14.25">
      <c r="A3669" s="37">
        <v>4889</v>
      </c>
      <c r="B3669" s="37" t="s">
        <v>24399</v>
      </c>
      <c r="C3669" s="37" t="s">
        <v>2348</v>
      </c>
      <c r="D3669" s="37" t="s">
        <v>2351</v>
      </c>
      <c r="E3669" s="212">
        <v>5</v>
      </c>
    </row>
    <row r="3670" spans="1:5" ht="14.25">
      <c r="A3670" s="37">
        <v>4892</v>
      </c>
      <c r="B3670" s="37" t="s">
        <v>24400</v>
      </c>
      <c r="C3670" s="37" t="s">
        <v>2348</v>
      </c>
      <c r="D3670" s="37" t="s">
        <v>2351</v>
      </c>
      <c r="E3670" s="212">
        <v>52.39</v>
      </c>
    </row>
    <row r="3671" spans="1:5" ht="14.25">
      <c r="A3671" s="37">
        <v>12412</v>
      </c>
      <c r="B3671" s="37" t="s">
        <v>24401</v>
      </c>
      <c r="C3671" s="37" t="s">
        <v>2348</v>
      </c>
      <c r="D3671" s="37" t="s">
        <v>2351</v>
      </c>
      <c r="E3671" s="212">
        <v>97.37</v>
      </c>
    </row>
    <row r="3672" spans="1:5" ht="14.25">
      <c r="A3672" s="37">
        <v>11073</v>
      </c>
      <c r="B3672" s="37" t="s">
        <v>24402</v>
      </c>
      <c r="C3672" s="37" t="s">
        <v>2348</v>
      </c>
      <c r="D3672" s="37" t="s">
        <v>2349</v>
      </c>
      <c r="E3672" s="212">
        <v>8.39</v>
      </c>
    </row>
    <row r="3673" spans="1:5" ht="14.25">
      <c r="A3673" s="37">
        <v>11071</v>
      </c>
      <c r="B3673" s="37" t="s">
        <v>24403</v>
      </c>
      <c r="C3673" s="37" t="s">
        <v>2348</v>
      </c>
      <c r="D3673" s="37" t="s">
        <v>2349</v>
      </c>
      <c r="E3673" s="212">
        <v>13.59</v>
      </c>
    </row>
    <row r="3674" spans="1:5" ht="14.25">
      <c r="A3674" s="37">
        <v>11072</v>
      </c>
      <c r="B3674" s="37" t="s">
        <v>24404</v>
      </c>
      <c r="C3674" s="37" t="s">
        <v>2348</v>
      </c>
      <c r="D3674" s="37" t="s">
        <v>2349</v>
      </c>
      <c r="E3674" s="212">
        <v>4.74</v>
      </c>
    </row>
    <row r="3675" spans="1:5" ht="14.25">
      <c r="A3675" s="37">
        <v>4895</v>
      </c>
      <c r="B3675" s="37" t="s">
        <v>24405</v>
      </c>
      <c r="C3675" s="37" t="s">
        <v>2348</v>
      </c>
      <c r="D3675" s="37" t="s">
        <v>2349</v>
      </c>
      <c r="E3675" s="212">
        <v>0.88</v>
      </c>
    </row>
    <row r="3676" spans="1:5" ht="14.25">
      <c r="A3676" s="37">
        <v>4907</v>
      </c>
      <c r="B3676" s="37" t="s">
        <v>24406</v>
      </c>
      <c r="C3676" s="37" t="s">
        <v>2348</v>
      </c>
      <c r="D3676" s="37" t="s">
        <v>2351</v>
      </c>
      <c r="E3676" s="212">
        <v>39.979999999999997</v>
      </c>
    </row>
    <row r="3677" spans="1:5" ht="14.25">
      <c r="A3677" s="37">
        <v>4902</v>
      </c>
      <c r="B3677" s="37" t="s">
        <v>24407</v>
      </c>
      <c r="C3677" s="37" t="s">
        <v>2348</v>
      </c>
      <c r="D3677" s="37" t="s">
        <v>2351</v>
      </c>
      <c r="E3677" s="212">
        <v>90.5</v>
      </c>
    </row>
    <row r="3678" spans="1:5" ht="14.25">
      <c r="A3678" s="37">
        <v>4908</v>
      </c>
      <c r="B3678" s="37" t="s">
        <v>24408</v>
      </c>
      <c r="C3678" s="37" t="s">
        <v>2348</v>
      </c>
      <c r="D3678" s="37" t="s">
        <v>2351</v>
      </c>
      <c r="E3678" s="212">
        <v>183.76</v>
      </c>
    </row>
    <row r="3679" spans="1:5" ht="14.25">
      <c r="A3679" s="37">
        <v>4909</v>
      </c>
      <c r="B3679" s="37" t="s">
        <v>24409</v>
      </c>
      <c r="C3679" s="37" t="s">
        <v>2348</v>
      </c>
      <c r="D3679" s="37" t="s">
        <v>2351</v>
      </c>
      <c r="E3679" s="212">
        <v>354.89</v>
      </c>
    </row>
    <row r="3680" spans="1:5" ht="14.25">
      <c r="A3680" s="37">
        <v>4903</v>
      </c>
      <c r="B3680" s="37" t="s">
        <v>24410</v>
      </c>
      <c r="C3680" s="37" t="s">
        <v>2348</v>
      </c>
      <c r="D3680" s="37" t="s">
        <v>2351</v>
      </c>
      <c r="E3680" s="213">
        <v>1043.5</v>
      </c>
    </row>
    <row r="3681" spans="1:5" ht="14.25">
      <c r="A3681" s="37">
        <v>4897</v>
      </c>
      <c r="B3681" s="37" t="s">
        <v>24411</v>
      </c>
      <c r="C3681" s="37" t="s">
        <v>2348</v>
      </c>
      <c r="D3681" s="37" t="s">
        <v>2349</v>
      </c>
      <c r="E3681" s="212">
        <v>3.74</v>
      </c>
    </row>
    <row r="3682" spans="1:5" ht="14.25">
      <c r="A3682" s="37">
        <v>4896</v>
      </c>
      <c r="B3682" s="37" t="s">
        <v>24412</v>
      </c>
      <c r="C3682" s="37" t="s">
        <v>2348</v>
      </c>
      <c r="D3682" s="37" t="s">
        <v>2349</v>
      </c>
      <c r="E3682" s="212">
        <v>1.33</v>
      </c>
    </row>
    <row r="3683" spans="1:5" ht="14.25">
      <c r="A3683" s="37">
        <v>4900</v>
      </c>
      <c r="B3683" s="37" t="s">
        <v>24413</v>
      </c>
      <c r="C3683" s="37" t="s">
        <v>2348</v>
      </c>
      <c r="D3683" s="37" t="s">
        <v>2349</v>
      </c>
      <c r="E3683" s="212">
        <v>11.13</v>
      </c>
    </row>
    <row r="3684" spans="1:5" ht="14.25">
      <c r="A3684" s="37">
        <v>4898</v>
      </c>
      <c r="B3684" s="37" t="s">
        <v>24414</v>
      </c>
      <c r="C3684" s="37" t="s">
        <v>2348</v>
      </c>
      <c r="D3684" s="37" t="s">
        <v>2349</v>
      </c>
      <c r="E3684" s="212">
        <v>4.16</v>
      </c>
    </row>
    <row r="3685" spans="1:5" ht="14.25">
      <c r="A3685" s="37">
        <v>4899</v>
      </c>
      <c r="B3685" s="37" t="s">
        <v>24415</v>
      </c>
      <c r="C3685" s="37" t="s">
        <v>2348</v>
      </c>
      <c r="D3685" s="37" t="s">
        <v>2349</v>
      </c>
      <c r="E3685" s="212">
        <v>15.27</v>
      </c>
    </row>
    <row r="3686" spans="1:5" ht="14.25">
      <c r="A3686" s="37">
        <v>11096</v>
      </c>
      <c r="B3686" s="37" t="s">
        <v>24416</v>
      </c>
      <c r="C3686" s="37" t="s">
        <v>2356</v>
      </c>
      <c r="D3686" s="37" t="s">
        <v>2349</v>
      </c>
      <c r="E3686" s="212">
        <v>0.48</v>
      </c>
    </row>
    <row r="3687" spans="1:5" ht="14.25">
      <c r="A3687" s="37">
        <v>4741</v>
      </c>
      <c r="B3687" s="37" t="s">
        <v>24417</v>
      </c>
      <c r="C3687" s="37" t="s">
        <v>28760</v>
      </c>
      <c r="D3687" s="37" t="s">
        <v>2349</v>
      </c>
      <c r="E3687" s="212">
        <v>87.85</v>
      </c>
    </row>
    <row r="3688" spans="1:5" ht="14.25">
      <c r="A3688" s="37">
        <v>4752</v>
      </c>
      <c r="B3688" s="37" t="s">
        <v>24418</v>
      </c>
      <c r="C3688" s="37" t="s">
        <v>2352</v>
      </c>
      <c r="D3688" s="37" t="s">
        <v>2349</v>
      </c>
      <c r="E3688" s="212">
        <v>17.850000000000001</v>
      </c>
    </row>
    <row r="3689" spans="1:5" ht="14.25">
      <c r="A3689" s="37">
        <v>41091</v>
      </c>
      <c r="B3689" s="37" t="s">
        <v>24419</v>
      </c>
      <c r="C3689" s="37" t="s">
        <v>2369</v>
      </c>
      <c r="D3689" s="37" t="s">
        <v>2349</v>
      </c>
      <c r="E3689" s="213">
        <v>3142.31</v>
      </c>
    </row>
    <row r="3690" spans="1:5" ht="14.25">
      <c r="A3690" s="37">
        <v>13954</v>
      </c>
      <c r="B3690" s="37" t="s">
        <v>24420</v>
      </c>
      <c r="C3690" s="37" t="s">
        <v>2348</v>
      </c>
      <c r="D3690" s="37" t="s">
        <v>2351</v>
      </c>
      <c r="E3690" s="213">
        <v>6185.15</v>
      </c>
    </row>
    <row r="3691" spans="1:5" ht="14.25">
      <c r="A3691" s="37">
        <v>3411</v>
      </c>
      <c r="B3691" s="37" t="s">
        <v>24421</v>
      </c>
      <c r="C3691" s="37" t="s">
        <v>2356</v>
      </c>
      <c r="D3691" s="37" t="s">
        <v>2349</v>
      </c>
      <c r="E3691" s="212">
        <v>40.39</v>
      </c>
    </row>
    <row r="3692" spans="1:5" ht="14.25">
      <c r="A3692" s="37">
        <v>39995</v>
      </c>
      <c r="B3692" s="37" t="s">
        <v>24422</v>
      </c>
      <c r="C3692" s="37" t="s">
        <v>28760</v>
      </c>
      <c r="D3692" s="37" t="s">
        <v>2349</v>
      </c>
      <c r="E3692" s="212">
        <v>310.74</v>
      </c>
    </row>
    <row r="3693" spans="1:5" ht="14.25">
      <c r="A3693" s="37">
        <v>11615</v>
      </c>
      <c r="B3693" s="37" t="s">
        <v>24423</v>
      </c>
      <c r="C3693" s="37" t="s">
        <v>28761</v>
      </c>
      <c r="D3693" s="37" t="s">
        <v>2349</v>
      </c>
      <c r="E3693" s="212">
        <v>2.63</v>
      </c>
    </row>
    <row r="3694" spans="1:5" ht="14.25">
      <c r="A3694" s="37">
        <v>3408</v>
      </c>
      <c r="B3694" s="37" t="s">
        <v>24424</v>
      </c>
      <c r="C3694" s="37" t="s">
        <v>28761</v>
      </c>
      <c r="D3694" s="37" t="s">
        <v>2353</v>
      </c>
      <c r="E3694" s="212">
        <v>7</v>
      </c>
    </row>
    <row r="3695" spans="1:5" ht="14.25">
      <c r="A3695" s="37">
        <v>3409</v>
      </c>
      <c r="B3695" s="37" t="s">
        <v>24425</v>
      </c>
      <c r="C3695" s="37" t="s">
        <v>28761</v>
      </c>
      <c r="D3695" s="37" t="s">
        <v>2349</v>
      </c>
      <c r="E3695" s="212">
        <v>17.5</v>
      </c>
    </row>
    <row r="3696" spans="1:5" ht="14.25">
      <c r="A3696" s="37">
        <v>11427</v>
      </c>
      <c r="B3696" s="37" t="s">
        <v>24426</v>
      </c>
      <c r="C3696" s="37" t="s">
        <v>2356</v>
      </c>
      <c r="D3696" s="37" t="s">
        <v>2351</v>
      </c>
      <c r="E3696" s="212">
        <v>123.39</v>
      </c>
    </row>
    <row r="3697" spans="1:5" ht="14.25">
      <c r="A3697" s="37">
        <v>4491</v>
      </c>
      <c r="B3697" s="37" t="s">
        <v>24427</v>
      </c>
      <c r="C3697" s="37" t="s">
        <v>2355</v>
      </c>
      <c r="D3697" s="37" t="s">
        <v>2349</v>
      </c>
      <c r="E3697" s="212">
        <v>7.64</v>
      </c>
    </row>
    <row r="3698" spans="1:5" ht="14.25">
      <c r="A3698" s="37">
        <v>2745</v>
      </c>
      <c r="B3698" s="37" t="s">
        <v>24428</v>
      </c>
      <c r="C3698" s="37" t="s">
        <v>2355</v>
      </c>
      <c r="D3698" s="37" t="s">
        <v>2351</v>
      </c>
      <c r="E3698" s="212">
        <v>2.83</v>
      </c>
    </row>
    <row r="3699" spans="1:5" ht="14.25">
      <c r="A3699" s="37">
        <v>14439</v>
      </c>
      <c r="B3699" s="37" t="s">
        <v>24429</v>
      </c>
      <c r="C3699" s="37" t="s">
        <v>2355</v>
      </c>
      <c r="D3699" s="37" t="s">
        <v>2351</v>
      </c>
      <c r="E3699" s="212">
        <v>3.51</v>
      </c>
    </row>
    <row r="3700" spans="1:5" ht="14.25">
      <c r="A3700" s="37">
        <v>44496</v>
      </c>
      <c r="B3700" s="37" t="s">
        <v>28050</v>
      </c>
      <c r="C3700" s="37" t="s">
        <v>2348</v>
      </c>
      <c r="D3700" s="37" t="s">
        <v>2349</v>
      </c>
      <c r="E3700" s="212">
        <v>110.18</v>
      </c>
    </row>
    <row r="3701" spans="1:5" ht="14.25">
      <c r="A3701" s="37">
        <v>12362</v>
      </c>
      <c r="B3701" s="37" t="s">
        <v>24430</v>
      </c>
      <c r="C3701" s="37" t="s">
        <v>2348</v>
      </c>
      <c r="D3701" s="37" t="s">
        <v>2349</v>
      </c>
      <c r="E3701" s="212">
        <v>14.26</v>
      </c>
    </row>
    <row r="3702" spans="1:5" ht="14.25">
      <c r="A3702" s="37">
        <v>421</v>
      </c>
      <c r="B3702" s="37" t="s">
        <v>24431</v>
      </c>
      <c r="C3702" s="37" t="s">
        <v>2348</v>
      </c>
      <c r="D3702" s="37" t="s">
        <v>2351</v>
      </c>
      <c r="E3702" s="212">
        <v>11.93</v>
      </c>
    </row>
    <row r="3703" spans="1:5" ht="14.25">
      <c r="A3703" s="37">
        <v>14148</v>
      </c>
      <c r="B3703" s="37" t="s">
        <v>24432</v>
      </c>
      <c r="C3703" s="37" t="s">
        <v>2348</v>
      </c>
      <c r="D3703" s="37" t="s">
        <v>2351</v>
      </c>
      <c r="E3703" s="212">
        <v>0.9</v>
      </c>
    </row>
    <row r="3704" spans="1:5" ht="14.25">
      <c r="A3704" s="37">
        <v>4341</v>
      </c>
      <c r="B3704" s="37" t="s">
        <v>24433</v>
      </c>
      <c r="C3704" s="37" t="s">
        <v>2348</v>
      </c>
      <c r="D3704" s="37" t="s">
        <v>2351</v>
      </c>
      <c r="E3704" s="212">
        <v>0.96</v>
      </c>
    </row>
    <row r="3705" spans="1:5" ht="14.25">
      <c r="A3705" s="37">
        <v>4337</v>
      </c>
      <c r="B3705" s="37" t="s">
        <v>24434</v>
      </c>
      <c r="C3705" s="37" t="s">
        <v>2348</v>
      </c>
      <c r="D3705" s="37" t="s">
        <v>2351</v>
      </c>
      <c r="E3705" s="212">
        <v>2.42</v>
      </c>
    </row>
    <row r="3706" spans="1:5" ht="14.25">
      <c r="A3706" s="37">
        <v>4339</v>
      </c>
      <c r="B3706" s="37" t="s">
        <v>24435</v>
      </c>
      <c r="C3706" s="37" t="s">
        <v>2348</v>
      </c>
      <c r="D3706" s="37" t="s">
        <v>2351</v>
      </c>
      <c r="E3706" s="212">
        <v>0.51</v>
      </c>
    </row>
    <row r="3707" spans="1:5" ht="14.25">
      <c r="A3707" s="37">
        <v>39997</v>
      </c>
      <c r="B3707" s="37" t="s">
        <v>24436</v>
      </c>
      <c r="C3707" s="37" t="s">
        <v>2348</v>
      </c>
      <c r="D3707" s="37" t="s">
        <v>2351</v>
      </c>
      <c r="E3707" s="212">
        <v>0.28000000000000003</v>
      </c>
    </row>
    <row r="3708" spans="1:5" ht="14.25">
      <c r="A3708" s="37">
        <v>11971</v>
      </c>
      <c r="B3708" s="37" t="s">
        <v>24437</v>
      </c>
      <c r="C3708" s="37" t="s">
        <v>2348</v>
      </c>
      <c r="D3708" s="37" t="s">
        <v>2351</v>
      </c>
      <c r="E3708" s="212">
        <v>4.01</v>
      </c>
    </row>
    <row r="3709" spans="1:5" ht="14.25">
      <c r="A3709" s="37">
        <v>4342</v>
      </c>
      <c r="B3709" s="37" t="s">
        <v>24438</v>
      </c>
      <c r="C3709" s="37" t="s">
        <v>2348</v>
      </c>
      <c r="D3709" s="37" t="s">
        <v>2351</v>
      </c>
      <c r="E3709" s="212">
        <v>0.21</v>
      </c>
    </row>
    <row r="3710" spans="1:5" ht="14.25">
      <c r="A3710" s="37">
        <v>4330</v>
      </c>
      <c r="B3710" s="37" t="s">
        <v>24439</v>
      </c>
      <c r="C3710" s="37" t="s">
        <v>2348</v>
      </c>
      <c r="D3710" s="37" t="s">
        <v>2351</v>
      </c>
      <c r="E3710" s="212">
        <v>0.14000000000000001</v>
      </c>
    </row>
    <row r="3711" spans="1:5" ht="14.25">
      <c r="A3711" s="37">
        <v>4340</v>
      </c>
      <c r="B3711" s="37" t="s">
        <v>24440</v>
      </c>
      <c r="C3711" s="37" t="s">
        <v>2348</v>
      </c>
      <c r="D3711" s="37" t="s">
        <v>2351</v>
      </c>
      <c r="E3711" s="212">
        <v>1.1200000000000001</v>
      </c>
    </row>
    <row r="3712" spans="1:5" ht="14.25">
      <c r="A3712" s="37">
        <v>5088</v>
      </c>
      <c r="B3712" s="37" t="s">
        <v>24441</v>
      </c>
      <c r="C3712" s="37" t="s">
        <v>2348</v>
      </c>
      <c r="D3712" s="37" t="s">
        <v>2349</v>
      </c>
      <c r="E3712" s="212">
        <v>5.99</v>
      </c>
    </row>
    <row r="3713" spans="1:5" ht="14.25">
      <c r="A3713" s="37">
        <v>11154</v>
      </c>
      <c r="B3713" s="37" t="s">
        <v>24442</v>
      </c>
      <c r="C3713" s="37" t="s">
        <v>2348</v>
      </c>
      <c r="D3713" s="37" t="s">
        <v>2351</v>
      </c>
      <c r="E3713" s="213">
        <v>1316.32</v>
      </c>
    </row>
    <row r="3714" spans="1:5" ht="14.25">
      <c r="A3714" s="37">
        <v>4989</v>
      </c>
      <c r="B3714" s="37" t="s">
        <v>24443</v>
      </c>
      <c r="C3714" s="37" t="s">
        <v>2348</v>
      </c>
      <c r="D3714" s="37" t="s">
        <v>2349</v>
      </c>
      <c r="E3714" s="212">
        <v>293.86</v>
      </c>
    </row>
    <row r="3715" spans="1:5" ht="14.25">
      <c r="A3715" s="37">
        <v>4982</v>
      </c>
      <c r="B3715" s="37" t="s">
        <v>24444</v>
      </c>
      <c r="C3715" s="37" t="s">
        <v>2348</v>
      </c>
      <c r="D3715" s="37" t="s">
        <v>2349</v>
      </c>
      <c r="E3715" s="212">
        <v>275.62</v>
      </c>
    </row>
    <row r="3716" spans="1:5" ht="14.25">
      <c r="A3716" s="37">
        <v>4962</v>
      </c>
      <c r="B3716" s="37" t="s">
        <v>24445</v>
      </c>
      <c r="C3716" s="37" t="s">
        <v>2348</v>
      </c>
      <c r="D3716" s="37" t="s">
        <v>2349</v>
      </c>
      <c r="E3716" s="212">
        <v>217.36</v>
      </c>
    </row>
    <row r="3717" spans="1:5" ht="14.25">
      <c r="A3717" s="37">
        <v>4981</v>
      </c>
      <c r="B3717" s="37" t="s">
        <v>24446</v>
      </c>
      <c r="C3717" s="37" t="s">
        <v>2348</v>
      </c>
      <c r="D3717" s="37" t="s">
        <v>2353</v>
      </c>
      <c r="E3717" s="212">
        <v>193.51</v>
      </c>
    </row>
    <row r="3718" spans="1:5" ht="14.25">
      <c r="A3718" s="37">
        <v>4964</v>
      </c>
      <c r="B3718" s="37" t="s">
        <v>24447</v>
      </c>
      <c r="C3718" s="37" t="s">
        <v>2348</v>
      </c>
      <c r="D3718" s="37" t="s">
        <v>2349</v>
      </c>
      <c r="E3718" s="212">
        <v>245.49</v>
      </c>
    </row>
    <row r="3719" spans="1:5" ht="14.25">
      <c r="A3719" s="37">
        <v>4992</v>
      </c>
      <c r="B3719" s="37" t="s">
        <v>24448</v>
      </c>
      <c r="C3719" s="37" t="s">
        <v>2348</v>
      </c>
      <c r="D3719" s="37" t="s">
        <v>2349</v>
      </c>
      <c r="E3719" s="212">
        <v>239.8</v>
      </c>
    </row>
    <row r="3720" spans="1:5" ht="14.25">
      <c r="A3720" s="37">
        <v>4987</v>
      </c>
      <c r="B3720" s="37" t="s">
        <v>24449</v>
      </c>
      <c r="C3720" s="37" t="s">
        <v>2348</v>
      </c>
      <c r="D3720" s="37" t="s">
        <v>2349</v>
      </c>
      <c r="E3720" s="212">
        <v>274.35000000000002</v>
      </c>
    </row>
    <row r="3721" spans="1:5" ht="14.25">
      <c r="A3721" s="37">
        <v>4930</v>
      </c>
      <c r="B3721" s="37" t="s">
        <v>28051</v>
      </c>
      <c r="C3721" s="37" t="s">
        <v>28761</v>
      </c>
      <c r="D3721" s="37" t="s">
        <v>2351</v>
      </c>
      <c r="E3721" s="212">
        <v>557.54999999999995</v>
      </c>
    </row>
    <row r="3722" spans="1:5" ht="14.25">
      <c r="A3722" s="37">
        <v>39021</v>
      </c>
      <c r="B3722" s="37" t="s">
        <v>28052</v>
      </c>
      <c r="C3722" s="37" t="s">
        <v>2348</v>
      </c>
      <c r="D3722" s="37" t="s">
        <v>2351</v>
      </c>
      <c r="E3722" s="212">
        <v>592.80999999999995</v>
      </c>
    </row>
    <row r="3723" spans="1:5" ht="14.25">
      <c r="A3723" s="37">
        <v>39022</v>
      </c>
      <c r="B3723" s="37" t="s">
        <v>28053</v>
      </c>
      <c r="C3723" s="37" t="s">
        <v>2348</v>
      </c>
      <c r="D3723" s="37" t="s">
        <v>2351</v>
      </c>
      <c r="E3723" s="212">
        <v>531</v>
      </c>
    </row>
    <row r="3724" spans="1:5" ht="14.25">
      <c r="A3724" s="37">
        <v>39024</v>
      </c>
      <c r="B3724" s="37" t="s">
        <v>24450</v>
      </c>
      <c r="C3724" s="37" t="s">
        <v>2348</v>
      </c>
      <c r="D3724" s="37" t="s">
        <v>2351</v>
      </c>
      <c r="E3724" s="212">
        <v>686.15</v>
      </c>
    </row>
    <row r="3725" spans="1:5" ht="14.25">
      <c r="A3725" s="37">
        <v>4914</v>
      </c>
      <c r="B3725" s="37" t="s">
        <v>24451</v>
      </c>
      <c r="C3725" s="37" t="s">
        <v>28761</v>
      </c>
      <c r="D3725" s="37" t="s">
        <v>2351</v>
      </c>
      <c r="E3725" s="212">
        <v>556.35</v>
      </c>
    </row>
    <row r="3726" spans="1:5" ht="14.25">
      <c r="A3726" s="37">
        <v>4917</v>
      </c>
      <c r="B3726" s="37" t="s">
        <v>24452</v>
      </c>
      <c r="C3726" s="37" t="s">
        <v>28761</v>
      </c>
      <c r="D3726" s="37" t="s">
        <v>2351</v>
      </c>
      <c r="E3726" s="212">
        <v>384.22</v>
      </c>
    </row>
    <row r="3727" spans="1:5" ht="14.25">
      <c r="A3727" s="37">
        <v>39025</v>
      </c>
      <c r="B3727" s="37" t="s">
        <v>24453</v>
      </c>
      <c r="C3727" s="37" t="s">
        <v>2348</v>
      </c>
      <c r="D3727" s="37" t="s">
        <v>2351</v>
      </c>
      <c r="E3727" s="212">
        <v>703.58</v>
      </c>
    </row>
    <row r="3728" spans="1:5" ht="14.25">
      <c r="A3728" s="37">
        <v>4922</v>
      </c>
      <c r="B3728" s="37" t="s">
        <v>24454</v>
      </c>
      <c r="C3728" s="37" t="s">
        <v>28761</v>
      </c>
      <c r="D3728" s="37" t="s">
        <v>2351</v>
      </c>
      <c r="E3728" s="212">
        <v>356.4</v>
      </c>
    </row>
    <row r="3729" spans="1:5" ht="14.25">
      <c r="A3729" s="37">
        <v>4911</v>
      </c>
      <c r="B3729" s="37" t="s">
        <v>24455</v>
      </c>
      <c r="C3729" s="37" t="s">
        <v>28761</v>
      </c>
      <c r="D3729" s="37" t="s">
        <v>2349</v>
      </c>
      <c r="E3729" s="212">
        <v>516.32000000000005</v>
      </c>
    </row>
    <row r="3730" spans="1:5" ht="14.25">
      <c r="A3730" s="37">
        <v>37518</v>
      </c>
      <c r="B3730" s="37" t="s">
        <v>24456</v>
      </c>
      <c r="C3730" s="37" t="s">
        <v>28761</v>
      </c>
      <c r="D3730" s="37" t="s">
        <v>2349</v>
      </c>
      <c r="E3730" s="212">
        <v>839.02</v>
      </c>
    </row>
    <row r="3731" spans="1:5" ht="14.25">
      <c r="A3731" s="37">
        <v>4910</v>
      </c>
      <c r="B3731" s="37" t="s">
        <v>24457</v>
      </c>
      <c r="C3731" s="37" t="s">
        <v>28761</v>
      </c>
      <c r="D3731" s="37" t="s">
        <v>2349</v>
      </c>
      <c r="E3731" s="212">
        <v>707.3</v>
      </c>
    </row>
    <row r="3732" spans="1:5" ht="14.25">
      <c r="A3732" s="37">
        <v>4943</v>
      </c>
      <c r="B3732" s="37" t="s">
        <v>24458</v>
      </c>
      <c r="C3732" s="37" t="s">
        <v>28761</v>
      </c>
      <c r="D3732" s="37" t="s">
        <v>2349</v>
      </c>
      <c r="E3732" s="213">
        <v>1053.71</v>
      </c>
    </row>
    <row r="3733" spans="1:5" ht="14.25">
      <c r="A3733" s="37">
        <v>5002</v>
      </c>
      <c r="B3733" s="37" t="s">
        <v>24459</v>
      </c>
      <c r="C3733" s="37" t="s">
        <v>28761</v>
      </c>
      <c r="D3733" s="37" t="s">
        <v>2349</v>
      </c>
      <c r="E3733" s="212">
        <v>455.52</v>
      </c>
    </row>
    <row r="3734" spans="1:5" ht="14.25">
      <c r="A3734" s="37">
        <v>4977</v>
      </c>
      <c r="B3734" s="37" t="s">
        <v>24460</v>
      </c>
      <c r="C3734" s="37" t="s">
        <v>28761</v>
      </c>
      <c r="D3734" s="37" t="s">
        <v>2349</v>
      </c>
      <c r="E3734" s="212">
        <v>307.49</v>
      </c>
    </row>
    <row r="3735" spans="1:5" ht="14.25">
      <c r="A3735" s="37">
        <v>5028</v>
      </c>
      <c r="B3735" s="37" t="s">
        <v>24461</v>
      </c>
      <c r="C3735" s="37" t="s">
        <v>28761</v>
      </c>
      <c r="D3735" s="37" t="s">
        <v>2349</v>
      </c>
      <c r="E3735" s="212">
        <v>752.39</v>
      </c>
    </row>
    <row r="3736" spans="1:5" ht="14.25">
      <c r="A3736" s="37">
        <v>4998</v>
      </c>
      <c r="B3736" s="37" t="s">
        <v>24462</v>
      </c>
      <c r="C3736" s="37" t="s">
        <v>28761</v>
      </c>
      <c r="D3736" s="37" t="s">
        <v>2349</v>
      </c>
      <c r="E3736" s="212">
        <v>624.87</v>
      </c>
    </row>
    <row r="3737" spans="1:5" ht="14.25">
      <c r="A3737" s="37">
        <v>4969</v>
      </c>
      <c r="B3737" s="37" t="s">
        <v>24463</v>
      </c>
      <c r="C3737" s="37" t="s">
        <v>28761</v>
      </c>
      <c r="D3737" s="37" t="s">
        <v>2353</v>
      </c>
      <c r="E3737" s="212">
        <v>434.89</v>
      </c>
    </row>
    <row r="3738" spans="1:5" ht="14.25">
      <c r="A3738" s="37">
        <v>11364</v>
      </c>
      <c r="B3738" s="37" t="s">
        <v>24464</v>
      </c>
      <c r="C3738" s="37" t="s">
        <v>2348</v>
      </c>
      <c r="D3738" s="37" t="s">
        <v>2349</v>
      </c>
      <c r="E3738" s="212">
        <v>166.24</v>
      </c>
    </row>
    <row r="3739" spans="1:5" ht="14.25">
      <c r="A3739" s="37">
        <v>11365</v>
      </c>
      <c r="B3739" s="37" t="s">
        <v>24465</v>
      </c>
      <c r="C3739" s="37" t="s">
        <v>2348</v>
      </c>
      <c r="D3739" s="37" t="s">
        <v>2349</v>
      </c>
      <c r="E3739" s="212">
        <v>172.52</v>
      </c>
    </row>
    <row r="3740" spans="1:5" ht="14.25">
      <c r="A3740" s="37">
        <v>11366</v>
      </c>
      <c r="B3740" s="37" t="s">
        <v>24466</v>
      </c>
      <c r="C3740" s="37" t="s">
        <v>2348</v>
      </c>
      <c r="D3740" s="37" t="s">
        <v>2349</v>
      </c>
      <c r="E3740" s="212">
        <v>183.38</v>
      </c>
    </row>
    <row r="3741" spans="1:5" ht="14.25">
      <c r="A3741" s="37">
        <v>43777</v>
      </c>
      <c r="B3741" s="37" t="s">
        <v>24467</v>
      </c>
      <c r="C3741" s="37" t="s">
        <v>2348</v>
      </c>
      <c r="D3741" s="37" t="s">
        <v>2349</v>
      </c>
      <c r="E3741" s="212">
        <v>215.41</v>
      </c>
    </row>
    <row r="3742" spans="1:5" ht="14.25">
      <c r="A3742" s="37">
        <v>20322</v>
      </c>
      <c r="B3742" s="37" t="s">
        <v>24468</v>
      </c>
      <c r="C3742" s="37" t="s">
        <v>2348</v>
      </c>
      <c r="D3742" s="37" t="s">
        <v>2349</v>
      </c>
      <c r="E3742" s="212">
        <v>199.97</v>
      </c>
    </row>
    <row r="3743" spans="1:5" ht="14.25">
      <c r="A3743" s="37">
        <v>10553</v>
      </c>
      <c r="B3743" s="37" t="s">
        <v>24469</v>
      </c>
      <c r="C3743" s="37" t="s">
        <v>2348</v>
      </c>
      <c r="D3743" s="37" t="s">
        <v>2349</v>
      </c>
      <c r="E3743" s="212">
        <v>181.57</v>
      </c>
    </row>
    <row r="3744" spans="1:5" ht="14.25">
      <c r="A3744" s="37">
        <v>5020</v>
      </c>
      <c r="B3744" s="37" t="s">
        <v>24470</v>
      </c>
      <c r="C3744" s="37" t="s">
        <v>2348</v>
      </c>
      <c r="D3744" s="37" t="s">
        <v>2349</v>
      </c>
      <c r="E3744" s="212">
        <v>191.43</v>
      </c>
    </row>
    <row r="3745" spans="1:5" ht="14.25">
      <c r="A3745" s="37">
        <v>10554</v>
      </c>
      <c r="B3745" s="37" t="s">
        <v>24471</v>
      </c>
      <c r="C3745" s="37" t="s">
        <v>2348</v>
      </c>
      <c r="D3745" s="37" t="s">
        <v>2349</v>
      </c>
      <c r="E3745" s="212">
        <v>183.18</v>
      </c>
    </row>
    <row r="3746" spans="1:5" ht="14.25">
      <c r="A3746" s="37">
        <v>10555</v>
      </c>
      <c r="B3746" s="37" t="s">
        <v>24472</v>
      </c>
      <c r="C3746" s="37" t="s">
        <v>2348</v>
      </c>
      <c r="D3746" s="37" t="s">
        <v>2349</v>
      </c>
      <c r="E3746" s="212">
        <v>199.76</v>
      </c>
    </row>
    <row r="3747" spans="1:5" ht="14.25">
      <c r="A3747" s="37">
        <v>10556</v>
      </c>
      <c r="B3747" s="37" t="s">
        <v>24473</v>
      </c>
      <c r="C3747" s="37" t="s">
        <v>2348</v>
      </c>
      <c r="D3747" s="37" t="s">
        <v>2349</v>
      </c>
      <c r="E3747" s="212">
        <v>265.61</v>
      </c>
    </row>
    <row r="3748" spans="1:5" ht="14.25">
      <c r="A3748" s="37">
        <v>39502</v>
      </c>
      <c r="B3748" s="37" t="s">
        <v>24474</v>
      </c>
      <c r="C3748" s="37" t="s">
        <v>2348</v>
      </c>
      <c r="D3748" s="37" t="s">
        <v>2349</v>
      </c>
      <c r="E3748" s="212">
        <v>372.98</v>
      </c>
    </row>
    <row r="3749" spans="1:5" ht="14.25">
      <c r="A3749" s="37">
        <v>39504</v>
      </c>
      <c r="B3749" s="37" t="s">
        <v>24475</v>
      </c>
      <c r="C3749" s="37" t="s">
        <v>2348</v>
      </c>
      <c r="D3749" s="37" t="s">
        <v>2349</v>
      </c>
      <c r="E3749" s="212">
        <v>412.44</v>
      </c>
    </row>
    <row r="3750" spans="1:5" ht="14.25">
      <c r="A3750" s="37">
        <v>39503</v>
      </c>
      <c r="B3750" s="37" t="s">
        <v>24476</v>
      </c>
      <c r="C3750" s="37" t="s">
        <v>2348</v>
      </c>
      <c r="D3750" s="37" t="s">
        <v>2349</v>
      </c>
      <c r="E3750" s="212">
        <v>434.08</v>
      </c>
    </row>
    <row r="3751" spans="1:5" ht="14.25">
      <c r="A3751" s="37">
        <v>39505</v>
      </c>
      <c r="B3751" s="37" t="s">
        <v>24477</v>
      </c>
      <c r="C3751" s="37" t="s">
        <v>2348</v>
      </c>
      <c r="D3751" s="37" t="s">
        <v>2349</v>
      </c>
      <c r="E3751" s="212">
        <v>467.78</v>
      </c>
    </row>
    <row r="3752" spans="1:5" ht="14.25">
      <c r="A3752" s="37">
        <v>44471</v>
      </c>
      <c r="B3752" s="37" t="s">
        <v>28054</v>
      </c>
      <c r="C3752" s="37" t="s">
        <v>2348</v>
      </c>
      <c r="D3752" s="37" t="s">
        <v>2351</v>
      </c>
      <c r="E3752" s="212">
        <v>662.67</v>
      </c>
    </row>
    <row r="3753" spans="1:5" ht="14.25">
      <c r="A3753" s="37">
        <v>4944</v>
      </c>
      <c r="B3753" s="37" t="s">
        <v>24478</v>
      </c>
      <c r="C3753" s="37" t="s">
        <v>28761</v>
      </c>
      <c r="D3753" s="37" t="s">
        <v>2349</v>
      </c>
      <c r="E3753" s="213">
        <v>1575.3</v>
      </c>
    </row>
    <row r="3754" spans="1:5" ht="14.25">
      <c r="A3754" s="37">
        <v>21102</v>
      </c>
      <c r="B3754" s="37" t="s">
        <v>24479</v>
      </c>
      <c r="C3754" s="37" t="s">
        <v>2348</v>
      </c>
      <c r="D3754" s="37" t="s">
        <v>2349</v>
      </c>
      <c r="E3754" s="212">
        <v>35.270000000000003</v>
      </c>
    </row>
    <row r="3755" spans="1:5" ht="14.25">
      <c r="A3755" s="37">
        <v>21101</v>
      </c>
      <c r="B3755" s="37" t="s">
        <v>24480</v>
      </c>
      <c r="C3755" s="37" t="s">
        <v>2348</v>
      </c>
      <c r="D3755" s="37" t="s">
        <v>2349</v>
      </c>
      <c r="E3755" s="212">
        <v>22.64</v>
      </c>
    </row>
    <row r="3756" spans="1:5" ht="14.25">
      <c r="A3756" s="37">
        <v>34713</v>
      </c>
      <c r="B3756" s="37" t="s">
        <v>24481</v>
      </c>
      <c r="C3756" s="37" t="s">
        <v>28761</v>
      </c>
      <c r="D3756" s="37" t="s">
        <v>2349</v>
      </c>
      <c r="E3756" s="212">
        <v>503.77</v>
      </c>
    </row>
    <row r="3757" spans="1:5" ht="14.25">
      <c r="A3757" s="37">
        <v>37563</v>
      </c>
      <c r="B3757" s="37" t="s">
        <v>28055</v>
      </c>
      <c r="C3757" s="37" t="s">
        <v>28761</v>
      </c>
      <c r="D3757" s="37" t="s">
        <v>2351</v>
      </c>
      <c r="E3757" s="212">
        <v>613.5</v>
      </c>
    </row>
    <row r="3758" spans="1:5" ht="14.25">
      <c r="A3758" s="37">
        <v>4948</v>
      </c>
      <c r="B3758" s="37" t="s">
        <v>28056</v>
      </c>
      <c r="C3758" s="37" t="s">
        <v>28761</v>
      </c>
      <c r="D3758" s="37" t="s">
        <v>2351</v>
      </c>
      <c r="E3758" s="212">
        <v>533.76</v>
      </c>
    </row>
    <row r="3759" spans="1:5" ht="14.25">
      <c r="A3759" s="37">
        <v>37561</v>
      </c>
      <c r="B3759" s="37" t="s">
        <v>24482</v>
      </c>
      <c r="C3759" s="37" t="s">
        <v>28761</v>
      </c>
      <c r="D3759" s="37" t="s">
        <v>2351</v>
      </c>
      <c r="E3759" s="212">
        <v>497.81</v>
      </c>
    </row>
    <row r="3760" spans="1:5" ht="14.25">
      <c r="A3760" s="37">
        <v>37562</v>
      </c>
      <c r="B3760" s="37" t="s">
        <v>24483</v>
      </c>
      <c r="C3760" s="37" t="s">
        <v>28761</v>
      </c>
      <c r="D3760" s="37" t="s">
        <v>2351</v>
      </c>
      <c r="E3760" s="212">
        <v>652.67999999999995</v>
      </c>
    </row>
    <row r="3761" spans="1:5" ht="14.25">
      <c r="A3761" s="37">
        <v>14164</v>
      </c>
      <c r="B3761" s="37" t="s">
        <v>24484</v>
      </c>
      <c r="C3761" s="37" t="s">
        <v>2348</v>
      </c>
      <c r="D3761" s="37" t="s">
        <v>2351</v>
      </c>
      <c r="E3761" s="213">
        <v>2440.3000000000002</v>
      </c>
    </row>
    <row r="3762" spans="1:5" ht="14.25">
      <c r="A3762" s="37">
        <v>14163</v>
      </c>
      <c r="B3762" s="37" t="s">
        <v>24485</v>
      </c>
      <c r="C3762" s="37" t="s">
        <v>2348</v>
      </c>
      <c r="D3762" s="37" t="s">
        <v>2351</v>
      </c>
      <c r="E3762" s="213">
        <v>2773.56</v>
      </c>
    </row>
    <row r="3763" spans="1:5" ht="14.25">
      <c r="A3763" s="37">
        <v>5051</v>
      </c>
      <c r="B3763" s="37" t="s">
        <v>24486</v>
      </c>
      <c r="C3763" s="37" t="s">
        <v>2348</v>
      </c>
      <c r="D3763" s="37" t="s">
        <v>2351</v>
      </c>
      <c r="E3763" s="213">
        <v>2358.88</v>
      </c>
    </row>
    <row r="3764" spans="1:5" ht="14.25">
      <c r="A3764" s="37">
        <v>14162</v>
      </c>
      <c r="B3764" s="37" t="s">
        <v>24487</v>
      </c>
      <c r="C3764" s="37" t="s">
        <v>2348</v>
      </c>
      <c r="D3764" s="37" t="s">
        <v>2351</v>
      </c>
      <c r="E3764" s="213">
        <v>2355.4499999999998</v>
      </c>
    </row>
    <row r="3765" spans="1:5" ht="14.25">
      <c r="A3765" s="37">
        <v>5052</v>
      </c>
      <c r="B3765" s="37" t="s">
        <v>24488</v>
      </c>
      <c r="C3765" s="37" t="s">
        <v>2348</v>
      </c>
      <c r="D3765" s="37" t="s">
        <v>2351</v>
      </c>
      <c r="E3765" s="213">
        <v>1757.5</v>
      </c>
    </row>
    <row r="3766" spans="1:5" ht="14.25">
      <c r="A3766" s="37">
        <v>14166</v>
      </c>
      <c r="B3766" s="37" t="s">
        <v>24489</v>
      </c>
      <c r="C3766" s="37" t="s">
        <v>2348</v>
      </c>
      <c r="D3766" s="37" t="s">
        <v>2351</v>
      </c>
      <c r="E3766" s="213">
        <v>1779.81</v>
      </c>
    </row>
    <row r="3767" spans="1:5" ht="14.25">
      <c r="A3767" s="37">
        <v>14165</v>
      </c>
      <c r="B3767" s="37" t="s">
        <v>24490</v>
      </c>
      <c r="C3767" s="37" t="s">
        <v>2348</v>
      </c>
      <c r="D3767" s="37" t="s">
        <v>2351</v>
      </c>
      <c r="E3767" s="213">
        <v>2465.69</v>
      </c>
    </row>
    <row r="3768" spans="1:5" ht="14.25">
      <c r="A3768" s="37">
        <v>5050</v>
      </c>
      <c r="B3768" s="37" t="s">
        <v>24491</v>
      </c>
      <c r="C3768" s="37" t="s">
        <v>2348</v>
      </c>
      <c r="D3768" s="37" t="s">
        <v>2351</v>
      </c>
      <c r="E3768" s="212">
        <v>606.86</v>
      </c>
    </row>
    <row r="3769" spans="1:5" ht="14.25">
      <c r="A3769" s="37">
        <v>12366</v>
      </c>
      <c r="B3769" s="37" t="s">
        <v>28057</v>
      </c>
      <c r="C3769" s="37" t="s">
        <v>2348</v>
      </c>
      <c r="D3769" s="37" t="s">
        <v>2351</v>
      </c>
      <c r="E3769" s="213">
        <v>1014.51</v>
      </c>
    </row>
    <row r="3770" spans="1:5" ht="14.25">
      <c r="A3770" s="37">
        <v>5045</v>
      </c>
      <c r="B3770" s="37" t="s">
        <v>28058</v>
      </c>
      <c r="C3770" s="37" t="s">
        <v>2348</v>
      </c>
      <c r="D3770" s="37" t="s">
        <v>2351</v>
      </c>
      <c r="E3770" s="213">
        <v>1611.37</v>
      </c>
    </row>
    <row r="3771" spans="1:5" ht="14.25">
      <c r="A3771" s="37">
        <v>5035</v>
      </c>
      <c r="B3771" s="37" t="s">
        <v>28059</v>
      </c>
      <c r="C3771" s="37" t="s">
        <v>2348</v>
      </c>
      <c r="D3771" s="37" t="s">
        <v>2351</v>
      </c>
      <c r="E3771" s="213">
        <v>2472.14</v>
      </c>
    </row>
    <row r="3772" spans="1:5" ht="14.25">
      <c r="A3772" s="37">
        <v>41180</v>
      </c>
      <c r="B3772" s="37" t="s">
        <v>28060</v>
      </c>
      <c r="C3772" s="37" t="s">
        <v>2348</v>
      </c>
      <c r="D3772" s="37" t="s">
        <v>2351</v>
      </c>
      <c r="E3772" s="213">
        <v>3622.34</v>
      </c>
    </row>
    <row r="3773" spans="1:5" ht="14.25">
      <c r="A3773" s="37">
        <v>41181</v>
      </c>
      <c r="B3773" s="37" t="s">
        <v>28061</v>
      </c>
      <c r="C3773" s="37" t="s">
        <v>2348</v>
      </c>
      <c r="D3773" s="37" t="s">
        <v>2351</v>
      </c>
      <c r="E3773" s="213">
        <v>4795.8599999999997</v>
      </c>
    </row>
    <row r="3774" spans="1:5" ht="14.25">
      <c r="A3774" s="37">
        <v>41182</v>
      </c>
      <c r="B3774" s="37" t="s">
        <v>28062</v>
      </c>
      <c r="C3774" s="37" t="s">
        <v>2348</v>
      </c>
      <c r="D3774" s="37" t="s">
        <v>2351</v>
      </c>
      <c r="E3774" s="213">
        <v>6880.06</v>
      </c>
    </row>
    <row r="3775" spans="1:5" ht="14.25">
      <c r="A3775" s="37">
        <v>41183</v>
      </c>
      <c r="B3775" s="37" t="s">
        <v>28063</v>
      </c>
      <c r="C3775" s="37" t="s">
        <v>2348</v>
      </c>
      <c r="D3775" s="37" t="s">
        <v>2351</v>
      </c>
      <c r="E3775" s="213">
        <v>8589.9</v>
      </c>
    </row>
    <row r="3776" spans="1:5" ht="14.25">
      <c r="A3776" s="37">
        <v>41184</v>
      </c>
      <c r="B3776" s="37" t="s">
        <v>28064</v>
      </c>
      <c r="C3776" s="37" t="s">
        <v>2348</v>
      </c>
      <c r="D3776" s="37" t="s">
        <v>2351</v>
      </c>
      <c r="E3776" s="213">
        <v>13078.65</v>
      </c>
    </row>
    <row r="3777" spans="1:5" ht="14.25">
      <c r="A3777" s="37">
        <v>41185</v>
      </c>
      <c r="B3777" s="37" t="s">
        <v>28065</v>
      </c>
      <c r="C3777" s="37" t="s">
        <v>2348</v>
      </c>
      <c r="D3777" s="37" t="s">
        <v>2351</v>
      </c>
      <c r="E3777" s="213">
        <v>4850.1499999999996</v>
      </c>
    </row>
    <row r="3778" spans="1:5" ht="14.25">
      <c r="A3778" s="37">
        <v>41186</v>
      </c>
      <c r="B3778" s="37" t="s">
        <v>28066</v>
      </c>
      <c r="C3778" s="37" t="s">
        <v>2348</v>
      </c>
      <c r="D3778" s="37" t="s">
        <v>2351</v>
      </c>
      <c r="E3778" s="213">
        <v>6796.92</v>
      </c>
    </row>
    <row r="3779" spans="1:5" ht="14.25">
      <c r="A3779" s="37">
        <v>41187</v>
      </c>
      <c r="B3779" s="37" t="s">
        <v>28067</v>
      </c>
      <c r="C3779" s="37" t="s">
        <v>2348</v>
      </c>
      <c r="D3779" s="37" t="s">
        <v>2351</v>
      </c>
      <c r="E3779" s="213">
        <v>9115.24</v>
      </c>
    </row>
    <row r="3780" spans="1:5" ht="14.25">
      <c r="A3780" s="37">
        <v>41188</v>
      </c>
      <c r="B3780" s="37" t="s">
        <v>28068</v>
      </c>
      <c r="C3780" s="37" t="s">
        <v>2348</v>
      </c>
      <c r="D3780" s="37" t="s">
        <v>2351</v>
      </c>
      <c r="E3780" s="213">
        <v>11656.36</v>
      </c>
    </row>
    <row r="3781" spans="1:5" ht="14.25">
      <c r="A3781" s="37">
        <v>5036</v>
      </c>
      <c r="B3781" s="37" t="s">
        <v>28069</v>
      </c>
      <c r="C3781" s="37" t="s">
        <v>2348</v>
      </c>
      <c r="D3781" s="37" t="s">
        <v>2351</v>
      </c>
      <c r="E3781" s="212">
        <v>874.04</v>
      </c>
    </row>
    <row r="3782" spans="1:5" ht="14.25">
      <c r="A3782" s="37">
        <v>41189</v>
      </c>
      <c r="B3782" s="37" t="s">
        <v>28070</v>
      </c>
      <c r="C3782" s="37" t="s">
        <v>2348</v>
      </c>
      <c r="D3782" s="37" t="s">
        <v>2351</v>
      </c>
      <c r="E3782" s="213">
        <v>14985.47</v>
      </c>
    </row>
    <row r="3783" spans="1:5" ht="14.25">
      <c r="A3783" s="37">
        <v>41190</v>
      </c>
      <c r="B3783" s="37" t="s">
        <v>28071</v>
      </c>
      <c r="C3783" s="37" t="s">
        <v>2348</v>
      </c>
      <c r="D3783" s="37" t="s">
        <v>2351</v>
      </c>
      <c r="E3783" s="213">
        <v>5211.42</v>
      </c>
    </row>
    <row r="3784" spans="1:5" ht="14.25">
      <c r="A3784" s="37">
        <v>41191</v>
      </c>
      <c r="B3784" s="37" t="s">
        <v>28072</v>
      </c>
      <c r="C3784" s="37" t="s">
        <v>2348</v>
      </c>
      <c r="D3784" s="37" t="s">
        <v>2351</v>
      </c>
      <c r="E3784" s="213">
        <v>7991.52</v>
      </c>
    </row>
    <row r="3785" spans="1:5" ht="14.25">
      <c r="A3785" s="37">
        <v>41192</v>
      </c>
      <c r="B3785" s="37" t="s">
        <v>28073</v>
      </c>
      <c r="C3785" s="37" t="s">
        <v>2348</v>
      </c>
      <c r="D3785" s="37" t="s">
        <v>2351</v>
      </c>
      <c r="E3785" s="213">
        <v>8331.1</v>
      </c>
    </row>
    <row r="3786" spans="1:5" ht="14.25">
      <c r="A3786" s="37">
        <v>41193</v>
      </c>
      <c r="B3786" s="37" t="s">
        <v>28074</v>
      </c>
      <c r="C3786" s="37" t="s">
        <v>2348</v>
      </c>
      <c r="D3786" s="37" t="s">
        <v>2351</v>
      </c>
      <c r="E3786" s="213">
        <v>13612.74</v>
      </c>
    </row>
    <row r="3787" spans="1:5" ht="14.25">
      <c r="A3787" s="37">
        <v>41194</v>
      </c>
      <c r="B3787" s="37" t="s">
        <v>28075</v>
      </c>
      <c r="C3787" s="37" t="s">
        <v>2348</v>
      </c>
      <c r="D3787" s="37" t="s">
        <v>2351</v>
      </c>
      <c r="E3787" s="213">
        <v>16243.08</v>
      </c>
    </row>
    <row r="3788" spans="1:5" ht="14.25">
      <c r="A3788" s="37">
        <v>5044</v>
      </c>
      <c r="B3788" s="37" t="s">
        <v>28076</v>
      </c>
      <c r="C3788" s="37" t="s">
        <v>2348</v>
      </c>
      <c r="D3788" s="37" t="s">
        <v>2351</v>
      </c>
      <c r="E3788" s="213">
        <v>1401.48</v>
      </c>
    </row>
    <row r="3789" spans="1:5" ht="14.25">
      <c r="A3789" s="37">
        <v>5059</v>
      </c>
      <c r="B3789" s="37" t="s">
        <v>28077</v>
      </c>
      <c r="C3789" s="37" t="s">
        <v>2348</v>
      </c>
      <c r="D3789" s="37" t="s">
        <v>2351</v>
      </c>
      <c r="E3789" s="213">
        <v>1045.25</v>
      </c>
    </row>
    <row r="3790" spans="1:5" ht="14.25">
      <c r="A3790" s="37">
        <v>41201</v>
      </c>
      <c r="B3790" s="37" t="s">
        <v>28078</v>
      </c>
      <c r="C3790" s="37" t="s">
        <v>2348</v>
      </c>
      <c r="D3790" s="37" t="s">
        <v>2351</v>
      </c>
      <c r="E3790" s="213">
        <v>2121.2399999999998</v>
      </c>
    </row>
    <row r="3791" spans="1:5" ht="14.25">
      <c r="A3791" s="37">
        <v>41199</v>
      </c>
      <c r="B3791" s="37" t="s">
        <v>28079</v>
      </c>
      <c r="C3791" s="37" t="s">
        <v>2348</v>
      </c>
      <c r="D3791" s="37" t="s">
        <v>2351</v>
      </c>
      <c r="E3791" s="212">
        <v>681.64</v>
      </c>
    </row>
    <row r="3792" spans="1:5" ht="14.25">
      <c r="A3792" s="37">
        <v>5057</v>
      </c>
      <c r="B3792" s="37" t="s">
        <v>28080</v>
      </c>
      <c r="C3792" s="37" t="s">
        <v>2348</v>
      </c>
      <c r="D3792" s="37" t="s">
        <v>2351</v>
      </c>
      <c r="E3792" s="212">
        <v>922.81</v>
      </c>
    </row>
    <row r="3793" spans="1:5" ht="14.25">
      <c r="A3793" s="37">
        <v>41200</v>
      </c>
      <c r="B3793" s="37" t="s">
        <v>28081</v>
      </c>
      <c r="C3793" s="37" t="s">
        <v>2348</v>
      </c>
      <c r="D3793" s="37" t="s">
        <v>2351</v>
      </c>
      <c r="E3793" s="213">
        <v>1326.7</v>
      </c>
    </row>
    <row r="3794" spans="1:5" ht="14.25">
      <c r="A3794" s="37">
        <v>41205</v>
      </c>
      <c r="B3794" s="37" t="s">
        <v>28082</v>
      </c>
      <c r="C3794" s="37" t="s">
        <v>2348</v>
      </c>
      <c r="D3794" s="37" t="s">
        <v>2351</v>
      </c>
      <c r="E3794" s="213">
        <v>2458.35</v>
      </c>
    </row>
    <row r="3795" spans="1:5" ht="14.25">
      <c r="A3795" s="37">
        <v>41202</v>
      </c>
      <c r="B3795" s="37" t="s">
        <v>28083</v>
      </c>
      <c r="C3795" s="37" t="s">
        <v>2348</v>
      </c>
      <c r="D3795" s="37" t="s">
        <v>2351</v>
      </c>
      <c r="E3795" s="212">
        <v>717.36</v>
      </c>
    </row>
    <row r="3796" spans="1:5" ht="14.25">
      <c r="A3796" s="37">
        <v>41206</v>
      </c>
      <c r="B3796" s="37" t="s">
        <v>28084</v>
      </c>
      <c r="C3796" s="37" t="s">
        <v>2348</v>
      </c>
      <c r="D3796" s="37" t="s">
        <v>2351</v>
      </c>
      <c r="E3796" s="213">
        <v>3241.23</v>
      </c>
    </row>
    <row r="3797" spans="1:5" ht="14.25">
      <c r="A3797" s="37">
        <v>12372</v>
      </c>
      <c r="B3797" s="37" t="s">
        <v>28085</v>
      </c>
      <c r="C3797" s="37" t="s">
        <v>2348</v>
      </c>
      <c r="D3797" s="37" t="s">
        <v>2351</v>
      </c>
      <c r="E3797" s="212">
        <v>753.23</v>
      </c>
    </row>
    <row r="3798" spans="1:5" ht="14.25">
      <c r="A3798" s="37">
        <v>41207</v>
      </c>
      <c r="B3798" s="37" t="s">
        <v>28086</v>
      </c>
      <c r="C3798" s="37" t="s">
        <v>2348</v>
      </c>
      <c r="D3798" s="37" t="s">
        <v>2351</v>
      </c>
      <c r="E3798" s="213">
        <v>4363.34</v>
      </c>
    </row>
    <row r="3799" spans="1:5" ht="14.25">
      <c r="A3799" s="37">
        <v>41203</v>
      </c>
      <c r="B3799" s="37" t="s">
        <v>28087</v>
      </c>
      <c r="C3799" s="37" t="s">
        <v>2348</v>
      </c>
      <c r="D3799" s="37" t="s">
        <v>2351</v>
      </c>
      <c r="E3799" s="213">
        <v>1149.1400000000001</v>
      </c>
    </row>
    <row r="3800" spans="1:5" ht="14.25">
      <c r="A3800" s="37">
        <v>41204</v>
      </c>
      <c r="B3800" s="37" t="s">
        <v>28088</v>
      </c>
      <c r="C3800" s="37" t="s">
        <v>2348</v>
      </c>
      <c r="D3800" s="37" t="s">
        <v>2351</v>
      </c>
      <c r="E3800" s="213">
        <v>1624.59</v>
      </c>
    </row>
    <row r="3801" spans="1:5" ht="14.25">
      <c r="A3801" s="37">
        <v>41210</v>
      </c>
      <c r="B3801" s="37" t="s">
        <v>28089</v>
      </c>
      <c r="C3801" s="37" t="s">
        <v>2348</v>
      </c>
      <c r="D3801" s="37" t="s">
        <v>2351</v>
      </c>
      <c r="E3801" s="213">
        <v>2713.84</v>
      </c>
    </row>
    <row r="3802" spans="1:5" ht="14.25">
      <c r="A3802" s="37">
        <v>41208</v>
      </c>
      <c r="B3802" s="37" t="s">
        <v>28090</v>
      </c>
      <c r="C3802" s="37" t="s">
        <v>2348</v>
      </c>
      <c r="D3802" s="37" t="s">
        <v>2351</v>
      </c>
      <c r="E3802" s="212">
        <v>950</v>
      </c>
    </row>
    <row r="3803" spans="1:5" ht="14.25">
      <c r="A3803" s="37">
        <v>41211</v>
      </c>
      <c r="B3803" s="37" t="s">
        <v>28091</v>
      </c>
      <c r="C3803" s="37" t="s">
        <v>2348</v>
      </c>
      <c r="D3803" s="37" t="s">
        <v>2351</v>
      </c>
      <c r="E3803" s="213">
        <v>3823.76</v>
      </c>
    </row>
    <row r="3804" spans="1:5" ht="14.25">
      <c r="A3804" s="37">
        <v>13339</v>
      </c>
      <c r="B3804" s="37" t="s">
        <v>28092</v>
      </c>
      <c r="C3804" s="37" t="s">
        <v>2348</v>
      </c>
      <c r="D3804" s="37" t="s">
        <v>2351</v>
      </c>
      <c r="E3804" s="213">
        <v>1287.48</v>
      </c>
    </row>
    <row r="3805" spans="1:5" ht="14.25">
      <c r="A3805" s="37">
        <v>41213</v>
      </c>
      <c r="B3805" s="37" t="s">
        <v>28093</v>
      </c>
      <c r="C3805" s="37" t="s">
        <v>2348</v>
      </c>
      <c r="D3805" s="37" t="s">
        <v>2351</v>
      </c>
      <c r="E3805" s="213">
        <v>7925.71</v>
      </c>
    </row>
    <row r="3806" spans="1:5" ht="14.25">
      <c r="A3806" s="37">
        <v>41209</v>
      </c>
      <c r="B3806" s="37" t="s">
        <v>28094</v>
      </c>
      <c r="C3806" s="37" t="s">
        <v>2348</v>
      </c>
      <c r="D3806" s="37" t="s">
        <v>2351</v>
      </c>
      <c r="E3806" s="213">
        <v>1771.41</v>
      </c>
    </row>
    <row r="3807" spans="1:5" ht="14.25">
      <c r="A3807" s="37">
        <v>41216</v>
      </c>
      <c r="B3807" s="37" t="s">
        <v>28095</v>
      </c>
      <c r="C3807" s="37" t="s">
        <v>2348</v>
      </c>
      <c r="D3807" s="37" t="s">
        <v>2351</v>
      </c>
      <c r="E3807" s="213">
        <v>3318.09</v>
      </c>
    </row>
    <row r="3808" spans="1:5" ht="14.25">
      <c r="A3808" s="37">
        <v>41217</v>
      </c>
      <c r="B3808" s="37" t="s">
        <v>28096</v>
      </c>
      <c r="C3808" s="37" t="s">
        <v>2348</v>
      </c>
      <c r="D3808" s="37" t="s">
        <v>2351</v>
      </c>
      <c r="E3808" s="213">
        <v>5320.08</v>
      </c>
    </row>
    <row r="3809" spans="1:5" ht="14.25">
      <c r="A3809" s="37">
        <v>41218</v>
      </c>
      <c r="B3809" s="37" t="s">
        <v>28097</v>
      </c>
      <c r="C3809" s="37" t="s">
        <v>2348</v>
      </c>
      <c r="D3809" s="37" t="s">
        <v>2351</v>
      </c>
      <c r="E3809" s="213">
        <v>7134.39</v>
      </c>
    </row>
    <row r="3810" spans="1:5" ht="14.25">
      <c r="A3810" s="37">
        <v>41214</v>
      </c>
      <c r="B3810" s="37" t="s">
        <v>28098</v>
      </c>
      <c r="C3810" s="37" t="s">
        <v>2348</v>
      </c>
      <c r="D3810" s="37" t="s">
        <v>2351</v>
      </c>
      <c r="E3810" s="213">
        <v>1504.27</v>
      </c>
    </row>
    <row r="3811" spans="1:5" ht="14.25">
      <c r="A3811" s="37">
        <v>41215</v>
      </c>
      <c r="B3811" s="37" t="s">
        <v>28099</v>
      </c>
      <c r="C3811" s="37" t="s">
        <v>2348</v>
      </c>
      <c r="D3811" s="37" t="s">
        <v>2351</v>
      </c>
      <c r="E3811" s="213">
        <v>2264.89</v>
      </c>
    </row>
    <row r="3812" spans="1:5" ht="14.25">
      <c r="A3812" s="37">
        <v>41221</v>
      </c>
      <c r="B3812" s="37" t="s">
        <v>28100</v>
      </c>
      <c r="C3812" s="37" t="s">
        <v>2348</v>
      </c>
      <c r="D3812" s="37" t="s">
        <v>2351</v>
      </c>
      <c r="E3812" s="213">
        <v>6558.02</v>
      </c>
    </row>
    <row r="3813" spans="1:5" ht="14.25">
      <c r="A3813" s="37">
        <v>41222</v>
      </c>
      <c r="B3813" s="37" t="s">
        <v>28101</v>
      </c>
      <c r="C3813" s="37" t="s">
        <v>2348</v>
      </c>
      <c r="D3813" s="37" t="s">
        <v>2351</v>
      </c>
      <c r="E3813" s="213">
        <v>9384.6</v>
      </c>
    </row>
    <row r="3814" spans="1:5" ht="14.25">
      <c r="A3814" s="37">
        <v>41195</v>
      </c>
      <c r="B3814" s="37" t="s">
        <v>28102</v>
      </c>
      <c r="C3814" s="37" t="s">
        <v>2348</v>
      </c>
      <c r="D3814" s="37" t="s">
        <v>2351</v>
      </c>
      <c r="E3814" s="212">
        <v>482.34</v>
      </c>
    </row>
    <row r="3815" spans="1:5" ht="14.25">
      <c r="A3815" s="37">
        <v>41198</v>
      </c>
      <c r="B3815" s="37" t="s">
        <v>28103</v>
      </c>
      <c r="C3815" s="37" t="s">
        <v>2348</v>
      </c>
      <c r="D3815" s="37" t="s">
        <v>2351</v>
      </c>
      <c r="E3815" s="213">
        <v>1884.87</v>
      </c>
    </row>
    <row r="3816" spans="1:5" ht="14.25">
      <c r="A3816" s="37">
        <v>41196</v>
      </c>
      <c r="B3816" s="37" t="s">
        <v>28104</v>
      </c>
      <c r="C3816" s="37" t="s">
        <v>2348</v>
      </c>
      <c r="D3816" s="37" t="s">
        <v>2351</v>
      </c>
      <c r="E3816" s="212">
        <v>597.89</v>
      </c>
    </row>
    <row r="3817" spans="1:5" ht="14.25">
      <c r="A3817" s="37">
        <v>5033</v>
      </c>
      <c r="B3817" s="37" t="s">
        <v>28105</v>
      </c>
      <c r="C3817" s="37" t="s">
        <v>2348</v>
      </c>
      <c r="D3817" s="37" t="s">
        <v>2351</v>
      </c>
      <c r="E3817" s="212">
        <v>785</v>
      </c>
    </row>
    <row r="3818" spans="1:5" ht="14.25">
      <c r="A3818" s="37">
        <v>41197</v>
      </c>
      <c r="B3818" s="37" t="s">
        <v>28106</v>
      </c>
      <c r="C3818" s="37" t="s">
        <v>2348</v>
      </c>
      <c r="D3818" s="37" t="s">
        <v>2351</v>
      </c>
      <c r="E3818" s="213">
        <v>1166.01</v>
      </c>
    </row>
    <row r="3819" spans="1:5" ht="14.25">
      <c r="A3819" s="37">
        <v>12388</v>
      </c>
      <c r="B3819" s="37" t="s">
        <v>24492</v>
      </c>
      <c r="C3819" s="37" t="s">
        <v>2348</v>
      </c>
      <c r="D3819" s="37" t="s">
        <v>2351</v>
      </c>
      <c r="E3819" s="212">
        <v>359.22</v>
      </c>
    </row>
    <row r="3820" spans="1:5" ht="14.25">
      <c r="A3820" s="37">
        <v>2731</v>
      </c>
      <c r="B3820" s="37" t="s">
        <v>24493</v>
      </c>
      <c r="C3820" s="37" t="s">
        <v>2355</v>
      </c>
      <c r="D3820" s="37" t="s">
        <v>2351</v>
      </c>
      <c r="E3820" s="212">
        <v>80.91</v>
      </c>
    </row>
    <row r="3821" spans="1:5" ht="14.25">
      <c r="A3821" s="37">
        <v>41457</v>
      </c>
      <c r="B3821" s="37" t="s">
        <v>24494</v>
      </c>
      <c r="C3821" s="37" t="s">
        <v>2348</v>
      </c>
      <c r="D3821" s="37" t="s">
        <v>2349</v>
      </c>
      <c r="E3821" s="213">
        <v>1201.6300000000001</v>
      </c>
    </row>
    <row r="3822" spans="1:5" ht="14.25">
      <c r="A3822" s="37">
        <v>41458</v>
      </c>
      <c r="B3822" s="37" t="s">
        <v>24495</v>
      </c>
      <c r="C3822" s="37" t="s">
        <v>2348</v>
      </c>
      <c r="D3822" s="37" t="s">
        <v>2349</v>
      </c>
      <c r="E3822" s="213">
        <v>1677.54</v>
      </c>
    </row>
    <row r="3823" spans="1:5" ht="14.25">
      <c r="A3823" s="37">
        <v>41459</v>
      </c>
      <c r="B3823" s="37" t="s">
        <v>24496</v>
      </c>
      <c r="C3823" s="37" t="s">
        <v>2348</v>
      </c>
      <c r="D3823" s="37" t="s">
        <v>2349</v>
      </c>
      <c r="E3823" s="213">
        <v>2340.0300000000002</v>
      </c>
    </row>
    <row r="3824" spans="1:5" ht="14.25">
      <c r="A3824" s="37">
        <v>41461</v>
      </c>
      <c r="B3824" s="37" t="s">
        <v>24497</v>
      </c>
      <c r="C3824" s="37" t="s">
        <v>2348</v>
      </c>
      <c r="D3824" s="37" t="s">
        <v>2349</v>
      </c>
      <c r="E3824" s="213">
        <v>3190.52</v>
      </c>
    </row>
    <row r="3825" spans="1:5" ht="14.25">
      <c r="A3825" s="37">
        <v>44537</v>
      </c>
      <c r="B3825" s="37" t="s">
        <v>28107</v>
      </c>
      <c r="C3825" s="37" t="s">
        <v>2415</v>
      </c>
      <c r="D3825" s="37" t="s">
        <v>2349</v>
      </c>
      <c r="E3825" s="212">
        <v>308.27999999999997</v>
      </c>
    </row>
    <row r="3826" spans="1:5" ht="14.25">
      <c r="A3826" s="37">
        <v>11844</v>
      </c>
      <c r="B3826" s="37" t="s">
        <v>24498</v>
      </c>
      <c r="C3826" s="37" t="s">
        <v>2355</v>
      </c>
      <c r="D3826" s="37" t="s">
        <v>2349</v>
      </c>
      <c r="E3826" s="212">
        <v>54.2</v>
      </c>
    </row>
    <row r="3827" spans="1:5" ht="14.25">
      <c r="A3827" s="37">
        <v>4465</v>
      </c>
      <c r="B3827" s="37" t="s">
        <v>24499</v>
      </c>
      <c r="C3827" s="37" t="s">
        <v>2355</v>
      </c>
      <c r="D3827" s="37" t="s">
        <v>2349</v>
      </c>
      <c r="E3827" s="212">
        <v>45.04</v>
      </c>
    </row>
    <row r="3828" spans="1:5" ht="14.25">
      <c r="A3828" s="37">
        <v>35273</v>
      </c>
      <c r="B3828" s="37" t="s">
        <v>24500</v>
      </c>
      <c r="C3828" s="37" t="s">
        <v>2355</v>
      </c>
      <c r="D3828" s="37" t="s">
        <v>2349</v>
      </c>
      <c r="E3828" s="212">
        <v>54.02</v>
      </c>
    </row>
    <row r="3829" spans="1:5" ht="14.25">
      <c r="A3829" s="37">
        <v>4470</v>
      </c>
      <c r="B3829" s="37" t="s">
        <v>24501</v>
      </c>
      <c r="C3829" s="37" t="s">
        <v>2355</v>
      </c>
      <c r="D3829" s="37" t="s">
        <v>2349</v>
      </c>
      <c r="E3829" s="212">
        <v>124.67</v>
      </c>
    </row>
    <row r="3830" spans="1:5" ht="14.25">
      <c r="A3830" s="37">
        <v>20208</v>
      </c>
      <c r="B3830" s="37" t="s">
        <v>24502</v>
      </c>
      <c r="C3830" s="37" t="s">
        <v>2355</v>
      </c>
      <c r="D3830" s="37" t="s">
        <v>2349</v>
      </c>
      <c r="E3830" s="212">
        <v>112.2</v>
      </c>
    </row>
    <row r="3831" spans="1:5" ht="14.25">
      <c r="A3831" s="37">
        <v>20204</v>
      </c>
      <c r="B3831" s="37" t="s">
        <v>24503</v>
      </c>
      <c r="C3831" s="37" t="s">
        <v>2355</v>
      </c>
      <c r="D3831" s="37" t="s">
        <v>2349</v>
      </c>
      <c r="E3831" s="212">
        <v>83.11</v>
      </c>
    </row>
    <row r="3832" spans="1:5" ht="14.25">
      <c r="A3832" s="37">
        <v>4437</v>
      </c>
      <c r="B3832" s="37" t="s">
        <v>24504</v>
      </c>
      <c r="C3832" s="37" t="s">
        <v>2355</v>
      </c>
      <c r="D3832" s="37" t="s">
        <v>2349</v>
      </c>
      <c r="E3832" s="212">
        <v>93.5</v>
      </c>
    </row>
    <row r="3833" spans="1:5" ht="14.25">
      <c r="A3833" s="37">
        <v>14580</v>
      </c>
      <c r="B3833" s="37" t="s">
        <v>24505</v>
      </c>
      <c r="C3833" s="37" t="s">
        <v>2355</v>
      </c>
      <c r="D3833" s="37" t="s">
        <v>2349</v>
      </c>
      <c r="E3833" s="212">
        <v>93.5</v>
      </c>
    </row>
    <row r="3834" spans="1:5" ht="14.25">
      <c r="A3834" s="37">
        <v>40304</v>
      </c>
      <c r="B3834" s="37" t="s">
        <v>24506</v>
      </c>
      <c r="C3834" s="37" t="s">
        <v>2356</v>
      </c>
      <c r="D3834" s="37" t="s">
        <v>2349</v>
      </c>
      <c r="E3834" s="212">
        <v>34.08</v>
      </c>
    </row>
    <row r="3835" spans="1:5" ht="14.25">
      <c r="A3835" s="37">
        <v>5065</v>
      </c>
      <c r="B3835" s="37" t="s">
        <v>24507</v>
      </c>
      <c r="C3835" s="37" t="s">
        <v>2356</v>
      </c>
      <c r="D3835" s="37" t="s">
        <v>2349</v>
      </c>
      <c r="E3835" s="212">
        <v>52.52</v>
      </c>
    </row>
    <row r="3836" spans="1:5" ht="14.25">
      <c r="A3836" s="37">
        <v>5072</v>
      </c>
      <c r="B3836" s="37" t="s">
        <v>24508</v>
      </c>
      <c r="C3836" s="37" t="s">
        <v>2356</v>
      </c>
      <c r="D3836" s="37" t="s">
        <v>2349</v>
      </c>
      <c r="E3836" s="212">
        <v>48.58</v>
      </c>
    </row>
    <row r="3837" spans="1:5" ht="14.25">
      <c r="A3837" s="37">
        <v>5066</v>
      </c>
      <c r="B3837" s="37" t="s">
        <v>24509</v>
      </c>
      <c r="C3837" s="37" t="s">
        <v>2356</v>
      </c>
      <c r="D3837" s="37" t="s">
        <v>2349</v>
      </c>
      <c r="E3837" s="212">
        <v>36.380000000000003</v>
      </c>
    </row>
    <row r="3838" spans="1:5" ht="14.25">
      <c r="A3838" s="37">
        <v>5063</v>
      </c>
      <c r="B3838" s="37" t="s">
        <v>24510</v>
      </c>
      <c r="C3838" s="37" t="s">
        <v>2356</v>
      </c>
      <c r="D3838" s="37" t="s">
        <v>2349</v>
      </c>
      <c r="E3838" s="212">
        <v>32.94</v>
      </c>
    </row>
    <row r="3839" spans="1:5" ht="14.25">
      <c r="A3839" s="37">
        <v>20247</v>
      </c>
      <c r="B3839" s="37" t="s">
        <v>24511</v>
      </c>
      <c r="C3839" s="37" t="s">
        <v>2356</v>
      </c>
      <c r="D3839" s="37" t="s">
        <v>2349</v>
      </c>
      <c r="E3839" s="212">
        <v>30.57</v>
      </c>
    </row>
    <row r="3840" spans="1:5" ht="14.25">
      <c r="A3840" s="37">
        <v>5074</v>
      </c>
      <c r="B3840" s="37" t="s">
        <v>24512</v>
      </c>
      <c r="C3840" s="37" t="s">
        <v>2356</v>
      </c>
      <c r="D3840" s="37" t="s">
        <v>2349</v>
      </c>
      <c r="E3840" s="212">
        <v>30.93</v>
      </c>
    </row>
    <row r="3841" spans="1:5" ht="14.25">
      <c r="A3841" s="37">
        <v>5067</v>
      </c>
      <c r="B3841" s="37" t="s">
        <v>24513</v>
      </c>
      <c r="C3841" s="37" t="s">
        <v>2356</v>
      </c>
      <c r="D3841" s="37" t="s">
        <v>2349</v>
      </c>
      <c r="E3841" s="212">
        <v>29.42</v>
      </c>
    </row>
    <row r="3842" spans="1:5" ht="14.25">
      <c r="A3842" s="37">
        <v>5078</v>
      </c>
      <c r="B3842" s="37" t="s">
        <v>24514</v>
      </c>
      <c r="C3842" s="37" t="s">
        <v>2356</v>
      </c>
      <c r="D3842" s="37" t="s">
        <v>2349</v>
      </c>
      <c r="E3842" s="212">
        <v>29.09</v>
      </c>
    </row>
    <row r="3843" spans="1:5" ht="14.25">
      <c r="A3843" s="37">
        <v>5068</v>
      </c>
      <c r="B3843" s="37" t="s">
        <v>24515</v>
      </c>
      <c r="C3843" s="37" t="s">
        <v>2356</v>
      </c>
      <c r="D3843" s="37" t="s">
        <v>2349</v>
      </c>
      <c r="E3843" s="212">
        <v>27.61</v>
      </c>
    </row>
    <row r="3844" spans="1:5" ht="14.25">
      <c r="A3844" s="37">
        <v>5073</v>
      </c>
      <c r="B3844" s="37" t="s">
        <v>24516</v>
      </c>
      <c r="C3844" s="37" t="s">
        <v>2356</v>
      </c>
      <c r="D3844" s="37" t="s">
        <v>2349</v>
      </c>
      <c r="E3844" s="212">
        <v>28.14</v>
      </c>
    </row>
    <row r="3845" spans="1:5" ht="14.25">
      <c r="A3845" s="37">
        <v>5069</v>
      </c>
      <c r="B3845" s="37" t="s">
        <v>24517</v>
      </c>
      <c r="C3845" s="37" t="s">
        <v>2356</v>
      </c>
      <c r="D3845" s="37" t="s">
        <v>2349</v>
      </c>
      <c r="E3845" s="212">
        <v>28.14</v>
      </c>
    </row>
    <row r="3846" spans="1:5" ht="14.25">
      <c r="A3846" s="37">
        <v>5070</v>
      </c>
      <c r="B3846" s="37" t="s">
        <v>24518</v>
      </c>
      <c r="C3846" s="37" t="s">
        <v>2356</v>
      </c>
      <c r="D3846" s="37" t="s">
        <v>2349</v>
      </c>
      <c r="E3846" s="212">
        <v>28.45</v>
      </c>
    </row>
    <row r="3847" spans="1:5" ht="14.25">
      <c r="A3847" s="37">
        <v>5071</v>
      </c>
      <c r="B3847" s="37" t="s">
        <v>24519</v>
      </c>
      <c r="C3847" s="37" t="s">
        <v>2356</v>
      </c>
      <c r="D3847" s="37" t="s">
        <v>2349</v>
      </c>
      <c r="E3847" s="212">
        <v>27.61</v>
      </c>
    </row>
    <row r="3848" spans="1:5" ht="14.25">
      <c r="A3848" s="37">
        <v>5061</v>
      </c>
      <c r="B3848" s="37" t="s">
        <v>24520</v>
      </c>
      <c r="C3848" s="37" t="s">
        <v>2356</v>
      </c>
      <c r="D3848" s="37" t="s">
        <v>2353</v>
      </c>
      <c r="E3848" s="212">
        <v>27.14</v>
      </c>
    </row>
    <row r="3849" spans="1:5" ht="14.25">
      <c r="A3849" s="37">
        <v>5075</v>
      </c>
      <c r="B3849" s="37" t="s">
        <v>24521</v>
      </c>
      <c r="C3849" s="37" t="s">
        <v>2356</v>
      </c>
      <c r="D3849" s="37" t="s">
        <v>2349</v>
      </c>
      <c r="E3849" s="212">
        <v>27.61</v>
      </c>
    </row>
    <row r="3850" spans="1:5" ht="14.25">
      <c r="A3850" s="37">
        <v>39027</v>
      </c>
      <c r="B3850" s="37" t="s">
        <v>24522</v>
      </c>
      <c r="C3850" s="37" t="s">
        <v>2356</v>
      </c>
      <c r="D3850" s="37" t="s">
        <v>2349</v>
      </c>
      <c r="E3850" s="212">
        <v>27.58</v>
      </c>
    </row>
    <row r="3851" spans="1:5" ht="14.25">
      <c r="A3851" s="37">
        <v>5062</v>
      </c>
      <c r="B3851" s="37" t="s">
        <v>24523</v>
      </c>
      <c r="C3851" s="37" t="s">
        <v>2356</v>
      </c>
      <c r="D3851" s="37" t="s">
        <v>2349</v>
      </c>
      <c r="E3851" s="212">
        <v>27.97</v>
      </c>
    </row>
    <row r="3852" spans="1:5" ht="14.25">
      <c r="A3852" s="37">
        <v>40568</v>
      </c>
      <c r="B3852" s="37" t="s">
        <v>24524</v>
      </c>
      <c r="C3852" s="37" t="s">
        <v>2356</v>
      </c>
      <c r="D3852" s="37" t="s">
        <v>2349</v>
      </c>
      <c r="E3852" s="212">
        <v>27.81</v>
      </c>
    </row>
    <row r="3853" spans="1:5" ht="14.25">
      <c r="A3853" s="37">
        <v>39026</v>
      </c>
      <c r="B3853" s="37" t="s">
        <v>24525</v>
      </c>
      <c r="C3853" s="37" t="s">
        <v>2356</v>
      </c>
      <c r="D3853" s="37" t="s">
        <v>2349</v>
      </c>
      <c r="E3853" s="212">
        <v>31.04</v>
      </c>
    </row>
    <row r="3854" spans="1:5" ht="14.25">
      <c r="A3854" s="37">
        <v>42431</v>
      </c>
      <c r="B3854" s="37" t="s">
        <v>24526</v>
      </c>
      <c r="C3854" s="37" t="s">
        <v>2348</v>
      </c>
      <c r="D3854" s="37" t="s">
        <v>2351</v>
      </c>
      <c r="E3854" s="213">
        <v>3475.1</v>
      </c>
    </row>
    <row r="3855" spans="1:5" ht="14.25">
      <c r="A3855" s="37">
        <v>44074</v>
      </c>
      <c r="B3855" s="37" t="s">
        <v>24527</v>
      </c>
      <c r="C3855" s="37" t="s">
        <v>2363</v>
      </c>
      <c r="D3855" s="37" t="s">
        <v>2349</v>
      </c>
      <c r="E3855" s="212">
        <v>492.41</v>
      </c>
    </row>
    <row r="3856" spans="1:5" ht="14.25">
      <c r="A3856" s="37">
        <v>44072</v>
      </c>
      <c r="B3856" s="37" t="s">
        <v>28108</v>
      </c>
      <c r="C3856" s="37" t="s">
        <v>2363</v>
      </c>
      <c r="D3856" s="37" t="s">
        <v>2349</v>
      </c>
      <c r="E3856" s="212">
        <v>107.82</v>
      </c>
    </row>
    <row r="3857" spans="1:5" ht="14.25">
      <c r="A3857" s="37">
        <v>511</v>
      </c>
      <c r="B3857" s="37" t="s">
        <v>24528</v>
      </c>
      <c r="C3857" s="37" t="s">
        <v>2363</v>
      </c>
      <c r="D3857" s="37" t="s">
        <v>2353</v>
      </c>
      <c r="E3857" s="212">
        <v>10.34</v>
      </c>
    </row>
    <row r="3858" spans="1:5" ht="14.25">
      <c r="A3858" s="37">
        <v>37540</v>
      </c>
      <c r="B3858" s="37" t="s">
        <v>24529</v>
      </c>
      <c r="C3858" s="37" t="s">
        <v>2348</v>
      </c>
      <c r="D3858" s="37" t="s">
        <v>2351</v>
      </c>
      <c r="E3858" s="213">
        <v>79431.460000000006</v>
      </c>
    </row>
    <row r="3859" spans="1:5" ht="14.25">
      <c r="A3859" s="37">
        <v>37548</v>
      </c>
      <c r="B3859" s="37" t="s">
        <v>24530</v>
      </c>
      <c r="C3859" s="37" t="s">
        <v>2348</v>
      </c>
      <c r="D3859" s="37" t="s">
        <v>2351</v>
      </c>
      <c r="E3859" s="213">
        <v>105286</v>
      </c>
    </row>
    <row r="3860" spans="1:5" ht="14.25">
      <c r="A3860" s="37">
        <v>39828</v>
      </c>
      <c r="B3860" s="37" t="s">
        <v>24531</v>
      </c>
      <c r="C3860" s="37" t="s">
        <v>2348</v>
      </c>
      <c r="D3860" s="37" t="s">
        <v>2351</v>
      </c>
      <c r="E3860" s="212">
        <v>631.61</v>
      </c>
    </row>
    <row r="3861" spans="1:5" ht="14.25">
      <c r="A3861" s="37">
        <v>12273</v>
      </c>
      <c r="B3861" s="37" t="s">
        <v>24532</v>
      </c>
      <c r="C3861" s="37" t="s">
        <v>2348</v>
      </c>
      <c r="D3861" s="37" t="s">
        <v>2351</v>
      </c>
      <c r="E3861" s="212">
        <v>136.44</v>
      </c>
    </row>
    <row r="3862" spans="1:5" ht="14.25">
      <c r="A3862" s="37">
        <v>38392</v>
      </c>
      <c r="B3862" s="37" t="s">
        <v>24533</v>
      </c>
      <c r="C3862" s="37" t="s">
        <v>2348</v>
      </c>
      <c r="D3862" s="37" t="s">
        <v>2349</v>
      </c>
      <c r="E3862" s="212">
        <v>51.77</v>
      </c>
    </row>
    <row r="3863" spans="1:5" ht="14.25">
      <c r="A3863" s="37">
        <v>11735</v>
      </c>
      <c r="B3863" s="37" t="s">
        <v>24534</v>
      </c>
      <c r="C3863" s="37" t="s">
        <v>2348</v>
      </c>
      <c r="D3863" s="37" t="s">
        <v>2349</v>
      </c>
      <c r="E3863" s="212">
        <v>10.51</v>
      </c>
    </row>
    <row r="3864" spans="1:5" ht="14.25">
      <c r="A3864" s="37">
        <v>11737</v>
      </c>
      <c r="B3864" s="37" t="s">
        <v>24535</v>
      </c>
      <c r="C3864" s="37" t="s">
        <v>2348</v>
      </c>
      <c r="D3864" s="37" t="s">
        <v>2349</v>
      </c>
      <c r="E3864" s="212">
        <v>14.91</v>
      </c>
    </row>
    <row r="3865" spans="1:5" ht="14.25">
      <c r="A3865" s="37">
        <v>11738</v>
      </c>
      <c r="B3865" s="37" t="s">
        <v>24536</v>
      </c>
      <c r="C3865" s="37" t="s">
        <v>2348</v>
      </c>
      <c r="D3865" s="37" t="s">
        <v>2349</v>
      </c>
      <c r="E3865" s="212">
        <v>18.8</v>
      </c>
    </row>
    <row r="3866" spans="1:5" ht="14.25">
      <c r="A3866" s="37">
        <v>36143</v>
      </c>
      <c r="B3866" s="37" t="s">
        <v>24537</v>
      </c>
      <c r="C3866" s="37" t="s">
        <v>2348</v>
      </c>
      <c r="D3866" s="37" t="s">
        <v>2349</v>
      </c>
      <c r="E3866" s="212">
        <v>30.54</v>
      </c>
    </row>
    <row r="3867" spans="1:5" ht="14.25">
      <c r="A3867" s="37">
        <v>36142</v>
      </c>
      <c r="B3867" s="37" t="s">
        <v>24538</v>
      </c>
      <c r="C3867" s="37" t="s">
        <v>2348</v>
      </c>
      <c r="D3867" s="37" t="s">
        <v>2349</v>
      </c>
      <c r="E3867" s="212">
        <v>2.23</v>
      </c>
    </row>
    <row r="3868" spans="1:5" ht="14.25">
      <c r="A3868" s="37">
        <v>36146</v>
      </c>
      <c r="B3868" s="37" t="s">
        <v>24539</v>
      </c>
      <c r="C3868" s="37" t="s">
        <v>2348</v>
      </c>
      <c r="D3868" s="37" t="s">
        <v>2349</v>
      </c>
      <c r="E3868" s="212">
        <v>253.3</v>
      </c>
    </row>
    <row r="3869" spans="1:5" ht="14.25">
      <c r="A3869" s="37">
        <v>39015</v>
      </c>
      <c r="B3869" s="37" t="s">
        <v>24540</v>
      </c>
      <c r="C3869" s="37" t="s">
        <v>2348</v>
      </c>
      <c r="D3869" s="37" t="s">
        <v>2353</v>
      </c>
      <c r="E3869" s="212">
        <v>0.88</v>
      </c>
    </row>
    <row r="3870" spans="1:5" ht="14.25">
      <c r="A3870" s="37">
        <v>38377</v>
      </c>
      <c r="B3870" s="37" t="s">
        <v>24541</v>
      </c>
      <c r="C3870" s="37" t="s">
        <v>2348</v>
      </c>
      <c r="D3870" s="37" t="s">
        <v>2349</v>
      </c>
      <c r="E3870" s="212">
        <v>39.58</v>
      </c>
    </row>
    <row r="3871" spans="1:5" ht="14.25">
      <c r="A3871" s="37">
        <v>38376</v>
      </c>
      <c r="B3871" s="37" t="s">
        <v>24542</v>
      </c>
      <c r="C3871" s="37" t="s">
        <v>2348</v>
      </c>
      <c r="D3871" s="37" t="s">
        <v>2349</v>
      </c>
      <c r="E3871" s="212">
        <v>45.13</v>
      </c>
    </row>
    <row r="3872" spans="1:5" ht="14.25">
      <c r="A3872" s="37">
        <v>38116</v>
      </c>
      <c r="B3872" s="37" t="s">
        <v>24543</v>
      </c>
      <c r="C3872" s="37" t="s">
        <v>2348</v>
      </c>
      <c r="D3872" s="37" t="s">
        <v>2349</v>
      </c>
      <c r="E3872" s="212">
        <v>5.32</v>
      </c>
    </row>
    <row r="3873" spans="1:5" ht="14.25">
      <c r="A3873" s="37">
        <v>38066</v>
      </c>
      <c r="B3873" s="37" t="s">
        <v>24544</v>
      </c>
      <c r="C3873" s="37" t="s">
        <v>2348</v>
      </c>
      <c r="D3873" s="37" t="s">
        <v>2349</v>
      </c>
      <c r="E3873" s="212">
        <v>8.7899999999999991</v>
      </c>
    </row>
    <row r="3874" spans="1:5" ht="14.25">
      <c r="A3874" s="37">
        <v>38117</v>
      </c>
      <c r="B3874" s="37" t="s">
        <v>24545</v>
      </c>
      <c r="C3874" s="37" t="s">
        <v>2348</v>
      </c>
      <c r="D3874" s="37" t="s">
        <v>2349</v>
      </c>
      <c r="E3874" s="212">
        <v>9.07</v>
      </c>
    </row>
    <row r="3875" spans="1:5" ht="14.25">
      <c r="A3875" s="37">
        <v>38067</v>
      </c>
      <c r="B3875" s="37" t="s">
        <v>24546</v>
      </c>
      <c r="C3875" s="37" t="s">
        <v>2348</v>
      </c>
      <c r="D3875" s="37" t="s">
        <v>2349</v>
      </c>
      <c r="E3875" s="212">
        <v>12.37</v>
      </c>
    </row>
    <row r="3876" spans="1:5" ht="14.25">
      <c r="A3876" s="37">
        <v>11522</v>
      </c>
      <c r="B3876" s="37" t="s">
        <v>24547</v>
      </c>
      <c r="C3876" s="37" t="s">
        <v>2348</v>
      </c>
      <c r="D3876" s="37" t="s">
        <v>2349</v>
      </c>
      <c r="E3876" s="212">
        <v>11.62</v>
      </c>
    </row>
    <row r="3877" spans="1:5" ht="14.25">
      <c r="A3877" s="37">
        <v>43600</v>
      </c>
      <c r="B3877" s="37" t="s">
        <v>24548</v>
      </c>
      <c r="C3877" s="37" t="s">
        <v>2348</v>
      </c>
      <c r="D3877" s="37" t="s">
        <v>2349</v>
      </c>
      <c r="E3877" s="212">
        <v>46.55</v>
      </c>
    </row>
    <row r="3878" spans="1:5" ht="14.25">
      <c r="A3878" s="37">
        <v>5080</v>
      </c>
      <c r="B3878" s="37" t="s">
        <v>24549</v>
      </c>
      <c r="C3878" s="37" t="s">
        <v>2348</v>
      </c>
      <c r="D3878" s="37" t="s">
        <v>2349</v>
      </c>
      <c r="E3878" s="212">
        <v>18.149999999999999</v>
      </c>
    </row>
    <row r="3879" spans="1:5" ht="14.25">
      <c r="A3879" s="37">
        <v>38168</v>
      </c>
      <c r="B3879" s="37" t="s">
        <v>24550</v>
      </c>
      <c r="C3879" s="37" t="s">
        <v>2348</v>
      </c>
      <c r="D3879" s="37" t="s">
        <v>2349</v>
      </c>
      <c r="E3879" s="212">
        <v>126.75</v>
      </c>
    </row>
    <row r="3880" spans="1:5" ht="14.25">
      <c r="A3880" s="37">
        <v>43601</v>
      </c>
      <c r="B3880" s="37" t="s">
        <v>24551</v>
      </c>
      <c r="C3880" s="37" t="s">
        <v>2348</v>
      </c>
      <c r="D3880" s="37" t="s">
        <v>2349</v>
      </c>
      <c r="E3880" s="212">
        <v>63.37</v>
      </c>
    </row>
    <row r="3881" spans="1:5" ht="14.25">
      <c r="A3881" s="37">
        <v>13393</v>
      </c>
      <c r="B3881" s="37" t="s">
        <v>24552</v>
      </c>
      <c r="C3881" s="37" t="s">
        <v>2348</v>
      </c>
      <c r="D3881" s="37" t="s">
        <v>2349</v>
      </c>
      <c r="E3881" s="212">
        <v>535.73</v>
      </c>
    </row>
    <row r="3882" spans="1:5" ht="14.25">
      <c r="A3882" s="37">
        <v>13395</v>
      </c>
      <c r="B3882" s="37" t="s">
        <v>24553</v>
      </c>
      <c r="C3882" s="37" t="s">
        <v>2348</v>
      </c>
      <c r="D3882" s="37" t="s">
        <v>2349</v>
      </c>
      <c r="E3882" s="212">
        <v>750.77</v>
      </c>
    </row>
    <row r="3883" spans="1:5" ht="14.25">
      <c r="A3883" s="37">
        <v>12039</v>
      </c>
      <c r="B3883" s="37" t="s">
        <v>24554</v>
      </c>
      <c r="C3883" s="37" t="s">
        <v>2348</v>
      </c>
      <c r="D3883" s="37" t="s">
        <v>2349</v>
      </c>
      <c r="E3883" s="212">
        <v>788.98</v>
      </c>
    </row>
    <row r="3884" spans="1:5" ht="14.25">
      <c r="A3884" s="37">
        <v>13396</v>
      </c>
      <c r="B3884" s="37" t="s">
        <v>24555</v>
      </c>
      <c r="C3884" s="37" t="s">
        <v>2348</v>
      </c>
      <c r="D3884" s="37" t="s">
        <v>2349</v>
      </c>
      <c r="E3884" s="213">
        <v>1108.07</v>
      </c>
    </row>
    <row r="3885" spans="1:5" ht="14.25">
      <c r="A3885" s="37">
        <v>12041</v>
      </c>
      <c r="B3885" s="37" t="s">
        <v>24556</v>
      </c>
      <c r="C3885" s="37" t="s">
        <v>2348</v>
      </c>
      <c r="D3885" s="37" t="s">
        <v>2349</v>
      </c>
      <c r="E3885" s="212">
        <v>904.81</v>
      </c>
    </row>
    <row r="3886" spans="1:5" ht="14.25">
      <c r="A3886" s="37">
        <v>12043</v>
      </c>
      <c r="B3886" s="37" t="s">
        <v>24557</v>
      </c>
      <c r="C3886" s="37" t="s">
        <v>2348</v>
      </c>
      <c r="D3886" s="37" t="s">
        <v>2349</v>
      </c>
      <c r="E3886" s="213">
        <v>1910.35</v>
      </c>
    </row>
    <row r="3887" spans="1:5" ht="14.25">
      <c r="A3887" s="37">
        <v>39762</v>
      </c>
      <c r="B3887" s="37" t="s">
        <v>24558</v>
      </c>
      <c r="C3887" s="37" t="s">
        <v>2348</v>
      </c>
      <c r="D3887" s="37" t="s">
        <v>2349</v>
      </c>
      <c r="E3887" s="212">
        <v>909.38</v>
      </c>
    </row>
    <row r="3888" spans="1:5" ht="14.25">
      <c r="A3888" s="37">
        <v>12042</v>
      </c>
      <c r="B3888" s="37" t="s">
        <v>24559</v>
      </c>
      <c r="C3888" s="37" t="s">
        <v>2348</v>
      </c>
      <c r="D3888" s="37" t="s">
        <v>2349</v>
      </c>
      <c r="E3888" s="213">
        <v>1327.66</v>
      </c>
    </row>
    <row r="3889" spans="1:5" ht="14.25">
      <c r="A3889" s="37">
        <v>39763</v>
      </c>
      <c r="B3889" s="37" t="s">
        <v>24560</v>
      </c>
      <c r="C3889" s="37" t="s">
        <v>2348</v>
      </c>
      <c r="D3889" s="37" t="s">
        <v>2349</v>
      </c>
      <c r="E3889" s="213">
        <v>1553.85</v>
      </c>
    </row>
    <row r="3890" spans="1:5" ht="14.25">
      <c r="A3890" s="37">
        <v>39760</v>
      </c>
      <c r="B3890" s="37" t="s">
        <v>24561</v>
      </c>
      <c r="C3890" s="37" t="s">
        <v>2348</v>
      </c>
      <c r="D3890" s="37" t="s">
        <v>2349</v>
      </c>
      <c r="E3890" s="213">
        <v>1548.74</v>
      </c>
    </row>
    <row r="3891" spans="1:5" ht="14.25">
      <c r="A3891" s="37">
        <v>39756</v>
      </c>
      <c r="B3891" s="37" t="s">
        <v>24562</v>
      </c>
      <c r="C3891" s="37" t="s">
        <v>2348</v>
      </c>
      <c r="D3891" s="37" t="s">
        <v>2349</v>
      </c>
      <c r="E3891" s="212">
        <v>556.09</v>
      </c>
    </row>
    <row r="3892" spans="1:5" ht="14.25">
      <c r="A3892" s="37">
        <v>12038</v>
      </c>
      <c r="B3892" s="37" t="s">
        <v>24563</v>
      </c>
      <c r="C3892" s="37" t="s">
        <v>2348</v>
      </c>
      <c r="D3892" s="37" t="s">
        <v>2349</v>
      </c>
      <c r="E3892" s="212">
        <v>694.85</v>
      </c>
    </row>
    <row r="3893" spans="1:5" ht="14.25">
      <c r="A3893" s="37">
        <v>39757</v>
      </c>
      <c r="B3893" s="37" t="s">
        <v>24564</v>
      </c>
      <c r="C3893" s="37" t="s">
        <v>2348</v>
      </c>
      <c r="D3893" s="37" t="s">
        <v>2349</v>
      </c>
      <c r="E3893" s="212">
        <v>642.52</v>
      </c>
    </row>
    <row r="3894" spans="1:5" ht="14.25">
      <c r="A3894" s="37">
        <v>39758</v>
      </c>
      <c r="B3894" s="37" t="s">
        <v>24565</v>
      </c>
      <c r="C3894" s="37" t="s">
        <v>2348</v>
      </c>
      <c r="D3894" s="37" t="s">
        <v>2349</v>
      </c>
      <c r="E3894" s="212">
        <v>936.39</v>
      </c>
    </row>
    <row r="3895" spans="1:5" ht="14.25">
      <c r="A3895" s="37">
        <v>39759</v>
      </c>
      <c r="B3895" s="37" t="s">
        <v>24566</v>
      </c>
      <c r="C3895" s="37" t="s">
        <v>2348</v>
      </c>
      <c r="D3895" s="37" t="s">
        <v>2349</v>
      </c>
      <c r="E3895" s="213">
        <v>1156.45</v>
      </c>
    </row>
    <row r="3896" spans="1:5" ht="14.25">
      <c r="A3896" s="37">
        <v>39761</v>
      </c>
      <c r="B3896" s="37" t="s">
        <v>24567</v>
      </c>
      <c r="C3896" s="37" t="s">
        <v>2348</v>
      </c>
      <c r="D3896" s="37" t="s">
        <v>2349</v>
      </c>
      <c r="E3896" s="213">
        <v>1390.08</v>
      </c>
    </row>
    <row r="3897" spans="1:5" ht="14.25">
      <c r="A3897" s="37">
        <v>39805</v>
      </c>
      <c r="B3897" s="37" t="s">
        <v>24568</v>
      </c>
      <c r="C3897" s="37" t="s">
        <v>2348</v>
      </c>
      <c r="D3897" s="37" t="s">
        <v>2349</v>
      </c>
      <c r="E3897" s="212">
        <v>126.53</v>
      </c>
    </row>
    <row r="3898" spans="1:5" ht="14.25">
      <c r="A3898" s="37">
        <v>39806</v>
      </c>
      <c r="B3898" s="37" t="s">
        <v>24569</v>
      </c>
      <c r="C3898" s="37" t="s">
        <v>2348</v>
      </c>
      <c r="D3898" s="37" t="s">
        <v>2349</v>
      </c>
      <c r="E3898" s="212">
        <v>234.42</v>
      </c>
    </row>
    <row r="3899" spans="1:5" ht="14.25">
      <c r="A3899" s="37">
        <v>39807</v>
      </c>
      <c r="B3899" s="37" t="s">
        <v>24570</v>
      </c>
      <c r="C3899" s="37" t="s">
        <v>2348</v>
      </c>
      <c r="D3899" s="37" t="s">
        <v>2349</v>
      </c>
      <c r="E3899" s="212">
        <v>508.04</v>
      </c>
    </row>
    <row r="3900" spans="1:5" ht="14.25">
      <c r="A3900" s="37">
        <v>43100</v>
      </c>
      <c r="B3900" s="37" t="s">
        <v>24571</v>
      </c>
      <c r="C3900" s="37" t="s">
        <v>2348</v>
      </c>
      <c r="D3900" s="37" t="s">
        <v>2349</v>
      </c>
      <c r="E3900" s="212">
        <v>397.18</v>
      </c>
    </row>
    <row r="3901" spans="1:5" ht="14.25">
      <c r="A3901" s="37">
        <v>39804</v>
      </c>
      <c r="B3901" s="37" t="s">
        <v>24572</v>
      </c>
      <c r="C3901" s="37" t="s">
        <v>2348</v>
      </c>
      <c r="D3901" s="37" t="s">
        <v>2349</v>
      </c>
      <c r="E3901" s="212">
        <v>74.3</v>
      </c>
    </row>
    <row r="3902" spans="1:5" ht="14.25">
      <c r="A3902" s="37">
        <v>39796</v>
      </c>
      <c r="B3902" s="37" t="s">
        <v>24573</v>
      </c>
      <c r="C3902" s="37" t="s">
        <v>2348</v>
      </c>
      <c r="D3902" s="37" t="s">
        <v>2349</v>
      </c>
      <c r="E3902" s="212">
        <v>76.95</v>
      </c>
    </row>
    <row r="3903" spans="1:5" ht="14.25">
      <c r="A3903" s="37">
        <v>39797</v>
      </c>
      <c r="B3903" s="37" t="s">
        <v>24574</v>
      </c>
      <c r="C3903" s="37" t="s">
        <v>2348</v>
      </c>
      <c r="D3903" s="37" t="s">
        <v>2353</v>
      </c>
      <c r="E3903" s="212">
        <v>120.8</v>
      </c>
    </row>
    <row r="3904" spans="1:5" ht="14.25">
      <c r="A3904" s="37">
        <v>39798</v>
      </c>
      <c r="B3904" s="37" t="s">
        <v>24575</v>
      </c>
      <c r="C3904" s="37" t="s">
        <v>2348</v>
      </c>
      <c r="D3904" s="37" t="s">
        <v>2349</v>
      </c>
      <c r="E3904" s="212">
        <v>207.21</v>
      </c>
    </row>
    <row r="3905" spans="1:5" ht="14.25">
      <c r="A3905" s="37">
        <v>39794</v>
      </c>
      <c r="B3905" s="37" t="s">
        <v>24576</v>
      </c>
      <c r="C3905" s="37" t="s">
        <v>2348</v>
      </c>
      <c r="D3905" s="37" t="s">
        <v>2349</v>
      </c>
      <c r="E3905" s="212">
        <v>32.659999999999997</v>
      </c>
    </row>
    <row r="3906" spans="1:5" ht="14.25">
      <c r="A3906" s="37">
        <v>39795</v>
      </c>
      <c r="B3906" s="37" t="s">
        <v>24577</v>
      </c>
      <c r="C3906" s="37" t="s">
        <v>2348</v>
      </c>
      <c r="D3906" s="37" t="s">
        <v>2349</v>
      </c>
      <c r="E3906" s="212">
        <v>51.6</v>
      </c>
    </row>
    <row r="3907" spans="1:5" ht="14.25">
      <c r="A3907" s="37">
        <v>39799</v>
      </c>
      <c r="B3907" s="37" t="s">
        <v>24578</v>
      </c>
      <c r="C3907" s="37" t="s">
        <v>2348</v>
      </c>
      <c r="D3907" s="37" t="s">
        <v>2349</v>
      </c>
      <c r="E3907" s="212">
        <v>38.07</v>
      </c>
    </row>
    <row r="3908" spans="1:5" ht="14.25">
      <c r="A3908" s="37">
        <v>39801</v>
      </c>
      <c r="B3908" s="37" t="s">
        <v>24579</v>
      </c>
      <c r="C3908" s="37" t="s">
        <v>2348</v>
      </c>
      <c r="D3908" s="37" t="s">
        <v>2349</v>
      </c>
      <c r="E3908" s="212">
        <v>108.97</v>
      </c>
    </row>
    <row r="3909" spans="1:5" ht="14.25">
      <c r="A3909" s="37">
        <v>39802</v>
      </c>
      <c r="B3909" s="37" t="s">
        <v>24580</v>
      </c>
      <c r="C3909" s="37" t="s">
        <v>2348</v>
      </c>
      <c r="D3909" s="37" t="s">
        <v>2349</v>
      </c>
      <c r="E3909" s="212">
        <v>159.72999999999999</v>
      </c>
    </row>
    <row r="3910" spans="1:5" ht="14.25">
      <c r="A3910" s="37">
        <v>39803</v>
      </c>
      <c r="B3910" s="37" t="s">
        <v>24581</v>
      </c>
      <c r="C3910" s="37" t="s">
        <v>2348</v>
      </c>
      <c r="D3910" s="37" t="s">
        <v>2349</v>
      </c>
      <c r="E3910" s="212">
        <v>222.82</v>
      </c>
    </row>
    <row r="3911" spans="1:5" ht="14.25">
      <c r="A3911" s="37">
        <v>39800</v>
      </c>
      <c r="B3911" s="37" t="s">
        <v>24582</v>
      </c>
      <c r="C3911" s="37" t="s">
        <v>2348</v>
      </c>
      <c r="D3911" s="37" t="s">
        <v>2349</v>
      </c>
      <c r="E3911" s="212">
        <v>64.86</v>
      </c>
    </row>
    <row r="3912" spans="1:5" ht="14.25">
      <c r="A3912" s="37">
        <v>21059</v>
      </c>
      <c r="B3912" s="37" t="s">
        <v>24583</v>
      </c>
      <c r="C3912" s="37" t="s">
        <v>2348</v>
      </c>
      <c r="D3912" s="37" t="s">
        <v>2351</v>
      </c>
      <c r="E3912" s="212">
        <v>64.180000000000007</v>
      </c>
    </row>
    <row r="3913" spans="1:5" ht="14.25">
      <c r="A3913" s="37">
        <v>11234</v>
      </c>
      <c r="B3913" s="37" t="s">
        <v>24584</v>
      </c>
      <c r="C3913" s="37" t="s">
        <v>2348</v>
      </c>
      <c r="D3913" s="37" t="s">
        <v>2351</v>
      </c>
      <c r="E3913" s="212">
        <v>96.74</v>
      </c>
    </row>
    <row r="3914" spans="1:5" ht="14.25">
      <c r="A3914" s="37">
        <v>21060</v>
      </c>
      <c r="B3914" s="37" t="s">
        <v>24585</v>
      </c>
      <c r="C3914" s="37" t="s">
        <v>2348</v>
      </c>
      <c r="D3914" s="37" t="s">
        <v>2351</v>
      </c>
      <c r="E3914" s="212">
        <v>119.06</v>
      </c>
    </row>
    <row r="3915" spans="1:5" ht="14.25">
      <c r="A3915" s="37">
        <v>21061</v>
      </c>
      <c r="B3915" s="37" t="s">
        <v>24586</v>
      </c>
      <c r="C3915" s="37" t="s">
        <v>2348</v>
      </c>
      <c r="D3915" s="37" t="s">
        <v>2351</v>
      </c>
      <c r="E3915" s="212">
        <v>148.83000000000001</v>
      </c>
    </row>
    <row r="3916" spans="1:5" ht="14.25">
      <c r="A3916" s="37">
        <v>21062</v>
      </c>
      <c r="B3916" s="37" t="s">
        <v>24587</v>
      </c>
      <c r="C3916" s="37" t="s">
        <v>2348</v>
      </c>
      <c r="D3916" s="37" t="s">
        <v>2351</v>
      </c>
      <c r="E3916" s="212">
        <v>234.41</v>
      </c>
    </row>
    <row r="3917" spans="1:5" ht="14.25">
      <c r="A3917" s="37">
        <v>11708</v>
      </c>
      <c r="B3917" s="37" t="s">
        <v>24588</v>
      </c>
      <c r="C3917" s="37" t="s">
        <v>2348</v>
      </c>
      <c r="D3917" s="37" t="s">
        <v>2351</v>
      </c>
      <c r="E3917" s="212">
        <v>25.58</v>
      </c>
    </row>
    <row r="3918" spans="1:5" ht="14.25">
      <c r="A3918" s="37">
        <v>11709</v>
      </c>
      <c r="B3918" s="37" t="s">
        <v>24589</v>
      </c>
      <c r="C3918" s="37" t="s">
        <v>2348</v>
      </c>
      <c r="D3918" s="37" t="s">
        <v>2351</v>
      </c>
      <c r="E3918" s="212">
        <v>60.09</v>
      </c>
    </row>
    <row r="3919" spans="1:5" ht="14.25">
      <c r="A3919" s="37">
        <v>11710</v>
      </c>
      <c r="B3919" s="37" t="s">
        <v>24590</v>
      </c>
      <c r="C3919" s="37" t="s">
        <v>2348</v>
      </c>
      <c r="D3919" s="37" t="s">
        <v>2351</v>
      </c>
      <c r="E3919" s="212">
        <v>138.13</v>
      </c>
    </row>
    <row r="3920" spans="1:5" ht="14.25">
      <c r="A3920" s="37">
        <v>11707</v>
      </c>
      <c r="B3920" s="37" t="s">
        <v>24591</v>
      </c>
      <c r="C3920" s="37" t="s">
        <v>2348</v>
      </c>
      <c r="D3920" s="37" t="s">
        <v>2351</v>
      </c>
      <c r="E3920" s="212">
        <v>19.16</v>
      </c>
    </row>
    <row r="3921" spans="1:5" ht="14.25">
      <c r="A3921" s="37">
        <v>5102</v>
      </c>
      <c r="B3921" s="37" t="s">
        <v>24592</v>
      </c>
      <c r="C3921" s="37" t="s">
        <v>2348</v>
      </c>
      <c r="D3921" s="37" t="s">
        <v>2349</v>
      </c>
      <c r="E3921" s="212">
        <v>14.77</v>
      </c>
    </row>
    <row r="3922" spans="1:5" ht="14.25">
      <c r="A3922" s="37">
        <v>11739</v>
      </c>
      <c r="B3922" s="37" t="s">
        <v>24593</v>
      </c>
      <c r="C3922" s="37" t="s">
        <v>2348</v>
      </c>
      <c r="D3922" s="37" t="s">
        <v>2349</v>
      </c>
      <c r="E3922" s="212">
        <v>10.53</v>
      </c>
    </row>
    <row r="3923" spans="1:5" ht="14.25">
      <c r="A3923" s="37">
        <v>11711</v>
      </c>
      <c r="B3923" s="37" t="s">
        <v>24594</v>
      </c>
      <c r="C3923" s="37" t="s">
        <v>2348</v>
      </c>
      <c r="D3923" s="37" t="s">
        <v>2349</v>
      </c>
      <c r="E3923" s="212">
        <v>12.31</v>
      </c>
    </row>
    <row r="3924" spans="1:5" ht="14.25">
      <c r="A3924" s="37">
        <v>11741</v>
      </c>
      <c r="B3924" s="37" t="s">
        <v>24595</v>
      </c>
      <c r="C3924" s="37" t="s">
        <v>2348</v>
      </c>
      <c r="D3924" s="37" t="s">
        <v>2349</v>
      </c>
      <c r="E3924" s="212">
        <v>13.4</v>
      </c>
    </row>
    <row r="3925" spans="1:5" ht="14.25">
      <c r="A3925" s="37">
        <v>11745</v>
      </c>
      <c r="B3925" s="37" t="s">
        <v>24596</v>
      </c>
      <c r="C3925" s="37" t="s">
        <v>2348</v>
      </c>
      <c r="D3925" s="37" t="s">
        <v>2349</v>
      </c>
      <c r="E3925" s="212">
        <v>17.66</v>
      </c>
    </row>
    <row r="3926" spans="1:5" ht="14.25">
      <c r="A3926" s="37">
        <v>11743</v>
      </c>
      <c r="B3926" s="37" t="s">
        <v>24597</v>
      </c>
      <c r="C3926" s="37" t="s">
        <v>2348</v>
      </c>
      <c r="D3926" s="37" t="s">
        <v>2349</v>
      </c>
      <c r="E3926" s="212">
        <v>11.25</v>
      </c>
    </row>
    <row r="3927" spans="1:5" ht="14.25">
      <c r="A3927" s="37">
        <v>40985</v>
      </c>
      <c r="B3927" s="37" t="s">
        <v>24598</v>
      </c>
      <c r="C3927" s="37" t="s">
        <v>2369</v>
      </c>
      <c r="D3927" s="37" t="s">
        <v>2349</v>
      </c>
      <c r="E3927" s="213">
        <v>2741.16</v>
      </c>
    </row>
    <row r="3928" spans="1:5" ht="14.25">
      <c r="A3928" s="37">
        <v>44502</v>
      </c>
      <c r="B3928" s="37" t="s">
        <v>28109</v>
      </c>
      <c r="C3928" s="37" t="s">
        <v>2352</v>
      </c>
      <c r="D3928" s="37" t="s">
        <v>2349</v>
      </c>
      <c r="E3928" s="212">
        <v>15.57</v>
      </c>
    </row>
    <row r="3929" spans="1:5" ht="14.25">
      <c r="A3929" s="37">
        <v>1088</v>
      </c>
      <c r="B3929" s="37" t="s">
        <v>24599</v>
      </c>
      <c r="C3929" s="37" t="s">
        <v>2348</v>
      </c>
      <c r="D3929" s="37" t="s">
        <v>2351</v>
      </c>
      <c r="E3929" s="212">
        <v>36.25</v>
      </c>
    </row>
    <row r="3930" spans="1:5" ht="14.25">
      <c r="A3930" s="37">
        <v>1087</v>
      </c>
      <c r="B3930" s="37" t="s">
        <v>24600</v>
      </c>
      <c r="C3930" s="37" t="s">
        <v>2348</v>
      </c>
      <c r="D3930" s="37" t="s">
        <v>2351</v>
      </c>
      <c r="E3930" s="212">
        <v>45.28</v>
      </c>
    </row>
    <row r="3931" spans="1:5" ht="14.25">
      <c r="A3931" s="37">
        <v>38777</v>
      </c>
      <c r="B3931" s="37" t="s">
        <v>24601</v>
      </c>
      <c r="C3931" s="37" t="s">
        <v>2348</v>
      </c>
      <c r="D3931" s="37" t="s">
        <v>2351</v>
      </c>
      <c r="E3931" s="212">
        <v>90.18</v>
      </c>
    </row>
    <row r="3932" spans="1:5" ht="14.25">
      <c r="A3932" s="37">
        <v>1086</v>
      </c>
      <c r="B3932" s="37" t="s">
        <v>24602</v>
      </c>
      <c r="C3932" s="37" t="s">
        <v>2348</v>
      </c>
      <c r="D3932" s="37" t="s">
        <v>2351</v>
      </c>
      <c r="E3932" s="212">
        <v>47.59</v>
      </c>
    </row>
    <row r="3933" spans="1:5" ht="14.25">
      <c r="A3933" s="37">
        <v>1079</v>
      </c>
      <c r="B3933" s="37" t="s">
        <v>24603</v>
      </c>
      <c r="C3933" s="37" t="s">
        <v>2348</v>
      </c>
      <c r="D3933" s="37" t="s">
        <v>2351</v>
      </c>
      <c r="E3933" s="212">
        <v>49.19</v>
      </c>
    </row>
    <row r="3934" spans="1:5" ht="14.25">
      <c r="A3934" s="37">
        <v>39374</v>
      </c>
      <c r="B3934" s="37" t="s">
        <v>24604</v>
      </c>
      <c r="C3934" s="37" t="s">
        <v>2348</v>
      </c>
      <c r="D3934" s="37" t="s">
        <v>2353</v>
      </c>
      <c r="E3934" s="212">
        <v>108.21</v>
      </c>
    </row>
    <row r="3935" spans="1:5" ht="14.25">
      <c r="A3935" s="37">
        <v>1082</v>
      </c>
      <c r="B3935" s="37" t="s">
        <v>24605</v>
      </c>
      <c r="C3935" s="37" t="s">
        <v>2348</v>
      </c>
      <c r="D3935" s="37" t="s">
        <v>2351</v>
      </c>
      <c r="E3935" s="212">
        <v>309.27</v>
      </c>
    </row>
    <row r="3936" spans="1:5" ht="14.25">
      <c r="A3936" s="37">
        <v>12316</v>
      </c>
      <c r="B3936" s="37" t="s">
        <v>24606</v>
      </c>
      <c r="C3936" s="37" t="s">
        <v>2348</v>
      </c>
      <c r="D3936" s="37" t="s">
        <v>2351</v>
      </c>
      <c r="E3936" s="212">
        <v>141.74</v>
      </c>
    </row>
    <row r="3937" spans="1:5" ht="14.25">
      <c r="A3937" s="37">
        <v>12317</v>
      </c>
      <c r="B3937" s="37" t="s">
        <v>24607</v>
      </c>
      <c r="C3937" s="37" t="s">
        <v>2348</v>
      </c>
      <c r="D3937" s="37" t="s">
        <v>2351</v>
      </c>
      <c r="E3937" s="212">
        <v>169.03</v>
      </c>
    </row>
    <row r="3938" spans="1:5" ht="14.25">
      <c r="A3938" s="37">
        <v>12318</v>
      </c>
      <c r="B3938" s="37" t="s">
        <v>24608</v>
      </c>
      <c r="C3938" s="37" t="s">
        <v>2348</v>
      </c>
      <c r="D3938" s="37" t="s">
        <v>2351</v>
      </c>
      <c r="E3938" s="212">
        <v>194.73</v>
      </c>
    </row>
    <row r="3939" spans="1:5" ht="14.25">
      <c r="A3939" s="37">
        <v>5104</v>
      </c>
      <c r="B3939" s="37" t="s">
        <v>24609</v>
      </c>
      <c r="C3939" s="37" t="s">
        <v>2356</v>
      </c>
      <c r="D3939" s="37" t="s">
        <v>2351</v>
      </c>
      <c r="E3939" s="212">
        <v>73.81</v>
      </c>
    </row>
    <row r="3940" spans="1:5" ht="14.25">
      <c r="A3940" s="37">
        <v>44530</v>
      </c>
      <c r="B3940" s="37" t="s">
        <v>28110</v>
      </c>
      <c r="C3940" s="37" t="s">
        <v>2348</v>
      </c>
      <c r="D3940" s="37" t="s">
        <v>2349</v>
      </c>
      <c r="E3940" s="212">
        <v>39.14</v>
      </c>
    </row>
    <row r="3941" spans="1:5" ht="14.25">
      <c r="A3941" s="37">
        <v>2710</v>
      </c>
      <c r="B3941" s="37" t="s">
        <v>24610</v>
      </c>
      <c r="C3941" s="37" t="s">
        <v>2348</v>
      </c>
      <c r="D3941" s="37" t="s">
        <v>2349</v>
      </c>
      <c r="E3941" s="212">
        <v>31.26</v>
      </c>
    </row>
    <row r="3942" spans="1:5" ht="14.25">
      <c r="A3942" s="37">
        <v>14575</v>
      </c>
      <c r="B3942" s="37" t="s">
        <v>24611</v>
      </c>
      <c r="C3942" s="37" t="s">
        <v>2348</v>
      </c>
      <c r="D3942" s="37" t="s">
        <v>2351</v>
      </c>
      <c r="E3942" s="213">
        <v>6693491.5499999998</v>
      </c>
    </row>
    <row r="3943" spans="1:5" ht="14.25">
      <c r="A3943" s="37">
        <v>20034</v>
      </c>
      <c r="B3943" s="37" t="s">
        <v>24612</v>
      </c>
      <c r="C3943" s="37" t="s">
        <v>2348</v>
      </c>
      <c r="D3943" s="37" t="s">
        <v>2351</v>
      </c>
      <c r="E3943" s="212">
        <v>130.74</v>
      </c>
    </row>
    <row r="3944" spans="1:5" ht="14.25">
      <c r="A3944" s="37">
        <v>20036</v>
      </c>
      <c r="B3944" s="37" t="s">
        <v>24613</v>
      </c>
      <c r="C3944" s="37" t="s">
        <v>2348</v>
      </c>
      <c r="D3944" s="37" t="s">
        <v>2351</v>
      </c>
      <c r="E3944" s="212">
        <v>251.48</v>
      </c>
    </row>
    <row r="3945" spans="1:5" ht="14.25">
      <c r="A3945" s="37">
        <v>20037</v>
      </c>
      <c r="B3945" s="37" t="s">
        <v>24614</v>
      </c>
      <c r="C3945" s="37" t="s">
        <v>2348</v>
      </c>
      <c r="D3945" s="37" t="s">
        <v>2351</v>
      </c>
      <c r="E3945" s="212">
        <v>474.34</v>
      </c>
    </row>
    <row r="3946" spans="1:5" ht="14.25">
      <c r="A3946" s="37">
        <v>20043</v>
      </c>
      <c r="B3946" s="37" t="s">
        <v>24615</v>
      </c>
      <c r="C3946" s="37" t="s">
        <v>2348</v>
      </c>
      <c r="D3946" s="37" t="s">
        <v>2349</v>
      </c>
      <c r="E3946" s="212">
        <v>11.41</v>
      </c>
    </row>
    <row r="3947" spans="1:5" ht="14.25">
      <c r="A3947" s="37">
        <v>20044</v>
      </c>
      <c r="B3947" s="37" t="s">
        <v>24616</v>
      </c>
      <c r="C3947" s="37" t="s">
        <v>2348</v>
      </c>
      <c r="D3947" s="37" t="s">
        <v>2349</v>
      </c>
      <c r="E3947" s="212">
        <v>13.33</v>
      </c>
    </row>
    <row r="3948" spans="1:5" ht="14.25">
      <c r="A3948" s="37">
        <v>20042</v>
      </c>
      <c r="B3948" s="37" t="s">
        <v>24617</v>
      </c>
      <c r="C3948" s="37" t="s">
        <v>2348</v>
      </c>
      <c r="D3948" s="37" t="s">
        <v>2349</v>
      </c>
      <c r="E3948" s="212">
        <v>9.66</v>
      </c>
    </row>
    <row r="3949" spans="1:5" ht="14.25">
      <c r="A3949" s="37">
        <v>20046</v>
      </c>
      <c r="B3949" s="37" t="s">
        <v>24618</v>
      </c>
      <c r="C3949" s="37" t="s">
        <v>2348</v>
      </c>
      <c r="D3949" s="37" t="s">
        <v>2349</v>
      </c>
      <c r="E3949" s="212">
        <v>28.28</v>
      </c>
    </row>
    <row r="3950" spans="1:5" ht="14.25">
      <c r="A3950" s="37">
        <v>20047</v>
      </c>
      <c r="B3950" s="37" t="s">
        <v>24619</v>
      </c>
      <c r="C3950" s="37" t="s">
        <v>2348</v>
      </c>
      <c r="D3950" s="37" t="s">
        <v>2349</v>
      </c>
      <c r="E3950" s="212">
        <v>77.290000000000006</v>
      </c>
    </row>
    <row r="3951" spans="1:5" ht="14.25">
      <c r="A3951" s="37">
        <v>20045</v>
      </c>
      <c r="B3951" s="37" t="s">
        <v>24620</v>
      </c>
      <c r="C3951" s="37" t="s">
        <v>2348</v>
      </c>
      <c r="D3951" s="37" t="s">
        <v>2349</v>
      </c>
      <c r="E3951" s="212">
        <v>11.63</v>
      </c>
    </row>
    <row r="3952" spans="1:5" ht="14.25">
      <c r="A3952" s="37">
        <v>20972</v>
      </c>
      <c r="B3952" s="37" t="s">
        <v>24621</v>
      </c>
      <c r="C3952" s="37" t="s">
        <v>2348</v>
      </c>
      <c r="D3952" s="37" t="s">
        <v>2349</v>
      </c>
      <c r="E3952" s="212">
        <v>131.07</v>
      </c>
    </row>
    <row r="3953" spans="1:5" ht="14.25">
      <c r="A3953" s="37">
        <v>20032</v>
      </c>
      <c r="B3953" s="37" t="s">
        <v>24622</v>
      </c>
      <c r="C3953" s="37" t="s">
        <v>2348</v>
      </c>
      <c r="D3953" s="37" t="s">
        <v>2351</v>
      </c>
      <c r="E3953" s="212">
        <v>83.26</v>
      </c>
    </row>
    <row r="3954" spans="1:5" ht="14.25">
      <c r="A3954" s="37">
        <v>11321</v>
      </c>
      <c r="B3954" s="37" t="s">
        <v>24623</v>
      </c>
      <c r="C3954" s="37" t="s">
        <v>2348</v>
      </c>
      <c r="D3954" s="37" t="s">
        <v>2351</v>
      </c>
      <c r="E3954" s="212">
        <v>37.96</v>
      </c>
    </row>
    <row r="3955" spans="1:5" ht="14.25">
      <c r="A3955" s="37">
        <v>11323</v>
      </c>
      <c r="B3955" s="37" t="s">
        <v>24624</v>
      </c>
      <c r="C3955" s="37" t="s">
        <v>2348</v>
      </c>
      <c r="D3955" s="37" t="s">
        <v>2351</v>
      </c>
      <c r="E3955" s="212">
        <v>43.66</v>
      </c>
    </row>
    <row r="3956" spans="1:5" ht="14.25">
      <c r="A3956" s="37">
        <v>20327</v>
      </c>
      <c r="B3956" s="37" t="s">
        <v>24625</v>
      </c>
      <c r="C3956" s="37" t="s">
        <v>2348</v>
      </c>
      <c r="D3956" s="37" t="s">
        <v>2351</v>
      </c>
      <c r="E3956" s="212">
        <v>24.77</v>
      </c>
    </row>
    <row r="3957" spans="1:5" ht="14.25">
      <c r="A3957" s="37">
        <v>13390</v>
      </c>
      <c r="B3957" s="37" t="s">
        <v>24626</v>
      </c>
      <c r="C3957" s="37" t="s">
        <v>2348</v>
      </c>
      <c r="D3957" s="37" t="s">
        <v>2351</v>
      </c>
      <c r="E3957" s="212">
        <v>178.89</v>
      </c>
    </row>
    <row r="3958" spans="1:5" ht="14.25">
      <c r="A3958" s="37">
        <v>6034</v>
      </c>
      <c r="B3958" s="37" t="s">
        <v>24627</v>
      </c>
      <c r="C3958" s="37" t="s">
        <v>2348</v>
      </c>
      <c r="D3958" s="37" t="s">
        <v>2349</v>
      </c>
      <c r="E3958" s="212">
        <v>15.97</v>
      </c>
    </row>
    <row r="3959" spans="1:5" ht="14.25">
      <c r="A3959" s="37">
        <v>6036</v>
      </c>
      <c r="B3959" s="37" t="s">
        <v>24628</v>
      </c>
      <c r="C3959" s="37" t="s">
        <v>2348</v>
      </c>
      <c r="D3959" s="37" t="s">
        <v>2349</v>
      </c>
      <c r="E3959" s="212">
        <v>21.75</v>
      </c>
    </row>
    <row r="3960" spans="1:5" ht="14.25">
      <c r="A3960" s="37">
        <v>6031</v>
      </c>
      <c r="B3960" s="37" t="s">
        <v>24629</v>
      </c>
      <c r="C3960" s="37" t="s">
        <v>2348</v>
      </c>
      <c r="D3960" s="37" t="s">
        <v>2353</v>
      </c>
      <c r="E3960" s="212">
        <v>25.56</v>
      </c>
    </row>
    <row r="3961" spans="1:5" ht="14.25">
      <c r="A3961" s="37">
        <v>6029</v>
      </c>
      <c r="B3961" s="37" t="s">
        <v>24630</v>
      </c>
      <c r="C3961" s="37" t="s">
        <v>2348</v>
      </c>
      <c r="D3961" s="37" t="s">
        <v>2349</v>
      </c>
      <c r="E3961" s="212">
        <v>25.83</v>
      </c>
    </row>
    <row r="3962" spans="1:5" ht="14.25">
      <c r="A3962" s="37">
        <v>6033</v>
      </c>
      <c r="B3962" s="37" t="s">
        <v>24631</v>
      </c>
      <c r="C3962" s="37" t="s">
        <v>2348</v>
      </c>
      <c r="D3962" s="37" t="s">
        <v>2349</v>
      </c>
      <c r="E3962" s="212">
        <v>34.04</v>
      </c>
    </row>
    <row r="3963" spans="1:5" ht="14.25">
      <c r="A3963" s="37">
        <v>11672</v>
      </c>
      <c r="B3963" s="37" t="s">
        <v>24632</v>
      </c>
      <c r="C3963" s="37" t="s">
        <v>2348</v>
      </c>
      <c r="D3963" s="37" t="s">
        <v>2349</v>
      </c>
      <c r="E3963" s="212">
        <v>74.06</v>
      </c>
    </row>
    <row r="3964" spans="1:5" ht="14.25">
      <c r="A3964" s="37">
        <v>11669</v>
      </c>
      <c r="B3964" s="37" t="s">
        <v>24633</v>
      </c>
      <c r="C3964" s="37" t="s">
        <v>2348</v>
      </c>
      <c r="D3964" s="37" t="s">
        <v>2349</v>
      </c>
      <c r="E3964" s="212">
        <v>70.53</v>
      </c>
    </row>
    <row r="3965" spans="1:5" ht="14.25">
      <c r="A3965" s="37">
        <v>11670</v>
      </c>
      <c r="B3965" s="37" t="s">
        <v>24634</v>
      </c>
      <c r="C3965" s="37" t="s">
        <v>2348</v>
      </c>
      <c r="D3965" s="37" t="s">
        <v>2349</v>
      </c>
      <c r="E3965" s="212">
        <v>27.02</v>
      </c>
    </row>
    <row r="3966" spans="1:5" ht="14.25">
      <c r="A3966" s="37">
        <v>20055</v>
      </c>
      <c r="B3966" s="37" t="s">
        <v>24635</v>
      </c>
      <c r="C3966" s="37" t="s">
        <v>2348</v>
      </c>
      <c r="D3966" s="37" t="s">
        <v>2349</v>
      </c>
      <c r="E3966" s="212">
        <v>52.82</v>
      </c>
    </row>
    <row r="3967" spans="1:5" ht="14.25">
      <c r="A3967" s="37">
        <v>11671</v>
      </c>
      <c r="B3967" s="37" t="s">
        <v>24636</v>
      </c>
      <c r="C3967" s="37" t="s">
        <v>2348</v>
      </c>
      <c r="D3967" s="37" t="s">
        <v>2349</v>
      </c>
      <c r="E3967" s="212">
        <v>113.34</v>
      </c>
    </row>
    <row r="3968" spans="1:5" ht="14.25">
      <c r="A3968" s="37">
        <v>6032</v>
      </c>
      <c r="B3968" s="37" t="s">
        <v>24637</v>
      </c>
      <c r="C3968" s="37" t="s">
        <v>2348</v>
      </c>
      <c r="D3968" s="37" t="s">
        <v>2349</v>
      </c>
      <c r="E3968" s="212">
        <v>32.369999999999997</v>
      </c>
    </row>
    <row r="3969" spans="1:5" ht="14.25">
      <c r="A3969" s="37">
        <v>11673</v>
      </c>
      <c r="B3969" s="37" t="s">
        <v>24638</v>
      </c>
      <c r="C3969" s="37" t="s">
        <v>2348</v>
      </c>
      <c r="D3969" s="37" t="s">
        <v>2349</v>
      </c>
      <c r="E3969" s="212">
        <v>25.49</v>
      </c>
    </row>
    <row r="3970" spans="1:5" ht="14.25">
      <c r="A3970" s="37">
        <v>11674</v>
      </c>
      <c r="B3970" s="37" t="s">
        <v>24639</v>
      </c>
      <c r="C3970" s="37" t="s">
        <v>2348</v>
      </c>
      <c r="D3970" s="37" t="s">
        <v>2349</v>
      </c>
      <c r="E3970" s="212">
        <v>32.83</v>
      </c>
    </row>
    <row r="3971" spans="1:5" ht="14.25">
      <c r="A3971" s="37">
        <v>11675</v>
      </c>
      <c r="B3971" s="37" t="s">
        <v>24640</v>
      </c>
      <c r="C3971" s="37" t="s">
        <v>2348</v>
      </c>
      <c r="D3971" s="37" t="s">
        <v>2349</v>
      </c>
      <c r="E3971" s="212">
        <v>52.12</v>
      </c>
    </row>
    <row r="3972" spans="1:5" ht="14.25">
      <c r="A3972" s="37">
        <v>11676</v>
      </c>
      <c r="B3972" s="37" t="s">
        <v>24641</v>
      </c>
      <c r="C3972" s="37" t="s">
        <v>2348</v>
      </c>
      <c r="D3972" s="37" t="s">
        <v>2349</v>
      </c>
      <c r="E3972" s="212">
        <v>69.709999999999994</v>
      </c>
    </row>
    <row r="3973" spans="1:5" ht="14.25">
      <c r="A3973" s="37">
        <v>11677</v>
      </c>
      <c r="B3973" s="37" t="s">
        <v>24642</v>
      </c>
      <c r="C3973" s="37" t="s">
        <v>2348</v>
      </c>
      <c r="D3973" s="37" t="s">
        <v>2349</v>
      </c>
      <c r="E3973" s="212">
        <v>71.989999999999995</v>
      </c>
    </row>
    <row r="3974" spans="1:5" ht="14.25">
      <c r="A3974" s="37">
        <v>11678</v>
      </c>
      <c r="B3974" s="37" t="s">
        <v>24643</v>
      </c>
      <c r="C3974" s="37" t="s">
        <v>2348</v>
      </c>
      <c r="D3974" s="37" t="s">
        <v>2349</v>
      </c>
      <c r="E3974" s="212">
        <v>131.84</v>
      </c>
    </row>
    <row r="3975" spans="1:5" ht="14.25">
      <c r="A3975" s="37">
        <v>6038</v>
      </c>
      <c r="B3975" s="37" t="s">
        <v>24644</v>
      </c>
      <c r="C3975" s="37" t="s">
        <v>2348</v>
      </c>
      <c r="D3975" s="37" t="s">
        <v>2349</v>
      </c>
      <c r="E3975" s="212">
        <v>8.36</v>
      </c>
    </row>
    <row r="3976" spans="1:5" ht="14.25">
      <c r="A3976" s="37">
        <v>11718</v>
      </c>
      <c r="B3976" s="37" t="s">
        <v>24645</v>
      </c>
      <c r="C3976" s="37" t="s">
        <v>2348</v>
      </c>
      <c r="D3976" s="37" t="s">
        <v>2349</v>
      </c>
      <c r="E3976" s="212">
        <v>23.85</v>
      </c>
    </row>
    <row r="3977" spans="1:5" ht="14.25">
      <c r="A3977" s="37">
        <v>6037</v>
      </c>
      <c r="B3977" s="37" t="s">
        <v>24646</v>
      </c>
      <c r="C3977" s="37" t="s">
        <v>2348</v>
      </c>
      <c r="D3977" s="37" t="s">
        <v>2349</v>
      </c>
      <c r="E3977" s="212">
        <v>17.399999999999999</v>
      </c>
    </row>
    <row r="3978" spans="1:5" ht="14.25">
      <c r="A3978" s="37">
        <v>11719</v>
      </c>
      <c r="B3978" s="37" t="s">
        <v>24647</v>
      </c>
      <c r="C3978" s="37" t="s">
        <v>2348</v>
      </c>
      <c r="D3978" s="37" t="s">
        <v>2349</v>
      </c>
      <c r="E3978" s="212">
        <v>19.350000000000001</v>
      </c>
    </row>
    <row r="3979" spans="1:5" ht="14.25">
      <c r="A3979" s="37">
        <v>6019</v>
      </c>
      <c r="B3979" s="37" t="s">
        <v>24648</v>
      </c>
      <c r="C3979" s="37" t="s">
        <v>2348</v>
      </c>
      <c r="D3979" s="37" t="s">
        <v>2349</v>
      </c>
      <c r="E3979" s="212">
        <v>57.58</v>
      </c>
    </row>
    <row r="3980" spans="1:5" ht="14.25">
      <c r="A3980" s="37">
        <v>6010</v>
      </c>
      <c r="B3980" s="37" t="s">
        <v>24649</v>
      </c>
      <c r="C3980" s="37" t="s">
        <v>2348</v>
      </c>
      <c r="D3980" s="37" t="s">
        <v>2349</v>
      </c>
      <c r="E3980" s="212">
        <v>99.08</v>
      </c>
    </row>
    <row r="3981" spans="1:5" ht="14.25">
      <c r="A3981" s="37">
        <v>6017</v>
      </c>
      <c r="B3981" s="37" t="s">
        <v>24650</v>
      </c>
      <c r="C3981" s="37" t="s">
        <v>2348</v>
      </c>
      <c r="D3981" s="37" t="s">
        <v>2349</v>
      </c>
      <c r="E3981" s="212">
        <v>78.48</v>
      </c>
    </row>
    <row r="3982" spans="1:5" ht="14.25">
      <c r="A3982" s="37">
        <v>6020</v>
      </c>
      <c r="B3982" s="37" t="s">
        <v>24651</v>
      </c>
      <c r="C3982" s="37" t="s">
        <v>2348</v>
      </c>
      <c r="D3982" s="37" t="s">
        <v>2349</v>
      </c>
      <c r="E3982" s="212">
        <v>34.58</v>
      </c>
    </row>
    <row r="3983" spans="1:5" ht="14.25">
      <c r="A3983" s="37">
        <v>6028</v>
      </c>
      <c r="B3983" s="37" t="s">
        <v>24652</v>
      </c>
      <c r="C3983" s="37" t="s">
        <v>2348</v>
      </c>
      <c r="D3983" s="37" t="s">
        <v>2349</v>
      </c>
      <c r="E3983" s="212">
        <v>138</v>
      </c>
    </row>
    <row r="3984" spans="1:5" ht="14.25">
      <c r="A3984" s="37">
        <v>6011</v>
      </c>
      <c r="B3984" s="37" t="s">
        <v>24653</v>
      </c>
      <c r="C3984" s="37" t="s">
        <v>2348</v>
      </c>
      <c r="D3984" s="37" t="s">
        <v>2349</v>
      </c>
      <c r="E3984" s="212">
        <v>286.20999999999998</v>
      </c>
    </row>
    <row r="3985" spans="1:5" ht="14.25">
      <c r="A3985" s="37">
        <v>6012</v>
      </c>
      <c r="B3985" s="37" t="s">
        <v>24654</v>
      </c>
      <c r="C3985" s="37" t="s">
        <v>2348</v>
      </c>
      <c r="D3985" s="37" t="s">
        <v>2349</v>
      </c>
      <c r="E3985" s="212">
        <v>346.51</v>
      </c>
    </row>
    <row r="3986" spans="1:5" ht="14.25">
      <c r="A3986" s="37">
        <v>6016</v>
      </c>
      <c r="B3986" s="37" t="s">
        <v>24655</v>
      </c>
      <c r="C3986" s="37" t="s">
        <v>2348</v>
      </c>
      <c r="D3986" s="37" t="s">
        <v>2349</v>
      </c>
      <c r="E3986" s="212">
        <v>36.479999999999997</v>
      </c>
    </row>
    <row r="3987" spans="1:5" ht="14.25">
      <c r="A3987" s="37">
        <v>6027</v>
      </c>
      <c r="B3987" s="37" t="s">
        <v>24656</v>
      </c>
      <c r="C3987" s="37" t="s">
        <v>2348</v>
      </c>
      <c r="D3987" s="37" t="s">
        <v>2349</v>
      </c>
      <c r="E3987" s="212">
        <v>722</v>
      </c>
    </row>
    <row r="3988" spans="1:5" ht="14.25">
      <c r="A3988" s="37">
        <v>6013</v>
      </c>
      <c r="B3988" s="37" t="s">
        <v>24657</v>
      </c>
      <c r="C3988" s="37" t="s">
        <v>2348</v>
      </c>
      <c r="D3988" s="37" t="s">
        <v>2349</v>
      </c>
      <c r="E3988" s="212">
        <v>108.95</v>
      </c>
    </row>
    <row r="3989" spans="1:5" ht="14.25">
      <c r="A3989" s="37">
        <v>6015</v>
      </c>
      <c r="B3989" s="37" t="s">
        <v>24658</v>
      </c>
      <c r="C3989" s="37" t="s">
        <v>2348</v>
      </c>
      <c r="D3989" s="37" t="s">
        <v>2349</v>
      </c>
      <c r="E3989" s="212">
        <v>158.43</v>
      </c>
    </row>
    <row r="3990" spans="1:5" ht="14.25">
      <c r="A3990" s="37">
        <v>6014</v>
      </c>
      <c r="B3990" s="37" t="s">
        <v>24659</v>
      </c>
      <c r="C3990" s="37" t="s">
        <v>2348</v>
      </c>
      <c r="D3990" s="37" t="s">
        <v>2349</v>
      </c>
      <c r="E3990" s="212">
        <v>151.47</v>
      </c>
    </row>
    <row r="3991" spans="1:5" ht="14.25">
      <c r="A3991" s="37">
        <v>6006</v>
      </c>
      <c r="B3991" s="37" t="s">
        <v>24660</v>
      </c>
      <c r="C3991" s="37" t="s">
        <v>2348</v>
      </c>
      <c r="D3991" s="37" t="s">
        <v>2349</v>
      </c>
      <c r="E3991" s="212">
        <v>78.89</v>
      </c>
    </row>
    <row r="3992" spans="1:5" ht="14.25">
      <c r="A3992" s="37">
        <v>6005</v>
      </c>
      <c r="B3992" s="37" t="s">
        <v>24661</v>
      </c>
      <c r="C3992" s="37" t="s">
        <v>2348</v>
      </c>
      <c r="D3992" s="37" t="s">
        <v>2353</v>
      </c>
      <c r="E3992" s="212">
        <v>89</v>
      </c>
    </row>
    <row r="3993" spans="1:5" ht="14.25">
      <c r="A3993" s="37">
        <v>11756</v>
      </c>
      <c r="B3993" s="37" t="s">
        <v>24662</v>
      </c>
      <c r="C3993" s="37" t="s">
        <v>2348</v>
      </c>
      <c r="D3993" s="37" t="s">
        <v>2349</v>
      </c>
      <c r="E3993" s="212">
        <v>42.5</v>
      </c>
    </row>
    <row r="3994" spans="1:5" ht="14.25">
      <c r="A3994" s="37">
        <v>10904</v>
      </c>
      <c r="B3994" s="37" t="s">
        <v>24663</v>
      </c>
      <c r="C3994" s="37" t="s">
        <v>2348</v>
      </c>
      <c r="D3994" s="37" t="s">
        <v>2353</v>
      </c>
      <c r="E3994" s="212">
        <v>183.5</v>
      </c>
    </row>
    <row r="3995" spans="1:5" ht="14.25">
      <c r="A3995" s="37">
        <v>11752</v>
      </c>
      <c r="B3995" s="37" t="s">
        <v>24664</v>
      </c>
      <c r="C3995" s="37" t="s">
        <v>2348</v>
      </c>
      <c r="D3995" s="37" t="s">
        <v>2349</v>
      </c>
      <c r="E3995" s="212">
        <v>24.51</v>
      </c>
    </row>
    <row r="3996" spans="1:5" ht="14.25">
      <c r="A3996" s="37">
        <v>11753</v>
      </c>
      <c r="B3996" s="37" t="s">
        <v>24665</v>
      </c>
      <c r="C3996" s="37" t="s">
        <v>2348</v>
      </c>
      <c r="D3996" s="37" t="s">
        <v>2349</v>
      </c>
      <c r="E3996" s="212">
        <v>29.26</v>
      </c>
    </row>
    <row r="3997" spans="1:5" ht="14.25">
      <c r="A3997" s="37">
        <v>6021</v>
      </c>
      <c r="B3997" s="37" t="s">
        <v>24666</v>
      </c>
      <c r="C3997" s="37" t="s">
        <v>2348</v>
      </c>
      <c r="D3997" s="37" t="s">
        <v>2349</v>
      </c>
      <c r="E3997" s="212">
        <v>81.2</v>
      </c>
    </row>
    <row r="3998" spans="1:5" ht="14.25">
      <c r="A3998" s="37">
        <v>6024</v>
      </c>
      <c r="B3998" s="37" t="s">
        <v>24667</v>
      </c>
      <c r="C3998" s="37" t="s">
        <v>2348</v>
      </c>
      <c r="D3998" s="37" t="s">
        <v>2349</v>
      </c>
      <c r="E3998" s="212">
        <v>83.94</v>
      </c>
    </row>
    <row r="3999" spans="1:5" ht="14.25">
      <c r="A3999" s="37">
        <v>38379</v>
      </c>
      <c r="B3999" s="37" t="s">
        <v>24668</v>
      </c>
      <c r="C3999" s="37" t="s">
        <v>2355</v>
      </c>
      <c r="D3999" s="37" t="s">
        <v>2349</v>
      </c>
      <c r="E3999" s="212">
        <v>52.95</v>
      </c>
    </row>
    <row r="4000" spans="1:5" ht="14.25">
      <c r="A4000" s="37">
        <v>13897</v>
      </c>
      <c r="B4000" s="37" t="s">
        <v>24669</v>
      </c>
      <c r="C4000" s="37" t="s">
        <v>2348</v>
      </c>
      <c r="D4000" s="37" t="s">
        <v>2351</v>
      </c>
      <c r="E4000" s="213">
        <v>5640.86</v>
      </c>
    </row>
    <row r="4001" spans="1:5" ht="14.25">
      <c r="A4001" s="37">
        <v>10640</v>
      </c>
      <c r="B4001" s="37" t="s">
        <v>24670</v>
      </c>
      <c r="C4001" s="37" t="s">
        <v>2348</v>
      </c>
      <c r="D4001" s="37" t="s">
        <v>2351</v>
      </c>
      <c r="E4001" s="213">
        <v>12216.91</v>
      </c>
    </row>
    <row r="4002" spans="1:5" ht="14.25">
      <c r="A4002" s="37">
        <v>11086</v>
      </c>
      <c r="B4002" s="37" t="s">
        <v>24671</v>
      </c>
      <c r="C4002" s="37" t="s">
        <v>28760</v>
      </c>
      <c r="D4002" s="37" t="s">
        <v>2349</v>
      </c>
      <c r="E4002" s="212">
        <v>84.06</v>
      </c>
    </row>
    <row r="4003" spans="1:5" ht="14.25">
      <c r="A4003" s="37">
        <v>34357</v>
      </c>
      <c r="B4003" s="37" t="s">
        <v>24672</v>
      </c>
      <c r="C4003" s="37" t="s">
        <v>2356</v>
      </c>
      <c r="D4003" s="37" t="s">
        <v>2349</v>
      </c>
      <c r="E4003" s="212">
        <v>3.17</v>
      </c>
    </row>
    <row r="4004" spans="1:5" ht="14.25">
      <c r="A4004" s="37">
        <v>37329</v>
      </c>
      <c r="B4004" s="37" t="s">
        <v>24673</v>
      </c>
      <c r="C4004" s="37" t="s">
        <v>2356</v>
      </c>
      <c r="D4004" s="37" t="s">
        <v>2349</v>
      </c>
      <c r="E4004" s="212">
        <v>66.78</v>
      </c>
    </row>
    <row r="4005" spans="1:5" ht="14.25">
      <c r="A4005" s="37">
        <v>2510</v>
      </c>
      <c r="B4005" s="37" t="s">
        <v>24674</v>
      </c>
      <c r="C4005" s="37" t="s">
        <v>2348</v>
      </c>
      <c r="D4005" s="37" t="s">
        <v>2351</v>
      </c>
      <c r="E4005" s="212">
        <v>44.8</v>
      </c>
    </row>
    <row r="4006" spans="1:5" ht="14.25">
      <c r="A4006" s="37">
        <v>12359</v>
      </c>
      <c r="B4006" s="37" t="s">
        <v>24675</v>
      </c>
      <c r="C4006" s="37" t="s">
        <v>2348</v>
      </c>
      <c r="D4006" s="37" t="s">
        <v>2349</v>
      </c>
      <c r="E4006" s="212">
        <v>227.94</v>
      </c>
    </row>
    <row r="4007" spans="1:5" ht="14.25">
      <c r="A4007" s="37">
        <v>7353</v>
      </c>
      <c r="B4007" s="37" t="s">
        <v>28111</v>
      </c>
      <c r="C4007" s="37" t="s">
        <v>2363</v>
      </c>
      <c r="D4007" s="37" t="s">
        <v>2349</v>
      </c>
      <c r="E4007" s="212">
        <v>24.82</v>
      </c>
    </row>
    <row r="4008" spans="1:5" ht="14.25">
      <c r="A4008" s="37">
        <v>36144</v>
      </c>
      <c r="B4008" s="37" t="s">
        <v>24676</v>
      </c>
      <c r="C4008" s="37" t="s">
        <v>2348</v>
      </c>
      <c r="D4008" s="37" t="s">
        <v>2349</v>
      </c>
      <c r="E4008" s="212">
        <v>1.66</v>
      </c>
    </row>
    <row r="4009" spans="1:5" ht="14.25">
      <c r="A4009" s="37">
        <v>10518</v>
      </c>
      <c r="B4009" s="37" t="s">
        <v>24677</v>
      </c>
      <c r="C4009" s="37" t="s">
        <v>2348</v>
      </c>
      <c r="D4009" s="37" t="s">
        <v>2351</v>
      </c>
      <c r="E4009" s="212">
        <v>127.84</v>
      </c>
    </row>
    <row r="4010" spans="1:5" ht="14.25">
      <c r="A4010" s="37">
        <v>36530</v>
      </c>
      <c r="B4010" s="37" t="s">
        <v>24678</v>
      </c>
      <c r="C4010" s="37" t="s">
        <v>2348</v>
      </c>
      <c r="D4010" s="37" t="s">
        <v>2349</v>
      </c>
      <c r="E4010" s="213">
        <v>398743.89</v>
      </c>
    </row>
    <row r="4011" spans="1:5" ht="14.25">
      <c r="A4011" s="37">
        <v>6046</v>
      </c>
      <c r="B4011" s="37" t="s">
        <v>24679</v>
      </c>
      <c r="C4011" s="37" t="s">
        <v>2348</v>
      </c>
      <c r="D4011" s="37" t="s">
        <v>2353</v>
      </c>
      <c r="E4011" s="213">
        <v>432500</v>
      </c>
    </row>
    <row r="4012" spans="1:5" ht="14.25">
      <c r="A4012" s="37">
        <v>36531</v>
      </c>
      <c r="B4012" s="37" t="s">
        <v>24680</v>
      </c>
      <c r="C4012" s="37" t="s">
        <v>2348</v>
      </c>
      <c r="D4012" s="37" t="s">
        <v>2349</v>
      </c>
      <c r="E4012" s="213">
        <v>448323.14</v>
      </c>
    </row>
    <row r="4013" spans="1:5" ht="14.25">
      <c r="A4013" s="37">
        <v>34684</v>
      </c>
      <c r="B4013" s="37" t="s">
        <v>24681</v>
      </c>
      <c r="C4013" s="37" t="s">
        <v>28761</v>
      </c>
      <c r="D4013" s="37" t="s">
        <v>2351</v>
      </c>
      <c r="E4013" s="212">
        <v>205.77</v>
      </c>
    </row>
    <row r="4014" spans="1:5" ht="14.25">
      <c r="A4014" s="37">
        <v>34683</v>
      </c>
      <c r="B4014" s="37" t="s">
        <v>24682</v>
      </c>
      <c r="C4014" s="37" t="s">
        <v>28761</v>
      </c>
      <c r="D4014" s="37" t="s">
        <v>2351</v>
      </c>
      <c r="E4014" s="212">
        <v>128.6</v>
      </c>
    </row>
    <row r="4015" spans="1:5" ht="14.25">
      <c r="A4015" s="37">
        <v>533</v>
      </c>
      <c r="B4015" s="37" t="s">
        <v>24683</v>
      </c>
      <c r="C4015" s="37" t="s">
        <v>28761</v>
      </c>
      <c r="D4015" s="37" t="s">
        <v>2349</v>
      </c>
      <c r="E4015" s="212">
        <v>27</v>
      </c>
    </row>
    <row r="4016" spans="1:5" ht="14.25">
      <c r="A4016" s="37">
        <v>10515</v>
      </c>
      <c r="B4016" s="37" t="s">
        <v>24684</v>
      </c>
      <c r="C4016" s="37" t="s">
        <v>28761</v>
      </c>
      <c r="D4016" s="37" t="s">
        <v>2349</v>
      </c>
      <c r="E4016" s="212">
        <v>50.94</v>
      </c>
    </row>
    <row r="4017" spans="1:5" ht="14.25">
      <c r="A4017" s="37">
        <v>536</v>
      </c>
      <c r="B4017" s="37" t="s">
        <v>24685</v>
      </c>
      <c r="C4017" s="37" t="s">
        <v>28761</v>
      </c>
      <c r="D4017" s="37" t="s">
        <v>2353</v>
      </c>
      <c r="E4017" s="212">
        <v>36.85</v>
      </c>
    </row>
    <row r="4018" spans="1:5" ht="14.25">
      <c r="A4018" s="37">
        <v>153</v>
      </c>
      <c r="B4018" s="37" t="s">
        <v>24686</v>
      </c>
      <c r="C4018" s="37" t="s">
        <v>2363</v>
      </c>
      <c r="D4018" s="37" t="s">
        <v>2349</v>
      </c>
      <c r="E4018" s="212">
        <v>85.38</v>
      </c>
    </row>
    <row r="4019" spans="1:5" ht="14.25">
      <c r="A4019" s="37">
        <v>34682</v>
      </c>
      <c r="B4019" s="37" t="s">
        <v>24687</v>
      </c>
      <c r="C4019" s="37" t="s">
        <v>28761</v>
      </c>
      <c r="D4019" s="37" t="s">
        <v>2351</v>
      </c>
      <c r="E4019" s="212">
        <v>98.34</v>
      </c>
    </row>
    <row r="4020" spans="1:5" ht="14.25">
      <c r="A4020" s="37">
        <v>20205</v>
      </c>
      <c r="B4020" s="37" t="s">
        <v>24688</v>
      </c>
      <c r="C4020" s="37" t="s">
        <v>2355</v>
      </c>
      <c r="D4020" s="37" t="s">
        <v>2349</v>
      </c>
      <c r="E4020" s="212">
        <v>3.46</v>
      </c>
    </row>
    <row r="4021" spans="1:5" ht="14.25">
      <c r="A4021" s="37">
        <v>4412</v>
      </c>
      <c r="B4021" s="37" t="s">
        <v>24689</v>
      </c>
      <c r="C4021" s="37" t="s">
        <v>2355</v>
      </c>
      <c r="D4021" s="37" t="s">
        <v>2349</v>
      </c>
      <c r="E4021" s="212">
        <v>2.0699999999999998</v>
      </c>
    </row>
    <row r="4022" spans="1:5" ht="14.25">
      <c r="A4022" s="37">
        <v>4408</v>
      </c>
      <c r="B4022" s="37" t="s">
        <v>24690</v>
      </c>
      <c r="C4022" s="37" t="s">
        <v>2355</v>
      </c>
      <c r="D4022" s="37" t="s">
        <v>2349</v>
      </c>
      <c r="E4022" s="212">
        <v>2.59</v>
      </c>
    </row>
    <row r="4023" spans="1:5" ht="14.25">
      <c r="A4023" s="37">
        <v>36250</v>
      </c>
      <c r="B4023" s="37" t="s">
        <v>24691</v>
      </c>
      <c r="C4023" s="37" t="s">
        <v>2355</v>
      </c>
      <c r="D4023" s="37" t="s">
        <v>2349</v>
      </c>
      <c r="E4023" s="212">
        <v>4.53</v>
      </c>
    </row>
    <row r="4024" spans="1:5" ht="14.25">
      <c r="A4024" s="37">
        <v>10857</v>
      </c>
      <c r="B4024" s="37" t="s">
        <v>24692</v>
      </c>
      <c r="C4024" s="37" t="s">
        <v>2355</v>
      </c>
      <c r="D4024" s="37" t="s">
        <v>2349</v>
      </c>
      <c r="E4024" s="212">
        <v>14.22</v>
      </c>
    </row>
    <row r="4025" spans="1:5" ht="14.25">
      <c r="A4025" s="37">
        <v>4803</v>
      </c>
      <c r="B4025" s="37" t="s">
        <v>24693</v>
      </c>
      <c r="C4025" s="37" t="s">
        <v>2355</v>
      </c>
      <c r="D4025" s="37" t="s">
        <v>2349</v>
      </c>
      <c r="E4025" s="212">
        <v>29.16</v>
      </c>
    </row>
    <row r="4026" spans="1:5" ht="14.25">
      <c r="A4026" s="37">
        <v>6186</v>
      </c>
      <c r="B4026" s="37" t="s">
        <v>24694</v>
      </c>
      <c r="C4026" s="37" t="s">
        <v>2355</v>
      </c>
      <c r="D4026" s="37" t="s">
        <v>2349</v>
      </c>
      <c r="E4026" s="212">
        <v>13.88</v>
      </c>
    </row>
    <row r="4027" spans="1:5" ht="14.25">
      <c r="A4027" s="37">
        <v>4829</v>
      </c>
      <c r="B4027" s="37" t="s">
        <v>24695</v>
      </c>
      <c r="C4027" s="37" t="s">
        <v>2355</v>
      </c>
      <c r="D4027" s="37" t="s">
        <v>2349</v>
      </c>
      <c r="E4027" s="212">
        <v>32.74</v>
      </c>
    </row>
    <row r="4028" spans="1:5" ht="14.25">
      <c r="A4028" s="37">
        <v>39829</v>
      </c>
      <c r="B4028" s="37" t="s">
        <v>24696</v>
      </c>
      <c r="C4028" s="37" t="s">
        <v>2355</v>
      </c>
      <c r="D4028" s="37" t="s">
        <v>2351</v>
      </c>
      <c r="E4028" s="212">
        <v>33.29</v>
      </c>
    </row>
    <row r="4029" spans="1:5" ht="14.25">
      <c r="A4029" s="37">
        <v>20231</v>
      </c>
      <c r="B4029" s="37" t="s">
        <v>24697</v>
      </c>
      <c r="C4029" s="37" t="s">
        <v>2355</v>
      </c>
      <c r="D4029" s="37" t="s">
        <v>2349</v>
      </c>
      <c r="E4029" s="212">
        <v>26.04</v>
      </c>
    </row>
    <row r="4030" spans="1:5" ht="14.25">
      <c r="A4030" s="37">
        <v>4804</v>
      </c>
      <c r="B4030" s="37" t="s">
        <v>24698</v>
      </c>
      <c r="C4030" s="37" t="s">
        <v>2355</v>
      </c>
      <c r="D4030" s="37" t="s">
        <v>2349</v>
      </c>
      <c r="E4030" s="212">
        <v>22.39</v>
      </c>
    </row>
    <row r="4031" spans="1:5" ht="14.25">
      <c r="A4031" s="37">
        <v>34680</v>
      </c>
      <c r="B4031" s="37" t="s">
        <v>24699</v>
      </c>
      <c r="C4031" s="37" t="s">
        <v>2355</v>
      </c>
      <c r="D4031" s="37" t="s">
        <v>2351</v>
      </c>
      <c r="E4031" s="212">
        <v>30.26</v>
      </c>
    </row>
    <row r="4032" spans="1:5" ht="14.25">
      <c r="A4032" s="37">
        <v>11573</v>
      </c>
      <c r="B4032" s="37" t="s">
        <v>24700</v>
      </c>
      <c r="C4032" s="37" t="s">
        <v>2348</v>
      </c>
      <c r="D4032" s="37" t="s">
        <v>2349</v>
      </c>
      <c r="E4032" s="212">
        <v>5.2</v>
      </c>
    </row>
    <row r="4033" spans="1:5" ht="14.25">
      <c r="A4033" s="37">
        <v>38401</v>
      </c>
      <c r="B4033" s="37" t="s">
        <v>24701</v>
      </c>
      <c r="C4033" s="37" t="s">
        <v>2348</v>
      </c>
      <c r="D4033" s="37" t="s">
        <v>2349</v>
      </c>
      <c r="E4033" s="212">
        <v>8.6999999999999993</v>
      </c>
    </row>
    <row r="4034" spans="1:5" ht="14.25">
      <c r="A4034" s="37">
        <v>11575</v>
      </c>
      <c r="B4034" s="37" t="s">
        <v>24702</v>
      </c>
      <c r="C4034" s="37" t="s">
        <v>2348</v>
      </c>
      <c r="D4034" s="37" t="s">
        <v>2349</v>
      </c>
      <c r="E4034" s="212">
        <v>50.13</v>
      </c>
    </row>
    <row r="4035" spans="1:5" ht="14.25">
      <c r="A4035" s="37">
        <v>38179</v>
      </c>
      <c r="B4035" s="37" t="s">
        <v>24703</v>
      </c>
      <c r="C4035" s="37" t="s">
        <v>2348</v>
      </c>
      <c r="D4035" s="37" t="s">
        <v>2349</v>
      </c>
      <c r="E4035" s="212">
        <v>41.45</v>
      </c>
    </row>
    <row r="4036" spans="1:5" ht="14.25">
      <c r="A4036" s="37">
        <v>20256</v>
      </c>
      <c r="B4036" s="37" t="s">
        <v>24704</v>
      </c>
      <c r="C4036" s="37" t="s">
        <v>2348</v>
      </c>
      <c r="D4036" s="37" t="s">
        <v>2349</v>
      </c>
      <c r="E4036" s="212">
        <v>0.41</v>
      </c>
    </row>
    <row r="4037" spans="1:5" ht="14.25">
      <c r="A4037" s="37">
        <v>14511</v>
      </c>
      <c r="B4037" s="37" t="s">
        <v>24705</v>
      </c>
      <c r="C4037" s="37" t="s">
        <v>2348</v>
      </c>
      <c r="D4037" s="37" t="s">
        <v>2351</v>
      </c>
      <c r="E4037" s="213">
        <v>889922.27</v>
      </c>
    </row>
    <row r="4038" spans="1:5" ht="14.25">
      <c r="A4038" s="37">
        <v>10642</v>
      </c>
      <c r="B4038" s="37" t="s">
        <v>24706</v>
      </c>
      <c r="C4038" s="37" t="s">
        <v>2348</v>
      </c>
      <c r="D4038" s="37" t="s">
        <v>2351</v>
      </c>
      <c r="E4038" s="213">
        <v>838350</v>
      </c>
    </row>
    <row r="4039" spans="1:5" ht="14.25">
      <c r="A4039" s="37">
        <v>14489</v>
      </c>
      <c r="B4039" s="37" t="s">
        <v>24707</v>
      </c>
      <c r="C4039" s="37" t="s">
        <v>2348</v>
      </c>
      <c r="D4039" s="37" t="s">
        <v>2351</v>
      </c>
      <c r="E4039" s="213">
        <v>743600.85</v>
      </c>
    </row>
    <row r="4040" spans="1:5" ht="14.25">
      <c r="A4040" s="37">
        <v>14513</v>
      </c>
      <c r="B4040" s="37" t="s">
        <v>24708</v>
      </c>
      <c r="C4040" s="37" t="s">
        <v>2348</v>
      </c>
      <c r="D4040" s="37" t="s">
        <v>2351</v>
      </c>
      <c r="E4040" s="213">
        <v>557718.28</v>
      </c>
    </row>
    <row r="4041" spans="1:5" ht="14.25">
      <c r="A4041" s="37">
        <v>13600</v>
      </c>
      <c r="B4041" s="37" t="s">
        <v>24709</v>
      </c>
      <c r="C4041" s="37" t="s">
        <v>2348</v>
      </c>
      <c r="D4041" s="37" t="s">
        <v>2351</v>
      </c>
      <c r="E4041" s="213">
        <v>719613.65</v>
      </c>
    </row>
    <row r="4042" spans="1:5" ht="14.25">
      <c r="A4042" s="37">
        <v>10646</v>
      </c>
      <c r="B4042" s="37" t="s">
        <v>24710</v>
      </c>
      <c r="C4042" s="37" t="s">
        <v>2348</v>
      </c>
      <c r="D4042" s="37" t="s">
        <v>2351</v>
      </c>
      <c r="E4042" s="213">
        <v>536424.03</v>
      </c>
    </row>
    <row r="4043" spans="1:5" ht="14.25">
      <c r="A4043" s="37">
        <v>6070</v>
      </c>
      <c r="B4043" s="37" t="s">
        <v>24711</v>
      </c>
      <c r="C4043" s="37" t="s">
        <v>2348</v>
      </c>
      <c r="D4043" s="37" t="s">
        <v>2351</v>
      </c>
      <c r="E4043" s="213">
        <v>732957.41</v>
      </c>
    </row>
    <row r="4044" spans="1:5" ht="14.25">
      <c r="A4044" s="37">
        <v>6069</v>
      </c>
      <c r="B4044" s="37" t="s">
        <v>24712</v>
      </c>
      <c r="C4044" s="37" t="s">
        <v>2348</v>
      </c>
      <c r="D4044" s="37" t="s">
        <v>2351</v>
      </c>
      <c r="E4044" s="213">
        <v>161921.35</v>
      </c>
    </row>
    <row r="4045" spans="1:5" ht="14.25">
      <c r="A4045" s="37">
        <v>14626</v>
      </c>
      <c r="B4045" s="37" t="s">
        <v>24713</v>
      </c>
      <c r="C4045" s="37" t="s">
        <v>2348</v>
      </c>
      <c r="D4045" s="37" t="s">
        <v>2351</v>
      </c>
      <c r="E4045" s="213">
        <v>802420.75</v>
      </c>
    </row>
    <row r="4046" spans="1:5" ht="14.25">
      <c r="A4046" s="37">
        <v>6067</v>
      </c>
      <c r="B4046" s="37" t="s">
        <v>24714</v>
      </c>
      <c r="C4046" s="37" t="s">
        <v>2348</v>
      </c>
      <c r="D4046" s="37" t="s">
        <v>2351</v>
      </c>
      <c r="E4046" s="213">
        <v>658703.57999999996</v>
      </c>
    </row>
    <row r="4047" spans="1:5" ht="14.25">
      <c r="A4047" s="37">
        <v>38393</v>
      </c>
      <c r="B4047" s="37" t="s">
        <v>24715</v>
      </c>
      <c r="C4047" s="37" t="s">
        <v>2348</v>
      </c>
      <c r="D4047" s="37" t="s">
        <v>2353</v>
      </c>
      <c r="E4047" s="212">
        <v>14.5</v>
      </c>
    </row>
    <row r="4048" spans="1:5" ht="14.25">
      <c r="A4048" s="37">
        <v>38390</v>
      </c>
      <c r="B4048" s="37" t="s">
        <v>24716</v>
      </c>
      <c r="C4048" s="37" t="s">
        <v>2348</v>
      </c>
      <c r="D4048" s="37" t="s">
        <v>2349</v>
      </c>
      <c r="E4048" s="212">
        <v>32.159999999999997</v>
      </c>
    </row>
    <row r="4049" spans="1:5" ht="14.25">
      <c r="A4049" s="37">
        <v>36532</v>
      </c>
      <c r="B4049" s="37" t="s">
        <v>24717</v>
      </c>
      <c r="C4049" s="37" t="s">
        <v>2348</v>
      </c>
      <c r="D4049" s="37" t="s">
        <v>2351</v>
      </c>
      <c r="E4049" s="213">
        <v>18448.39</v>
      </c>
    </row>
    <row r="4050" spans="1:5" ht="14.25">
      <c r="A4050" s="37">
        <v>11578</v>
      </c>
      <c r="B4050" s="37" t="s">
        <v>24718</v>
      </c>
      <c r="C4050" s="37" t="s">
        <v>2348</v>
      </c>
      <c r="D4050" s="37" t="s">
        <v>2349</v>
      </c>
      <c r="E4050" s="212">
        <v>10.82</v>
      </c>
    </row>
    <row r="4051" spans="1:5" ht="14.25">
      <c r="A4051" s="37">
        <v>11577</v>
      </c>
      <c r="B4051" s="37" t="s">
        <v>24719</v>
      </c>
      <c r="C4051" s="37" t="s">
        <v>2348</v>
      </c>
      <c r="D4051" s="37" t="s">
        <v>2349</v>
      </c>
      <c r="E4051" s="212">
        <v>10.33</v>
      </c>
    </row>
    <row r="4052" spans="1:5" ht="14.25">
      <c r="A4052" s="37">
        <v>42432</v>
      </c>
      <c r="B4052" s="37" t="s">
        <v>24720</v>
      </c>
      <c r="C4052" s="37" t="s">
        <v>2348</v>
      </c>
      <c r="D4052" s="37" t="s">
        <v>2351</v>
      </c>
      <c r="E4052" s="213">
        <v>2128.9</v>
      </c>
    </row>
    <row r="4053" spans="1:5" ht="14.25">
      <c r="A4053" s="37">
        <v>42437</v>
      </c>
      <c r="B4053" s="37" t="s">
        <v>24721</v>
      </c>
      <c r="C4053" s="37" t="s">
        <v>2348</v>
      </c>
      <c r="D4053" s="37" t="s">
        <v>2351</v>
      </c>
      <c r="E4053" s="213">
        <v>1618.53</v>
      </c>
    </row>
    <row r="4054" spans="1:5" ht="14.25">
      <c r="A4054" s="37">
        <v>1116</v>
      </c>
      <c r="B4054" s="37" t="s">
        <v>24722</v>
      </c>
      <c r="C4054" s="37" t="s">
        <v>2355</v>
      </c>
      <c r="D4054" s="37" t="s">
        <v>2349</v>
      </c>
      <c r="E4054" s="212">
        <v>30.78</v>
      </c>
    </row>
    <row r="4055" spans="1:5" ht="14.25">
      <c r="A4055" s="37">
        <v>1115</v>
      </c>
      <c r="B4055" s="37" t="s">
        <v>24723</v>
      </c>
      <c r="C4055" s="37" t="s">
        <v>2355</v>
      </c>
      <c r="D4055" s="37" t="s">
        <v>2349</v>
      </c>
      <c r="E4055" s="212">
        <v>36.880000000000003</v>
      </c>
    </row>
    <row r="4056" spans="1:5" ht="14.25">
      <c r="A4056" s="37">
        <v>1113</v>
      </c>
      <c r="B4056" s="37" t="s">
        <v>24724</v>
      </c>
      <c r="C4056" s="37" t="s">
        <v>2355</v>
      </c>
      <c r="D4056" s="37" t="s">
        <v>2349</v>
      </c>
      <c r="E4056" s="212">
        <v>43.12</v>
      </c>
    </row>
    <row r="4057" spans="1:5" ht="14.25">
      <c r="A4057" s="37">
        <v>1114</v>
      </c>
      <c r="B4057" s="37" t="s">
        <v>24725</v>
      </c>
      <c r="C4057" s="37" t="s">
        <v>2355</v>
      </c>
      <c r="D4057" s="37" t="s">
        <v>2349</v>
      </c>
      <c r="E4057" s="212">
        <v>51.36</v>
      </c>
    </row>
    <row r="4058" spans="1:5" ht="14.25">
      <c r="A4058" s="37">
        <v>40873</v>
      </c>
      <c r="B4058" s="37" t="s">
        <v>24726</v>
      </c>
      <c r="C4058" s="37" t="s">
        <v>2355</v>
      </c>
      <c r="D4058" s="37" t="s">
        <v>2349</v>
      </c>
      <c r="E4058" s="212">
        <v>40.19</v>
      </c>
    </row>
    <row r="4059" spans="1:5" ht="14.25">
      <c r="A4059" s="37">
        <v>20214</v>
      </c>
      <c r="B4059" s="37" t="s">
        <v>24727</v>
      </c>
      <c r="C4059" s="37" t="s">
        <v>2348</v>
      </c>
      <c r="D4059" s="37" t="s">
        <v>2349</v>
      </c>
      <c r="E4059" s="212">
        <v>59.2</v>
      </c>
    </row>
    <row r="4060" spans="1:5" ht="14.25">
      <c r="A4060" s="37">
        <v>7237</v>
      </c>
      <c r="B4060" s="37" t="s">
        <v>24728</v>
      </c>
      <c r="C4060" s="37" t="s">
        <v>2348</v>
      </c>
      <c r="D4060" s="37" t="s">
        <v>2349</v>
      </c>
      <c r="E4060" s="212">
        <v>57.95</v>
      </c>
    </row>
    <row r="4061" spans="1:5" ht="14.25">
      <c r="A4061" s="37">
        <v>11757</v>
      </c>
      <c r="B4061" s="37" t="s">
        <v>24729</v>
      </c>
      <c r="C4061" s="37" t="s">
        <v>2348</v>
      </c>
      <c r="D4061" s="37" t="s">
        <v>2353</v>
      </c>
      <c r="E4061" s="212">
        <v>28.9</v>
      </c>
    </row>
    <row r="4062" spans="1:5" ht="14.25">
      <c r="A4062" s="37">
        <v>11758</v>
      </c>
      <c r="B4062" s="37" t="s">
        <v>24730</v>
      </c>
      <c r="C4062" s="37" t="s">
        <v>2348</v>
      </c>
      <c r="D4062" s="37" t="s">
        <v>2353</v>
      </c>
      <c r="E4062" s="212">
        <v>69.900000000000006</v>
      </c>
    </row>
    <row r="4063" spans="1:5" ht="14.25">
      <c r="A4063" s="37">
        <v>37526</v>
      </c>
      <c r="B4063" s="37" t="s">
        <v>24731</v>
      </c>
      <c r="C4063" s="37" t="s">
        <v>2348</v>
      </c>
      <c r="D4063" s="37" t="s">
        <v>2351</v>
      </c>
      <c r="E4063" s="212">
        <v>4.34</v>
      </c>
    </row>
    <row r="4064" spans="1:5" ht="14.25">
      <c r="A4064" s="37">
        <v>6076</v>
      </c>
      <c r="B4064" s="37" t="s">
        <v>24732</v>
      </c>
      <c r="C4064" s="37" t="s">
        <v>28760</v>
      </c>
      <c r="D4064" s="37" t="s">
        <v>2353</v>
      </c>
      <c r="E4064" s="212">
        <v>59.66</v>
      </c>
    </row>
    <row r="4065" spans="1:5" ht="14.25">
      <c r="A4065" s="37">
        <v>13109</v>
      </c>
      <c r="B4065" s="37" t="s">
        <v>24733</v>
      </c>
      <c r="C4065" s="37" t="s">
        <v>2348</v>
      </c>
      <c r="D4065" s="37" t="s">
        <v>2351</v>
      </c>
      <c r="E4065" s="212">
        <v>265.89</v>
      </c>
    </row>
    <row r="4066" spans="1:5" ht="14.25">
      <c r="A4066" s="37">
        <v>13110</v>
      </c>
      <c r="B4066" s="37" t="s">
        <v>24734</v>
      </c>
      <c r="C4066" s="37" t="s">
        <v>2348</v>
      </c>
      <c r="D4066" s="37" t="s">
        <v>2351</v>
      </c>
      <c r="E4066" s="212">
        <v>349.92</v>
      </c>
    </row>
    <row r="4067" spans="1:5" ht="14.25">
      <c r="A4067" s="37">
        <v>7581</v>
      </c>
      <c r="B4067" s="37" t="s">
        <v>24735</v>
      </c>
      <c r="C4067" s="37" t="s">
        <v>2348</v>
      </c>
      <c r="D4067" s="37" t="s">
        <v>2349</v>
      </c>
      <c r="E4067" s="212">
        <v>3.76</v>
      </c>
    </row>
    <row r="4068" spans="1:5" ht="14.25">
      <c r="A4068" s="37">
        <v>4509</v>
      </c>
      <c r="B4068" s="37" t="s">
        <v>24736</v>
      </c>
      <c r="C4068" s="37" t="s">
        <v>2355</v>
      </c>
      <c r="D4068" s="37" t="s">
        <v>2349</v>
      </c>
      <c r="E4068" s="212">
        <v>3.87</v>
      </c>
    </row>
    <row r="4069" spans="1:5" ht="14.25">
      <c r="A4069" s="37">
        <v>4512</v>
      </c>
      <c r="B4069" s="37" t="s">
        <v>24737</v>
      </c>
      <c r="C4069" s="37" t="s">
        <v>2355</v>
      </c>
      <c r="D4069" s="37" t="s">
        <v>2349</v>
      </c>
      <c r="E4069" s="212">
        <v>1.85</v>
      </c>
    </row>
    <row r="4070" spans="1:5" ht="14.25">
      <c r="A4070" s="37">
        <v>4517</v>
      </c>
      <c r="B4070" s="37" t="s">
        <v>24738</v>
      </c>
      <c r="C4070" s="37" t="s">
        <v>2355</v>
      </c>
      <c r="D4070" s="37" t="s">
        <v>2349</v>
      </c>
      <c r="E4070" s="212">
        <v>2.67</v>
      </c>
    </row>
    <row r="4071" spans="1:5" ht="14.25">
      <c r="A4071" s="37">
        <v>20206</v>
      </c>
      <c r="B4071" s="37" t="s">
        <v>24739</v>
      </c>
      <c r="C4071" s="37" t="s">
        <v>2355</v>
      </c>
      <c r="D4071" s="37" t="s">
        <v>2349</v>
      </c>
      <c r="E4071" s="212">
        <v>9.35</v>
      </c>
    </row>
    <row r="4072" spans="1:5" ht="14.25">
      <c r="A4072" s="37">
        <v>4460</v>
      </c>
      <c r="B4072" s="37" t="s">
        <v>24740</v>
      </c>
      <c r="C4072" s="37" t="s">
        <v>2355</v>
      </c>
      <c r="D4072" s="37" t="s">
        <v>2349</v>
      </c>
      <c r="E4072" s="212">
        <v>9.6</v>
      </c>
    </row>
    <row r="4073" spans="1:5" ht="14.25">
      <c r="A4073" s="37">
        <v>4417</v>
      </c>
      <c r="B4073" s="37" t="s">
        <v>24741</v>
      </c>
      <c r="C4073" s="37" t="s">
        <v>2355</v>
      </c>
      <c r="D4073" s="37" t="s">
        <v>2349</v>
      </c>
      <c r="E4073" s="212">
        <v>7.4</v>
      </c>
    </row>
    <row r="4074" spans="1:5" ht="14.25">
      <c r="A4074" s="37">
        <v>4415</v>
      </c>
      <c r="B4074" s="37" t="s">
        <v>24742</v>
      </c>
      <c r="C4074" s="37" t="s">
        <v>2355</v>
      </c>
      <c r="D4074" s="37" t="s">
        <v>2349</v>
      </c>
      <c r="E4074" s="212">
        <v>5.14</v>
      </c>
    </row>
    <row r="4075" spans="1:5" ht="14.25">
      <c r="A4075" s="37">
        <v>37373</v>
      </c>
      <c r="B4075" s="37" t="s">
        <v>24743</v>
      </c>
      <c r="C4075" s="37" t="s">
        <v>2352</v>
      </c>
      <c r="D4075" s="37" t="s">
        <v>2353</v>
      </c>
      <c r="E4075" s="212">
        <v>0.06</v>
      </c>
    </row>
    <row r="4076" spans="1:5" ht="14.25">
      <c r="A4076" s="37">
        <v>40864</v>
      </c>
      <c r="B4076" s="37" t="s">
        <v>24744</v>
      </c>
      <c r="C4076" s="37" t="s">
        <v>2369</v>
      </c>
      <c r="D4076" s="37" t="s">
        <v>2353</v>
      </c>
      <c r="E4076" s="212">
        <v>11.8</v>
      </c>
    </row>
    <row r="4077" spans="1:5" ht="14.25">
      <c r="A4077" s="37">
        <v>4734</v>
      </c>
      <c r="B4077" s="37" t="s">
        <v>24745</v>
      </c>
      <c r="C4077" s="37" t="s">
        <v>28760</v>
      </c>
      <c r="D4077" s="37" t="s">
        <v>2349</v>
      </c>
      <c r="E4077" s="212">
        <v>119.63</v>
      </c>
    </row>
    <row r="4078" spans="1:5" ht="14.25">
      <c r="A4078" s="37">
        <v>6085</v>
      </c>
      <c r="B4078" s="37" t="s">
        <v>24746</v>
      </c>
      <c r="C4078" s="37" t="s">
        <v>2363</v>
      </c>
      <c r="D4078" s="37" t="s">
        <v>2353</v>
      </c>
      <c r="E4078" s="212">
        <v>10.199999999999999</v>
      </c>
    </row>
    <row r="4079" spans="1:5" ht="14.25">
      <c r="A4079" s="37">
        <v>38396</v>
      </c>
      <c r="B4079" s="37" t="s">
        <v>24747</v>
      </c>
      <c r="C4079" s="37" t="s">
        <v>2348</v>
      </c>
      <c r="D4079" s="37" t="s">
        <v>2349</v>
      </c>
      <c r="E4079" s="212">
        <v>469.65</v>
      </c>
    </row>
    <row r="4080" spans="1:5" ht="14.25">
      <c r="A4080" s="37">
        <v>11622</v>
      </c>
      <c r="B4080" s="37" t="s">
        <v>24748</v>
      </c>
      <c r="C4080" s="37" t="s">
        <v>2356</v>
      </c>
      <c r="D4080" s="37" t="s">
        <v>2349</v>
      </c>
      <c r="E4080" s="212">
        <v>64.33</v>
      </c>
    </row>
    <row r="4081" spans="1:5" ht="14.25">
      <c r="A4081" s="37">
        <v>43143</v>
      </c>
      <c r="B4081" s="37" t="s">
        <v>24749</v>
      </c>
      <c r="C4081" s="37" t="s">
        <v>2363</v>
      </c>
      <c r="D4081" s="37" t="s">
        <v>2349</v>
      </c>
      <c r="E4081" s="212">
        <v>24.3</v>
      </c>
    </row>
    <row r="4082" spans="1:5" ht="14.25">
      <c r="A4082" s="37">
        <v>7317</v>
      </c>
      <c r="B4082" s="37" t="s">
        <v>24750</v>
      </c>
      <c r="C4082" s="37" t="s">
        <v>2356</v>
      </c>
      <c r="D4082" s="37" t="s">
        <v>2349</v>
      </c>
      <c r="E4082" s="212">
        <v>33.799999999999997</v>
      </c>
    </row>
    <row r="4083" spans="1:5" ht="14.25">
      <c r="A4083" s="37">
        <v>142</v>
      </c>
      <c r="B4083" s="37" t="s">
        <v>24751</v>
      </c>
      <c r="C4083" s="37" t="s">
        <v>2521</v>
      </c>
      <c r="D4083" s="37" t="s">
        <v>2349</v>
      </c>
      <c r="E4083" s="212">
        <v>30.36</v>
      </c>
    </row>
    <row r="4084" spans="1:5" ht="14.25">
      <c r="A4084" s="37">
        <v>43142</v>
      </c>
      <c r="B4084" s="37" t="s">
        <v>24752</v>
      </c>
      <c r="C4084" s="37" t="s">
        <v>2363</v>
      </c>
      <c r="D4084" s="37" t="s">
        <v>2349</v>
      </c>
      <c r="E4084" s="212">
        <v>137.88999999999999</v>
      </c>
    </row>
    <row r="4085" spans="1:5" ht="14.25">
      <c r="A4085" s="37">
        <v>38123</v>
      </c>
      <c r="B4085" s="37" t="s">
        <v>24753</v>
      </c>
      <c r="C4085" s="37" t="s">
        <v>2356</v>
      </c>
      <c r="D4085" s="37" t="s">
        <v>2349</v>
      </c>
      <c r="E4085" s="212">
        <v>64.48</v>
      </c>
    </row>
    <row r="4086" spans="1:5" ht="14.25">
      <c r="A4086" s="37">
        <v>42701</v>
      </c>
      <c r="B4086" s="37" t="s">
        <v>24754</v>
      </c>
      <c r="C4086" s="37" t="s">
        <v>2348</v>
      </c>
      <c r="D4086" s="37" t="s">
        <v>2351</v>
      </c>
      <c r="E4086" s="212">
        <v>60.8</v>
      </c>
    </row>
    <row r="4087" spans="1:5" ht="14.25">
      <c r="A4087" s="37">
        <v>42702</v>
      </c>
      <c r="B4087" s="37" t="s">
        <v>24755</v>
      </c>
      <c r="C4087" s="37" t="s">
        <v>2348</v>
      </c>
      <c r="D4087" s="37" t="s">
        <v>2351</v>
      </c>
      <c r="E4087" s="212">
        <v>108.03</v>
      </c>
    </row>
    <row r="4088" spans="1:5" ht="14.25">
      <c r="A4088" s="37">
        <v>37955</v>
      </c>
      <c r="B4088" s="37" t="s">
        <v>24756</v>
      </c>
      <c r="C4088" s="37" t="s">
        <v>2348</v>
      </c>
      <c r="D4088" s="37" t="s">
        <v>2351</v>
      </c>
      <c r="E4088" s="212">
        <v>140.01</v>
      </c>
    </row>
    <row r="4089" spans="1:5" ht="14.25">
      <c r="A4089" s="37">
        <v>42699</v>
      </c>
      <c r="B4089" s="37" t="s">
        <v>24757</v>
      </c>
      <c r="C4089" s="37" t="s">
        <v>2348</v>
      </c>
      <c r="D4089" s="37" t="s">
        <v>2351</v>
      </c>
      <c r="E4089" s="212">
        <v>37.14</v>
      </c>
    </row>
    <row r="4090" spans="1:5" ht="14.25">
      <c r="A4090" s="37">
        <v>42700</v>
      </c>
      <c r="B4090" s="37" t="s">
        <v>24758</v>
      </c>
      <c r="C4090" s="37" t="s">
        <v>2348</v>
      </c>
      <c r="D4090" s="37" t="s">
        <v>2351</v>
      </c>
      <c r="E4090" s="212">
        <v>105.88</v>
      </c>
    </row>
    <row r="4091" spans="1:5" ht="14.25">
      <c r="A4091" s="37">
        <v>37743</v>
      </c>
      <c r="B4091" s="37" t="s">
        <v>24759</v>
      </c>
      <c r="C4091" s="37" t="s">
        <v>2348</v>
      </c>
      <c r="D4091" s="37" t="s">
        <v>2351</v>
      </c>
      <c r="E4091" s="213">
        <v>217162.48</v>
      </c>
    </row>
    <row r="4092" spans="1:5" ht="14.25">
      <c r="A4092" s="37">
        <v>37744</v>
      </c>
      <c r="B4092" s="37" t="s">
        <v>24760</v>
      </c>
      <c r="C4092" s="37" t="s">
        <v>2348</v>
      </c>
      <c r="D4092" s="37" t="s">
        <v>2351</v>
      </c>
      <c r="E4092" s="213">
        <v>255342.23</v>
      </c>
    </row>
    <row r="4093" spans="1:5" ht="14.25">
      <c r="A4093" s="37">
        <v>37741</v>
      </c>
      <c r="B4093" s="37" t="s">
        <v>24761</v>
      </c>
      <c r="C4093" s="37" t="s">
        <v>2348</v>
      </c>
      <c r="D4093" s="37" t="s">
        <v>2351</v>
      </c>
      <c r="E4093" s="213">
        <v>197464.65</v>
      </c>
    </row>
    <row r="4094" spans="1:5" ht="14.25">
      <c r="A4094" s="37">
        <v>39396</v>
      </c>
      <c r="B4094" s="37" t="s">
        <v>24762</v>
      </c>
      <c r="C4094" s="37" t="s">
        <v>2348</v>
      </c>
      <c r="D4094" s="37" t="s">
        <v>2351</v>
      </c>
      <c r="E4094" s="212">
        <v>87.73</v>
      </c>
    </row>
    <row r="4095" spans="1:5" ht="14.25">
      <c r="A4095" s="37">
        <v>39392</v>
      </c>
      <c r="B4095" s="37" t="s">
        <v>24763</v>
      </c>
      <c r="C4095" s="37" t="s">
        <v>2348</v>
      </c>
      <c r="D4095" s="37" t="s">
        <v>2351</v>
      </c>
      <c r="E4095" s="212">
        <v>98.96</v>
      </c>
    </row>
    <row r="4096" spans="1:5" ht="14.25">
      <c r="A4096" s="37">
        <v>39393</v>
      </c>
      <c r="B4096" s="37" t="s">
        <v>24764</v>
      </c>
      <c r="C4096" s="37" t="s">
        <v>2348</v>
      </c>
      <c r="D4096" s="37" t="s">
        <v>2351</v>
      </c>
      <c r="E4096" s="212">
        <v>61.2</v>
      </c>
    </row>
    <row r="4097" spans="1:5" ht="14.25">
      <c r="A4097" s="37">
        <v>39394</v>
      </c>
      <c r="B4097" s="37" t="s">
        <v>24765</v>
      </c>
      <c r="C4097" s="37" t="s">
        <v>2348</v>
      </c>
      <c r="D4097" s="37" t="s">
        <v>2351</v>
      </c>
      <c r="E4097" s="212">
        <v>68.88</v>
      </c>
    </row>
    <row r="4098" spans="1:5" ht="14.25">
      <c r="A4098" s="37">
        <v>39395</v>
      </c>
      <c r="B4098" s="37" t="s">
        <v>24766</v>
      </c>
      <c r="C4098" s="37" t="s">
        <v>2348</v>
      </c>
      <c r="D4098" s="37" t="s">
        <v>2351</v>
      </c>
      <c r="E4098" s="212">
        <v>64.06</v>
      </c>
    </row>
    <row r="4099" spans="1:5" ht="14.25">
      <c r="A4099" s="37">
        <v>14618</v>
      </c>
      <c r="B4099" s="37" t="s">
        <v>24767</v>
      </c>
      <c r="C4099" s="37" t="s">
        <v>2348</v>
      </c>
      <c r="D4099" s="37" t="s">
        <v>2349</v>
      </c>
      <c r="E4099" s="213">
        <v>1811.6</v>
      </c>
    </row>
    <row r="4100" spans="1:5" ht="14.25">
      <c r="A4100" s="37">
        <v>40269</v>
      </c>
      <c r="B4100" s="37" t="s">
        <v>24768</v>
      </c>
      <c r="C4100" s="37" t="s">
        <v>2348</v>
      </c>
      <c r="D4100" s="37" t="s">
        <v>2349</v>
      </c>
      <c r="E4100" s="213">
        <v>7298.81</v>
      </c>
    </row>
    <row r="4101" spans="1:5" ht="14.25">
      <c r="A4101" s="37">
        <v>6110</v>
      </c>
      <c r="B4101" s="37" t="s">
        <v>24769</v>
      </c>
      <c r="C4101" s="37" t="s">
        <v>2352</v>
      </c>
      <c r="D4101" s="37" t="s">
        <v>2349</v>
      </c>
      <c r="E4101" s="212">
        <v>18.670000000000002</v>
      </c>
    </row>
    <row r="4102" spans="1:5" ht="14.25">
      <c r="A4102" s="37">
        <v>40910</v>
      </c>
      <c r="B4102" s="37" t="s">
        <v>24770</v>
      </c>
      <c r="C4102" s="37" t="s">
        <v>2369</v>
      </c>
      <c r="D4102" s="37" t="s">
        <v>2349</v>
      </c>
      <c r="E4102" s="213">
        <v>3283.8</v>
      </c>
    </row>
    <row r="4103" spans="1:5" ht="14.25">
      <c r="A4103" s="37">
        <v>6111</v>
      </c>
      <c r="B4103" s="37" t="s">
        <v>24771</v>
      </c>
      <c r="C4103" s="37" t="s">
        <v>2352</v>
      </c>
      <c r="D4103" s="37" t="s">
        <v>2353</v>
      </c>
      <c r="E4103" s="212">
        <v>11.77</v>
      </c>
    </row>
    <row r="4104" spans="1:5" ht="14.25">
      <c r="A4104" s="37">
        <v>41084</v>
      </c>
      <c r="B4104" s="37" t="s">
        <v>24772</v>
      </c>
      <c r="C4104" s="37" t="s">
        <v>2369</v>
      </c>
      <c r="D4104" s="37" t="s">
        <v>2349</v>
      </c>
      <c r="E4104" s="213">
        <v>2070.38</v>
      </c>
    </row>
    <row r="4105" spans="1:5" ht="14.25">
      <c r="A4105" s="37">
        <v>44535</v>
      </c>
      <c r="B4105" s="37" t="s">
        <v>28112</v>
      </c>
      <c r="C4105" s="37" t="s">
        <v>28760</v>
      </c>
      <c r="D4105" s="37" t="s">
        <v>2349</v>
      </c>
      <c r="E4105" s="212">
        <v>34.54</v>
      </c>
    </row>
    <row r="4106" spans="1:5" ht="14.25">
      <c r="A4106" s="37">
        <v>38637</v>
      </c>
      <c r="B4106" s="37" t="s">
        <v>24773</v>
      </c>
      <c r="C4106" s="37" t="s">
        <v>2348</v>
      </c>
      <c r="D4106" s="37" t="s">
        <v>2349</v>
      </c>
      <c r="E4106" s="212">
        <v>213.39</v>
      </c>
    </row>
    <row r="4107" spans="1:5" ht="14.25">
      <c r="A4107" s="37">
        <v>6150</v>
      </c>
      <c r="B4107" s="37" t="s">
        <v>24774</v>
      </c>
      <c r="C4107" s="37" t="s">
        <v>2348</v>
      </c>
      <c r="D4107" s="37" t="s">
        <v>2349</v>
      </c>
      <c r="E4107" s="212">
        <v>216</v>
      </c>
    </row>
    <row r="4108" spans="1:5" ht="14.25">
      <c r="A4108" s="37">
        <v>6136</v>
      </c>
      <c r="B4108" s="37" t="s">
        <v>24775</v>
      </c>
      <c r="C4108" s="37" t="s">
        <v>2348</v>
      </c>
      <c r="D4108" s="37" t="s">
        <v>2353</v>
      </c>
      <c r="E4108" s="212">
        <v>169.79</v>
      </c>
    </row>
    <row r="4109" spans="1:5" ht="14.25">
      <c r="A4109" s="37">
        <v>38638</v>
      </c>
      <c r="B4109" s="37" t="s">
        <v>24776</v>
      </c>
      <c r="C4109" s="37" t="s">
        <v>2348</v>
      </c>
      <c r="D4109" s="37" t="s">
        <v>2349</v>
      </c>
      <c r="E4109" s="212">
        <v>179.82</v>
      </c>
    </row>
    <row r="4110" spans="1:5" ht="14.25">
      <c r="A4110" s="37">
        <v>20262</v>
      </c>
      <c r="B4110" s="37" t="s">
        <v>24777</v>
      </c>
      <c r="C4110" s="37" t="s">
        <v>2348</v>
      </c>
      <c r="D4110" s="37" t="s">
        <v>2349</v>
      </c>
      <c r="E4110" s="212">
        <v>14.9</v>
      </c>
    </row>
    <row r="4111" spans="1:5" ht="14.25">
      <c r="A4111" s="37">
        <v>6148</v>
      </c>
      <c r="B4111" s="37" t="s">
        <v>24778</v>
      </c>
      <c r="C4111" s="37" t="s">
        <v>2348</v>
      </c>
      <c r="D4111" s="37" t="s">
        <v>2353</v>
      </c>
      <c r="E4111" s="212">
        <v>8.2100000000000009</v>
      </c>
    </row>
    <row r="4112" spans="1:5" ht="14.25">
      <c r="A4112" s="37">
        <v>6145</v>
      </c>
      <c r="B4112" s="37" t="s">
        <v>24779</v>
      </c>
      <c r="C4112" s="37" t="s">
        <v>2348</v>
      </c>
      <c r="D4112" s="37" t="s">
        <v>2349</v>
      </c>
      <c r="E4112" s="212">
        <v>14.74</v>
      </c>
    </row>
    <row r="4113" spans="1:5" ht="14.25">
      <c r="A4113" s="37">
        <v>6149</v>
      </c>
      <c r="B4113" s="37" t="s">
        <v>24780</v>
      </c>
      <c r="C4113" s="37" t="s">
        <v>2348</v>
      </c>
      <c r="D4113" s="37" t="s">
        <v>2349</v>
      </c>
      <c r="E4113" s="212">
        <v>13.9</v>
      </c>
    </row>
    <row r="4114" spans="1:5" ht="14.25">
      <c r="A4114" s="37">
        <v>6146</v>
      </c>
      <c r="B4114" s="37" t="s">
        <v>24781</v>
      </c>
      <c r="C4114" s="37" t="s">
        <v>2348</v>
      </c>
      <c r="D4114" s="37" t="s">
        <v>2349</v>
      </c>
      <c r="E4114" s="212">
        <v>14.76</v>
      </c>
    </row>
    <row r="4115" spans="1:5" ht="14.25">
      <c r="A4115" s="37">
        <v>44536</v>
      </c>
      <c r="B4115" s="37" t="s">
        <v>28113</v>
      </c>
      <c r="C4115" s="37" t="s">
        <v>2356</v>
      </c>
      <c r="D4115" s="37" t="s">
        <v>2349</v>
      </c>
      <c r="E4115" s="212">
        <v>2.5499999999999998</v>
      </c>
    </row>
    <row r="4116" spans="1:5" ht="14.25">
      <c r="A4116" s="37">
        <v>39961</v>
      </c>
      <c r="B4116" s="37" t="s">
        <v>24782</v>
      </c>
      <c r="C4116" s="37" t="s">
        <v>2348</v>
      </c>
      <c r="D4116" s="37" t="s">
        <v>2349</v>
      </c>
      <c r="E4116" s="212">
        <v>20.059999999999999</v>
      </c>
    </row>
    <row r="4117" spans="1:5" ht="14.25">
      <c r="A4117" s="37">
        <v>42433</v>
      </c>
      <c r="B4117" s="37" t="s">
        <v>24783</v>
      </c>
      <c r="C4117" s="37" t="s">
        <v>2348</v>
      </c>
      <c r="D4117" s="37" t="s">
        <v>2351</v>
      </c>
      <c r="E4117" s="213">
        <v>4205.03</v>
      </c>
    </row>
    <row r="4118" spans="1:5" ht="14.25">
      <c r="A4118" s="37">
        <v>42434</v>
      </c>
      <c r="B4118" s="37" t="s">
        <v>24784</v>
      </c>
      <c r="C4118" s="37" t="s">
        <v>2348</v>
      </c>
      <c r="D4118" s="37" t="s">
        <v>2351</v>
      </c>
      <c r="E4118" s="213">
        <v>4544.1400000000003</v>
      </c>
    </row>
    <row r="4119" spans="1:5" ht="14.25">
      <c r="A4119" s="37">
        <v>42435</v>
      </c>
      <c r="B4119" s="37" t="s">
        <v>24785</v>
      </c>
      <c r="C4119" s="37" t="s">
        <v>2348</v>
      </c>
      <c r="D4119" s="37" t="s">
        <v>2351</v>
      </c>
      <c r="E4119" s="213">
        <v>2265.9899999999998</v>
      </c>
    </row>
    <row r="4120" spans="1:5" ht="14.25">
      <c r="A4120" s="37">
        <v>38061</v>
      </c>
      <c r="B4120" s="37" t="s">
        <v>24786</v>
      </c>
      <c r="C4120" s="37" t="s">
        <v>2348</v>
      </c>
      <c r="D4120" s="37" t="s">
        <v>2349</v>
      </c>
      <c r="E4120" s="212">
        <v>36.33</v>
      </c>
    </row>
    <row r="4121" spans="1:5" ht="14.25">
      <c r="A4121" s="37">
        <v>20250</v>
      </c>
      <c r="B4121" s="37" t="s">
        <v>24787</v>
      </c>
      <c r="C4121" s="37" t="s">
        <v>2356</v>
      </c>
      <c r="D4121" s="37" t="s">
        <v>2351</v>
      </c>
      <c r="E4121" s="212">
        <v>19.559999999999999</v>
      </c>
    </row>
    <row r="4122" spans="1:5" ht="14.25">
      <c r="A4122" s="37">
        <v>13388</v>
      </c>
      <c r="B4122" s="37" t="s">
        <v>24788</v>
      </c>
      <c r="C4122" s="37" t="s">
        <v>2356</v>
      </c>
      <c r="D4122" s="37" t="s">
        <v>2349</v>
      </c>
      <c r="E4122" s="212">
        <v>150.76</v>
      </c>
    </row>
    <row r="4123" spans="1:5" ht="14.25">
      <c r="A4123" s="37">
        <v>39914</v>
      </c>
      <c r="B4123" s="37" t="s">
        <v>24789</v>
      </c>
      <c r="C4123" s="37" t="s">
        <v>2356</v>
      </c>
      <c r="D4123" s="37" t="s">
        <v>2351</v>
      </c>
      <c r="E4123" s="212">
        <v>292.36</v>
      </c>
    </row>
    <row r="4124" spans="1:5" ht="14.25">
      <c r="A4124" s="37">
        <v>12732</v>
      </c>
      <c r="B4124" s="37" t="s">
        <v>24790</v>
      </c>
      <c r="C4124" s="37" t="s">
        <v>2348</v>
      </c>
      <c r="D4124" s="37" t="s">
        <v>2351</v>
      </c>
      <c r="E4124" s="212">
        <v>337.34</v>
      </c>
    </row>
    <row r="4125" spans="1:5" ht="14.25">
      <c r="A4125" s="37">
        <v>6160</v>
      </c>
      <c r="B4125" s="37" t="s">
        <v>24791</v>
      </c>
      <c r="C4125" s="37" t="s">
        <v>2352</v>
      </c>
      <c r="D4125" s="37" t="s">
        <v>2353</v>
      </c>
      <c r="E4125" s="212">
        <v>21.32</v>
      </c>
    </row>
    <row r="4126" spans="1:5" ht="14.25">
      <c r="A4126" s="37">
        <v>41087</v>
      </c>
      <c r="B4126" s="37" t="s">
        <v>24792</v>
      </c>
      <c r="C4126" s="37" t="s">
        <v>2369</v>
      </c>
      <c r="D4126" s="37" t="s">
        <v>2349</v>
      </c>
      <c r="E4126" s="213">
        <v>3750.2</v>
      </c>
    </row>
    <row r="4127" spans="1:5" ht="14.25">
      <c r="A4127" s="37">
        <v>6166</v>
      </c>
      <c r="B4127" s="37" t="s">
        <v>24793</v>
      </c>
      <c r="C4127" s="37" t="s">
        <v>2352</v>
      </c>
      <c r="D4127" s="37" t="s">
        <v>2349</v>
      </c>
      <c r="E4127" s="212">
        <v>23.22</v>
      </c>
    </row>
    <row r="4128" spans="1:5" ht="14.25">
      <c r="A4128" s="37">
        <v>41088</v>
      </c>
      <c r="B4128" s="37" t="s">
        <v>24794</v>
      </c>
      <c r="C4128" s="37" t="s">
        <v>2369</v>
      </c>
      <c r="D4128" s="37" t="s">
        <v>2349</v>
      </c>
      <c r="E4128" s="213">
        <v>4085.01</v>
      </c>
    </row>
    <row r="4129" spans="1:5" ht="14.25">
      <c r="A4129" s="37">
        <v>20232</v>
      </c>
      <c r="B4129" s="37" t="s">
        <v>24795</v>
      </c>
      <c r="C4129" s="37" t="s">
        <v>2355</v>
      </c>
      <c r="D4129" s="37" t="s">
        <v>2349</v>
      </c>
      <c r="E4129" s="212">
        <v>36.869999999999997</v>
      </c>
    </row>
    <row r="4130" spans="1:5" ht="14.25">
      <c r="A4130" s="37">
        <v>10856</v>
      </c>
      <c r="B4130" s="37" t="s">
        <v>24796</v>
      </c>
      <c r="C4130" s="37" t="s">
        <v>2355</v>
      </c>
      <c r="D4130" s="37" t="s">
        <v>2351</v>
      </c>
      <c r="E4130" s="212">
        <v>83.21</v>
      </c>
    </row>
    <row r="4131" spans="1:5" ht="14.25">
      <c r="A4131" s="37">
        <v>4828</v>
      </c>
      <c r="B4131" s="37" t="s">
        <v>24797</v>
      </c>
      <c r="C4131" s="37" t="s">
        <v>2355</v>
      </c>
      <c r="D4131" s="37" t="s">
        <v>2349</v>
      </c>
      <c r="E4131" s="212">
        <v>48.86</v>
      </c>
    </row>
    <row r="4132" spans="1:5" ht="14.25">
      <c r="A4132" s="37">
        <v>20249</v>
      </c>
      <c r="B4132" s="37" t="s">
        <v>24798</v>
      </c>
      <c r="C4132" s="37" t="s">
        <v>2355</v>
      </c>
      <c r="D4132" s="37" t="s">
        <v>2349</v>
      </c>
      <c r="E4132" s="212">
        <v>26.75</v>
      </c>
    </row>
    <row r="4133" spans="1:5" ht="14.25">
      <c r="A4133" s="37">
        <v>11609</v>
      </c>
      <c r="B4133" s="37" t="s">
        <v>24799</v>
      </c>
      <c r="C4133" s="37" t="s">
        <v>2363</v>
      </c>
      <c r="D4133" s="37" t="s">
        <v>2349</v>
      </c>
      <c r="E4133" s="212">
        <v>10.69</v>
      </c>
    </row>
    <row r="4134" spans="1:5" ht="14.25">
      <c r="A4134" s="37">
        <v>20083</v>
      </c>
      <c r="B4134" s="37" t="s">
        <v>24800</v>
      </c>
      <c r="C4134" s="37" t="s">
        <v>2348</v>
      </c>
      <c r="D4134" s="37" t="s">
        <v>2349</v>
      </c>
      <c r="E4134" s="212">
        <v>81.33</v>
      </c>
    </row>
    <row r="4135" spans="1:5" ht="14.25">
      <c r="A4135" s="37">
        <v>10691</v>
      </c>
      <c r="B4135" s="37" t="s">
        <v>24801</v>
      </c>
      <c r="C4135" s="37" t="s">
        <v>2363</v>
      </c>
      <c r="D4135" s="37" t="s">
        <v>2349</v>
      </c>
      <c r="E4135" s="212">
        <v>42.6</v>
      </c>
    </row>
    <row r="4136" spans="1:5" ht="14.25">
      <c r="A4136" s="37">
        <v>12295</v>
      </c>
      <c r="B4136" s="37" t="s">
        <v>24802</v>
      </c>
      <c r="C4136" s="37" t="s">
        <v>2348</v>
      </c>
      <c r="D4136" s="37" t="s">
        <v>2349</v>
      </c>
      <c r="E4136" s="212">
        <v>3.45</v>
      </c>
    </row>
    <row r="4137" spans="1:5" ht="14.25">
      <c r="A4137" s="37">
        <v>12296</v>
      </c>
      <c r="B4137" s="37" t="s">
        <v>24803</v>
      </c>
      <c r="C4137" s="37" t="s">
        <v>2348</v>
      </c>
      <c r="D4137" s="37" t="s">
        <v>2349</v>
      </c>
      <c r="E4137" s="212">
        <v>4.47</v>
      </c>
    </row>
    <row r="4138" spans="1:5" ht="14.25">
      <c r="A4138" s="37">
        <v>12294</v>
      </c>
      <c r="B4138" s="37" t="s">
        <v>24804</v>
      </c>
      <c r="C4138" s="37" t="s">
        <v>2348</v>
      </c>
      <c r="D4138" s="37" t="s">
        <v>2349</v>
      </c>
      <c r="E4138" s="212">
        <v>10.74</v>
      </c>
    </row>
    <row r="4139" spans="1:5" ht="14.25">
      <c r="A4139" s="37">
        <v>14543</v>
      </c>
      <c r="B4139" s="37" t="s">
        <v>24805</v>
      </c>
      <c r="C4139" s="37" t="s">
        <v>2348</v>
      </c>
      <c r="D4139" s="37" t="s">
        <v>2349</v>
      </c>
      <c r="E4139" s="212">
        <v>7.66</v>
      </c>
    </row>
    <row r="4140" spans="1:5" ht="14.25">
      <c r="A4140" s="37">
        <v>13329</v>
      </c>
      <c r="B4140" s="37" t="s">
        <v>24806</v>
      </c>
      <c r="C4140" s="37" t="s">
        <v>2348</v>
      </c>
      <c r="D4140" s="37" t="s">
        <v>2353</v>
      </c>
      <c r="E4140" s="212">
        <v>4.5</v>
      </c>
    </row>
    <row r="4141" spans="1:5" ht="14.25">
      <c r="A4141" s="37">
        <v>21044</v>
      </c>
      <c r="B4141" s="37" t="s">
        <v>24807</v>
      </c>
      <c r="C4141" s="37" t="s">
        <v>2348</v>
      </c>
      <c r="D4141" s="37" t="s">
        <v>2349</v>
      </c>
      <c r="E4141" s="212">
        <v>40.880000000000003</v>
      </c>
    </row>
    <row r="4142" spans="1:5" ht="14.25">
      <c r="A4142" s="37">
        <v>21045</v>
      </c>
      <c r="B4142" s="37" t="s">
        <v>24808</v>
      </c>
      <c r="C4142" s="37" t="s">
        <v>2348</v>
      </c>
      <c r="D4142" s="37" t="s">
        <v>2349</v>
      </c>
      <c r="E4142" s="212">
        <v>55.99</v>
      </c>
    </row>
    <row r="4143" spans="1:5" ht="14.25">
      <c r="A4143" s="37">
        <v>21040</v>
      </c>
      <c r="B4143" s="37" t="s">
        <v>24809</v>
      </c>
      <c r="C4143" s="37" t="s">
        <v>2348</v>
      </c>
      <c r="D4143" s="37" t="s">
        <v>2353</v>
      </c>
      <c r="E4143" s="212">
        <v>40</v>
      </c>
    </row>
    <row r="4144" spans="1:5" ht="14.25">
      <c r="A4144" s="37">
        <v>21041</v>
      </c>
      <c r="B4144" s="37" t="s">
        <v>24810</v>
      </c>
      <c r="C4144" s="37" t="s">
        <v>2348</v>
      </c>
      <c r="D4144" s="37" t="s">
        <v>2349</v>
      </c>
      <c r="E4144" s="212">
        <v>48.28</v>
      </c>
    </row>
    <row r="4145" spans="1:5" ht="14.25">
      <c r="A4145" s="37">
        <v>21047</v>
      </c>
      <c r="B4145" s="37" t="s">
        <v>24811</v>
      </c>
      <c r="C4145" s="37" t="s">
        <v>2348</v>
      </c>
      <c r="D4145" s="37" t="s">
        <v>2349</v>
      </c>
      <c r="E4145" s="212">
        <v>60.26</v>
      </c>
    </row>
    <row r="4146" spans="1:5" ht="14.25">
      <c r="A4146" s="37">
        <v>21043</v>
      </c>
      <c r="B4146" s="37" t="s">
        <v>24812</v>
      </c>
      <c r="C4146" s="37" t="s">
        <v>2348</v>
      </c>
      <c r="D4146" s="37" t="s">
        <v>2349</v>
      </c>
      <c r="E4146" s="212">
        <v>58.67</v>
      </c>
    </row>
    <row r="4147" spans="1:5" ht="14.25">
      <c r="A4147" s="37">
        <v>21042</v>
      </c>
      <c r="B4147" s="37" t="s">
        <v>24813</v>
      </c>
      <c r="C4147" s="37" t="s">
        <v>2348</v>
      </c>
      <c r="D4147" s="37" t="s">
        <v>2349</v>
      </c>
      <c r="E4147" s="212">
        <v>46.45</v>
      </c>
    </row>
    <row r="4148" spans="1:5" ht="14.25">
      <c r="A4148" s="37">
        <v>14149</v>
      </c>
      <c r="B4148" s="37" t="s">
        <v>24814</v>
      </c>
      <c r="C4148" s="37" t="s">
        <v>2465</v>
      </c>
      <c r="D4148" s="37" t="s">
        <v>2351</v>
      </c>
      <c r="E4148" s="212">
        <v>188.87</v>
      </c>
    </row>
    <row r="4149" spans="1:5" ht="14.25">
      <c r="A4149" s="37">
        <v>38099</v>
      </c>
      <c r="B4149" s="37" t="s">
        <v>24815</v>
      </c>
      <c r="C4149" s="37" t="s">
        <v>2348</v>
      </c>
      <c r="D4149" s="37" t="s">
        <v>2349</v>
      </c>
      <c r="E4149" s="212">
        <v>1.4</v>
      </c>
    </row>
    <row r="4150" spans="1:5" ht="14.25">
      <c r="A4150" s="37">
        <v>38100</v>
      </c>
      <c r="B4150" s="37" t="s">
        <v>24816</v>
      </c>
      <c r="C4150" s="37" t="s">
        <v>2348</v>
      </c>
      <c r="D4150" s="37" t="s">
        <v>2349</v>
      </c>
      <c r="E4150" s="212">
        <v>2.29</v>
      </c>
    </row>
    <row r="4151" spans="1:5" ht="14.25">
      <c r="A4151" s="37">
        <v>20061</v>
      </c>
      <c r="B4151" s="37" t="s">
        <v>24817</v>
      </c>
      <c r="C4151" s="37" t="s">
        <v>2348</v>
      </c>
      <c r="D4151" s="37" t="s">
        <v>2351</v>
      </c>
      <c r="E4151" s="212">
        <v>3.91</v>
      </c>
    </row>
    <row r="4152" spans="1:5" ht="14.25">
      <c r="A4152" s="37">
        <v>7576</v>
      </c>
      <c r="B4152" s="37" t="s">
        <v>24818</v>
      </c>
      <c r="C4152" s="37" t="s">
        <v>2348</v>
      </c>
      <c r="D4152" s="37" t="s">
        <v>2349</v>
      </c>
      <c r="E4152" s="212">
        <v>154.54</v>
      </c>
    </row>
    <row r="4153" spans="1:5" ht="14.25">
      <c r="A4153" s="37">
        <v>3384</v>
      </c>
      <c r="B4153" s="37" t="s">
        <v>24819</v>
      </c>
      <c r="C4153" s="37" t="s">
        <v>2348</v>
      </c>
      <c r="D4153" s="37" t="s">
        <v>2349</v>
      </c>
      <c r="E4153" s="212">
        <v>6.87</v>
      </c>
    </row>
    <row r="4154" spans="1:5" ht="14.25">
      <c r="A4154" s="37">
        <v>7572</v>
      </c>
      <c r="B4154" s="37" t="s">
        <v>24820</v>
      </c>
      <c r="C4154" s="37" t="s">
        <v>2348</v>
      </c>
      <c r="D4154" s="37" t="s">
        <v>2349</v>
      </c>
      <c r="E4154" s="212">
        <v>5.94</v>
      </c>
    </row>
    <row r="4155" spans="1:5" ht="14.25">
      <c r="A4155" s="37">
        <v>3396</v>
      </c>
      <c r="B4155" s="37" t="s">
        <v>24821</v>
      </c>
      <c r="C4155" s="37" t="s">
        <v>2348</v>
      </c>
      <c r="D4155" s="37" t="s">
        <v>2349</v>
      </c>
      <c r="E4155" s="212">
        <v>4.01</v>
      </c>
    </row>
    <row r="4156" spans="1:5" ht="14.25">
      <c r="A4156" s="37">
        <v>37590</v>
      </c>
      <c r="B4156" s="37" t="s">
        <v>24822</v>
      </c>
      <c r="C4156" s="37" t="s">
        <v>2348</v>
      </c>
      <c r="D4156" s="37" t="s">
        <v>2349</v>
      </c>
      <c r="E4156" s="212">
        <v>24.86</v>
      </c>
    </row>
    <row r="4157" spans="1:5" ht="14.25">
      <c r="A4157" s="37">
        <v>37591</v>
      </c>
      <c r="B4157" s="37" t="s">
        <v>24823</v>
      </c>
      <c r="C4157" s="37" t="s">
        <v>2348</v>
      </c>
      <c r="D4157" s="37" t="s">
        <v>2349</v>
      </c>
      <c r="E4157" s="212">
        <v>29.87</v>
      </c>
    </row>
    <row r="4158" spans="1:5" ht="14.25">
      <c r="A4158" s="37">
        <v>12626</v>
      </c>
      <c r="B4158" s="37" t="s">
        <v>24824</v>
      </c>
      <c r="C4158" s="37" t="s">
        <v>2348</v>
      </c>
      <c r="D4158" s="37" t="s">
        <v>2351</v>
      </c>
      <c r="E4158" s="212">
        <v>18.79</v>
      </c>
    </row>
    <row r="4159" spans="1:5" ht="14.25">
      <c r="A4159" s="37">
        <v>11033</v>
      </c>
      <c r="B4159" s="37" t="s">
        <v>24825</v>
      </c>
      <c r="C4159" s="37" t="s">
        <v>2348</v>
      </c>
      <c r="D4159" s="37" t="s">
        <v>2349</v>
      </c>
      <c r="E4159" s="212">
        <v>9.11</v>
      </c>
    </row>
    <row r="4160" spans="1:5" ht="14.25">
      <c r="A4160" s="37">
        <v>390</v>
      </c>
      <c r="B4160" s="37" t="s">
        <v>24826</v>
      </c>
      <c r="C4160" s="37" t="s">
        <v>2348</v>
      </c>
      <c r="D4160" s="37" t="s">
        <v>2349</v>
      </c>
      <c r="E4160" s="212">
        <v>7.26</v>
      </c>
    </row>
    <row r="4161" spans="1:5" ht="14.25">
      <c r="A4161" s="37">
        <v>42436</v>
      </c>
      <c r="B4161" s="37" t="s">
        <v>24827</v>
      </c>
      <c r="C4161" s="37" t="s">
        <v>2348</v>
      </c>
      <c r="D4161" s="37" t="s">
        <v>2351</v>
      </c>
      <c r="E4161" s="213">
        <v>2371.85</v>
      </c>
    </row>
    <row r="4162" spans="1:5" ht="14.25">
      <c r="A4162" s="37">
        <v>6193</v>
      </c>
      <c r="B4162" s="37" t="s">
        <v>24828</v>
      </c>
      <c r="C4162" s="37" t="s">
        <v>2355</v>
      </c>
      <c r="D4162" s="37" t="s">
        <v>2349</v>
      </c>
      <c r="E4162" s="212">
        <v>19.22</v>
      </c>
    </row>
    <row r="4163" spans="1:5" ht="14.25">
      <c r="A4163" s="37">
        <v>6194</v>
      </c>
      <c r="B4163" s="37" t="s">
        <v>24829</v>
      </c>
      <c r="C4163" s="37" t="s">
        <v>2355</v>
      </c>
      <c r="D4163" s="37" t="s">
        <v>2349</v>
      </c>
      <c r="E4163" s="212">
        <v>5.45</v>
      </c>
    </row>
    <row r="4164" spans="1:5" ht="14.25">
      <c r="A4164" s="37">
        <v>10567</v>
      </c>
      <c r="B4164" s="37" t="s">
        <v>24830</v>
      </c>
      <c r="C4164" s="37" t="s">
        <v>2355</v>
      </c>
      <c r="D4164" s="37" t="s">
        <v>2349</v>
      </c>
      <c r="E4164" s="212">
        <v>8.6300000000000008</v>
      </c>
    </row>
    <row r="4165" spans="1:5" ht="14.25">
      <c r="A4165" s="37">
        <v>6212</v>
      </c>
      <c r="B4165" s="37" t="s">
        <v>24831</v>
      </c>
      <c r="C4165" s="37" t="s">
        <v>2355</v>
      </c>
      <c r="D4165" s="37" t="s">
        <v>2353</v>
      </c>
      <c r="E4165" s="212">
        <v>12.67</v>
      </c>
    </row>
    <row r="4166" spans="1:5" ht="14.25">
      <c r="A4166" s="37">
        <v>3993</v>
      </c>
      <c r="B4166" s="37" t="s">
        <v>24832</v>
      </c>
      <c r="C4166" s="37" t="s">
        <v>28761</v>
      </c>
      <c r="D4166" s="37" t="s">
        <v>2349</v>
      </c>
      <c r="E4166" s="212">
        <v>124.22</v>
      </c>
    </row>
    <row r="4167" spans="1:5" ht="14.25">
      <c r="A4167" s="37">
        <v>3990</v>
      </c>
      <c r="B4167" s="37" t="s">
        <v>24833</v>
      </c>
      <c r="C4167" s="37" t="s">
        <v>2355</v>
      </c>
      <c r="D4167" s="37" t="s">
        <v>2349</v>
      </c>
      <c r="E4167" s="212">
        <v>23.37</v>
      </c>
    </row>
    <row r="4168" spans="1:5" ht="14.25">
      <c r="A4168" s="37">
        <v>3992</v>
      </c>
      <c r="B4168" s="37" t="s">
        <v>24834</v>
      </c>
      <c r="C4168" s="37" t="s">
        <v>2355</v>
      </c>
      <c r="D4168" s="37" t="s">
        <v>2349</v>
      </c>
      <c r="E4168" s="212">
        <v>31.55</v>
      </c>
    </row>
    <row r="4169" spans="1:5" ht="14.25">
      <c r="A4169" s="37">
        <v>6178</v>
      </c>
      <c r="B4169" s="37" t="s">
        <v>24835</v>
      </c>
      <c r="C4169" s="37" t="s">
        <v>28761</v>
      </c>
      <c r="D4169" s="37" t="s">
        <v>2349</v>
      </c>
      <c r="E4169" s="212">
        <v>231.64</v>
      </c>
    </row>
    <row r="4170" spans="1:5" ht="14.25">
      <c r="A4170" s="37">
        <v>6180</v>
      </c>
      <c r="B4170" s="37" t="s">
        <v>24836</v>
      </c>
      <c r="C4170" s="37" t="s">
        <v>28761</v>
      </c>
      <c r="D4170" s="37" t="s">
        <v>2353</v>
      </c>
      <c r="E4170" s="212">
        <v>250</v>
      </c>
    </row>
    <row r="4171" spans="1:5" ht="14.25">
      <c r="A4171" s="37">
        <v>6182</v>
      </c>
      <c r="B4171" s="37" t="s">
        <v>24837</v>
      </c>
      <c r="C4171" s="37" t="s">
        <v>28761</v>
      </c>
      <c r="D4171" s="37" t="s">
        <v>2349</v>
      </c>
      <c r="E4171" s="212">
        <v>310.31</v>
      </c>
    </row>
    <row r="4172" spans="1:5" ht="14.25">
      <c r="A4172" s="37">
        <v>43614</v>
      </c>
      <c r="B4172" s="37" t="s">
        <v>24838</v>
      </c>
      <c r="C4172" s="37" t="s">
        <v>2355</v>
      </c>
      <c r="D4172" s="37" t="s">
        <v>2349</v>
      </c>
      <c r="E4172" s="212">
        <v>15.79</v>
      </c>
    </row>
    <row r="4173" spans="1:5" ht="14.25">
      <c r="A4173" s="37">
        <v>6189</v>
      </c>
      <c r="B4173" s="37" t="s">
        <v>24839</v>
      </c>
      <c r="C4173" s="37" t="s">
        <v>2355</v>
      </c>
      <c r="D4173" s="37" t="s">
        <v>2349</v>
      </c>
      <c r="E4173" s="212">
        <v>28.05</v>
      </c>
    </row>
    <row r="4174" spans="1:5" ht="14.25">
      <c r="A4174" s="37">
        <v>6214</v>
      </c>
      <c r="B4174" s="37" t="s">
        <v>24840</v>
      </c>
      <c r="C4174" s="37" t="s">
        <v>28761</v>
      </c>
      <c r="D4174" s="37" t="s">
        <v>2349</v>
      </c>
      <c r="E4174" s="212">
        <v>145.1</v>
      </c>
    </row>
    <row r="4175" spans="1:5" ht="14.25">
      <c r="A4175" s="37">
        <v>36153</v>
      </c>
      <c r="B4175" s="37" t="s">
        <v>24841</v>
      </c>
      <c r="C4175" s="37" t="s">
        <v>2348</v>
      </c>
      <c r="D4175" s="37" t="s">
        <v>2349</v>
      </c>
      <c r="E4175" s="212">
        <v>199.28</v>
      </c>
    </row>
    <row r="4176" spans="1:5" ht="14.25">
      <c r="A4176" s="37">
        <v>10740</v>
      </c>
      <c r="B4176" s="37" t="s">
        <v>24842</v>
      </c>
      <c r="C4176" s="37" t="s">
        <v>2348</v>
      </c>
      <c r="D4176" s="37" t="s">
        <v>2351</v>
      </c>
      <c r="E4176" s="213">
        <v>10869.91</v>
      </c>
    </row>
    <row r="4177" spans="1:5" ht="14.25">
      <c r="A4177" s="37">
        <v>13914</v>
      </c>
      <c r="B4177" s="37" t="s">
        <v>24843</v>
      </c>
      <c r="C4177" s="37" t="s">
        <v>2348</v>
      </c>
      <c r="D4177" s="37" t="s">
        <v>2351</v>
      </c>
      <c r="E4177" s="212">
        <v>786.48</v>
      </c>
    </row>
    <row r="4178" spans="1:5" ht="14.25">
      <c r="A4178" s="37">
        <v>10742</v>
      </c>
      <c r="B4178" s="37" t="s">
        <v>24844</v>
      </c>
      <c r="C4178" s="37" t="s">
        <v>2348</v>
      </c>
      <c r="D4178" s="37" t="s">
        <v>2351</v>
      </c>
      <c r="E4178" s="213">
        <v>1147.0899999999999</v>
      </c>
    </row>
    <row r="4179" spans="1:5" ht="14.25">
      <c r="A4179" s="37">
        <v>38465</v>
      </c>
      <c r="B4179" s="37" t="s">
        <v>24845</v>
      </c>
      <c r="C4179" s="37" t="s">
        <v>2348</v>
      </c>
      <c r="D4179" s="37" t="s">
        <v>2349</v>
      </c>
      <c r="E4179" s="212">
        <v>28.36</v>
      </c>
    </row>
    <row r="4180" spans="1:5" ht="14.25">
      <c r="A4180" s="37">
        <v>7543</v>
      </c>
      <c r="B4180" s="37" t="s">
        <v>24846</v>
      </c>
      <c r="C4180" s="37" t="s">
        <v>2348</v>
      </c>
      <c r="D4180" s="37" t="s">
        <v>2349</v>
      </c>
      <c r="E4180" s="212">
        <v>6.78</v>
      </c>
    </row>
    <row r="4181" spans="1:5" ht="14.25">
      <c r="A4181" s="37">
        <v>43427</v>
      </c>
      <c r="B4181" s="37" t="s">
        <v>24847</v>
      </c>
      <c r="C4181" s="37" t="s">
        <v>2348</v>
      </c>
      <c r="D4181" s="37" t="s">
        <v>2349</v>
      </c>
      <c r="E4181" s="213">
        <v>1094.18</v>
      </c>
    </row>
    <row r="4182" spans="1:5" ht="14.25">
      <c r="A4182" s="37">
        <v>41613</v>
      </c>
      <c r="B4182" s="37" t="s">
        <v>24848</v>
      </c>
      <c r="C4182" s="37" t="s">
        <v>2348</v>
      </c>
      <c r="D4182" s="37" t="s">
        <v>2349</v>
      </c>
      <c r="E4182" s="212">
        <v>70.33</v>
      </c>
    </row>
    <row r="4183" spans="1:5" ht="14.25">
      <c r="A4183" s="37">
        <v>41614</v>
      </c>
      <c r="B4183" s="37" t="s">
        <v>24849</v>
      </c>
      <c r="C4183" s="37" t="s">
        <v>2348</v>
      </c>
      <c r="D4183" s="37" t="s">
        <v>2349</v>
      </c>
      <c r="E4183" s="212">
        <v>89.62</v>
      </c>
    </row>
    <row r="4184" spans="1:5" ht="14.25">
      <c r="A4184" s="37">
        <v>41615</v>
      </c>
      <c r="B4184" s="37" t="s">
        <v>24850</v>
      </c>
      <c r="C4184" s="37" t="s">
        <v>2348</v>
      </c>
      <c r="D4184" s="37" t="s">
        <v>2349</v>
      </c>
      <c r="E4184" s="212">
        <v>138.51</v>
      </c>
    </row>
    <row r="4185" spans="1:5" ht="14.25">
      <c r="A4185" s="37">
        <v>41616</v>
      </c>
      <c r="B4185" s="37" t="s">
        <v>24851</v>
      </c>
      <c r="C4185" s="37" t="s">
        <v>2348</v>
      </c>
      <c r="D4185" s="37" t="s">
        <v>2349</v>
      </c>
      <c r="E4185" s="212">
        <v>206.96</v>
      </c>
    </row>
    <row r="4186" spans="1:5" ht="14.25">
      <c r="A4186" s="37">
        <v>41617</v>
      </c>
      <c r="B4186" s="37" t="s">
        <v>24852</v>
      </c>
      <c r="C4186" s="37" t="s">
        <v>2348</v>
      </c>
      <c r="D4186" s="37" t="s">
        <v>2349</v>
      </c>
      <c r="E4186" s="212">
        <v>411.52</v>
      </c>
    </row>
    <row r="4187" spans="1:5" ht="14.25">
      <c r="A4187" s="37">
        <v>41618</v>
      </c>
      <c r="B4187" s="37" t="s">
        <v>24853</v>
      </c>
      <c r="C4187" s="37" t="s">
        <v>2348</v>
      </c>
      <c r="D4187" s="37" t="s">
        <v>2349</v>
      </c>
      <c r="E4187" s="212">
        <v>757.58</v>
      </c>
    </row>
    <row r="4188" spans="1:5" ht="14.25">
      <c r="A4188" s="37">
        <v>43428</v>
      </c>
      <c r="B4188" s="37" t="s">
        <v>24854</v>
      </c>
      <c r="C4188" s="37" t="s">
        <v>2348</v>
      </c>
      <c r="D4188" s="37" t="s">
        <v>2349</v>
      </c>
      <c r="E4188" s="213">
        <v>1330.71</v>
      </c>
    </row>
    <row r="4189" spans="1:5" ht="14.25">
      <c r="A4189" s="37">
        <v>41619</v>
      </c>
      <c r="B4189" s="37" t="s">
        <v>24855</v>
      </c>
      <c r="C4189" s="37" t="s">
        <v>2348</v>
      </c>
      <c r="D4189" s="37" t="s">
        <v>2349</v>
      </c>
      <c r="E4189" s="212">
        <v>86.21</v>
      </c>
    </row>
    <row r="4190" spans="1:5" ht="14.25">
      <c r="A4190" s="37">
        <v>41620</v>
      </c>
      <c r="B4190" s="37" t="s">
        <v>24856</v>
      </c>
      <c r="C4190" s="37" t="s">
        <v>2348</v>
      </c>
      <c r="D4190" s="37" t="s">
        <v>2349</v>
      </c>
      <c r="E4190" s="212">
        <v>108.9</v>
      </c>
    </row>
    <row r="4191" spans="1:5" ht="14.25">
      <c r="A4191" s="37">
        <v>41622</v>
      </c>
      <c r="B4191" s="37" t="s">
        <v>24857</v>
      </c>
      <c r="C4191" s="37" t="s">
        <v>2348</v>
      </c>
      <c r="D4191" s="37" t="s">
        <v>2349</v>
      </c>
      <c r="E4191" s="212">
        <v>188.88</v>
      </c>
    </row>
    <row r="4192" spans="1:5" ht="14.25">
      <c r="A4192" s="37">
        <v>41623</v>
      </c>
      <c r="B4192" s="37" t="s">
        <v>24858</v>
      </c>
      <c r="C4192" s="37" t="s">
        <v>2348</v>
      </c>
      <c r="D4192" s="37" t="s">
        <v>2349</v>
      </c>
      <c r="E4192" s="212">
        <v>290.42</v>
      </c>
    </row>
    <row r="4193" spans="1:5" ht="14.25">
      <c r="A4193" s="37">
        <v>41624</v>
      </c>
      <c r="B4193" s="37" t="s">
        <v>24859</v>
      </c>
      <c r="C4193" s="37" t="s">
        <v>2348</v>
      </c>
      <c r="D4193" s="37" t="s">
        <v>2349</v>
      </c>
      <c r="E4193" s="212">
        <v>544.53</v>
      </c>
    </row>
    <row r="4194" spans="1:5" ht="14.25">
      <c r="A4194" s="37">
        <v>41625</v>
      </c>
      <c r="B4194" s="37" t="s">
        <v>24860</v>
      </c>
      <c r="C4194" s="37" t="s">
        <v>2348</v>
      </c>
      <c r="D4194" s="37" t="s">
        <v>2349</v>
      </c>
      <c r="E4194" s="212">
        <v>837.79</v>
      </c>
    </row>
    <row r="4195" spans="1:5" ht="14.25">
      <c r="A4195" s="37">
        <v>39352</v>
      </c>
      <c r="B4195" s="37" t="s">
        <v>24861</v>
      </c>
      <c r="C4195" s="37" t="s">
        <v>2348</v>
      </c>
      <c r="D4195" s="37" t="s">
        <v>2349</v>
      </c>
      <c r="E4195" s="212">
        <v>4.18</v>
      </c>
    </row>
    <row r="4196" spans="1:5" ht="14.25">
      <c r="A4196" s="37">
        <v>39346</v>
      </c>
      <c r="B4196" s="37" t="s">
        <v>24862</v>
      </c>
      <c r="C4196" s="37" t="s">
        <v>2348</v>
      </c>
      <c r="D4196" s="37" t="s">
        <v>2349</v>
      </c>
      <c r="E4196" s="212">
        <v>4.18</v>
      </c>
    </row>
    <row r="4197" spans="1:5" ht="14.25">
      <c r="A4197" s="37">
        <v>39350</v>
      </c>
      <c r="B4197" s="37" t="s">
        <v>24863</v>
      </c>
      <c r="C4197" s="37" t="s">
        <v>2348</v>
      </c>
      <c r="D4197" s="37" t="s">
        <v>2349</v>
      </c>
      <c r="E4197" s="212">
        <v>4.5</v>
      </c>
    </row>
    <row r="4198" spans="1:5" ht="14.25">
      <c r="A4198" s="37">
        <v>39351</v>
      </c>
      <c r="B4198" s="37" t="s">
        <v>24864</v>
      </c>
      <c r="C4198" s="37" t="s">
        <v>2348</v>
      </c>
      <c r="D4198" s="37" t="s">
        <v>2349</v>
      </c>
      <c r="E4198" s="212">
        <v>5.21</v>
      </c>
    </row>
    <row r="4199" spans="1:5" ht="14.25">
      <c r="A4199" s="37">
        <v>38952</v>
      </c>
      <c r="B4199" s="37" t="s">
        <v>24865</v>
      </c>
      <c r="C4199" s="37" t="s">
        <v>2348</v>
      </c>
      <c r="D4199" s="37" t="s">
        <v>2351</v>
      </c>
      <c r="E4199" s="212">
        <v>4.04</v>
      </c>
    </row>
    <row r="4200" spans="1:5" ht="14.25">
      <c r="A4200" s="37">
        <v>38953</v>
      </c>
      <c r="B4200" s="37" t="s">
        <v>24866</v>
      </c>
      <c r="C4200" s="37" t="s">
        <v>2348</v>
      </c>
      <c r="D4200" s="37" t="s">
        <v>2351</v>
      </c>
      <c r="E4200" s="212">
        <v>6.37</v>
      </c>
    </row>
    <row r="4201" spans="1:5" ht="14.25">
      <c r="A4201" s="37">
        <v>38835</v>
      </c>
      <c r="B4201" s="37" t="s">
        <v>24867</v>
      </c>
      <c r="C4201" s="37" t="s">
        <v>2348</v>
      </c>
      <c r="D4201" s="37" t="s">
        <v>2351</v>
      </c>
      <c r="E4201" s="212">
        <v>5.72</v>
      </c>
    </row>
    <row r="4202" spans="1:5" ht="14.25">
      <c r="A4202" s="37">
        <v>38837</v>
      </c>
      <c r="B4202" s="37" t="s">
        <v>24868</v>
      </c>
      <c r="C4202" s="37" t="s">
        <v>2348</v>
      </c>
      <c r="D4202" s="37" t="s">
        <v>2351</v>
      </c>
      <c r="E4202" s="212">
        <v>14.88</v>
      </c>
    </row>
    <row r="4203" spans="1:5" ht="14.25">
      <c r="A4203" s="37">
        <v>38836</v>
      </c>
      <c r="B4203" s="37" t="s">
        <v>24869</v>
      </c>
      <c r="C4203" s="37" t="s">
        <v>2348</v>
      </c>
      <c r="D4203" s="37" t="s">
        <v>2351</v>
      </c>
      <c r="E4203" s="212">
        <v>8.24</v>
      </c>
    </row>
    <row r="4204" spans="1:5" ht="14.25">
      <c r="A4204" s="37">
        <v>2666</v>
      </c>
      <c r="B4204" s="37" t="s">
        <v>24870</v>
      </c>
      <c r="C4204" s="37" t="s">
        <v>2348</v>
      </c>
      <c r="D4204" s="37" t="s">
        <v>2349</v>
      </c>
      <c r="E4204" s="212">
        <v>6.91</v>
      </c>
    </row>
    <row r="4205" spans="1:5" ht="14.25">
      <c r="A4205" s="37">
        <v>2668</v>
      </c>
      <c r="B4205" s="37" t="s">
        <v>24871</v>
      </c>
      <c r="C4205" s="37" t="s">
        <v>2348</v>
      </c>
      <c r="D4205" s="37" t="s">
        <v>2349</v>
      </c>
      <c r="E4205" s="212">
        <v>7.89</v>
      </c>
    </row>
    <row r="4206" spans="1:5" ht="14.25">
      <c r="A4206" s="37">
        <v>2664</v>
      </c>
      <c r="B4206" s="37" t="s">
        <v>24872</v>
      </c>
      <c r="C4206" s="37" t="s">
        <v>2348</v>
      </c>
      <c r="D4206" s="37" t="s">
        <v>2349</v>
      </c>
      <c r="E4206" s="212">
        <v>11.64</v>
      </c>
    </row>
    <row r="4207" spans="1:5" ht="14.25">
      <c r="A4207" s="37">
        <v>2662</v>
      </c>
      <c r="B4207" s="37" t="s">
        <v>24873</v>
      </c>
      <c r="C4207" s="37" t="s">
        <v>2348</v>
      </c>
      <c r="D4207" s="37" t="s">
        <v>2349</v>
      </c>
      <c r="E4207" s="212">
        <v>14.28</v>
      </c>
    </row>
    <row r="4208" spans="1:5" ht="14.25">
      <c r="A4208" s="37">
        <v>20964</v>
      </c>
      <c r="B4208" s="37" t="s">
        <v>24874</v>
      </c>
      <c r="C4208" s="37" t="s">
        <v>2348</v>
      </c>
      <c r="D4208" s="37" t="s">
        <v>2349</v>
      </c>
      <c r="E4208" s="212">
        <v>71.650000000000006</v>
      </c>
    </row>
    <row r="4209" spans="1:5" ht="14.25">
      <c r="A4209" s="37">
        <v>10905</v>
      </c>
      <c r="B4209" s="37" t="s">
        <v>24875</v>
      </c>
      <c r="C4209" s="37" t="s">
        <v>2348</v>
      </c>
      <c r="D4209" s="37" t="s">
        <v>2349</v>
      </c>
      <c r="E4209" s="212">
        <v>96.11</v>
      </c>
    </row>
    <row r="4210" spans="1:5" ht="14.25">
      <c r="A4210" s="37">
        <v>42703</v>
      </c>
      <c r="B4210" s="37" t="s">
        <v>24876</v>
      </c>
      <c r="C4210" s="37" t="s">
        <v>2348</v>
      </c>
      <c r="D4210" s="37" t="s">
        <v>2351</v>
      </c>
      <c r="E4210" s="212">
        <v>118.97</v>
      </c>
    </row>
    <row r="4211" spans="1:5" ht="14.25">
      <c r="A4211" s="37">
        <v>42704</v>
      </c>
      <c r="B4211" s="37" t="s">
        <v>24877</v>
      </c>
      <c r="C4211" s="37" t="s">
        <v>2348</v>
      </c>
      <c r="D4211" s="37" t="s">
        <v>2351</v>
      </c>
      <c r="E4211" s="212">
        <v>182.64</v>
      </c>
    </row>
    <row r="4212" spans="1:5" ht="14.25">
      <c r="A4212" s="37">
        <v>42705</v>
      </c>
      <c r="B4212" s="37" t="s">
        <v>24878</v>
      </c>
      <c r="C4212" s="37" t="s">
        <v>2348</v>
      </c>
      <c r="D4212" s="37" t="s">
        <v>2351</v>
      </c>
      <c r="E4212" s="212">
        <v>233.03</v>
      </c>
    </row>
    <row r="4213" spans="1:5" ht="14.25">
      <c r="A4213" s="37">
        <v>42706</v>
      </c>
      <c r="B4213" s="37" t="s">
        <v>24879</v>
      </c>
      <c r="C4213" s="37" t="s">
        <v>2348</v>
      </c>
      <c r="D4213" s="37" t="s">
        <v>2351</v>
      </c>
      <c r="E4213" s="212">
        <v>288.60000000000002</v>
      </c>
    </row>
    <row r="4214" spans="1:5" ht="14.25">
      <c r="A4214" s="37">
        <v>11289</v>
      </c>
      <c r="B4214" s="37" t="s">
        <v>24880</v>
      </c>
      <c r="C4214" s="37" t="s">
        <v>2348</v>
      </c>
      <c r="D4214" s="37" t="s">
        <v>2351</v>
      </c>
      <c r="E4214" s="212">
        <v>104.18</v>
      </c>
    </row>
    <row r="4215" spans="1:5" ht="14.25">
      <c r="A4215" s="37">
        <v>11241</v>
      </c>
      <c r="B4215" s="37" t="s">
        <v>24881</v>
      </c>
      <c r="C4215" s="37" t="s">
        <v>2348</v>
      </c>
      <c r="D4215" s="37" t="s">
        <v>2351</v>
      </c>
      <c r="E4215" s="212">
        <v>260.45999999999998</v>
      </c>
    </row>
    <row r="4216" spans="1:5" ht="14.25">
      <c r="A4216" s="37">
        <v>11301</v>
      </c>
      <c r="B4216" s="37" t="s">
        <v>24882</v>
      </c>
      <c r="C4216" s="37" t="s">
        <v>2348</v>
      </c>
      <c r="D4216" s="37" t="s">
        <v>2351</v>
      </c>
      <c r="E4216" s="212">
        <v>660.46</v>
      </c>
    </row>
    <row r="4217" spans="1:5" ht="14.25">
      <c r="A4217" s="37">
        <v>21090</v>
      </c>
      <c r="B4217" s="37" t="s">
        <v>24883</v>
      </c>
      <c r="C4217" s="37" t="s">
        <v>2348</v>
      </c>
      <c r="D4217" s="37" t="s">
        <v>2351</v>
      </c>
      <c r="E4217" s="212">
        <v>809.3</v>
      </c>
    </row>
    <row r="4218" spans="1:5" ht="14.25">
      <c r="A4218" s="37">
        <v>14112</v>
      </c>
      <c r="B4218" s="37" t="s">
        <v>24884</v>
      </c>
      <c r="C4218" s="37" t="s">
        <v>2348</v>
      </c>
      <c r="D4218" s="37" t="s">
        <v>2351</v>
      </c>
      <c r="E4218" s="212">
        <v>337.67</v>
      </c>
    </row>
    <row r="4219" spans="1:5" ht="14.25">
      <c r="A4219" s="37">
        <v>11315</v>
      </c>
      <c r="B4219" s="37" t="s">
        <v>24885</v>
      </c>
      <c r="C4219" s="37" t="s">
        <v>2348</v>
      </c>
      <c r="D4219" s="37" t="s">
        <v>2351</v>
      </c>
      <c r="E4219" s="212">
        <v>158.13</v>
      </c>
    </row>
    <row r="4220" spans="1:5" ht="14.25">
      <c r="A4220" s="37">
        <v>21071</v>
      </c>
      <c r="B4220" s="37" t="s">
        <v>24886</v>
      </c>
      <c r="C4220" s="37" t="s">
        <v>2348</v>
      </c>
      <c r="D4220" s="37" t="s">
        <v>2351</v>
      </c>
      <c r="E4220" s="212">
        <v>241.86</v>
      </c>
    </row>
    <row r="4221" spans="1:5" ht="14.25">
      <c r="A4221" s="37">
        <v>11316</v>
      </c>
      <c r="B4221" s="37" t="s">
        <v>24887</v>
      </c>
      <c r="C4221" s="37" t="s">
        <v>2348</v>
      </c>
      <c r="D4221" s="37" t="s">
        <v>2351</v>
      </c>
      <c r="E4221" s="212">
        <v>520.92999999999995</v>
      </c>
    </row>
    <row r="4222" spans="1:5" ht="14.25">
      <c r="A4222" s="37">
        <v>6243</v>
      </c>
      <c r="B4222" s="37" t="s">
        <v>24888</v>
      </c>
      <c r="C4222" s="37" t="s">
        <v>2348</v>
      </c>
      <c r="D4222" s="37" t="s">
        <v>2351</v>
      </c>
      <c r="E4222" s="212">
        <v>600</v>
      </c>
    </row>
    <row r="4223" spans="1:5" ht="14.25">
      <c r="A4223" s="37">
        <v>6240</v>
      </c>
      <c r="B4223" s="37" t="s">
        <v>24889</v>
      </c>
      <c r="C4223" s="37" t="s">
        <v>2348</v>
      </c>
      <c r="D4223" s="37" t="s">
        <v>2351</v>
      </c>
      <c r="E4223" s="212">
        <v>794.41</v>
      </c>
    </row>
    <row r="4224" spans="1:5" ht="14.25">
      <c r="A4224" s="37">
        <v>11296</v>
      </c>
      <c r="B4224" s="37" t="s">
        <v>24890</v>
      </c>
      <c r="C4224" s="37" t="s">
        <v>2348</v>
      </c>
      <c r="D4224" s="37" t="s">
        <v>2351</v>
      </c>
      <c r="E4224" s="213">
        <v>2531.16</v>
      </c>
    </row>
    <row r="4225" spans="1:5" ht="14.25">
      <c r="A4225" s="37">
        <v>11299</v>
      </c>
      <c r="B4225" s="37" t="s">
        <v>24891</v>
      </c>
      <c r="C4225" s="37" t="s">
        <v>2348</v>
      </c>
      <c r="D4225" s="37" t="s">
        <v>2351</v>
      </c>
      <c r="E4225" s="212">
        <v>856.74</v>
      </c>
    </row>
    <row r="4226" spans="1:5" ht="14.25">
      <c r="A4226" s="37">
        <v>11688</v>
      </c>
      <c r="B4226" s="37" t="s">
        <v>24892</v>
      </c>
      <c r="C4226" s="37" t="s">
        <v>2348</v>
      </c>
      <c r="D4226" s="37" t="s">
        <v>2349</v>
      </c>
      <c r="E4226" s="212">
        <v>483.19</v>
      </c>
    </row>
    <row r="4227" spans="1:5" ht="14.25">
      <c r="A4227" s="37">
        <v>37736</v>
      </c>
      <c r="B4227" s="37" t="s">
        <v>24893</v>
      </c>
      <c r="C4227" s="37" t="s">
        <v>2348</v>
      </c>
      <c r="D4227" s="37" t="s">
        <v>2351</v>
      </c>
      <c r="E4227" s="213">
        <v>88800</v>
      </c>
    </row>
    <row r="4228" spans="1:5" ht="14.25">
      <c r="A4228" s="37">
        <v>37739</v>
      </c>
      <c r="B4228" s="37" t="s">
        <v>24894</v>
      </c>
      <c r="C4228" s="37" t="s">
        <v>2348</v>
      </c>
      <c r="D4228" s="37" t="s">
        <v>2351</v>
      </c>
      <c r="E4228" s="213">
        <v>109292.3</v>
      </c>
    </row>
    <row r="4229" spans="1:5" ht="14.25">
      <c r="A4229" s="37">
        <v>37740</v>
      </c>
      <c r="B4229" s="37" t="s">
        <v>24895</v>
      </c>
      <c r="C4229" s="37" t="s">
        <v>2348</v>
      </c>
      <c r="D4229" s="37" t="s">
        <v>2351</v>
      </c>
      <c r="E4229" s="213">
        <v>62367.88</v>
      </c>
    </row>
    <row r="4230" spans="1:5" ht="14.25">
      <c r="A4230" s="37">
        <v>37738</v>
      </c>
      <c r="B4230" s="37" t="s">
        <v>24896</v>
      </c>
      <c r="C4230" s="37" t="s">
        <v>2348</v>
      </c>
      <c r="D4230" s="37" t="s">
        <v>2351</v>
      </c>
      <c r="E4230" s="213">
        <v>74099</v>
      </c>
    </row>
    <row r="4231" spans="1:5" ht="14.25">
      <c r="A4231" s="37">
        <v>37737</v>
      </c>
      <c r="B4231" s="37" t="s">
        <v>24897</v>
      </c>
      <c r="C4231" s="37" t="s">
        <v>2348</v>
      </c>
      <c r="D4231" s="37" t="s">
        <v>2351</v>
      </c>
      <c r="E4231" s="213">
        <v>58952.5</v>
      </c>
    </row>
    <row r="4232" spans="1:5" ht="14.25">
      <c r="A4232" s="37">
        <v>25014</v>
      </c>
      <c r="B4232" s="37" t="s">
        <v>24898</v>
      </c>
      <c r="C4232" s="37" t="s">
        <v>2348</v>
      </c>
      <c r="D4232" s="37" t="s">
        <v>2351</v>
      </c>
      <c r="E4232" s="213">
        <v>123473.57</v>
      </c>
    </row>
    <row r="4233" spans="1:5" ht="14.25">
      <c r="A4233" s="37">
        <v>25013</v>
      </c>
      <c r="B4233" s="37" t="s">
        <v>24899</v>
      </c>
      <c r="C4233" s="37" t="s">
        <v>2348</v>
      </c>
      <c r="D4233" s="37" t="s">
        <v>2351</v>
      </c>
      <c r="E4233" s="213">
        <v>129413.38</v>
      </c>
    </row>
    <row r="4234" spans="1:5" ht="14.25">
      <c r="A4234" s="37">
        <v>14405</v>
      </c>
      <c r="B4234" s="37" t="s">
        <v>24900</v>
      </c>
      <c r="C4234" s="37" t="s">
        <v>2348</v>
      </c>
      <c r="D4234" s="37" t="s">
        <v>2351</v>
      </c>
      <c r="E4234" s="213">
        <v>151910.35999999999</v>
      </c>
    </row>
    <row r="4235" spans="1:5" ht="14.25">
      <c r="A4235" s="37">
        <v>20271</v>
      </c>
      <c r="B4235" s="37" t="s">
        <v>24901</v>
      </c>
      <c r="C4235" s="37" t="s">
        <v>2348</v>
      </c>
      <c r="D4235" s="37" t="s">
        <v>2349</v>
      </c>
      <c r="E4235" s="212">
        <v>417.11</v>
      </c>
    </row>
    <row r="4236" spans="1:5" ht="14.25">
      <c r="A4236" s="37">
        <v>10423</v>
      </c>
      <c r="B4236" s="37" t="s">
        <v>24902</v>
      </c>
      <c r="C4236" s="37" t="s">
        <v>2348</v>
      </c>
      <c r="D4236" s="37" t="s">
        <v>2349</v>
      </c>
      <c r="E4236" s="212">
        <v>306.26</v>
      </c>
    </row>
    <row r="4237" spans="1:5" ht="14.25">
      <c r="A4237" s="37">
        <v>36790</v>
      </c>
      <c r="B4237" s="37" t="s">
        <v>24903</v>
      </c>
      <c r="C4237" s="37" t="s">
        <v>2348</v>
      </c>
      <c r="D4237" s="37" t="s">
        <v>2349</v>
      </c>
      <c r="E4237" s="212">
        <v>203.26</v>
      </c>
    </row>
    <row r="4238" spans="1:5" ht="14.25">
      <c r="A4238" s="37">
        <v>37589</v>
      </c>
      <c r="B4238" s="37" t="s">
        <v>24904</v>
      </c>
      <c r="C4238" s="37" t="s">
        <v>2348</v>
      </c>
      <c r="D4238" s="37" t="s">
        <v>2349</v>
      </c>
      <c r="E4238" s="212">
        <v>249.04</v>
      </c>
    </row>
    <row r="4239" spans="1:5" ht="14.25">
      <c r="A4239" s="37">
        <v>11690</v>
      </c>
      <c r="B4239" s="37" t="s">
        <v>24905</v>
      </c>
      <c r="C4239" s="37" t="s">
        <v>2348</v>
      </c>
      <c r="D4239" s="37" t="s">
        <v>2349</v>
      </c>
      <c r="E4239" s="212">
        <v>132.30000000000001</v>
      </c>
    </row>
    <row r="4240" spans="1:5" ht="14.25">
      <c r="A4240" s="37">
        <v>20234</v>
      </c>
      <c r="B4240" s="37" t="s">
        <v>24906</v>
      </c>
      <c r="C4240" s="37" t="s">
        <v>2348</v>
      </c>
      <c r="D4240" s="37" t="s">
        <v>2349</v>
      </c>
      <c r="E4240" s="212">
        <v>167.42</v>
      </c>
    </row>
    <row r="4241" spans="1:5" ht="14.25">
      <c r="A4241" s="37">
        <v>4763</v>
      </c>
      <c r="B4241" s="37" t="s">
        <v>24907</v>
      </c>
      <c r="C4241" s="37" t="s">
        <v>2352</v>
      </c>
      <c r="D4241" s="37" t="s">
        <v>2349</v>
      </c>
      <c r="E4241" s="212">
        <v>23.14</v>
      </c>
    </row>
    <row r="4242" spans="1:5" ht="14.25">
      <c r="A4242" s="37">
        <v>41070</v>
      </c>
      <c r="B4242" s="37" t="s">
        <v>24908</v>
      </c>
      <c r="C4242" s="37" t="s">
        <v>2369</v>
      </c>
      <c r="D4242" s="37" t="s">
        <v>2349</v>
      </c>
      <c r="E4242" s="213">
        <v>4071.55</v>
      </c>
    </row>
    <row r="4243" spans="1:5" ht="14.25">
      <c r="A4243" s="37">
        <v>44480</v>
      </c>
      <c r="B4243" s="37" t="s">
        <v>28114</v>
      </c>
      <c r="C4243" s="37" t="s">
        <v>28760</v>
      </c>
      <c r="D4243" s="37" t="s">
        <v>2349</v>
      </c>
      <c r="E4243" s="212">
        <v>19.11</v>
      </c>
    </row>
    <row r="4244" spans="1:5" ht="14.25">
      <c r="A4244" s="37">
        <v>11457</v>
      </c>
      <c r="B4244" s="37" t="s">
        <v>24909</v>
      </c>
      <c r="C4244" s="37" t="s">
        <v>2348</v>
      </c>
      <c r="D4244" s="37" t="s">
        <v>2349</v>
      </c>
      <c r="E4244" s="212">
        <v>40.98</v>
      </c>
    </row>
    <row r="4245" spans="1:5" ht="14.25">
      <c r="A4245" s="37">
        <v>44073</v>
      </c>
      <c r="B4245" s="37" t="s">
        <v>28115</v>
      </c>
      <c r="C4245" s="37" t="s">
        <v>2355</v>
      </c>
      <c r="D4245" s="37" t="s">
        <v>2349</v>
      </c>
      <c r="E4245" s="212">
        <v>0.55000000000000004</v>
      </c>
    </row>
    <row r="4246" spans="1:5" ht="14.25">
      <c r="A4246" s="37">
        <v>21121</v>
      </c>
      <c r="B4246" s="37" t="s">
        <v>24910</v>
      </c>
      <c r="C4246" s="37" t="s">
        <v>2348</v>
      </c>
      <c r="D4246" s="37" t="s">
        <v>2349</v>
      </c>
      <c r="E4246" s="212">
        <v>4.3499999999999996</v>
      </c>
    </row>
    <row r="4247" spans="1:5" ht="14.25">
      <c r="A4247" s="37">
        <v>38010</v>
      </c>
      <c r="B4247" s="37" t="s">
        <v>24911</v>
      </c>
      <c r="C4247" s="37" t="s">
        <v>2348</v>
      </c>
      <c r="D4247" s="37" t="s">
        <v>2349</v>
      </c>
      <c r="E4247" s="212">
        <v>7.12</v>
      </c>
    </row>
    <row r="4248" spans="1:5" ht="14.25">
      <c r="A4248" s="37">
        <v>38011</v>
      </c>
      <c r="B4248" s="37" t="s">
        <v>24912</v>
      </c>
      <c r="C4248" s="37" t="s">
        <v>2348</v>
      </c>
      <c r="D4248" s="37" t="s">
        <v>2349</v>
      </c>
      <c r="E4248" s="212">
        <v>13.14</v>
      </c>
    </row>
    <row r="4249" spans="1:5" ht="14.25">
      <c r="A4249" s="37">
        <v>38012</v>
      </c>
      <c r="B4249" s="37" t="s">
        <v>24913</v>
      </c>
      <c r="C4249" s="37" t="s">
        <v>2348</v>
      </c>
      <c r="D4249" s="37" t="s">
        <v>2349</v>
      </c>
      <c r="E4249" s="212">
        <v>44.9</v>
      </c>
    </row>
    <row r="4250" spans="1:5" ht="14.25">
      <c r="A4250" s="37">
        <v>38013</v>
      </c>
      <c r="B4250" s="37" t="s">
        <v>24914</v>
      </c>
      <c r="C4250" s="37" t="s">
        <v>2348</v>
      </c>
      <c r="D4250" s="37" t="s">
        <v>2349</v>
      </c>
      <c r="E4250" s="212">
        <v>58.29</v>
      </c>
    </row>
    <row r="4251" spans="1:5" ht="14.25">
      <c r="A4251" s="37">
        <v>38014</v>
      </c>
      <c r="B4251" s="37" t="s">
        <v>24915</v>
      </c>
      <c r="C4251" s="37" t="s">
        <v>2348</v>
      </c>
      <c r="D4251" s="37" t="s">
        <v>2349</v>
      </c>
      <c r="E4251" s="212">
        <v>94.85</v>
      </c>
    </row>
    <row r="4252" spans="1:5" ht="14.25">
      <c r="A4252" s="37">
        <v>38015</v>
      </c>
      <c r="B4252" s="37" t="s">
        <v>24916</v>
      </c>
      <c r="C4252" s="37" t="s">
        <v>2348</v>
      </c>
      <c r="D4252" s="37" t="s">
        <v>2349</v>
      </c>
      <c r="E4252" s="212">
        <v>229.05</v>
      </c>
    </row>
    <row r="4253" spans="1:5" ht="14.25">
      <c r="A4253" s="37">
        <v>38016</v>
      </c>
      <c r="B4253" s="37" t="s">
        <v>24917</v>
      </c>
      <c r="C4253" s="37" t="s">
        <v>2348</v>
      </c>
      <c r="D4253" s="37" t="s">
        <v>2349</v>
      </c>
      <c r="E4253" s="212">
        <v>278.69</v>
      </c>
    </row>
    <row r="4254" spans="1:5" ht="14.25">
      <c r="A4254" s="37">
        <v>12741</v>
      </c>
      <c r="B4254" s="37" t="s">
        <v>24918</v>
      </c>
      <c r="C4254" s="37" t="s">
        <v>2348</v>
      </c>
      <c r="D4254" s="37" t="s">
        <v>2351</v>
      </c>
      <c r="E4254" s="213">
        <v>1619.82</v>
      </c>
    </row>
    <row r="4255" spans="1:5" ht="14.25">
      <c r="A4255" s="37">
        <v>12733</v>
      </c>
      <c r="B4255" s="37" t="s">
        <v>24919</v>
      </c>
      <c r="C4255" s="37" t="s">
        <v>2348</v>
      </c>
      <c r="D4255" s="37" t="s">
        <v>2351</v>
      </c>
      <c r="E4255" s="212">
        <v>8.15</v>
      </c>
    </row>
    <row r="4256" spans="1:5" ht="14.25">
      <c r="A4256" s="37">
        <v>12734</v>
      </c>
      <c r="B4256" s="37" t="s">
        <v>24920</v>
      </c>
      <c r="C4256" s="37" t="s">
        <v>2348</v>
      </c>
      <c r="D4256" s="37" t="s">
        <v>2351</v>
      </c>
      <c r="E4256" s="212">
        <v>17.37</v>
      </c>
    </row>
    <row r="4257" spans="1:5" ht="14.25">
      <c r="A4257" s="37">
        <v>12735</v>
      </c>
      <c r="B4257" s="37" t="s">
        <v>24921</v>
      </c>
      <c r="C4257" s="37" t="s">
        <v>2348</v>
      </c>
      <c r="D4257" s="37" t="s">
        <v>2351</v>
      </c>
      <c r="E4257" s="212">
        <v>28.58</v>
      </c>
    </row>
    <row r="4258" spans="1:5" ht="14.25">
      <c r="A4258" s="37">
        <v>12736</v>
      </c>
      <c r="B4258" s="37" t="s">
        <v>24922</v>
      </c>
      <c r="C4258" s="37" t="s">
        <v>2348</v>
      </c>
      <c r="D4258" s="37" t="s">
        <v>2351</v>
      </c>
      <c r="E4258" s="212">
        <v>65.33</v>
      </c>
    </row>
    <row r="4259" spans="1:5" ht="14.25">
      <c r="A4259" s="37">
        <v>12737</v>
      </c>
      <c r="B4259" s="37" t="s">
        <v>24923</v>
      </c>
      <c r="C4259" s="37" t="s">
        <v>2348</v>
      </c>
      <c r="D4259" s="37" t="s">
        <v>2351</v>
      </c>
      <c r="E4259" s="212">
        <v>84.16</v>
      </c>
    </row>
    <row r="4260" spans="1:5" ht="14.25">
      <c r="A4260" s="37">
        <v>12738</v>
      </c>
      <c r="B4260" s="37" t="s">
        <v>24924</v>
      </c>
      <c r="C4260" s="37" t="s">
        <v>2348</v>
      </c>
      <c r="D4260" s="37" t="s">
        <v>2351</v>
      </c>
      <c r="E4260" s="212">
        <v>166.34</v>
      </c>
    </row>
    <row r="4261" spans="1:5" ht="14.25">
      <c r="A4261" s="37">
        <v>12739</v>
      </c>
      <c r="B4261" s="37" t="s">
        <v>24925</v>
      </c>
      <c r="C4261" s="37" t="s">
        <v>2348</v>
      </c>
      <c r="D4261" s="37" t="s">
        <v>2351</v>
      </c>
      <c r="E4261" s="212">
        <v>473.52</v>
      </c>
    </row>
    <row r="4262" spans="1:5" ht="14.25">
      <c r="A4262" s="37">
        <v>12740</v>
      </c>
      <c r="B4262" s="37" t="s">
        <v>24926</v>
      </c>
      <c r="C4262" s="37" t="s">
        <v>2348</v>
      </c>
      <c r="D4262" s="37" t="s">
        <v>2351</v>
      </c>
      <c r="E4262" s="212">
        <v>740.85</v>
      </c>
    </row>
    <row r="4263" spans="1:5" ht="14.25">
      <c r="A4263" s="37">
        <v>6297</v>
      </c>
      <c r="B4263" s="37" t="s">
        <v>24927</v>
      </c>
      <c r="C4263" s="37" t="s">
        <v>2348</v>
      </c>
      <c r="D4263" s="37" t="s">
        <v>2351</v>
      </c>
      <c r="E4263" s="212">
        <v>37.590000000000003</v>
      </c>
    </row>
    <row r="4264" spans="1:5" ht="14.25">
      <c r="A4264" s="37">
        <v>6296</v>
      </c>
      <c r="B4264" s="37" t="s">
        <v>24928</v>
      </c>
      <c r="C4264" s="37" t="s">
        <v>2348</v>
      </c>
      <c r="D4264" s="37" t="s">
        <v>2351</v>
      </c>
      <c r="E4264" s="212">
        <v>29.67</v>
      </c>
    </row>
    <row r="4265" spans="1:5" ht="14.25">
      <c r="A4265" s="37">
        <v>6294</v>
      </c>
      <c r="B4265" s="37" t="s">
        <v>24929</v>
      </c>
      <c r="C4265" s="37" t="s">
        <v>2348</v>
      </c>
      <c r="D4265" s="37" t="s">
        <v>2351</v>
      </c>
      <c r="E4265" s="212">
        <v>8.4600000000000009</v>
      </c>
    </row>
    <row r="4266" spans="1:5" ht="14.25">
      <c r="A4266" s="37">
        <v>6323</v>
      </c>
      <c r="B4266" s="37" t="s">
        <v>24930</v>
      </c>
      <c r="C4266" s="37" t="s">
        <v>2348</v>
      </c>
      <c r="D4266" s="37" t="s">
        <v>2351</v>
      </c>
      <c r="E4266" s="212">
        <v>19.38</v>
      </c>
    </row>
    <row r="4267" spans="1:5" ht="14.25">
      <c r="A4267" s="37">
        <v>6299</v>
      </c>
      <c r="B4267" s="37" t="s">
        <v>24931</v>
      </c>
      <c r="C4267" s="37" t="s">
        <v>2348</v>
      </c>
      <c r="D4267" s="37" t="s">
        <v>2351</v>
      </c>
      <c r="E4267" s="212">
        <v>113.05</v>
      </c>
    </row>
    <row r="4268" spans="1:5" ht="14.25">
      <c r="A4268" s="37">
        <v>6298</v>
      </c>
      <c r="B4268" s="37" t="s">
        <v>24932</v>
      </c>
      <c r="C4268" s="37" t="s">
        <v>2348</v>
      </c>
      <c r="D4268" s="37" t="s">
        <v>2351</v>
      </c>
      <c r="E4268" s="212">
        <v>59.54</v>
      </c>
    </row>
    <row r="4269" spans="1:5" ht="14.25">
      <c r="A4269" s="37">
        <v>6295</v>
      </c>
      <c r="B4269" s="37" t="s">
        <v>24933</v>
      </c>
      <c r="C4269" s="37" t="s">
        <v>2348</v>
      </c>
      <c r="D4269" s="37" t="s">
        <v>2351</v>
      </c>
      <c r="E4269" s="212">
        <v>12.04</v>
      </c>
    </row>
    <row r="4270" spans="1:5" ht="14.25">
      <c r="A4270" s="37">
        <v>6322</v>
      </c>
      <c r="B4270" s="37" t="s">
        <v>24934</v>
      </c>
      <c r="C4270" s="37" t="s">
        <v>2348</v>
      </c>
      <c r="D4270" s="37" t="s">
        <v>2351</v>
      </c>
      <c r="E4270" s="212">
        <v>151.41</v>
      </c>
    </row>
    <row r="4271" spans="1:5" ht="14.25">
      <c r="A4271" s="37">
        <v>6300</v>
      </c>
      <c r="B4271" s="37" t="s">
        <v>24935</v>
      </c>
      <c r="C4271" s="37" t="s">
        <v>2348</v>
      </c>
      <c r="D4271" s="37" t="s">
        <v>2351</v>
      </c>
      <c r="E4271" s="212">
        <v>279.14999999999998</v>
      </c>
    </row>
    <row r="4272" spans="1:5" ht="14.25">
      <c r="A4272" s="37">
        <v>6321</v>
      </c>
      <c r="B4272" s="37" t="s">
        <v>24936</v>
      </c>
      <c r="C4272" s="37" t="s">
        <v>2348</v>
      </c>
      <c r="D4272" s="37" t="s">
        <v>2351</v>
      </c>
      <c r="E4272" s="212">
        <v>398.75</v>
      </c>
    </row>
    <row r="4273" spans="1:5" ht="14.25">
      <c r="A4273" s="37">
        <v>6301</v>
      </c>
      <c r="B4273" s="37" t="s">
        <v>24937</v>
      </c>
      <c r="C4273" s="37" t="s">
        <v>2348</v>
      </c>
      <c r="D4273" s="37" t="s">
        <v>2351</v>
      </c>
      <c r="E4273" s="212">
        <v>934.62</v>
      </c>
    </row>
    <row r="4274" spans="1:5" ht="14.25">
      <c r="A4274" s="37">
        <v>7105</v>
      </c>
      <c r="B4274" s="37" t="s">
        <v>24938</v>
      </c>
      <c r="C4274" s="37" t="s">
        <v>2348</v>
      </c>
      <c r="D4274" s="37" t="s">
        <v>2349</v>
      </c>
      <c r="E4274" s="212">
        <v>61.52</v>
      </c>
    </row>
    <row r="4275" spans="1:5" ht="14.25">
      <c r="A4275" s="37">
        <v>20183</v>
      </c>
      <c r="B4275" s="37" t="s">
        <v>24939</v>
      </c>
      <c r="C4275" s="37" t="s">
        <v>2348</v>
      </c>
      <c r="D4275" s="37" t="s">
        <v>2349</v>
      </c>
      <c r="E4275" s="212">
        <v>81</v>
      </c>
    </row>
    <row r="4276" spans="1:5" ht="14.25">
      <c r="A4276" s="37">
        <v>38448</v>
      </c>
      <c r="B4276" s="37" t="s">
        <v>24940</v>
      </c>
      <c r="C4276" s="37" t="s">
        <v>2348</v>
      </c>
      <c r="D4276" s="37" t="s">
        <v>2349</v>
      </c>
      <c r="E4276" s="212">
        <v>380.58</v>
      </c>
    </row>
    <row r="4277" spans="1:5" ht="14.25">
      <c r="A4277" s="37">
        <v>20182</v>
      </c>
      <c r="B4277" s="37" t="s">
        <v>24941</v>
      </c>
      <c r="C4277" s="37" t="s">
        <v>2348</v>
      </c>
      <c r="D4277" s="37" t="s">
        <v>2349</v>
      </c>
      <c r="E4277" s="212">
        <v>46.24</v>
      </c>
    </row>
    <row r="4278" spans="1:5" ht="14.25">
      <c r="A4278" s="37">
        <v>7119</v>
      </c>
      <c r="B4278" s="37" t="s">
        <v>24942</v>
      </c>
      <c r="C4278" s="37" t="s">
        <v>2348</v>
      </c>
      <c r="D4278" s="37" t="s">
        <v>2349</v>
      </c>
      <c r="E4278" s="212">
        <v>15.54</v>
      </c>
    </row>
    <row r="4279" spans="1:5" ht="14.25">
      <c r="A4279" s="37">
        <v>7120</v>
      </c>
      <c r="B4279" s="37" t="s">
        <v>24943</v>
      </c>
      <c r="C4279" s="37" t="s">
        <v>2348</v>
      </c>
      <c r="D4279" s="37" t="s">
        <v>2349</v>
      </c>
      <c r="E4279" s="212">
        <v>10.66</v>
      </c>
    </row>
    <row r="4280" spans="1:5" ht="14.25">
      <c r="A4280" s="37">
        <v>6319</v>
      </c>
      <c r="B4280" s="37" t="s">
        <v>24944</v>
      </c>
      <c r="C4280" s="37" t="s">
        <v>2348</v>
      </c>
      <c r="D4280" s="37" t="s">
        <v>2351</v>
      </c>
      <c r="E4280" s="212">
        <v>44.16</v>
      </c>
    </row>
    <row r="4281" spans="1:5" ht="14.25">
      <c r="A4281" s="37">
        <v>6304</v>
      </c>
      <c r="B4281" s="37" t="s">
        <v>24945</v>
      </c>
      <c r="C4281" s="37" t="s">
        <v>2348</v>
      </c>
      <c r="D4281" s="37" t="s">
        <v>2351</v>
      </c>
      <c r="E4281" s="212">
        <v>44.16</v>
      </c>
    </row>
    <row r="4282" spans="1:5" ht="14.25">
      <c r="A4282" s="37">
        <v>21116</v>
      </c>
      <c r="B4282" s="37" t="s">
        <v>24946</v>
      </c>
      <c r="C4282" s="37" t="s">
        <v>2348</v>
      </c>
      <c r="D4282" s="37" t="s">
        <v>2351</v>
      </c>
      <c r="E4282" s="212">
        <v>33.44</v>
      </c>
    </row>
    <row r="4283" spans="1:5" ht="14.25">
      <c r="A4283" s="37">
        <v>6320</v>
      </c>
      <c r="B4283" s="37" t="s">
        <v>24947</v>
      </c>
      <c r="C4283" s="37" t="s">
        <v>2348</v>
      </c>
      <c r="D4283" s="37" t="s">
        <v>2351</v>
      </c>
      <c r="E4283" s="212">
        <v>22.74</v>
      </c>
    </row>
    <row r="4284" spans="1:5" ht="14.25">
      <c r="A4284" s="37">
        <v>6303</v>
      </c>
      <c r="B4284" s="37" t="s">
        <v>24948</v>
      </c>
      <c r="C4284" s="37" t="s">
        <v>2348</v>
      </c>
      <c r="D4284" s="37" t="s">
        <v>2351</v>
      </c>
      <c r="E4284" s="212">
        <v>22.74</v>
      </c>
    </row>
    <row r="4285" spans="1:5" ht="14.25">
      <c r="A4285" s="37">
        <v>6308</v>
      </c>
      <c r="B4285" s="37" t="s">
        <v>24949</v>
      </c>
      <c r="C4285" s="37" t="s">
        <v>2348</v>
      </c>
      <c r="D4285" s="37" t="s">
        <v>2351</v>
      </c>
      <c r="E4285" s="212">
        <v>122.19</v>
      </c>
    </row>
    <row r="4286" spans="1:5" ht="14.25">
      <c r="A4286" s="37">
        <v>6317</v>
      </c>
      <c r="B4286" s="37" t="s">
        <v>24950</v>
      </c>
      <c r="C4286" s="37" t="s">
        <v>2348</v>
      </c>
      <c r="D4286" s="37" t="s">
        <v>2351</v>
      </c>
      <c r="E4286" s="212">
        <v>122.19</v>
      </c>
    </row>
    <row r="4287" spans="1:5" ht="14.25">
      <c r="A4287" s="37">
        <v>6307</v>
      </c>
      <c r="B4287" s="37" t="s">
        <v>24951</v>
      </c>
      <c r="C4287" s="37" t="s">
        <v>2348</v>
      </c>
      <c r="D4287" s="37" t="s">
        <v>2351</v>
      </c>
      <c r="E4287" s="212">
        <v>122.19</v>
      </c>
    </row>
    <row r="4288" spans="1:5" ht="14.25">
      <c r="A4288" s="37">
        <v>6309</v>
      </c>
      <c r="B4288" s="37" t="s">
        <v>24952</v>
      </c>
      <c r="C4288" s="37" t="s">
        <v>2348</v>
      </c>
      <c r="D4288" s="37" t="s">
        <v>2351</v>
      </c>
      <c r="E4288" s="212">
        <v>125.74</v>
      </c>
    </row>
    <row r="4289" spans="1:5" ht="14.25">
      <c r="A4289" s="37">
        <v>6318</v>
      </c>
      <c r="B4289" s="37" t="s">
        <v>24953</v>
      </c>
      <c r="C4289" s="37" t="s">
        <v>2348</v>
      </c>
      <c r="D4289" s="37" t="s">
        <v>2351</v>
      </c>
      <c r="E4289" s="212">
        <v>65.91</v>
      </c>
    </row>
    <row r="4290" spans="1:5" ht="14.25">
      <c r="A4290" s="37">
        <v>6306</v>
      </c>
      <c r="B4290" s="37" t="s">
        <v>24954</v>
      </c>
      <c r="C4290" s="37" t="s">
        <v>2348</v>
      </c>
      <c r="D4290" s="37" t="s">
        <v>2351</v>
      </c>
      <c r="E4290" s="212">
        <v>65.91</v>
      </c>
    </row>
    <row r="4291" spans="1:5" ht="14.25">
      <c r="A4291" s="37">
        <v>6305</v>
      </c>
      <c r="B4291" s="37" t="s">
        <v>24955</v>
      </c>
      <c r="C4291" s="37" t="s">
        <v>2348</v>
      </c>
      <c r="D4291" s="37" t="s">
        <v>2351</v>
      </c>
      <c r="E4291" s="212">
        <v>65.91</v>
      </c>
    </row>
    <row r="4292" spans="1:5" ht="14.25">
      <c r="A4292" s="37">
        <v>6302</v>
      </c>
      <c r="B4292" s="37" t="s">
        <v>24956</v>
      </c>
      <c r="C4292" s="37" t="s">
        <v>2348</v>
      </c>
      <c r="D4292" s="37" t="s">
        <v>2351</v>
      </c>
      <c r="E4292" s="212">
        <v>13.98</v>
      </c>
    </row>
    <row r="4293" spans="1:5" ht="14.25">
      <c r="A4293" s="37">
        <v>6312</v>
      </c>
      <c r="B4293" s="37" t="s">
        <v>24957</v>
      </c>
      <c r="C4293" s="37" t="s">
        <v>2348</v>
      </c>
      <c r="D4293" s="37" t="s">
        <v>2351</v>
      </c>
      <c r="E4293" s="212">
        <v>175.76</v>
      </c>
    </row>
    <row r="4294" spans="1:5" ht="14.25">
      <c r="A4294" s="37">
        <v>6311</v>
      </c>
      <c r="B4294" s="37" t="s">
        <v>24958</v>
      </c>
      <c r="C4294" s="37" t="s">
        <v>2348</v>
      </c>
      <c r="D4294" s="37" t="s">
        <v>2351</v>
      </c>
      <c r="E4294" s="212">
        <v>175.76</v>
      </c>
    </row>
    <row r="4295" spans="1:5" ht="14.25">
      <c r="A4295" s="37">
        <v>6310</v>
      </c>
      <c r="B4295" s="37" t="s">
        <v>24959</v>
      </c>
      <c r="C4295" s="37" t="s">
        <v>2348</v>
      </c>
      <c r="D4295" s="37" t="s">
        <v>2351</v>
      </c>
      <c r="E4295" s="212">
        <v>175.76</v>
      </c>
    </row>
    <row r="4296" spans="1:5" ht="14.25">
      <c r="A4296" s="37">
        <v>6314</v>
      </c>
      <c r="B4296" s="37" t="s">
        <v>24960</v>
      </c>
      <c r="C4296" s="37" t="s">
        <v>2348</v>
      </c>
      <c r="D4296" s="37" t="s">
        <v>2351</v>
      </c>
      <c r="E4296" s="212">
        <v>175.76</v>
      </c>
    </row>
    <row r="4297" spans="1:5" ht="14.25">
      <c r="A4297" s="37">
        <v>6313</v>
      </c>
      <c r="B4297" s="37" t="s">
        <v>24961</v>
      </c>
      <c r="C4297" s="37" t="s">
        <v>2348</v>
      </c>
      <c r="D4297" s="37" t="s">
        <v>2351</v>
      </c>
      <c r="E4297" s="212">
        <v>175.76</v>
      </c>
    </row>
    <row r="4298" spans="1:5" ht="14.25">
      <c r="A4298" s="37">
        <v>6315</v>
      </c>
      <c r="B4298" s="37" t="s">
        <v>24962</v>
      </c>
      <c r="C4298" s="37" t="s">
        <v>2348</v>
      </c>
      <c r="D4298" s="37" t="s">
        <v>2351</v>
      </c>
      <c r="E4298" s="212">
        <v>332.79</v>
      </c>
    </row>
    <row r="4299" spans="1:5" ht="14.25">
      <c r="A4299" s="37">
        <v>6316</v>
      </c>
      <c r="B4299" s="37" t="s">
        <v>24963</v>
      </c>
      <c r="C4299" s="37" t="s">
        <v>2348</v>
      </c>
      <c r="D4299" s="37" t="s">
        <v>2351</v>
      </c>
      <c r="E4299" s="212">
        <v>332.79</v>
      </c>
    </row>
    <row r="4300" spans="1:5" ht="14.25">
      <c r="A4300" s="37">
        <v>38878</v>
      </c>
      <c r="B4300" s="37" t="s">
        <v>24964</v>
      </c>
      <c r="C4300" s="37" t="s">
        <v>2348</v>
      </c>
      <c r="D4300" s="37" t="s">
        <v>2351</v>
      </c>
      <c r="E4300" s="212">
        <v>20.93</v>
      </c>
    </row>
    <row r="4301" spans="1:5" ht="14.25">
      <c r="A4301" s="37">
        <v>38879</v>
      </c>
      <c r="B4301" s="37" t="s">
        <v>24965</v>
      </c>
      <c r="C4301" s="37" t="s">
        <v>2348</v>
      </c>
      <c r="D4301" s="37" t="s">
        <v>2351</v>
      </c>
      <c r="E4301" s="212">
        <v>39.24</v>
      </c>
    </row>
    <row r="4302" spans="1:5" ht="14.25">
      <c r="A4302" s="37">
        <v>38881</v>
      </c>
      <c r="B4302" s="37" t="s">
        <v>24966</v>
      </c>
      <c r="C4302" s="37" t="s">
        <v>2348</v>
      </c>
      <c r="D4302" s="37" t="s">
        <v>2351</v>
      </c>
      <c r="E4302" s="212">
        <v>20.53</v>
      </c>
    </row>
    <row r="4303" spans="1:5" ht="14.25">
      <c r="A4303" s="37">
        <v>38880</v>
      </c>
      <c r="B4303" s="37" t="s">
        <v>24967</v>
      </c>
      <c r="C4303" s="37" t="s">
        <v>2348</v>
      </c>
      <c r="D4303" s="37" t="s">
        <v>2351</v>
      </c>
      <c r="E4303" s="212">
        <v>21.52</v>
      </c>
    </row>
    <row r="4304" spans="1:5" ht="14.25">
      <c r="A4304" s="37">
        <v>38882</v>
      </c>
      <c r="B4304" s="37" t="s">
        <v>24968</v>
      </c>
      <c r="C4304" s="37" t="s">
        <v>2348</v>
      </c>
      <c r="D4304" s="37" t="s">
        <v>2351</v>
      </c>
      <c r="E4304" s="212">
        <v>22.29</v>
      </c>
    </row>
    <row r="4305" spans="1:5" ht="14.25">
      <c r="A4305" s="37">
        <v>38883</v>
      </c>
      <c r="B4305" s="37" t="s">
        <v>24969</v>
      </c>
      <c r="C4305" s="37" t="s">
        <v>2348</v>
      </c>
      <c r="D4305" s="37" t="s">
        <v>2351</v>
      </c>
      <c r="E4305" s="212">
        <v>32.96</v>
      </c>
    </row>
    <row r="4306" spans="1:5" ht="14.25">
      <c r="A4306" s="37">
        <v>38884</v>
      </c>
      <c r="B4306" s="37" t="s">
        <v>24970</v>
      </c>
      <c r="C4306" s="37" t="s">
        <v>2348</v>
      </c>
      <c r="D4306" s="37" t="s">
        <v>2351</v>
      </c>
      <c r="E4306" s="212">
        <v>35.78</v>
      </c>
    </row>
    <row r="4307" spans="1:5" ht="14.25">
      <c r="A4307" s="37">
        <v>38885</v>
      </c>
      <c r="B4307" s="37" t="s">
        <v>24971</v>
      </c>
      <c r="C4307" s="37" t="s">
        <v>2348</v>
      </c>
      <c r="D4307" s="37" t="s">
        <v>2351</v>
      </c>
      <c r="E4307" s="212">
        <v>34.61</v>
      </c>
    </row>
    <row r="4308" spans="1:5" ht="14.25">
      <c r="A4308" s="37">
        <v>38886</v>
      </c>
      <c r="B4308" s="37" t="s">
        <v>24972</v>
      </c>
      <c r="C4308" s="37" t="s">
        <v>2348</v>
      </c>
      <c r="D4308" s="37" t="s">
        <v>2351</v>
      </c>
      <c r="E4308" s="212">
        <v>37.36</v>
      </c>
    </row>
    <row r="4309" spans="1:5" ht="14.25">
      <c r="A4309" s="37">
        <v>38887</v>
      </c>
      <c r="B4309" s="37" t="s">
        <v>24973</v>
      </c>
      <c r="C4309" s="37" t="s">
        <v>2348</v>
      </c>
      <c r="D4309" s="37" t="s">
        <v>2351</v>
      </c>
      <c r="E4309" s="212">
        <v>33.549999999999997</v>
      </c>
    </row>
    <row r="4310" spans="1:5" ht="14.25">
      <c r="A4310" s="37">
        <v>38888</v>
      </c>
      <c r="B4310" s="37" t="s">
        <v>24974</v>
      </c>
      <c r="C4310" s="37" t="s">
        <v>2348</v>
      </c>
      <c r="D4310" s="37" t="s">
        <v>2351</v>
      </c>
      <c r="E4310" s="212">
        <v>39.89</v>
      </c>
    </row>
    <row r="4311" spans="1:5" ht="14.25">
      <c r="A4311" s="37">
        <v>38890</v>
      </c>
      <c r="B4311" s="37" t="s">
        <v>24975</v>
      </c>
      <c r="C4311" s="37" t="s">
        <v>2348</v>
      </c>
      <c r="D4311" s="37" t="s">
        <v>2351</v>
      </c>
      <c r="E4311" s="212">
        <v>59.29</v>
      </c>
    </row>
    <row r="4312" spans="1:5" ht="14.25">
      <c r="A4312" s="37">
        <v>38893</v>
      </c>
      <c r="B4312" s="37" t="s">
        <v>24976</v>
      </c>
      <c r="C4312" s="37" t="s">
        <v>2348</v>
      </c>
      <c r="D4312" s="37" t="s">
        <v>2351</v>
      </c>
      <c r="E4312" s="212">
        <v>47.68</v>
      </c>
    </row>
    <row r="4313" spans="1:5" ht="14.25">
      <c r="A4313" s="37">
        <v>38894</v>
      </c>
      <c r="B4313" s="37" t="s">
        <v>24977</v>
      </c>
      <c r="C4313" s="37" t="s">
        <v>2348</v>
      </c>
      <c r="D4313" s="37" t="s">
        <v>2351</v>
      </c>
      <c r="E4313" s="212">
        <v>60.55</v>
      </c>
    </row>
    <row r="4314" spans="1:5" ht="14.25">
      <c r="A4314" s="37">
        <v>38896</v>
      </c>
      <c r="B4314" s="37" t="s">
        <v>24978</v>
      </c>
      <c r="C4314" s="37" t="s">
        <v>2348</v>
      </c>
      <c r="D4314" s="37" t="s">
        <v>2351</v>
      </c>
      <c r="E4314" s="212">
        <v>61.75</v>
      </c>
    </row>
    <row r="4315" spans="1:5" ht="14.25">
      <c r="A4315" s="37">
        <v>39324</v>
      </c>
      <c r="B4315" s="37" t="s">
        <v>24979</v>
      </c>
      <c r="C4315" s="37" t="s">
        <v>2348</v>
      </c>
      <c r="D4315" s="37" t="s">
        <v>2349</v>
      </c>
      <c r="E4315" s="212">
        <v>9.65</v>
      </c>
    </row>
    <row r="4316" spans="1:5" ht="14.25">
      <c r="A4316" s="37">
        <v>39325</v>
      </c>
      <c r="B4316" s="37" t="s">
        <v>24980</v>
      </c>
      <c r="C4316" s="37" t="s">
        <v>2348</v>
      </c>
      <c r="D4316" s="37" t="s">
        <v>2349</v>
      </c>
      <c r="E4316" s="212">
        <v>14.61</v>
      </c>
    </row>
    <row r="4317" spans="1:5" ht="14.25">
      <c r="A4317" s="37">
        <v>39326</v>
      </c>
      <c r="B4317" s="37" t="s">
        <v>24981</v>
      </c>
      <c r="C4317" s="37" t="s">
        <v>2348</v>
      </c>
      <c r="D4317" s="37" t="s">
        <v>2349</v>
      </c>
      <c r="E4317" s="212">
        <v>37.619999999999997</v>
      </c>
    </row>
    <row r="4318" spans="1:5" ht="14.25">
      <c r="A4318" s="37">
        <v>39327</v>
      </c>
      <c r="B4318" s="37" t="s">
        <v>24982</v>
      </c>
      <c r="C4318" s="37" t="s">
        <v>2348</v>
      </c>
      <c r="D4318" s="37" t="s">
        <v>2349</v>
      </c>
      <c r="E4318" s="212">
        <v>56.99</v>
      </c>
    </row>
    <row r="4319" spans="1:5" ht="14.25">
      <c r="A4319" s="37">
        <v>20176</v>
      </c>
      <c r="B4319" s="37" t="s">
        <v>24983</v>
      </c>
      <c r="C4319" s="37" t="s">
        <v>2348</v>
      </c>
      <c r="D4319" s="37" t="s">
        <v>2349</v>
      </c>
      <c r="E4319" s="212">
        <v>69.8</v>
      </c>
    </row>
    <row r="4320" spans="1:5" ht="14.25">
      <c r="A4320" s="37">
        <v>11378</v>
      </c>
      <c r="B4320" s="37" t="s">
        <v>24984</v>
      </c>
      <c r="C4320" s="37" t="s">
        <v>2348</v>
      </c>
      <c r="D4320" s="37" t="s">
        <v>2351</v>
      </c>
      <c r="E4320" s="212">
        <v>118.73</v>
      </c>
    </row>
    <row r="4321" spans="1:5" ht="14.25">
      <c r="A4321" s="37">
        <v>11379</v>
      </c>
      <c r="B4321" s="37" t="s">
        <v>24985</v>
      </c>
      <c r="C4321" s="37" t="s">
        <v>2348</v>
      </c>
      <c r="D4321" s="37" t="s">
        <v>2351</v>
      </c>
      <c r="E4321" s="212">
        <v>100.33</v>
      </c>
    </row>
    <row r="4322" spans="1:5" ht="14.25">
      <c r="A4322" s="37">
        <v>11493</v>
      </c>
      <c r="B4322" s="37" t="s">
        <v>24986</v>
      </c>
      <c r="C4322" s="37" t="s">
        <v>2348</v>
      </c>
      <c r="D4322" s="37" t="s">
        <v>2351</v>
      </c>
      <c r="E4322" s="212">
        <v>57.87</v>
      </c>
    </row>
    <row r="4323" spans="1:5" ht="14.25">
      <c r="A4323" s="37">
        <v>42717</v>
      </c>
      <c r="B4323" s="37" t="s">
        <v>24987</v>
      </c>
      <c r="C4323" s="37" t="s">
        <v>2348</v>
      </c>
      <c r="D4323" s="37" t="s">
        <v>2351</v>
      </c>
      <c r="E4323" s="212">
        <v>708.04</v>
      </c>
    </row>
    <row r="4324" spans="1:5" ht="14.25">
      <c r="A4324" s="37">
        <v>42718</v>
      </c>
      <c r="B4324" s="37" t="s">
        <v>24988</v>
      </c>
      <c r="C4324" s="37" t="s">
        <v>2348</v>
      </c>
      <c r="D4324" s="37" t="s">
        <v>2351</v>
      </c>
      <c r="E4324" s="212">
        <v>786.07</v>
      </c>
    </row>
    <row r="4325" spans="1:5" ht="14.25">
      <c r="A4325" s="37">
        <v>7106</v>
      </c>
      <c r="B4325" s="37" t="s">
        <v>24989</v>
      </c>
      <c r="C4325" s="37" t="s">
        <v>2348</v>
      </c>
      <c r="D4325" s="37" t="s">
        <v>2349</v>
      </c>
      <c r="E4325" s="212">
        <v>252.76</v>
      </c>
    </row>
    <row r="4326" spans="1:5" ht="14.25">
      <c r="A4326" s="37">
        <v>7104</v>
      </c>
      <c r="B4326" s="37" t="s">
        <v>24990</v>
      </c>
      <c r="C4326" s="37" t="s">
        <v>2348</v>
      </c>
      <c r="D4326" s="37" t="s">
        <v>2349</v>
      </c>
      <c r="E4326" s="212">
        <v>5.27</v>
      </c>
    </row>
    <row r="4327" spans="1:5" ht="14.25">
      <c r="A4327" s="37">
        <v>7136</v>
      </c>
      <c r="B4327" s="37" t="s">
        <v>24991</v>
      </c>
      <c r="C4327" s="37" t="s">
        <v>2348</v>
      </c>
      <c r="D4327" s="37" t="s">
        <v>2349</v>
      </c>
      <c r="E4327" s="212">
        <v>9.91</v>
      </c>
    </row>
    <row r="4328" spans="1:5" ht="14.25">
      <c r="A4328" s="37">
        <v>7128</v>
      </c>
      <c r="B4328" s="37" t="s">
        <v>24992</v>
      </c>
      <c r="C4328" s="37" t="s">
        <v>2348</v>
      </c>
      <c r="D4328" s="37" t="s">
        <v>2349</v>
      </c>
      <c r="E4328" s="212">
        <v>16.23</v>
      </c>
    </row>
    <row r="4329" spans="1:5" ht="14.25">
      <c r="A4329" s="37">
        <v>7108</v>
      </c>
      <c r="B4329" s="37" t="s">
        <v>24993</v>
      </c>
      <c r="C4329" s="37" t="s">
        <v>2348</v>
      </c>
      <c r="D4329" s="37" t="s">
        <v>2349</v>
      </c>
      <c r="E4329" s="212">
        <v>17.37</v>
      </c>
    </row>
    <row r="4330" spans="1:5" ht="14.25">
      <c r="A4330" s="37">
        <v>7129</v>
      </c>
      <c r="B4330" s="37" t="s">
        <v>24994</v>
      </c>
      <c r="C4330" s="37" t="s">
        <v>2348</v>
      </c>
      <c r="D4330" s="37" t="s">
        <v>2349</v>
      </c>
      <c r="E4330" s="212">
        <v>14.44</v>
      </c>
    </row>
    <row r="4331" spans="1:5" ht="14.25">
      <c r="A4331" s="37">
        <v>7130</v>
      </c>
      <c r="B4331" s="37" t="s">
        <v>24995</v>
      </c>
      <c r="C4331" s="37" t="s">
        <v>2348</v>
      </c>
      <c r="D4331" s="37" t="s">
        <v>2349</v>
      </c>
      <c r="E4331" s="212">
        <v>23.55</v>
      </c>
    </row>
    <row r="4332" spans="1:5" ht="14.25">
      <c r="A4332" s="37">
        <v>7131</v>
      </c>
      <c r="B4332" s="37" t="s">
        <v>24996</v>
      </c>
      <c r="C4332" s="37" t="s">
        <v>2348</v>
      </c>
      <c r="D4332" s="37" t="s">
        <v>2349</v>
      </c>
      <c r="E4332" s="212">
        <v>28.89</v>
      </c>
    </row>
    <row r="4333" spans="1:5" ht="14.25">
      <c r="A4333" s="37">
        <v>7132</v>
      </c>
      <c r="B4333" s="37" t="s">
        <v>24997</v>
      </c>
      <c r="C4333" s="37" t="s">
        <v>2348</v>
      </c>
      <c r="D4333" s="37" t="s">
        <v>2349</v>
      </c>
      <c r="E4333" s="212">
        <v>80.209999999999994</v>
      </c>
    </row>
    <row r="4334" spans="1:5" ht="14.25">
      <c r="A4334" s="37">
        <v>7133</v>
      </c>
      <c r="B4334" s="37" t="s">
        <v>24998</v>
      </c>
      <c r="C4334" s="37" t="s">
        <v>2348</v>
      </c>
      <c r="D4334" s="37" t="s">
        <v>2349</v>
      </c>
      <c r="E4334" s="212">
        <v>124.58</v>
      </c>
    </row>
    <row r="4335" spans="1:5" ht="14.25">
      <c r="A4335" s="37">
        <v>37420</v>
      </c>
      <c r="B4335" s="37" t="s">
        <v>24999</v>
      </c>
      <c r="C4335" s="37" t="s">
        <v>2348</v>
      </c>
      <c r="D4335" s="37" t="s">
        <v>2351</v>
      </c>
      <c r="E4335" s="212">
        <v>43.21</v>
      </c>
    </row>
    <row r="4336" spans="1:5" ht="14.25">
      <c r="A4336" s="37">
        <v>37421</v>
      </c>
      <c r="B4336" s="37" t="s">
        <v>25000</v>
      </c>
      <c r="C4336" s="37" t="s">
        <v>2348</v>
      </c>
      <c r="D4336" s="37" t="s">
        <v>2351</v>
      </c>
      <c r="E4336" s="212">
        <v>59.06</v>
      </c>
    </row>
    <row r="4337" spans="1:5" ht="14.25">
      <c r="A4337" s="37">
        <v>37422</v>
      </c>
      <c r="B4337" s="37" t="s">
        <v>25001</v>
      </c>
      <c r="C4337" s="37" t="s">
        <v>2348</v>
      </c>
      <c r="D4337" s="37" t="s">
        <v>2351</v>
      </c>
      <c r="E4337" s="212">
        <v>55.28</v>
      </c>
    </row>
    <row r="4338" spans="1:5" ht="14.25">
      <c r="A4338" s="37">
        <v>37443</v>
      </c>
      <c r="B4338" s="37" t="s">
        <v>25002</v>
      </c>
      <c r="C4338" s="37" t="s">
        <v>2348</v>
      </c>
      <c r="D4338" s="37" t="s">
        <v>2351</v>
      </c>
      <c r="E4338" s="212">
        <v>202.45</v>
      </c>
    </row>
    <row r="4339" spans="1:5" ht="14.25">
      <c r="A4339" s="37">
        <v>37444</v>
      </c>
      <c r="B4339" s="37" t="s">
        <v>25003</v>
      </c>
      <c r="C4339" s="37" t="s">
        <v>2348</v>
      </c>
      <c r="D4339" s="37" t="s">
        <v>2351</v>
      </c>
      <c r="E4339" s="212">
        <v>205.88</v>
      </c>
    </row>
    <row r="4340" spans="1:5" ht="14.25">
      <c r="A4340" s="37">
        <v>37445</v>
      </c>
      <c r="B4340" s="37" t="s">
        <v>25004</v>
      </c>
      <c r="C4340" s="37" t="s">
        <v>2348</v>
      </c>
      <c r="D4340" s="37" t="s">
        <v>2351</v>
      </c>
      <c r="E4340" s="212">
        <v>312.06</v>
      </c>
    </row>
    <row r="4341" spans="1:5" ht="14.25">
      <c r="A4341" s="37">
        <v>37446</v>
      </c>
      <c r="B4341" s="37" t="s">
        <v>25005</v>
      </c>
      <c r="C4341" s="37" t="s">
        <v>2348</v>
      </c>
      <c r="D4341" s="37" t="s">
        <v>2351</v>
      </c>
      <c r="E4341" s="212">
        <v>340.2</v>
      </c>
    </row>
    <row r="4342" spans="1:5" ht="14.25">
      <c r="A4342" s="37">
        <v>37447</v>
      </c>
      <c r="B4342" s="37" t="s">
        <v>25006</v>
      </c>
      <c r="C4342" s="37" t="s">
        <v>2348</v>
      </c>
      <c r="D4342" s="37" t="s">
        <v>2351</v>
      </c>
      <c r="E4342" s="212">
        <v>345.52</v>
      </c>
    </row>
    <row r="4343" spans="1:5" ht="14.25">
      <c r="A4343" s="37">
        <v>37448</v>
      </c>
      <c r="B4343" s="37" t="s">
        <v>25007</v>
      </c>
      <c r="C4343" s="37" t="s">
        <v>2348</v>
      </c>
      <c r="D4343" s="37" t="s">
        <v>2351</v>
      </c>
      <c r="E4343" s="212">
        <v>473.94</v>
      </c>
    </row>
    <row r="4344" spans="1:5" ht="14.25">
      <c r="A4344" s="37">
        <v>37440</v>
      </c>
      <c r="B4344" s="37" t="s">
        <v>25008</v>
      </c>
      <c r="C4344" s="37" t="s">
        <v>2348</v>
      </c>
      <c r="D4344" s="37" t="s">
        <v>2351</v>
      </c>
      <c r="E4344" s="212">
        <v>160.69</v>
      </c>
    </row>
    <row r="4345" spans="1:5" ht="14.25">
      <c r="A4345" s="37">
        <v>37441</v>
      </c>
      <c r="B4345" s="37" t="s">
        <v>25009</v>
      </c>
      <c r="C4345" s="37" t="s">
        <v>2348</v>
      </c>
      <c r="D4345" s="37" t="s">
        <v>2351</v>
      </c>
      <c r="E4345" s="212">
        <v>160.69</v>
      </c>
    </row>
    <row r="4346" spans="1:5" ht="14.25">
      <c r="A4346" s="37">
        <v>37442</v>
      </c>
      <c r="B4346" s="37" t="s">
        <v>25010</v>
      </c>
      <c r="C4346" s="37" t="s">
        <v>2348</v>
      </c>
      <c r="D4346" s="37" t="s">
        <v>2351</v>
      </c>
      <c r="E4346" s="212">
        <v>193.54</v>
      </c>
    </row>
    <row r="4347" spans="1:5" ht="14.25">
      <c r="A4347" s="37">
        <v>38017</v>
      </c>
      <c r="B4347" s="37" t="s">
        <v>25011</v>
      </c>
      <c r="C4347" s="37" t="s">
        <v>2348</v>
      </c>
      <c r="D4347" s="37" t="s">
        <v>2349</v>
      </c>
      <c r="E4347" s="212">
        <v>13.73</v>
      </c>
    </row>
    <row r="4348" spans="1:5" ht="14.25">
      <c r="A4348" s="37">
        <v>38018</v>
      </c>
      <c r="B4348" s="37" t="s">
        <v>25012</v>
      </c>
      <c r="C4348" s="37" t="s">
        <v>2348</v>
      </c>
      <c r="D4348" s="37" t="s">
        <v>2349</v>
      </c>
      <c r="E4348" s="212">
        <v>15.15</v>
      </c>
    </row>
    <row r="4349" spans="1:5" ht="14.25">
      <c r="A4349" s="37">
        <v>39895</v>
      </c>
      <c r="B4349" s="37" t="s">
        <v>25013</v>
      </c>
      <c r="C4349" s="37" t="s">
        <v>2348</v>
      </c>
      <c r="D4349" s="37" t="s">
        <v>2351</v>
      </c>
      <c r="E4349" s="212">
        <v>58.84</v>
      </c>
    </row>
    <row r="4350" spans="1:5" ht="14.25">
      <c r="A4350" s="37">
        <v>39896</v>
      </c>
      <c r="B4350" s="37" t="s">
        <v>25014</v>
      </c>
      <c r="C4350" s="37" t="s">
        <v>2348</v>
      </c>
      <c r="D4350" s="37" t="s">
        <v>2351</v>
      </c>
      <c r="E4350" s="212">
        <v>86.24</v>
      </c>
    </row>
    <row r="4351" spans="1:5" ht="14.25">
      <c r="A4351" s="37">
        <v>38873</v>
      </c>
      <c r="B4351" s="37" t="s">
        <v>25015</v>
      </c>
      <c r="C4351" s="37" t="s">
        <v>2348</v>
      </c>
      <c r="D4351" s="37" t="s">
        <v>2351</v>
      </c>
      <c r="E4351" s="212">
        <v>18.57</v>
      </c>
    </row>
    <row r="4352" spans="1:5" ht="14.25">
      <c r="A4352" s="37">
        <v>38874</v>
      </c>
      <c r="B4352" s="37" t="s">
        <v>25016</v>
      </c>
      <c r="C4352" s="37" t="s">
        <v>2348</v>
      </c>
      <c r="D4352" s="37" t="s">
        <v>2351</v>
      </c>
      <c r="E4352" s="212">
        <v>22.58</v>
      </c>
    </row>
    <row r="4353" spans="1:5" ht="14.25">
      <c r="A4353" s="37">
        <v>38875</v>
      </c>
      <c r="B4353" s="37" t="s">
        <v>25017</v>
      </c>
      <c r="C4353" s="37" t="s">
        <v>2348</v>
      </c>
      <c r="D4353" s="37" t="s">
        <v>2351</v>
      </c>
      <c r="E4353" s="212">
        <v>39.909999999999997</v>
      </c>
    </row>
    <row r="4354" spans="1:5" ht="14.25">
      <c r="A4354" s="37">
        <v>38876</v>
      </c>
      <c r="B4354" s="37" t="s">
        <v>25018</v>
      </c>
      <c r="C4354" s="37" t="s">
        <v>2348</v>
      </c>
      <c r="D4354" s="37" t="s">
        <v>2351</v>
      </c>
      <c r="E4354" s="212">
        <v>53.69</v>
      </c>
    </row>
    <row r="4355" spans="1:5" ht="14.25">
      <c r="A4355" s="37">
        <v>39000</v>
      </c>
      <c r="B4355" s="37" t="s">
        <v>25019</v>
      </c>
      <c r="C4355" s="37" t="s">
        <v>2348</v>
      </c>
      <c r="D4355" s="37" t="s">
        <v>2351</v>
      </c>
      <c r="E4355" s="212">
        <v>45.17</v>
      </c>
    </row>
    <row r="4356" spans="1:5" ht="14.25">
      <c r="A4356" s="37">
        <v>38674</v>
      </c>
      <c r="B4356" s="37" t="s">
        <v>25020</v>
      </c>
      <c r="C4356" s="37" t="s">
        <v>2348</v>
      </c>
      <c r="D4356" s="37" t="s">
        <v>2349</v>
      </c>
      <c r="E4356" s="212">
        <v>47.74</v>
      </c>
    </row>
    <row r="4357" spans="1:5" ht="14.25">
      <c r="A4357" s="37">
        <v>38911</v>
      </c>
      <c r="B4357" s="37" t="s">
        <v>25021</v>
      </c>
      <c r="C4357" s="37" t="s">
        <v>2348</v>
      </c>
      <c r="D4357" s="37" t="s">
        <v>2351</v>
      </c>
      <c r="E4357" s="212">
        <v>66.59</v>
      </c>
    </row>
    <row r="4358" spans="1:5" ht="14.25">
      <c r="A4358" s="37">
        <v>38912</v>
      </c>
      <c r="B4358" s="37" t="s">
        <v>25022</v>
      </c>
      <c r="C4358" s="37" t="s">
        <v>2348</v>
      </c>
      <c r="D4358" s="37" t="s">
        <v>2351</v>
      </c>
      <c r="E4358" s="212">
        <v>84.62</v>
      </c>
    </row>
    <row r="4359" spans="1:5" ht="14.25">
      <c r="A4359" s="37">
        <v>38019</v>
      </c>
      <c r="B4359" s="37" t="s">
        <v>25023</v>
      </c>
      <c r="C4359" s="37" t="s">
        <v>2348</v>
      </c>
      <c r="D4359" s="37" t="s">
        <v>2349</v>
      </c>
      <c r="E4359" s="212">
        <v>11.96</v>
      </c>
    </row>
    <row r="4360" spans="1:5" ht="14.25">
      <c r="A4360" s="37">
        <v>38020</v>
      </c>
      <c r="B4360" s="37" t="s">
        <v>25024</v>
      </c>
      <c r="C4360" s="37" t="s">
        <v>2348</v>
      </c>
      <c r="D4360" s="37" t="s">
        <v>2349</v>
      </c>
      <c r="E4360" s="212">
        <v>15.15</v>
      </c>
    </row>
    <row r="4361" spans="1:5" ht="14.25">
      <c r="A4361" s="37">
        <v>38454</v>
      </c>
      <c r="B4361" s="37" t="s">
        <v>25025</v>
      </c>
      <c r="C4361" s="37" t="s">
        <v>2348</v>
      </c>
      <c r="D4361" s="37" t="s">
        <v>2351</v>
      </c>
      <c r="E4361" s="212">
        <v>8.24</v>
      </c>
    </row>
    <row r="4362" spans="1:5" ht="14.25">
      <c r="A4362" s="37">
        <v>38455</v>
      </c>
      <c r="B4362" s="37" t="s">
        <v>25026</v>
      </c>
      <c r="C4362" s="37" t="s">
        <v>2348</v>
      </c>
      <c r="D4362" s="37" t="s">
        <v>2351</v>
      </c>
      <c r="E4362" s="212">
        <v>7.54</v>
      </c>
    </row>
    <row r="4363" spans="1:5" ht="14.25">
      <c r="A4363" s="37">
        <v>38462</v>
      </c>
      <c r="B4363" s="37" t="s">
        <v>25027</v>
      </c>
      <c r="C4363" s="37" t="s">
        <v>2348</v>
      </c>
      <c r="D4363" s="37" t="s">
        <v>2351</v>
      </c>
      <c r="E4363" s="212">
        <v>213</v>
      </c>
    </row>
    <row r="4364" spans="1:5" ht="14.25">
      <c r="A4364" s="37">
        <v>36362</v>
      </c>
      <c r="B4364" s="37" t="s">
        <v>25028</v>
      </c>
      <c r="C4364" s="37" t="s">
        <v>2348</v>
      </c>
      <c r="D4364" s="37" t="s">
        <v>2351</v>
      </c>
      <c r="E4364" s="212">
        <v>3.24</v>
      </c>
    </row>
    <row r="4365" spans="1:5" ht="14.25">
      <c r="A4365" s="37">
        <v>36298</v>
      </c>
      <c r="B4365" s="37" t="s">
        <v>25029</v>
      </c>
      <c r="C4365" s="37" t="s">
        <v>2348</v>
      </c>
      <c r="D4365" s="37" t="s">
        <v>2351</v>
      </c>
      <c r="E4365" s="212">
        <v>4.8099999999999996</v>
      </c>
    </row>
    <row r="4366" spans="1:5" ht="14.25">
      <c r="A4366" s="37">
        <v>38456</v>
      </c>
      <c r="B4366" s="37" t="s">
        <v>25030</v>
      </c>
      <c r="C4366" s="37" t="s">
        <v>2348</v>
      </c>
      <c r="D4366" s="37" t="s">
        <v>2351</v>
      </c>
      <c r="E4366" s="212">
        <v>7.84</v>
      </c>
    </row>
    <row r="4367" spans="1:5" ht="14.25">
      <c r="A4367" s="37">
        <v>38457</v>
      </c>
      <c r="B4367" s="37" t="s">
        <v>25031</v>
      </c>
      <c r="C4367" s="37" t="s">
        <v>2348</v>
      </c>
      <c r="D4367" s="37" t="s">
        <v>2351</v>
      </c>
      <c r="E4367" s="212">
        <v>17.66</v>
      </c>
    </row>
    <row r="4368" spans="1:5" ht="14.25">
      <c r="A4368" s="37">
        <v>38458</v>
      </c>
      <c r="B4368" s="37" t="s">
        <v>25032</v>
      </c>
      <c r="C4368" s="37" t="s">
        <v>2348</v>
      </c>
      <c r="D4368" s="37" t="s">
        <v>2351</v>
      </c>
      <c r="E4368" s="212">
        <v>23.67</v>
      </c>
    </row>
    <row r="4369" spans="1:5" ht="14.25">
      <c r="A4369" s="37">
        <v>38459</v>
      </c>
      <c r="B4369" s="37" t="s">
        <v>25033</v>
      </c>
      <c r="C4369" s="37" t="s">
        <v>2348</v>
      </c>
      <c r="D4369" s="37" t="s">
        <v>2351</v>
      </c>
      <c r="E4369" s="212">
        <v>41.77</v>
      </c>
    </row>
    <row r="4370" spans="1:5" ht="14.25">
      <c r="A4370" s="37">
        <v>38460</v>
      </c>
      <c r="B4370" s="37" t="s">
        <v>25034</v>
      </c>
      <c r="C4370" s="37" t="s">
        <v>2348</v>
      </c>
      <c r="D4370" s="37" t="s">
        <v>2351</v>
      </c>
      <c r="E4370" s="212">
        <v>87.25</v>
      </c>
    </row>
    <row r="4371" spans="1:5" ht="14.25">
      <c r="A4371" s="37">
        <v>38461</v>
      </c>
      <c r="B4371" s="37" t="s">
        <v>25035</v>
      </c>
      <c r="C4371" s="37" t="s">
        <v>2348</v>
      </c>
      <c r="D4371" s="37" t="s">
        <v>2351</v>
      </c>
      <c r="E4371" s="212">
        <v>133.1</v>
      </c>
    </row>
    <row r="4372" spans="1:5" ht="14.25">
      <c r="A4372" s="37">
        <v>7094</v>
      </c>
      <c r="B4372" s="37" t="s">
        <v>25036</v>
      </c>
      <c r="C4372" s="37" t="s">
        <v>2348</v>
      </c>
      <c r="D4372" s="37" t="s">
        <v>2349</v>
      </c>
      <c r="E4372" s="212">
        <v>18.21</v>
      </c>
    </row>
    <row r="4373" spans="1:5" ht="14.25">
      <c r="A4373" s="37">
        <v>7116</v>
      </c>
      <c r="B4373" s="37" t="s">
        <v>25037</v>
      </c>
      <c r="C4373" s="37" t="s">
        <v>2348</v>
      </c>
      <c r="D4373" s="37" t="s">
        <v>2349</v>
      </c>
      <c r="E4373" s="212">
        <v>5.22</v>
      </c>
    </row>
    <row r="4374" spans="1:5" ht="14.25">
      <c r="A4374" s="37">
        <v>7118</v>
      </c>
      <c r="B4374" s="37" t="s">
        <v>25038</v>
      </c>
      <c r="C4374" s="37" t="s">
        <v>2348</v>
      </c>
      <c r="D4374" s="37" t="s">
        <v>2349</v>
      </c>
      <c r="E4374" s="212">
        <v>40.19</v>
      </c>
    </row>
    <row r="4375" spans="1:5" ht="14.25">
      <c r="A4375" s="37">
        <v>7117</v>
      </c>
      <c r="B4375" s="37" t="s">
        <v>25039</v>
      </c>
      <c r="C4375" s="37" t="s">
        <v>2348</v>
      </c>
      <c r="D4375" s="37" t="s">
        <v>2349</v>
      </c>
      <c r="E4375" s="212">
        <v>35.729999999999997</v>
      </c>
    </row>
    <row r="4376" spans="1:5" ht="14.25">
      <c r="A4376" s="37">
        <v>7098</v>
      </c>
      <c r="B4376" s="37" t="s">
        <v>25040</v>
      </c>
      <c r="C4376" s="37" t="s">
        <v>2348</v>
      </c>
      <c r="D4376" s="37" t="s">
        <v>2349</v>
      </c>
      <c r="E4376" s="212">
        <v>4.9800000000000004</v>
      </c>
    </row>
    <row r="4377" spans="1:5" ht="14.25">
      <c r="A4377" s="37">
        <v>7110</v>
      </c>
      <c r="B4377" s="37" t="s">
        <v>25041</v>
      </c>
      <c r="C4377" s="37" t="s">
        <v>2348</v>
      </c>
      <c r="D4377" s="37" t="s">
        <v>2349</v>
      </c>
      <c r="E4377" s="212">
        <v>87.41</v>
      </c>
    </row>
    <row r="4378" spans="1:5" ht="14.25">
      <c r="A4378" s="37">
        <v>7123</v>
      </c>
      <c r="B4378" s="37" t="s">
        <v>25042</v>
      </c>
      <c r="C4378" s="37" t="s">
        <v>2348</v>
      </c>
      <c r="D4378" s="37" t="s">
        <v>2349</v>
      </c>
      <c r="E4378" s="212">
        <v>6.41</v>
      </c>
    </row>
    <row r="4379" spans="1:5" ht="14.25">
      <c r="A4379" s="37">
        <v>7121</v>
      </c>
      <c r="B4379" s="37" t="s">
        <v>25043</v>
      </c>
      <c r="C4379" s="37" t="s">
        <v>2348</v>
      </c>
      <c r="D4379" s="37" t="s">
        <v>2349</v>
      </c>
      <c r="E4379" s="212">
        <v>15.79</v>
      </c>
    </row>
    <row r="4380" spans="1:5" ht="14.25">
      <c r="A4380" s="37">
        <v>7137</v>
      </c>
      <c r="B4380" s="37" t="s">
        <v>25044</v>
      </c>
      <c r="C4380" s="37" t="s">
        <v>2348</v>
      </c>
      <c r="D4380" s="37" t="s">
        <v>2349</v>
      </c>
      <c r="E4380" s="212">
        <v>14.22</v>
      </c>
    </row>
    <row r="4381" spans="1:5" ht="14.25">
      <c r="A4381" s="37">
        <v>7122</v>
      </c>
      <c r="B4381" s="37" t="s">
        <v>25045</v>
      </c>
      <c r="C4381" s="37" t="s">
        <v>2348</v>
      </c>
      <c r="D4381" s="37" t="s">
        <v>2349</v>
      </c>
      <c r="E4381" s="212">
        <v>17.77</v>
      </c>
    </row>
    <row r="4382" spans="1:5" ht="14.25">
      <c r="A4382" s="37">
        <v>7114</v>
      </c>
      <c r="B4382" s="37" t="s">
        <v>25046</v>
      </c>
      <c r="C4382" s="37" t="s">
        <v>2348</v>
      </c>
      <c r="D4382" s="37" t="s">
        <v>2349</v>
      </c>
      <c r="E4382" s="212">
        <v>27.39</v>
      </c>
    </row>
    <row r="4383" spans="1:5" ht="14.25">
      <c r="A4383" s="37">
        <v>7109</v>
      </c>
      <c r="B4383" s="37" t="s">
        <v>25047</v>
      </c>
      <c r="C4383" s="37" t="s">
        <v>2348</v>
      </c>
      <c r="D4383" s="37" t="s">
        <v>2349</v>
      </c>
      <c r="E4383" s="212">
        <v>4.8</v>
      </c>
    </row>
    <row r="4384" spans="1:5" ht="14.25">
      <c r="A4384" s="37">
        <v>7135</v>
      </c>
      <c r="B4384" s="37" t="s">
        <v>25048</v>
      </c>
      <c r="C4384" s="37" t="s">
        <v>2348</v>
      </c>
      <c r="D4384" s="37" t="s">
        <v>2349</v>
      </c>
      <c r="E4384" s="212">
        <v>7.49</v>
      </c>
    </row>
    <row r="4385" spans="1:5" ht="14.25">
      <c r="A4385" s="37">
        <v>37947</v>
      </c>
      <c r="B4385" s="37" t="s">
        <v>25049</v>
      </c>
      <c r="C4385" s="37" t="s">
        <v>2348</v>
      </c>
      <c r="D4385" s="37" t="s">
        <v>2349</v>
      </c>
      <c r="E4385" s="212">
        <v>7.58</v>
      </c>
    </row>
    <row r="4386" spans="1:5" ht="14.25">
      <c r="A4386" s="37">
        <v>7103</v>
      </c>
      <c r="B4386" s="37" t="s">
        <v>25050</v>
      </c>
      <c r="C4386" s="37" t="s">
        <v>2348</v>
      </c>
      <c r="D4386" s="37" t="s">
        <v>2349</v>
      </c>
      <c r="E4386" s="212">
        <v>17.38</v>
      </c>
    </row>
    <row r="4387" spans="1:5" ht="14.25">
      <c r="A4387" s="37">
        <v>40419</v>
      </c>
      <c r="B4387" s="37" t="s">
        <v>25051</v>
      </c>
      <c r="C4387" s="37" t="s">
        <v>2348</v>
      </c>
      <c r="D4387" s="37" t="s">
        <v>2351</v>
      </c>
      <c r="E4387" s="212">
        <v>48.71</v>
      </c>
    </row>
    <row r="4388" spans="1:5" ht="14.25">
      <c r="A4388" s="37">
        <v>40420</v>
      </c>
      <c r="B4388" s="37" t="s">
        <v>25052</v>
      </c>
      <c r="C4388" s="37" t="s">
        <v>2348</v>
      </c>
      <c r="D4388" s="37" t="s">
        <v>2351</v>
      </c>
      <c r="E4388" s="212">
        <v>71.069999999999993</v>
      </c>
    </row>
    <row r="4389" spans="1:5" ht="14.25">
      <c r="A4389" s="37">
        <v>40421</v>
      </c>
      <c r="B4389" s="37" t="s">
        <v>25053</v>
      </c>
      <c r="C4389" s="37" t="s">
        <v>2348</v>
      </c>
      <c r="D4389" s="37" t="s">
        <v>2351</v>
      </c>
      <c r="E4389" s="212">
        <v>75.650000000000006</v>
      </c>
    </row>
    <row r="4390" spans="1:5" ht="14.25">
      <c r="A4390" s="37">
        <v>7126</v>
      </c>
      <c r="B4390" s="37" t="s">
        <v>25054</v>
      </c>
      <c r="C4390" s="37" t="s">
        <v>2348</v>
      </c>
      <c r="D4390" s="37" t="s">
        <v>2349</v>
      </c>
      <c r="E4390" s="212">
        <v>36.46</v>
      </c>
    </row>
    <row r="4391" spans="1:5" ht="14.25">
      <c r="A4391" s="37">
        <v>38905</v>
      </c>
      <c r="B4391" s="37" t="s">
        <v>25055</v>
      </c>
      <c r="C4391" s="37" t="s">
        <v>2348</v>
      </c>
      <c r="D4391" s="37" t="s">
        <v>2351</v>
      </c>
      <c r="E4391" s="212">
        <v>20.87</v>
      </c>
    </row>
    <row r="4392" spans="1:5" ht="14.25">
      <c r="A4392" s="37">
        <v>38907</v>
      </c>
      <c r="B4392" s="37" t="s">
        <v>25056</v>
      </c>
      <c r="C4392" s="37" t="s">
        <v>2348</v>
      </c>
      <c r="D4392" s="37" t="s">
        <v>2351</v>
      </c>
      <c r="E4392" s="212">
        <v>22.2</v>
      </c>
    </row>
    <row r="4393" spans="1:5" ht="14.25">
      <c r="A4393" s="37">
        <v>38908</v>
      </c>
      <c r="B4393" s="37" t="s">
        <v>25057</v>
      </c>
      <c r="C4393" s="37" t="s">
        <v>2348</v>
      </c>
      <c r="D4393" s="37" t="s">
        <v>2351</v>
      </c>
      <c r="E4393" s="212">
        <v>24.98</v>
      </c>
    </row>
    <row r="4394" spans="1:5" ht="14.25">
      <c r="A4394" s="37">
        <v>38909</v>
      </c>
      <c r="B4394" s="37" t="s">
        <v>25058</v>
      </c>
      <c r="C4394" s="37" t="s">
        <v>2348</v>
      </c>
      <c r="D4394" s="37" t="s">
        <v>2351</v>
      </c>
      <c r="E4394" s="212">
        <v>35.92</v>
      </c>
    </row>
    <row r="4395" spans="1:5" ht="14.25">
      <c r="A4395" s="37">
        <v>38910</v>
      </c>
      <c r="B4395" s="37" t="s">
        <v>25059</v>
      </c>
      <c r="C4395" s="37" t="s">
        <v>2348</v>
      </c>
      <c r="D4395" s="37" t="s">
        <v>2351</v>
      </c>
      <c r="E4395" s="212">
        <v>38.79</v>
      </c>
    </row>
    <row r="4396" spans="1:5" ht="14.25">
      <c r="A4396" s="37">
        <v>38897</v>
      </c>
      <c r="B4396" s="37" t="s">
        <v>25060</v>
      </c>
      <c r="C4396" s="37" t="s">
        <v>2348</v>
      </c>
      <c r="D4396" s="37" t="s">
        <v>2351</v>
      </c>
      <c r="E4396" s="212">
        <v>20.95</v>
      </c>
    </row>
    <row r="4397" spans="1:5" ht="14.25">
      <c r="A4397" s="37">
        <v>38899</v>
      </c>
      <c r="B4397" s="37" t="s">
        <v>25061</v>
      </c>
      <c r="C4397" s="37" t="s">
        <v>2348</v>
      </c>
      <c r="D4397" s="37" t="s">
        <v>2351</v>
      </c>
      <c r="E4397" s="212">
        <v>23.57</v>
      </c>
    </row>
    <row r="4398" spans="1:5" ht="14.25">
      <c r="A4398" s="37">
        <v>38900</v>
      </c>
      <c r="B4398" s="37" t="s">
        <v>25062</v>
      </c>
      <c r="C4398" s="37" t="s">
        <v>2348</v>
      </c>
      <c r="D4398" s="37" t="s">
        <v>2351</v>
      </c>
      <c r="E4398" s="212">
        <v>24.57</v>
      </c>
    </row>
    <row r="4399" spans="1:5" ht="14.25">
      <c r="A4399" s="37">
        <v>38901</v>
      </c>
      <c r="B4399" s="37" t="s">
        <v>25063</v>
      </c>
      <c r="C4399" s="37" t="s">
        <v>2348</v>
      </c>
      <c r="D4399" s="37" t="s">
        <v>2351</v>
      </c>
      <c r="E4399" s="212">
        <v>40.200000000000003</v>
      </c>
    </row>
    <row r="4400" spans="1:5" ht="14.25">
      <c r="A4400" s="37">
        <v>38904</v>
      </c>
      <c r="B4400" s="37" t="s">
        <v>25064</v>
      </c>
      <c r="C4400" s="37" t="s">
        <v>2348</v>
      </c>
      <c r="D4400" s="37" t="s">
        <v>2351</v>
      </c>
      <c r="E4400" s="212">
        <v>65.3</v>
      </c>
    </row>
    <row r="4401" spans="1:5" ht="14.25">
      <c r="A4401" s="37">
        <v>38903</v>
      </c>
      <c r="B4401" s="37" t="s">
        <v>25065</v>
      </c>
      <c r="C4401" s="37" t="s">
        <v>2348</v>
      </c>
      <c r="D4401" s="37" t="s">
        <v>2351</v>
      </c>
      <c r="E4401" s="212">
        <v>64.89</v>
      </c>
    </row>
    <row r="4402" spans="1:5" ht="14.25">
      <c r="A4402" s="37">
        <v>7091</v>
      </c>
      <c r="B4402" s="37" t="s">
        <v>25066</v>
      </c>
      <c r="C4402" s="37" t="s">
        <v>2348</v>
      </c>
      <c r="D4402" s="37" t="s">
        <v>2349</v>
      </c>
      <c r="E4402" s="212">
        <v>24.57</v>
      </c>
    </row>
    <row r="4403" spans="1:5" ht="14.25">
      <c r="A4403" s="37">
        <v>11655</v>
      </c>
      <c r="B4403" s="37" t="s">
        <v>25067</v>
      </c>
      <c r="C4403" s="37" t="s">
        <v>2348</v>
      </c>
      <c r="D4403" s="37" t="s">
        <v>2349</v>
      </c>
      <c r="E4403" s="212">
        <v>23.47</v>
      </c>
    </row>
    <row r="4404" spans="1:5" ht="14.25">
      <c r="A4404" s="37">
        <v>11656</v>
      </c>
      <c r="B4404" s="37" t="s">
        <v>25068</v>
      </c>
      <c r="C4404" s="37" t="s">
        <v>2348</v>
      </c>
      <c r="D4404" s="37" t="s">
        <v>2349</v>
      </c>
      <c r="E4404" s="212">
        <v>24.55</v>
      </c>
    </row>
    <row r="4405" spans="1:5" ht="14.25">
      <c r="A4405" s="37">
        <v>37948</v>
      </c>
      <c r="B4405" s="37" t="s">
        <v>25069</v>
      </c>
      <c r="C4405" s="37" t="s">
        <v>2348</v>
      </c>
      <c r="D4405" s="37" t="s">
        <v>2349</v>
      </c>
      <c r="E4405" s="212">
        <v>4.97</v>
      </c>
    </row>
    <row r="4406" spans="1:5" ht="14.25">
      <c r="A4406" s="37">
        <v>7097</v>
      </c>
      <c r="B4406" s="37" t="s">
        <v>25070</v>
      </c>
      <c r="C4406" s="37" t="s">
        <v>2348</v>
      </c>
      <c r="D4406" s="37" t="s">
        <v>2349</v>
      </c>
      <c r="E4406" s="212">
        <v>10.91</v>
      </c>
    </row>
    <row r="4407" spans="1:5" ht="14.25">
      <c r="A4407" s="37">
        <v>11657</v>
      </c>
      <c r="B4407" s="37" t="s">
        <v>25071</v>
      </c>
      <c r="C4407" s="37" t="s">
        <v>2348</v>
      </c>
      <c r="D4407" s="37" t="s">
        <v>2349</v>
      </c>
      <c r="E4407" s="212">
        <v>21.4</v>
      </c>
    </row>
    <row r="4408" spans="1:5" ht="14.25">
      <c r="A4408" s="37">
        <v>11658</v>
      </c>
      <c r="B4408" s="37" t="s">
        <v>25072</v>
      </c>
      <c r="C4408" s="37" t="s">
        <v>2348</v>
      </c>
      <c r="D4408" s="37" t="s">
        <v>2349</v>
      </c>
      <c r="E4408" s="212">
        <v>21.79</v>
      </c>
    </row>
    <row r="4409" spans="1:5" ht="14.25">
      <c r="A4409" s="37">
        <v>7146</v>
      </c>
      <c r="B4409" s="37" t="s">
        <v>25073</v>
      </c>
      <c r="C4409" s="37" t="s">
        <v>2348</v>
      </c>
      <c r="D4409" s="37" t="s">
        <v>2349</v>
      </c>
      <c r="E4409" s="212">
        <v>270.67</v>
      </c>
    </row>
    <row r="4410" spans="1:5" ht="14.25">
      <c r="A4410" s="37">
        <v>7138</v>
      </c>
      <c r="B4410" s="37" t="s">
        <v>25074</v>
      </c>
      <c r="C4410" s="37" t="s">
        <v>2348</v>
      </c>
      <c r="D4410" s="37" t="s">
        <v>2349</v>
      </c>
      <c r="E4410" s="212">
        <v>1.53</v>
      </c>
    </row>
    <row r="4411" spans="1:5" ht="14.25">
      <c r="A4411" s="37">
        <v>7139</v>
      </c>
      <c r="B4411" s="37" t="s">
        <v>25075</v>
      </c>
      <c r="C4411" s="37" t="s">
        <v>2348</v>
      </c>
      <c r="D4411" s="37" t="s">
        <v>2349</v>
      </c>
      <c r="E4411" s="212">
        <v>2.0099999999999998</v>
      </c>
    </row>
    <row r="4412" spans="1:5" ht="14.25">
      <c r="A4412" s="37">
        <v>7140</v>
      </c>
      <c r="B4412" s="37" t="s">
        <v>25076</v>
      </c>
      <c r="C4412" s="37" t="s">
        <v>2348</v>
      </c>
      <c r="D4412" s="37" t="s">
        <v>2349</v>
      </c>
      <c r="E4412" s="212">
        <v>6.68</v>
      </c>
    </row>
    <row r="4413" spans="1:5" ht="14.25">
      <c r="A4413" s="37">
        <v>7141</v>
      </c>
      <c r="B4413" s="37" t="s">
        <v>25077</v>
      </c>
      <c r="C4413" s="37" t="s">
        <v>2348</v>
      </c>
      <c r="D4413" s="37" t="s">
        <v>2349</v>
      </c>
      <c r="E4413" s="212">
        <v>14.6</v>
      </c>
    </row>
    <row r="4414" spans="1:5" ht="14.25">
      <c r="A4414" s="37">
        <v>7143</v>
      </c>
      <c r="B4414" s="37" t="s">
        <v>25078</v>
      </c>
      <c r="C4414" s="37" t="s">
        <v>2348</v>
      </c>
      <c r="D4414" s="37" t="s">
        <v>2349</v>
      </c>
      <c r="E4414" s="212">
        <v>48.65</v>
      </c>
    </row>
    <row r="4415" spans="1:5" ht="14.25">
      <c r="A4415" s="37">
        <v>7144</v>
      </c>
      <c r="B4415" s="37" t="s">
        <v>25079</v>
      </c>
      <c r="C4415" s="37" t="s">
        <v>2348</v>
      </c>
      <c r="D4415" s="37" t="s">
        <v>2349</v>
      </c>
      <c r="E4415" s="212">
        <v>97.32</v>
      </c>
    </row>
    <row r="4416" spans="1:5" ht="14.25">
      <c r="A4416" s="37">
        <v>7145</v>
      </c>
      <c r="B4416" s="37" t="s">
        <v>25080</v>
      </c>
      <c r="C4416" s="37" t="s">
        <v>2348</v>
      </c>
      <c r="D4416" s="37" t="s">
        <v>2349</v>
      </c>
      <c r="E4416" s="212">
        <v>159.6</v>
      </c>
    </row>
    <row r="4417" spans="1:5" ht="14.25">
      <c r="A4417" s="37">
        <v>7142</v>
      </c>
      <c r="B4417" s="37" t="s">
        <v>25081</v>
      </c>
      <c r="C4417" s="37" t="s">
        <v>2348</v>
      </c>
      <c r="D4417" s="37" t="s">
        <v>2349</v>
      </c>
      <c r="E4417" s="212">
        <v>16.32</v>
      </c>
    </row>
    <row r="4418" spans="1:5" ht="14.25">
      <c r="A4418" s="37">
        <v>3593</v>
      </c>
      <c r="B4418" s="37" t="s">
        <v>25082</v>
      </c>
      <c r="C4418" s="37" t="s">
        <v>2348</v>
      </c>
      <c r="D4418" s="37" t="s">
        <v>2351</v>
      </c>
      <c r="E4418" s="212">
        <v>81.58</v>
      </c>
    </row>
    <row r="4419" spans="1:5" ht="14.25">
      <c r="A4419" s="37">
        <v>3588</v>
      </c>
      <c r="B4419" s="37" t="s">
        <v>25083</v>
      </c>
      <c r="C4419" s="37" t="s">
        <v>2348</v>
      </c>
      <c r="D4419" s="37" t="s">
        <v>2351</v>
      </c>
      <c r="E4419" s="212">
        <v>62.88</v>
      </c>
    </row>
    <row r="4420" spans="1:5" ht="14.25">
      <c r="A4420" s="37">
        <v>3585</v>
      </c>
      <c r="B4420" s="37" t="s">
        <v>25084</v>
      </c>
      <c r="C4420" s="37" t="s">
        <v>2348</v>
      </c>
      <c r="D4420" s="37" t="s">
        <v>2351</v>
      </c>
      <c r="E4420" s="212">
        <v>19.420000000000002</v>
      </c>
    </row>
    <row r="4421" spans="1:5" ht="14.25">
      <c r="A4421" s="37">
        <v>3587</v>
      </c>
      <c r="B4421" s="37" t="s">
        <v>25085</v>
      </c>
      <c r="C4421" s="37" t="s">
        <v>2348</v>
      </c>
      <c r="D4421" s="37" t="s">
        <v>2351</v>
      </c>
      <c r="E4421" s="212">
        <v>39.020000000000003</v>
      </c>
    </row>
    <row r="4422" spans="1:5" ht="14.25">
      <c r="A4422" s="37">
        <v>3590</v>
      </c>
      <c r="B4422" s="37" t="s">
        <v>25086</v>
      </c>
      <c r="C4422" s="37" t="s">
        <v>2348</v>
      </c>
      <c r="D4422" s="37" t="s">
        <v>2351</v>
      </c>
      <c r="E4422" s="212">
        <v>231.62</v>
      </c>
    </row>
    <row r="4423" spans="1:5" ht="14.25">
      <c r="A4423" s="37">
        <v>3589</v>
      </c>
      <c r="B4423" s="37" t="s">
        <v>25087</v>
      </c>
      <c r="C4423" s="37" t="s">
        <v>2348</v>
      </c>
      <c r="D4423" s="37" t="s">
        <v>2351</v>
      </c>
      <c r="E4423" s="212">
        <v>124.32</v>
      </c>
    </row>
    <row r="4424" spans="1:5" ht="14.25">
      <c r="A4424" s="37">
        <v>3586</v>
      </c>
      <c r="B4424" s="37" t="s">
        <v>25088</v>
      </c>
      <c r="C4424" s="37" t="s">
        <v>2348</v>
      </c>
      <c r="D4424" s="37" t="s">
        <v>2351</v>
      </c>
      <c r="E4424" s="212">
        <v>25.44</v>
      </c>
    </row>
    <row r="4425" spans="1:5" ht="14.25">
      <c r="A4425" s="37">
        <v>3592</v>
      </c>
      <c r="B4425" s="37" t="s">
        <v>25089</v>
      </c>
      <c r="C4425" s="37" t="s">
        <v>2348</v>
      </c>
      <c r="D4425" s="37" t="s">
        <v>2351</v>
      </c>
      <c r="E4425" s="212">
        <v>366.12</v>
      </c>
    </row>
    <row r="4426" spans="1:5" ht="14.25">
      <c r="A4426" s="37">
        <v>3591</v>
      </c>
      <c r="B4426" s="37" t="s">
        <v>25090</v>
      </c>
      <c r="C4426" s="37" t="s">
        <v>2348</v>
      </c>
      <c r="D4426" s="37" t="s">
        <v>2351</v>
      </c>
      <c r="E4426" s="212">
        <v>586.91</v>
      </c>
    </row>
    <row r="4427" spans="1:5" ht="14.25">
      <c r="A4427" s="37">
        <v>40396</v>
      </c>
      <c r="B4427" s="37" t="s">
        <v>25091</v>
      </c>
      <c r="C4427" s="37" t="s">
        <v>2348</v>
      </c>
      <c r="D4427" s="37" t="s">
        <v>2349</v>
      </c>
      <c r="E4427" s="212">
        <v>147.49</v>
      </c>
    </row>
    <row r="4428" spans="1:5" ht="14.25">
      <c r="A4428" s="37">
        <v>40395</v>
      </c>
      <c r="B4428" s="37" t="s">
        <v>25092</v>
      </c>
      <c r="C4428" s="37" t="s">
        <v>2348</v>
      </c>
      <c r="D4428" s="37" t="s">
        <v>2349</v>
      </c>
      <c r="E4428" s="212">
        <v>113.19</v>
      </c>
    </row>
    <row r="4429" spans="1:5" ht="14.25">
      <c r="A4429" s="37">
        <v>40392</v>
      </c>
      <c r="B4429" s="37" t="s">
        <v>25093</v>
      </c>
      <c r="C4429" s="37" t="s">
        <v>2348</v>
      </c>
      <c r="D4429" s="37" t="s">
        <v>2349</v>
      </c>
      <c r="E4429" s="212">
        <v>36.42</v>
      </c>
    </row>
    <row r="4430" spans="1:5" ht="14.25">
      <c r="A4430" s="37">
        <v>40394</v>
      </c>
      <c r="B4430" s="37" t="s">
        <v>25094</v>
      </c>
      <c r="C4430" s="37" t="s">
        <v>2348</v>
      </c>
      <c r="D4430" s="37" t="s">
        <v>2349</v>
      </c>
      <c r="E4430" s="212">
        <v>73.69</v>
      </c>
    </row>
    <row r="4431" spans="1:5" ht="14.25">
      <c r="A4431" s="37">
        <v>40398</v>
      </c>
      <c r="B4431" s="37" t="s">
        <v>25095</v>
      </c>
      <c r="C4431" s="37" t="s">
        <v>2348</v>
      </c>
      <c r="D4431" s="37" t="s">
        <v>2349</v>
      </c>
      <c r="E4431" s="212">
        <v>473.18</v>
      </c>
    </row>
    <row r="4432" spans="1:5" ht="14.25">
      <c r="A4432" s="37">
        <v>40397</v>
      </c>
      <c r="B4432" s="37" t="s">
        <v>25096</v>
      </c>
      <c r="C4432" s="37" t="s">
        <v>2348</v>
      </c>
      <c r="D4432" s="37" t="s">
        <v>2349</v>
      </c>
      <c r="E4432" s="212">
        <v>242.32</v>
      </c>
    </row>
    <row r="4433" spans="1:5" ht="14.25">
      <c r="A4433" s="37">
        <v>40393</v>
      </c>
      <c r="B4433" s="37" t="s">
        <v>25097</v>
      </c>
      <c r="C4433" s="37" t="s">
        <v>2348</v>
      </c>
      <c r="D4433" s="37" t="s">
        <v>2349</v>
      </c>
      <c r="E4433" s="212">
        <v>46.91</v>
      </c>
    </row>
    <row r="4434" spans="1:5" ht="14.25">
      <c r="A4434" s="37">
        <v>40399</v>
      </c>
      <c r="B4434" s="37" t="s">
        <v>25098</v>
      </c>
      <c r="C4434" s="37" t="s">
        <v>2348</v>
      </c>
      <c r="D4434" s="37" t="s">
        <v>2349</v>
      </c>
      <c r="E4434" s="212">
        <v>774.12</v>
      </c>
    </row>
    <row r="4435" spans="1:5" ht="14.25">
      <c r="A4435" s="37">
        <v>39322</v>
      </c>
      <c r="B4435" s="37" t="s">
        <v>25099</v>
      </c>
      <c r="C4435" s="37" t="s">
        <v>2348</v>
      </c>
      <c r="D4435" s="37" t="s">
        <v>2351</v>
      </c>
      <c r="E4435" s="212">
        <v>25.31</v>
      </c>
    </row>
    <row r="4436" spans="1:5" ht="14.25">
      <c r="A4436" s="37">
        <v>39289</v>
      </c>
      <c r="B4436" s="37" t="s">
        <v>25100</v>
      </c>
      <c r="C4436" s="37" t="s">
        <v>2348</v>
      </c>
      <c r="D4436" s="37" t="s">
        <v>2351</v>
      </c>
      <c r="E4436" s="212">
        <v>30.32</v>
      </c>
    </row>
    <row r="4437" spans="1:5" ht="14.25">
      <c r="A4437" s="37">
        <v>39290</v>
      </c>
      <c r="B4437" s="37" t="s">
        <v>25101</v>
      </c>
      <c r="C4437" s="37" t="s">
        <v>2348</v>
      </c>
      <c r="D4437" s="37" t="s">
        <v>2351</v>
      </c>
      <c r="E4437" s="212">
        <v>51.47</v>
      </c>
    </row>
    <row r="4438" spans="1:5" ht="14.25">
      <c r="A4438" s="37">
        <v>39291</v>
      </c>
      <c r="B4438" s="37" t="s">
        <v>25102</v>
      </c>
      <c r="C4438" s="37" t="s">
        <v>2348</v>
      </c>
      <c r="D4438" s="37" t="s">
        <v>2351</v>
      </c>
      <c r="E4438" s="212">
        <v>77.05</v>
      </c>
    </row>
    <row r="4439" spans="1:5" ht="14.25">
      <c r="A4439" s="37">
        <v>20174</v>
      </c>
      <c r="B4439" s="37" t="s">
        <v>25103</v>
      </c>
      <c r="C4439" s="37" t="s">
        <v>2348</v>
      </c>
      <c r="D4439" s="37" t="s">
        <v>2349</v>
      </c>
      <c r="E4439" s="212">
        <v>59.87</v>
      </c>
    </row>
    <row r="4440" spans="1:5" ht="14.25">
      <c r="A4440" s="37">
        <v>41892</v>
      </c>
      <c r="B4440" s="37" t="s">
        <v>25104</v>
      </c>
      <c r="C4440" s="37" t="s">
        <v>2348</v>
      </c>
      <c r="D4440" s="37" t="s">
        <v>2351</v>
      </c>
      <c r="E4440" s="212">
        <v>149.41999999999999</v>
      </c>
    </row>
    <row r="4441" spans="1:5" ht="14.25">
      <c r="A4441" s="37">
        <v>7048</v>
      </c>
      <c r="B4441" s="37" t="s">
        <v>25105</v>
      </c>
      <c r="C4441" s="37" t="s">
        <v>2348</v>
      </c>
      <c r="D4441" s="37" t="s">
        <v>2351</v>
      </c>
      <c r="E4441" s="212">
        <v>32.25</v>
      </c>
    </row>
    <row r="4442" spans="1:5" ht="14.25">
      <c r="A4442" s="37">
        <v>7088</v>
      </c>
      <c r="B4442" s="37" t="s">
        <v>25106</v>
      </c>
      <c r="C4442" s="37" t="s">
        <v>2348</v>
      </c>
      <c r="D4442" s="37" t="s">
        <v>2351</v>
      </c>
      <c r="E4442" s="212">
        <v>70.52</v>
      </c>
    </row>
    <row r="4443" spans="1:5" ht="14.25">
      <c r="A4443" s="37">
        <v>20179</v>
      </c>
      <c r="B4443" s="37" t="s">
        <v>25107</v>
      </c>
      <c r="C4443" s="37" t="s">
        <v>2348</v>
      </c>
      <c r="D4443" s="37" t="s">
        <v>2349</v>
      </c>
      <c r="E4443" s="212">
        <v>80.59</v>
      </c>
    </row>
    <row r="4444" spans="1:5" ht="14.25">
      <c r="A4444" s="37">
        <v>20178</v>
      </c>
      <c r="B4444" s="37" t="s">
        <v>25108</v>
      </c>
      <c r="C4444" s="37" t="s">
        <v>2348</v>
      </c>
      <c r="D4444" s="37" t="s">
        <v>2349</v>
      </c>
      <c r="E4444" s="212">
        <v>71.22</v>
      </c>
    </row>
    <row r="4445" spans="1:5" ht="14.25">
      <c r="A4445" s="37">
        <v>20180</v>
      </c>
      <c r="B4445" s="37" t="s">
        <v>25109</v>
      </c>
      <c r="C4445" s="37" t="s">
        <v>2348</v>
      </c>
      <c r="D4445" s="37" t="s">
        <v>2349</v>
      </c>
      <c r="E4445" s="212">
        <v>130.88</v>
      </c>
    </row>
    <row r="4446" spans="1:5" ht="14.25">
      <c r="A4446" s="37">
        <v>20181</v>
      </c>
      <c r="B4446" s="37" t="s">
        <v>25110</v>
      </c>
      <c r="C4446" s="37" t="s">
        <v>2348</v>
      </c>
      <c r="D4446" s="37" t="s">
        <v>2349</v>
      </c>
      <c r="E4446" s="212">
        <v>194.15</v>
      </c>
    </row>
    <row r="4447" spans="1:5" ht="14.25">
      <c r="A4447" s="37">
        <v>20177</v>
      </c>
      <c r="B4447" s="37" t="s">
        <v>25111</v>
      </c>
      <c r="C4447" s="37" t="s">
        <v>2348</v>
      </c>
      <c r="D4447" s="37" t="s">
        <v>2349</v>
      </c>
      <c r="E4447" s="212">
        <v>46.68</v>
      </c>
    </row>
    <row r="4448" spans="1:5" ht="14.25">
      <c r="A4448" s="37">
        <v>7082</v>
      </c>
      <c r="B4448" s="37" t="s">
        <v>25112</v>
      </c>
      <c r="C4448" s="37" t="s">
        <v>2348</v>
      </c>
      <c r="D4448" s="37" t="s">
        <v>2351</v>
      </c>
      <c r="E4448" s="212">
        <v>76.27</v>
      </c>
    </row>
    <row r="4449" spans="1:5" ht="14.25">
      <c r="A4449" s="37">
        <v>42707</v>
      </c>
      <c r="B4449" s="37" t="s">
        <v>25113</v>
      </c>
      <c r="C4449" s="37" t="s">
        <v>2348</v>
      </c>
      <c r="D4449" s="37" t="s">
        <v>2351</v>
      </c>
      <c r="E4449" s="212">
        <v>207.13</v>
      </c>
    </row>
    <row r="4450" spans="1:5" ht="14.25">
      <c r="A4450" s="37">
        <v>7069</v>
      </c>
      <c r="B4450" s="37" t="s">
        <v>25114</v>
      </c>
      <c r="C4450" s="37" t="s">
        <v>2348</v>
      </c>
      <c r="D4450" s="37" t="s">
        <v>2351</v>
      </c>
      <c r="E4450" s="212">
        <v>169.27</v>
      </c>
    </row>
    <row r="4451" spans="1:5" ht="14.25">
      <c r="A4451" s="37">
        <v>42708</v>
      </c>
      <c r="B4451" s="37" t="s">
        <v>25115</v>
      </c>
      <c r="C4451" s="37" t="s">
        <v>2348</v>
      </c>
      <c r="D4451" s="37" t="s">
        <v>2351</v>
      </c>
      <c r="E4451" s="212">
        <v>543.66</v>
      </c>
    </row>
    <row r="4452" spans="1:5" ht="14.25">
      <c r="A4452" s="37">
        <v>7070</v>
      </c>
      <c r="B4452" s="37" t="s">
        <v>25116</v>
      </c>
      <c r="C4452" s="37" t="s">
        <v>2348</v>
      </c>
      <c r="D4452" s="37" t="s">
        <v>2351</v>
      </c>
      <c r="E4452" s="212">
        <v>242.4</v>
      </c>
    </row>
    <row r="4453" spans="1:5" ht="14.25">
      <c r="A4453" s="37">
        <v>42709</v>
      </c>
      <c r="B4453" s="37" t="s">
        <v>25117</v>
      </c>
      <c r="C4453" s="37" t="s">
        <v>2348</v>
      </c>
      <c r="D4453" s="37" t="s">
        <v>2351</v>
      </c>
      <c r="E4453" s="212">
        <v>813.07</v>
      </c>
    </row>
    <row r="4454" spans="1:5" ht="14.25">
      <c r="A4454" s="37">
        <v>42710</v>
      </c>
      <c r="B4454" s="37" t="s">
        <v>25118</v>
      </c>
      <c r="C4454" s="37" t="s">
        <v>2348</v>
      </c>
      <c r="D4454" s="37" t="s">
        <v>2351</v>
      </c>
      <c r="E4454" s="213">
        <v>2337.1799999999998</v>
      </c>
    </row>
    <row r="4455" spans="1:5" ht="14.25">
      <c r="A4455" s="37">
        <v>42716</v>
      </c>
      <c r="B4455" s="37" t="s">
        <v>25119</v>
      </c>
      <c r="C4455" s="37" t="s">
        <v>2348</v>
      </c>
      <c r="D4455" s="37" t="s">
        <v>2351</v>
      </c>
      <c r="E4455" s="213">
        <v>2909.01</v>
      </c>
    </row>
    <row r="4456" spans="1:5" ht="14.25">
      <c r="A4456" s="37">
        <v>20172</v>
      </c>
      <c r="B4456" s="37" t="s">
        <v>25120</v>
      </c>
      <c r="C4456" s="37" t="s">
        <v>2348</v>
      </c>
      <c r="D4456" s="37" t="s">
        <v>2351</v>
      </c>
      <c r="E4456" s="212">
        <v>55.94</v>
      </c>
    </row>
    <row r="4457" spans="1:5" ht="14.25">
      <c r="A4457" s="37">
        <v>40945</v>
      </c>
      <c r="B4457" s="37" t="s">
        <v>25121</v>
      </c>
      <c r="C4457" s="37" t="s">
        <v>2352</v>
      </c>
      <c r="D4457" s="37" t="s">
        <v>2349</v>
      </c>
      <c r="E4457" s="212">
        <v>25.03</v>
      </c>
    </row>
    <row r="4458" spans="1:5" ht="14.25">
      <c r="A4458" s="37">
        <v>40946</v>
      </c>
      <c r="B4458" s="37" t="s">
        <v>25122</v>
      </c>
      <c r="C4458" s="37" t="s">
        <v>2369</v>
      </c>
      <c r="D4458" s="37" t="s">
        <v>2349</v>
      </c>
      <c r="E4458" s="213">
        <v>4405.6899999999996</v>
      </c>
    </row>
    <row r="4459" spans="1:5" ht="14.25">
      <c r="A4459" s="37">
        <v>7153</v>
      </c>
      <c r="B4459" s="37" t="s">
        <v>25123</v>
      </c>
      <c r="C4459" s="37" t="s">
        <v>2352</v>
      </c>
      <c r="D4459" s="37" t="s">
        <v>2349</v>
      </c>
      <c r="E4459" s="212">
        <v>38.9</v>
      </c>
    </row>
    <row r="4460" spans="1:5" ht="14.25">
      <c r="A4460" s="37">
        <v>41089</v>
      </c>
      <c r="B4460" s="37" t="s">
        <v>25124</v>
      </c>
      <c r="C4460" s="37" t="s">
        <v>2369</v>
      </c>
      <c r="D4460" s="37" t="s">
        <v>2349</v>
      </c>
      <c r="E4460" s="213">
        <v>6844.03</v>
      </c>
    </row>
    <row r="4461" spans="1:5" ht="14.25">
      <c r="A4461" s="37">
        <v>40943</v>
      </c>
      <c r="B4461" s="37" t="s">
        <v>25125</v>
      </c>
      <c r="C4461" s="37" t="s">
        <v>2352</v>
      </c>
      <c r="D4461" s="37" t="s">
        <v>2349</v>
      </c>
      <c r="E4461" s="212">
        <v>34.39</v>
      </c>
    </row>
    <row r="4462" spans="1:5" ht="14.25">
      <c r="A4462" s="37">
        <v>40944</v>
      </c>
      <c r="B4462" s="37" t="s">
        <v>25126</v>
      </c>
      <c r="C4462" s="37" t="s">
        <v>2369</v>
      </c>
      <c r="D4462" s="37" t="s">
        <v>2349</v>
      </c>
      <c r="E4462" s="213">
        <v>6051</v>
      </c>
    </row>
    <row r="4463" spans="1:5" ht="14.25">
      <c r="A4463" s="37">
        <v>6175</v>
      </c>
      <c r="B4463" s="37" t="s">
        <v>25127</v>
      </c>
      <c r="C4463" s="37" t="s">
        <v>2352</v>
      </c>
      <c r="D4463" s="37" t="s">
        <v>2349</v>
      </c>
      <c r="E4463" s="212">
        <v>26.15</v>
      </c>
    </row>
    <row r="4464" spans="1:5" ht="14.25">
      <c r="A4464" s="37">
        <v>41092</v>
      </c>
      <c r="B4464" s="37" t="s">
        <v>25128</v>
      </c>
      <c r="C4464" s="37" t="s">
        <v>2369</v>
      </c>
      <c r="D4464" s="37" t="s">
        <v>2349</v>
      </c>
      <c r="E4464" s="213">
        <v>4601.32</v>
      </c>
    </row>
    <row r="4465" spans="1:5" ht="14.25">
      <c r="A4465" s="37">
        <v>37712</v>
      </c>
      <c r="B4465" s="37" t="s">
        <v>25129</v>
      </c>
      <c r="C4465" s="37" t="s">
        <v>28761</v>
      </c>
      <c r="D4465" s="37" t="s">
        <v>2351</v>
      </c>
      <c r="E4465" s="212">
        <v>67.77</v>
      </c>
    </row>
    <row r="4466" spans="1:5" ht="14.25">
      <c r="A4466" s="37">
        <v>34547</v>
      </c>
      <c r="B4466" s="37" t="s">
        <v>25130</v>
      </c>
      <c r="C4466" s="37" t="s">
        <v>2355</v>
      </c>
      <c r="D4466" s="37" t="s">
        <v>2349</v>
      </c>
      <c r="E4466" s="212">
        <v>7.43</v>
      </c>
    </row>
    <row r="4467" spans="1:5" ht="14.25">
      <c r="A4467" s="37">
        <v>34548</v>
      </c>
      <c r="B4467" s="37" t="s">
        <v>25131</v>
      </c>
      <c r="C4467" s="37" t="s">
        <v>2355</v>
      </c>
      <c r="D4467" s="37" t="s">
        <v>2349</v>
      </c>
      <c r="E4467" s="212">
        <v>12.19</v>
      </c>
    </row>
    <row r="4468" spans="1:5" ht="14.25">
      <c r="A4468" s="37">
        <v>34558</v>
      </c>
      <c r="B4468" s="37" t="s">
        <v>25132</v>
      </c>
      <c r="C4468" s="37" t="s">
        <v>2355</v>
      </c>
      <c r="D4468" s="37" t="s">
        <v>2349</v>
      </c>
      <c r="E4468" s="212">
        <v>6.04</v>
      </c>
    </row>
    <row r="4469" spans="1:5" ht="14.25">
      <c r="A4469" s="37">
        <v>34550</v>
      </c>
      <c r="B4469" s="37" t="s">
        <v>25133</v>
      </c>
      <c r="C4469" s="37" t="s">
        <v>2355</v>
      </c>
      <c r="D4469" s="37" t="s">
        <v>2349</v>
      </c>
      <c r="E4469" s="212">
        <v>3.21</v>
      </c>
    </row>
    <row r="4470" spans="1:5" ht="14.25">
      <c r="A4470" s="37">
        <v>34557</v>
      </c>
      <c r="B4470" s="37" t="s">
        <v>25134</v>
      </c>
      <c r="C4470" s="37" t="s">
        <v>2355</v>
      </c>
      <c r="D4470" s="37" t="s">
        <v>2349</v>
      </c>
      <c r="E4470" s="212">
        <v>4.71</v>
      </c>
    </row>
    <row r="4471" spans="1:5" ht="14.25">
      <c r="A4471" s="37">
        <v>37411</v>
      </c>
      <c r="B4471" s="37" t="s">
        <v>25135</v>
      </c>
      <c r="C4471" s="37" t="s">
        <v>28761</v>
      </c>
      <c r="D4471" s="37" t="s">
        <v>2349</v>
      </c>
      <c r="E4471" s="212">
        <v>34.409999999999997</v>
      </c>
    </row>
    <row r="4472" spans="1:5" ht="14.25">
      <c r="A4472" s="37">
        <v>39508</v>
      </c>
      <c r="B4472" s="37" t="s">
        <v>25136</v>
      </c>
      <c r="C4472" s="37" t="s">
        <v>28761</v>
      </c>
      <c r="D4472" s="37" t="s">
        <v>2349</v>
      </c>
      <c r="E4472" s="212">
        <v>19.329999999999998</v>
      </c>
    </row>
    <row r="4473" spans="1:5" ht="14.25">
      <c r="A4473" s="37">
        <v>39507</v>
      </c>
      <c r="B4473" s="37" t="s">
        <v>25137</v>
      </c>
      <c r="C4473" s="37" t="s">
        <v>28761</v>
      </c>
      <c r="D4473" s="37" t="s">
        <v>2349</v>
      </c>
      <c r="E4473" s="212">
        <v>28.84</v>
      </c>
    </row>
    <row r="4474" spans="1:5" ht="14.25">
      <c r="A4474" s="37">
        <v>7155</v>
      </c>
      <c r="B4474" s="37" t="s">
        <v>25138</v>
      </c>
      <c r="C4474" s="37" t="s">
        <v>28761</v>
      </c>
      <c r="D4474" s="37" t="s">
        <v>2349</v>
      </c>
      <c r="E4474" s="212">
        <v>37.020000000000003</v>
      </c>
    </row>
    <row r="4475" spans="1:5" ht="14.25">
      <c r="A4475" s="37">
        <v>42406</v>
      </c>
      <c r="B4475" s="37" t="s">
        <v>25139</v>
      </c>
      <c r="C4475" s="37" t="s">
        <v>28761</v>
      </c>
      <c r="D4475" s="37" t="s">
        <v>2349</v>
      </c>
      <c r="E4475" s="212">
        <v>42.44</v>
      </c>
    </row>
    <row r="4476" spans="1:5" ht="14.25">
      <c r="A4476" s="37">
        <v>7156</v>
      </c>
      <c r="B4476" s="37" t="s">
        <v>25140</v>
      </c>
      <c r="C4476" s="37" t="s">
        <v>28761</v>
      </c>
      <c r="D4476" s="37" t="s">
        <v>2353</v>
      </c>
      <c r="E4476" s="212">
        <v>53.11</v>
      </c>
    </row>
    <row r="4477" spans="1:5" ht="14.25">
      <c r="A4477" s="37">
        <v>43127</v>
      </c>
      <c r="B4477" s="37" t="s">
        <v>25141</v>
      </c>
      <c r="C4477" s="37" t="s">
        <v>28761</v>
      </c>
      <c r="D4477" s="37" t="s">
        <v>2349</v>
      </c>
      <c r="E4477" s="212">
        <v>76.010000000000005</v>
      </c>
    </row>
    <row r="4478" spans="1:5" ht="14.25">
      <c r="A4478" s="37">
        <v>10917</v>
      </c>
      <c r="B4478" s="37" t="s">
        <v>25142</v>
      </c>
      <c r="C4478" s="37" t="s">
        <v>28761</v>
      </c>
      <c r="D4478" s="37" t="s">
        <v>2349</v>
      </c>
      <c r="E4478" s="212">
        <v>16.04</v>
      </c>
    </row>
    <row r="4479" spans="1:5" ht="14.25">
      <c r="A4479" s="37">
        <v>21141</v>
      </c>
      <c r="B4479" s="37" t="s">
        <v>25143</v>
      </c>
      <c r="C4479" s="37" t="s">
        <v>28761</v>
      </c>
      <c r="D4479" s="37" t="s">
        <v>2349</v>
      </c>
      <c r="E4479" s="212">
        <v>24.84</v>
      </c>
    </row>
    <row r="4480" spans="1:5" ht="14.25">
      <c r="A4480" s="37">
        <v>39509</v>
      </c>
      <c r="B4480" s="37" t="s">
        <v>25144</v>
      </c>
      <c r="C4480" s="37" t="s">
        <v>28761</v>
      </c>
      <c r="D4480" s="37" t="s">
        <v>2349</v>
      </c>
      <c r="E4480" s="212">
        <v>23.89</v>
      </c>
    </row>
    <row r="4481" spans="1:5" ht="14.25">
      <c r="A4481" s="37">
        <v>44529</v>
      </c>
      <c r="B4481" s="37" t="s">
        <v>28116</v>
      </c>
      <c r="C4481" s="37" t="s">
        <v>28761</v>
      </c>
      <c r="D4481" s="37" t="s">
        <v>2351</v>
      </c>
      <c r="E4481" s="212">
        <v>17.559999999999999</v>
      </c>
    </row>
    <row r="4482" spans="1:5" ht="14.25">
      <c r="A4482" s="37">
        <v>7167</v>
      </c>
      <c r="B4482" s="37" t="s">
        <v>25145</v>
      </c>
      <c r="C4482" s="37" t="s">
        <v>28761</v>
      </c>
      <c r="D4482" s="37" t="s">
        <v>2351</v>
      </c>
      <c r="E4482" s="212">
        <v>26.61</v>
      </c>
    </row>
    <row r="4483" spans="1:5" ht="14.25">
      <c r="A4483" s="37">
        <v>10928</v>
      </c>
      <c r="B4483" s="37" t="s">
        <v>25146</v>
      </c>
      <c r="C4483" s="37" t="s">
        <v>28761</v>
      </c>
      <c r="D4483" s="37" t="s">
        <v>2351</v>
      </c>
      <c r="E4483" s="212">
        <v>15.29</v>
      </c>
    </row>
    <row r="4484" spans="1:5" ht="14.25">
      <c r="A4484" s="37">
        <v>10933</v>
      </c>
      <c r="B4484" s="37" t="s">
        <v>25147</v>
      </c>
      <c r="C4484" s="37" t="s">
        <v>28761</v>
      </c>
      <c r="D4484" s="37" t="s">
        <v>2351</v>
      </c>
      <c r="E4484" s="212">
        <v>23.06</v>
      </c>
    </row>
    <row r="4485" spans="1:5" ht="14.25">
      <c r="A4485" s="37">
        <v>7158</v>
      </c>
      <c r="B4485" s="37" t="s">
        <v>25148</v>
      </c>
      <c r="C4485" s="37" t="s">
        <v>28761</v>
      </c>
      <c r="D4485" s="37" t="s">
        <v>2351</v>
      </c>
      <c r="E4485" s="212">
        <v>39.119999999999997</v>
      </c>
    </row>
    <row r="4486" spans="1:5" ht="14.25">
      <c r="A4486" s="37">
        <v>10927</v>
      </c>
      <c r="B4486" s="37" t="s">
        <v>25149</v>
      </c>
      <c r="C4486" s="37" t="s">
        <v>28761</v>
      </c>
      <c r="D4486" s="37" t="s">
        <v>2351</v>
      </c>
      <c r="E4486" s="212">
        <v>25.02</v>
      </c>
    </row>
    <row r="4487" spans="1:5" ht="14.25">
      <c r="A4487" s="37">
        <v>7162</v>
      </c>
      <c r="B4487" s="37" t="s">
        <v>25150</v>
      </c>
      <c r="C4487" s="37" t="s">
        <v>28761</v>
      </c>
      <c r="D4487" s="37" t="s">
        <v>2351</v>
      </c>
      <c r="E4487" s="212">
        <v>61.22</v>
      </c>
    </row>
    <row r="4488" spans="1:5" ht="14.25">
      <c r="A4488" s="37">
        <v>10932</v>
      </c>
      <c r="B4488" s="37" t="s">
        <v>25151</v>
      </c>
      <c r="C4488" s="37" t="s">
        <v>28761</v>
      </c>
      <c r="D4488" s="37" t="s">
        <v>2351</v>
      </c>
      <c r="E4488" s="212">
        <v>106.48</v>
      </c>
    </row>
    <row r="4489" spans="1:5" ht="14.25">
      <c r="A4489" s="37">
        <v>10937</v>
      </c>
      <c r="B4489" s="37" t="s">
        <v>25152</v>
      </c>
      <c r="C4489" s="37" t="s">
        <v>28761</v>
      </c>
      <c r="D4489" s="37" t="s">
        <v>2351</v>
      </c>
      <c r="E4489" s="212">
        <v>27.37</v>
      </c>
    </row>
    <row r="4490" spans="1:5" ht="14.25">
      <c r="A4490" s="37">
        <v>10935</v>
      </c>
      <c r="B4490" s="37" t="s">
        <v>25153</v>
      </c>
      <c r="C4490" s="37" t="s">
        <v>28761</v>
      </c>
      <c r="D4490" s="37" t="s">
        <v>2351</v>
      </c>
      <c r="E4490" s="212">
        <v>47.46</v>
      </c>
    </row>
    <row r="4491" spans="1:5" ht="14.25">
      <c r="A4491" s="37">
        <v>10931</v>
      </c>
      <c r="B4491" s="37" t="s">
        <v>25154</v>
      </c>
      <c r="C4491" s="37" t="s">
        <v>28761</v>
      </c>
      <c r="D4491" s="37" t="s">
        <v>2351</v>
      </c>
      <c r="E4491" s="212">
        <v>13.35</v>
      </c>
    </row>
    <row r="4492" spans="1:5" ht="14.25">
      <c r="A4492" s="37">
        <v>7164</v>
      </c>
      <c r="B4492" s="37" t="s">
        <v>25155</v>
      </c>
      <c r="C4492" s="37" t="s">
        <v>28761</v>
      </c>
      <c r="D4492" s="37" t="s">
        <v>2351</v>
      </c>
      <c r="E4492" s="212">
        <v>44.18</v>
      </c>
    </row>
    <row r="4493" spans="1:5" ht="14.25">
      <c r="A4493" s="37">
        <v>36887</v>
      </c>
      <c r="B4493" s="37" t="s">
        <v>25156</v>
      </c>
      <c r="C4493" s="37" t="s">
        <v>28761</v>
      </c>
      <c r="D4493" s="37" t="s">
        <v>2349</v>
      </c>
      <c r="E4493" s="212">
        <v>10.64</v>
      </c>
    </row>
    <row r="4494" spans="1:5" ht="14.25">
      <c r="A4494" s="37">
        <v>34630</v>
      </c>
      <c r="B4494" s="37" t="s">
        <v>25157</v>
      </c>
      <c r="C4494" s="37" t="s">
        <v>2348</v>
      </c>
      <c r="D4494" s="37" t="s">
        <v>2351</v>
      </c>
      <c r="E4494" s="213">
        <v>1101.52</v>
      </c>
    </row>
    <row r="4495" spans="1:5" ht="14.25">
      <c r="A4495" s="37">
        <v>7161</v>
      </c>
      <c r="B4495" s="37" t="s">
        <v>25158</v>
      </c>
      <c r="C4495" s="37" t="s">
        <v>28761</v>
      </c>
      <c r="D4495" s="37" t="s">
        <v>2351</v>
      </c>
      <c r="E4495" s="212">
        <v>5.5</v>
      </c>
    </row>
    <row r="4496" spans="1:5" ht="14.25">
      <c r="A4496" s="37">
        <v>7170</v>
      </c>
      <c r="B4496" s="37" t="s">
        <v>25159</v>
      </c>
      <c r="C4496" s="37" t="s">
        <v>28761</v>
      </c>
      <c r="D4496" s="37" t="s">
        <v>2349</v>
      </c>
      <c r="E4496" s="212">
        <v>2.57</v>
      </c>
    </row>
    <row r="4497" spans="1:5" ht="14.25">
      <c r="A4497" s="37">
        <v>37524</v>
      </c>
      <c r="B4497" s="37" t="s">
        <v>25160</v>
      </c>
      <c r="C4497" s="37" t="s">
        <v>2355</v>
      </c>
      <c r="D4497" s="37" t="s">
        <v>2353</v>
      </c>
      <c r="E4497" s="212">
        <v>2.35</v>
      </c>
    </row>
    <row r="4498" spans="1:5" ht="14.25">
      <c r="A4498" s="37">
        <v>37525</v>
      </c>
      <c r="B4498" s="37" t="s">
        <v>25161</v>
      </c>
      <c r="C4498" s="37" t="s">
        <v>2355</v>
      </c>
      <c r="D4498" s="37" t="s">
        <v>2349</v>
      </c>
      <c r="E4498" s="212">
        <v>3.21</v>
      </c>
    </row>
    <row r="4499" spans="1:5" ht="14.25">
      <c r="A4499" s="37">
        <v>36789</v>
      </c>
      <c r="B4499" s="37" t="s">
        <v>25162</v>
      </c>
      <c r="C4499" s="37" t="s">
        <v>2348</v>
      </c>
      <c r="D4499" s="37" t="s">
        <v>2349</v>
      </c>
      <c r="E4499" s="212">
        <v>1.2</v>
      </c>
    </row>
    <row r="4500" spans="1:5" ht="14.25">
      <c r="A4500" s="37">
        <v>7173</v>
      </c>
      <c r="B4500" s="37" t="s">
        <v>25163</v>
      </c>
      <c r="C4500" s="37" t="s">
        <v>2387</v>
      </c>
      <c r="D4500" s="37" t="s">
        <v>2353</v>
      </c>
      <c r="E4500" s="212">
        <v>775</v>
      </c>
    </row>
    <row r="4501" spans="1:5" ht="14.25">
      <c r="A4501" s="37">
        <v>7175</v>
      </c>
      <c r="B4501" s="37" t="s">
        <v>25164</v>
      </c>
      <c r="C4501" s="37" t="s">
        <v>2348</v>
      </c>
      <c r="D4501" s="37" t="s">
        <v>2349</v>
      </c>
      <c r="E4501" s="212">
        <v>0.87</v>
      </c>
    </row>
    <row r="4502" spans="1:5" ht="14.25">
      <c r="A4502" s="37">
        <v>40741</v>
      </c>
      <c r="B4502" s="37" t="s">
        <v>25165</v>
      </c>
      <c r="C4502" s="37" t="s">
        <v>2348</v>
      </c>
      <c r="D4502" s="37" t="s">
        <v>2349</v>
      </c>
      <c r="E4502" s="212">
        <v>2.12</v>
      </c>
    </row>
    <row r="4503" spans="1:5" ht="14.25">
      <c r="A4503" s="37">
        <v>7184</v>
      </c>
      <c r="B4503" s="37" t="s">
        <v>25166</v>
      </c>
      <c r="C4503" s="37" t="s">
        <v>28761</v>
      </c>
      <c r="D4503" s="37" t="s">
        <v>2351</v>
      </c>
      <c r="E4503" s="212">
        <v>36.89</v>
      </c>
    </row>
    <row r="4504" spans="1:5" ht="14.25">
      <c r="A4504" s="37">
        <v>34458</v>
      </c>
      <c r="B4504" s="37" t="s">
        <v>25167</v>
      </c>
      <c r="C4504" s="37" t="s">
        <v>2348</v>
      </c>
      <c r="D4504" s="37" t="s">
        <v>2349</v>
      </c>
      <c r="E4504" s="212">
        <v>161.68</v>
      </c>
    </row>
    <row r="4505" spans="1:5" ht="14.25">
      <c r="A4505" s="37">
        <v>34464</v>
      </c>
      <c r="B4505" s="37" t="s">
        <v>25168</v>
      </c>
      <c r="C4505" s="37" t="s">
        <v>2348</v>
      </c>
      <c r="D4505" s="37" t="s">
        <v>2349</v>
      </c>
      <c r="E4505" s="212">
        <v>240.66</v>
      </c>
    </row>
    <row r="4506" spans="1:5" ht="14.25">
      <c r="A4506" s="37">
        <v>34468</v>
      </c>
      <c r="B4506" s="37" t="s">
        <v>25169</v>
      </c>
      <c r="C4506" s="37" t="s">
        <v>2348</v>
      </c>
      <c r="D4506" s="37" t="s">
        <v>2349</v>
      </c>
      <c r="E4506" s="212">
        <v>303.41000000000003</v>
      </c>
    </row>
    <row r="4507" spans="1:5" ht="14.25">
      <c r="A4507" s="37">
        <v>34473</v>
      </c>
      <c r="B4507" s="37" t="s">
        <v>25170</v>
      </c>
      <c r="C4507" s="37" t="s">
        <v>2348</v>
      </c>
      <c r="D4507" s="37" t="s">
        <v>2349</v>
      </c>
      <c r="E4507" s="212">
        <v>184.05</v>
      </c>
    </row>
    <row r="4508" spans="1:5" ht="14.25">
      <c r="A4508" s="37">
        <v>34480</v>
      </c>
      <c r="B4508" s="37" t="s">
        <v>25171</v>
      </c>
      <c r="C4508" s="37" t="s">
        <v>2348</v>
      </c>
      <c r="D4508" s="37" t="s">
        <v>2349</v>
      </c>
      <c r="E4508" s="212">
        <v>340.14</v>
      </c>
    </row>
    <row r="4509" spans="1:5" ht="14.25">
      <c r="A4509" s="37">
        <v>34486</v>
      </c>
      <c r="B4509" s="37" t="s">
        <v>25172</v>
      </c>
      <c r="C4509" s="37" t="s">
        <v>2348</v>
      </c>
      <c r="D4509" s="37" t="s">
        <v>2349</v>
      </c>
      <c r="E4509" s="212">
        <v>402.71</v>
      </c>
    </row>
    <row r="4510" spans="1:5" ht="14.25">
      <c r="A4510" s="37">
        <v>7190</v>
      </c>
      <c r="B4510" s="37" t="s">
        <v>25173</v>
      </c>
      <c r="C4510" s="37" t="s">
        <v>2348</v>
      </c>
      <c r="D4510" s="37" t="s">
        <v>2349</v>
      </c>
      <c r="E4510" s="212">
        <v>13.44</v>
      </c>
    </row>
    <row r="4511" spans="1:5" ht="14.25">
      <c r="A4511" s="37">
        <v>34417</v>
      </c>
      <c r="B4511" s="37" t="s">
        <v>25174</v>
      </c>
      <c r="C4511" s="37" t="s">
        <v>2348</v>
      </c>
      <c r="D4511" s="37" t="s">
        <v>2349</v>
      </c>
      <c r="E4511" s="212">
        <v>21.52</v>
      </c>
    </row>
    <row r="4512" spans="1:5" ht="14.25">
      <c r="A4512" s="37">
        <v>7213</v>
      </c>
      <c r="B4512" s="37" t="s">
        <v>25175</v>
      </c>
      <c r="C4512" s="37" t="s">
        <v>28761</v>
      </c>
      <c r="D4512" s="37" t="s">
        <v>2349</v>
      </c>
      <c r="E4512" s="212">
        <v>19.73</v>
      </c>
    </row>
    <row r="4513" spans="1:5" ht="14.25">
      <c r="A4513" s="37">
        <v>7195</v>
      </c>
      <c r="B4513" s="37" t="s">
        <v>25176</v>
      </c>
      <c r="C4513" s="37" t="s">
        <v>2348</v>
      </c>
      <c r="D4513" s="37" t="s">
        <v>2349</v>
      </c>
      <c r="E4513" s="212">
        <v>57.93</v>
      </c>
    </row>
    <row r="4514" spans="1:5" ht="14.25">
      <c r="A4514" s="37">
        <v>7186</v>
      </c>
      <c r="B4514" s="37" t="s">
        <v>25177</v>
      </c>
      <c r="C4514" s="37" t="s">
        <v>2348</v>
      </c>
      <c r="D4514" s="37" t="s">
        <v>2353</v>
      </c>
      <c r="E4514" s="212">
        <v>63.11</v>
      </c>
    </row>
    <row r="4515" spans="1:5" ht="14.25">
      <c r="A4515" s="37">
        <v>7194</v>
      </c>
      <c r="B4515" s="37" t="s">
        <v>25178</v>
      </c>
      <c r="C4515" s="37" t="s">
        <v>28761</v>
      </c>
      <c r="D4515" s="37" t="s">
        <v>2349</v>
      </c>
      <c r="E4515" s="212">
        <v>29.1</v>
      </c>
    </row>
    <row r="4516" spans="1:5" ht="14.25">
      <c r="A4516" s="37">
        <v>7197</v>
      </c>
      <c r="B4516" s="37" t="s">
        <v>25179</v>
      </c>
      <c r="C4516" s="37" t="s">
        <v>2348</v>
      </c>
      <c r="D4516" s="37" t="s">
        <v>2349</v>
      </c>
      <c r="E4516" s="212">
        <v>122.81</v>
      </c>
    </row>
    <row r="4517" spans="1:5" ht="14.25">
      <c r="A4517" s="37">
        <v>7192</v>
      </c>
      <c r="B4517" s="37" t="s">
        <v>25180</v>
      </c>
      <c r="C4517" s="37" t="s">
        <v>2348</v>
      </c>
      <c r="D4517" s="37" t="s">
        <v>2349</v>
      </c>
      <c r="E4517" s="212">
        <v>110.03</v>
      </c>
    </row>
    <row r="4518" spans="1:5" ht="14.25">
      <c r="A4518" s="37">
        <v>7193</v>
      </c>
      <c r="B4518" s="37" t="s">
        <v>25181</v>
      </c>
      <c r="C4518" s="37" t="s">
        <v>2348</v>
      </c>
      <c r="D4518" s="37" t="s">
        <v>2349</v>
      </c>
      <c r="E4518" s="212">
        <v>123.88</v>
      </c>
    </row>
    <row r="4519" spans="1:5" ht="14.25">
      <c r="A4519" s="37">
        <v>7189</v>
      </c>
      <c r="B4519" s="37" t="s">
        <v>25182</v>
      </c>
      <c r="C4519" s="37" t="s">
        <v>2348</v>
      </c>
      <c r="D4519" s="37" t="s">
        <v>2349</v>
      </c>
      <c r="E4519" s="212">
        <v>143.96</v>
      </c>
    </row>
    <row r="4520" spans="1:5" ht="14.25">
      <c r="A4520" s="37">
        <v>34402</v>
      </c>
      <c r="B4520" s="37" t="s">
        <v>25183</v>
      </c>
      <c r="C4520" s="37" t="s">
        <v>2348</v>
      </c>
      <c r="D4520" s="37" t="s">
        <v>2349</v>
      </c>
      <c r="E4520" s="212">
        <v>203.24</v>
      </c>
    </row>
    <row r="4521" spans="1:5" ht="14.25">
      <c r="A4521" s="37">
        <v>7245</v>
      </c>
      <c r="B4521" s="37" t="s">
        <v>25184</v>
      </c>
      <c r="C4521" s="37" t="s">
        <v>2348</v>
      </c>
      <c r="D4521" s="37" t="s">
        <v>2349</v>
      </c>
      <c r="E4521" s="212">
        <v>35.72</v>
      </c>
    </row>
    <row r="4522" spans="1:5" ht="14.25">
      <c r="A4522" s="37">
        <v>34425</v>
      </c>
      <c r="B4522" s="37" t="s">
        <v>25185</v>
      </c>
      <c r="C4522" s="37" t="s">
        <v>2348</v>
      </c>
      <c r="D4522" s="37" t="s">
        <v>2349</v>
      </c>
      <c r="E4522" s="212">
        <v>130.56</v>
      </c>
    </row>
    <row r="4523" spans="1:5" ht="14.25">
      <c r="A4523" s="37">
        <v>7223</v>
      </c>
      <c r="B4523" s="37" t="s">
        <v>25186</v>
      </c>
      <c r="C4523" s="37" t="s">
        <v>2348</v>
      </c>
      <c r="D4523" s="37" t="s">
        <v>2349</v>
      </c>
      <c r="E4523" s="212">
        <v>145.49</v>
      </c>
    </row>
    <row r="4524" spans="1:5" ht="14.25">
      <c r="A4524" s="37">
        <v>7234</v>
      </c>
      <c r="B4524" s="37" t="s">
        <v>25187</v>
      </c>
      <c r="C4524" s="37" t="s">
        <v>2348</v>
      </c>
      <c r="D4524" s="37" t="s">
        <v>2349</v>
      </c>
      <c r="E4524" s="212">
        <v>219.55</v>
      </c>
    </row>
    <row r="4525" spans="1:5" ht="14.25">
      <c r="A4525" s="37">
        <v>7224</v>
      </c>
      <c r="B4525" s="37" t="s">
        <v>25188</v>
      </c>
      <c r="C4525" s="37" t="s">
        <v>2348</v>
      </c>
      <c r="D4525" s="37" t="s">
        <v>2349</v>
      </c>
      <c r="E4525" s="212">
        <v>267.47000000000003</v>
      </c>
    </row>
    <row r="4526" spans="1:5" ht="14.25">
      <c r="A4526" s="37">
        <v>7225</v>
      </c>
      <c r="B4526" s="37" t="s">
        <v>25189</v>
      </c>
      <c r="C4526" s="37" t="s">
        <v>2348</v>
      </c>
      <c r="D4526" s="37" t="s">
        <v>2349</v>
      </c>
      <c r="E4526" s="212">
        <v>286.8</v>
      </c>
    </row>
    <row r="4527" spans="1:5" ht="14.25">
      <c r="A4527" s="37">
        <v>7226</v>
      </c>
      <c r="B4527" s="37" t="s">
        <v>25190</v>
      </c>
      <c r="C4527" s="37" t="s">
        <v>2348</v>
      </c>
      <c r="D4527" s="37" t="s">
        <v>2349</v>
      </c>
      <c r="E4527" s="212">
        <v>306.05</v>
      </c>
    </row>
    <row r="4528" spans="1:5" ht="14.25">
      <c r="A4528" s="37">
        <v>7227</v>
      </c>
      <c r="B4528" s="37" t="s">
        <v>25191</v>
      </c>
      <c r="C4528" s="37" t="s">
        <v>2348</v>
      </c>
      <c r="D4528" s="37" t="s">
        <v>2349</v>
      </c>
      <c r="E4528" s="212">
        <v>348.37</v>
      </c>
    </row>
    <row r="4529" spans="1:5" ht="14.25">
      <c r="A4529" s="37">
        <v>7212</v>
      </c>
      <c r="B4529" s="37" t="s">
        <v>25192</v>
      </c>
      <c r="C4529" s="37" t="s">
        <v>2348</v>
      </c>
      <c r="D4529" s="37" t="s">
        <v>2349</v>
      </c>
      <c r="E4529" s="212">
        <v>382.77</v>
      </c>
    </row>
    <row r="4530" spans="1:5" ht="14.25">
      <c r="A4530" s="37">
        <v>7229</v>
      </c>
      <c r="B4530" s="37" t="s">
        <v>25193</v>
      </c>
      <c r="C4530" s="37" t="s">
        <v>2348</v>
      </c>
      <c r="D4530" s="37" t="s">
        <v>2349</v>
      </c>
      <c r="E4530" s="212">
        <v>242.63</v>
      </c>
    </row>
    <row r="4531" spans="1:5" ht="14.25">
      <c r="A4531" s="37">
        <v>7230</v>
      </c>
      <c r="B4531" s="37" t="s">
        <v>25194</v>
      </c>
      <c r="C4531" s="37" t="s">
        <v>2348</v>
      </c>
      <c r="D4531" s="37" t="s">
        <v>2349</v>
      </c>
      <c r="E4531" s="212">
        <v>403.93</v>
      </c>
    </row>
    <row r="4532" spans="1:5" ht="14.25">
      <c r="A4532" s="37">
        <v>7231</v>
      </c>
      <c r="B4532" s="37" t="s">
        <v>25195</v>
      </c>
      <c r="C4532" s="37" t="s">
        <v>2348</v>
      </c>
      <c r="D4532" s="37" t="s">
        <v>2349</v>
      </c>
      <c r="E4532" s="212">
        <v>573.01</v>
      </c>
    </row>
    <row r="4533" spans="1:5" ht="14.25">
      <c r="A4533" s="37">
        <v>7220</v>
      </c>
      <c r="B4533" s="37" t="s">
        <v>25196</v>
      </c>
      <c r="C4533" s="37" t="s">
        <v>2348</v>
      </c>
      <c r="D4533" s="37" t="s">
        <v>2349</v>
      </c>
      <c r="E4533" s="212">
        <v>707.32</v>
      </c>
    </row>
    <row r="4534" spans="1:5" ht="14.25">
      <c r="A4534" s="37">
        <v>34447</v>
      </c>
      <c r="B4534" s="37" t="s">
        <v>25197</v>
      </c>
      <c r="C4534" s="37" t="s">
        <v>2348</v>
      </c>
      <c r="D4534" s="37" t="s">
        <v>2349</v>
      </c>
      <c r="E4534" s="212">
        <v>790.88</v>
      </c>
    </row>
    <row r="4535" spans="1:5" ht="14.25">
      <c r="A4535" s="37">
        <v>7233</v>
      </c>
      <c r="B4535" s="37" t="s">
        <v>25198</v>
      </c>
      <c r="C4535" s="37" t="s">
        <v>2348</v>
      </c>
      <c r="D4535" s="37" t="s">
        <v>2349</v>
      </c>
      <c r="E4535" s="212">
        <v>907.27</v>
      </c>
    </row>
    <row r="4536" spans="1:5" ht="14.25">
      <c r="A4536" s="37">
        <v>40740</v>
      </c>
      <c r="B4536" s="37" t="s">
        <v>28117</v>
      </c>
      <c r="C4536" s="37" t="s">
        <v>28761</v>
      </c>
      <c r="D4536" s="37" t="s">
        <v>2351</v>
      </c>
      <c r="E4536" s="212">
        <v>241.13</v>
      </c>
    </row>
    <row r="4537" spans="1:5" ht="14.25">
      <c r="A4537" s="37">
        <v>25007</v>
      </c>
      <c r="B4537" s="37" t="s">
        <v>25199</v>
      </c>
      <c r="C4537" s="37" t="s">
        <v>28761</v>
      </c>
      <c r="D4537" s="37" t="s">
        <v>2351</v>
      </c>
      <c r="E4537" s="212">
        <v>69</v>
      </c>
    </row>
    <row r="4538" spans="1:5" ht="14.25">
      <c r="A4538" s="37">
        <v>43071</v>
      </c>
      <c r="B4538" s="37" t="s">
        <v>25200</v>
      </c>
      <c r="C4538" s="37" t="s">
        <v>28761</v>
      </c>
      <c r="D4538" s="37" t="s">
        <v>2351</v>
      </c>
      <c r="E4538" s="212">
        <v>271.52</v>
      </c>
    </row>
    <row r="4539" spans="1:5" ht="14.25">
      <c r="A4539" s="37">
        <v>39520</v>
      </c>
      <c r="B4539" s="37" t="s">
        <v>25201</v>
      </c>
      <c r="C4539" s="37" t="s">
        <v>28761</v>
      </c>
      <c r="D4539" s="37" t="s">
        <v>2351</v>
      </c>
      <c r="E4539" s="212">
        <v>221.52</v>
      </c>
    </row>
    <row r="4540" spans="1:5" ht="14.25">
      <c r="A4540" s="37">
        <v>39521</v>
      </c>
      <c r="B4540" s="37" t="s">
        <v>25202</v>
      </c>
      <c r="C4540" s="37" t="s">
        <v>28761</v>
      </c>
      <c r="D4540" s="37" t="s">
        <v>2351</v>
      </c>
      <c r="E4540" s="212">
        <v>228.75</v>
      </c>
    </row>
    <row r="4541" spans="1:5" ht="14.25">
      <c r="A4541" s="37">
        <v>39522</v>
      </c>
      <c r="B4541" s="37" t="s">
        <v>25203</v>
      </c>
      <c r="C4541" s="37" t="s">
        <v>28761</v>
      </c>
      <c r="D4541" s="37" t="s">
        <v>2351</v>
      </c>
      <c r="E4541" s="212">
        <v>236.21</v>
      </c>
    </row>
    <row r="4542" spans="1:5" ht="14.25">
      <c r="A4542" s="37">
        <v>7243</v>
      </c>
      <c r="B4542" s="37" t="s">
        <v>25204</v>
      </c>
      <c r="C4542" s="37" t="s">
        <v>28761</v>
      </c>
      <c r="D4542" s="37" t="s">
        <v>2351</v>
      </c>
      <c r="E4542" s="212">
        <v>72.099999999999994</v>
      </c>
    </row>
    <row r="4543" spans="1:5" ht="14.25">
      <c r="A4543" s="37">
        <v>11067</v>
      </c>
      <c r="B4543" s="37" t="s">
        <v>25205</v>
      </c>
      <c r="C4543" s="37" t="s">
        <v>2348</v>
      </c>
      <c r="D4543" s="37" t="s">
        <v>2351</v>
      </c>
      <c r="E4543" s="212">
        <v>464.52</v>
      </c>
    </row>
    <row r="4544" spans="1:5" ht="14.25">
      <c r="A4544" s="37">
        <v>11068</v>
      </c>
      <c r="B4544" s="37" t="s">
        <v>25206</v>
      </c>
      <c r="C4544" s="37" t="s">
        <v>2348</v>
      </c>
      <c r="D4544" s="37" t="s">
        <v>2351</v>
      </c>
      <c r="E4544" s="212">
        <v>586.85</v>
      </c>
    </row>
    <row r="4545" spans="1:5" ht="14.25">
      <c r="A4545" s="37">
        <v>7246</v>
      </c>
      <c r="B4545" s="37" t="s">
        <v>25207</v>
      </c>
      <c r="C4545" s="37" t="s">
        <v>2348</v>
      </c>
      <c r="D4545" s="37" t="s">
        <v>2349</v>
      </c>
      <c r="E4545" s="212">
        <v>39.44</v>
      </c>
    </row>
    <row r="4546" spans="1:5" ht="14.25">
      <c r="A4546" s="37">
        <v>12869</v>
      </c>
      <c r="B4546" s="37" t="s">
        <v>25208</v>
      </c>
      <c r="C4546" s="37" t="s">
        <v>2352</v>
      </c>
      <c r="D4546" s="37" t="s">
        <v>2349</v>
      </c>
      <c r="E4546" s="212">
        <v>16.64</v>
      </c>
    </row>
    <row r="4547" spans="1:5" ht="14.25">
      <c r="A4547" s="37">
        <v>41097</v>
      </c>
      <c r="B4547" s="37" t="s">
        <v>25209</v>
      </c>
      <c r="C4547" s="37" t="s">
        <v>2369</v>
      </c>
      <c r="D4547" s="37" t="s">
        <v>2349</v>
      </c>
      <c r="E4547" s="213">
        <v>2927.99</v>
      </c>
    </row>
    <row r="4548" spans="1:5" ht="14.25">
      <c r="A4548" s="37">
        <v>1574</v>
      </c>
      <c r="B4548" s="37" t="s">
        <v>25210</v>
      </c>
      <c r="C4548" s="37" t="s">
        <v>2348</v>
      </c>
      <c r="D4548" s="37" t="s">
        <v>2349</v>
      </c>
      <c r="E4548" s="212">
        <v>1.46</v>
      </c>
    </row>
    <row r="4549" spans="1:5" ht="14.25">
      <c r="A4549" s="37">
        <v>1581</v>
      </c>
      <c r="B4549" s="37" t="s">
        <v>25211</v>
      </c>
      <c r="C4549" s="37" t="s">
        <v>2348</v>
      </c>
      <c r="D4549" s="37" t="s">
        <v>2349</v>
      </c>
      <c r="E4549" s="212">
        <v>10.16</v>
      </c>
    </row>
    <row r="4550" spans="1:5" ht="14.25">
      <c r="A4550" s="37">
        <v>1575</v>
      </c>
      <c r="B4550" s="37" t="s">
        <v>25212</v>
      </c>
      <c r="C4550" s="37" t="s">
        <v>2348</v>
      </c>
      <c r="D4550" s="37" t="s">
        <v>2349</v>
      </c>
      <c r="E4550" s="212">
        <v>1.74</v>
      </c>
    </row>
    <row r="4551" spans="1:5" ht="14.25">
      <c r="A4551" s="37">
        <v>1570</v>
      </c>
      <c r="B4551" s="37" t="s">
        <v>25213</v>
      </c>
      <c r="C4551" s="37" t="s">
        <v>2348</v>
      </c>
      <c r="D4551" s="37" t="s">
        <v>2349</v>
      </c>
      <c r="E4551" s="212">
        <v>0.87</v>
      </c>
    </row>
    <row r="4552" spans="1:5" ht="14.25">
      <c r="A4552" s="37">
        <v>1576</v>
      </c>
      <c r="B4552" s="37" t="s">
        <v>25214</v>
      </c>
      <c r="C4552" s="37" t="s">
        <v>2348</v>
      </c>
      <c r="D4552" s="37" t="s">
        <v>2349</v>
      </c>
      <c r="E4552" s="212">
        <v>2.4</v>
      </c>
    </row>
    <row r="4553" spans="1:5" ht="14.25">
      <c r="A4553" s="37">
        <v>1577</v>
      </c>
      <c r="B4553" s="37" t="s">
        <v>25215</v>
      </c>
      <c r="C4553" s="37" t="s">
        <v>2348</v>
      </c>
      <c r="D4553" s="37" t="s">
        <v>2349</v>
      </c>
      <c r="E4553" s="212">
        <v>2.71</v>
      </c>
    </row>
    <row r="4554" spans="1:5" ht="14.25">
      <c r="A4554" s="37">
        <v>1571</v>
      </c>
      <c r="B4554" s="37" t="s">
        <v>25216</v>
      </c>
      <c r="C4554" s="37" t="s">
        <v>2348</v>
      </c>
      <c r="D4554" s="37" t="s">
        <v>2349</v>
      </c>
      <c r="E4554" s="212">
        <v>1.1299999999999999</v>
      </c>
    </row>
    <row r="4555" spans="1:5" ht="14.25">
      <c r="A4555" s="37">
        <v>1578</v>
      </c>
      <c r="B4555" s="37" t="s">
        <v>25217</v>
      </c>
      <c r="C4555" s="37" t="s">
        <v>2348</v>
      </c>
      <c r="D4555" s="37" t="s">
        <v>2349</v>
      </c>
      <c r="E4555" s="212">
        <v>4.71</v>
      </c>
    </row>
    <row r="4556" spans="1:5" ht="14.25">
      <c r="A4556" s="37">
        <v>1573</v>
      </c>
      <c r="B4556" s="37" t="s">
        <v>25218</v>
      </c>
      <c r="C4556" s="37" t="s">
        <v>2348</v>
      </c>
      <c r="D4556" s="37" t="s">
        <v>2349</v>
      </c>
      <c r="E4556" s="212">
        <v>1.35</v>
      </c>
    </row>
    <row r="4557" spans="1:5" ht="14.25">
      <c r="A4557" s="37">
        <v>1579</v>
      </c>
      <c r="B4557" s="37" t="s">
        <v>25219</v>
      </c>
      <c r="C4557" s="37" t="s">
        <v>2348</v>
      </c>
      <c r="D4557" s="37" t="s">
        <v>2349</v>
      </c>
      <c r="E4557" s="212">
        <v>5.87</v>
      </c>
    </row>
    <row r="4558" spans="1:5" ht="14.25">
      <c r="A4558" s="37">
        <v>1580</v>
      </c>
      <c r="B4558" s="37" t="s">
        <v>25220</v>
      </c>
      <c r="C4558" s="37" t="s">
        <v>2348</v>
      </c>
      <c r="D4558" s="37" t="s">
        <v>2349</v>
      </c>
      <c r="E4558" s="212">
        <v>7.22</v>
      </c>
    </row>
    <row r="4559" spans="1:5" ht="14.25">
      <c r="A4559" s="37">
        <v>39321</v>
      </c>
      <c r="B4559" s="37" t="s">
        <v>25221</v>
      </c>
      <c r="C4559" s="37" t="s">
        <v>2348</v>
      </c>
      <c r="D4559" s="37" t="s">
        <v>2349</v>
      </c>
      <c r="E4559" s="212">
        <v>27.05</v>
      </c>
    </row>
    <row r="4560" spans="1:5" ht="14.25">
      <c r="A4560" s="37">
        <v>39319</v>
      </c>
      <c r="B4560" s="37" t="s">
        <v>25222</v>
      </c>
      <c r="C4560" s="37" t="s">
        <v>2348</v>
      </c>
      <c r="D4560" s="37" t="s">
        <v>2349</v>
      </c>
      <c r="E4560" s="212">
        <v>10.56</v>
      </c>
    </row>
    <row r="4561" spans="1:5" ht="14.25">
      <c r="A4561" s="37">
        <v>39320</v>
      </c>
      <c r="B4561" s="37" t="s">
        <v>25223</v>
      </c>
      <c r="C4561" s="37" t="s">
        <v>2348</v>
      </c>
      <c r="D4561" s="37" t="s">
        <v>2349</v>
      </c>
      <c r="E4561" s="212">
        <v>17.559999999999999</v>
      </c>
    </row>
    <row r="4562" spans="1:5" ht="14.25">
      <c r="A4562" s="37">
        <v>1591</v>
      </c>
      <c r="B4562" s="37" t="s">
        <v>25224</v>
      </c>
      <c r="C4562" s="37" t="s">
        <v>2348</v>
      </c>
      <c r="D4562" s="37" t="s">
        <v>2349</v>
      </c>
      <c r="E4562" s="212">
        <v>22.41</v>
      </c>
    </row>
    <row r="4563" spans="1:5" ht="14.25">
      <c r="A4563" s="37">
        <v>1547</v>
      </c>
      <c r="B4563" s="37" t="s">
        <v>25225</v>
      </c>
      <c r="C4563" s="37" t="s">
        <v>2348</v>
      </c>
      <c r="D4563" s="37" t="s">
        <v>2349</v>
      </c>
      <c r="E4563" s="212">
        <v>117.42</v>
      </c>
    </row>
    <row r="4564" spans="1:5" ht="14.25">
      <c r="A4564" s="37">
        <v>38196</v>
      </c>
      <c r="B4564" s="37" t="s">
        <v>25226</v>
      </c>
      <c r="C4564" s="37" t="s">
        <v>2348</v>
      </c>
      <c r="D4564" s="37" t="s">
        <v>2349</v>
      </c>
      <c r="E4564" s="212">
        <v>22.87</v>
      </c>
    </row>
    <row r="4565" spans="1:5" ht="14.25">
      <c r="A4565" s="37">
        <v>1543</v>
      </c>
      <c r="B4565" s="37" t="s">
        <v>25227</v>
      </c>
      <c r="C4565" s="37" t="s">
        <v>2348</v>
      </c>
      <c r="D4565" s="37" t="s">
        <v>2349</v>
      </c>
      <c r="E4565" s="212">
        <v>24.3</v>
      </c>
    </row>
    <row r="4566" spans="1:5" ht="14.25">
      <c r="A4566" s="37">
        <v>1585</v>
      </c>
      <c r="B4566" s="37" t="s">
        <v>25228</v>
      </c>
      <c r="C4566" s="37" t="s">
        <v>2348</v>
      </c>
      <c r="D4566" s="37" t="s">
        <v>2349</v>
      </c>
      <c r="E4566" s="212">
        <v>4.71</v>
      </c>
    </row>
    <row r="4567" spans="1:5" ht="14.25">
      <c r="A4567" s="37">
        <v>1593</v>
      </c>
      <c r="B4567" s="37" t="s">
        <v>25229</v>
      </c>
      <c r="C4567" s="37" t="s">
        <v>2348</v>
      </c>
      <c r="D4567" s="37" t="s">
        <v>2349</v>
      </c>
      <c r="E4567" s="212">
        <v>24.99</v>
      </c>
    </row>
    <row r="4568" spans="1:5" ht="14.25">
      <c r="A4568" s="37">
        <v>11838</v>
      </c>
      <c r="B4568" s="37" t="s">
        <v>25230</v>
      </c>
      <c r="C4568" s="37" t="s">
        <v>2348</v>
      </c>
      <c r="D4568" s="37" t="s">
        <v>2349</v>
      </c>
      <c r="E4568" s="212">
        <v>32.979999999999997</v>
      </c>
    </row>
    <row r="4569" spans="1:5" ht="14.25">
      <c r="A4569" s="37">
        <v>1594</v>
      </c>
      <c r="B4569" s="37" t="s">
        <v>25231</v>
      </c>
      <c r="C4569" s="37" t="s">
        <v>2348</v>
      </c>
      <c r="D4569" s="37" t="s">
        <v>2349</v>
      </c>
      <c r="E4569" s="212">
        <v>33.340000000000003</v>
      </c>
    </row>
    <row r="4570" spans="1:5" ht="14.25">
      <c r="A4570" s="37">
        <v>1586</v>
      </c>
      <c r="B4570" s="37" t="s">
        <v>25232</v>
      </c>
      <c r="C4570" s="37" t="s">
        <v>2348</v>
      </c>
      <c r="D4570" s="37" t="s">
        <v>2349</v>
      </c>
      <c r="E4570" s="212">
        <v>5.95</v>
      </c>
    </row>
    <row r="4571" spans="1:5" ht="14.25">
      <c r="A4571" s="37">
        <v>11839</v>
      </c>
      <c r="B4571" s="37" t="s">
        <v>25233</v>
      </c>
      <c r="C4571" s="37" t="s">
        <v>2348</v>
      </c>
      <c r="D4571" s="37" t="s">
        <v>2349</v>
      </c>
      <c r="E4571" s="212">
        <v>47.99</v>
      </c>
    </row>
    <row r="4572" spans="1:5" ht="14.25">
      <c r="A4572" s="37">
        <v>1587</v>
      </c>
      <c r="B4572" s="37" t="s">
        <v>25234</v>
      </c>
      <c r="C4572" s="37" t="s">
        <v>2348</v>
      </c>
      <c r="D4572" s="37" t="s">
        <v>2349</v>
      </c>
      <c r="E4572" s="212">
        <v>6.06</v>
      </c>
    </row>
    <row r="4573" spans="1:5" ht="14.25">
      <c r="A4573" s="37">
        <v>1545</v>
      </c>
      <c r="B4573" s="37" t="s">
        <v>25235</v>
      </c>
      <c r="C4573" s="37" t="s">
        <v>2348</v>
      </c>
      <c r="D4573" s="37" t="s">
        <v>2349</v>
      </c>
      <c r="E4573" s="212">
        <v>57.58</v>
      </c>
    </row>
    <row r="4574" spans="1:5" ht="14.25">
      <c r="A4574" s="37">
        <v>1588</v>
      </c>
      <c r="B4574" s="37" t="s">
        <v>25236</v>
      </c>
      <c r="C4574" s="37" t="s">
        <v>2348</v>
      </c>
      <c r="D4574" s="37" t="s">
        <v>2349</v>
      </c>
      <c r="E4574" s="212">
        <v>8.32</v>
      </c>
    </row>
    <row r="4575" spans="1:5" ht="14.25">
      <c r="A4575" s="37">
        <v>1535</v>
      </c>
      <c r="B4575" s="37" t="s">
        <v>25237</v>
      </c>
      <c r="C4575" s="37" t="s">
        <v>2348</v>
      </c>
      <c r="D4575" s="37" t="s">
        <v>2349</v>
      </c>
      <c r="E4575" s="212">
        <v>4.79</v>
      </c>
    </row>
    <row r="4576" spans="1:5" ht="14.25">
      <c r="A4576" s="37">
        <v>1589</v>
      </c>
      <c r="B4576" s="37" t="s">
        <v>25238</v>
      </c>
      <c r="C4576" s="37" t="s">
        <v>2348</v>
      </c>
      <c r="D4576" s="37" t="s">
        <v>2349</v>
      </c>
      <c r="E4576" s="212">
        <v>8.58</v>
      </c>
    </row>
    <row r="4577" spans="1:5" ht="14.25">
      <c r="A4577" s="37">
        <v>1546</v>
      </c>
      <c r="B4577" s="37" t="s">
        <v>25239</v>
      </c>
      <c r="C4577" s="37" t="s">
        <v>2348</v>
      </c>
      <c r="D4577" s="37" t="s">
        <v>2349</v>
      </c>
      <c r="E4577" s="212">
        <v>97.17</v>
      </c>
    </row>
    <row r="4578" spans="1:5" ht="14.25">
      <c r="A4578" s="37">
        <v>1590</v>
      </c>
      <c r="B4578" s="37" t="s">
        <v>25240</v>
      </c>
      <c r="C4578" s="37" t="s">
        <v>2348</v>
      </c>
      <c r="D4578" s="37" t="s">
        <v>2349</v>
      </c>
      <c r="E4578" s="212">
        <v>15.11</v>
      </c>
    </row>
    <row r="4579" spans="1:5" ht="14.25">
      <c r="A4579" s="37">
        <v>1542</v>
      </c>
      <c r="B4579" s="37" t="s">
        <v>25241</v>
      </c>
      <c r="C4579" s="37" t="s">
        <v>2348</v>
      </c>
      <c r="D4579" s="37" t="s">
        <v>2349</v>
      </c>
      <c r="E4579" s="212">
        <v>20.02</v>
      </c>
    </row>
    <row r="4580" spans="1:5" ht="14.25">
      <c r="A4580" s="37">
        <v>38415</v>
      </c>
      <c r="B4580" s="37" t="s">
        <v>25242</v>
      </c>
      <c r="C4580" s="37" t="s">
        <v>2348</v>
      </c>
      <c r="D4580" s="37" t="s">
        <v>2349</v>
      </c>
      <c r="E4580" s="213">
        <v>1343.38</v>
      </c>
    </row>
    <row r="4581" spans="1:5" ht="14.25">
      <c r="A4581" s="37">
        <v>38414</v>
      </c>
      <c r="B4581" s="37" t="s">
        <v>25243</v>
      </c>
      <c r="C4581" s="37" t="s">
        <v>2348</v>
      </c>
      <c r="D4581" s="37" t="s">
        <v>2349</v>
      </c>
      <c r="E4581" s="213">
        <v>1885.45</v>
      </c>
    </row>
    <row r="4582" spans="1:5" ht="14.25">
      <c r="A4582" s="37">
        <v>38128</v>
      </c>
      <c r="B4582" s="37" t="s">
        <v>25244</v>
      </c>
      <c r="C4582" s="37" t="s">
        <v>2356</v>
      </c>
      <c r="D4582" s="37" t="s">
        <v>2353</v>
      </c>
      <c r="E4582" s="212">
        <v>0.68</v>
      </c>
    </row>
    <row r="4583" spans="1:5" ht="14.25">
      <c r="A4583" s="37">
        <v>7253</v>
      </c>
      <c r="B4583" s="37" t="s">
        <v>25245</v>
      </c>
      <c r="C4583" s="37" t="s">
        <v>28760</v>
      </c>
      <c r="D4583" s="37" t="s">
        <v>2349</v>
      </c>
      <c r="E4583" s="212">
        <v>145.71</v>
      </c>
    </row>
    <row r="4584" spans="1:5" ht="14.25">
      <c r="A4584" s="37">
        <v>4806</v>
      </c>
      <c r="B4584" s="37" t="s">
        <v>25246</v>
      </c>
      <c r="C4584" s="37" t="s">
        <v>2355</v>
      </c>
      <c r="D4584" s="37" t="s">
        <v>2349</v>
      </c>
      <c r="E4584" s="212">
        <v>16.93</v>
      </c>
    </row>
    <row r="4585" spans="1:5" ht="14.25">
      <c r="A4585" s="37">
        <v>34401</v>
      </c>
      <c r="B4585" s="37" t="s">
        <v>25247</v>
      </c>
      <c r="C4585" s="37" t="s">
        <v>2348</v>
      </c>
      <c r="D4585" s="37" t="s">
        <v>2349</v>
      </c>
      <c r="E4585" s="212">
        <v>1.19</v>
      </c>
    </row>
    <row r="4586" spans="1:5" ht="14.25">
      <c r="A4586" s="37">
        <v>7260</v>
      </c>
      <c r="B4586" s="37" t="s">
        <v>25248</v>
      </c>
      <c r="C4586" s="37" t="s">
        <v>2348</v>
      </c>
      <c r="D4586" s="37" t="s">
        <v>2349</v>
      </c>
      <c r="E4586" s="212">
        <v>1.05</v>
      </c>
    </row>
    <row r="4587" spans="1:5" ht="14.25">
      <c r="A4587" s="37">
        <v>7256</v>
      </c>
      <c r="B4587" s="37" t="s">
        <v>25249</v>
      </c>
      <c r="C4587" s="37" t="s">
        <v>2348</v>
      </c>
      <c r="D4587" s="37" t="s">
        <v>2349</v>
      </c>
      <c r="E4587" s="212">
        <v>1.04</v>
      </c>
    </row>
    <row r="4588" spans="1:5" ht="14.25">
      <c r="A4588" s="37">
        <v>7258</v>
      </c>
      <c r="B4588" s="37" t="s">
        <v>25250</v>
      </c>
      <c r="C4588" s="37" t="s">
        <v>2348</v>
      </c>
      <c r="D4588" s="37" t="s">
        <v>2349</v>
      </c>
      <c r="E4588" s="212">
        <v>0.43</v>
      </c>
    </row>
    <row r="4589" spans="1:5" ht="14.25">
      <c r="A4589" s="37">
        <v>34400</v>
      </c>
      <c r="B4589" s="37" t="s">
        <v>25251</v>
      </c>
      <c r="C4589" s="37" t="s">
        <v>2348</v>
      </c>
      <c r="D4589" s="37" t="s">
        <v>2349</v>
      </c>
      <c r="E4589" s="212">
        <v>1.83</v>
      </c>
    </row>
    <row r="4590" spans="1:5" ht="14.25">
      <c r="A4590" s="37">
        <v>10617</v>
      </c>
      <c r="B4590" s="37" t="s">
        <v>25252</v>
      </c>
      <c r="C4590" s="37" t="s">
        <v>2348</v>
      </c>
      <c r="D4590" s="37" t="s">
        <v>2349</v>
      </c>
      <c r="E4590" s="212">
        <v>3.51</v>
      </c>
    </row>
    <row r="4591" spans="1:5" ht="14.25">
      <c r="A4591" s="37">
        <v>7274</v>
      </c>
      <c r="B4591" s="37" t="s">
        <v>25253</v>
      </c>
      <c r="C4591" s="37" t="s">
        <v>2348</v>
      </c>
      <c r="D4591" s="37" t="s">
        <v>2351</v>
      </c>
      <c r="E4591" s="212">
        <v>67.31</v>
      </c>
    </row>
    <row r="4592" spans="1:5" ht="14.25">
      <c r="A4592" s="37">
        <v>11663</v>
      </c>
      <c r="B4592" s="37" t="s">
        <v>25254</v>
      </c>
      <c r="C4592" s="37" t="s">
        <v>2348</v>
      </c>
      <c r="D4592" s="37" t="s">
        <v>2351</v>
      </c>
      <c r="E4592" s="212">
        <v>553.67999999999995</v>
      </c>
    </row>
    <row r="4593" spans="1:5" ht="14.25">
      <c r="A4593" s="37">
        <v>154</v>
      </c>
      <c r="B4593" s="37" t="s">
        <v>25255</v>
      </c>
      <c r="C4593" s="37" t="s">
        <v>2363</v>
      </c>
      <c r="D4593" s="37" t="s">
        <v>2349</v>
      </c>
      <c r="E4593" s="212">
        <v>64.180000000000007</v>
      </c>
    </row>
    <row r="4594" spans="1:5" ht="14.25">
      <c r="A4594" s="37">
        <v>38121</v>
      </c>
      <c r="B4594" s="37" t="s">
        <v>25256</v>
      </c>
      <c r="C4594" s="37" t="s">
        <v>2363</v>
      </c>
      <c r="D4594" s="37" t="s">
        <v>2349</v>
      </c>
      <c r="E4594" s="212">
        <v>18.829999999999998</v>
      </c>
    </row>
    <row r="4595" spans="1:5" ht="14.25">
      <c r="A4595" s="37">
        <v>43776</v>
      </c>
      <c r="B4595" s="37" t="s">
        <v>25257</v>
      </c>
      <c r="C4595" s="37" t="s">
        <v>2363</v>
      </c>
      <c r="D4595" s="37" t="s">
        <v>2349</v>
      </c>
      <c r="E4595" s="212">
        <v>24.16</v>
      </c>
    </row>
    <row r="4596" spans="1:5" ht="14.25">
      <c r="A4596" s="37">
        <v>7343</v>
      </c>
      <c r="B4596" s="37" t="s">
        <v>25258</v>
      </c>
      <c r="C4596" s="37" t="s">
        <v>2363</v>
      </c>
      <c r="D4596" s="37" t="s">
        <v>2349</v>
      </c>
      <c r="E4596" s="212">
        <v>16.66</v>
      </c>
    </row>
    <row r="4597" spans="1:5" ht="14.25">
      <c r="A4597" s="37">
        <v>7348</v>
      </c>
      <c r="B4597" s="37" t="s">
        <v>25259</v>
      </c>
      <c r="C4597" s="37" t="s">
        <v>2363</v>
      </c>
      <c r="D4597" s="37" t="s">
        <v>2349</v>
      </c>
      <c r="E4597" s="212">
        <v>15.02</v>
      </c>
    </row>
    <row r="4598" spans="1:5" ht="14.25">
      <c r="A4598" s="37">
        <v>7313</v>
      </c>
      <c r="B4598" s="37" t="s">
        <v>25260</v>
      </c>
      <c r="C4598" s="37" t="s">
        <v>2363</v>
      </c>
      <c r="D4598" s="37" t="s">
        <v>2349</v>
      </c>
      <c r="E4598" s="212">
        <v>17.850000000000001</v>
      </c>
    </row>
    <row r="4599" spans="1:5" ht="14.25">
      <c r="A4599" s="37">
        <v>7319</v>
      </c>
      <c r="B4599" s="37" t="s">
        <v>25261</v>
      </c>
      <c r="C4599" s="37" t="s">
        <v>2363</v>
      </c>
      <c r="D4599" s="37" t="s">
        <v>2349</v>
      </c>
      <c r="E4599" s="212">
        <v>10.210000000000001</v>
      </c>
    </row>
    <row r="4600" spans="1:5" ht="14.25">
      <c r="A4600" s="37">
        <v>7314</v>
      </c>
      <c r="B4600" s="37" t="s">
        <v>25262</v>
      </c>
      <c r="C4600" s="37" t="s">
        <v>2363</v>
      </c>
      <c r="D4600" s="37" t="s">
        <v>2349</v>
      </c>
      <c r="E4600" s="212">
        <v>74.58</v>
      </c>
    </row>
    <row r="4601" spans="1:5" ht="14.25">
      <c r="A4601" s="37">
        <v>7304</v>
      </c>
      <c r="B4601" s="37" t="s">
        <v>25263</v>
      </c>
      <c r="C4601" s="37" t="s">
        <v>2363</v>
      </c>
      <c r="D4601" s="37" t="s">
        <v>2349</v>
      </c>
      <c r="E4601" s="212">
        <v>71.61</v>
      </c>
    </row>
    <row r="4602" spans="1:5" ht="14.25">
      <c r="A4602" s="37">
        <v>43649</v>
      </c>
      <c r="B4602" s="37" t="s">
        <v>25264</v>
      </c>
      <c r="C4602" s="37" t="s">
        <v>2363</v>
      </c>
      <c r="D4602" s="37" t="s">
        <v>2349</v>
      </c>
      <c r="E4602" s="212">
        <v>37.03</v>
      </c>
    </row>
    <row r="4603" spans="1:5" ht="14.25">
      <c r="A4603" s="37">
        <v>43650</v>
      </c>
      <c r="B4603" s="37" t="s">
        <v>25265</v>
      </c>
      <c r="C4603" s="37" t="s">
        <v>2363</v>
      </c>
      <c r="D4603" s="37" t="s">
        <v>2349</v>
      </c>
      <c r="E4603" s="212">
        <v>35</v>
      </c>
    </row>
    <row r="4604" spans="1:5" ht="14.25">
      <c r="A4604" s="37">
        <v>7311</v>
      </c>
      <c r="B4604" s="37" t="s">
        <v>25266</v>
      </c>
      <c r="C4604" s="37" t="s">
        <v>2363</v>
      </c>
      <c r="D4604" s="37" t="s">
        <v>2349</v>
      </c>
      <c r="E4604" s="212">
        <v>35.85</v>
      </c>
    </row>
    <row r="4605" spans="1:5" ht="14.25">
      <c r="A4605" s="37">
        <v>7292</v>
      </c>
      <c r="B4605" s="37" t="s">
        <v>25267</v>
      </c>
      <c r="C4605" s="37" t="s">
        <v>2363</v>
      </c>
      <c r="D4605" s="37" t="s">
        <v>2353</v>
      </c>
      <c r="E4605" s="212">
        <v>34.71</v>
      </c>
    </row>
    <row r="4606" spans="1:5" ht="14.25">
      <c r="A4606" s="37">
        <v>7293</v>
      </c>
      <c r="B4606" s="37" t="s">
        <v>25268</v>
      </c>
      <c r="C4606" s="37" t="s">
        <v>2363</v>
      </c>
      <c r="D4606" s="37" t="s">
        <v>2349</v>
      </c>
      <c r="E4606" s="212">
        <v>38.4</v>
      </c>
    </row>
    <row r="4607" spans="1:5" ht="14.25">
      <c r="A4607" s="37">
        <v>7306</v>
      </c>
      <c r="B4607" s="37" t="s">
        <v>25269</v>
      </c>
      <c r="C4607" s="37" t="s">
        <v>2363</v>
      </c>
      <c r="D4607" s="37" t="s">
        <v>2349</v>
      </c>
      <c r="E4607" s="212">
        <v>42.38</v>
      </c>
    </row>
    <row r="4608" spans="1:5" ht="14.25">
      <c r="A4608" s="37">
        <v>7288</v>
      </c>
      <c r="B4608" s="37" t="s">
        <v>25270</v>
      </c>
      <c r="C4608" s="37" t="s">
        <v>2363</v>
      </c>
      <c r="D4608" s="37" t="s">
        <v>2349</v>
      </c>
      <c r="E4608" s="212">
        <v>35.19</v>
      </c>
    </row>
    <row r="4609" spans="1:5" ht="14.25">
      <c r="A4609" s="37">
        <v>43625</v>
      </c>
      <c r="B4609" s="37" t="s">
        <v>25271</v>
      </c>
      <c r="C4609" s="37" t="s">
        <v>2363</v>
      </c>
      <c r="D4609" s="37" t="s">
        <v>2349</v>
      </c>
      <c r="E4609" s="212">
        <v>28.41</v>
      </c>
    </row>
    <row r="4610" spans="1:5" ht="14.25">
      <c r="A4610" s="37">
        <v>43647</v>
      </c>
      <c r="B4610" s="37" t="s">
        <v>25272</v>
      </c>
      <c r="C4610" s="37" t="s">
        <v>2363</v>
      </c>
      <c r="D4610" s="37" t="s">
        <v>2349</v>
      </c>
      <c r="E4610" s="212">
        <v>25.81</v>
      </c>
    </row>
    <row r="4611" spans="1:5" ht="14.25">
      <c r="A4611" s="37">
        <v>43648</v>
      </c>
      <c r="B4611" s="37" t="s">
        <v>25273</v>
      </c>
      <c r="C4611" s="37" t="s">
        <v>2363</v>
      </c>
      <c r="D4611" s="37" t="s">
        <v>2349</v>
      </c>
      <c r="E4611" s="212">
        <v>24.9</v>
      </c>
    </row>
    <row r="4612" spans="1:5" ht="14.25">
      <c r="A4612" s="37">
        <v>35693</v>
      </c>
      <c r="B4612" s="37" t="s">
        <v>25274</v>
      </c>
      <c r="C4612" s="37" t="s">
        <v>2363</v>
      </c>
      <c r="D4612" s="37" t="s">
        <v>2349</v>
      </c>
      <c r="E4612" s="212">
        <v>9.34</v>
      </c>
    </row>
    <row r="4613" spans="1:5" ht="14.25">
      <c r="A4613" s="37">
        <v>7356</v>
      </c>
      <c r="B4613" s="37" t="s">
        <v>28118</v>
      </c>
      <c r="C4613" s="37" t="s">
        <v>2363</v>
      </c>
      <c r="D4613" s="37" t="s">
        <v>2353</v>
      </c>
      <c r="E4613" s="212">
        <v>22.4</v>
      </c>
    </row>
    <row r="4614" spans="1:5" ht="14.25">
      <c r="A4614" s="37">
        <v>35692</v>
      </c>
      <c r="B4614" s="37" t="s">
        <v>25275</v>
      </c>
      <c r="C4614" s="37" t="s">
        <v>2363</v>
      </c>
      <c r="D4614" s="37" t="s">
        <v>2349</v>
      </c>
      <c r="E4614" s="212">
        <v>14.66</v>
      </c>
    </row>
    <row r="4615" spans="1:5" ht="14.25">
      <c r="A4615" s="37">
        <v>43624</v>
      </c>
      <c r="B4615" s="37" t="s">
        <v>28119</v>
      </c>
      <c r="C4615" s="37" t="s">
        <v>2363</v>
      </c>
      <c r="D4615" s="37" t="s">
        <v>2349</v>
      </c>
      <c r="E4615" s="212">
        <v>27.3</v>
      </c>
    </row>
    <row r="4616" spans="1:5" ht="14.25">
      <c r="A4616" s="37">
        <v>7342</v>
      </c>
      <c r="B4616" s="37" t="s">
        <v>25276</v>
      </c>
      <c r="C4616" s="37" t="s">
        <v>2356</v>
      </c>
      <c r="D4616" s="37" t="s">
        <v>2349</v>
      </c>
      <c r="E4616" s="212">
        <v>1.96</v>
      </c>
    </row>
    <row r="4617" spans="1:5" ht="14.25">
      <c r="A4617" s="37">
        <v>7350</v>
      </c>
      <c r="B4617" s="37" t="s">
        <v>28120</v>
      </c>
      <c r="C4617" s="37" t="s">
        <v>2363</v>
      </c>
      <c r="D4617" s="37" t="s">
        <v>2349</v>
      </c>
      <c r="E4617" s="212">
        <v>32.33</v>
      </c>
    </row>
    <row r="4618" spans="1:5" ht="14.25">
      <c r="A4618" s="37">
        <v>39574</v>
      </c>
      <c r="B4618" s="37" t="s">
        <v>25277</v>
      </c>
      <c r="C4618" s="37" t="s">
        <v>2348</v>
      </c>
      <c r="D4618" s="37" t="s">
        <v>2349</v>
      </c>
      <c r="E4618" s="212">
        <v>6</v>
      </c>
    </row>
    <row r="4619" spans="1:5" ht="14.25">
      <c r="A4619" s="37">
        <v>11060</v>
      </c>
      <c r="B4619" s="37" t="s">
        <v>25278</v>
      </c>
      <c r="C4619" s="37" t="s">
        <v>2348</v>
      </c>
      <c r="D4619" s="37" t="s">
        <v>2349</v>
      </c>
      <c r="E4619" s="212">
        <v>53.99</v>
      </c>
    </row>
    <row r="4620" spans="1:5" ht="14.25">
      <c r="A4620" s="37">
        <v>37401</v>
      </c>
      <c r="B4620" s="37" t="s">
        <v>25279</v>
      </c>
      <c r="C4620" s="37" t="s">
        <v>2348</v>
      </c>
      <c r="D4620" s="37" t="s">
        <v>2349</v>
      </c>
      <c r="E4620" s="212">
        <v>72.77</v>
      </c>
    </row>
    <row r="4621" spans="1:5" ht="14.25">
      <c r="A4621" s="37">
        <v>7525</v>
      </c>
      <c r="B4621" s="37" t="s">
        <v>25280</v>
      </c>
      <c r="C4621" s="37" t="s">
        <v>2348</v>
      </c>
      <c r="D4621" s="37" t="s">
        <v>2349</v>
      </c>
      <c r="E4621" s="212">
        <v>41.85</v>
      </c>
    </row>
    <row r="4622" spans="1:5" ht="14.25">
      <c r="A4622" s="37">
        <v>7524</v>
      </c>
      <c r="B4622" s="37" t="s">
        <v>25281</v>
      </c>
      <c r="C4622" s="37" t="s">
        <v>2348</v>
      </c>
      <c r="D4622" s="37" t="s">
        <v>2349</v>
      </c>
      <c r="E4622" s="212">
        <v>39.44</v>
      </c>
    </row>
    <row r="4623" spans="1:5" ht="14.25">
      <c r="A4623" s="37">
        <v>38105</v>
      </c>
      <c r="B4623" s="37" t="s">
        <v>25282</v>
      </c>
      <c r="C4623" s="37" t="s">
        <v>2348</v>
      </c>
      <c r="D4623" s="37" t="s">
        <v>2349</v>
      </c>
      <c r="E4623" s="212">
        <v>10.130000000000001</v>
      </c>
    </row>
    <row r="4624" spans="1:5" ht="14.25">
      <c r="A4624" s="37">
        <v>38084</v>
      </c>
      <c r="B4624" s="37" t="s">
        <v>25283</v>
      </c>
      <c r="C4624" s="37" t="s">
        <v>2348</v>
      </c>
      <c r="D4624" s="37" t="s">
        <v>2349</v>
      </c>
      <c r="E4624" s="212">
        <v>14.39</v>
      </c>
    </row>
    <row r="4625" spans="1:5" ht="14.25">
      <c r="A4625" s="37">
        <v>38103</v>
      </c>
      <c r="B4625" s="37" t="s">
        <v>25284</v>
      </c>
      <c r="C4625" s="37" t="s">
        <v>2348</v>
      </c>
      <c r="D4625" s="37" t="s">
        <v>2349</v>
      </c>
      <c r="E4625" s="212">
        <v>15.21</v>
      </c>
    </row>
    <row r="4626" spans="1:5" ht="14.25">
      <c r="A4626" s="37">
        <v>38082</v>
      </c>
      <c r="B4626" s="37" t="s">
        <v>25285</v>
      </c>
      <c r="C4626" s="37" t="s">
        <v>2348</v>
      </c>
      <c r="D4626" s="37" t="s">
        <v>2349</v>
      </c>
      <c r="E4626" s="212">
        <v>18.73</v>
      </c>
    </row>
    <row r="4627" spans="1:5" ht="14.25">
      <c r="A4627" s="37">
        <v>38104</v>
      </c>
      <c r="B4627" s="37" t="s">
        <v>25286</v>
      </c>
      <c r="C4627" s="37" t="s">
        <v>2348</v>
      </c>
      <c r="D4627" s="37" t="s">
        <v>2349</v>
      </c>
      <c r="E4627" s="212">
        <v>29.78</v>
      </c>
    </row>
    <row r="4628" spans="1:5" ht="14.25">
      <c r="A4628" s="37">
        <v>38083</v>
      </c>
      <c r="B4628" s="37" t="s">
        <v>25287</v>
      </c>
      <c r="C4628" s="37" t="s">
        <v>2348</v>
      </c>
      <c r="D4628" s="37" t="s">
        <v>2349</v>
      </c>
      <c r="E4628" s="212">
        <v>33.06</v>
      </c>
    </row>
    <row r="4629" spans="1:5" ht="14.25">
      <c r="A4629" s="37">
        <v>38101</v>
      </c>
      <c r="B4629" s="37" t="s">
        <v>25288</v>
      </c>
      <c r="C4629" s="37" t="s">
        <v>2348</v>
      </c>
      <c r="D4629" s="37" t="s">
        <v>2349</v>
      </c>
      <c r="E4629" s="212">
        <v>7.23</v>
      </c>
    </row>
    <row r="4630" spans="1:5" ht="14.25">
      <c r="A4630" s="37">
        <v>7528</v>
      </c>
      <c r="B4630" s="37" t="s">
        <v>25289</v>
      </c>
      <c r="C4630" s="37" t="s">
        <v>2348</v>
      </c>
      <c r="D4630" s="37" t="s">
        <v>2353</v>
      </c>
      <c r="E4630" s="212">
        <v>8.5</v>
      </c>
    </row>
    <row r="4631" spans="1:5" ht="14.25">
      <c r="A4631" s="37">
        <v>12147</v>
      </c>
      <c r="B4631" s="37" t="s">
        <v>25290</v>
      </c>
      <c r="C4631" s="37" t="s">
        <v>2348</v>
      </c>
      <c r="D4631" s="37" t="s">
        <v>2349</v>
      </c>
      <c r="E4631" s="212">
        <v>12.96</v>
      </c>
    </row>
    <row r="4632" spans="1:5" ht="14.25">
      <c r="A4632" s="37">
        <v>38075</v>
      </c>
      <c r="B4632" s="37" t="s">
        <v>25291</v>
      </c>
      <c r="C4632" s="37" t="s">
        <v>2348</v>
      </c>
      <c r="D4632" s="37" t="s">
        <v>2349</v>
      </c>
      <c r="E4632" s="212">
        <v>14.72</v>
      </c>
    </row>
    <row r="4633" spans="1:5" ht="14.25">
      <c r="A4633" s="37">
        <v>38102</v>
      </c>
      <c r="B4633" s="37" t="s">
        <v>25292</v>
      </c>
      <c r="C4633" s="37" t="s">
        <v>2348</v>
      </c>
      <c r="D4633" s="37" t="s">
        <v>2349</v>
      </c>
      <c r="E4633" s="212">
        <v>9.25</v>
      </c>
    </row>
    <row r="4634" spans="1:5" ht="14.25">
      <c r="A4634" s="37">
        <v>38076</v>
      </c>
      <c r="B4634" s="37" t="s">
        <v>25293</v>
      </c>
      <c r="C4634" s="37" t="s">
        <v>2348</v>
      </c>
      <c r="D4634" s="37" t="s">
        <v>2349</v>
      </c>
      <c r="E4634" s="212">
        <v>16.5</v>
      </c>
    </row>
    <row r="4635" spans="1:5" ht="14.25">
      <c r="A4635" s="37">
        <v>7592</v>
      </c>
      <c r="B4635" s="37" t="s">
        <v>25294</v>
      </c>
      <c r="C4635" s="37" t="s">
        <v>2352</v>
      </c>
      <c r="D4635" s="37" t="s">
        <v>2353</v>
      </c>
      <c r="E4635" s="212">
        <v>26.26</v>
      </c>
    </row>
    <row r="4636" spans="1:5" ht="14.25">
      <c r="A4636" s="37">
        <v>40820</v>
      </c>
      <c r="B4636" s="37" t="s">
        <v>25295</v>
      </c>
      <c r="C4636" s="37" t="s">
        <v>2369</v>
      </c>
      <c r="D4636" s="37" t="s">
        <v>2349</v>
      </c>
      <c r="E4636" s="213">
        <v>4618.55</v>
      </c>
    </row>
    <row r="4637" spans="1:5" ht="14.25">
      <c r="A4637" s="37">
        <v>13417</v>
      </c>
      <c r="B4637" s="37" t="s">
        <v>28121</v>
      </c>
      <c r="C4637" s="37" t="s">
        <v>2348</v>
      </c>
      <c r="D4637" s="37" t="s">
        <v>2349</v>
      </c>
      <c r="E4637" s="212">
        <v>64.989999999999995</v>
      </c>
    </row>
    <row r="4638" spans="1:5" ht="14.25">
      <c r="A4638" s="37">
        <v>36791</v>
      </c>
      <c r="B4638" s="37" t="s">
        <v>28122</v>
      </c>
      <c r="C4638" s="37" t="s">
        <v>2348</v>
      </c>
      <c r="D4638" s="37" t="s">
        <v>2349</v>
      </c>
      <c r="E4638" s="212">
        <v>97.54</v>
      </c>
    </row>
    <row r="4639" spans="1:5" ht="14.25">
      <c r="A4639" s="37">
        <v>36795</v>
      </c>
      <c r="B4639" s="37" t="s">
        <v>28123</v>
      </c>
      <c r="C4639" s="37" t="s">
        <v>2348</v>
      </c>
      <c r="D4639" s="37" t="s">
        <v>2349</v>
      </c>
      <c r="E4639" s="213">
        <v>1233.27</v>
      </c>
    </row>
    <row r="4640" spans="1:5" ht="14.25">
      <c r="A4640" s="37">
        <v>44045</v>
      </c>
      <c r="B4640" s="37" t="s">
        <v>28124</v>
      </c>
      <c r="C4640" s="37" t="s">
        <v>2348</v>
      </c>
      <c r="D4640" s="37" t="s">
        <v>2349</v>
      </c>
      <c r="E4640" s="212">
        <v>228.85</v>
      </c>
    </row>
    <row r="4641" spans="1:5" ht="14.25">
      <c r="A4641" s="37">
        <v>11772</v>
      </c>
      <c r="B4641" s="37" t="s">
        <v>28125</v>
      </c>
      <c r="C4641" s="37" t="s">
        <v>2348</v>
      </c>
      <c r="D4641" s="37" t="s">
        <v>2349</v>
      </c>
      <c r="E4641" s="212">
        <v>86.69</v>
      </c>
    </row>
    <row r="4642" spans="1:5" ht="14.25">
      <c r="A4642" s="37">
        <v>36796</v>
      </c>
      <c r="B4642" s="37" t="s">
        <v>28126</v>
      </c>
      <c r="C4642" s="37" t="s">
        <v>2348</v>
      </c>
      <c r="D4642" s="37" t="s">
        <v>2349</v>
      </c>
      <c r="E4642" s="212">
        <v>102.48</v>
      </c>
    </row>
    <row r="4643" spans="1:5" ht="14.25">
      <c r="A4643" s="37">
        <v>36792</v>
      </c>
      <c r="B4643" s="37" t="s">
        <v>28127</v>
      </c>
      <c r="C4643" s="37" t="s">
        <v>2348</v>
      </c>
      <c r="D4643" s="37" t="s">
        <v>2349</v>
      </c>
      <c r="E4643" s="212">
        <v>129.82</v>
      </c>
    </row>
    <row r="4644" spans="1:5" ht="14.25">
      <c r="A4644" s="37">
        <v>11773</v>
      </c>
      <c r="B4644" s="37" t="s">
        <v>28128</v>
      </c>
      <c r="C4644" s="37" t="s">
        <v>2348</v>
      </c>
      <c r="D4644" s="37" t="s">
        <v>2349</v>
      </c>
      <c r="E4644" s="212">
        <v>86.42</v>
      </c>
    </row>
    <row r="4645" spans="1:5" ht="14.25">
      <c r="A4645" s="37">
        <v>11762</v>
      </c>
      <c r="B4645" s="37" t="s">
        <v>28129</v>
      </c>
      <c r="C4645" s="37" t="s">
        <v>2348</v>
      </c>
      <c r="D4645" s="37" t="s">
        <v>2349</v>
      </c>
      <c r="E4645" s="212">
        <v>40.99</v>
      </c>
    </row>
    <row r="4646" spans="1:5" ht="14.25">
      <c r="A4646" s="37">
        <v>7604</v>
      </c>
      <c r="B4646" s="37" t="s">
        <v>28130</v>
      </c>
      <c r="C4646" s="37" t="s">
        <v>2348</v>
      </c>
      <c r="D4646" s="37" t="s">
        <v>2349</v>
      </c>
      <c r="E4646" s="212">
        <v>34.700000000000003</v>
      </c>
    </row>
    <row r="4647" spans="1:5" ht="14.25">
      <c r="A4647" s="37">
        <v>13984</v>
      </c>
      <c r="B4647" s="37" t="s">
        <v>28131</v>
      </c>
      <c r="C4647" s="37" t="s">
        <v>2348</v>
      </c>
      <c r="D4647" s="37" t="s">
        <v>2349</v>
      </c>
      <c r="E4647" s="212">
        <v>50.44</v>
      </c>
    </row>
    <row r="4648" spans="1:5" ht="14.25">
      <c r="A4648" s="37">
        <v>13983</v>
      </c>
      <c r="B4648" s="37" t="s">
        <v>28132</v>
      </c>
      <c r="C4648" s="37" t="s">
        <v>2348</v>
      </c>
      <c r="D4648" s="37" t="s">
        <v>2349</v>
      </c>
      <c r="E4648" s="212">
        <v>65.650000000000006</v>
      </c>
    </row>
    <row r="4649" spans="1:5" ht="14.25">
      <c r="A4649" s="37">
        <v>13416</v>
      </c>
      <c r="B4649" s="37" t="s">
        <v>28133</v>
      </c>
      <c r="C4649" s="37" t="s">
        <v>2348</v>
      </c>
      <c r="D4649" s="37" t="s">
        <v>2349</v>
      </c>
      <c r="E4649" s="212">
        <v>58.31</v>
      </c>
    </row>
    <row r="4650" spans="1:5" ht="14.25">
      <c r="A4650" s="37">
        <v>11826</v>
      </c>
      <c r="B4650" s="37" t="s">
        <v>25296</v>
      </c>
      <c r="C4650" s="37" t="s">
        <v>2348</v>
      </c>
      <c r="D4650" s="37" t="s">
        <v>2349</v>
      </c>
      <c r="E4650" s="212">
        <v>56.75</v>
      </c>
    </row>
    <row r="4651" spans="1:5" ht="14.25">
      <c r="A4651" s="37">
        <v>7606</v>
      </c>
      <c r="B4651" s="37" t="s">
        <v>25297</v>
      </c>
      <c r="C4651" s="37" t="s">
        <v>2348</v>
      </c>
      <c r="D4651" s="37" t="s">
        <v>2349</v>
      </c>
      <c r="E4651" s="212">
        <v>68.25</v>
      </c>
    </row>
    <row r="4652" spans="1:5" ht="14.25">
      <c r="A4652" s="37">
        <v>11763</v>
      </c>
      <c r="B4652" s="37" t="s">
        <v>25298</v>
      </c>
      <c r="C4652" s="37" t="s">
        <v>2348</v>
      </c>
      <c r="D4652" s="37" t="s">
        <v>2349</v>
      </c>
      <c r="E4652" s="212">
        <v>149.04</v>
      </c>
    </row>
    <row r="4653" spans="1:5" ht="14.25">
      <c r="A4653" s="37">
        <v>11764</v>
      </c>
      <c r="B4653" s="37" t="s">
        <v>25299</v>
      </c>
      <c r="C4653" s="37" t="s">
        <v>2348</v>
      </c>
      <c r="D4653" s="37" t="s">
        <v>2349</v>
      </c>
      <c r="E4653" s="212">
        <v>122.28</v>
      </c>
    </row>
    <row r="4654" spans="1:5" ht="14.25">
      <c r="A4654" s="37">
        <v>11829</v>
      </c>
      <c r="B4654" s="37" t="s">
        <v>25300</v>
      </c>
      <c r="C4654" s="37" t="s">
        <v>2348</v>
      </c>
      <c r="D4654" s="37" t="s">
        <v>2349</v>
      </c>
      <c r="E4654" s="212">
        <v>29.55</v>
      </c>
    </row>
    <row r="4655" spans="1:5" ht="14.25">
      <c r="A4655" s="37">
        <v>11830</v>
      </c>
      <c r="B4655" s="37" t="s">
        <v>25301</v>
      </c>
      <c r="C4655" s="37" t="s">
        <v>2348</v>
      </c>
      <c r="D4655" s="37" t="s">
        <v>2349</v>
      </c>
      <c r="E4655" s="212">
        <v>31.91</v>
      </c>
    </row>
    <row r="4656" spans="1:5" ht="14.25">
      <c r="A4656" s="37">
        <v>11825</v>
      </c>
      <c r="B4656" s="37" t="s">
        <v>25302</v>
      </c>
      <c r="C4656" s="37" t="s">
        <v>2348</v>
      </c>
      <c r="D4656" s="37" t="s">
        <v>2349</v>
      </c>
      <c r="E4656" s="212">
        <v>71.790000000000006</v>
      </c>
    </row>
    <row r="4657" spans="1:5" ht="14.25">
      <c r="A4657" s="37">
        <v>11767</v>
      </c>
      <c r="B4657" s="37" t="s">
        <v>25303</v>
      </c>
      <c r="C4657" s="37" t="s">
        <v>2348</v>
      </c>
      <c r="D4657" s="37" t="s">
        <v>2349</v>
      </c>
      <c r="E4657" s="212">
        <v>191.23</v>
      </c>
    </row>
    <row r="4658" spans="1:5" ht="14.25">
      <c r="A4658" s="37">
        <v>11766</v>
      </c>
      <c r="B4658" s="37" t="s">
        <v>25304</v>
      </c>
      <c r="C4658" s="37" t="s">
        <v>2348</v>
      </c>
      <c r="D4658" s="37" t="s">
        <v>2349</v>
      </c>
      <c r="E4658" s="212">
        <v>44.57</v>
      </c>
    </row>
    <row r="4659" spans="1:5" ht="14.25">
      <c r="A4659" s="37">
        <v>11765</v>
      </c>
      <c r="B4659" s="37" t="s">
        <v>25305</v>
      </c>
      <c r="C4659" s="37" t="s">
        <v>2348</v>
      </c>
      <c r="D4659" s="37" t="s">
        <v>2349</v>
      </c>
      <c r="E4659" s="212">
        <v>81.489999999999995</v>
      </c>
    </row>
    <row r="4660" spans="1:5" ht="14.25">
      <c r="A4660" s="37">
        <v>11824</v>
      </c>
      <c r="B4660" s="37" t="s">
        <v>25306</v>
      </c>
      <c r="C4660" s="37" t="s">
        <v>2348</v>
      </c>
      <c r="D4660" s="37" t="s">
        <v>2349</v>
      </c>
      <c r="E4660" s="212">
        <v>52.43</v>
      </c>
    </row>
    <row r="4661" spans="1:5" ht="14.25">
      <c r="A4661" s="37">
        <v>39702</v>
      </c>
      <c r="B4661" s="37" t="s">
        <v>28134</v>
      </c>
      <c r="C4661" s="37" t="s">
        <v>2348</v>
      </c>
      <c r="D4661" s="37" t="s">
        <v>2349</v>
      </c>
      <c r="E4661" s="213">
        <v>1519.91</v>
      </c>
    </row>
    <row r="4662" spans="1:5" ht="14.25">
      <c r="A4662" s="37">
        <v>13415</v>
      </c>
      <c r="B4662" s="37" t="s">
        <v>28135</v>
      </c>
      <c r="C4662" s="37" t="s">
        <v>2348</v>
      </c>
      <c r="D4662" s="37" t="s">
        <v>2353</v>
      </c>
      <c r="E4662" s="212">
        <v>49.9</v>
      </c>
    </row>
    <row r="4663" spans="1:5" ht="14.25">
      <c r="A4663" s="37">
        <v>7602</v>
      </c>
      <c r="B4663" s="37" t="s">
        <v>28136</v>
      </c>
      <c r="C4663" s="37" t="s">
        <v>2348</v>
      </c>
      <c r="D4663" s="37" t="s">
        <v>2349</v>
      </c>
      <c r="E4663" s="212">
        <v>31.84</v>
      </c>
    </row>
    <row r="4664" spans="1:5" ht="14.25">
      <c r="A4664" s="37">
        <v>7603</v>
      </c>
      <c r="B4664" s="37" t="s">
        <v>28137</v>
      </c>
      <c r="C4664" s="37" t="s">
        <v>2348</v>
      </c>
      <c r="D4664" s="37" t="s">
        <v>2349</v>
      </c>
      <c r="E4664" s="212">
        <v>27.01</v>
      </c>
    </row>
    <row r="4665" spans="1:5" ht="14.25">
      <c r="A4665" s="37">
        <v>11777</v>
      </c>
      <c r="B4665" s="37" t="s">
        <v>25307</v>
      </c>
      <c r="C4665" s="37" t="s">
        <v>2348</v>
      </c>
      <c r="D4665" s="37" t="s">
        <v>2349</v>
      </c>
      <c r="E4665" s="212">
        <v>140.94</v>
      </c>
    </row>
    <row r="4666" spans="1:5" ht="14.25">
      <c r="A4666" s="37">
        <v>40329</v>
      </c>
      <c r="B4666" s="37" t="s">
        <v>25308</v>
      </c>
      <c r="C4666" s="37" t="s">
        <v>2348</v>
      </c>
      <c r="D4666" s="37" t="s">
        <v>2353</v>
      </c>
      <c r="E4666" s="212">
        <v>18.52</v>
      </c>
    </row>
    <row r="4667" spans="1:5" ht="14.25">
      <c r="A4667" s="37">
        <v>11823</v>
      </c>
      <c r="B4667" s="37" t="s">
        <v>25309</v>
      </c>
      <c r="C4667" s="37" t="s">
        <v>2348</v>
      </c>
      <c r="D4667" s="37" t="s">
        <v>2349</v>
      </c>
      <c r="E4667" s="212">
        <v>7.8</v>
      </c>
    </row>
    <row r="4668" spans="1:5" ht="14.25">
      <c r="A4668" s="37">
        <v>11822</v>
      </c>
      <c r="B4668" s="37" t="s">
        <v>25310</v>
      </c>
      <c r="C4668" s="37" t="s">
        <v>2348</v>
      </c>
      <c r="D4668" s="37" t="s">
        <v>2349</v>
      </c>
      <c r="E4668" s="212">
        <v>40.46</v>
      </c>
    </row>
    <row r="4669" spans="1:5" ht="14.25">
      <c r="A4669" s="37">
        <v>11831</v>
      </c>
      <c r="B4669" s="37" t="s">
        <v>25311</v>
      </c>
      <c r="C4669" s="37" t="s">
        <v>2348</v>
      </c>
      <c r="D4669" s="37" t="s">
        <v>2349</v>
      </c>
      <c r="E4669" s="212">
        <v>30.71</v>
      </c>
    </row>
    <row r="4670" spans="1:5" ht="14.25">
      <c r="A4670" s="37">
        <v>7613</v>
      </c>
      <c r="B4670" s="37" t="s">
        <v>25312</v>
      </c>
      <c r="C4670" s="37" t="s">
        <v>2348</v>
      </c>
      <c r="D4670" s="37" t="s">
        <v>2351</v>
      </c>
      <c r="E4670" s="213">
        <v>93923.88</v>
      </c>
    </row>
    <row r="4671" spans="1:5" ht="14.25">
      <c r="A4671" s="37">
        <v>7619</v>
      </c>
      <c r="B4671" s="37" t="s">
        <v>25313</v>
      </c>
      <c r="C4671" s="37" t="s">
        <v>2348</v>
      </c>
      <c r="D4671" s="37" t="s">
        <v>2351</v>
      </c>
      <c r="E4671" s="213">
        <v>14518.62</v>
      </c>
    </row>
    <row r="4672" spans="1:5" ht="14.25">
      <c r="A4672" s="37">
        <v>12076</v>
      </c>
      <c r="B4672" s="37" t="s">
        <v>25314</v>
      </c>
      <c r="C4672" s="37" t="s">
        <v>2348</v>
      </c>
      <c r="D4672" s="37" t="s">
        <v>2351</v>
      </c>
      <c r="E4672" s="213">
        <v>6659.91</v>
      </c>
    </row>
    <row r="4673" spans="1:5" ht="14.25">
      <c r="A4673" s="37">
        <v>7614</v>
      </c>
      <c r="B4673" s="37" t="s">
        <v>25315</v>
      </c>
      <c r="C4673" s="37" t="s">
        <v>2348</v>
      </c>
      <c r="D4673" s="37" t="s">
        <v>2351</v>
      </c>
      <c r="E4673" s="213">
        <v>18311.439999999999</v>
      </c>
    </row>
    <row r="4674" spans="1:5" ht="14.25">
      <c r="A4674" s="37">
        <v>7618</v>
      </c>
      <c r="B4674" s="37" t="s">
        <v>25316</v>
      </c>
      <c r="C4674" s="37" t="s">
        <v>2348</v>
      </c>
      <c r="D4674" s="37" t="s">
        <v>2351</v>
      </c>
      <c r="E4674" s="213">
        <v>118763.48</v>
      </c>
    </row>
    <row r="4675" spans="1:5" ht="14.25">
      <c r="A4675" s="37">
        <v>7620</v>
      </c>
      <c r="B4675" s="37" t="s">
        <v>25317</v>
      </c>
      <c r="C4675" s="37" t="s">
        <v>2348</v>
      </c>
      <c r="D4675" s="37" t="s">
        <v>2351</v>
      </c>
      <c r="E4675" s="213">
        <v>25688.25</v>
      </c>
    </row>
    <row r="4676" spans="1:5" ht="14.25">
      <c r="A4676" s="37">
        <v>7610</v>
      </c>
      <c r="B4676" s="37" t="s">
        <v>25318</v>
      </c>
      <c r="C4676" s="37" t="s">
        <v>2348</v>
      </c>
      <c r="D4676" s="37" t="s">
        <v>2351</v>
      </c>
      <c r="E4676" s="213">
        <v>8134.61</v>
      </c>
    </row>
    <row r="4677" spans="1:5" ht="14.25">
      <c r="A4677" s="37">
        <v>7615</v>
      </c>
      <c r="B4677" s="37" t="s">
        <v>25319</v>
      </c>
      <c r="C4677" s="37" t="s">
        <v>2348</v>
      </c>
      <c r="D4677" s="37" t="s">
        <v>2351</v>
      </c>
      <c r="E4677" s="213">
        <v>29969.63</v>
      </c>
    </row>
    <row r="4678" spans="1:5" ht="14.25">
      <c r="A4678" s="37">
        <v>7617</v>
      </c>
      <c r="B4678" s="37" t="s">
        <v>25320</v>
      </c>
      <c r="C4678" s="37" t="s">
        <v>2348</v>
      </c>
      <c r="D4678" s="37" t="s">
        <v>2351</v>
      </c>
      <c r="E4678" s="213">
        <v>9086.0300000000007</v>
      </c>
    </row>
    <row r="4679" spans="1:5" ht="14.25">
      <c r="A4679" s="37">
        <v>7616</v>
      </c>
      <c r="B4679" s="37" t="s">
        <v>25321</v>
      </c>
      <c r="C4679" s="37" t="s">
        <v>2348</v>
      </c>
      <c r="D4679" s="37" t="s">
        <v>2351</v>
      </c>
      <c r="E4679" s="213">
        <v>48905.68</v>
      </c>
    </row>
    <row r="4680" spans="1:5" ht="14.25">
      <c r="A4680" s="37">
        <v>7611</v>
      </c>
      <c r="B4680" s="37" t="s">
        <v>25322</v>
      </c>
      <c r="C4680" s="37" t="s">
        <v>2348</v>
      </c>
      <c r="D4680" s="37" t="s">
        <v>2351</v>
      </c>
      <c r="E4680" s="213">
        <v>11750</v>
      </c>
    </row>
    <row r="4681" spans="1:5" ht="14.25">
      <c r="A4681" s="37">
        <v>7612</v>
      </c>
      <c r="B4681" s="37" t="s">
        <v>25323</v>
      </c>
      <c r="C4681" s="37" t="s">
        <v>2348</v>
      </c>
      <c r="D4681" s="37" t="s">
        <v>2351</v>
      </c>
      <c r="E4681" s="213">
        <v>67082.5</v>
      </c>
    </row>
    <row r="4682" spans="1:5" ht="14.25">
      <c r="A4682" s="37">
        <v>37371</v>
      </c>
      <c r="B4682" s="37" t="s">
        <v>25324</v>
      </c>
      <c r="C4682" s="37" t="s">
        <v>2352</v>
      </c>
      <c r="D4682" s="37" t="s">
        <v>2353</v>
      </c>
      <c r="E4682" s="212">
        <v>0.62</v>
      </c>
    </row>
    <row r="4683" spans="1:5" ht="14.25">
      <c r="A4683" s="37">
        <v>40861</v>
      </c>
      <c r="B4683" s="37" t="s">
        <v>25325</v>
      </c>
      <c r="C4683" s="37" t="s">
        <v>2369</v>
      </c>
      <c r="D4683" s="37" t="s">
        <v>2353</v>
      </c>
      <c r="E4683" s="212">
        <v>117.52</v>
      </c>
    </row>
    <row r="4684" spans="1:5" ht="14.25">
      <c r="A4684" s="37">
        <v>36510</v>
      </c>
      <c r="B4684" s="37" t="s">
        <v>25326</v>
      </c>
      <c r="C4684" s="37" t="s">
        <v>2348</v>
      </c>
      <c r="D4684" s="37" t="s">
        <v>2351</v>
      </c>
      <c r="E4684" s="213">
        <v>879448.23</v>
      </c>
    </row>
    <row r="4685" spans="1:5" ht="14.25">
      <c r="A4685" s="37">
        <v>25020</v>
      </c>
      <c r="B4685" s="37" t="s">
        <v>25327</v>
      </c>
      <c r="C4685" s="37" t="s">
        <v>2348</v>
      </c>
      <c r="D4685" s="37" t="s">
        <v>2351</v>
      </c>
      <c r="E4685" s="213">
        <v>3623017.32</v>
      </c>
    </row>
    <row r="4686" spans="1:5" ht="14.25">
      <c r="A4686" s="37">
        <v>7622</v>
      </c>
      <c r="B4686" s="37" t="s">
        <v>25328</v>
      </c>
      <c r="C4686" s="37" t="s">
        <v>2348</v>
      </c>
      <c r="D4686" s="37" t="s">
        <v>2351</v>
      </c>
      <c r="E4686" s="213">
        <v>853193.32</v>
      </c>
    </row>
    <row r="4687" spans="1:5" ht="14.25">
      <c r="A4687" s="37">
        <v>7624</v>
      </c>
      <c r="B4687" s="37" t="s">
        <v>25329</v>
      </c>
      <c r="C4687" s="37" t="s">
        <v>2348</v>
      </c>
      <c r="D4687" s="37" t="s">
        <v>2351</v>
      </c>
      <c r="E4687" s="213">
        <v>1106075.33</v>
      </c>
    </row>
    <row r="4688" spans="1:5" ht="14.25">
      <c r="A4688" s="37">
        <v>7625</v>
      </c>
      <c r="B4688" s="37" t="s">
        <v>25330</v>
      </c>
      <c r="C4688" s="37" t="s">
        <v>2348</v>
      </c>
      <c r="D4688" s="37" t="s">
        <v>2351</v>
      </c>
      <c r="E4688" s="213">
        <v>1099310.24</v>
      </c>
    </row>
    <row r="4689" spans="1:5" ht="14.25">
      <c r="A4689" s="37">
        <v>7623</v>
      </c>
      <c r="B4689" s="37" t="s">
        <v>25331</v>
      </c>
      <c r="C4689" s="37" t="s">
        <v>2348</v>
      </c>
      <c r="D4689" s="37" t="s">
        <v>2351</v>
      </c>
      <c r="E4689" s="213">
        <v>3623017.32</v>
      </c>
    </row>
    <row r="4690" spans="1:5" ht="14.25">
      <c r="A4690" s="37">
        <v>36508</v>
      </c>
      <c r="B4690" s="37" t="s">
        <v>25332</v>
      </c>
      <c r="C4690" s="37" t="s">
        <v>2348</v>
      </c>
      <c r="D4690" s="37" t="s">
        <v>2351</v>
      </c>
      <c r="E4690" s="213">
        <v>1629414.65</v>
      </c>
    </row>
    <row r="4691" spans="1:5" ht="14.25">
      <c r="A4691" s="37">
        <v>36509</v>
      </c>
      <c r="B4691" s="37" t="s">
        <v>25333</v>
      </c>
      <c r="C4691" s="37" t="s">
        <v>2348</v>
      </c>
      <c r="D4691" s="37" t="s">
        <v>2351</v>
      </c>
      <c r="E4691" s="213">
        <v>892978.19</v>
      </c>
    </row>
    <row r="4692" spans="1:5" ht="14.25">
      <c r="A4692" s="37">
        <v>13238</v>
      </c>
      <c r="B4692" s="37" t="s">
        <v>25334</v>
      </c>
      <c r="C4692" s="37" t="s">
        <v>2348</v>
      </c>
      <c r="D4692" s="37" t="s">
        <v>2351</v>
      </c>
      <c r="E4692" s="213">
        <v>264953.25</v>
      </c>
    </row>
    <row r="4693" spans="1:5" ht="14.25">
      <c r="A4693" s="37">
        <v>36511</v>
      </c>
      <c r="B4693" s="37" t="s">
        <v>25335</v>
      </c>
      <c r="C4693" s="37" t="s">
        <v>2348</v>
      </c>
      <c r="D4693" s="37" t="s">
        <v>2351</v>
      </c>
      <c r="E4693" s="213">
        <v>307009.32</v>
      </c>
    </row>
    <row r="4694" spans="1:5" ht="14.25">
      <c r="A4694" s="37">
        <v>36515</v>
      </c>
      <c r="B4694" s="37" t="s">
        <v>25336</v>
      </c>
      <c r="C4694" s="37" t="s">
        <v>2348</v>
      </c>
      <c r="D4694" s="37" t="s">
        <v>2351</v>
      </c>
      <c r="E4694" s="213">
        <v>90420.54</v>
      </c>
    </row>
    <row r="4695" spans="1:5" ht="14.25">
      <c r="A4695" s="37">
        <v>10598</v>
      </c>
      <c r="B4695" s="37" t="s">
        <v>25337</v>
      </c>
      <c r="C4695" s="37" t="s">
        <v>2348</v>
      </c>
      <c r="D4695" s="37" t="s">
        <v>2351</v>
      </c>
      <c r="E4695" s="213">
        <v>146630.57999999999</v>
      </c>
    </row>
    <row r="4696" spans="1:5" ht="14.25">
      <c r="A4696" s="37">
        <v>7640</v>
      </c>
      <c r="B4696" s="37" t="s">
        <v>25338</v>
      </c>
      <c r="C4696" s="37" t="s">
        <v>2348</v>
      </c>
      <c r="D4696" s="37" t="s">
        <v>2351</v>
      </c>
      <c r="E4696" s="213">
        <v>225000</v>
      </c>
    </row>
    <row r="4697" spans="1:5" ht="14.25">
      <c r="A4697" s="37">
        <v>36513</v>
      </c>
      <c r="B4697" s="37" t="s">
        <v>25339</v>
      </c>
      <c r="C4697" s="37" t="s">
        <v>2348</v>
      </c>
      <c r="D4697" s="37" t="s">
        <v>2351</v>
      </c>
      <c r="E4697" s="213">
        <v>216746.48</v>
      </c>
    </row>
    <row r="4698" spans="1:5" ht="14.25">
      <c r="A4698" s="37">
        <v>36514</v>
      </c>
      <c r="B4698" s="37" t="s">
        <v>25340</v>
      </c>
      <c r="C4698" s="37" t="s">
        <v>2348</v>
      </c>
      <c r="D4698" s="37" t="s">
        <v>2351</v>
      </c>
      <c r="E4698" s="213">
        <v>241822.41</v>
      </c>
    </row>
    <row r="4699" spans="1:5" ht="14.25">
      <c r="A4699" s="37">
        <v>11572</v>
      </c>
      <c r="B4699" s="37" t="s">
        <v>25341</v>
      </c>
      <c r="C4699" s="37" t="s">
        <v>2348</v>
      </c>
      <c r="D4699" s="37" t="s">
        <v>2349</v>
      </c>
      <c r="E4699" s="212">
        <v>27.86</v>
      </c>
    </row>
    <row r="4700" spans="1:5" ht="14.25">
      <c r="A4700" s="37">
        <v>36149</v>
      </c>
      <c r="B4700" s="37" t="s">
        <v>25342</v>
      </c>
      <c r="C4700" s="37" t="s">
        <v>2348</v>
      </c>
      <c r="D4700" s="37" t="s">
        <v>2349</v>
      </c>
      <c r="E4700" s="212">
        <v>175.07</v>
      </c>
    </row>
    <row r="4701" spans="1:5" ht="14.25">
      <c r="A4701" s="37">
        <v>42407</v>
      </c>
      <c r="B4701" s="37" t="s">
        <v>25343</v>
      </c>
      <c r="C4701" s="37" t="s">
        <v>2355</v>
      </c>
      <c r="D4701" s="37" t="s">
        <v>2349</v>
      </c>
      <c r="E4701" s="212">
        <v>12.12</v>
      </c>
    </row>
    <row r="4702" spans="1:5" ht="14.25">
      <c r="A4702" s="37">
        <v>11581</v>
      </c>
      <c r="B4702" s="37" t="s">
        <v>25344</v>
      </c>
      <c r="C4702" s="37" t="s">
        <v>2355</v>
      </c>
      <c r="D4702" s="37" t="s">
        <v>2349</v>
      </c>
      <c r="E4702" s="212">
        <v>18.39</v>
      </c>
    </row>
    <row r="4703" spans="1:5" ht="14.25">
      <c r="A4703" s="37">
        <v>43605</v>
      </c>
      <c r="B4703" s="37" t="s">
        <v>25345</v>
      </c>
      <c r="C4703" s="37" t="s">
        <v>2355</v>
      </c>
      <c r="D4703" s="37" t="s">
        <v>2349</v>
      </c>
      <c r="E4703" s="212">
        <v>37.619999999999997</v>
      </c>
    </row>
    <row r="4704" spans="1:5" ht="14.25">
      <c r="A4704" s="37">
        <v>11580</v>
      </c>
      <c r="B4704" s="37" t="s">
        <v>25346</v>
      </c>
      <c r="C4704" s="37" t="s">
        <v>2355</v>
      </c>
      <c r="D4704" s="37" t="s">
        <v>2349</v>
      </c>
      <c r="E4704" s="212">
        <v>7.38</v>
      </c>
    </row>
    <row r="4705" spans="1:5" ht="14.25">
      <c r="A4705" s="37">
        <v>10743</v>
      </c>
      <c r="B4705" s="37" t="s">
        <v>25347</v>
      </c>
      <c r="C4705" s="37" t="s">
        <v>2348</v>
      </c>
      <c r="D4705" s="37" t="s">
        <v>2351</v>
      </c>
      <c r="E4705" s="212">
        <v>635.04</v>
      </c>
    </row>
    <row r="4706" spans="1:5" ht="14.25">
      <c r="A4706" s="37">
        <v>39848</v>
      </c>
      <c r="B4706" s="37" t="s">
        <v>25348</v>
      </c>
      <c r="C4706" s="37" t="s">
        <v>2355</v>
      </c>
      <c r="D4706" s="37" t="s">
        <v>2351</v>
      </c>
      <c r="E4706" s="212">
        <v>1.92</v>
      </c>
    </row>
    <row r="4707" spans="1:5" ht="14.25">
      <c r="A4707" s="37">
        <v>20999</v>
      </c>
      <c r="B4707" s="37" t="s">
        <v>25349</v>
      </c>
      <c r="C4707" s="37" t="s">
        <v>2355</v>
      </c>
      <c r="D4707" s="37" t="s">
        <v>2349</v>
      </c>
      <c r="E4707" s="212">
        <v>23.68</v>
      </c>
    </row>
    <row r="4708" spans="1:5" ht="14.25">
      <c r="A4708" s="37">
        <v>21001</v>
      </c>
      <c r="B4708" s="37" t="s">
        <v>25350</v>
      </c>
      <c r="C4708" s="37" t="s">
        <v>2355</v>
      </c>
      <c r="D4708" s="37" t="s">
        <v>2353</v>
      </c>
      <c r="E4708" s="212">
        <v>44.18</v>
      </c>
    </row>
    <row r="4709" spans="1:5" ht="14.25">
      <c r="A4709" s="37">
        <v>21003</v>
      </c>
      <c r="B4709" s="37" t="s">
        <v>25351</v>
      </c>
      <c r="C4709" s="37" t="s">
        <v>2355</v>
      </c>
      <c r="D4709" s="37" t="s">
        <v>2349</v>
      </c>
      <c r="E4709" s="212">
        <v>72.599999999999994</v>
      </c>
    </row>
    <row r="4710" spans="1:5" ht="14.25">
      <c r="A4710" s="37">
        <v>21006</v>
      </c>
      <c r="B4710" s="37" t="s">
        <v>25352</v>
      </c>
      <c r="C4710" s="37" t="s">
        <v>2355</v>
      </c>
      <c r="D4710" s="37" t="s">
        <v>2349</v>
      </c>
      <c r="E4710" s="212">
        <v>154.07</v>
      </c>
    </row>
    <row r="4711" spans="1:5" ht="14.25">
      <c r="A4711" s="37">
        <v>21019</v>
      </c>
      <c r="B4711" s="37" t="s">
        <v>25353</v>
      </c>
      <c r="C4711" s="37" t="s">
        <v>2355</v>
      </c>
      <c r="D4711" s="37" t="s">
        <v>2349</v>
      </c>
      <c r="E4711" s="212">
        <v>53.56</v>
      </c>
    </row>
    <row r="4712" spans="1:5" ht="14.25">
      <c r="A4712" s="37">
        <v>21021</v>
      </c>
      <c r="B4712" s="37" t="s">
        <v>25354</v>
      </c>
      <c r="C4712" s="37" t="s">
        <v>2355</v>
      </c>
      <c r="D4712" s="37" t="s">
        <v>2349</v>
      </c>
      <c r="E4712" s="212">
        <v>84.66</v>
      </c>
    </row>
    <row r="4713" spans="1:5" ht="14.25">
      <c r="A4713" s="37">
        <v>21024</v>
      </c>
      <c r="B4713" s="37" t="s">
        <v>25355</v>
      </c>
      <c r="C4713" s="37" t="s">
        <v>2355</v>
      </c>
      <c r="D4713" s="37" t="s">
        <v>2349</v>
      </c>
      <c r="E4713" s="212">
        <v>181.4</v>
      </c>
    </row>
    <row r="4714" spans="1:5" ht="14.25">
      <c r="A4714" s="37">
        <v>40624</v>
      </c>
      <c r="B4714" s="37" t="s">
        <v>25356</v>
      </c>
      <c r="C4714" s="37" t="s">
        <v>2355</v>
      </c>
      <c r="D4714" s="37" t="s">
        <v>2349</v>
      </c>
      <c r="E4714" s="212">
        <v>110.01</v>
      </c>
    </row>
    <row r="4715" spans="1:5" ht="14.25">
      <c r="A4715" s="37">
        <v>42575</v>
      </c>
      <c r="B4715" s="37" t="s">
        <v>25357</v>
      </c>
      <c r="C4715" s="37" t="s">
        <v>2355</v>
      </c>
      <c r="D4715" s="37" t="s">
        <v>2349</v>
      </c>
      <c r="E4715" s="212">
        <v>100.95</v>
      </c>
    </row>
    <row r="4716" spans="1:5" ht="14.25">
      <c r="A4716" s="37">
        <v>13127</v>
      </c>
      <c r="B4716" s="37" t="s">
        <v>25358</v>
      </c>
      <c r="C4716" s="37" t="s">
        <v>2355</v>
      </c>
      <c r="D4716" s="37" t="s">
        <v>2349</v>
      </c>
      <c r="E4716" s="212">
        <v>49.07</v>
      </c>
    </row>
    <row r="4717" spans="1:5" ht="14.25">
      <c r="A4717" s="37">
        <v>13137</v>
      </c>
      <c r="B4717" s="37" t="s">
        <v>25359</v>
      </c>
      <c r="C4717" s="37" t="s">
        <v>2355</v>
      </c>
      <c r="D4717" s="37" t="s">
        <v>2349</v>
      </c>
      <c r="E4717" s="212">
        <v>65.11</v>
      </c>
    </row>
    <row r="4718" spans="1:5" ht="14.25">
      <c r="A4718" s="37">
        <v>42574</v>
      </c>
      <c r="B4718" s="37" t="s">
        <v>25360</v>
      </c>
      <c r="C4718" s="37" t="s">
        <v>2355</v>
      </c>
      <c r="D4718" s="37" t="s">
        <v>2349</v>
      </c>
      <c r="E4718" s="212">
        <v>75.33</v>
      </c>
    </row>
    <row r="4719" spans="1:5" ht="14.25">
      <c r="A4719" s="37">
        <v>20989</v>
      </c>
      <c r="B4719" s="37" t="s">
        <v>25361</v>
      </c>
      <c r="C4719" s="37" t="s">
        <v>2355</v>
      </c>
      <c r="D4719" s="37" t="s">
        <v>2349</v>
      </c>
      <c r="E4719" s="213">
        <v>2332.66</v>
      </c>
    </row>
    <row r="4720" spans="1:5" ht="14.25">
      <c r="A4720" s="37">
        <v>21147</v>
      </c>
      <c r="B4720" s="37" t="s">
        <v>25362</v>
      </c>
      <c r="C4720" s="37" t="s">
        <v>2355</v>
      </c>
      <c r="D4720" s="37" t="s">
        <v>2349</v>
      </c>
      <c r="E4720" s="212">
        <v>218.71</v>
      </c>
    </row>
    <row r="4721" spans="1:5" ht="14.25">
      <c r="A4721" s="37">
        <v>21148</v>
      </c>
      <c r="B4721" s="37" t="s">
        <v>25363</v>
      </c>
      <c r="C4721" s="37" t="s">
        <v>2355</v>
      </c>
      <c r="D4721" s="37" t="s">
        <v>2353</v>
      </c>
      <c r="E4721" s="212">
        <v>134.99</v>
      </c>
    </row>
    <row r="4722" spans="1:5" ht="14.25">
      <c r="A4722" s="37">
        <v>20984</v>
      </c>
      <c r="B4722" s="37" t="s">
        <v>25364</v>
      </c>
      <c r="C4722" s="37" t="s">
        <v>2355</v>
      </c>
      <c r="D4722" s="37" t="s">
        <v>2349</v>
      </c>
      <c r="E4722" s="213">
        <v>4475.92</v>
      </c>
    </row>
    <row r="4723" spans="1:5" ht="14.25">
      <c r="A4723" s="37">
        <v>13042</v>
      </c>
      <c r="B4723" s="37" t="s">
        <v>25365</v>
      </c>
      <c r="C4723" s="37" t="s">
        <v>2355</v>
      </c>
      <c r="D4723" s="37" t="s">
        <v>2349</v>
      </c>
      <c r="E4723" s="213">
        <v>2480.3200000000002</v>
      </c>
    </row>
    <row r="4724" spans="1:5" ht="14.25">
      <c r="A4724" s="37">
        <v>21150</v>
      </c>
      <c r="B4724" s="37" t="s">
        <v>25366</v>
      </c>
      <c r="C4724" s="37" t="s">
        <v>2355</v>
      </c>
      <c r="D4724" s="37" t="s">
        <v>2349</v>
      </c>
      <c r="E4724" s="212">
        <v>66.930000000000007</v>
      </c>
    </row>
    <row r="4725" spans="1:5" ht="14.25">
      <c r="A4725" s="37">
        <v>13141</v>
      </c>
      <c r="B4725" s="37" t="s">
        <v>25367</v>
      </c>
      <c r="C4725" s="37" t="s">
        <v>2355</v>
      </c>
      <c r="D4725" s="37" t="s">
        <v>2349</v>
      </c>
      <c r="E4725" s="212">
        <v>84.33</v>
      </c>
    </row>
    <row r="4726" spans="1:5" ht="14.25">
      <c r="A4726" s="37">
        <v>42576</v>
      </c>
      <c r="B4726" s="37" t="s">
        <v>25368</v>
      </c>
      <c r="C4726" s="37" t="s">
        <v>2355</v>
      </c>
      <c r="D4726" s="37" t="s">
        <v>2349</v>
      </c>
      <c r="E4726" s="212">
        <v>275.36</v>
      </c>
    </row>
    <row r="4727" spans="1:5" ht="14.25">
      <c r="A4727" s="37">
        <v>21151</v>
      </c>
      <c r="B4727" s="37" t="s">
        <v>25369</v>
      </c>
      <c r="C4727" s="37" t="s">
        <v>2355</v>
      </c>
      <c r="D4727" s="37" t="s">
        <v>2349</v>
      </c>
      <c r="E4727" s="212">
        <v>400.65</v>
      </c>
    </row>
    <row r="4728" spans="1:5" ht="14.25">
      <c r="A4728" s="37">
        <v>13142</v>
      </c>
      <c r="B4728" s="37" t="s">
        <v>25370</v>
      </c>
      <c r="C4728" s="37" t="s">
        <v>2355</v>
      </c>
      <c r="D4728" s="37" t="s">
        <v>2349</v>
      </c>
      <c r="E4728" s="212">
        <v>572.76</v>
      </c>
    </row>
    <row r="4729" spans="1:5" ht="14.25">
      <c r="A4729" s="37">
        <v>42577</v>
      </c>
      <c r="B4729" s="37" t="s">
        <v>25371</v>
      </c>
      <c r="C4729" s="37" t="s">
        <v>2355</v>
      </c>
      <c r="D4729" s="37" t="s">
        <v>2349</v>
      </c>
      <c r="E4729" s="212">
        <v>628.47</v>
      </c>
    </row>
    <row r="4730" spans="1:5" ht="14.25">
      <c r="A4730" s="37">
        <v>20994</v>
      </c>
      <c r="B4730" s="37" t="s">
        <v>25372</v>
      </c>
      <c r="C4730" s="37" t="s">
        <v>2355</v>
      </c>
      <c r="D4730" s="37" t="s">
        <v>2349</v>
      </c>
      <c r="E4730" s="213">
        <v>1079.9000000000001</v>
      </c>
    </row>
    <row r="4731" spans="1:5" ht="14.25">
      <c r="A4731" s="37">
        <v>7672</v>
      </c>
      <c r="B4731" s="37" t="s">
        <v>25373</v>
      </c>
      <c r="C4731" s="37" t="s">
        <v>2355</v>
      </c>
      <c r="D4731" s="37" t="s">
        <v>2349</v>
      </c>
      <c r="E4731" s="212">
        <v>707.45</v>
      </c>
    </row>
    <row r="4732" spans="1:5" ht="14.25">
      <c r="A4732" s="37">
        <v>20995</v>
      </c>
      <c r="B4732" s="37" t="s">
        <v>25374</v>
      </c>
      <c r="C4732" s="37" t="s">
        <v>2355</v>
      </c>
      <c r="D4732" s="37" t="s">
        <v>2349</v>
      </c>
      <c r="E4732" s="213">
        <v>1419.19</v>
      </c>
    </row>
    <row r="4733" spans="1:5" ht="14.25">
      <c r="A4733" s="37">
        <v>7690</v>
      </c>
      <c r="B4733" s="37" t="s">
        <v>25375</v>
      </c>
      <c r="C4733" s="37" t="s">
        <v>2355</v>
      </c>
      <c r="D4733" s="37" t="s">
        <v>2349</v>
      </c>
      <c r="E4733" s="212">
        <v>820.81</v>
      </c>
    </row>
    <row r="4734" spans="1:5" ht="14.25">
      <c r="A4734" s="37">
        <v>20980</v>
      </c>
      <c r="B4734" s="37" t="s">
        <v>25376</v>
      </c>
      <c r="C4734" s="37" t="s">
        <v>2355</v>
      </c>
      <c r="D4734" s="37" t="s">
        <v>2349</v>
      </c>
      <c r="E4734" s="212">
        <v>895.43</v>
      </c>
    </row>
    <row r="4735" spans="1:5" ht="14.25">
      <c r="A4735" s="37">
        <v>7661</v>
      </c>
      <c r="B4735" s="37" t="s">
        <v>25377</v>
      </c>
      <c r="C4735" s="37" t="s">
        <v>2355</v>
      </c>
      <c r="D4735" s="37" t="s">
        <v>2349</v>
      </c>
      <c r="E4735" s="213">
        <v>1065.19</v>
      </c>
    </row>
    <row r="4736" spans="1:5" ht="14.25">
      <c r="A4736" s="37">
        <v>21016</v>
      </c>
      <c r="B4736" s="37" t="s">
        <v>25378</v>
      </c>
      <c r="C4736" s="37" t="s">
        <v>2355</v>
      </c>
      <c r="D4736" s="37" t="s">
        <v>2349</v>
      </c>
      <c r="E4736" s="212">
        <v>261.18</v>
      </c>
    </row>
    <row r="4737" spans="1:5" ht="14.25">
      <c r="A4737" s="37">
        <v>21008</v>
      </c>
      <c r="B4737" s="37" t="s">
        <v>25379</v>
      </c>
      <c r="C4737" s="37" t="s">
        <v>2355</v>
      </c>
      <c r="D4737" s="37" t="s">
        <v>2349</v>
      </c>
      <c r="E4737" s="212">
        <v>30.51</v>
      </c>
    </row>
    <row r="4738" spans="1:5" ht="14.25">
      <c r="A4738" s="37">
        <v>21009</v>
      </c>
      <c r="B4738" s="37" t="s">
        <v>25380</v>
      </c>
      <c r="C4738" s="37" t="s">
        <v>2355</v>
      </c>
      <c r="D4738" s="37" t="s">
        <v>2349</v>
      </c>
      <c r="E4738" s="212">
        <v>39.729999999999997</v>
      </c>
    </row>
    <row r="4739" spans="1:5" ht="14.25">
      <c r="A4739" s="37">
        <v>21010</v>
      </c>
      <c r="B4739" s="37" t="s">
        <v>25381</v>
      </c>
      <c r="C4739" s="37" t="s">
        <v>2355</v>
      </c>
      <c r="D4739" s="37" t="s">
        <v>2353</v>
      </c>
      <c r="E4739" s="212">
        <v>53.34</v>
      </c>
    </row>
    <row r="4740" spans="1:5" ht="14.25">
      <c r="A4740" s="37">
        <v>21011</v>
      </c>
      <c r="B4740" s="37" t="s">
        <v>25382</v>
      </c>
      <c r="C4740" s="37" t="s">
        <v>2355</v>
      </c>
      <c r="D4740" s="37" t="s">
        <v>2349</v>
      </c>
      <c r="E4740" s="212">
        <v>77.739999999999995</v>
      </c>
    </row>
    <row r="4741" spans="1:5" ht="14.25">
      <c r="A4741" s="37">
        <v>21012</v>
      </c>
      <c r="B4741" s="37" t="s">
        <v>25383</v>
      </c>
      <c r="C4741" s="37" t="s">
        <v>2355</v>
      </c>
      <c r="D4741" s="37" t="s">
        <v>2349</v>
      </c>
      <c r="E4741" s="212">
        <v>85.91</v>
      </c>
    </row>
    <row r="4742" spans="1:5" ht="14.25">
      <c r="A4742" s="37">
        <v>21013</v>
      </c>
      <c r="B4742" s="37" t="s">
        <v>25384</v>
      </c>
      <c r="C4742" s="37" t="s">
        <v>2355</v>
      </c>
      <c r="D4742" s="37" t="s">
        <v>2349</v>
      </c>
      <c r="E4742" s="212">
        <v>112.11</v>
      </c>
    </row>
    <row r="4743" spans="1:5" ht="14.25">
      <c r="A4743" s="37">
        <v>21014</v>
      </c>
      <c r="B4743" s="37" t="s">
        <v>25385</v>
      </c>
      <c r="C4743" s="37" t="s">
        <v>2355</v>
      </c>
      <c r="D4743" s="37" t="s">
        <v>2349</v>
      </c>
      <c r="E4743" s="212">
        <v>156.87</v>
      </c>
    </row>
    <row r="4744" spans="1:5" ht="14.25">
      <c r="A4744" s="37">
        <v>21015</v>
      </c>
      <c r="B4744" s="37" t="s">
        <v>25386</v>
      </c>
      <c r="C4744" s="37" t="s">
        <v>2355</v>
      </c>
      <c r="D4744" s="37" t="s">
        <v>2349</v>
      </c>
      <c r="E4744" s="212">
        <v>180.22</v>
      </c>
    </row>
    <row r="4745" spans="1:5" ht="14.25">
      <c r="A4745" s="37">
        <v>7697</v>
      </c>
      <c r="B4745" s="37" t="s">
        <v>25387</v>
      </c>
      <c r="C4745" s="37" t="s">
        <v>2355</v>
      </c>
      <c r="D4745" s="37" t="s">
        <v>2349</v>
      </c>
      <c r="E4745" s="212">
        <v>86</v>
      </c>
    </row>
    <row r="4746" spans="1:5" ht="14.25">
      <c r="A4746" s="37">
        <v>7698</v>
      </c>
      <c r="B4746" s="37" t="s">
        <v>25388</v>
      </c>
      <c r="C4746" s="37" t="s">
        <v>2355</v>
      </c>
      <c r="D4746" s="37" t="s">
        <v>2349</v>
      </c>
      <c r="E4746" s="212">
        <v>74.03</v>
      </c>
    </row>
    <row r="4747" spans="1:5" ht="14.25">
      <c r="A4747" s="37">
        <v>7691</v>
      </c>
      <c r="B4747" s="37" t="s">
        <v>25389</v>
      </c>
      <c r="C4747" s="37" t="s">
        <v>2355</v>
      </c>
      <c r="D4747" s="37" t="s">
        <v>2349</v>
      </c>
      <c r="E4747" s="212">
        <v>31.28</v>
      </c>
    </row>
    <row r="4748" spans="1:5" ht="14.25">
      <c r="A4748" s="37">
        <v>40626</v>
      </c>
      <c r="B4748" s="37" t="s">
        <v>25390</v>
      </c>
      <c r="C4748" s="37" t="s">
        <v>2355</v>
      </c>
      <c r="D4748" s="37" t="s">
        <v>2349</v>
      </c>
      <c r="E4748" s="212">
        <v>58.7</v>
      </c>
    </row>
    <row r="4749" spans="1:5" ht="14.25">
      <c r="A4749" s="37">
        <v>7701</v>
      </c>
      <c r="B4749" s="37" t="s">
        <v>25391</v>
      </c>
      <c r="C4749" s="37" t="s">
        <v>2355</v>
      </c>
      <c r="D4749" s="37" t="s">
        <v>2349</v>
      </c>
      <c r="E4749" s="212">
        <v>153.9</v>
      </c>
    </row>
    <row r="4750" spans="1:5" ht="14.25">
      <c r="A4750" s="37">
        <v>7696</v>
      </c>
      <c r="B4750" s="37" t="s">
        <v>25392</v>
      </c>
      <c r="C4750" s="37" t="s">
        <v>2355</v>
      </c>
      <c r="D4750" s="37" t="s">
        <v>2349</v>
      </c>
      <c r="E4750" s="212">
        <v>124.01</v>
      </c>
    </row>
    <row r="4751" spans="1:5" ht="14.25">
      <c r="A4751" s="37">
        <v>7700</v>
      </c>
      <c r="B4751" s="37" t="s">
        <v>25393</v>
      </c>
      <c r="C4751" s="37" t="s">
        <v>2355</v>
      </c>
      <c r="D4751" s="37" t="s">
        <v>2349</v>
      </c>
      <c r="E4751" s="212">
        <v>39.56</v>
      </c>
    </row>
    <row r="4752" spans="1:5" ht="14.25">
      <c r="A4752" s="37">
        <v>7694</v>
      </c>
      <c r="B4752" s="37" t="s">
        <v>25394</v>
      </c>
      <c r="C4752" s="37" t="s">
        <v>2355</v>
      </c>
      <c r="D4752" s="37" t="s">
        <v>2349</v>
      </c>
      <c r="E4752" s="212">
        <v>207.1</v>
      </c>
    </row>
    <row r="4753" spans="1:5" ht="14.25">
      <c r="A4753" s="37">
        <v>7693</v>
      </c>
      <c r="B4753" s="37" t="s">
        <v>25395</v>
      </c>
      <c r="C4753" s="37" t="s">
        <v>2355</v>
      </c>
      <c r="D4753" s="37" t="s">
        <v>2349</v>
      </c>
      <c r="E4753" s="212">
        <v>285.20999999999998</v>
      </c>
    </row>
    <row r="4754" spans="1:5" ht="14.25">
      <c r="A4754" s="37">
        <v>7692</v>
      </c>
      <c r="B4754" s="37" t="s">
        <v>25396</v>
      </c>
      <c r="C4754" s="37" t="s">
        <v>2355</v>
      </c>
      <c r="D4754" s="37" t="s">
        <v>2349</v>
      </c>
      <c r="E4754" s="212">
        <v>427.01</v>
      </c>
    </row>
    <row r="4755" spans="1:5" ht="14.25">
      <c r="A4755" s="37">
        <v>7695</v>
      </c>
      <c r="B4755" s="37" t="s">
        <v>25397</v>
      </c>
      <c r="C4755" s="37" t="s">
        <v>2355</v>
      </c>
      <c r="D4755" s="37" t="s">
        <v>2349</v>
      </c>
      <c r="E4755" s="212">
        <v>463.11</v>
      </c>
    </row>
    <row r="4756" spans="1:5" ht="14.25">
      <c r="A4756" s="37">
        <v>13356</v>
      </c>
      <c r="B4756" s="37" t="s">
        <v>25398</v>
      </c>
      <c r="C4756" s="37" t="s">
        <v>2355</v>
      </c>
      <c r="D4756" s="37" t="s">
        <v>2349</v>
      </c>
      <c r="E4756" s="212">
        <v>33.58</v>
      </c>
    </row>
    <row r="4757" spans="1:5" ht="14.25">
      <c r="A4757" s="37">
        <v>36365</v>
      </c>
      <c r="B4757" s="37" t="s">
        <v>25399</v>
      </c>
      <c r="C4757" s="37" t="s">
        <v>2355</v>
      </c>
      <c r="D4757" s="37" t="s">
        <v>2351</v>
      </c>
      <c r="E4757" s="212">
        <v>41.18</v>
      </c>
    </row>
    <row r="4758" spans="1:5" ht="14.25">
      <c r="A4758" s="37">
        <v>41930</v>
      </c>
      <c r="B4758" s="37" t="s">
        <v>25400</v>
      </c>
      <c r="C4758" s="37" t="s">
        <v>2355</v>
      </c>
      <c r="D4758" s="37" t="s">
        <v>2351</v>
      </c>
      <c r="E4758" s="212">
        <v>133.31</v>
      </c>
    </row>
    <row r="4759" spans="1:5" ht="14.25">
      <c r="A4759" s="37">
        <v>41931</v>
      </c>
      <c r="B4759" s="37" t="s">
        <v>25401</v>
      </c>
      <c r="C4759" s="37" t="s">
        <v>2355</v>
      </c>
      <c r="D4759" s="37" t="s">
        <v>2351</v>
      </c>
      <c r="E4759" s="212">
        <v>227.32</v>
      </c>
    </row>
    <row r="4760" spans="1:5" ht="14.25">
      <c r="A4760" s="37">
        <v>41932</v>
      </c>
      <c r="B4760" s="37" t="s">
        <v>25402</v>
      </c>
      <c r="C4760" s="37" t="s">
        <v>2355</v>
      </c>
      <c r="D4760" s="37" t="s">
        <v>2351</v>
      </c>
      <c r="E4760" s="212">
        <v>367.15</v>
      </c>
    </row>
    <row r="4761" spans="1:5" ht="14.25">
      <c r="A4761" s="37">
        <v>41933</v>
      </c>
      <c r="B4761" s="37" t="s">
        <v>25403</v>
      </c>
      <c r="C4761" s="37" t="s">
        <v>2355</v>
      </c>
      <c r="D4761" s="37" t="s">
        <v>2351</v>
      </c>
      <c r="E4761" s="212">
        <v>454.72</v>
      </c>
    </row>
    <row r="4762" spans="1:5" ht="14.25">
      <c r="A4762" s="37">
        <v>41934</v>
      </c>
      <c r="B4762" s="37" t="s">
        <v>25404</v>
      </c>
      <c r="C4762" s="37" t="s">
        <v>2355</v>
      </c>
      <c r="D4762" s="37" t="s">
        <v>2351</v>
      </c>
      <c r="E4762" s="212">
        <v>588.97</v>
      </c>
    </row>
    <row r="4763" spans="1:5" ht="14.25">
      <c r="A4763" s="37">
        <v>41936</v>
      </c>
      <c r="B4763" s="37" t="s">
        <v>25405</v>
      </c>
      <c r="C4763" s="37" t="s">
        <v>2355</v>
      </c>
      <c r="D4763" s="37" t="s">
        <v>2351</v>
      </c>
      <c r="E4763" s="212">
        <v>88.8</v>
      </c>
    </row>
    <row r="4764" spans="1:5" ht="14.25">
      <c r="A4764" s="37">
        <v>41785</v>
      </c>
      <c r="B4764" s="37" t="s">
        <v>28138</v>
      </c>
      <c r="C4764" s="37" t="s">
        <v>2355</v>
      </c>
      <c r="D4764" s="37" t="s">
        <v>2351</v>
      </c>
      <c r="E4764" s="213">
        <v>2347.83</v>
      </c>
    </row>
    <row r="4765" spans="1:5" ht="14.25">
      <c r="A4765" s="37">
        <v>41781</v>
      </c>
      <c r="B4765" s="37" t="s">
        <v>28139</v>
      </c>
      <c r="C4765" s="37" t="s">
        <v>2355</v>
      </c>
      <c r="D4765" s="37" t="s">
        <v>2351</v>
      </c>
      <c r="E4765" s="212">
        <v>669.38</v>
      </c>
    </row>
    <row r="4766" spans="1:5" ht="14.25">
      <c r="A4766" s="37">
        <v>41783</v>
      </c>
      <c r="B4766" s="37" t="s">
        <v>28140</v>
      </c>
      <c r="C4766" s="37" t="s">
        <v>2355</v>
      </c>
      <c r="D4766" s="37" t="s">
        <v>2351</v>
      </c>
      <c r="E4766" s="213">
        <v>1766.4</v>
      </c>
    </row>
    <row r="4767" spans="1:5" ht="14.25">
      <c r="A4767" s="37">
        <v>41786</v>
      </c>
      <c r="B4767" s="37" t="s">
        <v>28141</v>
      </c>
      <c r="C4767" s="37" t="s">
        <v>2355</v>
      </c>
      <c r="D4767" s="37" t="s">
        <v>2351</v>
      </c>
      <c r="E4767" s="213">
        <v>3684.91</v>
      </c>
    </row>
    <row r="4768" spans="1:5" ht="14.25">
      <c r="A4768" s="37">
        <v>41779</v>
      </c>
      <c r="B4768" s="37" t="s">
        <v>28142</v>
      </c>
      <c r="C4768" s="37" t="s">
        <v>2355</v>
      </c>
      <c r="D4768" s="37" t="s">
        <v>2351</v>
      </c>
      <c r="E4768" s="212">
        <v>256.73</v>
      </c>
    </row>
    <row r="4769" spans="1:5" ht="14.25">
      <c r="A4769" s="37">
        <v>41780</v>
      </c>
      <c r="B4769" s="37" t="s">
        <v>28143</v>
      </c>
      <c r="C4769" s="37" t="s">
        <v>2355</v>
      </c>
      <c r="D4769" s="37" t="s">
        <v>2351</v>
      </c>
      <c r="E4769" s="212">
        <v>303.64</v>
      </c>
    </row>
    <row r="4770" spans="1:5" ht="14.25">
      <c r="A4770" s="37">
        <v>41782</v>
      </c>
      <c r="B4770" s="37" t="s">
        <v>28144</v>
      </c>
      <c r="C4770" s="37" t="s">
        <v>2355</v>
      </c>
      <c r="D4770" s="37" t="s">
        <v>2351</v>
      </c>
      <c r="E4770" s="213">
        <v>1251.7</v>
      </c>
    </row>
    <row r="4771" spans="1:5" ht="14.25">
      <c r="A4771" s="37">
        <v>38130</v>
      </c>
      <c r="B4771" s="37" t="s">
        <v>25406</v>
      </c>
      <c r="C4771" s="37" t="s">
        <v>2355</v>
      </c>
      <c r="D4771" s="37" t="s">
        <v>2349</v>
      </c>
      <c r="E4771" s="212">
        <v>46.97</v>
      </c>
    </row>
    <row r="4772" spans="1:5" ht="14.25">
      <c r="A4772" s="37">
        <v>21123</v>
      </c>
      <c r="B4772" s="37" t="s">
        <v>25407</v>
      </c>
      <c r="C4772" s="37" t="s">
        <v>2355</v>
      </c>
      <c r="D4772" s="37" t="s">
        <v>2353</v>
      </c>
      <c r="E4772" s="212">
        <v>13.33</v>
      </c>
    </row>
    <row r="4773" spans="1:5" ht="14.25">
      <c r="A4773" s="37">
        <v>21124</v>
      </c>
      <c r="B4773" s="37" t="s">
        <v>25408</v>
      </c>
      <c r="C4773" s="37" t="s">
        <v>2355</v>
      </c>
      <c r="D4773" s="37" t="s">
        <v>2349</v>
      </c>
      <c r="E4773" s="212">
        <v>23.64</v>
      </c>
    </row>
    <row r="4774" spans="1:5" ht="14.25">
      <c r="A4774" s="37">
        <v>21125</v>
      </c>
      <c r="B4774" s="37" t="s">
        <v>25409</v>
      </c>
      <c r="C4774" s="37" t="s">
        <v>2355</v>
      </c>
      <c r="D4774" s="37" t="s">
        <v>2349</v>
      </c>
      <c r="E4774" s="212">
        <v>37.94</v>
      </c>
    </row>
    <row r="4775" spans="1:5" ht="14.25">
      <c r="A4775" s="37">
        <v>38028</v>
      </c>
      <c r="B4775" s="37" t="s">
        <v>25410</v>
      </c>
      <c r="C4775" s="37" t="s">
        <v>2355</v>
      </c>
      <c r="D4775" s="37" t="s">
        <v>2349</v>
      </c>
      <c r="E4775" s="212">
        <v>64.37</v>
      </c>
    </row>
    <row r="4776" spans="1:5" ht="14.25">
      <c r="A4776" s="37">
        <v>38029</v>
      </c>
      <c r="B4776" s="37" t="s">
        <v>25411</v>
      </c>
      <c r="C4776" s="37" t="s">
        <v>2355</v>
      </c>
      <c r="D4776" s="37" t="s">
        <v>2349</v>
      </c>
      <c r="E4776" s="212">
        <v>98.13</v>
      </c>
    </row>
    <row r="4777" spans="1:5" ht="14.25">
      <c r="A4777" s="37">
        <v>38030</v>
      </c>
      <c r="B4777" s="37" t="s">
        <v>25412</v>
      </c>
      <c r="C4777" s="37" t="s">
        <v>2355</v>
      </c>
      <c r="D4777" s="37" t="s">
        <v>2349</v>
      </c>
      <c r="E4777" s="212">
        <v>150.72</v>
      </c>
    </row>
    <row r="4778" spans="1:5" ht="14.25">
      <c r="A4778" s="37">
        <v>38031</v>
      </c>
      <c r="B4778" s="37" t="s">
        <v>25413</v>
      </c>
      <c r="C4778" s="37" t="s">
        <v>2355</v>
      </c>
      <c r="D4778" s="37" t="s">
        <v>2349</v>
      </c>
      <c r="E4778" s="212">
        <v>238.84</v>
      </c>
    </row>
    <row r="4779" spans="1:5" ht="14.25">
      <c r="A4779" s="37">
        <v>39735</v>
      </c>
      <c r="B4779" s="37" t="s">
        <v>25414</v>
      </c>
      <c r="C4779" s="37" t="s">
        <v>2355</v>
      </c>
      <c r="D4779" s="37" t="s">
        <v>2349</v>
      </c>
      <c r="E4779" s="212">
        <v>75.94</v>
      </c>
    </row>
    <row r="4780" spans="1:5" ht="14.25">
      <c r="A4780" s="37">
        <v>39734</v>
      </c>
      <c r="B4780" s="37" t="s">
        <v>25415</v>
      </c>
      <c r="C4780" s="37" t="s">
        <v>2355</v>
      </c>
      <c r="D4780" s="37" t="s">
        <v>2349</v>
      </c>
      <c r="E4780" s="212">
        <v>90.08</v>
      </c>
    </row>
    <row r="4781" spans="1:5" ht="14.25">
      <c r="A4781" s="37">
        <v>39736</v>
      </c>
      <c r="B4781" s="37" t="s">
        <v>25416</v>
      </c>
      <c r="C4781" s="37" t="s">
        <v>2355</v>
      </c>
      <c r="D4781" s="37" t="s">
        <v>2349</v>
      </c>
      <c r="E4781" s="212">
        <v>102.8</v>
      </c>
    </row>
    <row r="4782" spans="1:5" ht="14.25">
      <c r="A4782" s="37">
        <v>39737</v>
      </c>
      <c r="B4782" s="37" t="s">
        <v>25417</v>
      </c>
      <c r="C4782" s="37" t="s">
        <v>2355</v>
      </c>
      <c r="D4782" s="37" t="s">
        <v>2349</v>
      </c>
      <c r="E4782" s="212">
        <v>13.83</v>
      </c>
    </row>
    <row r="4783" spans="1:5" ht="14.25">
      <c r="A4783" s="37">
        <v>39738</v>
      </c>
      <c r="B4783" s="37" t="s">
        <v>25418</v>
      </c>
      <c r="C4783" s="37" t="s">
        <v>2355</v>
      </c>
      <c r="D4783" s="37" t="s">
        <v>2349</v>
      </c>
      <c r="E4783" s="212">
        <v>5</v>
      </c>
    </row>
    <row r="4784" spans="1:5" ht="14.25">
      <c r="A4784" s="37">
        <v>39739</v>
      </c>
      <c r="B4784" s="37" t="s">
        <v>25419</v>
      </c>
      <c r="C4784" s="37" t="s">
        <v>2355</v>
      </c>
      <c r="D4784" s="37" t="s">
        <v>2349</v>
      </c>
      <c r="E4784" s="212">
        <v>71.09</v>
      </c>
    </row>
    <row r="4785" spans="1:5" ht="14.25">
      <c r="A4785" s="37">
        <v>39733</v>
      </c>
      <c r="B4785" s="37" t="s">
        <v>25420</v>
      </c>
      <c r="C4785" s="37" t="s">
        <v>2355</v>
      </c>
      <c r="D4785" s="37" t="s">
        <v>2349</v>
      </c>
      <c r="E4785" s="212">
        <v>123.02</v>
      </c>
    </row>
    <row r="4786" spans="1:5" ht="14.25">
      <c r="A4786" s="37">
        <v>39854</v>
      </c>
      <c r="B4786" s="37" t="s">
        <v>25421</v>
      </c>
      <c r="C4786" s="37" t="s">
        <v>2355</v>
      </c>
      <c r="D4786" s="37" t="s">
        <v>2349</v>
      </c>
      <c r="E4786" s="212">
        <v>124.77</v>
      </c>
    </row>
    <row r="4787" spans="1:5" ht="14.25">
      <c r="A4787" s="37">
        <v>39740</v>
      </c>
      <c r="B4787" s="37" t="s">
        <v>25422</v>
      </c>
      <c r="C4787" s="37" t="s">
        <v>2355</v>
      </c>
      <c r="D4787" s="37" t="s">
        <v>2349</v>
      </c>
      <c r="E4787" s="212">
        <v>68.27</v>
      </c>
    </row>
    <row r="4788" spans="1:5" ht="14.25">
      <c r="A4788" s="37">
        <v>39741</v>
      </c>
      <c r="B4788" s="37" t="s">
        <v>25423</v>
      </c>
      <c r="C4788" s="37" t="s">
        <v>2355</v>
      </c>
      <c r="D4788" s="37" t="s">
        <v>2349</v>
      </c>
      <c r="E4788" s="212">
        <v>12.58</v>
      </c>
    </row>
    <row r="4789" spans="1:5" ht="14.25">
      <c r="A4789" s="37">
        <v>39853</v>
      </c>
      <c r="B4789" s="37" t="s">
        <v>25424</v>
      </c>
      <c r="C4789" s="37" t="s">
        <v>2355</v>
      </c>
      <c r="D4789" s="37" t="s">
        <v>2349</v>
      </c>
      <c r="E4789" s="212">
        <v>16.52</v>
      </c>
    </row>
    <row r="4790" spans="1:5" ht="14.25">
      <c r="A4790" s="37">
        <v>39742</v>
      </c>
      <c r="B4790" s="37" t="s">
        <v>25425</v>
      </c>
      <c r="C4790" s="37" t="s">
        <v>2355</v>
      </c>
      <c r="D4790" s="37" t="s">
        <v>2349</v>
      </c>
      <c r="E4790" s="212">
        <v>54.87</v>
      </c>
    </row>
    <row r="4791" spans="1:5" ht="14.25">
      <c r="A4791" s="37">
        <v>39749</v>
      </c>
      <c r="B4791" s="37" t="s">
        <v>25426</v>
      </c>
      <c r="C4791" s="37" t="s">
        <v>2355</v>
      </c>
      <c r="D4791" s="37" t="s">
        <v>2351</v>
      </c>
      <c r="E4791" s="212">
        <v>113.71</v>
      </c>
    </row>
    <row r="4792" spans="1:5" ht="14.25">
      <c r="A4792" s="37">
        <v>39751</v>
      </c>
      <c r="B4792" s="37" t="s">
        <v>25427</v>
      </c>
      <c r="C4792" s="37" t="s">
        <v>2355</v>
      </c>
      <c r="D4792" s="37" t="s">
        <v>2351</v>
      </c>
      <c r="E4792" s="212">
        <v>206.62</v>
      </c>
    </row>
    <row r="4793" spans="1:5" ht="14.25">
      <c r="A4793" s="37">
        <v>39750</v>
      </c>
      <c r="B4793" s="37" t="s">
        <v>25428</v>
      </c>
      <c r="C4793" s="37" t="s">
        <v>2355</v>
      </c>
      <c r="D4793" s="37" t="s">
        <v>2351</v>
      </c>
      <c r="E4793" s="212">
        <v>171.74</v>
      </c>
    </row>
    <row r="4794" spans="1:5" ht="14.25">
      <c r="A4794" s="37">
        <v>39747</v>
      </c>
      <c r="B4794" s="37" t="s">
        <v>25429</v>
      </c>
      <c r="C4794" s="37" t="s">
        <v>2355</v>
      </c>
      <c r="D4794" s="37" t="s">
        <v>2351</v>
      </c>
      <c r="E4794" s="212">
        <v>55.24</v>
      </c>
    </row>
    <row r="4795" spans="1:5" ht="14.25">
      <c r="A4795" s="37">
        <v>39753</v>
      </c>
      <c r="B4795" s="37" t="s">
        <v>25430</v>
      </c>
      <c r="C4795" s="37" t="s">
        <v>2355</v>
      </c>
      <c r="D4795" s="37" t="s">
        <v>2351</v>
      </c>
      <c r="E4795" s="212">
        <v>380.34</v>
      </c>
    </row>
    <row r="4796" spans="1:5" ht="14.25">
      <c r="A4796" s="37">
        <v>39754</v>
      </c>
      <c r="B4796" s="37" t="s">
        <v>25431</v>
      </c>
      <c r="C4796" s="37" t="s">
        <v>2355</v>
      </c>
      <c r="D4796" s="37" t="s">
        <v>2351</v>
      </c>
      <c r="E4796" s="212">
        <v>560.35</v>
      </c>
    </row>
    <row r="4797" spans="1:5" ht="14.25">
      <c r="A4797" s="37">
        <v>39748</v>
      </c>
      <c r="B4797" s="37" t="s">
        <v>25432</v>
      </c>
      <c r="C4797" s="37" t="s">
        <v>2355</v>
      </c>
      <c r="D4797" s="37" t="s">
        <v>2351</v>
      </c>
      <c r="E4797" s="212">
        <v>89.38</v>
      </c>
    </row>
    <row r="4798" spans="1:5" ht="14.25">
      <c r="A4798" s="37">
        <v>39755</v>
      </c>
      <c r="B4798" s="37" t="s">
        <v>25433</v>
      </c>
      <c r="C4798" s="37" t="s">
        <v>2355</v>
      </c>
      <c r="D4798" s="37" t="s">
        <v>2351</v>
      </c>
      <c r="E4798" s="212">
        <v>849.61</v>
      </c>
    </row>
    <row r="4799" spans="1:5" ht="14.25">
      <c r="A4799" s="37">
        <v>12742</v>
      </c>
      <c r="B4799" s="37" t="s">
        <v>25434</v>
      </c>
      <c r="C4799" s="37" t="s">
        <v>2355</v>
      </c>
      <c r="D4799" s="37" t="s">
        <v>2351</v>
      </c>
      <c r="E4799" s="212">
        <v>672.75</v>
      </c>
    </row>
    <row r="4800" spans="1:5" ht="14.25">
      <c r="A4800" s="37">
        <v>12713</v>
      </c>
      <c r="B4800" s="37" t="s">
        <v>25435</v>
      </c>
      <c r="C4800" s="37" t="s">
        <v>2355</v>
      </c>
      <c r="D4800" s="37" t="s">
        <v>2351</v>
      </c>
      <c r="E4800" s="212">
        <v>35.68</v>
      </c>
    </row>
    <row r="4801" spans="1:5" ht="14.25">
      <c r="A4801" s="37">
        <v>12743</v>
      </c>
      <c r="B4801" s="37" t="s">
        <v>25436</v>
      </c>
      <c r="C4801" s="37" t="s">
        <v>2355</v>
      </c>
      <c r="D4801" s="37" t="s">
        <v>2351</v>
      </c>
      <c r="E4801" s="212">
        <v>61.38</v>
      </c>
    </row>
    <row r="4802" spans="1:5" ht="14.25">
      <c r="A4802" s="37">
        <v>12744</v>
      </c>
      <c r="B4802" s="37" t="s">
        <v>25437</v>
      </c>
      <c r="C4802" s="37" t="s">
        <v>2355</v>
      </c>
      <c r="D4802" s="37" t="s">
        <v>2351</v>
      </c>
      <c r="E4802" s="212">
        <v>77.900000000000006</v>
      </c>
    </row>
    <row r="4803" spans="1:5" ht="14.25">
      <c r="A4803" s="37">
        <v>12745</v>
      </c>
      <c r="B4803" s="37" t="s">
        <v>25438</v>
      </c>
      <c r="C4803" s="37" t="s">
        <v>2355</v>
      </c>
      <c r="D4803" s="37" t="s">
        <v>2351</v>
      </c>
      <c r="E4803" s="212">
        <v>113.12</v>
      </c>
    </row>
    <row r="4804" spans="1:5" ht="14.25">
      <c r="A4804" s="37">
        <v>12746</v>
      </c>
      <c r="B4804" s="37" t="s">
        <v>25439</v>
      </c>
      <c r="C4804" s="37" t="s">
        <v>2355</v>
      </c>
      <c r="D4804" s="37" t="s">
        <v>2351</v>
      </c>
      <c r="E4804" s="212">
        <v>152.76</v>
      </c>
    </row>
    <row r="4805" spans="1:5" ht="14.25">
      <c r="A4805" s="37">
        <v>12747</v>
      </c>
      <c r="B4805" s="37" t="s">
        <v>25440</v>
      </c>
      <c r="C4805" s="37" t="s">
        <v>2355</v>
      </c>
      <c r="D4805" s="37" t="s">
        <v>2351</v>
      </c>
      <c r="E4805" s="212">
        <v>221.53</v>
      </c>
    </row>
    <row r="4806" spans="1:5" ht="14.25">
      <c r="A4806" s="37">
        <v>12748</v>
      </c>
      <c r="B4806" s="37" t="s">
        <v>25441</v>
      </c>
      <c r="C4806" s="37" t="s">
        <v>2355</v>
      </c>
      <c r="D4806" s="37" t="s">
        <v>2351</v>
      </c>
      <c r="E4806" s="212">
        <v>312.10000000000002</v>
      </c>
    </row>
    <row r="4807" spans="1:5" ht="14.25">
      <c r="A4807" s="37">
        <v>12749</v>
      </c>
      <c r="B4807" s="37" t="s">
        <v>25442</v>
      </c>
      <c r="C4807" s="37" t="s">
        <v>2355</v>
      </c>
      <c r="D4807" s="37" t="s">
        <v>2351</v>
      </c>
      <c r="E4807" s="212">
        <v>456.24</v>
      </c>
    </row>
    <row r="4808" spans="1:5" ht="14.25">
      <c r="A4808" s="37">
        <v>39726</v>
      </c>
      <c r="B4808" s="37" t="s">
        <v>25443</v>
      </c>
      <c r="C4808" s="37" t="s">
        <v>2355</v>
      </c>
      <c r="D4808" s="37" t="s">
        <v>2351</v>
      </c>
      <c r="E4808" s="212">
        <v>149.85</v>
      </c>
    </row>
    <row r="4809" spans="1:5" ht="14.25">
      <c r="A4809" s="37">
        <v>39728</v>
      </c>
      <c r="B4809" s="37" t="s">
        <v>25444</v>
      </c>
      <c r="C4809" s="37" t="s">
        <v>2355</v>
      </c>
      <c r="D4809" s="37" t="s">
        <v>2351</v>
      </c>
      <c r="E4809" s="212">
        <v>263.37</v>
      </c>
    </row>
    <row r="4810" spans="1:5" ht="14.25">
      <c r="A4810" s="37">
        <v>39727</v>
      </c>
      <c r="B4810" s="37" t="s">
        <v>25445</v>
      </c>
      <c r="C4810" s="37" t="s">
        <v>2355</v>
      </c>
      <c r="D4810" s="37" t="s">
        <v>2351</v>
      </c>
      <c r="E4810" s="212">
        <v>216.74</v>
      </c>
    </row>
    <row r="4811" spans="1:5" ht="14.25">
      <c r="A4811" s="37">
        <v>39724</v>
      </c>
      <c r="B4811" s="37" t="s">
        <v>25446</v>
      </c>
      <c r="C4811" s="37" t="s">
        <v>2355</v>
      </c>
      <c r="D4811" s="37" t="s">
        <v>2351</v>
      </c>
      <c r="E4811" s="212">
        <v>66.36</v>
      </c>
    </row>
    <row r="4812" spans="1:5" ht="14.25">
      <c r="A4812" s="37">
        <v>39729</v>
      </c>
      <c r="B4812" s="37" t="s">
        <v>25447</v>
      </c>
      <c r="C4812" s="37" t="s">
        <v>2355</v>
      </c>
      <c r="D4812" s="37" t="s">
        <v>2351</v>
      </c>
      <c r="E4812" s="212">
        <v>364.72</v>
      </c>
    </row>
    <row r="4813" spans="1:5" ht="14.25">
      <c r="A4813" s="37">
        <v>39730</v>
      </c>
      <c r="B4813" s="37" t="s">
        <v>25448</v>
      </c>
      <c r="C4813" s="37" t="s">
        <v>2355</v>
      </c>
      <c r="D4813" s="37" t="s">
        <v>2351</v>
      </c>
      <c r="E4813" s="212">
        <v>473.21</v>
      </c>
    </row>
    <row r="4814" spans="1:5" ht="14.25">
      <c r="A4814" s="37">
        <v>39731</v>
      </c>
      <c r="B4814" s="37" t="s">
        <v>25449</v>
      </c>
      <c r="C4814" s="37" t="s">
        <v>2355</v>
      </c>
      <c r="D4814" s="37" t="s">
        <v>2351</v>
      </c>
      <c r="E4814" s="212">
        <v>700.86</v>
      </c>
    </row>
    <row r="4815" spans="1:5" ht="14.25">
      <c r="A4815" s="37">
        <v>39725</v>
      </c>
      <c r="B4815" s="37" t="s">
        <v>25450</v>
      </c>
      <c r="C4815" s="37" t="s">
        <v>2355</v>
      </c>
      <c r="D4815" s="37" t="s">
        <v>2351</v>
      </c>
      <c r="E4815" s="212">
        <v>108.16</v>
      </c>
    </row>
    <row r="4816" spans="1:5" ht="14.25">
      <c r="A4816" s="37">
        <v>39732</v>
      </c>
      <c r="B4816" s="37" t="s">
        <v>25451</v>
      </c>
      <c r="C4816" s="37" t="s">
        <v>2355</v>
      </c>
      <c r="D4816" s="37" t="s">
        <v>2351</v>
      </c>
      <c r="E4816" s="213">
        <v>1031.6300000000001</v>
      </c>
    </row>
    <row r="4817" spans="1:5" ht="14.25">
      <c r="A4817" s="37">
        <v>39660</v>
      </c>
      <c r="B4817" s="37" t="s">
        <v>25452</v>
      </c>
      <c r="C4817" s="37" t="s">
        <v>2355</v>
      </c>
      <c r="D4817" s="37" t="s">
        <v>2351</v>
      </c>
      <c r="E4817" s="212">
        <v>47.01</v>
      </c>
    </row>
    <row r="4818" spans="1:5" ht="14.25">
      <c r="A4818" s="37">
        <v>39662</v>
      </c>
      <c r="B4818" s="37" t="s">
        <v>25453</v>
      </c>
      <c r="C4818" s="37" t="s">
        <v>2355</v>
      </c>
      <c r="D4818" s="37" t="s">
        <v>2351</v>
      </c>
      <c r="E4818" s="212">
        <v>22.53</v>
      </c>
    </row>
    <row r="4819" spans="1:5" ht="14.25">
      <c r="A4819" s="37">
        <v>39661</v>
      </c>
      <c r="B4819" s="37" t="s">
        <v>25454</v>
      </c>
      <c r="C4819" s="37" t="s">
        <v>2355</v>
      </c>
      <c r="D4819" s="37" t="s">
        <v>2351</v>
      </c>
      <c r="E4819" s="212">
        <v>15.36</v>
      </c>
    </row>
    <row r="4820" spans="1:5" ht="14.25">
      <c r="A4820" s="37">
        <v>39666</v>
      </c>
      <c r="B4820" s="37" t="s">
        <v>25455</v>
      </c>
      <c r="C4820" s="37" t="s">
        <v>2355</v>
      </c>
      <c r="D4820" s="37" t="s">
        <v>2351</v>
      </c>
      <c r="E4820" s="212">
        <v>70.72</v>
      </c>
    </row>
    <row r="4821" spans="1:5" ht="14.25">
      <c r="A4821" s="37">
        <v>39664</v>
      </c>
      <c r="B4821" s="37" t="s">
        <v>25456</v>
      </c>
      <c r="C4821" s="37" t="s">
        <v>2355</v>
      </c>
      <c r="D4821" s="37" t="s">
        <v>2351</v>
      </c>
      <c r="E4821" s="212">
        <v>34.659999999999997</v>
      </c>
    </row>
    <row r="4822" spans="1:5" ht="14.25">
      <c r="A4822" s="37">
        <v>39663</v>
      </c>
      <c r="B4822" s="37" t="s">
        <v>25457</v>
      </c>
      <c r="C4822" s="37" t="s">
        <v>2355</v>
      </c>
      <c r="D4822" s="37" t="s">
        <v>2351</v>
      </c>
      <c r="E4822" s="212">
        <v>27.71</v>
      </c>
    </row>
    <row r="4823" spans="1:5" ht="14.25">
      <c r="A4823" s="37">
        <v>39665</v>
      </c>
      <c r="B4823" s="37" t="s">
        <v>25458</v>
      </c>
      <c r="C4823" s="37" t="s">
        <v>2355</v>
      </c>
      <c r="D4823" s="37" t="s">
        <v>2351</v>
      </c>
      <c r="E4823" s="212">
        <v>58.47</v>
      </c>
    </row>
    <row r="4824" spans="1:5" ht="14.25">
      <c r="A4824" s="37">
        <v>39752</v>
      </c>
      <c r="B4824" s="37" t="s">
        <v>25459</v>
      </c>
      <c r="C4824" s="37" t="s">
        <v>2355</v>
      </c>
      <c r="D4824" s="37" t="s">
        <v>2351</v>
      </c>
      <c r="E4824" s="212">
        <v>294</v>
      </c>
    </row>
    <row r="4825" spans="1:5" ht="14.25">
      <c r="A4825" s="37">
        <v>7725</v>
      </c>
      <c r="B4825" s="37" t="s">
        <v>25460</v>
      </c>
      <c r="C4825" s="37" t="s">
        <v>2355</v>
      </c>
      <c r="D4825" s="37" t="s">
        <v>2353</v>
      </c>
      <c r="E4825" s="212">
        <v>135</v>
      </c>
    </row>
    <row r="4826" spans="1:5" ht="14.25">
      <c r="A4826" s="37">
        <v>7753</v>
      </c>
      <c r="B4826" s="37" t="s">
        <v>25461</v>
      </c>
      <c r="C4826" s="37" t="s">
        <v>2355</v>
      </c>
      <c r="D4826" s="37" t="s">
        <v>2349</v>
      </c>
      <c r="E4826" s="212">
        <v>263.19</v>
      </c>
    </row>
    <row r="4827" spans="1:5" ht="14.25">
      <c r="A4827" s="37">
        <v>13256</v>
      </c>
      <c r="B4827" s="37" t="s">
        <v>25462</v>
      </c>
      <c r="C4827" s="37" t="s">
        <v>2355</v>
      </c>
      <c r="D4827" s="37" t="s">
        <v>2349</v>
      </c>
      <c r="E4827" s="212">
        <v>368.69</v>
      </c>
    </row>
    <row r="4828" spans="1:5" ht="14.25">
      <c r="A4828" s="37">
        <v>7757</v>
      </c>
      <c r="B4828" s="37" t="s">
        <v>25463</v>
      </c>
      <c r="C4828" s="37" t="s">
        <v>2355</v>
      </c>
      <c r="D4828" s="37" t="s">
        <v>2349</v>
      </c>
      <c r="E4828" s="212">
        <v>393.08</v>
      </c>
    </row>
    <row r="4829" spans="1:5" ht="14.25">
      <c r="A4829" s="37">
        <v>7758</v>
      </c>
      <c r="B4829" s="37" t="s">
        <v>25464</v>
      </c>
      <c r="C4829" s="37" t="s">
        <v>2355</v>
      </c>
      <c r="D4829" s="37" t="s">
        <v>2349</v>
      </c>
      <c r="E4829" s="212">
        <v>569.49</v>
      </c>
    </row>
    <row r="4830" spans="1:5" ht="14.25">
      <c r="A4830" s="37">
        <v>7759</v>
      </c>
      <c r="B4830" s="37" t="s">
        <v>25465</v>
      </c>
      <c r="C4830" s="37" t="s">
        <v>2355</v>
      </c>
      <c r="D4830" s="37" t="s">
        <v>2349</v>
      </c>
      <c r="E4830" s="213">
        <v>1578.07</v>
      </c>
    </row>
    <row r="4831" spans="1:5" ht="14.25">
      <c r="A4831" s="37">
        <v>40334</v>
      </c>
      <c r="B4831" s="37" t="s">
        <v>25466</v>
      </c>
      <c r="C4831" s="37" t="s">
        <v>2355</v>
      </c>
      <c r="D4831" s="37" t="s">
        <v>2349</v>
      </c>
      <c r="E4831" s="212">
        <v>61.82</v>
      </c>
    </row>
    <row r="4832" spans="1:5" ht="14.25">
      <c r="A4832" s="37">
        <v>7745</v>
      </c>
      <c r="B4832" s="37" t="s">
        <v>25467</v>
      </c>
      <c r="C4832" s="37" t="s">
        <v>2355</v>
      </c>
      <c r="D4832" s="37" t="s">
        <v>2349</v>
      </c>
      <c r="E4832" s="212">
        <v>69.760000000000005</v>
      </c>
    </row>
    <row r="4833" spans="1:5" ht="14.25">
      <c r="A4833" s="37">
        <v>7714</v>
      </c>
      <c r="B4833" s="37" t="s">
        <v>25468</v>
      </c>
      <c r="C4833" s="37" t="s">
        <v>2355</v>
      </c>
      <c r="D4833" s="37" t="s">
        <v>2349</v>
      </c>
      <c r="E4833" s="212">
        <v>83.38</v>
      </c>
    </row>
    <row r="4834" spans="1:5" ht="14.25">
      <c r="A4834" s="37">
        <v>7742</v>
      </c>
      <c r="B4834" s="37" t="s">
        <v>25469</v>
      </c>
      <c r="C4834" s="37" t="s">
        <v>2355</v>
      </c>
      <c r="D4834" s="37" t="s">
        <v>2349</v>
      </c>
      <c r="E4834" s="212">
        <v>184</v>
      </c>
    </row>
    <row r="4835" spans="1:5" ht="14.25">
      <c r="A4835" s="37">
        <v>7750</v>
      </c>
      <c r="B4835" s="37" t="s">
        <v>25470</v>
      </c>
      <c r="C4835" s="37" t="s">
        <v>2355</v>
      </c>
      <c r="D4835" s="37" t="s">
        <v>2349</v>
      </c>
      <c r="E4835" s="212">
        <v>224.62</v>
      </c>
    </row>
    <row r="4836" spans="1:5" ht="14.25">
      <c r="A4836" s="37">
        <v>7756</v>
      </c>
      <c r="B4836" s="37" t="s">
        <v>25471</v>
      </c>
      <c r="C4836" s="37" t="s">
        <v>2355</v>
      </c>
      <c r="D4836" s="37" t="s">
        <v>2349</v>
      </c>
      <c r="E4836" s="212">
        <v>258.08</v>
      </c>
    </row>
    <row r="4837" spans="1:5" ht="14.25">
      <c r="A4837" s="37">
        <v>7765</v>
      </c>
      <c r="B4837" s="37" t="s">
        <v>25472</v>
      </c>
      <c r="C4837" s="37" t="s">
        <v>2355</v>
      </c>
      <c r="D4837" s="37" t="s">
        <v>2349</v>
      </c>
      <c r="E4837" s="212">
        <v>289.27999999999997</v>
      </c>
    </row>
    <row r="4838" spans="1:5" ht="14.25">
      <c r="A4838" s="37">
        <v>12569</v>
      </c>
      <c r="B4838" s="37" t="s">
        <v>25473</v>
      </c>
      <c r="C4838" s="37" t="s">
        <v>2355</v>
      </c>
      <c r="D4838" s="37" t="s">
        <v>2349</v>
      </c>
      <c r="E4838" s="212">
        <v>399.32</v>
      </c>
    </row>
    <row r="4839" spans="1:5" ht="14.25">
      <c r="A4839" s="37">
        <v>7766</v>
      </c>
      <c r="B4839" s="37" t="s">
        <v>25474</v>
      </c>
      <c r="C4839" s="37" t="s">
        <v>2355</v>
      </c>
      <c r="D4839" s="37" t="s">
        <v>2349</v>
      </c>
      <c r="E4839" s="212">
        <v>424.28</v>
      </c>
    </row>
    <row r="4840" spans="1:5" ht="14.25">
      <c r="A4840" s="37">
        <v>7767</v>
      </c>
      <c r="B4840" s="37" t="s">
        <v>25475</v>
      </c>
      <c r="C4840" s="37" t="s">
        <v>2355</v>
      </c>
      <c r="D4840" s="37" t="s">
        <v>2349</v>
      </c>
      <c r="E4840" s="212">
        <v>609.20000000000005</v>
      </c>
    </row>
    <row r="4841" spans="1:5" ht="14.25">
      <c r="A4841" s="37">
        <v>7727</v>
      </c>
      <c r="B4841" s="37" t="s">
        <v>25476</v>
      </c>
      <c r="C4841" s="37" t="s">
        <v>2355</v>
      </c>
      <c r="D4841" s="37" t="s">
        <v>2349</v>
      </c>
      <c r="E4841" s="213">
        <v>1769.74</v>
      </c>
    </row>
    <row r="4842" spans="1:5" ht="14.25">
      <c r="A4842" s="37">
        <v>7760</v>
      </c>
      <c r="B4842" s="37" t="s">
        <v>25477</v>
      </c>
      <c r="C4842" s="37" t="s">
        <v>2355</v>
      </c>
      <c r="D4842" s="37" t="s">
        <v>2349</v>
      </c>
      <c r="E4842" s="212">
        <v>70.33</v>
      </c>
    </row>
    <row r="4843" spans="1:5" ht="14.25">
      <c r="A4843" s="37">
        <v>7761</v>
      </c>
      <c r="B4843" s="37" t="s">
        <v>25478</v>
      </c>
      <c r="C4843" s="37" t="s">
        <v>2355</v>
      </c>
      <c r="D4843" s="37" t="s">
        <v>2349</v>
      </c>
      <c r="E4843" s="212">
        <v>73.73</v>
      </c>
    </row>
    <row r="4844" spans="1:5" ht="14.25">
      <c r="A4844" s="37">
        <v>7752</v>
      </c>
      <c r="B4844" s="37" t="s">
        <v>25479</v>
      </c>
      <c r="C4844" s="37" t="s">
        <v>2355</v>
      </c>
      <c r="D4844" s="37" t="s">
        <v>2349</v>
      </c>
      <c r="E4844" s="212">
        <v>89.62</v>
      </c>
    </row>
    <row r="4845" spans="1:5" ht="14.25">
      <c r="A4845" s="37">
        <v>7762</v>
      </c>
      <c r="B4845" s="37" t="s">
        <v>25480</v>
      </c>
      <c r="C4845" s="37" t="s">
        <v>2355</v>
      </c>
      <c r="D4845" s="37" t="s">
        <v>2349</v>
      </c>
      <c r="E4845" s="212">
        <v>117.13</v>
      </c>
    </row>
    <row r="4846" spans="1:5" ht="14.25">
      <c r="A4846" s="37">
        <v>7722</v>
      </c>
      <c r="B4846" s="37" t="s">
        <v>25481</v>
      </c>
      <c r="C4846" s="37" t="s">
        <v>2355</v>
      </c>
      <c r="D4846" s="37" t="s">
        <v>2349</v>
      </c>
      <c r="E4846" s="212">
        <v>179.24</v>
      </c>
    </row>
    <row r="4847" spans="1:5" ht="14.25">
      <c r="A4847" s="37">
        <v>7763</v>
      </c>
      <c r="B4847" s="37" t="s">
        <v>25482</v>
      </c>
      <c r="C4847" s="37" t="s">
        <v>2355</v>
      </c>
      <c r="D4847" s="37" t="s">
        <v>2349</v>
      </c>
      <c r="E4847" s="212">
        <v>218.38</v>
      </c>
    </row>
    <row r="4848" spans="1:5" ht="14.25">
      <c r="A4848" s="37">
        <v>7764</v>
      </c>
      <c r="B4848" s="37" t="s">
        <v>25483</v>
      </c>
      <c r="C4848" s="37" t="s">
        <v>2355</v>
      </c>
      <c r="D4848" s="37" t="s">
        <v>2349</v>
      </c>
      <c r="E4848" s="212">
        <v>260.92</v>
      </c>
    </row>
    <row r="4849" spans="1:5" ht="14.25">
      <c r="A4849" s="37">
        <v>12572</v>
      </c>
      <c r="B4849" s="37" t="s">
        <v>25484</v>
      </c>
      <c r="C4849" s="37" t="s">
        <v>2355</v>
      </c>
      <c r="D4849" s="37" t="s">
        <v>2349</v>
      </c>
      <c r="E4849" s="212">
        <v>368.69</v>
      </c>
    </row>
    <row r="4850" spans="1:5" ht="14.25">
      <c r="A4850" s="37">
        <v>12573</v>
      </c>
      <c r="B4850" s="37" t="s">
        <v>25485</v>
      </c>
      <c r="C4850" s="37" t="s">
        <v>2355</v>
      </c>
      <c r="D4850" s="37" t="s">
        <v>2349</v>
      </c>
      <c r="E4850" s="212">
        <v>484.97</v>
      </c>
    </row>
    <row r="4851" spans="1:5" ht="14.25">
      <c r="A4851" s="37">
        <v>12574</v>
      </c>
      <c r="B4851" s="37" t="s">
        <v>25486</v>
      </c>
      <c r="C4851" s="37" t="s">
        <v>2355</v>
      </c>
      <c r="D4851" s="37" t="s">
        <v>2349</v>
      </c>
      <c r="E4851" s="212">
        <v>586.39</v>
      </c>
    </row>
    <row r="4852" spans="1:5" ht="14.25">
      <c r="A4852" s="37">
        <v>12575</v>
      </c>
      <c r="B4852" s="37" t="s">
        <v>25487</v>
      </c>
      <c r="C4852" s="37" t="s">
        <v>2355</v>
      </c>
      <c r="D4852" s="37" t="s">
        <v>2349</v>
      </c>
      <c r="E4852" s="212">
        <v>890.54</v>
      </c>
    </row>
    <row r="4853" spans="1:5" ht="14.25">
      <c r="A4853" s="37">
        <v>12576</v>
      </c>
      <c r="B4853" s="37" t="s">
        <v>25488</v>
      </c>
      <c r="C4853" s="37" t="s">
        <v>2355</v>
      </c>
      <c r="D4853" s="37" t="s">
        <v>2349</v>
      </c>
      <c r="E4853" s="212">
        <v>107.77</v>
      </c>
    </row>
    <row r="4854" spans="1:5" ht="14.25">
      <c r="A4854" s="37">
        <v>12577</v>
      </c>
      <c r="B4854" s="37" t="s">
        <v>25489</v>
      </c>
      <c r="C4854" s="37" t="s">
        <v>2355</v>
      </c>
      <c r="D4854" s="37" t="s">
        <v>2349</v>
      </c>
      <c r="E4854" s="212">
        <v>145.21</v>
      </c>
    </row>
    <row r="4855" spans="1:5" ht="14.25">
      <c r="A4855" s="37">
        <v>12578</v>
      </c>
      <c r="B4855" s="37" t="s">
        <v>25490</v>
      </c>
      <c r="C4855" s="37" t="s">
        <v>2355</v>
      </c>
      <c r="D4855" s="37" t="s">
        <v>2349</v>
      </c>
      <c r="E4855" s="212">
        <v>175.84</v>
      </c>
    </row>
    <row r="4856" spans="1:5" ht="14.25">
      <c r="A4856" s="37">
        <v>12579</v>
      </c>
      <c r="B4856" s="37" t="s">
        <v>25491</v>
      </c>
      <c r="C4856" s="37" t="s">
        <v>2355</v>
      </c>
      <c r="D4856" s="37" t="s">
        <v>2349</v>
      </c>
      <c r="E4856" s="212">
        <v>302.89</v>
      </c>
    </row>
    <row r="4857" spans="1:5" ht="14.25">
      <c r="A4857" s="37">
        <v>12580</v>
      </c>
      <c r="B4857" s="37" t="s">
        <v>25492</v>
      </c>
      <c r="C4857" s="37" t="s">
        <v>2355</v>
      </c>
      <c r="D4857" s="37" t="s">
        <v>2349</v>
      </c>
      <c r="E4857" s="212">
        <v>315.60000000000002</v>
      </c>
    </row>
    <row r="4858" spans="1:5" ht="14.25">
      <c r="A4858" s="37">
        <v>12581</v>
      </c>
      <c r="B4858" s="37" t="s">
        <v>25493</v>
      </c>
      <c r="C4858" s="37" t="s">
        <v>2355</v>
      </c>
      <c r="D4858" s="37" t="s">
        <v>2349</v>
      </c>
      <c r="E4858" s="212">
        <v>338.06</v>
      </c>
    </row>
    <row r="4859" spans="1:5" ht="14.25">
      <c r="A4859" s="37">
        <v>7720</v>
      </c>
      <c r="B4859" s="37" t="s">
        <v>25494</v>
      </c>
      <c r="C4859" s="37" t="s">
        <v>2355</v>
      </c>
      <c r="D4859" s="37" t="s">
        <v>2349</v>
      </c>
      <c r="E4859" s="212">
        <v>528.65</v>
      </c>
    </row>
    <row r="4860" spans="1:5" ht="14.25">
      <c r="A4860" s="37">
        <v>40335</v>
      </c>
      <c r="B4860" s="37" t="s">
        <v>25495</v>
      </c>
      <c r="C4860" s="37" t="s">
        <v>2355</v>
      </c>
      <c r="D4860" s="37" t="s">
        <v>2349</v>
      </c>
      <c r="E4860" s="212">
        <v>110.6</v>
      </c>
    </row>
    <row r="4861" spans="1:5" ht="14.25">
      <c r="A4861" s="37">
        <v>7740</v>
      </c>
      <c r="B4861" s="37" t="s">
        <v>25496</v>
      </c>
      <c r="C4861" s="37" t="s">
        <v>2355</v>
      </c>
      <c r="D4861" s="37" t="s">
        <v>2349</v>
      </c>
      <c r="E4861" s="212">
        <v>113.44</v>
      </c>
    </row>
    <row r="4862" spans="1:5" ht="14.25">
      <c r="A4862" s="37">
        <v>7741</v>
      </c>
      <c r="B4862" s="37" t="s">
        <v>25497</v>
      </c>
      <c r="C4862" s="37" t="s">
        <v>2355</v>
      </c>
      <c r="D4862" s="37" t="s">
        <v>2349</v>
      </c>
      <c r="E4862" s="212">
        <v>209.87</v>
      </c>
    </row>
    <row r="4863" spans="1:5" ht="14.25">
      <c r="A4863" s="37">
        <v>7774</v>
      </c>
      <c r="B4863" s="37" t="s">
        <v>25498</v>
      </c>
      <c r="C4863" s="37" t="s">
        <v>2355</v>
      </c>
      <c r="D4863" s="37" t="s">
        <v>2349</v>
      </c>
      <c r="E4863" s="212">
        <v>257.52</v>
      </c>
    </row>
    <row r="4864" spans="1:5" ht="14.25">
      <c r="A4864" s="37">
        <v>7744</v>
      </c>
      <c r="B4864" s="37" t="s">
        <v>25499</v>
      </c>
      <c r="C4864" s="37" t="s">
        <v>2355</v>
      </c>
      <c r="D4864" s="37" t="s">
        <v>2349</v>
      </c>
      <c r="E4864" s="212">
        <v>336.36</v>
      </c>
    </row>
    <row r="4865" spans="1:5" ht="14.25">
      <c r="A4865" s="37">
        <v>7773</v>
      </c>
      <c r="B4865" s="37" t="s">
        <v>25500</v>
      </c>
      <c r="C4865" s="37" t="s">
        <v>2355</v>
      </c>
      <c r="D4865" s="37" t="s">
        <v>2349</v>
      </c>
      <c r="E4865" s="212">
        <v>343.79</v>
      </c>
    </row>
    <row r="4866" spans="1:5" ht="14.25">
      <c r="A4866" s="37">
        <v>7754</v>
      </c>
      <c r="B4866" s="37" t="s">
        <v>25501</v>
      </c>
      <c r="C4866" s="37" t="s">
        <v>2355</v>
      </c>
      <c r="D4866" s="37" t="s">
        <v>2349</v>
      </c>
      <c r="E4866" s="212">
        <v>521.28</v>
      </c>
    </row>
    <row r="4867" spans="1:5" ht="14.25">
      <c r="A4867" s="37">
        <v>7735</v>
      </c>
      <c r="B4867" s="37" t="s">
        <v>25502</v>
      </c>
      <c r="C4867" s="37" t="s">
        <v>2355</v>
      </c>
      <c r="D4867" s="37" t="s">
        <v>2349</v>
      </c>
      <c r="E4867" s="212">
        <v>675</v>
      </c>
    </row>
    <row r="4868" spans="1:5" ht="14.25">
      <c r="A4868" s="37">
        <v>7755</v>
      </c>
      <c r="B4868" s="37" t="s">
        <v>25503</v>
      </c>
      <c r="C4868" s="37" t="s">
        <v>2355</v>
      </c>
      <c r="D4868" s="37" t="s">
        <v>2349</v>
      </c>
      <c r="E4868" s="212">
        <v>133.86000000000001</v>
      </c>
    </row>
    <row r="4869" spans="1:5" ht="14.25">
      <c r="A4869" s="37">
        <v>7776</v>
      </c>
      <c r="B4869" s="37" t="s">
        <v>25504</v>
      </c>
      <c r="C4869" s="37" t="s">
        <v>2355</v>
      </c>
      <c r="D4869" s="37" t="s">
        <v>2349</v>
      </c>
      <c r="E4869" s="212">
        <v>279.07</v>
      </c>
    </row>
    <row r="4870" spans="1:5" ht="14.25">
      <c r="A4870" s="37">
        <v>7743</v>
      </c>
      <c r="B4870" s="37" t="s">
        <v>25505</v>
      </c>
      <c r="C4870" s="37" t="s">
        <v>2355</v>
      </c>
      <c r="D4870" s="37" t="s">
        <v>2349</v>
      </c>
      <c r="E4870" s="212">
        <v>295.52</v>
      </c>
    </row>
    <row r="4871" spans="1:5" ht="14.25">
      <c r="A4871" s="37">
        <v>7733</v>
      </c>
      <c r="B4871" s="37" t="s">
        <v>25506</v>
      </c>
      <c r="C4871" s="37" t="s">
        <v>2355</v>
      </c>
      <c r="D4871" s="37" t="s">
        <v>2349</v>
      </c>
      <c r="E4871" s="212">
        <v>385.71</v>
      </c>
    </row>
    <row r="4872" spans="1:5" ht="14.25">
      <c r="A4872" s="37">
        <v>7775</v>
      </c>
      <c r="B4872" s="37" t="s">
        <v>25507</v>
      </c>
      <c r="C4872" s="37" t="s">
        <v>2355</v>
      </c>
      <c r="D4872" s="37" t="s">
        <v>2349</v>
      </c>
      <c r="E4872" s="212">
        <v>422.58</v>
      </c>
    </row>
    <row r="4873" spans="1:5" ht="14.25">
      <c r="A4873" s="37">
        <v>7734</v>
      </c>
      <c r="B4873" s="37" t="s">
        <v>25508</v>
      </c>
      <c r="C4873" s="37" t="s">
        <v>2355</v>
      </c>
      <c r="D4873" s="37" t="s">
        <v>2349</v>
      </c>
      <c r="E4873" s="212">
        <v>598.41999999999996</v>
      </c>
    </row>
    <row r="4874" spans="1:5" ht="14.25">
      <c r="A4874" s="37">
        <v>37449</v>
      </c>
      <c r="B4874" s="37" t="s">
        <v>25509</v>
      </c>
      <c r="C4874" s="37" t="s">
        <v>2355</v>
      </c>
      <c r="D4874" s="37" t="s">
        <v>2351</v>
      </c>
      <c r="E4874" s="212">
        <v>24.96</v>
      </c>
    </row>
    <row r="4875" spans="1:5" ht="14.25">
      <c r="A4875" s="37">
        <v>37450</v>
      </c>
      <c r="B4875" s="37" t="s">
        <v>25510</v>
      </c>
      <c r="C4875" s="37" t="s">
        <v>2355</v>
      </c>
      <c r="D4875" s="37" t="s">
        <v>2351</v>
      </c>
      <c r="E4875" s="212">
        <v>34.950000000000003</v>
      </c>
    </row>
    <row r="4876" spans="1:5" ht="14.25">
      <c r="A4876" s="37">
        <v>37451</v>
      </c>
      <c r="B4876" s="37" t="s">
        <v>25511</v>
      </c>
      <c r="C4876" s="37" t="s">
        <v>2355</v>
      </c>
      <c r="D4876" s="37" t="s">
        <v>2351</v>
      </c>
      <c r="E4876" s="212">
        <v>48.79</v>
      </c>
    </row>
    <row r="4877" spans="1:5" ht="14.25">
      <c r="A4877" s="37">
        <v>37452</v>
      </c>
      <c r="B4877" s="37" t="s">
        <v>25512</v>
      </c>
      <c r="C4877" s="37" t="s">
        <v>2355</v>
      </c>
      <c r="D4877" s="37" t="s">
        <v>2351</v>
      </c>
      <c r="E4877" s="212">
        <v>70.92</v>
      </c>
    </row>
    <row r="4878" spans="1:5" ht="14.25">
      <c r="A4878" s="37">
        <v>37453</v>
      </c>
      <c r="B4878" s="37" t="s">
        <v>25513</v>
      </c>
      <c r="C4878" s="37" t="s">
        <v>2355</v>
      </c>
      <c r="D4878" s="37" t="s">
        <v>2351</v>
      </c>
      <c r="E4878" s="212">
        <v>81.680000000000007</v>
      </c>
    </row>
    <row r="4879" spans="1:5" ht="14.25">
      <c r="A4879" s="37">
        <v>7778</v>
      </c>
      <c r="B4879" s="37" t="s">
        <v>25514</v>
      </c>
      <c r="C4879" s="37" t="s">
        <v>2355</v>
      </c>
      <c r="D4879" s="37" t="s">
        <v>2351</v>
      </c>
      <c r="E4879" s="212">
        <v>30.64</v>
      </c>
    </row>
    <row r="4880" spans="1:5" ht="14.25">
      <c r="A4880" s="37">
        <v>7796</v>
      </c>
      <c r="B4880" s="37" t="s">
        <v>25515</v>
      </c>
      <c r="C4880" s="37" t="s">
        <v>2355</v>
      </c>
      <c r="D4880" s="37" t="s">
        <v>2351</v>
      </c>
      <c r="E4880" s="212">
        <v>41.99</v>
      </c>
    </row>
    <row r="4881" spans="1:5" ht="14.25">
      <c r="A4881" s="37">
        <v>7781</v>
      </c>
      <c r="B4881" s="37" t="s">
        <v>25516</v>
      </c>
      <c r="C4881" s="37" t="s">
        <v>2355</v>
      </c>
      <c r="D4881" s="37" t="s">
        <v>2351</v>
      </c>
      <c r="E4881" s="212">
        <v>49.62</v>
      </c>
    </row>
    <row r="4882" spans="1:5" ht="14.25">
      <c r="A4882" s="37">
        <v>7795</v>
      </c>
      <c r="B4882" s="37" t="s">
        <v>25517</v>
      </c>
      <c r="C4882" s="37" t="s">
        <v>2355</v>
      </c>
      <c r="D4882" s="37" t="s">
        <v>2351</v>
      </c>
      <c r="E4882" s="212">
        <v>73.849999999999994</v>
      </c>
    </row>
    <row r="4883" spans="1:5" ht="14.25">
      <c r="A4883" s="37">
        <v>7791</v>
      </c>
      <c r="B4883" s="37" t="s">
        <v>25518</v>
      </c>
      <c r="C4883" s="37" t="s">
        <v>2355</v>
      </c>
      <c r="D4883" s="37" t="s">
        <v>2351</v>
      </c>
      <c r="E4883" s="212">
        <v>88.4</v>
      </c>
    </row>
    <row r="4884" spans="1:5" ht="14.25">
      <c r="A4884" s="37">
        <v>7783</v>
      </c>
      <c r="B4884" s="37" t="s">
        <v>25519</v>
      </c>
      <c r="C4884" s="37" t="s">
        <v>2355</v>
      </c>
      <c r="D4884" s="37" t="s">
        <v>2351</v>
      </c>
      <c r="E4884" s="212">
        <v>31.32</v>
      </c>
    </row>
    <row r="4885" spans="1:5" ht="14.25">
      <c r="A4885" s="37">
        <v>7790</v>
      </c>
      <c r="B4885" s="37" t="s">
        <v>25520</v>
      </c>
      <c r="C4885" s="37" t="s">
        <v>2355</v>
      </c>
      <c r="D4885" s="37" t="s">
        <v>2351</v>
      </c>
      <c r="E4885" s="212">
        <v>49.36</v>
      </c>
    </row>
    <row r="4886" spans="1:5" ht="14.25">
      <c r="A4886" s="37">
        <v>7785</v>
      </c>
      <c r="B4886" s="37" t="s">
        <v>25521</v>
      </c>
      <c r="C4886" s="37" t="s">
        <v>2355</v>
      </c>
      <c r="D4886" s="37" t="s">
        <v>2351</v>
      </c>
      <c r="E4886" s="212">
        <v>54.47</v>
      </c>
    </row>
    <row r="4887" spans="1:5" ht="14.25">
      <c r="A4887" s="37">
        <v>7792</v>
      </c>
      <c r="B4887" s="37" t="s">
        <v>25522</v>
      </c>
      <c r="C4887" s="37" t="s">
        <v>2355</v>
      </c>
      <c r="D4887" s="37" t="s">
        <v>2351</v>
      </c>
      <c r="E4887" s="212">
        <v>77.25</v>
      </c>
    </row>
    <row r="4888" spans="1:5" ht="14.25">
      <c r="A4888" s="37">
        <v>7793</v>
      </c>
      <c r="B4888" s="37" t="s">
        <v>25523</v>
      </c>
      <c r="C4888" s="37" t="s">
        <v>2355</v>
      </c>
      <c r="D4888" s="37" t="s">
        <v>2351</v>
      </c>
      <c r="E4888" s="212">
        <v>91.24</v>
      </c>
    </row>
    <row r="4889" spans="1:5" ht="14.25">
      <c r="A4889" s="37">
        <v>13159</v>
      </c>
      <c r="B4889" s="37" t="s">
        <v>25524</v>
      </c>
      <c r="C4889" s="37" t="s">
        <v>2355</v>
      </c>
      <c r="D4889" s="37" t="s">
        <v>2351</v>
      </c>
      <c r="E4889" s="212">
        <v>79.44</v>
      </c>
    </row>
    <row r="4890" spans="1:5" ht="14.25">
      <c r="A4890" s="37">
        <v>13168</v>
      </c>
      <c r="B4890" s="37" t="s">
        <v>25525</v>
      </c>
      <c r="C4890" s="37" t="s">
        <v>2355</v>
      </c>
      <c r="D4890" s="37" t="s">
        <v>2351</v>
      </c>
      <c r="E4890" s="212">
        <v>96.46</v>
      </c>
    </row>
    <row r="4891" spans="1:5" ht="14.25">
      <c r="A4891" s="37">
        <v>13173</v>
      </c>
      <c r="B4891" s="37" t="s">
        <v>25526</v>
      </c>
      <c r="C4891" s="37" t="s">
        <v>2355</v>
      </c>
      <c r="D4891" s="37" t="s">
        <v>2351</v>
      </c>
      <c r="E4891" s="212">
        <v>130.5</v>
      </c>
    </row>
    <row r="4892" spans="1:5" ht="14.25">
      <c r="A4892" s="37">
        <v>12583</v>
      </c>
      <c r="B4892" s="37" t="s">
        <v>25527</v>
      </c>
      <c r="C4892" s="37" t="s">
        <v>2355</v>
      </c>
      <c r="D4892" s="37" t="s">
        <v>2351</v>
      </c>
      <c r="E4892" s="212">
        <v>26.1</v>
      </c>
    </row>
    <row r="4893" spans="1:5" ht="14.25">
      <c r="A4893" s="37">
        <v>12584</v>
      </c>
      <c r="B4893" s="37" t="s">
        <v>25528</v>
      </c>
      <c r="C4893" s="37" t="s">
        <v>2355</v>
      </c>
      <c r="D4893" s="37" t="s">
        <v>2351</v>
      </c>
      <c r="E4893" s="212">
        <v>34.04</v>
      </c>
    </row>
    <row r="4894" spans="1:5" ht="14.25">
      <c r="A4894" s="37">
        <v>12613</v>
      </c>
      <c r="B4894" s="37" t="s">
        <v>25529</v>
      </c>
      <c r="C4894" s="37" t="s">
        <v>2348</v>
      </c>
      <c r="D4894" s="37" t="s">
        <v>2349</v>
      </c>
      <c r="E4894" s="212">
        <v>22.47</v>
      </c>
    </row>
    <row r="4895" spans="1:5" ht="14.25">
      <c r="A4895" s="37">
        <v>1031</v>
      </c>
      <c r="B4895" s="37" t="s">
        <v>25530</v>
      </c>
      <c r="C4895" s="37" t="s">
        <v>2348</v>
      </c>
      <c r="D4895" s="37" t="s">
        <v>2349</v>
      </c>
      <c r="E4895" s="212">
        <v>15.77</v>
      </c>
    </row>
    <row r="4896" spans="1:5" ht="14.25">
      <c r="A4896" s="37">
        <v>39707</v>
      </c>
      <c r="B4896" s="37" t="s">
        <v>25531</v>
      </c>
      <c r="C4896" s="37" t="s">
        <v>2355</v>
      </c>
      <c r="D4896" s="37" t="s">
        <v>2349</v>
      </c>
      <c r="E4896" s="212">
        <v>3.03</v>
      </c>
    </row>
    <row r="4897" spans="1:5" ht="14.25">
      <c r="A4897" s="37">
        <v>39708</v>
      </c>
      <c r="B4897" s="37" t="s">
        <v>25532</v>
      </c>
      <c r="C4897" s="37" t="s">
        <v>2355</v>
      </c>
      <c r="D4897" s="37" t="s">
        <v>2349</v>
      </c>
      <c r="E4897" s="212">
        <v>2.94</v>
      </c>
    </row>
    <row r="4898" spans="1:5" ht="14.25">
      <c r="A4898" s="37">
        <v>39710</v>
      </c>
      <c r="B4898" s="37" t="s">
        <v>25533</v>
      </c>
      <c r="C4898" s="37" t="s">
        <v>2355</v>
      </c>
      <c r="D4898" s="37" t="s">
        <v>2349</v>
      </c>
      <c r="E4898" s="212">
        <v>2.0699999999999998</v>
      </c>
    </row>
    <row r="4899" spans="1:5" ht="14.25">
      <c r="A4899" s="37">
        <v>39709</v>
      </c>
      <c r="B4899" s="37" t="s">
        <v>25534</v>
      </c>
      <c r="C4899" s="37" t="s">
        <v>2355</v>
      </c>
      <c r="D4899" s="37" t="s">
        <v>2349</v>
      </c>
      <c r="E4899" s="212">
        <v>2.87</v>
      </c>
    </row>
    <row r="4900" spans="1:5" ht="14.25">
      <c r="A4900" s="37">
        <v>39711</v>
      </c>
      <c r="B4900" s="37" t="s">
        <v>25535</v>
      </c>
      <c r="C4900" s="37" t="s">
        <v>2355</v>
      </c>
      <c r="D4900" s="37" t="s">
        <v>2349</v>
      </c>
      <c r="E4900" s="212">
        <v>3.22</v>
      </c>
    </row>
    <row r="4901" spans="1:5" ht="14.25">
      <c r="A4901" s="37">
        <v>39712</v>
      </c>
      <c r="B4901" s="37" t="s">
        <v>25536</v>
      </c>
      <c r="C4901" s="37" t="s">
        <v>2355</v>
      </c>
      <c r="D4901" s="37" t="s">
        <v>2353</v>
      </c>
      <c r="E4901" s="212">
        <v>1.1299999999999999</v>
      </c>
    </row>
    <row r="4902" spans="1:5" ht="14.25">
      <c r="A4902" s="37">
        <v>39713</v>
      </c>
      <c r="B4902" s="37" t="s">
        <v>25537</v>
      </c>
      <c r="C4902" s="37" t="s">
        <v>2355</v>
      </c>
      <c r="D4902" s="37" t="s">
        <v>2349</v>
      </c>
      <c r="E4902" s="212">
        <v>0.89</v>
      </c>
    </row>
    <row r="4903" spans="1:5" ht="14.25">
      <c r="A4903" s="37">
        <v>39714</v>
      </c>
      <c r="B4903" s="37" t="s">
        <v>25538</v>
      </c>
      <c r="C4903" s="37" t="s">
        <v>2355</v>
      </c>
      <c r="D4903" s="37" t="s">
        <v>2349</v>
      </c>
      <c r="E4903" s="212">
        <v>2.04</v>
      </c>
    </row>
    <row r="4904" spans="1:5" ht="14.25">
      <c r="A4904" s="37">
        <v>39715</v>
      </c>
      <c r="B4904" s="37" t="s">
        <v>25539</v>
      </c>
      <c r="C4904" s="37" t="s">
        <v>2355</v>
      </c>
      <c r="D4904" s="37" t="s">
        <v>2349</v>
      </c>
      <c r="E4904" s="212">
        <v>1.45</v>
      </c>
    </row>
    <row r="4905" spans="1:5" ht="14.25">
      <c r="A4905" s="37">
        <v>39716</v>
      </c>
      <c r="B4905" s="37" t="s">
        <v>25540</v>
      </c>
      <c r="C4905" s="37" t="s">
        <v>2355</v>
      </c>
      <c r="D4905" s="37" t="s">
        <v>2349</v>
      </c>
      <c r="E4905" s="212">
        <v>1.1000000000000001</v>
      </c>
    </row>
    <row r="4906" spans="1:5" ht="14.25">
      <c r="A4906" s="37">
        <v>39718</v>
      </c>
      <c r="B4906" s="37" t="s">
        <v>25541</v>
      </c>
      <c r="C4906" s="37" t="s">
        <v>2355</v>
      </c>
      <c r="D4906" s="37" t="s">
        <v>2349</v>
      </c>
      <c r="E4906" s="212">
        <v>1.88</v>
      </c>
    </row>
    <row r="4907" spans="1:5" ht="14.25">
      <c r="A4907" s="37">
        <v>9813</v>
      </c>
      <c r="B4907" s="37" t="s">
        <v>25542</v>
      </c>
      <c r="C4907" s="37" t="s">
        <v>2355</v>
      </c>
      <c r="D4907" s="37" t="s">
        <v>2351</v>
      </c>
      <c r="E4907" s="212">
        <v>5.5</v>
      </c>
    </row>
    <row r="4908" spans="1:5" ht="14.25">
      <c r="A4908" s="37">
        <v>9815</v>
      </c>
      <c r="B4908" s="37" t="s">
        <v>25543</v>
      </c>
      <c r="C4908" s="37" t="s">
        <v>2355</v>
      </c>
      <c r="D4908" s="37" t="s">
        <v>2351</v>
      </c>
      <c r="E4908" s="212">
        <v>10.86</v>
      </c>
    </row>
    <row r="4909" spans="1:5" ht="14.25">
      <c r="A4909" s="37">
        <v>44543</v>
      </c>
      <c r="B4909" s="37" t="s">
        <v>28145</v>
      </c>
      <c r="C4909" s="37" t="s">
        <v>2355</v>
      </c>
      <c r="D4909" s="37" t="s">
        <v>2351</v>
      </c>
      <c r="E4909" s="213">
        <v>5404.66</v>
      </c>
    </row>
    <row r="4910" spans="1:5" ht="14.25">
      <c r="A4910" s="37">
        <v>44526</v>
      </c>
      <c r="B4910" s="37" t="s">
        <v>28146</v>
      </c>
      <c r="C4910" s="37" t="s">
        <v>2355</v>
      </c>
      <c r="D4910" s="37" t="s">
        <v>2351</v>
      </c>
      <c r="E4910" s="212">
        <v>132.46</v>
      </c>
    </row>
    <row r="4911" spans="1:5" ht="14.25">
      <c r="A4911" s="37">
        <v>44518</v>
      </c>
      <c r="B4911" s="37" t="s">
        <v>28147</v>
      </c>
      <c r="C4911" s="37" t="s">
        <v>2355</v>
      </c>
      <c r="D4911" s="37" t="s">
        <v>2351</v>
      </c>
      <c r="E4911" s="213">
        <v>3978.97</v>
      </c>
    </row>
    <row r="4912" spans="1:5" ht="14.25">
      <c r="A4912" s="37">
        <v>44544</v>
      </c>
      <c r="B4912" s="37" t="s">
        <v>28148</v>
      </c>
      <c r="C4912" s="37" t="s">
        <v>2355</v>
      </c>
      <c r="D4912" s="37" t="s">
        <v>2351</v>
      </c>
      <c r="E4912" s="213">
        <v>1934.41</v>
      </c>
    </row>
    <row r="4913" spans="1:5" ht="14.25">
      <c r="A4913" s="37">
        <v>44545</v>
      </c>
      <c r="B4913" s="37" t="s">
        <v>28149</v>
      </c>
      <c r="C4913" s="37" t="s">
        <v>2355</v>
      </c>
      <c r="D4913" s="37" t="s">
        <v>2351</v>
      </c>
      <c r="E4913" s="212">
        <v>284.33</v>
      </c>
    </row>
    <row r="4914" spans="1:5" ht="14.25">
      <c r="A4914" s="37">
        <v>44546</v>
      </c>
      <c r="B4914" s="37" t="s">
        <v>28150</v>
      </c>
      <c r="C4914" s="37" t="s">
        <v>2355</v>
      </c>
      <c r="D4914" s="37" t="s">
        <v>2351</v>
      </c>
      <c r="E4914" s="213">
        <v>1269.83</v>
      </c>
    </row>
    <row r="4915" spans="1:5" ht="14.25">
      <c r="A4915" s="37">
        <v>44525</v>
      </c>
      <c r="B4915" s="37" t="s">
        <v>28151</v>
      </c>
      <c r="C4915" s="37" t="s">
        <v>2355</v>
      </c>
      <c r="D4915" s="37" t="s">
        <v>2351</v>
      </c>
      <c r="E4915" s="213">
        <v>4902</v>
      </c>
    </row>
    <row r="4916" spans="1:5" ht="14.25">
      <c r="A4916" s="37">
        <v>44547</v>
      </c>
      <c r="B4916" s="37" t="s">
        <v>28152</v>
      </c>
      <c r="C4916" s="37" t="s">
        <v>2355</v>
      </c>
      <c r="D4916" s="37" t="s">
        <v>2351</v>
      </c>
      <c r="E4916" s="212">
        <v>443.23</v>
      </c>
    </row>
    <row r="4917" spans="1:5" ht="14.25">
      <c r="A4917" s="37">
        <v>44519</v>
      </c>
      <c r="B4917" s="37" t="s">
        <v>28153</v>
      </c>
      <c r="C4917" s="37" t="s">
        <v>2355</v>
      </c>
      <c r="D4917" s="37" t="s">
        <v>2351</v>
      </c>
      <c r="E4917" s="213">
        <v>1086.04</v>
      </c>
    </row>
    <row r="4918" spans="1:5" ht="14.25">
      <c r="A4918" s="37">
        <v>44520</v>
      </c>
      <c r="B4918" s="37" t="s">
        <v>28154</v>
      </c>
      <c r="C4918" s="37" t="s">
        <v>2355</v>
      </c>
      <c r="D4918" s="37" t="s">
        <v>2351</v>
      </c>
      <c r="E4918" s="213">
        <v>1749.21</v>
      </c>
    </row>
    <row r="4919" spans="1:5" ht="14.25">
      <c r="A4919" s="37">
        <v>44521</v>
      </c>
      <c r="B4919" s="37" t="s">
        <v>28155</v>
      </c>
      <c r="C4919" s="37" t="s">
        <v>2355</v>
      </c>
      <c r="D4919" s="37" t="s">
        <v>2351</v>
      </c>
      <c r="E4919" s="212">
        <v>28.22</v>
      </c>
    </row>
    <row r="4920" spans="1:5" ht="14.25">
      <c r="A4920" s="37">
        <v>44522</v>
      </c>
      <c r="B4920" s="37" t="s">
        <v>28156</v>
      </c>
      <c r="C4920" s="37" t="s">
        <v>2355</v>
      </c>
      <c r="D4920" s="37" t="s">
        <v>2351</v>
      </c>
      <c r="E4920" s="213">
        <v>3070.97</v>
      </c>
    </row>
    <row r="4921" spans="1:5" ht="14.25">
      <c r="A4921" s="37">
        <v>44523</v>
      </c>
      <c r="B4921" s="37" t="s">
        <v>28157</v>
      </c>
      <c r="C4921" s="37" t="s">
        <v>2355</v>
      </c>
      <c r="D4921" s="37" t="s">
        <v>2351</v>
      </c>
      <c r="E4921" s="213">
        <v>4567.3900000000003</v>
      </c>
    </row>
    <row r="4922" spans="1:5" ht="14.25">
      <c r="A4922" s="37">
        <v>44527</v>
      </c>
      <c r="B4922" s="37" t="s">
        <v>28158</v>
      </c>
      <c r="C4922" s="37" t="s">
        <v>2355</v>
      </c>
      <c r="D4922" s="37" t="s">
        <v>2351</v>
      </c>
      <c r="E4922" s="213">
        <v>2290.4299999999998</v>
      </c>
    </row>
    <row r="4923" spans="1:5" ht="14.25">
      <c r="A4923" s="37">
        <v>44524</v>
      </c>
      <c r="B4923" s="37" t="s">
        <v>28159</v>
      </c>
      <c r="C4923" s="37" t="s">
        <v>2355</v>
      </c>
      <c r="D4923" s="37" t="s">
        <v>2351</v>
      </c>
      <c r="E4923" s="212">
        <v>63.11</v>
      </c>
    </row>
    <row r="4924" spans="1:5" ht="14.25">
      <c r="A4924" s="37">
        <v>44542</v>
      </c>
      <c r="B4924" s="37" t="s">
        <v>28160</v>
      </c>
      <c r="C4924" s="37" t="s">
        <v>2355</v>
      </c>
      <c r="D4924" s="37" t="s">
        <v>2351</v>
      </c>
      <c r="E4924" s="213">
        <v>2988.24</v>
      </c>
    </row>
    <row r="4925" spans="1:5" ht="14.25">
      <c r="A4925" s="37">
        <v>9876</v>
      </c>
      <c r="B4925" s="37" t="s">
        <v>25544</v>
      </c>
      <c r="C4925" s="37" t="s">
        <v>2355</v>
      </c>
      <c r="D4925" s="37" t="s">
        <v>2349</v>
      </c>
      <c r="E4925" s="212">
        <v>34.5</v>
      </c>
    </row>
    <row r="4926" spans="1:5" ht="14.25">
      <c r="A4926" s="37">
        <v>9877</v>
      </c>
      <c r="B4926" s="37" t="s">
        <v>25545</v>
      </c>
      <c r="C4926" s="37" t="s">
        <v>2355</v>
      </c>
      <c r="D4926" s="37" t="s">
        <v>2349</v>
      </c>
      <c r="E4926" s="212">
        <v>120.86</v>
      </c>
    </row>
    <row r="4927" spans="1:5" ht="14.25">
      <c r="A4927" s="37">
        <v>9878</v>
      </c>
      <c r="B4927" s="37" t="s">
        <v>25546</v>
      </c>
      <c r="C4927" s="37" t="s">
        <v>2355</v>
      </c>
      <c r="D4927" s="37" t="s">
        <v>2349</v>
      </c>
      <c r="E4927" s="212">
        <v>157.43</v>
      </c>
    </row>
    <row r="4928" spans="1:5" ht="14.25">
      <c r="A4928" s="37">
        <v>9879</v>
      </c>
      <c r="B4928" s="37" t="s">
        <v>25547</v>
      </c>
      <c r="C4928" s="37" t="s">
        <v>2355</v>
      </c>
      <c r="D4928" s="37" t="s">
        <v>2349</v>
      </c>
      <c r="E4928" s="212">
        <v>375.76</v>
      </c>
    </row>
    <row r="4929" spans="1:5" ht="14.25">
      <c r="A4929" s="37">
        <v>41986</v>
      </c>
      <c r="B4929" s="37" t="s">
        <v>25548</v>
      </c>
      <c r="C4929" s="37" t="s">
        <v>2355</v>
      </c>
      <c r="D4929" s="37" t="s">
        <v>2349</v>
      </c>
      <c r="E4929" s="213">
        <v>4221.7700000000004</v>
      </c>
    </row>
    <row r="4930" spans="1:5" ht="14.25">
      <c r="A4930" s="37">
        <v>43422</v>
      </c>
      <c r="B4930" s="37" t="s">
        <v>25549</v>
      </c>
      <c r="C4930" s="37" t="s">
        <v>2355</v>
      </c>
      <c r="D4930" s="37" t="s">
        <v>2349</v>
      </c>
      <c r="E4930" s="213">
        <v>5177.59</v>
      </c>
    </row>
    <row r="4931" spans="1:5" ht="14.25">
      <c r="A4931" s="37">
        <v>41987</v>
      </c>
      <c r="B4931" s="37" t="s">
        <v>25550</v>
      </c>
      <c r="C4931" s="37" t="s">
        <v>2355</v>
      </c>
      <c r="D4931" s="37" t="s">
        <v>2349</v>
      </c>
      <c r="E4931" s="213">
        <v>6001.26</v>
      </c>
    </row>
    <row r="4932" spans="1:5" ht="14.25">
      <c r="A4932" s="37">
        <v>41988</v>
      </c>
      <c r="B4932" s="37" t="s">
        <v>25551</v>
      </c>
      <c r="C4932" s="37" t="s">
        <v>2355</v>
      </c>
      <c r="D4932" s="37" t="s">
        <v>2349</v>
      </c>
      <c r="E4932" s="213">
        <v>7926.81</v>
      </c>
    </row>
    <row r="4933" spans="1:5" ht="14.25">
      <c r="A4933" s="37">
        <v>41697</v>
      </c>
      <c r="B4933" s="37" t="s">
        <v>25552</v>
      </c>
      <c r="C4933" s="37" t="s">
        <v>2355</v>
      </c>
      <c r="D4933" s="37" t="s">
        <v>2349</v>
      </c>
      <c r="E4933" s="213">
        <v>1405</v>
      </c>
    </row>
    <row r="4934" spans="1:5" ht="14.25">
      <c r="A4934" s="37">
        <v>41985</v>
      </c>
      <c r="B4934" s="37" t="s">
        <v>25553</v>
      </c>
      <c r="C4934" s="37" t="s">
        <v>2355</v>
      </c>
      <c r="D4934" s="37" t="s">
        <v>2349</v>
      </c>
      <c r="E4934" s="213">
        <v>1956.79</v>
      </c>
    </row>
    <row r="4935" spans="1:5" ht="14.25">
      <c r="A4935" s="37">
        <v>41699</v>
      </c>
      <c r="B4935" s="37" t="s">
        <v>28161</v>
      </c>
      <c r="C4935" s="37" t="s">
        <v>2355</v>
      </c>
      <c r="D4935" s="37" t="s">
        <v>2349</v>
      </c>
      <c r="E4935" s="213">
        <v>2786.37</v>
      </c>
    </row>
    <row r="4936" spans="1:5" ht="14.25">
      <c r="A4936" s="37">
        <v>38053</v>
      </c>
      <c r="B4936" s="37" t="s">
        <v>25554</v>
      </c>
      <c r="C4936" s="37" t="s">
        <v>2355</v>
      </c>
      <c r="D4936" s="37" t="s">
        <v>2351</v>
      </c>
      <c r="E4936" s="212">
        <v>23.56</v>
      </c>
    </row>
    <row r="4937" spans="1:5" ht="14.25">
      <c r="A4937" s="37">
        <v>38054</v>
      </c>
      <c r="B4937" s="37" t="s">
        <v>25555</v>
      </c>
      <c r="C4937" s="37" t="s">
        <v>2355</v>
      </c>
      <c r="D4937" s="37" t="s">
        <v>2351</v>
      </c>
      <c r="E4937" s="212">
        <v>40.51</v>
      </c>
    </row>
    <row r="4938" spans="1:5" ht="14.25">
      <c r="A4938" s="37">
        <v>38052</v>
      </c>
      <c r="B4938" s="37" t="s">
        <v>25556</v>
      </c>
      <c r="C4938" s="37" t="s">
        <v>2355</v>
      </c>
      <c r="D4938" s="37" t="s">
        <v>2351</v>
      </c>
      <c r="E4938" s="212">
        <v>11.41</v>
      </c>
    </row>
    <row r="4939" spans="1:5" ht="14.25">
      <c r="A4939" s="37">
        <v>38051</v>
      </c>
      <c r="B4939" s="37" t="s">
        <v>25557</v>
      </c>
      <c r="C4939" s="37" t="s">
        <v>2355</v>
      </c>
      <c r="D4939" s="37" t="s">
        <v>2351</v>
      </c>
      <c r="E4939" s="212">
        <v>7.11</v>
      </c>
    </row>
    <row r="4940" spans="1:5" ht="14.25">
      <c r="A4940" s="37">
        <v>38787</v>
      </c>
      <c r="B4940" s="37" t="s">
        <v>25558</v>
      </c>
      <c r="C4940" s="37" t="s">
        <v>2355</v>
      </c>
      <c r="D4940" s="37" t="s">
        <v>2351</v>
      </c>
      <c r="E4940" s="212">
        <v>6.25</v>
      </c>
    </row>
    <row r="4941" spans="1:5" ht="14.25">
      <c r="A4941" s="37">
        <v>38825</v>
      </c>
      <c r="B4941" s="37" t="s">
        <v>25559</v>
      </c>
      <c r="C4941" s="37" t="s">
        <v>2355</v>
      </c>
      <c r="D4941" s="37" t="s">
        <v>2351</v>
      </c>
      <c r="E4941" s="212">
        <v>8.19</v>
      </c>
    </row>
    <row r="4942" spans="1:5" ht="14.25">
      <c r="A4942" s="37">
        <v>38826</v>
      </c>
      <c r="B4942" s="37" t="s">
        <v>25560</v>
      </c>
      <c r="C4942" s="37" t="s">
        <v>2355</v>
      </c>
      <c r="D4942" s="37" t="s">
        <v>2351</v>
      </c>
      <c r="E4942" s="212">
        <v>12.13</v>
      </c>
    </row>
    <row r="4943" spans="1:5" ht="14.25">
      <c r="A4943" s="37">
        <v>38827</v>
      </c>
      <c r="B4943" s="37" t="s">
        <v>25561</v>
      </c>
      <c r="C4943" s="37" t="s">
        <v>2355</v>
      </c>
      <c r="D4943" s="37" t="s">
        <v>2351</v>
      </c>
      <c r="E4943" s="212">
        <v>19.489999999999998</v>
      </c>
    </row>
    <row r="4944" spans="1:5" ht="14.25">
      <c r="A4944" s="37">
        <v>38830</v>
      </c>
      <c r="B4944" s="37" t="s">
        <v>25562</v>
      </c>
      <c r="C4944" s="37" t="s">
        <v>2355</v>
      </c>
      <c r="D4944" s="37" t="s">
        <v>2351</v>
      </c>
      <c r="E4944" s="212">
        <v>27.3</v>
      </c>
    </row>
    <row r="4945" spans="1:5" ht="14.25">
      <c r="A4945" s="37">
        <v>38828</v>
      </c>
      <c r="B4945" s="37" t="s">
        <v>25563</v>
      </c>
      <c r="C4945" s="37" t="s">
        <v>2355</v>
      </c>
      <c r="D4945" s="37" t="s">
        <v>2351</v>
      </c>
      <c r="E4945" s="212">
        <v>12.04</v>
      </c>
    </row>
    <row r="4946" spans="1:5" ht="14.25">
      <c r="A4946" s="37">
        <v>38829</v>
      </c>
      <c r="B4946" s="37" t="s">
        <v>25564</v>
      </c>
      <c r="C4946" s="37" t="s">
        <v>2355</v>
      </c>
      <c r="D4946" s="37" t="s">
        <v>2351</v>
      </c>
      <c r="E4946" s="212">
        <v>19.72</v>
      </c>
    </row>
    <row r="4947" spans="1:5" ht="14.25">
      <c r="A4947" s="37">
        <v>38831</v>
      </c>
      <c r="B4947" s="37" t="s">
        <v>25565</v>
      </c>
      <c r="C4947" s="37" t="s">
        <v>2355</v>
      </c>
      <c r="D4947" s="37" t="s">
        <v>2351</v>
      </c>
      <c r="E4947" s="212">
        <v>38.07</v>
      </c>
    </row>
    <row r="4948" spans="1:5" ht="14.25">
      <c r="A4948" s="37">
        <v>36274</v>
      </c>
      <c r="B4948" s="37" t="s">
        <v>25566</v>
      </c>
      <c r="C4948" s="37" t="s">
        <v>2355</v>
      </c>
      <c r="D4948" s="37" t="s">
        <v>2351</v>
      </c>
      <c r="E4948" s="212">
        <v>10.06</v>
      </c>
    </row>
    <row r="4949" spans="1:5" ht="14.25">
      <c r="A4949" s="37">
        <v>36278</v>
      </c>
      <c r="B4949" s="37" t="s">
        <v>25567</v>
      </c>
      <c r="C4949" s="37" t="s">
        <v>2355</v>
      </c>
      <c r="D4949" s="37" t="s">
        <v>2351</v>
      </c>
      <c r="E4949" s="212">
        <v>13.65</v>
      </c>
    </row>
    <row r="4950" spans="1:5" ht="14.25">
      <c r="A4950" s="37">
        <v>38977</v>
      </c>
      <c r="B4950" s="37" t="s">
        <v>25568</v>
      </c>
      <c r="C4950" s="37" t="s">
        <v>2355</v>
      </c>
      <c r="D4950" s="37" t="s">
        <v>2351</v>
      </c>
      <c r="E4950" s="212">
        <v>207.67</v>
      </c>
    </row>
    <row r="4951" spans="1:5" ht="14.25">
      <c r="A4951" s="37">
        <v>38971</v>
      </c>
      <c r="B4951" s="37" t="s">
        <v>25569</v>
      </c>
      <c r="C4951" s="37" t="s">
        <v>2355</v>
      </c>
      <c r="D4951" s="37" t="s">
        <v>2351</v>
      </c>
      <c r="E4951" s="212">
        <v>17.11</v>
      </c>
    </row>
    <row r="4952" spans="1:5" ht="14.25">
      <c r="A4952" s="37">
        <v>38972</v>
      </c>
      <c r="B4952" s="37" t="s">
        <v>25570</v>
      </c>
      <c r="C4952" s="37" t="s">
        <v>2355</v>
      </c>
      <c r="D4952" s="37" t="s">
        <v>2351</v>
      </c>
      <c r="E4952" s="212">
        <v>26.05</v>
      </c>
    </row>
    <row r="4953" spans="1:5" ht="14.25">
      <c r="A4953" s="37">
        <v>38973</v>
      </c>
      <c r="B4953" s="37" t="s">
        <v>25571</v>
      </c>
      <c r="C4953" s="37" t="s">
        <v>2355</v>
      </c>
      <c r="D4953" s="37" t="s">
        <v>2351</v>
      </c>
      <c r="E4953" s="212">
        <v>34.47</v>
      </c>
    </row>
    <row r="4954" spans="1:5" ht="14.25">
      <c r="A4954" s="37">
        <v>38974</v>
      </c>
      <c r="B4954" s="37" t="s">
        <v>25572</v>
      </c>
      <c r="C4954" s="37" t="s">
        <v>2355</v>
      </c>
      <c r="D4954" s="37" t="s">
        <v>2351</v>
      </c>
      <c r="E4954" s="212">
        <v>50.26</v>
      </c>
    </row>
    <row r="4955" spans="1:5" ht="14.25">
      <c r="A4955" s="37">
        <v>38975</v>
      </c>
      <c r="B4955" s="37" t="s">
        <v>25573</v>
      </c>
      <c r="C4955" s="37" t="s">
        <v>2355</v>
      </c>
      <c r="D4955" s="37" t="s">
        <v>2351</v>
      </c>
      <c r="E4955" s="212">
        <v>83.77</v>
      </c>
    </row>
    <row r="4956" spans="1:5" ht="14.25">
      <c r="A4956" s="37">
        <v>38976</v>
      </c>
      <c r="B4956" s="37" t="s">
        <v>25574</v>
      </c>
      <c r="C4956" s="37" t="s">
        <v>2355</v>
      </c>
      <c r="D4956" s="37" t="s">
        <v>2351</v>
      </c>
      <c r="E4956" s="212">
        <v>117.48</v>
      </c>
    </row>
    <row r="4957" spans="1:5" ht="14.25">
      <c r="A4957" s="37">
        <v>38986</v>
      </c>
      <c r="B4957" s="37" t="s">
        <v>25575</v>
      </c>
      <c r="C4957" s="37" t="s">
        <v>2355</v>
      </c>
      <c r="D4957" s="37" t="s">
        <v>2351</v>
      </c>
      <c r="E4957" s="212">
        <v>236.42</v>
      </c>
    </row>
    <row r="4958" spans="1:5" ht="14.25">
      <c r="A4958" s="37">
        <v>38978</v>
      </c>
      <c r="B4958" s="37" t="s">
        <v>25576</v>
      </c>
      <c r="C4958" s="37" t="s">
        <v>2355</v>
      </c>
      <c r="D4958" s="37" t="s">
        <v>2351</v>
      </c>
      <c r="E4958" s="212">
        <v>10.06</v>
      </c>
    </row>
    <row r="4959" spans="1:5" ht="14.25">
      <c r="A4959" s="37">
        <v>38979</v>
      </c>
      <c r="B4959" s="37" t="s">
        <v>25577</v>
      </c>
      <c r="C4959" s="37" t="s">
        <v>2355</v>
      </c>
      <c r="D4959" s="37" t="s">
        <v>2351</v>
      </c>
      <c r="E4959" s="212">
        <v>13.65</v>
      </c>
    </row>
    <row r="4960" spans="1:5" ht="14.25">
      <c r="A4960" s="37">
        <v>38980</v>
      </c>
      <c r="B4960" s="37" t="s">
        <v>25578</v>
      </c>
      <c r="C4960" s="37" t="s">
        <v>2355</v>
      </c>
      <c r="D4960" s="37" t="s">
        <v>2351</v>
      </c>
      <c r="E4960" s="212">
        <v>22.81</v>
      </c>
    </row>
    <row r="4961" spans="1:5" ht="14.25">
      <c r="A4961" s="37">
        <v>38981</v>
      </c>
      <c r="B4961" s="37" t="s">
        <v>25579</v>
      </c>
      <c r="C4961" s="37" t="s">
        <v>2355</v>
      </c>
      <c r="D4961" s="37" t="s">
        <v>2351</v>
      </c>
      <c r="E4961" s="212">
        <v>31.59</v>
      </c>
    </row>
    <row r="4962" spans="1:5" ht="14.25">
      <c r="A4962" s="37">
        <v>38982</v>
      </c>
      <c r="B4962" s="37" t="s">
        <v>25580</v>
      </c>
      <c r="C4962" s="37" t="s">
        <v>2355</v>
      </c>
      <c r="D4962" s="37" t="s">
        <v>2351</v>
      </c>
      <c r="E4962" s="212">
        <v>45.97</v>
      </c>
    </row>
    <row r="4963" spans="1:5" ht="14.25">
      <c r="A4963" s="37">
        <v>38983</v>
      </c>
      <c r="B4963" s="37" t="s">
        <v>25581</v>
      </c>
      <c r="C4963" s="37" t="s">
        <v>2355</v>
      </c>
      <c r="D4963" s="37" t="s">
        <v>2351</v>
      </c>
      <c r="E4963" s="212">
        <v>60.95</v>
      </c>
    </row>
    <row r="4964" spans="1:5" ht="14.25">
      <c r="A4964" s="37">
        <v>38984</v>
      </c>
      <c r="B4964" s="37" t="s">
        <v>25582</v>
      </c>
      <c r="C4964" s="37" t="s">
        <v>2355</v>
      </c>
      <c r="D4964" s="37" t="s">
        <v>2351</v>
      </c>
      <c r="E4964" s="212">
        <v>117.56</v>
      </c>
    </row>
    <row r="4965" spans="1:5" ht="14.25">
      <c r="A4965" s="37">
        <v>38985</v>
      </c>
      <c r="B4965" s="37" t="s">
        <v>25583</v>
      </c>
      <c r="C4965" s="37" t="s">
        <v>2355</v>
      </c>
      <c r="D4965" s="37" t="s">
        <v>2351</v>
      </c>
      <c r="E4965" s="212">
        <v>174.03</v>
      </c>
    </row>
    <row r="4966" spans="1:5" ht="14.25">
      <c r="A4966" s="37">
        <v>9836</v>
      </c>
      <c r="B4966" s="37" t="s">
        <v>25584</v>
      </c>
      <c r="C4966" s="37" t="s">
        <v>2355</v>
      </c>
      <c r="D4966" s="37" t="s">
        <v>2353</v>
      </c>
      <c r="E4966" s="212">
        <v>22.5</v>
      </c>
    </row>
    <row r="4967" spans="1:5" ht="14.25">
      <c r="A4967" s="37">
        <v>20065</v>
      </c>
      <c r="B4967" s="37" t="s">
        <v>25585</v>
      </c>
      <c r="C4967" s="37" t="s">
        <v>2355</v>
      </c>
      <c r="D4967" s="37" t="s">
        <v>2349</v>
      </c>
      <c r="E4967" s="212">
        <v>57.56</v>
      </c>
    </row>
    <row r="4968" spans="1:5" ht="14.25">
      <c r="A4968" s="37">
        <v>9835</v>
      </c>
      <c r="B4968" s="37" t="s">
        <v>25586</v>
      </c>
      <c r="C4968" s="37" t="s">
        <v>2355</v>
      </c>
      <c r="D4968" s="37" t="s">
        <v>2349</v>
      </c>
      <c r="E4968" s="212">
        <v>8.11</v>
      </c>
    </row>
    <row r="4969" spans="1:5" ht="14.25">
      <c r="A4969" s="37">
        <v>38032</v>
      </c>
      <c r="B4969" s="37" t="s">
        <v>25587</v>
      </c>
      <c r="C4969" s="37" t="s">
        <v>2355</v>
      </c>
      <c r="D4969" s="37" t="s">
        <v>2351</v>
      </c>
      <c r="E4969" s="212">
        <v>68.849999999999994</v>
      </c>
    </row>
    <row r="4970" spans="1:5" ht="14.25">
      <c r="A4970" s="37">
        <v>38033</v>
      </c>
      <c r="B4970" s="37" t="s">
        <v>25588</v>
      </c>
      <c r="C4970" s="37" t="s">
        <v>2355</v>
      </c>
      <c r="D4970" s="37" t="s">
        <v>2351</v>
      </c>
      <c r="E4970" s="212">
        <v>112.67</v>
      </c>
    </row>
    <row r="4971" spans="1:5" ht="14.25">
      <c r="A4971" s="37">
        <v>38034</v>
      </c>
      <c r="B4971" s="37" t="s">
        <v>25589</v>
      </c>
      <c r="C4971" s="37" t="s">
        <v>2355</v>
      </c>
      <c r="D4971" s="37" t="s">
        <v>2351</v>
      </c>
      <c r="E4971" s="212">
        <v>186.38</v>
      </c>
    </row>
    <row r="4972" spans="1:5" ht="14.25">
      <c r="A4972" s="37">
        <v>38035</v>
      </c>
      <c r="B4972" s="37" t="s">
        <v>25590</v>
      </c>
      <c r="C4972" s="37" t="s">
        <v>2355</v>
      </c>
      <c r="D4972" s="37" t="s">
        <v>2351</v>
      </c>
      <c r="E4972" s="212">
        <v>259.72000000000003</v>
      </c>
    </row>
    <row r="4973" spans="1:5" ht="14.25">
      <c r="A4973" s="37">
        <v>38036</v>
      </c>
      <c r="B4973" s="37" t="s">
        <v>25591</v>
      </c>
      <c r="C4973" s="37" t="s">
        <v>2355</v>
      </c>
      <c r="D4973" s="37" t="s">
        <v>2351</v>
      </c>
      <c r="E4973" s="212">
        <v>366.48</v>
      </c>
    </row>
    <row r="4974" spans="1:5" ht="14.25">
      <c r="A4974" s="37">
        <v>38037</v>
      </c>
      <c r="B4974" s="37" t="s">
        <v>25592</v>
      </c>
      <c r="C4974" s="37" t="s">
        <v>2355</v>
      </c>
      <c r="D4974" s="37" t="s">
        <v>2351</v>
      </c>
      <c r="E4974" s="212">
        <v>424.94</v>
      </c>
    </row>
    <row r="4975" spans="1:5" ht="14.25">
      <c r="A4975" s="37">
        <v>9850</v>
      </c>
      <c r="B4975" s="37" t="s">
        <v>25593</v>
      </c>
      <c r="C4975" s="37" t="s">
        <v>2355</v>
      </c>
      <c r="D4975" s="37" t="s">
        <v>2351</v>
      </c>
      <c r="E4975" s="212">
        <v>145</v>
      </c>
    </row>
    <row r="4976" spans="1:5" ht="14.25">
      <c r="A4976" s="37">
        <v>9853</v>
      </c>
      <c r="B4976" s="37" t="s">
        <v>25594</v>
      </c>
      <c r="C4976" s="37" t="s">
        <v>2355</v>
      </c>
      <c r="D4976" s="37" t="s">
        <v>2351</v>
      </c>
      <c r="E4976" s="212">
        <v>257.85000000000002</v>
      </c>
    </row>
    <row r="4977" spans="1:5" ht="14.25">
      <c r="A4977" s="37">
        <v>9854</v>
      </c>
      <c r="B4977" s="37" t="s">
        <v>25595</v>
      </c>
      <c r="C4977" s="37" t="s">
        <v>2355</v>
      </c>
      <c r="D4977" s="37" t="s">
        <v>2351</v>
      </c>
      <c r="E4977" s="212">
        <v>112.98</v>
      </c>
    </row>
    <row r="4978" spans="1:5" ht="14.25">
      <c r="A4978" s="37">
        <v>9851</v>
      </c>
      <c r="B4978" s="37" t="s">
        <v>25596</v>
      </c>
      <c r="C4978" s="37" t="s">
        <v>2355</v>
      </c>
      <c r="D4978" s="37" t="s">
        <v>2351</v>
      </c>
      <c r="E4978" s="212">
        <v>195.91</v>
      </c>
    </row>
    <row r="4979" spans="1:5" ht="14.25">
      <c r="A4979" s="37">
        <v>9855</v>
      </c>
      <c r="B4979" s="37" t="s">
        <v>25597</v>
      </c>
      <c r="C4979" s="37" t="s">
        <v>2355</v>
      </c>
      <c r="D4979" s="37" t="s">
        <v>2351</v>
      </c>
      <c r="E4979" s="212">
        <v>327.67</v>
      </c>
    </row>
    <row r="4980" spans="1:5" ht="14.25">
      <c r="A4980" s="37">
        <v>9825</v>
      </c>
      <c r="B4980" s="37" t="s">
        <v>25598</v>
      </c>
      <c r="C4980" s="37" t="s">
        <v>2355</v>
      </c>
      <c r="D4980" s="37" t="s">
        <v>2351</v>
      </c>
      <c r="E4980" s="212">
        <v>60.55</v>
      </c>
    </row>
    <row r="4981" spans="1:5" ht="14.25">
      <c r="A4981" s="37">
        <v>9828</v>
      </c>
      <c r="B4981" s="37" t="s">
        <v>25599</v>
      </c>
      <c r="C4981" s="37" t="s">
        <v>2355</v>
      </c>
      <c r="D4981" s="37" t="s">
        <v>2351</v>
      </c>
      <c r="E4981" s="212">
        <v>162.96</v>
      </c>
    </row>
    <row r="4982" spans="1:5" ht="14.25">
      <c r="A4982" s="37">
        <v>9829</v>
      </c>
      <c r="B4982" s="37" t="s">
        <v>25600</v>
      </c>
      <c r="C4982" s="37" t="s">
        <v>2355</v>
      </c>
      <c r="D4982" s="37" t="s">
        <v>2351</v>
      </c>
      <c r="E4982" s="212">
        <v>276.17</v>
      </c>
    </row>
    <row r="4983" spans="1:5" ht="14.25">
      <c r="A4983" s="37">
        <v>9826</v>
      </c>
      <c r="B4983" s="37" t="s">
        <v>25601</v>
      </c>
      <c r="C4983" s="37" t="s">
        <v>2355</v>
      </c>
      <c r="D4983" s="37" t="s">
        <v>2351</v>
      </c>
      <c r="E4983" s="212">
        <v>420.42</v>
      </c>
    </row>
    <row r="4984" spans="1:5" ht="14.25">
      <c r="A4984" s="37">
        <v>9827</v>
      </c>
      <c r="B4984" s="37" t="s">
        <v>25602</v>
      </c>
      <c r="C4984" s="37" t="s">
        <v>2355</v>
      </c>
      <c r="D4984" s="37" t="s">
        <v>2351</v>
      </c>
      <c r="E4984" s="212">
        <v>597</v>
      </c>
    </row>
    <row r="4985" spans="1:5" ht="14.25">
      <c r="A4985" s="37">
        <v>36374</v>
      </c>
      <c r="B4985" s="37" t="s">
        <v>25603</v>
      </c>
      <c r="C4985" s="37" t="s">
        <v>2355</v>
      </c>
      <c r="D4985" s="37" t="s">
        <v>2351</v>
      </c>
      <c r="E4985" s="212">
        <v>72.569999999999993</v>
      </c>
    </row>
    <row r="4986" spans="1:5" ht="14.25">
      <c r="A4986" s="37">
        <v>36084</v>
      </c>
      <c r="B4986" s="37" t="s">
        <v>25604</v>
      </c>
      <c r="C4986" s="37" t="s">
        <v>2355</v>
      </c>
      <c r="D4986" s="37" t="s">
        <v>2351</v>
      </c>
      <c r="E4986" s="212">
        <v>21.5</v>
      </c>
    </row>
    <row r="4987" spans="1:5" ht="14.25">
      <c r="A4987" s="37">
        <v>36373</v>
      </c>
      <c r="B4987" s="37" t="s">
        <v>25605</v>
      </c>
      <c r="C4987" s="37" t="s">
        <v>2355</v>
      </c>
      <c r="D4987" s="37" t="s">
        <v>2351</v>
      </c>
      <c r="E4987" s="212">
        <v>44.65</v>
      </c>
    </row>
    <row r="4988" spans="1:5" ht="14.25">
      <c r="A4988" s="37">
        <v>36377</v>
      </c>
      <c r="B4988" s="37" t="s">
        <v>25606</v>
      </c>
      <c r="C4988" s="37" t="s">
        <v>2355</v>
      </c>
      <c r="D4988" s="37" t="s">
        <v>2351</v>
      </c>
      <c r="E4988" s="212">
        <v>87.06</v>
      </c>
    </row>
    <row r="4989" spans="1:5" ht="14.25">
      <c r="A4989" s="37">
        <v>36375</v>
      </c>
      <c r="B4989" s="37" t="s">
        <v>25607</v>
      </c>
      <c r="C4989" s="37" t="s">
        <v>2355</v>
      </c>
      <c r="D4989" s="37" t="s">
        <v>2351</v>
      </c>
      <c r="E4989" s="212">
        <v>26.53</v>
      </c>
    </row>
    <row r="4990" spans="1:5" ht="14.25">
      <c r="A4990" s="37">
        <v>36376</v>
      </c>
      <c r="B4990" s="37" t="s">
        <v>25608</v>
      </c>
      <c r="C4990" s="37" t="s">
        <v>2355</v>
      </c>
      <c r="D4990" s="37" t="s">
        <v>2351</v>
      </c>
      <c r="E4990" s="212">
        <v>52.1</v>
      </c>
    </row>
    <row r="4991" spans="1:5" ht="14.25">
      <c r="A4991" s="37">
        <v>36380</v>
      </c>
      <c r="B4991" s="37" t="s">
        <v>25609</v>
      </c>
      <c r="C4991" s="37" t="s">
        <v>2355</v>
      </c>
      <c r="D4991" s="37" t="s">
        <v>2351</v>
      </c>
      <c r="E4991" s="212">
        <v>108.85</v>
      </c>
    </row>
    <row r="4992" spans="1:5" ht="14.25">
      <c r="A4992" s="37">
        <v>36378</v>
      </c>
      <c r="B4992" s="37" t="s">
        <v>25610</v>
      </c>
      <c r="C4992" s="37" t="s">
        <v>2355</v>
      </c>
      <c r="D4992" s="37" t="s">
        <v>2351</v>
      </c>
      <c r="E4992" s="212">
        <v>32.619999999999997</v>
      </c>
    </row>
    <row r="4993" spans="1:5" ht="14.25">
      <c r="A4993" s="37">
        <v>36379</v>
      </c>
      <c r="B4993" s="37" t="s">
        <v>25611</v>
      </c>
      <c r="C4993" s="37" t="s">
        <v>2355</v>
      </c>
      <c r="D4993" s="37" t="s">
        <v>2351</v>
      </c>
      <c r="E4993" s="212">
        <v>65.75</v>
      </c>
    </row>
    <row r="4994" spans="1:5" ht="14.25">
      <c r="A4994" s="37">
        <v>9859</v>
      </c>
      <c r="B4994" s="37" t="s">
        <v>25612</v>
      </c>
      <c r="C4994" s="37" t="s">
        <v>2355</v>
      </c>
      <c r="D4994" s="37" t="s">
        <v>2349</v>
      </c>
      <c r="E4994" s="212">
        <v>16.18</v>
      </c>
    </row>
    <row r="4995" spans="1:5" ht="14.25">
      <c r="A4995" s="37">
        <v>9838</v>
      </c>
      <c r="B4995" s="37" t="s">
        <v>25613</v>
      </c>
      <c r="C4995" s="37" t="s">
        <v>2355</v>
      </c>
      <c r="D4995" s="37" t="s">
        <v>2349</v>
      </c>
      <c r="E4995" s="212">
        <v>13.81</v>
      </c>
    </row>
    <row r="4996" spans="1:5" ht="14.25">
      <c r="A4996" s="37">
        <v>9837</v>
      </c>
      <c r="B4996" s="37" t="s">
        <v>25614</v>
      </c>
      <c r="C4996" s="37" t="s">
        <v>2355</v>
      </c>
      <c r="D4996" s="37" t="s">
        <v>2349</v>
      </c>
      <c r="E4996" s="212">
        <v>19.940000000000001</v>
      </c>
    </row>
    <row r="4997" spans="1:5" ht="14.25">
      <c r="A4997" s="37">
        <v>9833</v>
      </c>
      <c r="B4997" s="37" t="s">
        <v>25615</v>
      </c>
      <c r="C4997" s="37" t="s">
        <v>2355</v>
      </c>
      <c r="D4997" s="37" t="s">
        <v>2351</v>
      </c>
      <c r="E4997" s="212">
        <v>13.25</v>
      </c>
    </row>
    <row r="4998" spans="1:5" ht="14.25">
      <c r="A4998" s="37">
        <v>9830</v>
      </c>
      <c r="B4998" s="37" t="s">
        <v>25616</v>
      </c>
      <c r="C4998" s="37" t="s">
        <v>2355</v>
      </c>
      <c r="D4998" s="37" t="s">
        <v>2351</v>
      </c>
      <c r="E4998" s="212">
        <v>7.09</v>
      </c>
    </row>
    <row r="4999" spans="1:5" ht="14.25">
      <c r="A4999" s="37">
        <v>9834</v>
      </c>
      <c r="B4999" s="37" t="s">
        <v>25617</v>
      </c>
      <c r="C4999" s="37" t="s">
        <v>2355</v>
      </c>
      <c r="D4999" s="37" t="s">
        <v>2351</v>
      </c>
      <c r="E4999" s="212">
        <v>36.880000000000003</v>
      </c>
    </row>
    <row r="5000" spans="1:5" ht="14.25">
      <c r="A5000" s="37">
        <v>9863</v>
      </c>
      <c r="B5000" s="37" t="s">
        <v>25618</v>
      </c>
      <c r="C5000" s="37" t="s">
        <v>2355</v>
      </c>
      <c r="D5000" s="37" t="s">
        <v>2349</v>
      </c>
      <c r="E5000" s="212">
        <v>116.73</v>
      </c>
    </row>
    <row r="5001" spans="1:5" ht="14.25">
      <c r="A5001" s="37">
        <v>9860</v>
      </c>
      <c r="B5001" s="37" t="s">
        <v>25619</v>
      </c>
      <c r="C5001" s="37" t="s">
        <v>2355</v>
      </c>
      <c r="D5001" s="37" t="s">
        <v>2349</v>
      </c>
      <c r="E5001" s="212">
        <v>74.94</v>
      </c>
    </row>
    <row r="5002" spans="1:5" ht="14.25">
      <c r="A5002" s="37">
        <v>9862</v>
      </c>
      <c r="B5002" s="37" t="s">
        <v>25620</v>
      </c>
      <c r="C5002" s="37" t="s">
        <v>2355</v>
      </c>
      <c r="D5002" s="37" t="s">
        <v>2349</v>
      </c>
      <c r="E5002" s="212">
        <v>52.88</v>
      </c>
    </row>
    <row r="5003" spans="1:5" ht="14.25">
      <c r="A5003" s="37">
        <v>9861</v>
      </c>
      <c r="B5003" s="37" t="s">
        <v>25621</v>
      </c>
      <c r="C5003" s="37" t="s">
        <v>2355</v>
      </c>
      <c r="D5003" s="37" t="s">
        <v>2349</v>
      </c>
      <c r="E5003" s="212">
        <v>42.5</v>
      </c>
    </row>
    <row r="5004" spans="1:5" ht="14.25">
      <c r="A5004" s="37">
        <v>9856</v>
      </c>
      <c r="B5004" s="37" t="s">
        <v>25622</v>
      </c>
      <c r="C5004" s="37" t="s">
        <v>2355</v>
      </c>
      <c r="D5004" s="37" t="s">
        <v>2349</v>
      </c>
      <c r="E5004" s="212">
        <v>11.42</v>
      </c>
    </row>
    <row r="5005" spans="1:5" ht="14.25">
      <c r="A5005" s="37">
        <v>9866</v>
      </c>
      <c r="B5005" s="37" t="s">
        <v>25623</v>
      </c>
      <c r="C5005" s="37" t="s">
        <v>2355</v>
      </c>
      <c r="D5005" s="37" t="s">
        <v>2349</v>
      </c>
      <c r="E5005" s="212">
        <v>31.39</v>
      </c>
    </row>
    <row r="5006" spans="1:5" ht="14.25">
      <c r="A5006" s="37">
        <v>9857</v>
      </c>
      <c r="B5006" s="37" t="s">
        <v>25624</v>
      </c>
      <c r="C5006" s="37" t="s">
        <v>2355</v>
      </c>
      <c r="D5006" s="37" t="s">
        <v>2349</v>
      </c>
      <c r="E5006" s="212">
        <v>150.97</v>
      </c>
    </row>
    <row r="5007" spans="1:5" ht="14.25">
      <c r="A5007" s="37">
        <v>9864</v>
      </c>
      <c r="B5007" s="37" t="s">
        <v>25625</v>
      </c>
      <c r="C5007" s="37" t="s">
        <v>2355</v>
      </c>
      <c r="D5007" s="37" t="s">
        <v>2349</v>
      </c>
      <c r="E5007" s="212">
        <v>182.26</v>
      </c>
    </row>
    <row r="5008" spans="1:5" ht="14.25">
      <c r="A5008" s="37">
        <v>9865</v>
      </c>
      <c r="B5008" s="37" t="s">
        <v>25626</v>
      </c>
      <c r="C5008" s="37" t="s">
        <v>2355</v>
      </c>
      <c r="D5008" s="37" t="s">
        <v>2349</v>
      </c>
      <c r="E5008" s="212">
        <v>262.12</v>
      </c>
    </row>
    <row r="5009" spans="1:5" ht="14.25">
      <c r="A5009" s="37">
        <v>9858</v>
      </c>
      <c r="B5009" s="37" t="s">
        <v>25627</v>
      </c>
      <c r="C5009" s="37" t="s">
        <v>2355</v>
      </c>
      <c r="D5009" s="37" t="s">
        <v>2349</v>
      </c>
      <c r="E5009" s="212">
        <v>274.8</v>
      </c>
    </row>
    <row r="5010" spans="1:5" ht="14.25">
      <c r="A5010" s="37">
        <v>9841</v>
      </c>
      <c r="B5010" s="37" t="s">
        <v>25628</v>
      </c>
      <c r="C5010" s="37" t="s">
        <v>2355</v>
      </c>
      <c r="D5010" s="37" t="s">
        <v>2349</v>
      </c>
      <c r="E5010" s="212">
        <v>55.53</v>
      </c>
    </row>
    <row r="5011" spans="1:5" ht="14.25">
      <c r="A5011" s="37">
        <v>9840</v>
      </c>
      <c r="B5011" s="37" t="s">
        <v>25629</v>
      </c>
      <c r="C5011" s="37" t="s">
        <v>2355</v>
      </c>
      <c r="D5011" s="37" t="s">
        <v>2349</v>
      </c>
      <c r="E5011" s="212">
        <v>112.86</v>
      </c>
    </row>
    <row r="5012" spans="1:5" ht="14.25">
      <c r="A5012" s="37">
        <v>20067</v>
      </c>
      <c r="B5012" s="37" t="s">
        <v>25630</v>
      </c>
      <c r="C5012" s="37" t="s">
        <v>2355</v>
      </c>
      <c r="D5012" s="37" t="s">
        <v>2349</v>
      </c>
      <c r="E5012" s="212">
        <v>19.39</v>
      </c>
    </row>
    <row r="5013" spans="1:5" ht="14.25">
      <c r="A5013" s="37">
        <v>20068</v>
      </c>
      <c r="B5013" s="37" t="s">
        <v>25631</v>
      </c>
      <c r="C5013" s="37" t="s">
        <v>2355</v>
      </c>
      <c r="D5013" s="37" t="s">
        <v>2349</v>
      </c>
      <c r="E5013" s="212">
        <v>24.19</v>
      </c>
    </row>
    <row r="5014" spans="1:5" ht="14.25">
      <c r="A5014" s="37">
        <v>9839</v>
      </c>
      <c r="B5014" s="37" t="s">
        <v>25632</v>
      </c>
      <c r="C5014" s="37" t="s">
        <v>2355</v>
      </c>
      <c r="D5014" s="37" t="s">
        <v>2349</v>
      </c>
      <c r="E5014" s="212">
        <v>31.7</v>
      </c>
    </row>
    <row r="5015" spans="1:5" ht="14.25">
      <c r="A5015" s="37">
        <v>9870</v>
      </c>
      <c r="B5015" s="37" t="s">
        <v>28162</v>
      </c>
      <c r="C5015" s="37" t="s">
        <v>2355</v>
      </c>
      <c r="D5015" s="37" t="s">
        <v>2349</v>
      </c>
      <c r="E5015" s="212">
        <v>127.29</v>
      </c>
    </row>
    <row r="5016" spans="1:5" ht="14.25">
      <c r="A5016" s="37">
        <v>9867</v>
      </c>
      <c r="B5016" s="37" t="s">
        <v>25633</v>
      </c>
      <c r="C5016" s="37" t="s">
        <v>2355</v>
      </c>
      <c r="D5016" s="37" t="s">
        <v>2349</v>
      </c>
      <c r="E5016" s="212">
        <v>4.68</v>
      </c>
    </row>
    <row r="5017" spans="1:5" ht="14.25">
      <c r="A5017" s="37">
        <v>9868</v>
      </c>
      <c r="B5017" s="37" t="s">
        <v>25634</v>
      </c>
      <c r="C5017" s="37" t="s">
        <v>2355</v>
      </c>
      <c r="D5017" s="37" t="s">
        <v>2353</v>
      </c>
      <c r="E5017" s="212">
        <v>6</v>
      </c>
    </row>
    <row r="5018" spans="1:5" ht="14.25">
      <c r="A5018" s="37">
        <v>9869</v>
      </c>
      <c r="B5018" s="37" t="s">
        <v>25635</v>
      </c>
      <c r="C5018" s="37" t="s">
        <v>2355</v>
      </c>
      <c r="D5018" s="37" t="s">
        <v>2349</v>
      </c>
      <c r="E5018" s="212">
        <v>13.47</v>
      </c>
    </row>
    <row r="5019" spans="1:5" ht="14.25">
      <c r="A5019" s="37">
        <v>9874</v>
      </c>
      <c r="B5019" s="37" t="s">
        <v>25636</v>
      </c>
      <c r="C5019" s="37" t="s">
        <v>2355</v>
      </c>
      <c r="D5019" s="37" t="s">
        <v>2349</v>
      </c>
      <c r="E5019" s="212">
        <v>19.61</v>
      </c>
    </row>
    <row r="5020" spans="1:5" ht="14.25">
      <c r="A5020" s="37">
        <v>9875</v>
      </c>
      <c r="B5020" s="37" t="s">
        <v>25637</v>
      </c>
      <c r="C5020" s="37" t="s">
        <v>2355</v>
      </c>
      <c r="D5020" s="37" t="s">
        <v>2349</v>
      </c>
      <c r="E5020" s="212">
        <v>22.47</v>
      </c>
    </row>
    <row r="5021" spans="1:5" ht="14.25">
      <c r="A5021" s="37">
        <v>9873</v>
      </c>
      <c r="B5021" s="37" t="s">
        <v>25638</v>
      </c>
      <c r="C5021" s="37" t="s">
        <v>2355</v>
      </c>
      <c r="D5021" s="37" t="s">
        <v>2349</v>
      </c>
      <c r="E5021" s="212">
        <v>37.909999999999997</v>
      </c>
    </row>
    <row r="5022" spans="1:5" ht="14.25">
      <c r="A5022" s="37">
        <v>9871</v>
      </c>
      <c r="B5022" s="37" t="s">
        <v>25639</v>
      </c>
      <c r="C5022" s="37" t="s">
        <v>2355</v>
      </c>
      <c r="D5022" s="37" t="s">
        <v>2349</v>
      </c>
      <c r="E5022" s="212">
        <v>63.5</v>
      </c>
    </row>
    <row r="5023" spans="1:5" ht="14.25">
      <c r="A5023" s="37">
        <v>9872</v>
      </c>
      <c r="B5023" s="37" t="s">
        <v>25640</v>
      </c>
      <c r="C5023" s="37" t="s">
        <v>2355</v>
      </c>
      <c r="D5023" s="37" t="s">
        <v>2349</v>
      </c>
      <c r="E5023" s="212">
        <v>79.34</v>
      </c>
    </row>
    <row r="5024" spans="1:5" ht="14.25">
      <c r="A5024" s="37">
        <v>7667</v>
      </c>
      <c r="B5024" s="37" t="s">
        <v>25641</v>
      </c>
      <c r="C5024" s="37" t="s">
        <v>2355</v>
      </c>
      <c r="D5024" s="37" t="s">
        <v>2349</v>
      </c>
      <c r="E5024" s="213">
        <v>3984.55</v>
      </c>
    </row>
    <row r="5025" spans="1:5" ht="14.25">
      <c r="A5025" s="37">
        <v>7660</v>
      </c>
      <c r="B5025" s="37" t="s">
        <v>25642</v>
      </c>
      <c r="C5025" s="37" t="s">
        <v>2355</v>
      </c>
      <c r="D5025" s="37" t="s">
        <v>2349</v>
      </c>
      <c r="E5025" s="213">
        <v>5079.3500000000004</v>
      </c>
    </row>
    <row r="5026" spans="1:5" ht="14.25">
      <c r="A5026" s="37">
        <v>7676</v>
      </c>
      <c r="B5026" s="37" t="s">
        <v>25643</v>
      </c>
      <c r="C5026" s="37" t="s">
        <v>2355</v>
      </c>
      <c r="D5026" s="37" t="s">
        <v>2349</v>
      </c>
      <c r="E5026" s="213">
        <v>5137.3999999999996</v>
      </c>
    </row>
    <row r="5027" spans="1:5" ht="14.25">
      <c r="A5027" s="37">
        <v>12426</v>
      </c>
      <c r="B5027" s="37" t="s">
        <v>25644</v>
      </c>
      <c r="C5027" s="37" t="s">
        <v>2348</v>
      </c>
      <c r="D5027" s="37" t="s">
        <v>2351</v>
      </c>
      <c r="E5027" s="212">
        <v>40.76</v>
      </c>
    </row>
    <row r="5028" spans="1:5" ht="14.25">
      <c r="A5028" s="37">
        <v>12425</v>
      </c>
      <c r="B5028" s="37" t="s">
        <v>25645</v>
      </c>
      <c r="C5028" s="37" t="s">
        <v>2348</v>
      </c>
      <c r="D5028" s="37" t="s">
        <v>2351</v>
      </c>
      <c r="E5028" s="212">
        <v>56</v>
      </c>
    </row>
    <row r="5029" spans="1:5" ht="14.25">
      <c r="A5029" s="37">
        <v>12427</v>
      </c>
      <c r="B5029" s="37" t="s">
        <v>25646</v>
      </c>
      <c r="C5029" s="37" t="s">
        <v>2348</v>
      </c>
      <c r="D5029" s="37" t="s">
        <v>2351</v>
      </c>
      <c r="E5029" s="212">
        <v>232.43</v>
      </c>
    </row>
    <row r="5030" spans="1:5" ht="14.25">
      <c r="A5030" s="37">
        <v>12428</v>
      </c>
      <c r="B5030" s="37" t="s">
        <v>25647</v>
      </c>
      <c r="C5030" s="37" t="s">
        <v>2348</v>
      </c>
      <c r="D5030" s="37" t="s">
        <v>2351</v>
      </c>
      <c r="E5030" s="212">
        <v>149.19</v>
      </c>
    </row>
    <row r="5031" spans="1:5" ht="14.25">
      <c r="A5031" s="37">
        <v>12430</v>
      </c>
      <c r="B5031" s="37" t="s">
        <v>25648</v>
      </c>
      <c r="C5031" s="37" t="s">
        <v>2348</v>
      </c>
      <c r="D5031" s="37" t="s">
        <v>2351</v>
      </c>
      <c r="E5031" s="212">
        <v>49.97</v>
      </c>
    </row>
    <row r="5032" spans="1:5" ht="14.25">
      <c r="A5032" s="37">
        <v>12429</v>
      </c>
      <c r="B5032" s="37" t="s">
        <v>25649</v>
      </c>
      <c r="C5032" s="37" t="s">
        <v>2348</v>
      </c>
      <c r="D5032" s="37" t="s">
        <v>2351</v>
      </c>
      <c r="E5032" s="212">
        <v>375.84</v>
      </c>
    </row>
    <row r="5033" spans="1:5" ht="14.25">
      <c r="A5033" s="37">
        <v>12431</v>
      </c>
      <c r="B5033" s="37" t="s">
        <v>25650</v>
      </c>
      <c r="C5033" s="37" t="s">
        <v>2348</v>
      </c>
      <c r="D5033" s="37" t="s">
        <v>2351</v>
      </c>
      <c r="E5033" s="212">
        <v>639.62</v>
      </c>
    </row>
    <row r="5034" spans="1:5" ht="14.25">
      <c r="A5034" s="37">
        <v>12432</v>
      </c>
      <c r="B5034" s="37" t="s">
        <v>25651</v>
      </c>
      <c r="C5034" s="37" t="s">
        <v>2348</v>
      </c>
      <c r="D5034" s="37" t="s">
        <v>2351</v>
      </c>
      <c r="E5034" s="212">
        <v>131.55000000000001</v>
      </c>
    </row>
    <row r="5035" spans="1:5" ht="14.25">
      <c r="A5035" s="37">
        <v>12434</v>
      </c>
      <c r="B5035" s="37" t="s">
        <v>25652</v>
      </c>
      <c r="C5035" s="37" t="s">
        <v>2348</v>
      </c>
      <c r="D5035" s="37" t="s">
        <v>2351</v>
      </c>
      <c r="E5035" s="212">
        <v>42.87</v>
      </c>
    </row>
    <row r="5036" spans="1:5" ht="14.25">
      <c r="A5036" s="37">
        <v>12433</v>
      </c>
      <c r="B5036" s="37" t="s">
        <v>25653</v>
      </c>
      <c r="C5036" s="37" t="s">
        <v>2348</v>
      </c>
      <c r="D5036" s="37" t="s">
        <v>2351</v>
      </c>
      <c r="E5036" s="212">
        <v>83.74</v>
      </c>
    </row>
    <row r="5037" spans="1:5" ht="14.25">
      <c r="A5037" s="37">
        <v>12435</v>
      </c>
      <c r="B5037" s="37" t="s">
        <v>25654</v>
      </c>
      <c r="C5037" s="37" t="s">
        <v>2348</v>
      </c>
      <c r="D5037" s="37" t="s">
        <v>2351</v>
      </c>
      <c r="E5037" s="212">
        <v>259.17</v>
      </c>
    </row>
    <row r="5038" spans="1:5" ht="14.25">
      <c r="A5038" s="37">
        <v>12437</v>
      </c>
      <c r="B5038" s="37" t="s">
        <v>25655</v>
      </c>
      <c r="C5038" s="37" t="s">
        <v>2348</v>
      </c>
      <c r="D5038" s="37" t="s">
        <v>2351</v>
      </c>
      <c r="E5038" s="212">
        <v>209.31</v>
      </c>
    </row>
    <row r="5039" spans="1:5" ht="14.25">
      <c r="A5039" s="37">
        <v>12439</v>
      </c>
      <c r="B5039" s="37" t="s">
        <v>25656</v>
      </c>
      <c r="C5039" s="37" t="s">
        <v>2348</v>
      </c>
      <c r="D5039" s="37" t="s">
        <v>2351</v>
      </c>
      <c r="E5039" s="212">
        <v>67.180000000000007</v>
      </c>
    </row>
    <row r="5040" spans="1:5" ht="14.25">
      <c r="A5040" s="37">
        <v>12438</v>
      </c>
      <c r="B5040" s="37" t="s">
        <v>25657</v>
      </c>
      <c r="C5040" s="37" t="s">
        <v>2348</v>
      </c>
      <c r="D5040" s="37" t="s">
        <v>2351</v>
      </c>
      <c r="E5040" s="212">
        <v>378.79</v>
      </c>
    </row>
    <row r="5041" spans="1:5" ht="14.25">
      <c r="A5041" s="37">
        <v>12436</v>
      </c>
      <c r="B5041" s="37" t="s">
        <v>25658</v>
      </c>
      <c r="C5041" s="37" t="s">
        <v>2348</v>
      </c>
      <c r="D5041" s="37" t="s">
        <v>2351</v>
      </c>
      <c r="E5041" s="212">
        <v>478.49</v>
      </c>
    </row>
    <row r="5042" spans="1:5" ht="14.25">
      <c r="A5042" s="37">
        <v>36357</v>
      </c>
      <c r="B5042" s="37" t="s">
        <v>25659</v>
      </c>
      <c r="C5042" s="37" t="s">
        <v>2348</v>
      </c>
      <c r="D5042" s="37" t="s">
        <v>2351</v>
      </c>
      <c r="E5042" s="212">
        <v>178.97</v>
      </c>
    </row>
    <row r="5043" spans="1:5" ht="14.25">
      <c r="A5043" s="37">
        <v>12424</v>
      </c>
      <c r="B5043" s="37" t="s">
        <v>25660</v>
      </c>
      <c r="C5043" s="37" t="s">
        <v>2348</v>
      </c>
      <c r="D5043" s="37" t="s">
        <v>2351</v>
      </c>
      <c r="E5043" s="212">
        <v>86.22</v>
      </c>
    </row>
    <row r="5044" spans="1:5" ht="14.25">
      <c r="A5044" s="37">
        <v>12440</v>
      </c>
      <c r="B5044" s="37" t="s">
        <v>25661</v>
      </c>
      <c r="C5044" s="37" t="s">
        <v>2348</v>
      </c>
      <c r="D5044" s="37" t="s">
        <v>2351</v>
      </c>
      <c r="E5044" s="212">
        <v>83.34</v>
      </c>
    </row>
    <row r="5045" spans="1:5" ht="14.25">
      <c r="A5045" s="37">
        <v>9884</v>
      </c>
      <c r="B5045" s="37" t="s">
        <v>25662</v>
      </c>
      <c r="C5045" s="37" t="s">
        <v>2348</v>
      </c>
      <c r="D5045" s="37" t="s">
        <v>2351</v>
      </c>
      <c r="E5045" s="212">
        <v>62.16</v>
      </c>
    </row>
    <row r="5046" spans="1:5" ht="14.25">
      <c r="A5046" s="37">
        <v>9888</v>
      </c>
      <c r="B5046" s="37" t="s">
        <v>25663</v>
      </c>
      <c r="C5046" s="37" t="s">
        <v>2348</v>
      </c>
      <c r="D5046" s="37" t="s">
        <v>2351</v>
      </c>
      <c r="E5046" s="212">
        <v>49.94</v>
      </c>
    </row>
    <row r="5047" spans="1:5" ht="14.25">
      <c r="A5047" s="37">
        <v>9883</v>
      </c>
      <c r="B5047" s="37" t="s">
        <v>25664</v>
      </c>
      <c r="C5047" s="37" t="s">
        <v>2348</v>
      </c>
      <c r="D5047" s="37" t="s">
        <v>2351</v>
      </c>
      <c r="E5047" s="212">
        <v>21.79</v>
      </c>
    </row>
    <row r="5048" spans="1:5" ht="14.25">
      <c r="A5048" s="37">
        <v>9886</v>
      </c>
      <c r="B5048" s="37" t="s">
        <v>25665</v>
      </c>
      <c r="C5048" s="37" t="s">
        <v>2348</v>
      </c>
      <c r="D5048" s="37" t="s">
        <v>2351</v>
      </c>
      <c r="E5048" s="212">
        <v>29.85</v>
      </c>
    </row>
    <row r="5049" spans="1:5" ht="14.25">
      <c r="A5049" s="37">
        <v>9889</v>
      </c>
      <c r="B5049" s="37" t="s">
        <v>25666</v>
      </c>
      <c r="C5049" s="37" t="s">
        <v>2348</v>
      </c>
      <c r="D5049" s="37" t="s">
        <v>2351</v>
      </c>
      <c r="E5049" s="212">
        <v>151.24</v>
      </c>
    </row>
    <row r="5050" spans="1:5" ht="14.25">
      <c r="A5050" s="37">
        <v>9887</v>
      </c>
      <c r="B5050" s="37" t="s">
        <v>25667</v>
      </c>
      <c r="C5050" s="37" t="s">
        <v>2348</v>
      </c>
      <c r="D5050" s="37" t="s">
        <v>2351</v>
      </c>
      <c r="E5050" s="212">
        <v>91.41</v>
      </c>
    </row>
    <row r="5051" spans="1:5" ht="14.25">
      <c r="A5051" s="37">
        <v>9885</v>
      </c>
      <c r="B5051" s="37" t="s">
        <v>25668</v>
      </c>
      <c r="C5051" s="37" t="s">
        <v>2348</v>
      </c>
      <c r="D5051" s="37" t="s">
        <v>2351</v>
      </c>
      <c r="E5051" s="212">
        <v>28.86</v>
      </c>
    </row>
    <row r="5052" spans="1:5" ht="14.25">
      <c r="A5052" s="37">
        <v>9890</v>
      </c>
      <c r="B5052" s="37" t="s">
        <v>25669</v>
      </c>
      <c r="C5052" s="37" t="s">
        <v>2348</v>
      </c>
      <c r="D5052" s="37" t="s">
        <v>2351</v>
      </c>
      <c r="E5052" s="212">
        <v>234.3</v>
      </c>
    </row>
    <row r="5053" spans="1:5" ht="14.25">
      <c r="A5053" s="37">
        <v>9891</v>
      </c>
      <c r="B5053" s="37" t="s">
        <v>25670</v>
      </c>
      <c r="C5053" s="37" t="s">
        <v>2348</v>
      </c>
      <c r="D5053" s="37" t="s">
        <v>2351</v>
      </c>
      <c r="E5053" s="212">
        <v>328.92</v>
      </c>
    </row>
    <row r="5054" spans="1:5" ht="14.25">
      <c r="A5054" s="37">
        <v>39292</v>
      </c>
      <c r="B5054" s="37" t="s">
        <v>25671</v>
      </c>
      <c r="C5054" s="37" t="s">
        <v>2348</v>
      </c>
      <c r="D5054" s="37" t="s">
        <v>2351</v>
      </c>
      <c r="E5054" s="212">
        <v>11.73</v>
      </c>
    </row>
    <row r="5055" spans="1:5" ht="14.25">
      <c r="A5055" s="37">
        <v>39293</v>
      </c>
      <c r="B5055" s="37" t="s">
        <v>25672</v>
      </c>
      <c r="C5055" s="37" t="s">
        <v>2348</v>
      </c>
      <c r="D5055" s="37" t="s">
        <v>2351</v>
      </c>
      <c r="E5055" s="212">
        <v>18.93</v>
      </c>
    </row>
    <row r="5056" spans="1:5" ht="14.25">
      <c r="A5056" s="37">
        <v>39294</v>
      </c>
      <c r="B5056" s="37" t="s">
        <v>25673</v>
      </c>
      <c r="C5056" s="37" t="s">
        <v>2348</v>
      </c>
      <c r="D5056" s="37" t="s">
        <v>2351</v>
      </c>
      <c r="E5056" s="212">
        <v>18.93</v>
      </c>
    </row>
    <row r="5057" spans="1:5" ht="14.25">
      <c r="A5057" s="37">
        <v>39295</v>
      </c>
      <c r="B5057" s="37" t="s">
        <v>25674</v>
      </c>
      <c r="C5057" s="37" t="s">
        <v>2348</v>
      </c>
      <c r="D5057" s="37" t="s">
        <v>2351</v>
      </c>
      <c r="E5057" s="212">
        <v>32.28</v>
      </c>
    </row>
    <row r="5058" spans="1:5" ht="14.25">
      <c r="A5058" s="37">
        <v>36313</v>
      </c>
      <c r="B5058" s="37" t="s">
        <v>25675</v>
      </c>
      <c r="C5058" s="37" t="s">
        <v>2348</v>
      </c>
      <c r="D5058" s="37" t="s">
        <v>2351</v>
      </c>
      <c r="E5058" s="212">
        <v>42.43</v>
      </c>
    </row>
    <row r="5059" spans="1:5" ht="14.25">
      <c r="A5059" s="37">
        <v>36316</v>
      </c>
      <c r="B5059" s="37" t="s">
        <v>25676</v>
      </c>
      <c r="C5059" s="37" t="s">
        <v>2348</v>
      </c>
      <c r="D5059" s="37" t="s">
        <v>2351</v>
      </c>
      <c r="E5059" s="212">
        <v>51.45</v>
      </c>
    </row>
    <row r="5060" spans="1:5" ht="14.25">
      <c r="A5060" s="37">
        <v>64</v>
      </c>
      <c r="B5060" s="37" t="s">
        <v>25677</v>
      </c>
      <c r="C5060" s="37" t="s">
        <v>2348</v>
      </c>
      <c r="D5060" s="37" t="s">
        <v>2351</v>
      </c>
      <c r="E5060" s="212">
        <v>5.14</v>
      </c>
    </row>
    <row r="5061" spans="1:5" ht="14.25">
      <c r="A5061" s="37">
        <v>37423</v>
      </c>
      <c r="B5061" s="37" t="s">
        <v>25678</v>
      </c>
      <c r="C5061" s="37" t="s">
        <v>2348</v>
      </c>
      <c r="D5061" s="37" t="s">
        <v>2351</v>
      </c>
      <c r="E5061" s="212">
        <v>12.69</v>
      </c>
    </row>
    <row r="5062" spans="1:5" ht="14.25">
      <c r="A5062" s="37">
        <v>39296</v>
      </c>
      <c r="B5062" s="37" t="s">
        <v>25679</v>
      </c>
      <c r="C5062" s="37" t="s">
        <v>2348</v>
      </c>
      <c r="D5062" s="37" t="s">
        <v>2351</v>
      </c>
      <c r="E5062" s="212">
        <v>9.06</v>
      </c>
    </row>
    <row r="5063" spans="1:5" ht="14.25">
      <c r="A5063" s="37">
        <v>39297</v>
      </c>
      <c r="B5063" s="37" t="s">
        <v>25680</v>
      </c>
      <c r="C5063" s="37" t="s">
        <v>2348</v>
      </c>
      <c r="D5063" s="37" t="s">
        <v>2351</v>
      </c>
      <c r="E5063" s="212">
        <v>12.95</v>
      </c>
    </row>
    <row r="5064" spans="1:5" ht="14.25">
      <c r="A5064" s="37">
        <v>39298</v>
      </c>
      <c r="B5064" s="37" t="s">
        <v>25681</v>
      </c>
      <c r="C5064" s="37" t="s">
        <v>2348</v>
      </c>
      <c r="D5064" s="37" t="s">
        <v>2351</v>
      </c>
      <c r="E5064" s="212">
        <v>22.82</v>
      </c>
    </row>
    <row r="5065" spans="1:5" ht="14.25">
      <c r="A5065" s="37">
        <v>39299</v>
      </c>
      <c r="B5065" s="37" t="s">
        <v>25682</v>
      </c>
      <c r="C5065" s="37" t="s">
        <v>2348</v>
      </c>
      <c r="D5065" s="37" t="s">
        <v>2351</v>
      </c>
      <c r="E5065" s="212">
        <v>38.840000000000003</v>
      </c>
    </row>
    <row r="5066" spans="1:5" ht="14.25">
      <c r="A5066" s="37">
        <v>9892</v>
      </c>
      <c r="B5066" s="37" t="s">
        <v>25683</v>
      </c>
      <c r="C5066" s="37" t="s">
        <v>2348</v>
      </c>
      <c r="D5066" s="37" t="s">
        <v>2349</v>
      </c>
      <c r="E5066" s="212">
        <v>10.199999999999999</v>
      </c>
    </row>
    <row r="5067" spans="1:5" ht="14.25">
      <c r="A5067" s="37">
        <v>9893</v>
      </c>
      <c r="B5067" s="37" t="s">
        <v>25684</v>
      </c>
      <c r="C5067" s="37" t="s">
        <v>2348</v>
      </c>
      <c r="D5067" s="37" t="s">
        <v>2349</v>
      </c>
      <c r="E5067" s="212">
        <v>138.46</v>
      </c>
    </row>
    <row r="5068" spans="1:5" ht="14.25">
      <c r="A5068" s="37">
        <v>9901</v>
      </c>
      <c r="B5068" s="37" t="s">
        <v>25685</v>
      </c>
      <c r="C5068" s="37" t="s">
        <v>2348</v>
      </c>
      <c r="D5068" s="37" t="s">
        <v>2349</v>
      </c>
      <c r="E5068" s="212">
        <v>61.45</v>
      </c>
    </row>
    <row r="5069" spans="1:5" ht="14.25">
      <c r="A5069" s="37">
        <v>9896</v>
      </c>
      <c r="B5069" s="37" t="s">
        <v>25686</v>
      </c>
      <c r="C5069" s="37" t="s">
        <v>2348</v>
      </c>
      <c r="D5069" s="37" t="s">
        <v>2349</v>
      </c>
      <c r="E5069" s="212">
        <v>55.38</v>
      </c>
    </row>
    <row r="5070" spans="1:5" ht="14.25">
      <c r="A5070" s="37">
        <v>9900</v>
      </c>
      <c r="B5070" s="37" t="s">
        <v>25687</v>
      </c>
      <c r="C5070" s="37" t="s">
        <v>2348</v>
      </c>
      <c r="D5070" s="37" t="s">
        <v>2349</v>
      </c>
      <c r="E5070" s="212">
        <v>33.6</v>
      </c>
    </row>
    <row r="5071" spans="1:5" ht="14.25">
      <c r="A5071" s="37">
        <v>9898</v>
      </c>
      <c r="B5071" s="37" t="s">
        <v>25688</v>
      </c>
      <c r="C5071" s="37" t="s">
        <v>2348</v>
      </c>
      <c r="D5071" s="37" t="s">
        <v>2349</v>
      </c>
      <c r="E5071" s="212">
        <v>284.7</v>
      </c>
    </row>
    <row r="5072" spans="1:5" ht="14.25">
      <c r="A5072" s="37">
        <v>9899</v>
      </c>
      <c r="B5072" s="37" t="s">
        <v>25689</v>
      </c>
      <c r="C5072" s="37" t="s">
        <v>2348</v>
      </c>
      <c r="D5072" s="37" t="s">
        <v>2349</v>
      </c>
      <c r="E5072" s="212">
        <v>18.34</v>
      </c>
    </row>
    <row r="5073" spans="1:5" ht="14.25">
      <c r="A5073" s="37">
        <v>9902</v>
      </c>
      <c r="B5073" s="37" t="s">
        <v>25690</v>
      </c>
      <c r="C5073" s="37" t="s">
        <v>2348</v>
      </c>
      <c r="D5073" s="37" t="s">
        <v>2349</v>
      </c>
      <c r="E5073" s="212">
        <v>360.53</v>
      </c>
    </row>
    <row r="5074" spans="1:5" ht="14.25">
      <c r="A5074" s="37">
        <v>9908</v>
      </c>
      <c r="B5074" s="37" t="s">
        <v>25691</v>
      </c>
      <c r="C5074" s="37" t="s">
        <v>2348</v>
      </c>
      <c r="D5074" s="37" t="s">
        <v>2349</v>
      </c>
      <c r="E5074" s="212">
        <v>718.84</v>
      </c>
    </row>
    <row r="5075" spans="1:5" ht="14.25">
      <c r="A5075" s="37">
        <v>9905</v>
      </c>
      <c r="B5075" s="37" t="s">
        <v>25692</v>
      </c>
      <c r="C5075" s="37" t="s">
        <v>2348</v>
      </c>
      <c r="D5075" s="37" t="s">
        <v>2349</v>
      </c>
      <c r="E5075" s="212">
        <v>12.01</v>
      </c>
    </row>
    <row r="5076" spans="1:5" ht="14.25">
      <c r="A5076" s="37">
        <v>9906</v>
      </c>
      <c r="B5076" s="37" t="s">
        <v>25693</v>
      </c>
      <c r="C5076" s="37" t="s">
        <v>2348</v>
      </c>
      <c r="D5076" s="37" t="s">
        <v>2349</v>
      </c>
      <c r="E5076" s="212">
        <v>14.39</v>
      </c>
    </row>
    <row r="5077" spans="1:5" ht="14.25">
      <c r="A5077" s="37">
        <v>9895</v>
      </c>
      <c r="B5077" s="37" t="s">
        <v>25694</v>
      </c>
      <c r="C5077" s="37" t="s">
        <v>2348</v>
      </c>
      <c r="D5077" s="37" t="s">
        <v>2349</v>
      </c>
      <c r="E5077" s="212">
        <v>23.61</v>
      </c>
    </row>
    <row r="5078" spans="1:5" ht="14.25">
      <c r="A5078" s="37">
        <v>9894</v>
      </c>
      <c r="B5078" s="37" t="s">
        <v>25695</v>
      </c>
      <c r="C5078" s="37" t="s">
        <v>2348</v>
      </c>
      <c r="D5078" s="37" t="s">
        <v>2349</v>
      </c>
      <c r="E5078" s="212">
        <v>46</v>
      </c>
    </row>
    <row r="5079" spans="1:5" ht="14.25">
      <c r="A5079" s="37">
        <v>9897</v>
      </c>
      <c r="B5079" s="37" t="s">
        <v>25696</v>
      </c>
      <c r="C5079" s="37" t="s">
        <v>2348</v>
      </c>
      <c r="D5079" s="37" t="s">
        <v>2349</v>
      </c>
      <c r="E5079" s="212">
        <v>49.81</v>
      </c>
    </row>
    <row r="5080" spans="1:5" ht="14.25">
      <c r="A5080" s="37">
        <v>9910</v>
      </c>
      <c r="B5080" s="37" t="s">
        <v>25697</v>
      </c>
      <c r="C5080" s="37" t="s">
        <v>2348</v>
      </c>
      <c r="D5080" s="37" t="s">
        <v>2349</v>
      </c>
      <c r="E5080" s="212">
        <v>125.36</v>
      </c>
    </row>
    <row r="5081" spans="1:5" ht="14.25">
      <c r="A5081" s="37">
        <v>9909</v>
      </c>
      <c r="B5081" s="37" t="s">
        <v>25698</v>
      </c>
      <c r="C5081" s="37" t="s">
        <v>2348</v>
      </c>
      <c r="D5081" s="37" t="s">
        <v>2349</v>
      </c>
      <c r="E5081" s="212">
        <v>252.97</v>
      </c>
    </row>
    <row r="5082" spans="1:5" ht="14.25">
      <c r="A5082" s="37">
        <v>9907</v>
      </c>
      <c r="B5082" s="37" t="s">
        <v>25699</v>
      </c>
      <c r="C5082" s="37" t="s">
        <v>2348</v>
      </c>
      <c r="D5082" s="37" t="s">
        <v>2349</v>
      </c>
      <c r="E5082" s="212">
        <v>388.96</v>
      </c>
    </row>
    <row r="5083" spans="1:5" ht="14.25">
      <c r="A5083" s="37">
        <v>20973</v>
      </c>
      <c r="B5083" s="37" t="s">
        <v>25700</v>
      </c>
      <c r="C5083" s="37" t="s">
        <v>2348</v>
      </c>
      <c r="D5083" s="37" t="s">
        <v>2349</v>
      </c>
      <c r="E5083" s="212">
        <v>112.38</v>
      </c>
    </row>
    <row r="5084" spans="1:5" ht="14.25">
      <c r="A5084" s="37">
        <v>20974</v>
      </c>
      <c r="B5084" s="37" t="s">
        <v>25701</v>
      </c>
      <c r="C5084" s="37" t="s">
        <v>2348</v>
      </c>
      <c r="D5084" s="37" t="s">
        <v>2349</v>
      </c>
      <c r="E5084" s="212">
        <v>160.78</v>
      </c>
    </row>
    <row r="5085" spans="1:5" ht="14.25">
      <c r="A5085" s="37">
        <v>37989</v>
      </c>
      <c r="B5085" s="37" t="s">
        <v>25702</v>
      </c>
      <c r="C5085" s="37" t="s">
        <v>2348</v>
      </c>
      <c r="D5085" s="37" t="s">
        <v>2349</v>
      </c>
      <c r="E5085" s="212">
        <v>15.6</v>
      </c>
    </row>
    <row r="5086" spans="1:5" ht="14.25">
      <c r="A5086" s="37">
        <v>37990</v>
      </c>
      <c r="B5086" s="37" t="s">
        <v>25703</v>
      </c>
      <c r="C5086" s="37" t="s">
        <v>2348</v>
      </c>
      <c r="D5086" s="37" t="s">
        <v>2349</v>
      </c>
      <c r="E5086" s="212">
        <v>18.12</v>
      </c>
    </row>
    <row r="5087" spans="1:5" ht="14.25">
      <c r="A5087" s="37">
        <v>37991</v>
      </c>
      <c r="B5087" s="37" t="s">
        <v>25704</v>
      </c>
      <c r="C5087" s="37" t="s">
        <v>2348</v>
      </c>
      <c r="D5087" s="37" t="s">
        <v>2349</v>
      </c>
      <c r="E5087" s="212">
        <v>28.67</v>
      </c>
    </row>
    <row r="5088" spans="1:5" ht="14.25">
      <c r="A5088" s="37">
        <v>37992</v>
      </c>
      <c r="B5088" s="37" t="s">
        <v>25705</v>
      </c>
      <c r="C5088" s="37" t="s">
        <v>2348</v>
      </c>
      <c r="D5088" s="37" t="s">
        <v>2349</v>
      </c>
      <c r="E5088" s="212">
        <v>43.79</v>
      </c>
    </row>
    <row r="5089" spans="1:5" ht="14.25">
      <c r="A5089" s="37">
        <v>37993</v>
      </c>
      <c r="B5089" s="37" t="s">
        <v>25706</v>
      </c>
      <c r="C5089" s="37" t="s">
        <v>2348</v>
      </c>
      <c r="D5089" s="37" t="s">
        <v>2349</v>
      </c>
      <c r="E5089" s="212">
        <v>65</v>
      </c>
    </row>
    <row r="5090" spans="1:5" ht="14.25">
      <c r="A5090" s="37">
        <v>37994</v>
      </c>
      <c r="B5090" s="37" t="s">
        <v>25707</v>
      </c>
      <c r="C5090" s="37" t="s">
        <v>2348</v>
      </c>
      <c r="D5090" s="37" t="s">
        <v>2349</v>
      </c>
      <c r="E5090" s="212">
        <v>156.19</v>
      </c>
    </row>
    <row r="5091" spans="1:5" ht="14.25">
      <c r="A5091" s="37">
        <v>37995</v>
      </c>
      <c r="B5091" s="37" t="s">
        <v>25708</v>
      </c>
      <c r="C5091" s="37" t="s">
        <v>2348</v>
      </c>
      <c r="D5091" s="37" t="s">
        <v>2349</v>
      </c>
      <c r="E5091" s="212">
        <v>226.69</v>
      </c>
    </row>
    <row r="5092" spans="1:5" ht="14.25">
      <c r="A5092" s="37">
        <v>37996</v>
      </c>
      <c r="B5092" s="37" t="s">
        <v>25709</v>
      </c>
      <c r="C5092" s="37" t="s">
        <v>2348</v>
      </c>
      <c r="D5092" s="37" t="s">
        <v>2349</v>
      </c>
      <c r="E5092" s="212">
        <v>334.25</v>
      </c>
    </row>
    <row r="5093" spans="1:5" ht="14.25">
      <c r="A5093" s="37">
        <v>13883</v>
      </c>
      <c r="B5093" s="37" t="s">
        <v>25710</v>
      </c>
      <c r="C5093" s="37" t="s">
        <v>2348</v>
      </c>
      <c r="D5093" s="37" t="s">
        <v>2351</v>
      </c>
      <c r="E5093" s="213">
        <v>137267.59</v>
      </c>
    </row>
    <row r="5094" spans="1:5" ht="14.25">
      <c r="A5094" s="37">
        <v>38604</v>
      </c>
      <c r="B5094" s="37" t="s">
        <v>25711</v>
      </c>
      <c r="C5094" s="37" t="s">
        <v>2348</v>
      </c>
      <c r="D5094" s="37" t="s">
        <v>2351</v>
      </c>
      <c r="E5094" s="213">
        <v>170964.97</v>
      </c>
    </row>
    <row r="5095" spans="1:5" ht="14.25">
      <c r="A5095" s="37">
        <v>10601</v>
      </c>
      <c r="B5095" s="37" t="s">
        <v>25712</v>
      </c>
      <c r="C5095" s="37" t="s">
        <v>2348</v>
      </c>
      <c r="D5095" s="37" t="s">
        <v>2351</v>
      </c>
      <c r="E5095" s="213">
        <v>3325609.68</v>
      </c>
    </row>
    <row r="5096" spans="1:5" ht="14.25">
      <c r="A5096" s="37">
        <v>44469</v>
      </c>
      <c r="B5096" s="37" t="s">
        <v>28163</v>
      </c>
      <c r="C5096" s="37" t="s">
        <v>2348</v>
      </c>
      <c r="D5096" s="37" t="s">
        <v>2351</v>
      </c>
      <c r="E5096" s="213">
        <v>8756212.9299999997</v>
      </c>
    </row>
    <row r="5097" spans="1:5" ht="14.25">
      <c r="A5097" s="37">
        <v>13894</v>
      </c>
      <c r="B5097" s="37" t="s">
        <v>25713</v>
      </c>
      <c r="C5097" s="37" t="s">
        <v>2348</v>
      </c>
      <c r="D5097" s="37" t="s">
        <v>2351</v>
      </c>
      <c r="E5097" s="213">
        <v>392649.25</v>
      </c>
    </row>
    <row r="5098" spans="1:5" ht="14.25">
      <c r="A5098" s="37">
        <v>13895</v>
      </c>
      <c r="B5098" s="37" t="s">
        <v>25714</v>
      </c>
      <c r="C5098" s="37" t="s">
        <v>2348</v>
      </c>
      <c r="D5098" s="37" t="s">
        <v>2351</v>
      </c>
      <c r="E5098" s="213">
        <v>527982.35</v>
      </c>
    </row>
    <row r="5099" spans="1:5" ht="14.25">
      <c r="A5099" s="37">
        <v>13892</v>
      </c>
      <c r="B5099" s="37" t="s">
        <v>25715</v>
      </c>
      <c r="C5099" s="37" t="s">
        <v>2348</v>
      </c>
      <c r="D5099" s="37" t="s">
        <v>2351</v>
      </c>
      <c r="E5099" s="213">
        <v>647029.46</v>
      </c>
    </row>
    <row r="5100" spans="1:5" ht="14.25">
      <c r="A5100" s="37">
        <v>9914</v>
      </c>
      <c r="B5100" s="37" t="s">
        <v>25716</v>
      </c>
      <c r="C5100" s="37" t="s">
        <v>2348</v>
      </c>
      <c r="D5100" s="37" t="s">
        <v>2351</v>
      </c>
      <c r="E5100" s="213">
        <v>700000</v>
      </c>
    </row>
    <row r="5101" spans="1:5" ht="14.25">
      <c r="A5101" s="37">
        <v>36485</v>
      </c>
      <c r="B5101" s="37" t="s">
        <v>25717</v>
      </c>
      <c r="C5101" s="37" t="s">
        <v>2348</v>
      </c>
      <c r="D5101" s="37" t="s">
        <v>2351</v>
      </c>
      <c r="E5101" s="213">
        <v>624039.89</v>
      </c>
    </row>
    <row r="5102" spans="1:5" ht="14.25">
      <c r="A5102" s="37">
        <v>9912</v>
      </c>
      <c r="B5102" s="37" t="s">
        <v>25718</v>
      </c>
      <c r="C5102" s="37" t="s">
        <v>2348</v>
      </c>
      <c r="D5102" s="37" t="s">
        <v>2351</v>
      </c>
      <c r="E5102" s="213">
        <v>2707421</v>
      </c>
    </row>
    <row r="5103" spans="1:5" ht="14.25">
      <c r="A5103" s="37">
        <v>9921</v>
      </c>
      <c r="B5103" s="37" t="s">
        <v>25719</v>
      </c>
      <c r="C5103" s="37" t="s">
        <v>2348</v>
      </c>
      <c r="D5103" s="37" t="s">
        <v>2351</v>
      </c>
      <c r="E5103" s="213">
        <v>1396615.81</v>
      </c>
    </row>
    <row r="5104" spans="1:5" ht="14.25">
      <c r="A5104" s="37">
        <v>21112</v>
      </c>
      <c r="B5104" s="37" t="s">
        <v>25720</v>
      </c>
      <c r="C5104" s="37" t="s">
        <v>2348</v>
      </c>
      <c r="D5104" s="37" t="s">
        <v>2349</v>
      </c>
      <c r="E5104" s="212">
        <v>187.28</v>
      </c>
    </row>
    <row r="5105" spans="1:5" ht="14.25">
      <c r="A5105" s="37">
        <v>10228</v>
      </c>
      <c r="B5105" s="37" t="s">
        <v>25721</v>
      </c>
      <c r="C5105" s="37" t="s">
        <v>2348</v>
      </c>
      <c r="D5105" s="37" t="s">
        <v>2353</v>
      </c>
      <c r="E5105" s="212">
        <v>217.57</v>
      </c>
    </row>
    <row r="5106" spans="1:5" ht="14.25">
      <c r="A5106" s="37">
        <v>11781</v>
      </c>
      <c r="B5106" s="37" t="s">
        <v>25722</v>
      </c>
      <c r="C5106" s="37" t="s">
        <v>2348</v>
      </c>
      <c r="D5106" s="37" t="s">
        <v>2349</v>
      </c>
      <c r="E5106" s="212">
        <v>176.26</v>
      </c>
    </row>
    <row r="5107" spans="1:5" ht="14.25">
      <c r="A5107" s="37">
        <v>37588</v>
      </c>
      <c r="B5107" s="37" t="s">
        <v>28164</v>
      </c>
      <c r="C5107" s="37" t="s">
        <v>2348</v>
      </c>
      <c r="D5107" s="37" t="s">
        <v>2349</v>
      </c>
      <c r="E5107" s="212">
        <v>53.41</v>
      </c>
    </row>
    <row r="5108" spans="1:5" ht="14.25">
      <c r="A5108" s="37">
        <v>11746</v>
      </c>
      <c r="B5108" s="37" t="s">
        <v>25723</v>
      </c>
      <c r="C5108" s="37" t="s">
        <v>2348</v>
      </c>
      <c r="D5108" s="37" t="s">
        <v>2349</v>
      </c>
      <c r="E5108" s="212">
        <v>80.790000000000006</v>
      </c>
    </row>
    <row r="5109" spans="1:5" ht="14.25">
      <c r="A5109" s="37">
        <v>11751</v>
      </c>
      <c r="B5109" s="37" t="s">
        <v>25724</v>
      </c>
      <c r="C5109" s="37" t="s">
        <v>2348</v>
      </c>
      <c r="D5109" s="37" t="s">
        <v>2349</v>
      </c>
      <c r="E5109" s="212">
        <v>145.1</v>
      </c>
    </row>
    <row r="5110" spans="1:5" ht="14.25">
      <c r="A5110" s="37">
        <v>11750</v>
      </c>
      <c r="B5110" s="37" t="s">
        <v>25725</v>
      </c>
      <c r="C5110" s="37" t="s">
        <v>2348</v>
      </c>
      <c r="D5110" s="37" t="s">
        <v>2349</v>
      </c>
      <c r="E5110" s="212">
        <v>120.42</v>
      </c>
    </row>
    <row r="5111" spans="1:5" ht="14.25">
      <c r="A5111" s="37">
        <v>11748</v>
      </c>
      <c r="B5111" s="37" t="s">
        <v>25726</v>
      </c>
      <c r="C5111" s="37" t="s">
        <v>2348</v>
      </c>
      <c r="D5111" s="37" t="s">
        <v>2349</v>
      </c>
      <c r="E5111" s="212">
        <v>51.84</v>
      </c>
    </row>
    <row r="5112" spans="1:5" ht="14.25">
      <c r="A5112" s="37">
        <v>11747</v>
      </c>
      <c r="B5112" s="37" t="s">
        <v>25727</v>
      </c>
      <c r="C5112" s="37" t="s">
        <v>2348</v>
      </c>
      <c r="D5112" s="37" t="s">
        <v>2349</v>
      </c>
      <c r="E5112" s="212">
        <v>223.75</v>
      </c>
    </row>
    <row r="5113" spans="1:5" ht="14.25">
      <c r="A5113" s="37">
        <v>11749</v>
      </c>
      <c r="B5113" s="37" t="s">
        <v>25728</v>
      </c>
      <c r="C5113" s="37" t="s">
        <v>2348</v>
      </c>
      <c r="D5113" s="37" t="s">
        <v>2349</v>
      </c>
      <c r="E5113" s="212">
        <v>59.84</v>
      </c>
    </row>
    <row r="5114" spans="1:5" ht="14.25">
      <c r="A5114" s="37">
        <v>10236</v>
      </c>
      <c r="B5114" s="37" t="s">
        <v>25729</v>
      </c>
      <c r="C5114" s="37" t="s">
        <v>2348</v>
      </c>
      <c r="D5114" s="37" t="s">
        <v>2349</v>
      </c>
      <c r="E5114" s="212">
        <v>93.66</v>
      </c>
    </row>
    <row r="5115" spans="1:5" ht="14.25">
      <c r="A5115" s="37">
        <v>10233</v>
      </c>
      <c r="B5115" s="37" t="s">
        <v>25730</v>
      </c>
      <c r="C5115" s="37" t="s">
        <v>2348</v>
      </c>
      <c r="D5115" s="37" t="s">
        <v>2349</v>
      </c>
      <c r="E5115" s="212">
        <v>87.76</v>
      </c>
    </row>
    <row r="5116" spans="1:5" ht="14.25">
      <c r="A5116" s="37">
        <v>10234</v>
      </c>
      <c r="B5116" s="37" t="s">
        <v>25731</v>
      </c>
      <c r="C5116" s="37" t="s">
        <v>2348</v>
      </c>
      <c r="D5116" s="37" t="s">
        <v>2349</v>
      </c>
      <c r="E5116" s="212">
        <v>55.28</v>
      </c>
    </row>
    <row r="5117" spans="1:5" ht="14.25">
      <c r="A5117" s="37">
        <v>10231</v>
      </c>
      <c r="B5117" s="37" t="s">
        <v>25732</v>
      </c>
      <c r="C5117" s="37" t="s">
        <v>2348</v>
      </c>
      <c r="D5117" s="37" t="s">
        <v>2349</v>
      </c>
      <c r="E5117" s="212">
        <v>253.53</v>
      </c>
    </row>
    <row r="5118" spans="1:5" ht="14.25">
      <c r="A5118" s="37">
        <v>10232</v>
      </c>
      <c r="B5118" s="37" t="s">
        <v>25733</v>
      </c>
      <c r="C5118" s="37" t="s">
        <v>2348</v>
      </c>
      <c r="D5118" s="37" t="s">
        <v>2349</v>
      </c>
      <c r="E5118" s="212">
        <v>141.87</v>
      </c>
    </row>
    <row r="5119" spans="1:5" ht="14.25">
      <c r="A5119" s="37">
        <v>10229</v>
      </c>
      <c r="B5119" s="37" t="s">
        <v>25734</v>
      </c>
      <c r="C5119" s="37" t="s">
        <v>2348</v>
      </c>
      <c r="D5119" s="37" t="s">
        <v>2353</v>
      </c>
      <c r="E5119" s="212">
        <v>50</v>
      </c>
    </row>
    <row r="5120" spans="1:5" ht="14.25">
      <c r="A5120" s="37">
        <v>10235</v>
      </c>
      <c r="B5120" s="37" t="s">
        <v>25735</v>
      </c>
      <c r="C5120" s="37" t="s">
        <v>2348</v>
      </c>
      <c r="D5120" s="37" t="s">
        <v>2349</v>
      </c>
      <c r="E5120" s="212">
        <v>347.56</v>
      </c>
    </row>
    <row r="5121" spans="1:5" ht="14.25">
      <c r="A5121" s="37">
        <v>10230</v>
      </c>
      <c r="B5121" s="37" t="s">
        <v>25736</v>
      </c>
      <c r="C5121" s="37" t="s">
        <v>2348</v>
      </c>
      <c r="D5121" s="37" t="s">
        <v>2349</v>
      </c>
      <c r="E5121" s="212">
        <v>611.66999999999996</v>
      </c>
    </row>
    <row r="5122" spans="1:5" ht="14.25">
      <c r="A5122" s="37">
        <v>10409</v>
      </c>
      <c r="B5122" s="37" t="s">
        <v>25737</v>
      </c>
      <c r="C5122" s="37" t="s">
        <v>2348</v>
      </c>
      <c r="D5122" s="37" t="s">
        <v>2349</v>
      </c>
      <c r="E5122" s="212">
        <v>181.72</v>
      </c>
    </row>
    <row r="5123" spans="1:5" ht="14.25">
      <c r="A5123" s="37">
        <v>10411</v>
      </c>
      <c r="B5123" s="37" t="s">
        <v>25738</v>
      </c>
      <c r="C5123" s="37" t="s">
        <v>2348</v>
      </c>
      <c r="D5123" s="37" t="s">
        <v>2349</v>
      </c>
      <c r="E5123" s="212">
        <v>162.6</v>
      </c>
    </row>
    <row r="5124" spans="1:5" ht="14.25">
      <c r="A5124" s="37">
        <v>10404</v>
      </c>
      <c r="B5124" s="37" t="s">
        <v>25739</v>
      </c>
      <c r="C5124" s="37" t="s">
        <v>2348</v>
      </c>
      <c r="D5124" s="37" t="s">
        <v>2349</v>
      </c>
      <c r="E5124" s="212">
        <v>65.94</v>
      </c>
    </row>
    <row r="5125" spans="1:5" ht="14.25">
      <c r="A5125" s="37">
        <v>10410</v>
      </c>
      <c r="B5125" s="37" t="s">
        <v>25740</v>
      </c>
      <c r="C5125" s="37" t="s">
        <v>2348</v>
      </c>
      <c r="D5125" s="37" t="s">
        <v>2349</v>
      </c>
      <c r="E5125" s="212">
        <v>108.62</v>
      </c>
    </row>
    <row r="5126" spans="1:5" ht="14.25">
      <c r="A5126" s="37">
        <v>10405</v>
      </c>
      <c r="B5126" s="37" t="s">
        <v>25741</v>
      </c>
      <c r="C5126" s="37" t="s">
        <v>2348</v>
      </c>
      <c r="D5126" s="37" t="s">
        <v>2349</v>
      </c>
      <c r="E5126" s="212">
        <v>364.08</v>
      </c>
    </row>
    <row r="5127" spans="1:5" ht="14.25">
      <c r="A5127" s="37">
        <v>10408</v>
      </c>
      <c r="B5127" s="37" t="s">
        <v>25742</v>
      </c>
      <c r="C5127" s="37" t="s">
        <v>2348</v>
      </c>
      <c r="D5127" s="37" t="s">
        <v>2349</v>
      </c>
      <c r="E5127" s="212">
        <v>254.59</v>
      </c>
    </row>
    <row r="5128" spans="1:5" ht="14.25">
      <c r="A5128" s="37">
        <v>10412</v>
      </c>
      <c r="B5128" s="37" t="s">
        <v>25743</v>
      </c>
      <c r="C5128" s="37" t="s">
        <v>2348</v>
      </c>
      <c r="D5128" s="37" t="s">
        <v>2349</v>
      </c>
      <c r="E5128" s="212">
        <v>79.91</v>
      </c>
    </row>
    <row r="5129" spans="1:5" ht="14.25">
      <c r="A5129" s="37">
        <v>10406</v>
      </c>
      <c r="B5129" s="37" t="s">
        <v>25744</v>
      </c>
      <c r="C5129" s="37" t="s">
        <v>2348</v>
      </c>
      <c r="D5129" s="37" t="s">
        <v>2349</v>
      </c>
      <c r="E5129" s="212">
        <v>502.86</v>
      </c>
    </row>
    <row r="5130" spans="1:5" ht="14.25">
      <c r="A5130" s="37">
        <v>10407</v>
      </c>
      <c r="B5130" s="37" t="s">
        <v>25745</v>
      </c>
      <c r="C5130" s="37" t="s">
        <v>2348</v>
      </c>
      <c r="D5130" s="37" t="s">
        <v>2349</v>
      </c>
      <c r="E5130" s="212">
        <v>779.95</v>
      </c>
    </row>
    <row r="5131" spans="1:5" ht="14.25">
      <c r="A5131" s="37">
        <v>10416</v>
      </c>
      <c r="B5131" s="37" t="s">
        <v>25746</v>
      </c>
      <c r="C5131" s="37" t="s">
        <v>2348</v>
      </c>
      <c r="D5131" s="37" t="s">
        <v>2349</v>
      </c>
      <c r="E5131" s="212">
        <v>96.74</v>
      </c>
    </row>
    <row r="5132" spans="1:5" ht="14.25">
      <c r="A5132" s="37">
        <v>10419</v>
      </c>
      <c r="B5132" s="37" t="s">
        <v>25747</v>
      </c>
      <c r="C5132" s="37" t="s">
        <v>2348</v>
      </c>
      <c r="D5132" s="37" t="s">
        <v>2349</v>
      </c>
      <c r="E5132" s="212">
        <v>83.97</v>
      </c>
    </row>
    <row r="5133" spans="1:5" ht="14.25">
      <c r="A5133" s="37">
        <v>21092</v>
      </c>
      <c r="B5133" s="37" t="s">
        <v>25748</v>
      </c>
      <c r="C5133" s="37" t="s">
        <v>2348</v>
      </c>
      <c r="D5133" s="37" t="s">
        <v>2349</v>
      </c>
      <c r="E5133" s="212">
        <v>48.01</v>
      </c>
    </row>
    <row r="5134" spans="1:5" ht="14.25">
      <c r="A5134" s="37">
        <v>10418</v>
      </c>
      <c r="B5134" s="37" t="s">
        <v>25749</v>
      </c>
      <c r="C5134" s="37" t="s">
        <v>2348</v>
      </c>
      <c r="D5134" s="37" t="s">
        <v>2349</v>
      </c>
      <c r="E5134" s="212">
        <v>55.97</v>
      </c>
    </row>
    <row r="5135" spans="1:5" ht="14.25">
      <c r="A5135" s="37">
        <v>12657</v>
      </c>
      <c r="B5135" s="37" t="s">
        <v>25750</v>
      </c>
      <c r="C5135" s="37" t="s">
        <v>2348</v>
      </c>
      <c r="D5135" s="37" t="s">
        <v>2349</v>
      </c>
      <c r="E5135" s="212">
        <v>225.87</v>
      </c>
    </row>
    <row r="5136" spans="1:5" ht="14.25">
      <c r="A5136" s="37">
        <v>10417</v>
      </c>
      <c r="B5136" s="37" t="s">
        <v>25751</v>
      </c>
      <c r="C5136" s="37" t="s">
        <v>2348</v>
      </c>
      <c r="D5136" s="37" t="s">
        <v>2349</v>
      </c>
      <c r="E5136" s="212">
        <v>140.96</v>
      </c>
    </row>
    <row r="5137" spans="1:5" ht="14.25">
      <c r="A5137" s="37">
        <v>10413</v>
      </c>
      <c r="B5137" s="37" t="s">
        <v>25752</v>
      </c>
      <c r="C5137" s="37" t="s">
        <v>2348</v>
      </c>
      <c r="D5137" s="37" t="s">
        <v>2349</v>
      </c>
      <c r="E5137" s="212">
        <v>51.23</v>
      </c>
    </row>
    <row r="5138" spans="1:5" ht="14.25">
      <c r="A5138" s="37">
        <v>10414</v>
      </c>
      <c r="B5138" s="37" t="s">
        <v>25753</v>
      </c>
      <c r="C5138" s="37" t="s">
        <v>2348</v>
      </c>
      <c r="D5138" s="37" t="s">
        <v>2349</v>
      </c>
      <c r="E5138" s="212">
        <v>308.45</v>
      </c>
    </row>
    <row r="5139" spans="1:5" ht="14.25">
      <c r="A5139" s="37">
        <v>10415</v>
      </c>
      <c r="B5139" s="37" t="s">
        <v>25754</v>
      </c>
      <c r="C5139" s="37" t="s">
        <v>2348</v>
      </c>
      <c r="D5139" s="37" t="s">
        <v>2349</v>
      </c>
      <c r="E5139" s="212">
        <v>535.33000000000004</v>
      </c>
    </row>
    <row r="5140" spans="1:5" ht="14.25">
      <c r="A5140" s="37">
        <v>38643</v>
      </c>
      <c r="B5140" s="37" t="s">
        <v>25755</v>
      </c>
      <c r="C5140" s="37" t="s">
        <v>2348</v>
      </c>
      <c r="D5140" s="37" t="s">
        <v>2349</v>
      </c>
      <c r="E5140" s="212">
        <v>42.44</v>
      </c>
    </row>
    <row r="5141" spans="1:5" ht="14.25">
      <c r="A5141" s="37">
        <v>6157</v>
      </c>
      <c r="B5141" s="37" t="s">
        <v>25756</v>
      </c>
      <c r="C5141" s="37" t="s">
        <v>2348</v>
      </c>
      <c r="D5141" s="37" t="s">
        <v>2349</v>
      </c>
      <c r="E5141" s="212">
        <v>57.98</v>
      </c>
    </row>
    <row r="5142" spans="1:5" ht="14.25">
      <c r="A5142" s="37">
        <v>6152</v>
      </c>
      <c r="B5142" s="37" t="s">
        <v>25757</v>
      </c>
      <c r="C5142" s="37" t="s">
        <v>2348</v>
      </c>
      <c r="D5142" s="37" t="s">
        <v>2349</v>
      </c>
      <c r="E5142" s="212">
        <v>3.15</v>
      </c>
    </row>
    <row r="5143" spans="1:5" ht="14.25">
      <c r="A5143" s="37">
        <v>6158</v>
      </c>
      <c r="B5143" s="37" t="s">
        <v>25758</v>
      </c>
      <c r="C5143" s="37" t="s">
        <v>2348</v>
      </c>
      <c r="D5143" s="37" t="s">
        <v>2349</v>
      </c>
      <c r="E5143" s="212">
        <v>3.81</v>
      </c>
    </row>
    <row r="5144" spans="1:5" ht="14.25">
      <c r="A5144" s="37">
        <v>6153</v>
      </c>
      <c r="B5144" s="37" t="s">
        <v>25759</v>
      </c>
      <c r="C5144" s="37" t="s">
        <v>2348</v>
      </c>
      <c r="D5144" s="37" t="s">
        <v>2349</v>
      </c>
      <c r="E5144" s="212">
        <v>2.96</v>
      </c>
    </row>
    <row r="5145" spans="1:5" ht="14.25">
      <c r="A5145" s="37">
        <v>6156</v>
      </c>
      <c r="B5145" s="37" t="s">
        <v>25760</v>
      </c>
      <c r="C5145" s="37" t="s">
        <v>2348</v>
      </c>
      <c r="D5145" s="37" t="s">
        <v>2349</v>
      </c>
      <c r="E5145" s="212">
        <v>3.75</v>
      </c>
    </row>
    <row r="5146" spans="1:5" ht="14.25">
      <c r="A5146" s="37">
        <v>6154</v>
      </c>
      <c r="B5146" s="37" t="s">
        <v>25761</v>
      </c>
      <c r="C5146" s="37" t="s">
        <v>2348</v>
      </c>
      <c r="D5146" s="37" t="s">
        <v>2349</v>
      </c>
      <c r="E5146" s="212">
        <v>7.06</v>
      </c>
    </row>
    <row r="5147" spans="1:5" ht="14.25">
      <c r="A5147" s="37">
        <v>6155</v>
      </c>
      <c r="B5147" s="37" t="s">
        <v>25762</v>
      </c>
      <c r="C5147" s="37" t="s">
        <v>2348</v>
      </c>
      <c r="D5147" s="37" t="s">
        <v>2349</v>
      </c>
      <c r="E5147" s="212">
        <v>14.62</v>
      </c>
    </row>
    <row r="5148" spans="1:5" ht="14.25">
      <c r="A5148" s="37">
        <v>43595</v>
      </c>
      <c r="B5148" s="37" t="s">
        <v>25763</v>
      </c>
      <c r="C5148" s="37" t="s">
        <v>2348</v>
      </c>
      <c r="D5148" s="37" t="s">
        <v>2349</v>
      </c>
      <c r="E5148" s="212">
        <v>16.66</v>
      </c>
    </row>
    <row r="5149" spans="1:5" ht="14.25">
      <c r="A5149" s="37">
        <v>43596</v>
      </c>
      <c r="B5149" s="37" t="s">
        <v>25764</v>
      </c>
      <c r="C5149" s="37" t="s">
        <v>2348</v>
      </c>
      <c r="D5149" s="37" t="s">
        <v>2349</v>
      </c>
      <c r="E5149" s="212">
        <v>19.25</v>
      </c>
    </row>
    <row r="5150" spans="1:5" ht="14.25">
      <c r="A5150" s="37">
        <v>38108</v>
      </c>
      <c r="B5150" s="37" t="s">
        <v>25765</v>
      </c>
      <c r="C5150" s="37" t="s">
        <v>2348</v>
      </c>
      <c r="D5150" s="37" t="s">
        <v>2349</v>
      </c>
      <c r="E5150" s="212">
        <v>44.27</v>
      </c>
    </row>
    <row r="5151" spans="1:5" ht="14.25">
      <c r="A5151" s="37">
        <v>38087</v>
      </c>
      <c r="B5151" s="37" t="s">
        <v>25766</v>
      </c>
      <c r="C5151" s="37" t="s">
        <v>2348</v>
      </c>
      <c r="D5151" s="37" t="s">
        <v>2349</v>
      </c>
      <c r="E5151" s="212">
        <v>56.94</v>
      </c>
    </row>
    <row r="5152" spans="1:5" ht="14.25">
      <c r="A5152" s="37">
        <v>38109</v>
      </c>
      <c r="B5152" s="37" t="s">
        <v>25767</v>
      </c>
      <c r="C5152" s="37" t="s">
        <v>2348</v>
      </c>
      <c r="D5152" s="37" t="s">
        <v>2349</v>
      </c>
      <c r="E5152" s="212">
        <v>70.75</v>
      </c>
    </row>
    <row r="5153" spans="1:5" ht="14.25">
      <c r="A5153" s="37">
        <v>38088</v>
      </c>
      <c r="B5153" s="37" t="s">
        <v>25768</v>
      </c>
      <c r="C5153" s="37" t="s">
        <v>2348</v>
      </c>
      <c r="D5153" s="37" t="s">
        <v>2349</v>
      </c>
      <c r="E5153" s="212">
        <v>74.39</v>
      </c>
    </row>
    <row r="5154" spans="1:5" ht="14.25">
      <c r="A5154" s="37">
        <v>38110</v>
      </c>
      <c r="B5154" s="37" t="s">
        <v>25769</v>
      </c>
      <c r="C5154" s="37" t="s">
        <v>2348</v>
      </c>
      <c r="D5154" s="37" t="s">
        <v>2349</v>
      </c>
      <c r="E5154" s="212">
        <v>27.21</v>
      </c>
    </row>
    <row r="5155" spans="1:5" ht="14.25">
      <c r="A5155" s="37">
        <v>38089</v>
      </c>
      <c r="B5155" s="37" t="s">
        <v>25770</v>
      </c>
      <c r="C5155" s="37" t="s">
        <v>2348</v>
      </c>
      <c r="D5155" s="37" t="s">
        <v>2349</v>
      </c>
      <c r="E5155" s="212">
        <v>47.42</v>
      </c>
    </row>
    <row r="5156" spans="1:5" ht="14.25">
      <c r="A5156" s="37">
        <v>38111</v>
      </c>
      <c r="B5156" s="37" t="s">
        <v>25771</v>
      </c>
      <c r="C5156" s="37" t="s">
        <v>2348</v>
      </c>
      <c r="D5156" s="37" t="s">
        <v>2349</v>
      </c>
      <c r="E5156" s="212">
        <v>30.43</v>
      </c>
    </row>
    <row r="5157" spans="1:5" ht="14.25">
      <c r="A5157" s="37">
        <v>38090</v>
      </c>
      <c r="B5157" s="37" t="s">
        <v>25772</v>
      </c>
      <c r="C5157" s="37" t="s">
        <v>2348</v>
      </c>
      <c r="D5157" s="37" t="s">
        <v>2349</v>
      </c>
      <c r="E5157" s="212">
        <v>49.01</v>
      </c>
    </row>
    <row r="5158" spans="1:5" ht="14.25">
      <c r="A5158" s="37">
        <v>13726</v>
      </c>
      <c r="B5158" s="37" t="s">
        <v>25773</v>
      </c>
      <c r="C5158" s="37" t="s">
        <v>2348</v>
      </c>
      <c r="D5158" s="37" t="s">
        <v>2351</v>
      </c>
      <c r="E5158" s="213">
        <v>83826.52</v>
      </c>
    </row>
    <row r="5159" spans="1:5" ht="14.25">
      <c r="A5159" s="37">
        <v>38400</v>
      </c>
      <c r="B5159" s="37" t="s">
        <v>25774</v>
      </c>
      <c r="C5159" s="37" t="s">
        <v>2348</v>
      </c>
      <c r="D5159" s="37" t="s">
        <v>2349</v>
      </c>
      <c r="E5159" s="212">
        <v>12.17</v>
      </c>
    </row>
    <row r="5160" spans="1:5" ht="14.25">
      <c r="A5160" s="37">
        <v>12627</v>
      </c>
      <c r="B5160" s="37" t="s">
        <v>25775</v>
      </c>
      <c r="C5160" s="37" t="s">
        <v>2348</v>
      </c>
      <c r="D5160" s="37" t="s">
        <v>2351</v>
      </c>
      <c r="E5160" s="212">
        <v>0.54</v>
      </c>
    </row>
    <row r="5161" spans="1:5" ht="14.25">
      <c r="A5161" s="37">
        <v>39996</v>
      </c>
      <c r="B5161" s="37" t="s">
        <v>25776</v>
      </c>
      <c r="C5161" s="37" t="s">
        <v>2355</v>
      </c>
      <c r="D5161" s="37" t="s">
        <v>2349</v>
      </c>
      <c r="E5161" s="212">
        <v>4.51</v>
      </c>
    </row>
    <row r="5162" spans="1:5" ht="14.25">
      <c r="A5162" s="37">
        <v>10478</v>
      </c>
      <c r="B5162" s="37" t="s">
        <v>28165</v>
      </c>
      <c r="C5162" s="37" t="s">
        <v>2363</v>
      </c>
      <c r="D5162" s="37" t="s">
        <v>2353</v>
      </c>
      <c r="E5162" s="212">
        <v>30.77</v>
      </c>
    </row>
    <row r="5163" spans="1:5" ht="14.25">
      <c r="A5163" s="37">
        <v>10481</v>
      </c>
      <c r="B5163" s="37" t="s">
        <v>28166</v>
      </c>
      <c r="C5163" s="37" t="s">
        <v>2363</v>
      </c>
      <c r="D5163" s="37" t="s">
        <v>2349</v>
      </c>
      <c r="E5163" s="212">
        <v>27.36</v>
      </c>
    </row>
    <row r="5164" spans="1:5" ht="14.25">
      <c r="A5164" s="37">
        <v>10475</v>
      </c>
      <c r="B5164" s="37" t="s">
        <v>28167</v>
      </c>
      <c r="C5164" s="37" t="s">
        <v>2363</v>
      </c>
      <c r="D5164" s="37" t="s">
        <v>2349</v>
      </c>
      <c r="E5164" s="212">
        <v>26.48</v>
      </c>
    </row>
    <row r="5165" spans="1:5" ht="14.25">
      <c r="A5165" s="37">
        <v>4031</v>
      </c>
      <c r="B5165" s="37" t="s">
        <v>25777</v>
      </c>
      <c r="C5165" s="37" t="s">
        <v>28761</v>
      </c>
      <c r="D5165" s="37" t="s">
        <v>2349</v>
      </c>
      <c r="E5165" s="212">
        <v>38.58</v>
      </c>
    </row>
    <row r="5166" spans="1:5" ht="14.25">
      <c r="A5166" s="37">
        <v>4030</v>
      </c>
      <c r="B5166" s="37" t="s">
        <v>25778</v>
      </c>
      <c r="C5166" s="37" t="s">
        <v>28761</v>
      </c>
      <c r="D5166" s="37" t="s">
        <v>2349</v>
      </c>
      <c r="E5166" s="212">
        <v>8.2100000000000009</v>
      </c>
    </row>
    <row r="5167" spans="1:5" ht="14.25">
      <c r="A5167" s="37">
        <v>39399</v>
      </c>
      <c r="B5167" s="37" t="s">
        <v>25779</v>
      </c>
      <c r="C5167" s="37" t="s">
        <v>2348</v>
      </c>
      <c r="D5167" s="37" t="s">
        <v>2351</v>
      </c>
      <c r="E5167" s="213">
        <v>1334.25</v>
      </c>
    </row>
    <row r="5168" spans="1:5" ht="14.25">
      <c r="A5168" s="37">
        <v>39400</v>
      </c>
      <c r="B5168" s="37" t="s">
        <v>25780</v>
      </c>
      <c r="C5168" s="37" t="s">
        <v>2348</v>
      </c>
      <c r="D5168" s="37" t="s">
        <v>2351</v>
      </c>
      <c r="E5168" s="213">
        <v>1450.27</v>
      </c>
    </row>
    <row r="5169" spans="1:5" ht="14.25">
      <c r="A5169" s="37">
        <v>39401</v>
      </c>
      <c r="B5169" s="37" t="s">
        <v>25781</v>
      </c>
      <c r="C5169" s="37" t="s">
        <v>2348</v>
      </c>
      <c r="D5169" s="37" t="s">
        <v>2351</v>
      </c>
      <c r="E5169" s="213">
        <v>1626.86</v>
      </c>
    </row>
    <row r="5170" spans="1:5" ht="14.25">
      <c r="A5170" s="37">
        <v>11652</v>
      </c>
      <c r="B5170" s="37" t="s">
        <v>25782</v>
      </c>
      <c r="C5170" s="37" t="s">
        <v>2348</v>
      </c>
      <c r="D5170" s="37" t="s">
        <v>2351</v>
      </c>
      <c r="E5170" s="213">
        <v>3500</v>
      </c>
    </row>
    <row r="5171" spans="1:5" ht="14.25">
      <c r="A5171" s="37">
        <v>13896</v>
      </c>
      <c r="B5171" s="37" t="s">
        <v>25783</v>
      </c>
      <c r="C5171" s="37" t="s">
        <v>2348</v>
      </c>
      <c r="D5171" s="37" t="s">
        <v>2351</v>
      </c>
      <c r="E5171" s="213">
        <v>3139.8</v>
      </c>
    </row>
    <row r="5172" spans="1:5" ht="14.25">
      <c r="A5172" s="37">
        <v>13475</v>
      </c>
      <c r="B5172" s="37" t="s">
        <v>25784</v>
      </c>
      <c r="C5172" s="37" t="s">
        <v>2348</v>
      </c>
      <c r="D5172" s="37" t="s">
        <v>2351</v>
      </c>
      <c r="E5172" s="213">
        <v>3824.66</v>
      </c>
    </row>
    <row r="5173" spans="1:5" ht="14.25">
      <c r="A5173" s="37">
        <v>44491</v>
      </c>
      <c r="B5173" s="37" t="s">
        <v>28168</v>
      </c>
      <c r="C5173" s="37" t="s">
        <v>2348</v>
      </c>
      <c r="D5173" s="37" t="s">
        <v>2351</v>
      </c>
      <c r="E5173" s="213">
        <v>5372494</v>
      </c>
    </row>
    <row r="5174" spans="1:5" ht="14.25">
      <c r="A5174" s="37">
        <v>44470</v>
      </c>
      <c r="B5174" s="37" t="s">
        <v>28169</v>
      </c>
      <c r="C5174" s="37" t="s">
        <v>2348</v>
      </c>
      <c r="D5174" s="37" t="s">
        <v>2351</v>
      </c>
      <c r="E5174" s="213">
        <v>2261757.62</v>
      </c>
    </row>
    <row r="5175" spans="1:5" ht="14.25">
      <c r="A5175" s="37">
        <v>13476</v>
      </c>
      <c r="B5175" s="37" t="s">
        <v>25785</v>
      </c>
      <c r="C5175" s="37" t="s">
        <v>2348</v>
      </c>
      <c r="D5175" s="37" t="s">
        <v>2351</v>
      </c>
      <c r="E5175" s="213">
        <v>2278147.33</v>
      </c>
    </row>
    <row r="5176" spans="1:5" ht="14.25">
      <c r="A5176" s="37">
        <v>10488</v>
      </c>
      <c r="B5176" s="37" t="s">
        <v>25786</v>
      </c>
      <c r="C5176" s="37" t="s">
        <v>2348</v>
      </c>
      <c r="D5176" s="37" t="s">
        <v>2351</v>
      </c>
      <c r="E5176" s="213">
        <v>2760000</v>
      </c>
    </row>
    <row r="5177" spans="1:5" ht="14.25">
      <c r="A5177" s="37">
        <v>13606</v>
      </c>
      <c r="B5177" s="37" t="s">
        <v>25787</v>
      </c>
      <c r="C5177" s="37" t="s">
        <v>2348</v>
      </c>
      <c r="D5177" s="37" t="s">
        <v>2351</v>
      </c>
      <c r="E5177" s="213">
        <v>2445320.5299999998</v>
      </c>
    </row>
    <row r="5178" spans="1:5" ht="14.25">
      <c r="A5178" s="37">
        <v>10489</v>
      </c>
      <c r="B5178" s="37" t="s">
        <v>25788</v>
      </c>
      <c r="C5178" s="37" t="s">
        <v>2352</v>
      </c>
      <c r="D5178" s="37" t="s">
        <v>2349</v>
      </c>
      <c r="E5178" s="212">
        <v>17.809999999999999</v>
      </c>
    </row>
    <row r="5179" spans="1:5" ht="14.25">
      <c r="A5179" s="37">
        <v>41073</v>
      </c>
      <c r="B5179" s="37" t="s">
        <v>25789</v>
      </c>
      <c r="C5179" s="37" t="s">
        <v>2369</v>
      </c>
      <c r="D5179" s="37" t="s">
        <v>2349</v>
      </c>
      <c r="E5179" s="213">
        <v>3133.69</v>
      </c>
    </row>
    <row r="5180" spans="1:5" ht="14.25">
      <c r="A5180" s="37">
        <v>34391</v>
      </c>
      <c r="B5180" s="37" t="s">
        <v>25790</v>
      </c>
      <c r="C5180" s="37" t="s">
        <v>28761</v>
      </c>
      <c r="D5180" s="37" t="s">
        <v>2349</v>
      </c>
      <c r="E5180" s="213">
        <v>1031.5999999999999</v>
      </c>
    </row>
    <row r="5181" spans="1:5" ht="14.25">
      <c r="A5181" s="37">
        <v>10496</v>
      </c>
      <c r="B5181" s="37" t="s">
        <v>25791</v>
      </c>
      <c r="C5181" s="37" t="s">
        <v>28761</v>
      </c>
      <c r="D5181" s="37" t="s">
        <v>2349</v>
      </c>
      <c r="E5181" s="212">
        <v>898</v>
      </c>
    </row>
    <row r="5182" spans="1:5" ht="14.25">
      <c r="A5182" s="37">
        <v>10497</v>
      </c>
      <c r="B5182" s="37" t="s">
        <v>25792</v>
      </c>
      <c r="C5182" s="37" t="s">
        <v>28761</v>
      </c>
      <c r="D5182" s="37" t="s">
        <v>2349</v>
      </c>
      <c r="E5182" s="213">
        <v>2334.79</v>
      </c>
    </row>
    <row r="5183" spans="1:5" ht="14.25">
      <c r="A5183" s="37">
        <v>10504</v>
      </c>
      <c r="B5183" s="37" t="s">
        <v>25793</v>
      </c>
      <c r="C5183" s="37" t="s">
        <v>28761</v>
      </c>
      <c r="D5183" s="37" t="s">
        <v>2349</v>
      </c>
      <c r="E5183" s="213">
        <v>2729.92</v>
      </c>
    </row>
    <row r="5184" spans="1:5" ht="14.25">
      <c r="A5184" s="37">
        <v>34390</v>
      </c>
      <c r="B5184" s="37" t="s">
        <v>25794</v>
      </c>
      <c r="C5184" s="37" t="s">
        <v>28761</v>
      </c>
      <c r="D5184" s="37" t="s">
        <v>2349</v>
      </c>
      <c r="E5184" s="212">
        <v>804.6</v>
      </c>
    </row>
    <row r="5185" spans="1:5" ht="14.25">
      <c r="A5185" s="37">
        <v>34389</v>
      </c>
      <c r="B5185" s="37" t="s">
        <v>25795</v>
      </c>
      <c r="C5185" s="37" t="s">
        <v>28761</v>
      </c>
      <c r="D5185" s="37" t="s">
        <v>2349</v>
      </c>
      <c r="E5185" s="212">
        <v>251.44</v>
      </c>
    </row>
    <row r="5186" spans="1:5" ht="14.25">
      <c r="A5186" s="37">
        <v>34388</v>
      </c>
      <c r="B5186" s="37" t="s">
        <v>25796</v>
      </c>
      <c r="C5186" s="37" t="s">
        <v>28761</v>
      </c>
      <c r="D5186" s="37" t="s">
        <v>2349</v>
      </c>
      <c r="E5186" s="212">
        <v>357.35</v>
      </c>
    </row>
    <row r="5187" spans="1:5" ht="14.25">
      <c r="A5187" s="37">
        <v>34387</v>
      </c>
      <c r="B5187" s="37" t="s">
        <v>25797</v>
      </c>
      <c r="C5187" s="37" t="s">
        <v>28761</v>
      </c>
      <c r="D5187" s="37" t="s">
        <v>2349</v>
      </c>
      <c r="E5187" s="212">
        <v>580.1</v>
      </c>
    </row>
    <row r="5188" spans="1:5" ht="14.25">
      <c r="A5188" s="37">
        <v>11188</v>
      </c>
      <c r="B5188" s="37" t="s">
        <v>25798</v>
      </c>
      <c r="C5188" s="37" t="s">
        <v>28761</v>
      </c>
      <c r="D5188" s="37" t="s">
        <v>2349</v>
      </c>
      <c r="E5188" s="212">
        <v>287.36</v>
      </c>
    </row>
    <row r="5189" spans="1:5" ht="14.25">
      <c r="A5189" s="37">
        <v>11189</v>
      </c>
      <c r="B5189" s="37" t="s">
        <v>25799</v>
      </c>
      <c r="C5189" s="37" t="s">
        <v>28761</v>
      </c>
      <c r="D5189" s="37" t="s">
        <v>2349</v>
      </c>
      <c r="E5189" s="212">
        <v>431.04</v>
      </c>
    </row>
    <row r="5190" spans="1:5" ht="14.25">
      <c r="A5190" s="37">
        <v>21107</v>
      </c>
      <c r="B5190" s="37" t="s">
        <v>25800</v>
      </c>
      <c r="C5190" s="37" t="s">
        <v>28761</v>
      </c>
      <c r="D5190" s="37" t="s">
        <v>2349</v>
      </c>
      <c r="E5190" s="212">
        <v>310.18</v>
      </c>
    </row>
    <row r="5191" spans="1:5" ht="14.25">
      <c r="A5191" s="37">
        <v>34386</v>
      </c>
      <c r="B5191" s="37" t="s">
        <v>25801</v>
      </c>
      <c r="C5191" s="37" t="s">
        <v>28761</v>
      </c>
      <c r="D5191" s="37" t="s">
        <v>2349</v>
      </c>
      <c r="E5191" s="212">
        <v>538.79</v>
      </c>
    </row>
    <row r="5192" spans="1:5" ht="14.25">
      <c r="A5192" s="37">
        <v>10490</v>
      </c>
      <c r="B5192" s="37" t="s">
        <v>25802</v>
      </c>
      <c r="C5192" s="37" t="s">
        <v>28761</v>
      </c>
      <c r="D5192" s="37" t="s">
        <v>2353</v>
      </c>
      <c r="E5192" s="212">
        <v>161.63999999999999</v>
      </c>
    </row>
    <row r="5193" spans="1:5" ht="14.25">
      <c r="A5193" s="37">
        <v>10492</v>
      </c>
      <c r="B5193" s="37" t="s">
        <v>25803</v>
      </c>
      <c r="C5193" s="37" t="s">
        <v>28761</v>
      </c>
      <c r="D5193" s="37" t="s">
        <v>2349</v>
      </c>
      <c r="E5193" s="212">
        <v>215.51</v>
      </c>
    </row>
    <row r="5194" spans="1:5" ht="14.25">
      <c r="A5194" s="37">
        <v>10493</v>
      </c>
      <c r="B5194" s="37" t="s">
        <v>25804</v>
      </c>
      <c r="C5194" s="37" t="s">
        <v>28761</v>
      </c>
      <c r="D5194" s="37" t="s">
        <v>2349</v>
      </c>
      <c r="E5194" s="212">
        <v>251.44</v>
      </c>
    </row>
    <row r="5195" spans="1:5" ht="14.25">
      <c r="A5195" s="37">
        <v>10491</v>
      </c>
      <c r="B5195" s="37" t="s">
        <v>25805</v>
      </c>
      <c r="C5195" s="37" t="s">
        <v>28761</v>
      </c>
      <c r="D5195" s="37" t="s">
        <v>2349</v>
      </c>
      <c r="E5195" s="212">
        <v>305.32</v>
      </c>
    </row>
    <row r="5196" spans="1:5" ht="14.25">
      <c r="A5196" s="37">
        <v>34385</v>
      </c>
      <c r="B5196" s="37" t="s">
        <v>25806</v>
      </c>
      <c r="C5196" s="37" t="s">
        <v>28761</v>
      </c>
      <c r="D5196" s="37" t="s">
        <v>2349</v>
      </c>
      <c r="E5196" s="212">
        <v>445.4</v>
      </c>
    </row>
    <row r="5197" spans="1:5" ht="14.25">
      <c r="A5197" s="37">
        <v>10499</v>
      </c>
      <c r="B5197" s="37" t="s">
        <v>25807</v>
      </c>
      <c r="C5197" s="37" t="s">
        <v>28761</v>
      </c>
      <c r="D5197" s="37" t="s">
        <v>2349</v>
      </c>
      <c r="E5197" s="212">
        <v>179.59</v>
      </c>
    </row>
    <row r="5198" spans="1:5" ht="14.25">
      <c r="A5198" s="37">
        <v>34384</v>
      </c>
      <c r="B5198" s="37" t="s">
        <v>25808</v>
      </c>
      <c r="C5198" s="37" t="s">
        <v>28761</v>
      </c>
      <c r="D5198" s="37" t="s">
        <v>2349</v>
      </c>
      <c r="E5198" s="212">
        <v>538.79</v>
      </c>
    </row>
    <row r="5199" spans="1:5" ht="14.25">
      <c r="A5199" s="37">
        <v>11185</v>
      </c>
      <c r="B5199" s="37" t="s">
        <v>25809</v>
      </c>
      <c r="C5199" s="37" t="s">
        <v>28761</v>
      </c>
      <c r="D5199" s="37" t="s">
        <v>2349</v>
      </c>
      <c r="E5199" s="212">
        <v>556.75</v>
      </c>
    </row>
    <row r="5200" spans="1:5" ht="14.25">
      <c r="A5200" s="37">
        <v>10507</v>
      </c>
      <c r="B5200" s="37" t="s">
        <v>25810</v>
      </c>
      <c r="C5200" s="37" t="s">
        <v>28761</v>
      </c>
      <c r="D5200" s="37" t="s">
        <v>2349</v>
      </c>
      <c r="E5200" s="212">
        <v>491.31</v>
      </c>
    </row>
    <row r="5201" spans="1:5" ht="14.25">
      <c r="A5201" s="37">
        <v>10505</v>
      </c>
      <c r="B5201" s="37" t="s">
        <v>25811</v>
      </c>
      <c r="C5201" s="37" t="s">
        <v>28761</v>
      </c>
      <c r="D5201" s="37" t="s">
        <v>2349</v>
      </c>
      <c r="E5201" s="212">
        <v>289.91000000000003</v>
      </c>
    </row>
    <row r="5202" spans="1:5" ht="14.25">
      <c r="A5202" s="37">
        <v>10506</v>
      </c>
      <c r="B5202" s="37" t="s">
        <v>25812</v>
      </c>
      <c r="C5202" s="37" t="s">
        <v>28761</v>
      </c>
      <c r="D5202" s="37" t="s">
        <v>2349</v>
      </c>
      <c r="E5202" s="212">
        <v>378.45</v>
      </c>
    </row>
    <row r="5203" spans="1:5" ht="14.25">
      <c r="A5203" s="37">
        <v>5031</v>
      </c>
      <c r="B5203" s="37" t="s">
        <v>25813</v>
      </c>
      <c r="C5203" s="37" t="s">
        <v>28761</v>
      </c>
      <c r="D5203" s="37" t="s">
        <v>2353</v>
      </c>
      <c r="E5203" s="212">
        <v>531.41</v>
      </c>
    </row>
    <row r="5204" spans="1:5" ht="14.25">
      <c r="A5204" s="37">
        <v>10502</v>
      </c>
      <c r="B5204" s="37" t="s">
        <v>25814</v>
      </c>
      <c r="C5204" s="37" t="s">
        <v>28761</v>
      </c>
      <c r="D5204" s="37" t="s">
        <v>2349</v>
      </c>
      <c r="E5204" s="212">
        <v>619.22</v>
      </c>
    </row>
    <row r="5205" spans="1:5" ht="14.25">
      <c r="A5205" s="37">
        <v>10501</v>
      </c>
      <c r="B5205" s="37" t="s">
        <v>25815</v>
      </c>
      <c r="C5205" s="37" t="s">
        <v>28761</v>
      </c>
      <c r="D5205" s="37" t="s">
        <v>2349</v>
      </c>
      <c r="E5205" s="212">
        <v>349.84</v>
      </c>
    </row>
    <row r="5206" spans="1:5" ht="14.25">
      <c r="A5206" s="37">
        <v>10503</v>
      </c>
      <c r="B5206" s="37" t="s">
        <v>25816</v>
      </c>
      <c r="C5206" s="37" t="s">
        <v>28761</v>
      </c>
      <c r="D5206" s="37" t="s">
        <v>2349</v>
      </c>
      <c r="E5206" s="212">
        <v>472.63</v>
      </c>
    </row>
    <row r="5207" spans="1:5" ht="14.25">
      <c r="A5207" s="37">
        <v>4500</v>
      </c>
      <c r="B5207" s="37" t="s">
        <v>25817</v>
      </c>
      <c r="C5207" s="37" t="s">
        <v>2355</v>
      </c>
      <c r="D5207" s="37" t="s">
        <v>2349</v>
      </c>
      <c r="E5207" s="212">
        <v>14.73</v>
      </c>
    </row>
    <row r="5208" spans="1:5" ht="14.25">
      <c r="A5208" s="37">
        <v>4448</v>
      </c>
      <c r="B5208" s="37" t="s">
        <v>25818</v>
      </c>
      <c r="C5208" s="37" t="s">
        <v>2355</v>
      </c>
      <c r="D5208" s="37" t="s">
        <v>2349</v>
      </c>
      <c r="E5208" s="212">
        <v>20.23</v>
      </c>
    </row>
    <row r="5209" spans="1:5" ht="14.25">
      <c r="A5209" s="37">
        <v>20213</v>
      </c>
      <c r="B5209" s="37" t="s">
        <v>25819</v>
      </c>
      <c r="C5209" s="37" t="s">
        <v>2355</v>
      </c>
      <c r="D5209" s="37" t="s">
        <v>2349</v>
      </c>
      <c r="E5209" s="212">
        <v>26.28</v>
      </c>
    </row>
    <row r="5210" spans="1:5" ht="14.25">
      <c r="A5210" s="37">
        <v>20211</v>
      </c>
      <c r="B5210" s="37" t="s">
        <v>25820</v>
      </c>
      <c r="C5210" s="37" t="s">
        <v>2355</v>
      </c>
      <c r="D5210" s="37" t="s">
        <v>2349</v>
      </c>
      <c r="E5210" s="212">
        <v>34.799999999999997</v>
      </c>
    </row>
    <row r="5211" spans="1:5" ht="14.25">
      <c r="A5211" s="37">
        <v>40270</v>
      </c>
      <c r="B5211" s="37" t="s">
        <v>25821</v>
      </c>
      <c r="C5211" s="37" t="s">
        <v>2355</v>
      </c>
      <c r="D5211" s="37" t="s">
        <v>2351</v>
      </c>
      <c r="E5211" s="212">
        <v>92.18</v>
      </c>
    </row>
    <row r="5212" spans="1:5" ht="14.25">
      <c r="A5212" s="37">
        <v>4425</v>
      </c>
      <c r="B5212" s="37" t="s">
        <v>25822</v>
      </c>
      <c r="C5212" s="37" t="s">
        <v>2355</v>
      </c>
      <c r="D5212" s="37" t="s">
        <v>2349</v>
      </c>
      <c r="E5212" s="212">
        <v>28.76</v>
      </c>
    </row>
    <row r="5213" spans="1:5" ht="14.25">
      <c r="A5213" s="37">
        <v>4472</v>
      </c>
      <c r="B5213" s="37" t="s">
        <v>25823</v>
      </c>
      <c r="C5213" s="37" t="s">
        <v>2355</v>
      </c>
      <c r="D5213" s="37" t="s">
        <v>2349</v>
      </c>
      <c r="E5213" s="212">
        <v>35.93</v>
      </c>
    </row>
    <row r="5214" spans="1:5" ht="14.25">
      <c r="A5214" s="37">
        <v>35272</v>
      </c>
      <c r="B5214" s="37" t="s">
        <v>25824</v>
      </c>
      <c r="C5214" s="37" t="s">
        <v>2355</v>
      </c>
      <c r="D5214" s="37" t="s">
        <v>2349</v>
      </c>
      <c r="E5214" s="212">
        <v>51.94</v>
      </c>
    </row>
    <row r="5215" spans="1:5" ht="14.25">
      <c r="A5215" s="37">
        <v>4481</v>
      </c>
      <c r="B5215" s="37" t="s">
        <v>25825</v>
      </c>
      <c r="C5215" s="37" t="s">
        <v>2355</v>
      </c>
      <c r="D5215" s="37" t="s">
        <v>2349</v>
      </c>
      <c r="E5215" s="212">
        <v>55.6</v>
      </c>
    </row>
    <row r="5216" spans="1:5" ht="14.25">
      <c r="A5216" s="37">
        <v>34345</v>
      </c>
      <c r="B5216" s="37" t="s">
        <v>25826</v>
      </c>
      <c r="C5216" s="37" t="s">
        <v>2352</v>
      </c>
      <c r="D5216" s="37" t="s">
        <v>2349</v>
      </c>
      <c r="E5216" s="212">
        <v>12.27</v>
      </c>
    </row>
    <row r="5217" spans="1:5" ht="14.25">
      <c r="A5217" s="37">
        <v>41096</v>
      </c>
      <c r="B5217" s="37" t="s">
        <v>25827</v>
      </c>
      <c r="C5217" s="37" t="s">
        <v>2369</v>
      </c>
      <c r="D5217" s="37" t="s">
        <v>2349</v>
      </c>
      <c r="E5217" s="213">
        <v>2158.48</v>
      </c>
    </row>
    <row r="5218" spans="1:5" ht="14.25">
      <c r="A5218" s="37">
        <v>41776</v>
      </c>
      <c r="B5218" s="37" t="s">
        <v>25828</v>
      </c>
      <c r="C5218" s="37" t="s">
        <v>2352</v>
      </c>
      <c r="D5218" s="37" t="s">
        <v>2349</v>
      </c>
      <c r="E5218" s="212">
        <v>16.79</v>
      </c>
    </row>
    <row r="5219" spans="1:5" ht="14.25">
      <c r="A5219" s="37" t="s">
        <v>2550</v>
      </c>
      <c r="B5219" s="37"/>
      <c r="C5219" s="37"/>
      <c r="D5219" s="37"/>
      <c r="E5219" s="212"/>
    </row>
    <row r="5220" spans="1:5" ht="14.25">
      <c r="A5220" s="37" t="s">
        <v>28170</v>
      </c>
      <c r="B5220" s="37"/>
      <c r="C5220" s="37"/>
      <c r="D5220" s="37"/>
      <c r="E5220" s="212"/>
    </row>
    <row r="5221" spans="1:5" ht="14.25">
      <c r="A5221" s="37"/>
      <c r="B5221" s="37"/>
      <c r="C5221" s="37"/>
      <c r="D5221" s="37"/>
      <c r="E5221" s="213"/>
    </row>
    <row r="5222" spans="1:5" ht="14.25">
      <c r="A5222" s="37"/>
      <c r="B5222" s="37"/>
      <c r="C5222" s="37"/>
      <c r="D5222" s="37"/>
      <c r="E5222" s="212"/>
    </row>
    <row r="5223" spans="1:5" ht="14.25">
      <c r="A5223" s="37"/>
      <c r="B5223" s="37"/>
      <c r="C5223" s="37"/>
      <c r="D5223" s="37"/>
      <c r="E5223" s="213"/>
    </row>
    <row r="5224" spans="1:5" ht="14.25">
      <c r="A5224" s="37"/>
      <c r="B5224" s="37"/>
      <c r="C5224" s="37"/>
      <c r="D5224" s="37"/>
      <c r="E5224" s="212"/>
    </row>
    <row r="5225" spans="1:5" ht="14.25">
      <c r="A5225" s="37"/>
      <c r="B5225" s="37"/>
      <c r="C5225" s="37"/>
      <c r="D5225" s="37"/>
      <c r="E5225" s="213"/>
    </row>
    <row r="5226" spans="1:5" ht="14.25">
      <c r="A5226" s="37"/>
      <c r="B5226" s="37"/>
      <c r="C5226" s="37"/>
      <c r="D5226" s="37"/>
      <c r="E5226" s="213"/>
    </row>
    <row r="5227" spans="1:5" ht="14.25">
      <c r="A5227" s="37"/>
      <c r="B5227" s="37"/>
      <c r="C5227" s="37"/>
      <c r="D5227" s="37"/>
      <c r="E5227" s="213"/>
    </row>
    <row r="5228" spans="1:5" ht="14.25">
      <c r="A5228" s="37"/>
      <c r="B5228" s="37"/>
      <c r="C5228" s="37"/>
      <c r="D5228" s="37"/>
      <c r="E5228" s="213"/>
    </row>
    <row r="5229" spans="1:5" ht="14.25">
      <c r="A5229" s="37"/>
      <c r="B5229" s="37"/>
      <c r="C5229" s="37"/>
      <c r="D5229" s="37"/>
      <c r="E5229" s="212"/>
    </row>
    <row r="5230" spans="1:5" ht="14.25">
      <c r="A5230" s="37"/>
      <c r="B5230" s="37"/>
      <c r="C5230" s="37"/>
      <c r="D5230" s="37"/>
      <c r="E5230" s="213"/>
    </row>
    <row r="5231" spans="1:5" ht="14.25">
      <c r="A5231" s="37"/>
      <c r="B5231" s="37"/>
      <c r="C5231" s="37"/>
      <c r="D5231" s="37"/>
      <c r="E5231" s="212"/>
    </row>
    <row r="5232" spans="1:5" ht="14.25">
      <c r="A5232" s="37"/>
      <c r="B5232" s="37"/>
      <c r="C5232" s="37"/>
      <c r="D5232" s="37"/>
      <c r="E5232" s="212"/>
    </row>
    <row r="5233" spans="1:5" ht="14.25">
      <c r="A5233" s="37"/>
      <c r="B5233" s="37"/>
      <c r="C5233" s="37"/>
      <c r="D5233" s="37"/>
      <c r="E5233" s="212"/>
    </row>
    <row r="5234" spans="1:5" ht="14.25">
      <c r="A5234" s="37"/>
      <c r="B5234" s="37"/>
      <c r="C5234" s="37"/>
      <c r="D5234" s="37"/>
      <c r="E5234" s="212"/>
    </row>
    <row r="5235" spans="1:5" ht="14.25">
      <c r="A5235" s="37"/>
      <c r="B5235" s="37"/>
      <c r="C5235" s="37"/>
      <c r="D5235" s="37"/>
      <c r="E5235" s="212"/>
    </row>
    <row r="5236" spans="1:5" ht="14.25">
      <c r="A5236" s="37"/>
      <c r="B5236" s="37"/>
      <c r="C5236" s="37"/>
      <c r="D5236" s="37"/>
      <c r="E5236" s="212"/>
    </row>
    <row r="5237" spans="1:5" ht="14.25">
      <c r="A5237" s="37"/>
      <c r="B5237" s="37"/>
      <c r="C5237" s="37"/>
      <c r="D5237" s="37"/>
      <c r="E5237" s="212"/>
    </row>
    <row r="5238" spans="1:5" ht="14.25">
      <c r="A5238" s="37"/>
      <c r="B5238" s="37"/>
      <c r="C5238" s="37"/>
      <c r="D5238" s="37"/>
      <c r="E5238" s="212"/>
    </row>
    <row r="5239" spans="1:5" ht="14.25">
      <c r="A5239" s="37"/>
      <c r="B5239" s="37"/>
      <c r="C5239" s="37"/>
      <c r="D5239" s="37"/>
      <c r="E5239" s="212"/>
    </row>
    <row r="5240" spans="1:5" ht="14.25">
      <c r="A5240" s="37"/>
      <c r="B5240" s="37"/>
      <c r="C5240" s="37"/>
      <c r="D5240" s="37"/>
      <c r="E5240" s="212"/>
    </row>
    <row r="5241" spans="1:5" ht="14.25">
      <c r="A5241" s="37"/>
      <c r="B5241" s="37"/>
      <c r="C5241" s="37"/>
      <c r="D5241" s="37"/>
      <c r="E5241" s="212"/>
    </row>
    <row r="5242" spans="1:5" ht="14.25">
      <c r="A5242" s="37"/>
      <c r="B5242" s="37"/>
      <c r="C5242" s="37"/>
      <c r="D5242" s="37"/>
      <c r="E5242" s="212"/>
    </row>
    <row r="5243" spans="1:5" ht="14.25">
      <c r="A5243" s="37"/>
      <c r="B5243" s="37"/>
      <c r="C5243" s="37"/>
      <c r="D5243" s="37"/>
      <c r="E5243" s="212"/>
    </row>
    <row r="5244" spans="1:5" ht="14.25">
      <c r="A5244" s="37"/>
      <c r="B5244" s="37"/>
      <c r="C5244" s="37"/>
      <c r="D5244" s="37"/>
      <c r="E5244" s="212"/>
    </row>
    <row r="5245" spans="1:5" ht="14.25">
      <c r="A5245" s="37"/>
      <c r="B5245" s="37"/>
      <c r="C5245" s="37"/>
      <c r="D5245" s="37"/>
      <c r="E5245" s="212"/>
    </row>
    <row r="5246" spans="1:5" ht="14.25">
      <c r="A5246" s="37"/>
      <c r="B5246" s="37"/>
      <c r="C5246" s="37"/>
      <c r="D5246" s="37"/>
      <c r="E5246" s="212"/>
    </row>
    <row r="5247" spans="1:5" ht="14.25">
      <c r="A5247" s="37"/>
      <c r="B5247" s="37"/>
      <c r="C5247" s="37"/>
      <c r="D5247" s="37"/>
      <c r="E5247" s="212"/>
    </row>
    <row r="5248" spans="1:5" ht="14.25">
      <c r="A5248" s="37"/>
      <c r="B5248" s="37"/>
      <c r="C5248" s="37"/>
      <c r="D5248" s="37"/>
      <c r="E5248" s="212"/>
    </row>
    <row r="5249" spans="1:5" ht="14.25">
      <c r="A5249" s="37"/>
      <c r="B5249" s="37"/>
      <c r="C5249" s="37"/>
      <c r="D5249" s="37"/>
      <c r="E5249" s="212"/>
    </row>
    <row r="5250" spans="1:5" ht="14.25">
      <c r="A5250" s="37"/>
      <c r="B5250" s="37"/>
      <c r="C5250" s="37"/>
      <c r="D5250" s="37"/>
      <c r="E5250" s="212"/>
    </row>
    <row r="5251" spans="1:5" ht="14.25">
      <c r="A5251" s="37"/>
      <c r="B5251" s="37"/>
      <c r="C5251" s="37"/>
      <c r="D5251" s="37"/>
      <c r="E5251" s="212"/>
    </row>
    <row r="5252" spans="1:5" ht="14.25">
      <c r="A5252" s="37"/>
      <c r="B5252" s="37"/>
      <c r="C5252" s="37"/>
      <c r="D5252" s="37"/>
      <c r="E5252" s="212"/>
    </row>
    <row r="5253" spans="1:5" ht="14.25">
      <c r="A5253" s="37"/>
      <c r="B5253" s="37"/>
      <c r="C5253" s="37"/>
      <c r="D5253" s="37"/>
      <c r="E5253" s="212"/>
    </row>
    <row r="5254" spans="1:5" ht="14.25">
      <c r="A5254" s="37"/>
      <c r="B5254" s="37"/>
      <c r="C5254" s="37"/>
      <c r="D5254" s="37"/>
      <c r="E5254" s="212"/>
    </row>
    <row r="5255" spans="1:5" ht="14.25">
      <c r="A5255" s="37"/>
      <c r="B5255" s="37"/>
      <c r="C5255" s="37"/>
      <c r="D5255" s="37"/>
      <c r="E5255" s="212"/>
    </row>
    <row r="5256" spans="1:5" ht="14.25">
      <c r="A5256" s="37"/>
      <c r="B5256" s="37"/>
      <c r="C5256" s="37"/>
      <c r="D5256" s="37"/>
      <c r="E5256" s="212"/>
    </row>
    <row r="5257" spans="1:5" ht="14.25">
      <c r="A5257" s="37"/>
      <c r="B5257" s="37"/>
      <c r="C5257" s="37"/>
      <c r="D5257" s="37"/>
      <c r="E5257" s="212"/>
    </row>
    <row r="5258" spans="1:5" ht="14.25">
      <c r="A5258" s="37"/>
      <c r="B5258" s="37"/>
      <c r="C5258" s="37"/>
      <c r="D5258" s="37"/>
      <c r="E5258" s="212"/>
    </row>
    <row r="5259" spans="1:5" ht="14.25">
      <c r="A5259" s="37"/>
      <c r="B5259" s="37"/>
      <c r="C5259" s="37"/>
      <c r="D5259" s="37"/>
      <c r="E5259" s="212"/>
    </row>
    <row r="5260" spans="1:5" ht="14.25">
      <c r="A5260" s="37"/>
      <c r="B5260" s="37"/>
      <c r="C5260" s="37"/>
      <c r="D5260" s="37"/>
      <c r="E5260" s="212"/>
    </row>
    <row r="5261" spans="1:5" ht="14.25">
      <c r="A5261" s="37"/>
      <c r="B5261" s="37"/>
      <c r="C5261" s="37"/>
      <c r="D5261" s="37"/>
      <c r="E5261" s="212"/>
    </row>
    <row r="5262" spans="1:5" ht="14.25">
      <c r="A5262" s="37"/>
      <c r="B5262" s="37"/>
      <c r="C5262" s="37"/>
      <c r="D5262" s="37"/>
      <c r="E5262" s="212"/>
    </row>
    <row r="5263" spans="1:5" ht="14.25">
      <c r="A5263" s="37"/>
      <c r="B5263" s="37"/>
      <c r="C5263" s="37"/>
      <c r="D5263" s="37"/>
      <c r="E5263" s="212"/>
    </row>
    <row r="5264" spans="1:5" ht="14.25">
      <c r="A5264" s="37"/>
      <c r="B5264" s="37"/>
      <c r="C5264" s="37"/>
      <c r="D5264" s="37"/>
      <c r="E5264" s="212"/>
    </row>
    <row r="5265" spans="1:5" ht="14.25">
      <c r="A5265" s="37"/>
      <c r="B5265" s="37"/>
      <c r="C5265" s="37"/>
      <c r="D5265" s="37"/>
      <c r="E5265" s="212"/>
    </row>
    <row r="5266" spans="1:5" ht="14.25">
      <c r="A5266" s="37"/>
      <c r="B5266" s="37"/>
      <c r="C5266" s="37"/>
      <c r="D5266" s="37"/>
      <c r="E5266" s="212"/>
    </row>
    <row r="5267" spans="1:5" ht="14.25">
      <c r="A5267" s="37"/>
      <c r="B5267" s="37"/>
      <c r="C5267" s="37"/>
      <c r="D5267" s="37"/>
      <c r="E5267" s="212"/>
    </row>
    <row r="5268" spans="1:5" ht="14.25">
      <c r="A5268" s="37"/>
      <c r="B5268" s="37"/>
      <c r="C5268" s="37"/>
      <c r="D5268" s="37"/>
      <c r="E5268" s="212"/>
    </row>
    <row r="5269" spans="1:5" ht="14.25">
      <c r="A5269" s="37"/>
      <c r="B5269" s="37"/>
      <c r="C5269" s="37"/>
      <c r="D5269" s="37"/>
      <c r="E5269" s="212"/>
    </row>
    <row r="5270" spans="1:5" ht="14.25">
      <c r="A5270" s="37"/>
      <c r="B5270" s="37"/>
      <c r="C5270" s="37"/>
      <c r="D5270" s="37"/>
      <c r="E5270" s="212"/>
    </row>
    <row r="5271" spans="1:5" ht="14.25">
      <c r="A5271" s="37"/>
      <c r="B5271" s="37"/>
      <c r="C5271" s="37"/>
      <c r="D5271" s="37"/>
      <c r="E5271" s="212"/>
    </row>
    <row r="5272" spans="1:5" ht="14.25">
      <c r="A5272" s="37"/>
      <c r="B5272" s="37"/>
      <c r="C5272" s="37"/>
      <c r="D5272" s="37"/>
      <c r="E5272" s="212"/>
    </row>
    <row r="5273" spans="1:5" ht="14.25">
      <c r="A5273" s="37"/>
      <c r="B5273" s="37"/>
      <c r="C5273" s="37"/>
      <c r="D5273" s="37"/>
      <c r="E5273" s="212"/>
    </row>
    <row r="5274" spans="1:5" ht="14.25">
      <c r="A5274" s="37"/>
      <c r="B5274" s="37"/>
      <c r="C5274" s="37"/>
      <c r="D5274" s="37"/>
      <c r="E5274" s="212"/>
    </row>
    <row r="5275" spans="1:5" ht="14.25">
      <c r="A5275" s="37"/>
      <c r="B5275" s="37"/>
      <c r="C5275" s="37"/>
      <c r="D5275" s="37"/>
      <c r="E5275" s="212"/>
    </row>
    <row r="5276" spans="1:5" ht="14.25">
      <c r="A5276" s="37"/>
      <c r="B5276" s="37"/>
      <c r="C5276" s="37"/>
      <c r="D5276" s="37"/>
      <c r="E5276" s="212"/>
    </row>
    <row r="5277" spans="1:5" ht="14.25">
      <c r="A5277" s="37"/>
      <c r="B5277" s="37"/>
      <c r="C5277" s="37"/>
      <c r="D5277" s="37"/>
      <c r="E5277" s="212"/>
    </row>
    <row r="5278" spans="1:5" ht="14.25">
      <c r="A5278" s="37"/>
      <c r="B5278" s="37"/>
      <c r="C5278" s="37"/>
      <c r="D5278" s="37"/>
      <c r="E5278" s="212"/>
    </row>
    <row r="5279" spans="1:5" ht="14.25">
      <c r="A5279" s="37"/>
      <c r="B5279" s="37"/>
      <c r="C5279" s="37"/>
      <c r="D5279" s="37"/>
      <c r="E5279" s="212"/>
    </row>
    <row r="5280" spans="1:5" ht="14.25">
      <c r="A5280" s="37"/>
      <c r="B5280" s="37"/>
      <c r="C5280" s="37"/>
      <c r="D5280" s="37"/>
      <c r="E5280" s="212"/>
    </row>
    <row r="5281" spans="1:5" ht="14.25">
      <c r="A5281" s="37"/>
      <c r="B5281" s="37"/>
      <c r="C5281" s="37"/>
      <c r="D5281" s="37"/>
      <c r="E5281" s="212"/>
    </row>
    <row r="5282" spans="1:5" ht="14.25">
      <c r="A5282" s="37"/>
      <c r="B5282" s="37"/>
      <c r="C5282" s="37"/>
      <c r="D5282" s="37"/>
      <c r="E5282" s="212"/>
    </row>
    <row r="5283" spans="1:5" ht="14.25">
      <c r="A5283" s="37"/>
      <c r="B5283" s="37"/>
      <c r="C5283" s="37"/>
      <c r="D5283" s="37"/>
      <c r="E5283" s="212"/>
    </row>
    <row r="5284" spans="1:5" ht="14.25">
      <c r="A5284" s="37"/>
      <c r="B5284" s="37"/>
      <c r="C5284" s="37"/>
      <c r="D5284" s="37"/>
      <c r="E5284" s="212"/>
    </row>
    <row r="5285" spans="1:5" ht="14.25">
      <c r="A5285" s="37"/>
      <c r="B5285" s="37"/>
      <c r="C5285" s="37"/>
      <c r="D5285" s="37"/>
      <c r="E5285" s="212"/>
    </row>
    <row r="5286" spans="1:5" ht="14.25">
      <c r="A5286" s="37"/>
      <c r="B5286" s="37"/>
      <c r="C5286" s="37"/>
      <c r="D5286" s="37"/>
      <c r="E5286" s="212"/>
    </row>
    <row r="5287" spans="1:5" ht="14.25">
      <c r="A5287" s="37"/>
      <c r="B5287" s="37"/>
      <c r="C5287" s="37"/>
      <c r="D5287" s="37"/>
      <c r="E5287" s="212"/>
    </row>
    <row r="5288" spans="1:5" ht="14.25">
      <c r="A5288" s="37"/>
      <c r="B5288" s="37"/>
      <c r="C5288" s="37"/>
      <c r="D5288" s="37"/>
      <c r="E5288" s="212"/>
    </row>
    <row r="5289" spans="1:5" ht="14.25">
      <c r="A5289" s="37"/>
      <c r="B5289" s="37"/>
      <c r="C5289" s="37"/>
      <c r="D5289" s="37"/>
      <c r="E5289" s="212"/>
    </row>
    <row r="5290" spans="1:5" ht="14.25">
      <c r="A5290" s="37"/>
      <c r="B5290" s="37"/>
      <c r="C5290" s="37"/>
      <c r="D5290" s="37"/>
      <c r="E5290" s="212"/>
    </row>
    <row r="5291" spans="1:5" ht="14.25">
      <c r="A5291" s="37"/>
      <c r="B5291" s="37"/>
      <c r="C5291" s="37"/>
      <c r="D5291" s="37"/>
      <c r="E5291" s="212"/>
    </row>
    <row r="5292" spans="1:5" ht="14.25">
      <c r="A5292" s="37"/>
      <c r="B5292" s="37"/>
      <c r="C5292" s="37"/>
      <c r="D5292" s="37"/>
      <c r="E5292" s="212"/>
    </row>
    <row r="5293" spans="1:5" ht="14.25">
      <c r="A5293" s="37"/>
      <c r="B5293" s="37"/>
      <c r="C5293" s="37"/>
      <c r="D5293" s="37"/>
      <c r="E5293" s="212"/>
    </row>
    <row r="5294" spans="1:5" ht="14.25">
      <c r="A5294" s="37"/>
      <c r="B5294" s="37"/>
      <c r="C5294" s="37"/>
      <c r="D5294" s="37"/>
      <c r="E5294" s="212"/>
    </row>
    <row r="5295" spans="1:5" ht="14.25">
      <c r="A5295" s="37"/>
      <c r="B5295" s="37"/>
      <c r="C5295" s="37"/>
      <c r="D5295" s="37"/>
      <c r="E5295" s="212"/>
    </row>
    <row r="5296" spans="1:5" ht="14.25">
      <c r="A5296" s="37"/>
      <c r="B5296" s="37"/>
      <c r="C5296" s="37"/>
      <c r="D5296" s="37"/>
      <c r="E5296" s="212"/>
    </row>
    <row r="5297" spans="1:5" ht="14.25">
      <c r="A5297" s="37"/>
      <c r="B5297" s="37"/>
      <c r="C5297" s="37"/>
      <c r="D5297" s="37"/>
      <c r="E5297" s="212"/>
    </row>
    <row r="5298" spans="1:5" ht="14.25">
      <c r="A5298" s="37"/>
      <c r="B5298" s="37"/>
      <c r="C5298" s="37"/>
      <c r="D5298" s="37"/>
      <c r="E5298" s="212"/>
    </row>
    <row r="5299" spans="1:5" ht="14.25">
      <c r="A5299" s="37"/>
      <c r="B5299" s="37"/>
      <c r="C5299" s="37"/>
      <c r="D5299" s="37"/>
      <c r="E5299" s="212"/>
    </row>
    <row r="5300" spans="1:5" ht="14.25">
      <c r="A5300" s="37"/>
      <c r="B5300" s="37"/>
      <c r="C5300" s="37"/>
      <c r="D5300" s="37"/>
      <c r="E5300" s="212"/>
    </row>
    <row r="5301" spans="1:5" ht="14.25">
      <c r="A5301" s="37"/>
      <c r="B5301" s="37"/>
      <c r="C5301" s="37"/>
      <c r="D5301" s="37"/>
      <c r="E5301" s="212"/>
    </row>
    <row r="5302" spans="1:5" ht="14.25">
      <c r="A5302" s="37"/>
      <c r="B5302" s="37"/>
      <c r="C5302" s="37"/>
      <c r="D5302" s="37"/>
      <c r="E5302" s="212"/>
    </row>
    <row r="5303" spans="1:5" ht="14.25">
      <c r="A5303" s="37"/>
      <c r="B5303" s="37"/>
      <c r="C5303" s="37"/>
      <c r="D5303" s="37"/>
      <c r="E5303" s="212"/>
    </row>
    <row r="5304" spans="1:5" ht="14.25">
      <c r="A5304" s="37"/>
      <c r="B5304" s="37"/>
      <c r="C5304" s="37"/>
      <c r="D5304" s="37"/>
      <c r="E5304" s="212"/>
    </row>
    <row r="5305" spans="1:5" ht="14.25">
      <c r="A5305" s="37"/>
      <c r="B5305" s="37"/>
      <c r="C5305" s="37"/>
      <c r="D5305" s="37"/>
      <c r="E5305" s="212"/>
    </row>
    <row r="5306" spans="1:5" ht="14.25">
      <c r="A5306" s="37"/>
      <c r="B5306" s="37"/>
      <c r="C5306" s="37"/>
      <c r="D5306" s="37"/>
      <c r="E5306" s="212"/>
    </row>
    <row r="5307" spans="1:5" ht="14.25">
      <c r="A5307" s="37"/>
      <c r="B5307" s="37"/>
      <c r="C5307" s="37"/>
      <c r="D5307" s="37"/>
      <c r="E5307" s="212"/>
    </row>
    <row r="5308" spans="1:5" ht="14.25">
      <c r="A5308" s="37"/>
      <c r="B5308" s="37"/>
      <c r="C5308" s="37"/>
      <c r="D5308" s="37"/>
      <c r="E5308" s="212"/>
    </row>
    <row r="5309" spans="1:5" ht="14.25">
      <c r="A5309" s="37"/>
      <c r="B5309" s="37"/>
      <c r="C5309" s="37"/>
      <c r="D5309" s="37"/>
      <c r="E5309" s="212"/>
    </row>
    <row r="5310" spans="1:5" ht="14.25">
      <c r="A5310" s="37"/>
      <c r="B5310" s="37"/>
      <c r="C5310" s="37"/>
      <c r="D5310" s="37"/>
      <c r="E5310" s="212"/>
    </row>
    <row r="5311" spans="1:5" ht="14.25">
      <c r="A5311" s="37"/>
      <c r="B5311" s="37"/>
      <c r="C5311" s="37"/>
      <c r="D5311" s="37"/>
      <c r="E5311" s="212"/>
    </row>
    <row r="5312" spans="1:5" ht="14.25">
      <c r="A5312" s="37"/>
      <c r="B5312" s="37"/>
      <c r="C5312" s="37"/>
      <c r="D5312" s="37"/>
      <c r="E5312" s="212"/>
    </row>
    <row r="5313" spans="1:5" ht="14.25">
      <c r="A5313" s="37"/>
      <c r="B5313" s="37"/>
      <c r="C5313" s="37"/>
      <c r="D5313" s="37"/>
      <c r="E5313" s="212"/>
    </row>
    <row r="5314" spans="1:5" ht="14.25">
      <c r="A5314" s="37"/>
      <c r="B5314" s="37"/>
      <c r="C5314" s="37"/>
      <c r="D5314" s="37"/>
      <c r="E5314" s="212"/>
    </row>
    <row r="5315" spans="1:5" ht="14.25">
      <c r="A5315" s="37"/>
      <c r="B5315" s="37"/>
      <c r="C5315" s="37"/>
      <c r="D5315" s="37"/>
      <c r="E5315" s="212"/>
    </row>
    <row r="5316" spans="1:5" ht="14.25">
      <c r="A5316" s="37"/>
      <c r="B5316" s="37"/>
      <c r="C5316" s="37"/>
      <c r="D5316" s="37"/>
      <c r="E5316" s="212"/>
    </row>
    <row r="5317" spans="1:5" ht="14.25">
      <c r="A5317" s="37"/>
      <c r="B5317" s="37"/>
      <c r="C5317" s="37"/>
      <c r="D5317" s="37"/>
      <c r="E5317" s="213"/>
    </row>
    <row r="5318" spans="1:5" ht="14.25">
      <c r="A5318" s="37"/>
      <c r="B5318" s="37"/>
      <c r="C5318" s="37"/>
      <c r="D5318" s="37"/>
      <c r="E5318" s="212"/>
    </row>
    <row r="5319" spans="1:5" ht="14.25">
      <c r="A5319" s="37"/>
      <c r="B5319" s="37"/>
      <c r="C5319" s="37"/>
      <c r="D5319" s="37"/>
      <c r="E5319" s="212"/>
    </row>
    <row r="5320" spans="1:5" ht="14.25">
      <c r="A5320" s="37"/>
      <c r="B5320" s="37"/>
      <c r="C5320" s="37"/>
      <c r="D5320" s="37"/>
      <c r="E5320" s="212"/>
    </row>
    <row r="5321" spans="1:5" ht="14.25">
      <c r="A5321" s="37"/>
      <c r="B5321" s="37"/>
      <c r="C5321" s="37"/>
      <c r="D5321" s="37"/>
      <c r="E5321" s="212"/>
    </row>
    <row r="5322" spans="1:5" ht="14.25">
      <c r="A5322" s="37"/>
      <c r="B5322" s="37"/>
      <c r="C5322" s="37"/>
      <c r="D5322" s="37"/>
      <c r="E5322" s="212"/>
    </row>
    <row r="5323" spans="1:5" ht="14.25">
      <c r="A5323" s="37"/>
      <c r="B5323" s="37"/>
      <c r="C5323" s="37"/>
      <c r="D5323" s="37"/>
      <c r="E5323" s="212"/>
    </row>
    <row r="5324" spans="1:5" ht="14.25">
      <c r="A5324" s="37"/>
      <c r="B5324" s="37"/>
      <c r="C5324" s="37"/>
      <c r="D5324" s="37"/>
      <c r="E5324" s="212"/>
    </row>
    <row r="5325" spans="1:5" ht="14.25">
      <c r="A5325" s="37"/>
      <c r="B5325" s="37"/>
      <c r="C5325" s="37"/>
      <c r="D5325" s="37"/>
      <c r="E5325" s="212"/>
    </row>
    <row r="5326" spans="1:5" ht="14.25">
      <c r="A5326" s="37"/>
      <c r="B5326" s="37"/>
      <c r="C5326" s="37"/>
      <c r="D5326" s="37"/>
      <c r="E5326" s="212"/>
    </row>
    <row r="5327" spans="1:5" ht="14.25">
      <c r="A5327" s="37"/>
      <c r="B5327" s="37"/>
      <c r="C5327" s="37"/>
      <c r="D5327" s="37"/>
      <c r="E5327" s="212"/>
    </row>
    <row r="5328" spans="1:5" ht="14.25">
      <c r="A5328" s="37"/>
      <c r="B5328" s="37"/>
      <c r="C5328" s="37"/>
      <c r="D5328" s="37"/>
      <c r="E5328" s="212"/>
    </row>
    <row r="5329" spans="1:5" ht="14.25">
      <c r="A5329" s="37"/>
      <c r="B5329" s="37"/>
      <c r="C5329" s="37"/>
      <c r="D5329" s="37"/>
      <c r="E5329" s="212"/>
    </row>
    <row r="5330" spans="1:5" ht="14.25">
      <c r="A5330" s="37"/>
      <c r="B5330" s="37"/>
      <c r="C5330" s="37"/>
      <c r="D5330" s="37"/>
      <c r="E5330" s="212"/>
    </row>
    <row r="5331" spans="1:5" ht="14.25">
      <c r="A5331" s="37"/>
      <c r="B5331" s="37"/>
      <c r="C5331" s="37"/>
      <c r="D5331" s="37"/>
      <c r="E5331" s="212"/>
    </row>
    <row r="5332" spans="1:5" ht="14.25">
      <c r="A5332" s="37"/>
      <c r="B5332" s="37"/>
      <c r="C5332" s="37"/>
      <c r="D5332" s="37"/>
      <c r="E5332" s="212"/>
    </row>
    <row r="5333" spans="1:5" ht="14.25">
      <c r="A5333" s="37"/>
      <c r="B5333" s="37"/>
      <c r="C5333" s="37"/>
      <c r="D5333" s="37"/>
      <c r="E5333" s="212"/>
    </row>
    <row r="5334" spans="1:5" ht="14.25">
      <c r="A5334" s="37"/>
      <c r="B5334" s="37"/>
      <c r="C5334" s="37"/>
      <c r="D5334" s="37"/>
      <c r="E5334" s="212"/>
    </row>
    <row r="5335" spans="1:5" ht="14.25">
      <c r="A5335" s="37"/>
      <c r="B5335" s="37"/>
      <c r="C5335" s="37"/>
      <c r="D5335" s="37"/>
      <c r="E5335" s="212"/>
    </row>
    <row r="5336" spans="1:5" ht="14.25">
      <c r="A5336" s="37"/>
      <c r="B5336" s="37"/>
      <c r="C5336" s="37"/>
      <c r="D5336" s="37"/>
      <c r="E5336" s="212"/>
    </row>
    <row r="5337" spans="1:5" ht="14.25">
      <c r="A5337" s="37"/>
      <c r="B5337" s="37"/>
      <c r="C5337" s="37"/>
      <c r="D5337" s="37"/>
      <c r="E5337" s="212"/>
    </row>
    <row r="5338" spans="1:5" ht="14.25">
      <c r="A5338" s="37"/>
      <c r="B5338" s="37"/>
      <c r="C5338" s="37"/>
      <c r="D5338" s="37"/>
      <c r="E5338" s="212"/>
    </row>
    <row r="5339" spans="1:5" ht="14.25">
      <c r="A5339" s="37"/>
      <c r="B5339" s="37"/>
      <c r="C5339" s="37"/>
      <c r="D5339" s="37"/>
      <c r="E5339" s="212"/>
    </row>
    <row r="5340" spans="1:5" ht="14.25">
      <c r="A5340" s="37"/>
      <c r="B5340" s="37"/>
      <c r="C5340" s="37"/>
      <c r="D5340" s="37"/>
      <c r="E5340" s="212"/>
    </row>
    <row r="5341" spans="1:5" ht="14.25">
      <c r="A5341" s="37"/>
      <c r="B5341" s="37"/>
      <c r="C5341" s="37"/>
      <c r="D5341" s="37"/>
      <c r="E5341" s="212"/>
    </row>
    <row r="5342" spans="1:5" ht="14.25">
      <c r="A5342" s="37"/>
      <c r="B5342" s="37"/>
      <c r="C5342" s="37"/>
      <c r="D5342" s="37"/>
      <c r="E5342" s="212"/>
    </row>
    <row r="5343" spans="1:5" ht="14.25">
      <c r="A5343" s="37"/>
      <c r="B5343" s="37"/>
      <c r="C5343" s="37"/>
      <c r="D5343" s="37"/>
      <c r="E5343" s="212"/>
    </row>
    <row r="5344" spans="1:5" ht="14.25">
      <c r="A5344" s="37"/>
      <c r="B5344" s="37"/>
      <c r="C5344" s="37"/>
      <c r="D5344" s="37"/>
      <c r="E5344" s="212"/>
    </row>
    <row r="5345" spans="1:5" ht="14.25">
      <c r="A5345" s="37"/>
      <c r="B5345" s="37"/>
      <c r="C5345" s="37"/>
      <c r="D5345" s="37"/>
      <c r="E5345" s="213"/>
    </row>
    <row r="5346" spans="1:5" ht="14.25">
      <c r="A5346" s="37"/>
      <c r="B5346" s="37"/>
      <c r="C5346" s="37"/>
      <c r="D5346" s="37"/>
      <c r="E5346" s="213"/>
    </row>
    <row r="5347" spans="1:5" ht="14.25">
      <c r="A5347" s="37"/>
      <c r="B5347" s="37"/>
      <c r="C5347" s="37"/>
      <c r="D5347" s="37"/>
      <c r="E5347" s="213"/>
    </row>
    <row r="5348" spans="1:5" ht="14.25">
      <c r="A5348" s="37"/>
      <c r="B5348" s="37"/>
      <c r="C5348" s="37"/>
      <c r="D5348" s="37"/>
      <c r="E5348" s="213"/>
    </row>
    <row r="5349" spans="1:5" ht="14.25">
      <c r="A5349" s="37"/>
      <c r="B5349" s="37"/>
      <c r="C5349" s="37"/>
      <c r="D5349" s="37"/>
      <c r="E5349" s="213"/>
    </row>
    <row r="5350" spans="1:5" ht="14.25">
      <c r="A5350" s="37"/>
      <c r="B5350" s="37"/>
      <c r="C5350" s="37"/>
      <c r="D5350" s="37"/>
      <c r="E5350" s="213"/>
    </row>
    <row r="5351" spans="1:5" ht="14.25">
      <c r="A5351" s="37"/>
      <c r="B5351" s="37"/>
      <c r="C5351" s="37"/>
      <c r="D5351" s="37"/>
      <c r="E5351" s="213"/>
    </row>
    <row r="5352" spans="1:5" ht="14.25">
      <c r="A5352" s="37"/>
      <c r="B5352" s="37"/>
      <c r="C5352" s="37"/>
      <c r="D5352" s="37"/>
      <c r="E5352" s="213"/>
    </row>
    <row r="5353" spans="1:5" ht="14.25">
      <c r="A5353" s="37"/>
      <c r="B5353" s="37"/>
      <c r="C5353" s="37"/>
      <c r="D5353" s="37"/>
      <c r="E5353" s="213"/>
    </row>
    <row r="5354" spans="1:5" ht="14.25">
      <c r="A5354" s="37"/>
      <c r="B5354" s="37"/>
      <c r="C5354" s="37"/>
      <c r="D5354" s="37"/>
      <c r="E5354" s="213"/>
    </row>
    <row r="5355" spans="1:5" ht="14.25">
      <c r="A5355" s="37"/>
      <c r="B5355" s="37"/>
      <c r="C5355" s="37"/>
      <c r="D5355" s="37"/>
      <c r="E5355" s="213"/>
    </row>
    <row r="5356" spans="1:5" ht="14.25">
      <c r="A5356" s="37"/>
      <c r="B5356" s="37"/>
      <c r="C5356" s="37"/>
      <c r="D5356" s="37"/>
      <c r="E5356" s="213"/>
    </row>
    <row r="5357" spans="1:5" ht="14.25">
      <c r="A5357" s="37"/>
      <c r="B5357" s="37"/>
      <c r="C5357" s="37"/>
      <c r="D5357" s="37"/>
      <c r="E5357" s="213"/>
    </row>
    <row r="5358" spans="1:5" ht="14.25">
      <c r="A5358" s="37"/>
      <c r="B5358" s="37"/>
      <c r="C5358" s="37"/>
      <c r="D5358" s="37"/>
      <c r="E5358" s="213"/>
    </row>
    <row r="5359" spans="1:5" ht="14.25">
      <c r="A5359" s="37"/>
      <c r="B5359" s="37"/>
      <c r="C5359" s="37"/>
      <c r="D5359" s="37"/>
      <c r="E5359" s="213"/>
    </row>
    <row r="5360" spans="1:5" ht="14.25">
      <c r="A5360" s="37"/>
      <c r="B5360" s="37"/>
      <c r="C5360" s="37"/>
      <c r="D5360" s="37"/>
      <c r="E5360" s="212"/>
    </row>
    <row r="5361" spans="1:5" ht="14.25">
      <c r="A5361" s="37"/>
      <c r="B5361" s="37"/>
      <c r="C5361" s="37"/>
      <c r="D5361" s="37"/>
      <c r="E5361" s="212"/>
    </row>
    <row r="5362" spans="1:5" ht="14.25">
      <c r="A5362" s="37"/>
      <c r="B5362" s="37"/>
      <c r="C5362" s="37"/>
      <c r="D5362" s="37"/>
      <c r="E5362" s="212"/>
    </row>
    <row r="5363" spans="1:5" ht="14.25">
      <c r="A5363" s="37"/>
      <c r="B5363" s="37"/>
      <c r="C5363" s="37"/>
      <c r="D5363" s="37"/>
      <c r="E5363" s="212"/>
    </row>
    <row r="5364" spans="1:5" ht="14.25">
      <c r="A5364" s="37"/>
      <c r="B5364" s="37"/>
      <c r="C5364" s="37"/>
      <c r="D5364" s="37"/>
      <c r="E5364" s="212"/>
    </row>
    <row r="5365" spans="1:5" ht="14.25">
      <c r="A5365" s="37"/>
      <c r="B5365" s="37"/>
      <c r="C5365" s="37"/>
      <c r="D5365" s="37"/>
      <c r="E5365" s="212"/>
    </row>
    <row r="5366" spans="1:5" ht="14.25">
      <c r="A5366" s="37"/>
      <c r="B5366" s="37"/>
      <c r="C5366" s="37"/>
      <c r="D5366" s="37"/>
      <c r="E5366" s="212"/>
    </row>
    <row r="5367" spans="1:5" ht="14.25">
      <c r="A5367" s="37"/>
      <c r="B5367" s="37"/>
      <c r="C5367" s="37"/>
      <c r="D5367" s="37"/>
      <c r="E5367" s="212"/>
    </row>
    <row r="5368" spans="1:5" ht="14.25">
      <c r="A5368" s="37"/>
      <c r="B5368" s="37"/>
      <c r="C5368" s="37"/>
      <c r="D5368" s="37"/>
      <c r="E5368" s="212"/>
    </row>
    <row r="5369" spans="1:5" ht="14.25">
      <c r="A5369" s="37"/>
      <c r="B5369" s="37"/>
      <c r="C5369" s="37"/>
      <c r="D5369" s="37"/>
      <c r="E5369" s="212"/>
    </row>
    <row r="5370" spans="1:5" ht="14.25">
      <c r="A5370" s="37"/>
      <c r="B5370" s="37"/>
      <c r="C5370" s="37"/>
      <c r="D5370" s="37"/>
      <c r="E5370" s="212"/>
    </row>
    <row r="5371" spans="1:5" ht="14.25">
      <c r="A5371" s="37"/>
      <c r="B5371" s="37"/>
      <c r="C5371" s="37"/>
      <c r="D5371" s="37"/>
      <c r="E5371" s="212"/>
    </row>
    <row r="5372" spans="1:5" ht="14.25">
      <c r="A5372" s="37"/>
      <c r="B5372" s="37"/>
      <c r="C5372" s="37"/>
      <c r="D5372" s="37"/>
      <c r="E5372" s="212"/>
    </row>
    <row r="5373" spans="1:5" ht="14.25">
      <c r="A5373" s="37"/>
      <c r="B5373" s="37"/>
      <c r="C5373" s="37"/>
      <c r="D5373" s="37"/>
      <c r="E5373" s="212"/>
    </row>
    <row r="5374" spans="1:5" ht="14.25">
      <c r="A5374" s="37"/>
      <c r="B5374" s="37"/>
      <c r="C5374" s="37"/>
      <c r="D5374" s="37"/>
      <c r="E5374" s="212"/>
    </row>
    <row r="5375" spans="1:5" ht="14.25">
      <c r="A5375" s="37"/>
      <c r="B5375" s="37"/>
      <c r="C5375" s="37"/>
      <c r="D5375" s="37"/>
      <c r="E5375" s="212"/>
    </row>
    <row r="5376" spans="1:5" ht="14.25">
      <c r="A5376" s="37"/>
      <c r="B5376" s="37"/>
      <c r="C5376" s="37"/>
      <c r="D5376" s="37"/>
      <c r="E5376" s="212"/>
    </row>
    <row r="5377" spans="1:5" ht="14.25">
      <c r="A5377" s="37"/>
      <c r="B5377" s="37"/>
      <c r="C5377" s="37"/>
      <c r="D5377" s="37"/>
      <c r="E5377" s="212"/>
    </row>
    <row r="5378" spans="1:5" ht="14.25">
      <c r="A5378" s="37"/>
      <c r="B5378" s="37"/>
      <c r="C5378" s="37"/>
      <c r="D5378" s="37"/>
      <c r="E5378" s="212"/>
    </row>
    <row r="5379" spans="1:5" ht="14.25">
      <c r="A5379" s="37"/>
      <c r="B5379" s="37"/>
      <c r="C5379" s="37"/>
      <c r="D5379" s="37"/>
      <c r="E5379" s="212"/>
    </row>
    <row r="5380" spans="1:5" ht="14.25">
      <c r="A5380" s="37"/>
      <c r="B5380" s="37"/>
      <c r="C5380" s="37"/>
      <c r="D5380" s="37"/>
      <c r="E5380" s="212"/>
    </row>
    <row r="5381" spans="1:5" ht="14.25">
      <c r="A5381" s="37"/>
      <c r="B5381" s="37"/>
      <c r="C5381" s="37"/>
      <c r="D5381" s="37"/>
      <c r="E5381" s="212"/>
    </row>
    <row r="5382" spans="1:5" ht="14.25">
      <c r="A5382" s="37"/>
      <c r="B5382" s="37"/>
      <c r="C5382" s="37"/>
      <c r="D5382" s="37"/>
      <c r="E5382" s="212"/>
    </row>
    <row r="5383" spans="1:5" ht="14.25">
      <c r="A5383" s="37"/>
      <c r="B5383" s="37"/>
      <c r="C5383" s="37"/>
      <c r="D5383" s="37"/>
      <c r="E5383" s="212"/>
    </row>
    <row r="5384" spans="1:5" ht="14.25">
      <c r="A5384" s="37"/>
      <c r="B5384" s="37"/>
      <c r="C5384" s="37"/>
      <c r="D5384" s="37"/>
      <c r="E5384" s="212"/>
    </row>
    <row r="5385" spans="1:5" ht="14.25">
      <c r="A5385" s="37"/>
      <c r="B5385" s="37"/>
      <c r="C5385" s="37"/>
      <c r="D5385" s="37"/>
      <c r="E5385" s="212"/>
    </row>
    <row r="5386" spans="1:5" ht="14.25">
      <c r="A5386" s="37"/>
      <c r="B5386" s="37"/>
      <c r="C5386" s="37"/>
      <c r="D5386" s="37"/>
      <c r="E5386" s="212"/>
    </row>
    <row r="5387" spans="1:5" ht="14.25">
      <c r="A5387" s="37"/>
      <c r="B5387" s="37"/>
      <c r="C5387" s="37"/>
      <c r="D5387" s="37"/>
      <c r="E5387" s="212"/>
    </row>
    <row r="5388" spans="1:5" ht="14.25">
      <c r="A5388" s="37"/>
      <c r="B5388" s="37"/>
      <c r="C5388" s="37"/>
      <c r="D5388" s="37"/>
      <c r="E5388" s="212"/>
    </row>
    <row r="5389" spans="1:5" ht="14.25">
      <c r="A5389" s="37"/>
      <c r="B5389" s="37"/>
      <c r="C5389" s="37"/>
      <c r="D5389" s="37"/>
      <c r="E5389" s="212"/>
    </row>
    <row r="5390" spans="1:5" ht="14.25">
      <c r="A5390" s="37"/>
      <c r="B5390" s="37"/>
      <c r="C5390" s="37"/>
      <c r="D5390" s="37"/>
      <c r="E5390" s="212"/>
    </row>
    <row r="5391" spans="1:5" ht="14.25">
      <c r="A5391" s="37"/>
      <c r="B5391" s="37"/>
      <c r="C5391" s="37"/>
      <c r="D5391" s="37"/>
      <c r="E5391" s="212"/>
    </row>
    <row r="5392" spans="1:5" ht="14.25">
      <c r="A5392" s="37"/>
      <c r="B5392" s="37"/>
      <c r="C5392" s="37"/>
      <c r="D5392" s="37"/>
      <c r="E5392" s="212"/>
    </row>
    <row r="5393" spans="1:5" ht="14.25">
      <c r="A5393" s="37"/>
      <c r="B5393" s="37"/>
      <c r="C5393" s="37"/>
      <c r="D5393" s="37"/>
      <c r="E5393" s="212"/>
    </row>
    <row r="5394" spans="1:5" ht="14.25">
      <c r="A5394" s="37"/>
      <c r="B5394" s="37"/>
      <c r="C5394" s="37"/>
      <c r="D5394" s="37"/>
      <c r="E5394" s="212"/>
    </row>
    <row r="5395" spans="1:5" ht="14.25">
      <c r="A5395" s="37"/>
      <c r="B5395" s="37"/>
      <c r="C5395" s="37"/>
      <c r="D5395" s="37"/>
      <c r="E5395" s="212"/>
    </row>
    <row r="5396" spans="1:5" ht="14.25">
      <c r="A5396" s="37"/>
      <c r="B5396" s="37"/>
      <c r="C5396" s="37"/>
      <c r="D5396" s="37"/>
      <c r="E5396" s="212"/>
    </row>
    <row r="5397" spans="1:5" ht="14.25">
      <c r="A5397" s="37"/>
      <c r="B5397" s="37"/>
      <c r="C5397" s="37"/>
      <c r="D5397" s="37"/>
      <c r="E5397" s="212"/>
    </row>
    <row r="5398" spans="1:5" ht="14.25">
      <c r="A5398" s="37"/>
      <c r="B5398" s="37"/>
      <c r="C5398" s="37"/>
      <c r="D5398" s="37"/>
      <c r="E5398" s="212"/>
    </row>
    <row r="5399" spans="1:5" ht="14.25">
      <c r="A5399" s="37"/>
      <c r="B5399" s="37"/>
      <c r="C5399" s="37"/>
      <c r="D5399" s="37"/>
      <c r="E5399" s="212"/>
    </row>
    <row r="5400" spans="1:5" ht="14.25">
      <c r="A5400" s="37"/>
      <c r="B5400" s="37"/>
      <c r="C5400" s="37"/>
      <c r="D5400" s="37"/>
      <c r="E5400" s="212"/>
    </row>
    <row r="5401" spans="1:5" ht="14.25">
      <c r="A5401" s="37"/>
      <c r="B5401" s="37"/>
      <c r="C5401" s="37"/>
      <c r="D5401" s="37"/>
      <c r="E5401" s="212"/>
    </row>
    <row r="5402" spans="1:5" ht="14.25">
      <c r="A5402" s="37"/>
      <c r="B5402" s="37"/>
      <c r="C5402" s="37"/>
      <c r="D5402" s="37"/>
      <c r="E5402" s="212"/>
    </row>
    <row r="5403" spans="1:5" ht="14.25">
      <c r="A5403" s="37"/>
      <c r="B5403" s="37"/>
      <c r="C5403" s="37"/>
      <c r="D5403" s="37"/>
      <c r="E5403" s="212"/>
    </row>
    <row r="5404" spans="1:5" ht="14.25">
      <c r="A5404" s="37"/>
      <c r="B5404" s="37"/>
      <c r="C5404" s="37"/>
      <c r="D5404" s="37"/>
      <c r="E5404" s="212"/>
    </row>
    <row r="5405" spans="1:5" ht="14.25">
      <c r="A5405" s="37"/>
      <c r="B5405" s="37"/>
      <c r="C5405" s="37"/>
      <c r="D5405" s="37"/>
      <c r="E5405" s="212"/>
    </row>
    <row r="5406" spans="1:5" ht="14.25">
      <c r="A5406" s="37"/>
      <c r="B5406" s="37"/>
      <c r="C5406" s="37"/>
      <c r="D5406" s="37"/>
      <c r="E5406" s="212"/>
    </row>
    <row r="5407" spans="1:5" ht="14.25">
      <c r="A5407" s="37"/>
      <c r="B5407" s="37"/>
      <c r="C5407" s="37"/>
      <c r="D5407" s="37"/>
      <c r="E5407" s="212"/>
    </row>
    <row r="5408" spans="1:5" ht="14.25">
      <c r="A5408" s="37"/>
      <c r="B5408" s="37"/>
      <c r="C5408" s="37"/>
      <c r="D5408" s="37"/>
      <c r="E5408" s="212"/>
    </row>
    <row r="5409" spans="1:5" ht="14.25">
      <c r="A5409" s="37"/>
      <c r="B5409" s="37"/>
      <c r="C5409" s="37"/>
      <c r="D5409" s="37"/>
      <c r="E5409" s="212"/>
    </row>
    <row r="5410" spans="1:5" ht="14.25">
      <c r="A5410" s="37"/>
      <c r="B5410" s="37"/>
      <c r="C5410" s="37"/>
      <c r="D5410" s="37"/>
      <c r="E5410" s="212"/>
    </row>
    <row r="5411" spans="1:5" ht="14.25">
      <c r="A5411" s="37"/>
      <c r="B5411" s="37"/>
      <c r="C5411" s="37"/>
      <c r="D5411" s="37"/>
      <c r="E5411" s="212"/>
    </row>
    <row r="5412" spans="1:5" ht="14.25">
      <c r="A5412" s="37"/>
      <c r="B5412" s="37"/>
      <c r="C5412" s="37"/>
      <c r="D5412" s="37"/>
      <c r="E5412" s="212"/>
    </row>
    <row r="5413" spans="1:5" ht="14.25">
      <c r="A5413" s="37"/>
      <c r="B5413" s="37"/>
      <c r="C5413" s="37"/>
      <c r="D5413" s="37"/>
      <c r="E5413" s="212"/>
    </row>
    <row r="5414" spans="1:5" ht="14.25">
      <c r="A5414" s="37"/>
      <c r="B5414" s="37"/>
      <c r="C5414" s="37"/>
      <c r="D5414" s="37"/>
      <c r="E5414" s="212"/>
    </row>
    <row r="5415" spans="1:5" ht="14.25">
      <c r="A5415" s="37"/>
      <c r="B5415" s="37"/>
      <c r="C5415" s="37"/>
      <c r="D5415" s="37"/>
      <c r="E5415" s="212"/>
    </row>
    <row r="5416" spans="1:5" ht="14.25">
      <c r="A5416" s="37"/>
      <c r="B5416" s="37"/>
      <c r="C5416" s="37"/>
      <c r="D5416" s="37"/>
      <c r="E5416" s="212"/>
    </row>
    <row r="5417" spans="1:5" ht="14.25">
      <c r="A5417" s="37"/>
      <c r="B5417" s="37"/>
      <c r="C5417" s="37"/>
      <c r="D5417" s="37"/>
      <c r="E5417" s="212"/>
    </row>
    <row r="5418" spans="1:5" ht="14.25">
      <c r="A5418" s="37"/>
      <c r="B5418" s="37"/>
      <c r="C5418" s="37"/>
      <c r="D5418" s="37"/>
      <c r="E5418" s="212"/>
    </row>
    <row r="5419" spans="1:5" ht="14.25">
      <c r="A5419" s="37"/>
      <c r="B5419" s="37"/>
      <c r="C5419" s="37"/>
      <c r="D5419" s="37"/>
      <c r="E5419" s="212"/>
    </row>
    <row r="5420" spans="1:5" ht="14.25">
      <c r="A5420" s="37"/>
      <c r="B5420" s="37"/>
      <c r="C5420" s="37"/>
      <c r="D5420" s="37"/>
      <c r="E5420" s="212"/>
    </row>
    <row r="5421" spans="1:5" ht="14.25">
      <c r="A5421" s="37"/>
      <c r="B5421" s="37"/>
      <c r="C5421" s="37"/>
      <c r="D5421" s="37"/>
      <c r="E5421" s="212"/>
    </row>
    <row r="5422" spans="1:5" ht="14.25">
      <c r="A5422" s="37"/>
      <c r="B5422" s="37"/>
      <c r="C5422" s="37"/>
      <c r="D5422" s="37"/>
      <c r="E5422" s="212"/>
    </row>
    <row r="5423" spans="1:5" ht="14.25">
      <c r="A5423" s="37"/>
      <c r="B5423" s="37"/>
      <c r="C5423" s="37"/>
      <c r="D5423" s="37"/>
      <c r="E5423" s="212"/>
    </row>
    <row r="5424" spans="1:5" ht="14.25">
      <c r="A5424" s="37"/>
      <c r="B5424" s="37"/>
      <c r="C5424" s="37"/>
      <c r="D5424" s="37"/>
      <c r="E5424" s="212"/>
    </row>
    <row r="5425" spans="1:5" ht="14.25">
      <c r="A5425" s="37"/>
      <c r="B5425" s="37"/>
      <c r="C5425" s="37"/>
      <c r="D5425" s="37"/>
      <c r="E5425" s="212"/>
    </row>
    <row r="5426" spans="1:5" ht="14.25">
      <c r="A5426" s="37"/>
      <c r="B5426" s="37"/>
      <c r="C5426" s="37"/>
      <c r="D5426" s="37"/>
      <c r="E5426" s="212"/>
    </row>
    <row r="5427" spans="1:5" ht="14.25">
      <c r="A5427" s="37"/>
      <c r="B5427" s="37"/>
      <c r="C5427" s="37"/>
      <c r="D5427" s="37"/>
      <c r="E5427" s="212"/>
    </row>
    <row r="5428" spans="1:5" ht="14.25">
      <c r="A5428" s="37"/>
      <c r="B5428" s="37"/>
      <c r="C5428" s="37"/>
      <c r="D5428" s="37"/>
      <c r="E5428" s="212"/>
    </row>
    <row r="5429" spans="1:5" ht="14.25">
      <c r="A5429" s="37"/>
      <c r="B5429" s="37"/>
      <c r="C5429" s="37"/>
      <c r="D5429" s="37"/>
      <c r="E5429" s="212"/>
    </row>
    <row r="5430" spans="1:5" ht="14.25">
      <c r="A5430" s="37"/>
      <c r="B5430" s="37"/>
      <c r="C5430" s="37"/>
      <c r="D5430" s="37"/>
      <c r="E5430" s="212"/>
    </row>
    <row r="5431" spans="1:5" ht="14.25">
      <c r="A5431" s="37"/>
      <c r="B5431" s="37"/>
      <c r="C5431" s="37"/>
      <c r="D5431" s="37"/>
      <c r="E5431" s="212"/>
    </row>
    <row r="5432" spans="1:5" ht="14.25">
      <c r="A5432" s="37"/>
      <c r="B5432" s="37"/>
      <c r="C5432" s="37"/>
      <c r="D5432" s="37"/>
      <c r="E5432" s="212"/>
    </row>
    <row r="5433" spans="1:5" ht="14.25">
      <c r="A5433" s="37"/>
      <c r="B5433" s="37"/>
      <c r="C5433" s="37"/>
      <c r="D5433" s="37"/>
      <c r="E5433" s="212"/>
    </row>
    <row r="5434" spans="1:5" ht="14.25">
      <c r="A5434" s="37"/>
      <c r="B5434" s="37"/>
      <c r="C5434" s="37"/>
      <c r="D5434" s="37"/>
      <c r="E5434" s="212"/>
    </row>
    <row r="5435" spans="1:5" ht="14.25">
      <c r="A5435" s="37"/>
      <c r="B5435" s="37"/>
      <c r="C5435" s="37"/>
      <c r="D5435" s="37"/>
      <c r="E5435" s="212"/>
    </row>
    <row r="5436" spans="1:5" ht="14.25">
      <c r="A5436" s="37"/>
      <c r="B5436" s="37"/>
      <c r="C5436" s="37"/>
      <c r="D5436" s="37"/>
      <c r="E5436" s="212"/>
    </row>
    <row r="5437" spans="1:5" ht="14.25">
      <c r="A5437" s="37"/>
      <c r="B5437" s="37"/>
      <c r="C5437" s="37"/>
      <c r="D5437" s="37"/>
      <c r="E5437" s="212"/>
    </row>
    <row r="5438" spans="1:5" ht="14.25">
      <c r="A5438" s="37"/>
      <c r="B5438" s="37"/>
      <c r="C5438" s="37"/>
      <c r="D5438" s="37"/>
      <c r="E5438" s="212"/>
    </row>
    <row r="5439" spans="1:5" ht="14.25">
      <c r="A5439" s="37"/>
      <c r="B5439" s="37"/>
      <c r="C5439" s="37"/>
      <c r="D5439" s="37"/>
      <c r="E5439" s="212"/>
    </row>
    <row r="5440" spans="1:5" ht="14.25">
      <c r="A5440" s="37"/>
      <c r="B5440" s="37"/>
      <c r="C5440" s="37"/>
      <c r="D5440" s="37"/>
      <c r="E5440" s="212"/>
    </row>
    <row r="5441" spans="1:5" ht="14.25">
      <c r="A5441" s="37"/>
      <c r="B5441" s="37"/>
      <c r="C5441" s="37"/>
      <c r="D5441" s="37"/>
      <c r="E5441" s="212"/>
    </row>
    <row r="5442" spans="1:5" ht="14.25">
      <c r="A5442" s="37"/>
      <c r="B5442" s="37"/>
      <c r="C5442" s="37"/>
      <c r="D5442" s="37"/>
      <c r="E5442" s="212"/>
    </row>
    <row r="5443" spans="1:5" ht="14.25">
      <c r="A5443" s="37"/>
      <c r="B5443" s="37"/>
      <c r="C5443" s="37"/>
      <c r="D5443" s="37"/>
      <c r="E5443" s="212"/>
    </row>
    <row r="5444" spans="1:5" ht="14.25">
      <c r="A5444" s="37"/>
      <c r="B5444" s="37"/>
      <c r="C5444" s="37"/>
      <c r="D5444" s="37"/>
      <c r="E5444" s="212"/>
    </row>
    <row r="5445" spans="1:5" ht="14.25">
      <c r="A5445" s="37"/>
      <c r="B5445" s="37"/>
      <c r="C5445" s="37"/>
      <c r="D5445" s="37"/>
      <c r="E5445" s="212"/>
    </row>
    <row r="5446" spans="1:5" ht="14.25">
      <c r="A5446" s="37"/>
      <c r="B5446" s="37"/>
      <c r="C5446" s="37"/>
      <c r="D5446" s="37"/>
      <c r="E5446" s="212"/>
    </row>
    <row r="5447" spans="1:5" ht="14.25">
      <c r="A5447" s="37"/>
      <c r="B5447" s="37"/>
      <c r="C5447" s="37"/>
      <c r="D5447" s="37"/>
      <c r="E5447" s="212"/>
    </row>
    <row r="5448" spans="1:5" ht="14.25">
      <c r="A5448" s="37"/>
      <c r="B5448" s="37"/>
      <c r="C5448" s="37"/>
      <c r="D5448" s="37"/>
      <c r="E5448" s="212"/>
    </row>
    <row r="5449" spans="1:5" ht="14.25">
      <c r="A5449" s="37"/>
      <c r="B5449" s="37"/>
      <c r="C5449" s="37"/>
      <c r="D5449" s="37"/>
      <c r="E5449" s="212"/>
    </row>
    <row r="5450" spans="1:5" ht="14.25">
      <c r="A5450" s="37"/>
      <c r="B5450" s="37"/>
      <c r="C5450" s="37"/>
      <c r="D5450" s="37"/>
      <c r="E5450" s="212"/>
    </row>
    <row r="5451" spans="1:5" ht="14.25">
      <c r="A5451" s="37"/>
      <c r="B5451" s="37"/>
      <c r="C5451" s="37"/>
      <c r="D5451" s="37"/>
      <c r="E5451" s="212"/>
    </row>
    <row r="5452" spans="1:5" ht="14.25">
      <c r="A5452" s="37"/>
      <c r="B5452" s="37"/>
      <c r="C5452" s="37"/>
      <c r="D5452" s="37"/>
      <c r="E5452" s="212"/>
    </row>
    <row r="5453" spans="1:5" ht="14.25">
      <c r="A5453" s="37"/>
      <c r="B5453" s="37"/>
      <c r="C5453" s="37"/>
      <c r="D5453" s="37"/>
      <c r="E5453" s="212"/>
    </row>
    <row r="5454" spans="1:5" ht="14.25">
      <c r="A5454" s="37"/>
      <c r="B5454" s="37"/>
      <c r="C5454" s="37"/>
      <c r="D5454" s="37"/>
      <c r="E5454" s="212"/>
    </row>
    <row r="5455" spans="1:5" ht="14.25">
      <c r="A5455" s="37"/>
      <c r="B5455" s="37"/>
      <c r="C5455" s="37"/>
      <c r="D5455" s="37"/>
      <c r="E5455" s="212"/>
    </row>
    <row r="5456" spans="1:5" ht="14.25">
      <c r="A5456" s="37"/>
      <c r="B5456" s="37"/>
      <c r="C5456" s="37"/>
      <c r="D5456" s="37"/>
      <c r="E5456" s="212"/>
    </row>
    <row r="5457" spans="1:5" ht="14.25">
      <c r="A5457" s="37"/>
      <c r="B5457" s="37"/>
      <c r="C5457" s="37"/>
      <c r="D5457" s="37"/>
      <c r="E5457" s="212"/>
    </row>
    <row r="5458" spans="1:5" ht="14.25">
      <c r="A5458" s="37"/>
      <c r="B5458" s="37"/>
      <c r="C5458" s="37"/>
      <c r="D5458" s="37"/>
      <c r="E5458" s="212"/>
    </row>
    <row r="5459" spans="1:5" ht="14.25">
      <c r="A5459" s="37"/>
      <c r="B5459" s="37"/>
      <c r="C5459" s="37"/>
      <c r="D5459" s="37"/>
      <c r="E5459" s="212"/>
    </row>
    <row r="5460" spans="1:5" ht="14.25">
      <c r="A5460" s="37"/>
      <c r="B5460" s="37"/>
      <c r="C5460" s="37"/>
      <c r="D5460" s="37"/>
      <c r="E5460" s="212"/>
    </row>
    <row r="5461" spans="1:5" ht="14.25">
      <c r="A5461" s="37"/>
      <c r="B5461" s="37"/>
      <c r="C5461" s="37"/>
      <c r="D5461" s="37"/>
      <c r="E5461" s="212"/>
    </row>
    <row r="5462" spans="1:5" ht="14.25">
      <c r="A5462" s="37"/>
      <c r="B5462" s="37"/>
      <c r="C5462" s="37"/>
      <c r="D5462" s="37"/>
      <c r="E5462" s="212"/>
    </row>
    <row r="5463" spans="1:5" ht="14.25">
      <c r="A5463" s="37"/>
      <c r="B5463" s="37"/>
      <c r="C5463" s="37"/>
      <c r="D5463" s="37"/>
      <c r="E5463" s="212"/>
    </row>
    <row r="5464" spans="1:5" ht="14.25">
      <c r="A5464" s="37"/>
      <c r="B5464" s="37"/>
      <c r="C5464" s="37"/>
      <c r="D5464" s="37"/>
      <c r="E5464" s="212"/>
    </row>
    <row r="5465" spans="1:5" ht="14.25">
      <c r="A5465" s="37"/>
      <c r="B5465" s="37"/>
      <c r="C5465" s="37"/>
      <c r="D5465" s="37"/>
      <c r="E5465" s="212"/>
    </row>
    <row r="5466" spans="1:5" ht="14.25">
      <c r="A5466" s="37"/>
      <c r="B5466" s="37"/>
      <c r="C5466" s="37"/>
      <c r="D5466" s="37"/>
      <c r="E5466" s="212"/>
    </row>
    <row r="5467" spans="1:5" ht="14.25">
      <c r="A5467" s="37"/>
      <c r="B5467" s="37"/>
      <c r="C5467" s="37"/>
      <c r="D5467" s="37"/>
      <c r="E5467" s="212"/>
    </row>
    <row r="5468" spans="1:5" ht="14.25">
      <c r="A5468" s="37"/>
      <c r="B5468" s="37"/>
      <c r="C5468" s="37"/>
      <c r="D5468" s="37"/>
      <c r="E5468" s="212"/>
    </row>
    <row r="5469" spans="1:5" ht="14.25">
      <c r="A5469" s="37"/>
      <c r="B5469" s="37"/>
      <c r="C5469" s="37"/>
      <c r="D5469" s="37"/>
      <c r="E5469" s="212"/>
    </row>
    <row r="5470" spans="1:5" ht="14.25">
      <c r="A5470" s="37"/>
      <c r="B5470" s="37"/>
      <c r="C5470" s="37"/>
      <c r="D5470" s="37"/>
      <c r="E5470" s="212"/>
    </row>
    <row r="5471" spans="1:5" ht="14.25">
      <c r="A5471" s="37"/>
      <c r="B5471" s="37"/>
      <c r="C5471" s="37"/>
      <c r="D5471" s="37"/>
      <c r="E5471" s="212"/>
    </row>
    <row r="5472" spans="1:5" ht="14.25">
      <c r="A5472" s="37"/>
      <c r="B5472" s="37"/>
      <c r="C5472" s="37"/>
      <c r="D5472" s="37"/>
      <c r="E5472" s="212"/>
    </row>
    <row r="5473" spans="1:5" ht="14.25">
      <c r="A5473" s="37"/>
      <c r="B5473" s="37"/>
      <c r="C5473" s="37"/>
      <c r="D5473" s="37"/>
      <c r="E5473" s="212"/>
    </row>
    <row r="5474" spans="1:5" ht="14.25">
      <c r="A5474" s="37"/>
      <c r="B5474" s="37"/>
      <c r="C5474" s="37"/>
      <c r="D5474" s="37"/>
      <c r="E5474" s="212"/>
    </row>
    <row r="5475" spans="1:5" ht="14.25">
      <c r="A5475" s="37"/>
      <c r="B5475" s="37"/>
      <c r="C5475" s="37"/>
      <c r="D5475" s="37"/>
      <c r="E5475" s="212"/>
    </row>
    <row r="5476" spans="1:5" ht="14.25">
      <c r="A5476" s="37"/>
      <c r="B5476" s="37"/>
      <c r="C5476" s="37"/>
      <c r="D5476" s="37"/>
      <c r="E5476" s="212"/>
    </row>
    <row r="5477" spans="1:5" ht="14.25">
      <c r="A5477" s="37"/>
      <c r="B5477" s="37"/>
      <c r="C5477" s="37"/>
      <c r="D5477" s="37"/>
      <c r="E5477" s="212"/>
    </row>
    <row r="5478" spans="1:5" ht="14.25">
      <c r="A5478" s="37"/>
      <c r="B5478" s="37"/>
      <c r="C5478" s="37"/>
      <c r="D5478" s="37"/>
      <c r="E5478" s="212"/>
    </row>
    <row r="5479" spans="1:5" ht="14.25">
      <c r="A5479" s="37"/>
      <c r="B5479" s="37"/>
      <c r="C5479" s="37"/>
      <c r="D5479" s="37"/>
      <c r="E5479" s="212"/>
    </row>
    <row r="5480" spans="1:5" ht="14.25">
      <c r="A5480" s="37"/>
      <c r="B5480" s="37"/>
      <c r="C5480" s="37"/>
      <c r="D5480" s="37"/>
      <c r="E5480" s="212"/>
    </row>
    <row r="5481" spans="1:5" ht="14.25">
      <c r="A5481" s="37"/>
      <c r="B5481" s="37"/>
      <c r="C5481" s="37"/>
      <c r="D5481" s="37"/>
      <c r="E5481" s="212"/>
    </row>
    <row r="5482" spans="1:5" ht="14.25">
      <c r="A5482" s="37"/>
      <c r="B5482" s="37"/>
      <c r="C5482" s="37"/>
      <c r="D5482" s="37"/>
      <c r="E5482" s="212"/>
    </row>
    <row r="5483" spans="1:5" ht="14.25">
      <c r="A5483" s="37"/>
      <c r="B5483" s="37"/>
      <c r="C5483" s="37"/>
      <c r="D5483" s="37"/>
      <c r="E5483" s="212"/>
    </row>
    <row r="5484" spans="1:5" ht="14.25">
      <c r="A5484" s="37"/>
      <c r="B5484" s="37"/>
      <c r="C5484" s="37"/>
      <c r="D5484" s="37"/>
      <c r="E5484" s="212"/>
    </row>
    <row r="5485" spans="1:5" ht="14.25">
      <c r="A5485" s="37"/>
      <c r="B5485" s="37"/>
      <c r="C5485" s="37"/>
      <c r="D5485" s="37"/>
      <c r="E5485" s="212"/>
    </row>
    <row r="5486" spans="1:5" ht="14.25">
      <c r="A5486" s="37"/>
      <c r="B5486" s="37"/>
      <c r="C5486" s="37"/>
      <c r="D5486" s="37"/>
      <c r="E5486" s="212"/>
    </row>
    <row r="5487" spans="1:5" ht="14.25">
      <c r="A5487" s="37"/>
      <c r="B5487" s="37"/>
      <c r="C5487" s="37"/>
      <c r="D5487" s="37"/>
      <c r="E5487" s="212"/>
    </row>
    <row r="5488" spans="1:5" ht="14.25">
      <c r="A5488" s="37"/>
      <c r="B5488" s="37"/>
      <c r="C5488" s="37"/>
      <c r="D5488" s="37"/>
      <c r="E5488" s="212"/>
    </row>
    <row r="5489" spans="1:5" ht="14.25">
      <c r="A5489" s="37"/>
      <c r="B5489" s="37"/>
      <c r="C5489" s="37"/>
      <c r="D5489" s="37"/>
      <c r="E5489" s="212"/>
    </row>
    <row r="5490" spans="1:5" ht="14.25">
      <c r="A5490" s="37"/>
      <c r="B5490" s="37"/>
      <c r="C5490" s="37"/>
      <c r="D5490" s="37"/>
      <c r="E5490" s="212"/>
    </row>
    <row r="5491" spans="1:5" ht="14.25">
      <c r="A5491" s="37"/>
      <c r="B5491" s="37"/>
      <c r="C5491" s="37"/>
      <c r="D5491" s="37"/>
      <c r="E5491" s="212"/>
    </row>
    <row r="5492" spans="1:5" ht="14.25">
      <c r="A5492" s="37"/>
      <c r="B5492" s="37"/>
      <c r="C5492" s="37"/>
      <c r="D5492" s="37"/>
      <c r="E5492" s="212"/>
    </row>
    <row r="5493" spans="1:5" ht="14.25">
      <c r="A5493" s="37"/>
      <c r="B5493" s="37"/>
      <c r="C5493" s="37"/>
      <c r="D5493" s="37"/>
      <c r="E5493" s="212"/>
    </row>
    <row r="5494" spans="1:5" ht="14.25">
      <c r="A5494" s="37"/>
      <c r="B5494" s="37"/>
      <c r="C5494" s="37"/>
      <c r="D5494" s="37"/>
      <c r="E5494" s="212"/>
    </row>
    <row r="5495" spans="1:5" ht="14.25">
      <c r="A5495" s="37"/>
      <c r="B5495" s="37"/>
      <c r="C5495" s="37"/>
      <c r="D5495" s="37"/>
      <c r="E5495" s="212"/>
    </row>
    <row r="5496" spans="1:5" ht="14.25">
      <c r="A5496" s="37"/>
      <c r="B5496" s="37"/>
      <c r="C5496" s="37"/>
      <c r="D5496" s="37"/>
      <c r="E5496" s="212"/>
    </row>
    <row r="5497" spans="1:5" ht="14.25">
      <c r="A5497" s="37"/>
      <c r="B5497" s="37"/>
      <c r="C5497" s="37"/>
      <c r="D5497" s="37"/>
      <c r="E5497" s="212"/>
    </row>
    <row r="5498" spans="1:5" ht="14.25">
      <c r="A5498" s="37"/>
      <c r="B5498" s="37"/>
      <c r="C5498" s="37"/>
      <c r="D5498" s="37"/>
      <c r="E5498" s="212"/>
    </row>
    <row r="5499" spans="1:5" ht="14.25">
      <c r="A5499" s="37"/>
      <c r="B5499" s="37"/>
      <c r="C5499" s="37"/>
      <c r="D5499" s="37"/>
      <c r="E5499" s="212"/>
    </row>
    <row r="5500" spans="1:5" ht="14.25">
      <c r="A5500" s="37"/>
      <c r="B5500" s="37"/>
      <c r="C5500" s="37"/>
      <c r="D5500" s="37"/>
      <c r="E5500" s="212"/>
    </row>
    <row r="5501" spans="1:5" ht="14.25">
      <c r="A5501" s="37"/>
      <c r="B5501" s="37"/>
      <c r="C5501" s="37"/>
      <c r="D5501" s="37"/>
      <c r="E5501" s="212"/>
    </row>
    <row r="5502" spans="1:5" ht="14.25">
      <c r="A5502" s="37"/>
      <c r="B5502" s="37"/>
      <c r="C5502" s="37"/>
      <c r="D5502" s="37"/>
      <c r="E5502" s="212"/>
    </row>
    <row r="5503" spans="1:5" ht="14.25">
      <c r="A5503" s="37"/>
      <c r="B5503" s="37"/>
      <c r="C5503" s="37"/>
      <c r="D5503" s="37"/>
      <c r="E5503" s="212"/>
    </row>
    <row r="5504" spans="1:5" ht="14.25">
      <c r="A5504" s="37"/>
      <c r="B5504" s="37"/>
      <c r="C5504" s="37"/>
      <c r="D5504" s="37"/>
      <c r="E5504" s="212"/>
    </row>
    <row r="5505" spans="1:5" ht="14.25">
      <c r="A5505" s="37"/>
      <c r="B5505" s="37"/>
      <c r="C5505" s="37"/>
      <c r="D5505" s="37"/>
      <c r="E5505" s="212"/>
    </row>
    <row r="5506" spans="1:5" ht="14.25">
      <c r="A5506" s="37"/>
      <c r="B5506" s="37"/>
      <c r="C5506" s="37"/>
      <c r="D5506" s="37"/>
      <c r="E5506" s="212"/>
    </row>
    <row r="5507" spans="1:5" ht="14.25">
      <c r="A5507" s="37"/>
      <c r="B5507" s="37"/>
      <c r="C5507" s="37"/>
      <c r="D5507" s="37"/>
      <c r="E5507" s="212"/>
    </row>
    <row r="5508" spans="1:5" ht="14.25">
      <c r="A5508" s="37"/>
      <c r="B5508" s="37"/>
      <c r="C5508" s="37"/>
      <c r="D5508" s="37"/>
      <c r="E5508" s="212"/>
    </row>
    <row r="5509" spans="1:5" ht="14.25">
      <c r="A5509" s="37"/>
      <c r="B5509" s="37"/>
      <c r="C5509" s="37"/>
      <c r="D5509" s="37"/>
      <c r="E5509" s="212"/>
    </row>
    <row r="5510" spans="1:5" ht="14.25">
      <c r="A5510" s="37"/>
      <c r="B5510" s="37"/>
      <c r="C5510" s="37"/>
      <c r="D5510" s="37"/>
      <c r="E5510" s="212"/>
    </row>
    <row r="5511" spans="1:5" ht="14.25">
      <c r="A5511" s="37"/>
      <c r="B5511" s="37"/>
      <c r="C5511" s="37"/>
      <c r="D5511" s="37"/>
      <c r="E5511" s="212"/>
    </row>
    <row r="5512" spans="1:5" ht="14.25">
      <c r="A5512" s="37"/>
      <c r="B5512" s="37"/>
      <c r="C5512" s="37"/>
      <c r="D5512" s="37"/>
      <c r="E5512" s="212"/>
    </row>
    <row r="5513" spans="1:5" ht="14.25">
      <c r="A5513" s="37"/>
      <c r="B5513" s="37"/>
      <c r="C5513" s="37"/>
      <c r="D5513" s="37"/>
      <c r="E5513" s="212"/>
    </row>
    <row r="5514" spans="1:5" ht="14.25">
      <c r="A5514" s="37"/>
      <c r="B5514" s="37"/>
      <c r="C5514" s="37"/>
      <c r="D5514" s="37"/>
      <c r="E5514" s="212"/>
    </row>
    <row r="5515" spans="1:5" ht="14.25">
      <c r="A5515" s="37"/>
      <c r="B5515" s="37"/>
      <c r="C5515" s="37"/>
      <c r="D5515" s="37"/>
      <c r="E5515" s="212"/>
    </row>
    <row r="5516" spans="1:5" ht="14.25">
      <c r="A5516" s="37"/>
      <c r="B5516" s="37"/>
      <c r="C5516" s="37"/>
      <c r="D5516" s="37"/>
      <c r="E5516" s="212"/>
    </row>
    <row r="5517" spans="1:5" ht="14.25">
      <c r="A5517" s="37"/>
      <c r="B5517" s="37"/>
      <c r="C5517" s="37"/>
      <c r="D5517" s="37"/>
      <c r="E5517" s="212"/>
    </row>
    <row r="5518" spans="1:5" ht="14.25">
      <c r="A5518" s="37"/>
      <c r="B5518" s="37"/>
      <c r="C5518" s="37"/>
      <c r="D5518" s="37"/>
      <c r="E5518" s="212"/>
    </row>
    <row r="5519" spans="1:5" ht="14.25">
      <c r="A5519" s="37"/>
      <c r="B5519" s="37"/>
      <c r="C5519" s="37"/>
      <c r="D5519" s="37"/>
      <c r="E5519" s="212"/>
    </row>
    <row r="5520" spans="1:5" ht="14.25">
      <c r="A5520" s="37"/>
      <c r="B5520" s="37"/>
      <c r="C5520" s="37"/>
      <c r="D5520" s="37"/>
      <c r="E5520" s="212"/>
    </row>
    <row r="5521" spans="1:5" ht="14.25">
      <c r="A5521" s="37"/>
      <c r="B5521" s="37"/>
      <c r="C5521" s="37"/>
      <c r="D5521" s="37"/>
      <c r="E5521" s="212"/>
    </row>
    <row r="5522" spans="1:5" ht="14.25">
      <c r="A5522" s="37"/>
      <c r="B5522" s="37"/>
      <c r="C5522" s="37"/>
      <c r="D5522" s="37"/>
      <c r="E5522" s="212"/>
    </row>
    <row r="5523" spans="1:5" ht="14.25">
      <c r="A5523" s="37"/>
      <c r="B5523" s="37"/>
      <c r="C5523" s="37"/>
      <c r="D5523" s="37"/>
      <c r="E5523" s="212"/>
    </row>
    <row r="5524" spans="1:5" ht="14.25">
      <c r="A5524" s="37"/>
      <c r="B5524" s="37"/>
      <c r="C5524" s="37"/>
      <c r="D5524" s="37"/>
      <c r="E5524" s="212"/>
    </row>
    <row r="5525" spans="1:5" ht="14.25">
      <c r="A5525" s="37"/>
      <c r="B5525" s="37"/>
      <c r="C5525" s="37"/>
      <c r="D5525" s="37"/>
      <c r="E5525" s="212"/>
    </row>
    <row r="5526" spans="1:5" ht="14.25">
      <c r="A5526" s="37"/>
      <c r="B5526" s="37"/>
      <c r="C5526" s="37"/>
      <c r="D5526" s="37"/>
      <c r="E5526" s="212"/>
    </row>
    <row r="5527" spans="1:5" ht="14.25">
      <c r="A5527" s="37"/>
      <c r="B5527" s="37"/>
      <c r="C5527" s="37"/>
      <c r="D5527" s="37"/>
      <c r="E5527" s="212"/>
    </row>
    <row r="5528" spans="1:5" ht="14.25">
      <c r="A5528" s="37"/>
      <c r="B5528" s="37"/>
      <c r="C5528" s="37"/>
      <c r="D5528" s="37"/>
      <c r="E5528" s="212"/>
    </row>
    <row r="5529" spans="1:5" ht="14.25">
      <c r="A5529" s="37"/>
      <c r="B5529" s="37"/>
      <c r="C5529" s="37"/>
      <c r="D5529" s="37"/>
      <c r="E5529" s="212"/>
    </row>
    <row r="5530" spans="1:5" ht="14.25">
      <c r="A5530" s="37"/>
      <c r="B5530" s="37"/>
      <c r="C5530" s="37"/>
      <c r="D5530" s="37"/>
      <c r="E5530" s="212"/>
    </row>
    <row r="5531" spans="1:5" ht="14.25">
      <c r="A5531" s="37"/>
      <c r="B5531" s="37"/>
      <c r="C5531" s="37"/>
      <c r="D5531" s="37"/>
      <c r="E5531" s="212"/>
    </row>
    <row r="5532" spans="1:5" ht="14.25">
      <c r="A5532" s="37"/>
      <c r="B5532" s="37"/>
      <c r="C5532" s="37"/>
      <c r="D5532" s="37"/>
      <c r="E5532" s="212"/>
    </row>
    <row r="5533" spans="1:5" ht="14.25">
      <c r="A5533" s="37"/>
      <c r="B5533" s="37"/>
      <c r="C5533" s="37"/>
      <c r="D5533" s="37"/>
      <c r="E5533" s="212"/>
    </row>
    <row r="5534" spans="1:5" ht="14.25">
      <c r="A5534" s="37"/>
      <c r="B5534" s="37"/>
      <c r="C5534" s="37"/>
      <c r="D5534" s="37"/>
      <c r="E5534" s="212"/>
    </row>
    <row r="5535" spans="1:5" ht="14.25">
      <c r="A5535" s="37"/>
      <c r="B5535" s="37"/>
      <c r="C5535" s="37"/>
      <c r="D5535" s="37"/>
      <c r="E5535" s="212"/>
    </row>
    <row r="5536" spans="1:5" ht="14.25">
      <c r="A5536" s="37"/>
      <c r="B5536" s="37"/>
      <c r="C5536" s="37"/>
      <c r="D5536" s="37"/>
      <c r="E5536" s="212"/>
    </row>
    <row r="5537" spans="1:5" ht="14.25">
      <c r="A5537" s="37"/>
      <c r="B5537" s="37"/>
      <c r="C5537" s="37"/>
      <c r="D5537" s="37"/>
      <c r="E5537" s="212"/>
    </row>
    <row r="5538" spans="1:5" ht="14.25">
      <c r="A5538" s="37"/>
      <c r="B5538" s="37"/>
      <c r="C5538" s="37"/>
      <c r="D5538" s="37"/>
      <c r="E5538" s="212"/>
    </row>
    <row r="5539" spans="1:5" ht="14.25">
      <c r="A5539" s="37"/>
      <c r="B5539" s="37"/>
      <c r="C5539" s="37"/>
      <c r="D5539" s="37"/>
      <c r="E5539" s="212"/>
    </row>
    <row r="5540" spans="1:5" ht="14.25">
      <c r="A5540" s="37"/>
      <c r="B5540" s="37"/>
      <c r="C5540" s="37"/>
      <c r="D5540" s="37"/>
      <c r="E5540" s="212"/>
    </row>
    <row r="5541" spans="1:5" ht="14.25">
      <c r="A5541" s="37"/>
      <c r="B5541" s="37"/>
      <c r="C5541" s="37"/>
      <c r="D5541" s="37"/>
      <c r="E5541" s="212"/>
    </row>
    <row r="5542" spans="1:5" ht="14.25">
      <c r="A5542" s="37"/>
      <c r="B5542" s="37"/>
      <c r="C5542" s="37"/>
      <c r="D5542" s="37"/>
      <c r="E5542" s="212"/>
    </row>
    <row r="5543" spans="1:5" ht="14.25">
      <c r="A5543" s="37"/>
      <c r="B5543" s="37"/>
      <c r="C5543" s="37"/>
      <c r="D5543" s="37"/>
      <c r="E5543" s="212"/>
    </row>
    <row r="5544" spans="1:5" ht="14.25">
      <c r="A5544" s="37"/>
      <c r="B5544" s="37"/>
      <c r="C5544" s="37"/>
      <c r="D5544" s="37"/>
      <c r="E5544" s="212"/>
    </row>
    <row r="5545" spans="1:5" ht="14.25">
      <c r="A5545" s="37"/>
      <c r="B5545" s="37"/>
      <c r="C5545" s="37"/>
      <c r="D5545" s="37"/>
      <c r="E5545" s="212"/>
    </row>
    <row r="5546" spans="1:5" ht="14.25">
      <c r="A5546" s="37"/>
      <c r="B5546" s="37"/>
      <c r="C5546" s="37"/>
      <c r="D5546" s="37"/>
      <c r="E5546" s="212"/>
    </row>
    <row r="5547" spans="1:5" ht="14.25">
      <c r="A5547" s="37"/>
      <c r="B5547" s="37"/>
      <c r="C5547" s="37"/>
      <c r="D5547" s="37"/>
      <c r="E5547" s="212"/>
    </row>
    <row r="5548" spans="1:5" ht="14.25">
      <c r="A5548" s="37"/>
      <c r="B5548" s="37"/>
      <c r="C5548" s="37"/>
      <c r="D5548" s="37"/>
      <c r="E5548" s="213"/>
    </row>
    <row r="5549" spans="1:5" ht="14.25">
      <c r="A5549" s="37"/>
      <c r="B5549" s="37"/>
      <c r="C5549" s="37"/>
      <c r="D5549" s="37"/>
      <c r="E5549" s="213"/>
    </row>
    <row r="5550" spans="1:5" ht="14.25">
      <c r="A5550" s="37"/>
      <c r="B5550" s="37"/>
      <c r="C5550" s="37"/>
      <c r="D5550" s="37"/>
      <c r="E5550" s="212"/>
    </row>
    <row r="5551" spans="1:5" ht="14.25">
      <c r="A5551" s="37"/>
      <c r="B5551" s="37"/>
      <c r="C5551" s="37"/>
      <c r="D5551" s="37"/>
      <c r="E5551" s="213"/>
    </row>
    <row r="5552" spans="1:5" ht="14.25">
      <c r="A5552" s="37"/>
      <c r="B5552" s="37"/>
      <c r="C5552" s="37"/>
      <c r="D5552" s="37"/>
      <c r="E5552" s="213"/>
    </row>
    <row r="5553" spans="1:5" ht="14.25">
      <c r="A5553" s="37"/>
      <c r="B5553" s="37"/>
      <c r="C5553" s="37"/>
      <c r="D5553" s="37"/>
      <c r="E5553" s="213"/>
    </row>
    <row r="5554" spans="1:5" ht="14.25">
      <c r="A5554" s="37"/>
      <c r="B5554" s="37"/>
      <c r="C5554" s="37"/>
      <c r="D5554" s="37"/>
      <c r="E5554" s="212"/>
    </row>
    <row r="5555" spans="1:5" ht="14.25">
      <c r="A5555" s="37"/>
      <c r="B5555" s="37"/>
      <c r="C5555" s="37"/>
      <c r="D5555" s="37"/>
      <c r="E5555" s="213"/>
    </row>
    <row r="5556" spans="1:5" ht="14.25">
      <c r="A5556" s="37"/>
      <c r="B5556" s="37"/>
      <c r="C5556" s="37"/>
      <c r="D5556" s="37"/>
      <c r="E5556" s="212"/>
    </row>
    <row r="5557" spans="1:5" ht="14.25">
      <c r="A5557" s="37"/>
      <c r="B5557" s="37"/>
      <c r="C5557" s="37"/>
      <c r="D5557" s="37"/>
      <c r="E5557" s="213"/>
    </row>
    <row r="5558" spans="1:5" ht="14.25">
      <c r="A5558" s="37"/>
      <c r="B5558" s="37"/>
      <c r="C5558" s="37"/>
      <c r="D5558" s="37"/>
      <c r="E5558" s="213"/>
    </row>
    <row r="5559" spans="1:5" ht="14.25">
      <c r="A5559" s="37"/>
      <c r="B5559" s="37"/>
      <c r="C5559" s="37"/>
      <c r="D5559" s="37"/>
      <c r="E5559" s="212"/>
    </row>
    <row r="5560" spans="1:5" ht="14.25">
      <c r="A5560" s="37"/>
      <c r="B5560" s="37"/>
      <c r="C5560" s="37"/>
      <c r="D5560" s="37"/>
      <c r="E5560" s="212"/>
    </row>
    <row r="5561" spans="1:5" ht="14.25">
      <c r="A5561" s="37"/>
      <c r="B5561" s="37"/>
      <c r="C5561" s="37"/>
      <c r="D5561" s="37"/>
      <c r="E5561" s="213"/>
    </row>
    <row r="5562" spans="1:5" ht="14.25">
      <c r="A5562" s="37"/>
      <c r="B5562" s="37"/>
      <c r="C5562" s="37"/>
      <c r="D5562" s="37"/>
      <c r="E5562" s="213"/>
    </row>
    <row r="5563" spans="1:5" ht="14.25">
      <c r="A5563" s="37"/>
      <c r="B5563" s="37"/>
      <c r="C5563" s="37"/>
      <c r="D5563" s="37"/>
      <c r="E5563" s="212"/>
    </row>
    <row r="5564" spans="1:5" ht="14.25">
      <c r="A5564" s="37"/>
      <c r="B5564" s="37"/>
      <c r="C5564" s="37"/>
      <c r="D5564" s="37"/>
      <c r="E5564" s="213"/>
    </row>
    <row r="5565" spans="1:5" ht="14.25">
      <c r="A5565" s="37"/>
      <c r="B5565" s="37"/>
      <c r="C5565" s="37"/>
      <c r="D5565" s="37"/>
      <c r="E5565" s="212"/>
    </row>
    <row r="5566" spans="1:5" ht="14.25">
      <c r="A5566" s="37"/>
      <c r="B5566" s="37"/>
      <c r="C5566" s="37"/>
      <c r="D5566" s="37"/>
      <c r="E5566" s="213"/>
    </row>
    <row r="5567" spans="1:5" ht="14.25">
      <c r="A5567" s="37"/>
      <c r="B5567" s="37"/>
      <c r="C5567" s="37"/>
      <c r="D5567" s="37"/>
      <c r="E5567" s="213"/>
    </row>
    <row r="5568" spans="1:5" ht="14.25">
      <c r="A5568" s="37"/>
      <c r="B5568" s="37"/>
      <c r="C5568" s="37"/>
      <c r="D5568" s="37"/>
      <c r="E5568" s="212"/>
    </row>
    <row r="5569" spans="1:5" ht="14.25">
      <c r="A5569" s="37"/>
      <c r="B5569" s="37"/>
      <c r="C5569" s="37"/>
      <c r="D5569" s="37"/>
      <c r="E5569" s="213"/>
    </row>
    <row r="5570" spans="1:5" ht="14.25">
      <c r="A5570" s="37"/>
      <c r="B5570" s="37"/>
      <c r="C5570" s="37"/>
      <c r="D5570" s="37"/>
      <c r="E5570" s="212"/>
    </row>
    <row r="5571" spans="1:5" ht="14.25">
      <c r="A5571" s="37"/>
      <c r="B5571" s="37"/>
      <c r="C5571" s="37"/>
      <c r="D5571" s="37"/>
      <c r="E5571" s="212"/>
    </row>
    <row r="5572" spans="1:5" ht="14.25">
      <c r="A5572" s="37"/>
      <c r="B5572" s="37"/>
      <c r="C5572" s="37"/>
      <c r="D5572" s="37"/>
      <c r="E5572" s="213"/>
    </row>
    <row r="5573" spans="1:5" ht="14.25">
      <c r="A5573" s="37"/>
      <c r="B5573" s="37"/>
      <c r="C5573" s="37"/>
      <c r="D5573" s="37"/>
      <c r="E5573" s="212"/>
    </row>
    <row r="5574" spans="1:5" ht="14.25">
      <c r="A5574" s="37"/>
      <c r="B5574" s="37"/>
      <c r="C5574" s="37"/>
      <c r="D5574" s="37"/>
      <c r="E5574" s="212"/>
    </row>
    <row r="5575" spans="1:5" ht="14.25">
      <c r="A5575" s="37"/>
      <c r="B5575" s="37"/>
      <c r="C5575" s="37"/>
      <c r="D5575" s="37"/>
      <c r="E5575" s="212"/>
    </row>
    <row r="5576" spans="1:5" ht="14.25">
      <c r="A5576" s="37"/>
      <c r="B5576" s="37"/>
      <c r="C5576" s="37"/>
      <c r="D5576" s="37"/>
      <c r="E5576" s="212"/>
    </row>
    <row r="5577" spans="1:5" ht="14.25">
      <c r="A5577" s="37"/>
      <c r="B5577" s="37"/>
      <c r="C5577" s="37"/>
      <c r="D5577" s="37"/>
      <c r="E5577" s="212"/>
    </row>
    <row r="5578" spans="1:5" ht="14.25">
      <c r="A5578" s="37"/>
      <c r="B5578" s="37"/>
      <c r="C5578" s="37"/>
      <c r="D5578" s="37"/>
      <c r="E5578" s="212"/>
    </row>
    <row r="5579" spans="1:5" ht="14.25">
      <c r="A5579" s="37"/>
      <c r="B5579" s="37"/>
      <c r="C5579" s="37"/>
      <c r="D5579" s="37"/>
      <c r="E5579" s="212"/>
    </row>
    <row r="5580" spans="1:5" ht="14.25">
      <c r="A5580" s="37"/>
      <c r="B5580" s="37"/>
      <c r="C5580" s="37"/>
      <c r="D5580" s="37"/>
      <c r="E5580" s="212"/>
    </row>
    <row r="5581" spans="1:5" ht="14.25">
      <c r="A5581" s="37"/>
      <c r="B5581" s="37"/>
      <c r="C5581" s="37"/>
      <c r="D5581" s="37"/>
      <c r="E5581" s="212"/>
    </row>
    <row r="5582" spans="1:5" ht="14.25">
      <c r="A5582" s="37"/>
      <c r="B5582" s="37"/>
      <c r="C5582" s="37"/>
      <c r="D5582" s="37"/>
      <c r="E5582" s="212"/>
    </row>
    <row r="5583" spans="1:5" ht="14.25">
      <c r="A5583" s="37"/>
      <c r="B5583" s="37"/>
      <c r="C5583" s="37"/>
      <c r="D5583" s="37"/>
      <c r="E5583" s="213"/>
    </row>
    <row r="5584" spans="1:5" ht="14.25">
      <c r="A5584" s="37"/>
      <c r="B5584" s="37"/>
      <c r="C5584" s="37"/>
      <c r="D5584" s="37"/>
      <c r="E5584" s="213"/>
    </row>
    <row r="5585" spans="1:5" ht="14.25">
      <c r="A5585" s="37"/>
      <c r="B5585" s="37"/>
      <c r="C5585" s="37"/>
      <c r="D5585" s="37"/>
      <c r="E5585" s="212"/>
    </row>
    <row r="5586" spans="1:5" ht="14.25">
      <c r="A5586" s="37"/>
      <c r="B5586" s="37"/>
      <c r="C5586" s="37"/>
      <c r="D5586" s="37"/>
      <c r="E5586" s="212"/>
    </row>
    <row r="5587" spans="1:5" ht="14.25">
      <c r="A5587" s="37"/>
      <c r="B5587" s="37"/>
      <c r="C5587" s="37"/>
      <c r="D5587" s="37"/>
      <c r="E5587" s="212"/>
    </row>
    <row r="5588" spans="1:5" ht="14.25">
      <c r="A5588" s="37"/>
      <c r="B5588" s="37"/>
      <c r="C5588" s="37"/>
      <c r="D5588" s="37"/>
      <c r="E5588" s="212"/>
    </row>
    <row r="5589" spans="1:5" ht="14.25">
      <c r="A5589" s="37"/>
      <c r="B5589" s="37"/>
      <c r="C5589" s="37"/>
      <c r="D5589" s="37"/>
      <c r="E5589" s="212"/>
    </row>
    <row r="5590" spans="1:5" ht="14.25">
      <c r="A5590" s="37"/>
      <c r="B5590" s="37"/>
      <c r="C5590" s="37"/>
      <c r="D5590" s="37"/>
      <c r="E5590" s="212"/>
    </row>
    <row r="5591" spans="1:5" ht="14.25">
      <c r="A5591" s="37"/>
      <c r="B5591" s="37"/>
      <c r="C5591" s="37"/>
      <c r="D5591" s="37"/>
      <c r="E5591" s="212"/>
    </row>
    <row r="5592" spans="1:5" ht="14.25">
      <c r="A5592" s="37"/>
      <c r="B5592" s="37"/>
      <c r="C5592" s="37"/>
      <c r="D5592" s="37"/>
      <c r="E5592" s="212"/>
    </row>
    <row r="5593" spans="1:5" ht="14.25">
      <c r="A5593" s="37"/>
      <c r="B5593" s="37"/>
      <c r="C5593" s="37"/>
      <c r="D5593" s="37"/>
      <c r="E5593" s="212"/>
    </row>
    <row r="5594" spans="1:5" ht="14.25">
      <c r="A5594" s="37"/>
      <c r="B5594" s="37"/>
      <c r="C5594" s="37"/>
      <c r="D5594" s="37"/>
      <c r="E5594" s="212"/>
    </row>
    <row r="5595" spans="1:5" ht="14.25">
      <c r="A5595" s="37"/>
      <c r="B5595" s="37"/>
      <c r="C5595" s="37"/>
      <c r="D5595" s="37"/>
      <c r="E5595" s="212"/>
    </row>
    <row r="5596" spans="1:5" ht="14.25">
      <c r="A5596" s="37"/>
      <c r="B5596" s="37"/>
      <c r="C5596" s="37"/>
      <c r="D5596" s="37"/>
      <c r="E5596" s="212"/>
    </row>
    <row r="5597" spans="1:5" ht="14.25">
      <c r="A5597" s="37"/>
      <c r="B5597" s="37"/>
      <c r="C5597" s="37"/>
      <c r="D5597" s="37"/>
      <c r="E5597" s="212"/>
    </row>
    <row r="5598" spans="1:5" ht="14.25">
      <c r="A5598" s="37"/>
      <c r="B5598" s="37"/>
      <c r="C5598" s="37"/>
      <c r="D5598" s="37"/>
      <c r="E5598" s="212"/>
    </row>
    <row r="5599" spans="1:5" ht="14.25">
      <c r="A5599" s="37"/>
      <c r="B5599" s="37"/>
      <c r="C5599" s="37"/>
      <c r="D5599" s="37"/>
      <c r="E5599" s="212"/>
    </row>
    <row r="5600" spans="1:5" ht="14.25">
      <c r="A5600" s="37"/>
      <c r="B5600" s="37"/>
      <c r="C5600" s="37"/>
      <c r="D5600" s="37"/>
      <c r="E5600" s="212"/>
    </row>
    <row r="5601" spans="1:5" ht="14.25">
      <c r="A5601" s="37"/>
      <c r="B5601" s="37"/>
      <c r="C5601" s="37"/>
      <c r="D5601" s="37"/>
      <c r="E5601" s="212"/>
    </row>
    <row r="5602" spans="1:5" ht="14.25">
      <c r="A5602" s="37"/>
      <c r="B5602" s="37"/>
      <c r="C5602" s="37"/>
      <c r="D5602" s="37"/>
      <c r="E5602" s="212"/>
    </row>
    <row r="5603" spans="1:5" ht="14.25">
      <c r="A5603" s="37"/>
      <c r="B5603" s="37"/>
      <c r="C5603" s="37"/>
      <c r="D5603" s="37"/>
      <c r="E5603" s="212"/>
    </row>
    <row r="5604" spans="1:5" ht="14.25">
      <c r="A5604" s="37"/>
      <c r="B5604" s="37"/>
      <c r="C5604" s="37"/>
      <c r="D5604" s="37"/>
      <c r="E5604" s="212"/>
    </row>
    <row r="5605" spans="1:5" ht="14.25">
      <c r="A5605" s="37"/>
      <c r="B5605" s="37"/>
      <c r="C5605" s="37"/>
      <c r="D5605" s="37"/>
      <c r="E5605" s="212"/>
    </row>
    <row r="5606" spans="1:5" ht="14.25">
      <c r="A5606" s="37"/>
      <c r="B5606" s="37"/>
      <c r="C5606" s="37"/>
      <c r="D5606" s="37"/>
      <c r="E5606" s="212"/>
    </row>
    <row r="5607" spans="1:5" ht="14.25">
      <c r="A5607" s="37"/>
      <c r="B5607" s="37"/>
      <c r="C5607" s="37"/>
      <c r="D5607" s="37"/>
      <c r="E5607" s="212"/>
    </row>
    <row r="5608" spans="1:5" ht="14.25">
      <c r="A5608" s="37"/>
      <c r="B5608" s="37"/>
      <c r="C5608" s="37"/>
      <c r="D5608" s="37"/>
      <c r="E5608" s="212"/>
    </row>
    <row r="5609" spans="1:5" ht="14.25">
      <c r="A5609" s="37"/>
      <c r="B5609" s="37"/>
      <c r="C5609" s="37"/>
      <c r="D5609" s="37"/>
      <c r="E5609" s="212"/>
    </row>
    <row r="5610" spans="1:5" ht="14.25">
      <c r="A5610" s="37"/>
      <c r="B5610" s="37"/>
      <c r="C5610" s="37"/>
      <c r="D5610" s="37"/>
      <c r="E5610" s="212"/>
    </row>
    <row r="5611" spans="1:5" ht="14.25">
      <c r="A5611" s="37"/>
      <c r="B5611" s="37"/>
      <c r="C5611" s="37"/>
      <c r="D5611" s="37"/>
      <c r="E5611" s="212"/>
    </row>
    <row r="5612" spans="1:5" ht="14.25">
      <c r="A5612" s="37"/>
      <c r="B5612" s="37"/>
      <c r="C5612" s="37"/>
      <c r="D5612" s="37"/>
      <c r="E5612" s="212"/>
    </row>
    <row r="5613" spans="1:5" ht="14.25">
      <c r="A5613" s="37"/>
      <c r="B5613" s="37"/>
      <c r="C5613" s="37"/>
      <c r="D5613" s="37"/>
      <c r="E5613" s="212"/>
    </row>
    <row r="5614" spans="1:5" ht="14.25">
      <c r="A5614" s="37"/>
      <c r="B5614" s="37"/>
      <c r="C5614" s="37"/>
      <c r="D5614" s="37"/>
      <c r="E5614" s="212"/>
    </row>
    <row r="5615" spans="1:5" ht="14.25">
      <c r="A5615" s="37"/>
      <c r="B5615" s="37"/>
      <c r="C5615" s="37"/>
      <c r="D5615" s="37"/>
      <c r="E5615" s="213"/>
    </row>
    <row r="5616" spans="1:5" ht="14.25">
      <c r="A5616" s="37"/>
      <c r="B5616" s="37"/>
      <c r="C5616" s="37"/>
      <c r="D5616" s="37"/>
      <c r="E5616" s="212"/>
    </row>
    <row r="5617" spans="1:5" ht="14.25">
      <c r="A5617" s="37"/>
      <c r="B5617" s="37"/>
      <c r="C5617" s="37"/>
      <c r="D5617" s="37"/>
      <c r="E5617" s="212"/>
    </row>
    <row r="5618" spans="1:5" ht="14.25">
      <c r="A5618" s="37"/>
      <c r="B5618" s="37"/>
      <c r="C5618" s="37"/>
      <c r="D5618" s="37"/>
      <c r="E5618" s="212"/>
    </row>
    <row r="5619" spans="1:5" ht="14.25">
      <c r="A5619" s="37"/>
      <c r="B5619" s="37"/>
      <c r="C5619" s="37"/>
      <c r="D5619" s="37"/>
      <c r="E5619" s="212"/>
    </row>
    <row r="5620" spans="1:5" ht="14.25">
      <c r="A5620" s="37"/>
      <c r="B5620" s="37"/>
      <c r="C5620" s="37"/>
      <c r="D5620" s="37"/>
      <c r="E5620" s="212"/>
    </row>
    <row r="5621" spans="1:5" ht="14.25">
      <c r="A5621" s="37"/>
      <c r="B5621" s="37"/>
      <c r="C5621" s="37"/>
      <c r="D5621" s="37"/>
      <c r="E5621" s="212"/>
    </row>
    <row r="5622" spans="1:5" ht="14.25">
      <c r="A5622" s="37"/>
      <c r="B5622" s="37"/>
      <c r="C5622" s="37"/>
      <c r="D5622" s="37"/>
      <c r="E5622" s="212"/>
    </row>
    <row r="5623" spans="1:5" ht="14.25">
      <c r="A5623" s="37"/>
      <c r="B5623" s="37"/>
      <c r="C5623" s="37"/>
      <c r="D5623" s="37"/>
      <c r="E5623" s="212"/>
    </row>
    <row r="5624" spans="1:5" ht="14.25">
      <c r="A5624" s="37"/>
      <c r="B5624" s="37"/>
      <c r="C5624" s="37"/>
      <c r="D5624" s="37"/>
      <c r="E5624" s="212"/>
    </row>
    <row r="5625" spans="1:5" ht="14.25">
      <c r="A5625" s="37"/>
      <c r="B5625" s="37"/>
      <c r="C5625" s="37"/>
      <c r="D5625" s="37"/>
      <c r="E5625" s="212"/>
    </row>
    <row r="5626" spans="1:5" ht="14.25">
      <c r="A5626" s="37"/>
      <c r="B5626" s="37"/>
      <c r="C5626" s="37"/>
      <c r="D5626" s="37"/>
      <c r="E5626" s="212"/>
    </row>
    <row r="5627" spans="1:5" ht="14.25">
      <c r="A5627" s="37"/>
      <c r="B5627" s="37"/>
      <c r="C5627" s="37"/>
      <c r="D5627" s="37"/>
      <c r="E5627" s="212"/>
    </row>
    <row r="5628" spans="1:5" ht="14.25">
      <c r="A5628" s="37"/>
      <c r="B5628" s="37"/>
      <c r="C5628" s="37"/>
      <c r="D5628" s="37"/>
      <c r="E5628" s="212"/>
    </row>
    <row r="5629" spans="1:5" ht="14.25">
      <c r="A5629" s="37"/>
      <c r="B5629" s="37"/>
      <c r="C5629" s="37"/>
      <c r="D5629" s="37"/>
      <c r="E5629" s="212"/>
    </row>
    <row r="5630" spans="1:5" ht="14.25">
      <c r="A5630" s="37"/>
      <c r="B5630" s="37"/>
      <c r="C5630" s="37"/>
      <c r="D5630" s="37"/>
      <c r="E5630" s="212"/>
    </row>
    <row r="5631" spans="1:5" ht="14.25">
      <c r="A5631" s="37"/>
      <c r="B5631" s="37"/>
      <c r="C5631" s="37"/>
      <c r="D5631" s="37"/>
      <c r="E5631" s="212"/>
    </row>
    <row r="5632" spans="1:5" ht="14.25">
      <c r="A5632" s="37"/>
      <c r="B5632" s="37"/>
      <c r="C5632" s="37"/>
      <c r="D5632" s="37"/>
      <c r="E5632" s="212"/>
    </row>
    <row r="5633" spans="1:5" ht="14.25">
      <c r="A5633" s="37"/>
      <c r="B5633" s="37"/>
      <c r="C5633" s="37"/>
      <c r="D5633" s="37"/>
      <c r="E5633" s="212"/>
    </row>
    <row r="5634" spans="1:5" ht="14.25">
      <c r="A5634" s="37"/>
      <c r="B5634" s="37"/>
      <c r="C5634" s="37"/>
      <c r="D5634" s="37"/>
      <c r="E5634" s="212"/>
    </row>
    <row r="5635" spans="1:5" ht="14.25">
      <c r="A5635" s="37"/>
      <c r="B5635" s="37"/>
      <c r="C5635" s="37"/>
      <c r="D5635" s="37"/>
      <c r="E5635" s="212"/>
    </row>
    <row r="5636" spans="1:5" ht="14.25">
      <c r="A5636" s="37"/>
      <c r="B5636" s="37"/>
      <c r="C5636" s="37"/>
      <c r="D5636" s="37"/>
      <c r="E5636" s="212"/>
    </row>
    <row r="5637" spans="1:5" ht="14.25">
      <c r="A5637" s="37"/>
      <c r="B5637" s="37"/>
      <c r="C5637" s="37"/>
      <c r="D5637" s="37"/>
      <c r="E5637" s="212"/>
    </row>
    <row r="5638" spans="1:5" ht="14.25">
      <c r="A5638" s="37"/>
      <c r="B5638" s="37"/>
      <c r="C5638" s="37"/>
      <c r="D5638" s="37"/>
      <c r="E5638" s="212"/>
    </row>
    <row r="5639" spans="1:5" ht="14.25">
      <c r="A5639" s="37"/>
      <c r="B5639" s="37"/>
      <c r="C5639" s="37"/>
      <c r="D5639" s="37"/>
      <c r="E5639" s="212"/>
    </row>
    <row r="5640" spans="1:5" ht="14.25">
      <c r="A5640" s="37"/>
      <c r="B5640" s="37"/>
      <c r="C5640" s="37"/>
      <c r="D5640" s="37"/>
      <c r="E5640" s="213"/>
    </row>
    <row r="5641" spans="1:5" ht="14.25">
      <c r="A5641" s="37"/>
      <c r="B5641" s="37"/>
      <c r="C5641" s="37"/>
      <c r="D5641" s="37"/>
      <c r="E5641" s="212"/>
    </row>
    <row r="5642" spans="1:5" ht="14.25">
      <c r="A5642" s="37"/>
      <c r="B5642" s="37"/>
      <c r="C5642" s="37"/>
      <c r="D5642" s="37"/>
      <c r="E5642" s="212"/>
    </row>
    <row r="5643" spans="1:5" ht="14.25">
      <c r="A5643" s="37"/>
      <c r="B5643" s="37"/>
      <c r="C5643" s="37"/>
      <c r="D5643" s="37"/>
      <c r="E5643" s="212"/>
    </row>
    <row r="5644" spans="1:5" ht="14.25">
      <c r="A5644" s="37"/>
      <c r="B5644" s="37"/>
      <c r="C5644" s="37"/>
      <c r="D5644" s="37"/>
      <c r="E5644" s="212"/>
    </row>
    <row r="5645" spans="1:5" ht="14.25">
      <c r="A5645" s="37"/>
      <c r="B5645" s="37"/>
      <c r="C5645" s="37"/>
      <c r="D5645" s="37"/>
      <c r="E5645" s="212"/>
    </row>
    <row r="5646" spans="1:5" ht="14.25">
      <c r="A5646" s="37"/>
      <c r="B5646" s="37"/>
      <c r="C5646" s="37"/>
      <c r="D5646" s="37"/>
      <c r="E5646" s="212"/>
    </row>
    <row r="5647" spans="1:5" ht="14.25">
      <c r="A5647" s="37"/>
      <c r="B5647" s="37"/>
      <c r="C5647" s="37"/>
      <c r="D5647" s="37"/>
      <c r="E5647" s="212"/>
    </row>
    <row r="5648" spans="1:5" ht="14.25">
      <c r="A5648" s="37"/>
      <c r="B5648" s="37"/>
      <c r="C5648" s="37"/>
      <c r="D5648" s="37"/>
      <c r="E5648" s="212"/>
    </row>
    <row r="5649" spans="1:5" ht="14.25">
      <c r="A5649" s="37"/>
      <c r="B5649" s="37"/>
      <c r="C5649" s="37"/>
      <c r="D5649" s="37"/>
      <c r="E5649" s="212"/>
    </row>
    <row r="5650" spans="1:5" ht="14.25">
      <c r="A5650" s="37"/>
      <c r="B5650" s="37"/>
      <c r="C5650" s="37"/>
      <c r="D5650" s="37"/>
      <c r="E5650" s="212"/>
    </row>
    <row r="5651" spans="1:5" ht="14.25">
      <c r="A5651" s="37"/>
      <c r="B5651" s="37"/>
      <c r="C5651" s="37"/>
      <c r="D5651" s="37"/>
      <c r="E5651" s="212"/>
    </row>
    <row r="5652" spans="1:5" ht="14.25">
      <c r="A5652" s="37"/>
      <c r="B5652" s="37"/>
      <c r="C5652" s="37"/>
      <c r="D5652" s="37"/>
      <c r="E5652" s="212"/>
    </row>
    <row r="5653" spans="1:5" ht="14.25">
      <c r="A5653" s="37"/>
      <c r="B5653" s="37"/>
      <c r="C5653" s="37"/>
      <c r="D5653" s="37"/>
      <c r="E5653" s="212"/>
    </row>
    <row r="5654" spans="1:5" ht="14.25">
      <c r="A5654" s="37"/>
      <c r="B5654" s="37"/>
      <c r="C5654" s="37"/>
      <c r="D5654" s="37"/>
      <c r="E5654" s="212"/>
    </row>
    <row r="5655" spans="1:5" ht="14.25">
      <c r="A5655" s="37"/>
      <c r="B5655" s="37"/>
      <c r="C5655" s="37"/>
      <c r="D5655" s="37"/>
      <c r="E5655" s="212"/>
    </row>
    <row r="5656" spans="1:5" ht="14.25">
      <c r="A5656" s="37"/>
      <c r="B5656" s="37"/>
      <c r="C5656" s="37"/>
      <c r="D5656" s="37"/>
      <c r="E5656" s="212"/>
    </row>
    <row r="5657" spans="1:5" ht="14.25">
      <c r="A5657" s="37"/>
      <c r="B5657" s="37"/>
      <c r="C5657" s="37"/>
      <c r="D5657" s="37"/>
      <c r="E5657" s="212"/>
    </row>
    <row r="5658" spans="1:5" ht="14.25">
      <c r="A5658" s="37"/>
      <c r="B5658" s="37"/>
      <c r="C5658" s="37"/>
      <c r="D5658" s="37"/>
      <c r="E5658" s="212"/>
    </row>
    <row r="5659" spans="1:5" ht="14.25">
      <c r="A5659" s="37"/>
      <c r="B5659" s="37"/>
      <c r="C5659" s="37"/>
      <c r="D5659" s="37"/>
      <c r="E5659" s="212"/>
    </row>
    <row r="5660" spans="1:5" ht="14.25">
      <c r="A5660" s="37"/>
      <c r="B5660" s="37"/>
      <c r="C5660" s="37"/>
      <c r="D5660" s="37"/>
      <c r="E5660" s="212"/>
    </row>
    <row r="5661" spans="1:5" ht="14.25">
      <c r="A5661" s="37"/>
      <c r="B5661" s="37"/>
      <c r="C5661" s="37"/>
      <c r="D5661" s="37"/>
      <c r="E5661" s="212"/>
    </row>
    <row r="5662" spans="1:5" ht="14.25">
      <c r="A5662" s="37"/>
      <c r="B5662" s="37"/>
      <c r="C5662" s="37"/>
      <c r="D5662" s="37"/>
      <c r="E5662" s="212"/>
    </row>
    <row r="5663" spans="1:5" ht="14.25">
      <c r="A5663" s="37"/>
      <c r="B5663" s="37"/>
      <c r="C5663" s="37"/>
      <c r="D5663" s="37"/>
      <c r="E5663" s="212"/>
    </row>
    <row r="5664" spans="1:5" ht="14.25">
      <c r="A5664" s="37"/>
      <c r="B5664" s="37"/>
      <c r="C5664" s="37"/>
      <c r="D5664" s="37"/>
      <c r="E5664" s="212"/>
    </row>
    <row r="5665" spans="1:5" ht="14.25">
      <c r="A5665" s="37"/>
      <c r="B5665" s="37"/>
      <c r="C5665" s="37"/>
      <c r="D5665" s="37"/>
      <c r="E5665" s="212"/>
    </row>
    <row r="5666" spans="1:5" ht="14.25">
      <c r="A5666" s="37"/>
      <c r="B5666" s="37"/>
      <c r="C5666" s="37"/>
      <c r="D5666" s="37"/>
      <c r="E5666" s="212"/>
    </row>
    <row r="5667" spans="1:5" ht="14.25">
      <c r="A5667" s="37"/>
      <c r="B5667" s="37"/>
      <c r="C5667" s="37"/>
      <c r="D5667" s="37"/>
      <c r="E5667" s="212"/>
    </row>
    <row r="5668" spans="1:5" ht="14.25">
      <c r="A5668" s="37"/>
      <c r="B5668" s="37"/>
      <c r="C5668" s="37"/>
      <c r="D5668" s="37"/>
      <c r="E5668" s="212"/>
    </row>
    <row r="5669" spans="1:5" ht="14.25">
      <c r="A5669" s="37"/>
      <c r="B5669" s="37"/>
      <c r="C5669" s="37"/>
      <c r="D5669" s="37"/>
      <c r="E5669" s="212"/>
    </row>
    <row r="5670" spans="1:5" ht="14.25">
      <c r="A5670" s="37"/>
      <c r="B5670" s="37"/>
      <c r="C5670" s="37"/>
      <c r="D5670" s="37"/>
      <c r="E5670" s="212"/>
    </row>
    <row r="5671" spans="1:5" ht="14.25">
      <c r="A5671" s="37"/>
      <c r="B5671" s="37"/>
      <c r="C5671" s="37"/>
      <c r="D5671" s="37"/>
      <c r="E5671" s="212"/>
    </row>
    <row r="5672" spans="1:5" ht="14.25">
      <c r="A5672" s="37"/>
      <c r="B5672" s="37"/>
      <c r="C5672" s="37"/>
      <c r="D5672" s="37"/>
      <c r="E5672" s="212"/>
    </row>
    <row r="5673" spans="1:5" ht="14.25">
      <c r="A5673" s="37"/>
      <c r="B5673" s="37"/>
      <c r="C5673" s="37"/>
      <c r="D5673" s="37"/>
      <c r="E5673" s="212"/>
    </row>
    <row r="5674" spans="1:5" ht="14.25">
      <c r="A5674" s="37"/>
      <c r="B5674" s="37"/>
      <c r="C5674" s="37"/>
      <c r="D5674" s="37"/>
      <c r="E5674" s="212"/>
    </row>
    <row r="5675" spans="1:5" ht="14.25">
      <c r="A5675" s="37"/>
      <c r="B5675" s="37"/>
      <c r="C5675" s="37"/>
      <c r="D5675" s="37"/>
      <c r="E5675" s="212"/>
    </row>
    <row r="5676" spans="1:5" ht="14.25">
      <c r="A5676" s="37"/>
      <c r="B5676" s="37"/>
      <c r="C5676" s="37"/>
      <c r="D5676" s="37"/>
      <c r="E5676" s="212"/>
    </row>
    <row r="5677" spans="1:5" ht="14.25">
      <c r="A5677" s="37"/>
      <c r="B5677" s="37"/>
      <c r="C5677" s="37"/>
      <c r="D5677" s="37"/>
      <c r="E5677" s="212"/>
    </row>
    <row r="5678" spans="1:5" ht="14.25">
      <c r="A5678" s="37"/>
      <c r="B5678" s="37"/>
      <c r="C5678" s="37"/>
      <c r="D5678" s="37"/>
      <c r="E5678" s="212"/>
    </row>
    <row r="5679" spans="1:5" ht="14.25">
      <c r="A5679" s="37"/>
      <c r="B5679" s="37"/>
      <c r="C5679" s="37"/>
      <c r="D5679" s="37"/>
      <c r="E5679" s="212"/>
    </row>
    <row r="5680" spans="1:5" ht="14.25">
      <c r="A5680" s="37"/>
      <c r="B5680" s="37"/>
      <c r="C5680" s="37"/>
      <c r="D5680" s="37"/>
      <c r="E5680" s="212"/>
    </row>
    <row r="5681" spans="1:5" ht="14.25">
      <c r="A5681" s="37"/>
      <c r="B5681" s="37"/>
      <c r="C5681" s="37"/>
      <c r="D5681" s="37"/>
      <c r="E5681" s="212"/>
    </row>
    <row r="5682" spans="1:5" ht="14.25">
      <c r="A5682" s="37"/>
      <c r="B5682" s="37"/>
      <c r="C5682" s="37"/>
      <c r="D5682" s="37"/>
      <c r="E5682" s="212"/>
    </row>
    <row r="5683" spans="1:5" ht="14.25">
      <c r="A5683" s="37"/>
      <c r="B5683" s="37"/>
      <c r="C5683" s="37"/>
      <c r="D5683" s="37"/>
      <c r="E5683" s="212"/>
    </row>
    <row r="5684" spans="1:5" ht="14.25">
      <c r="A5684" s="37"/>
      <c r="B5684" s="37"/>
      <c r="C5684" s="37"/>
      <c r="D5684" s="37"/>
      <c r="E5684" s="212"/>
    </row>
    <row r="5685" spans="1:5" ht="14.25">
      <c r="A5685" s="37"/>
      <c r="B5685" s="37"/>
      <c r="C5685" s="37"/>
      <c r="D5685" s="37"/>
      <c r="E5685" s="212"/>
    </row>
    <row r="5686" spans="1:5" ht="14.25">
      <c r="A5686" s="37"/>
      <c r="B5686" s="37"/>
      <c r="C5686" s="37"/>
      <c r="D5686" s="37"/>
      <c r="E5686" s="212"/>
    </row>
    <row r="5687" spans="1:5" ht="14.25">
      <c r="A5687" s="37"/>
      <c r="B5687" s="37"/>
      <c r="C5687" s="37"/>
      <c r="D5687" s="37"/>
      <c r="E5687" s="212"/>
    </row>
    <row r="5688" spans="1:5" ht="14.25">
      <c r="A5688" s="37"/>
      <c r="B5688" s="37"/>
      <c r="C5688" s="37"/>
      <c r="D5688" s="37"/>
      <c r="E5688" s="212"/>
    </row>
    <row r="5689" spans="1:5" ht="14.25">
      <c r="A5689" s="37"/>
      <c r="B5689" s="37"/>
      <c r="C5689" s="37"/>
      <c r="D5689" s="37"/>
      <c r="E5689" s="212"/>
    </row>
    <row r="5690" spans="1:5" ht="14.25">
      <c r="A5690" s="37"/>
      <c r="B5690" s="37"/>
      <c r="C5690" s="37"/>
      <c r="D5690" s="37"/>
      <c r="E5690" s="212"/>
    </row>
    <row r="5691" spans="1:5" ht="14.25">
      <c r="A5691" s="37"/>
      <c r="B5691" s="37"/>
      <c r="C5691" s="37"/>
      <c r="D5691" s="37"/>
      <c r="E5691" s="212"/>
    </row>
    <row r="5692" spans="1:5" ht="14.25">
      <c r="A5692" s="37"/>
      <c r="B5692" s="37"/>
      <c r="C5692" s="37"/>
      <c r="D5692" s="37"/>
      <c r="E5692" s="212"/>
    </row>
    <row r="5693" spans="1:5" ht="14.25">
      <c r="A5693" s="37"/>
      <c r="B5693" s="37"/>
      <c r="C5693" s="37"/>
      <c r="D5693" s="37"/>
      <c r="E5693" s="212"/>
    </row>
    <row r="5694" spans="1:5" ht="14.25">
      <c r="A5694" s="37"/>
      <c r="B5694" s="37"/>
      <c r="C5694" s="37"/>
      <c r="D5694" s="37"/>
      <c r="E5694" s="212"/>
    </row>
    <row r="5695" spans="1:5" ht="14.25">
      <c r="A5695" s="37"/>
      <c r="B5695" s="37"/>
      <c r="C5695" s="37"/>
      <c r="D5695" s="37"/>
      <c r="E5695" s="212"/>
    </row>
    <row r="5696" spans="1:5" ht="14.25">
      <c r="A5696" s="37"/>
      <c r="B5696" s="37"/>
      <c r="C5696" s="37"/>
      <c r="D5696" s="37"/>
      <c r="E5696" s="212"/>
    </row>
    <row r="5697" spans="1:5" ht="14.25">
      <c r="A5697" s="37"/>
      <c r="B5697" s="37"/>
      <c r="C5697" s="37"/>
      <c r="D5697" s="37"/>
      <c r="E5697" s="212"/>
    </row>
    <row r="5698" spans="1:5" ht="14.25">
      <c r="A5698" s="37"/>
      <c r="B5698" s="37"/>
      <c r="C5698" s="37"/>
      <c r="D5698" s="37"/>
      <c r="E5698" s="212"/>
    </row>
    <row r="5699" spans="1:5" ht="14.25">
      <c r="A5699" s="37"/>
      <c r="B5699" s="37"/>
      <c r="C5699" s="37"/>
      <c r="D5699" s="37"/>
      <c r="E5699" s="212"/>
    </row>
    <row r="5700" spans="1:5" ht="14.25">
      <c r="A5700" s="37"/>
      <c r="B5700" s="37"/>
      <c r="C5700" s="37"/>
      <c r="D5700" s="37"/>
      <c r="E5700" s="212"/>
    </row>
    <row r="5701" spans="1:5" ht="14.25">
      <c r="A5701" s="37"/>
      <c r="B5701" s="37"/>
      <c r="C5701" s="37"/>
      <c r="D5701" s="37"/>
      <c r="E5701" s="212"/>
    </row>
    <row r="5702" spans="1:5" ht="14.25">
      <c r="A5702" s="37"/>
      <c r="B5702" s="37"/>
      <c r="C5702" s="37"/>
      <c r="D5702" s="37"/>
      <c r="E5702" s="212"/>
    </row>
    <row r="5703" spans="1:5" ht="14.25">
      <c r="A5703" s="37"/>
      <c r="B5703" s="37"/>
      <c r="C5703" s="37"/>
      <c r="D5703" s="37"/>
      <c r="E5703" s="212"/>
    </row>
    <row r="5704" spans="1:5" ht="14.25">
      <c r="A5704" s="37"/>
      <c r="B5704" s="37"/>
      <c r="C5704" s="37"/>
      <c r="D5704" s="37"/>
      <c r="E5704" s="212"/>
    </row>
    <row r="5705" spans="1:5" ht="14.25">
      <c r="A5705" s="37"/>
      <c r="B5705" s="37"/>
      <c r="C5705" s="37"/>
      <c r="D5705" s="37"/>
      <c r="E5705" s="212"/>
    </row>
    <row r="5706" spans="1:5" ht="14.25">
      <c r="A5706" s="37"/>
      <c r="B5706" s="37"/>
      <c r="C5706" s="37"/>
      <c r="D5706" s="37"/>
      <c r="E5706" s="212"/>
    </row>
    <row r="5707" spans="1:5" ht="14.25">
      <c r="A5707" s="37"/>
      <c r="B5707" s="37"/>
      <c r="C5707" s="37"/>
      <c r="D5707" s="37"/>
      <c r="E5707" s="212"/>
    </row>
    <row r="5708" spans="1:5" ht="14.25">
      <c r="A5708" s="37"/>
      <c r="B5708" s="37"/>
      <c r="C5708" s="37"/>
      <c r="D5708" s="37"/>
      <c r="E5708" s="212"/>
    </row>
    <row r="5709" spans="1:5" ht="14.25">
      <c r="A5709" s="37"/>
      <c r="B5709" s="37"/>
      <c r="C5709" s="37"/>
      <c r="D5709" s="37"/>
      <c r="E5709" s="212"/>
    </row>
    <row r="5710" spans="1:5" ht="14.25">
      <c r="A5710" s="37"/>
      <c r="B5710" s="37"/>
      <c r="C5710" s="37"/>
      <c r="D5710" s="37"/>
      <c r="E5710" s="212"/>
    </row>
    <row r="5711" spans="1:5" ht="14.25">
      <c r="A5711" s="37"/>
      <c r="B5711" s="37"/>
      <c r="C5711" s="37"/>
      <c r="D5711" s="37"/>
      <c r="E5711" s="212"/>
    </row>
    <row r="5712" spans="1:5" ht="14.25">
      <c r="A5712" s="37"/>
      <c r="B5712" s="37"/>
      <c r="C5712" s="37"/>
      <c r="D5712" s="37"/>
      <c r="E5712" s="212"/>
    </row>
    <row r="5713" spans="1:5" ht="14.25">
      <c r="A5713" s="37"/>
      <c r="B5713" s="37"/>
      <c r="C5713" s="37"/>
      <c r="D5713" s="37"/>
      <c r="E5713" s="212"/>
    </row>
    <row r="5714" spans="1:5" ht="14.25">
      <c r="A5714" s="37"/>
      <c r="B5714" s="37"/>
      <c r="C5714" s="37"/>
      <c r="D5714" s="37"/>
      <c r="E5714" s="212"/>
    </row>
    <row r="5715" spans="1:5" ht="14.25">
      <c r="A5715" s="37"/>
      <c r="B5715" s="37"/>
      <c r="C5715" s="37"/>
      <c r="D5715" s="37"/>
      <c r="E5715" s="212"/>
    </row>
    <row r="5716" spans="1:5" ht="14.25">
      <c r="A5716" s="37"/>
      <c r="B5716" s="37"/>
      <c r="C5716" s="37"/>
      <c r="D5716" s="37"/>
      <c r="E5716" s="212"/>
    </row>
    <row r="5717" spans="1:5" ht="14.25">
      <c r="A5717" s="37"/>
      <c r="B5717" s="37"/>
      <c r="C5717" s="37"/>
      <c r="D5717" s="37"/>
      <c r="E5717" s="212"/>
    </row>
    <row r="5718" spans="1:5" ht="14.25">
      <c r="A5718" s="37"/>
      <c r="B5718" s="37"/>
      <c r="C5718" s="37"/>
      <c r="D5718" s="37"/>
      <c r="E5718" s="212"/>
    </row>
    <row r="5719" spans="1:5" ht="14.25">
      <c r="A5719" s="37"/>
      <c r="B5719" s="37"/>
      <c r="C5719" s="37"/>
      <c r="D5719" s="37"/>
      <c r="E5719" s="212"/>
    </row>
    <row r="5720" spans="1:5" ht="14.25">
      <c r="A5720" s="37"/>
      <c r="B5720" s="37"/>
      <c r="C5720" s="37"/>
      <c r="D5720" s="37"/>
      <c r="E5720" s="212"/>
    </row>
    <row r="5721" spans="1:5" ht="14.25">
      <c r="A5721" s="37"/>
      <c r="B5721" s="37"/>
      <c r="C5721" s="37"/>
      <c r="D5721" s="37"/>
      <c r="E5721" s="213"/>
    </row>
    <row r="5722" spans="1:5" ht="14.25">
      <c r="A5722" s="37"/>
      <c r="B5722" s="37"/>
      <c r="C5722" s="37"/>
      <c r="D5722" s="37"/>
      <c r="E5722" s="212"/>
    </row>
    <row r="5723" spans="1:5" ht="14.25">
      <c r="A5723" s="37"/>
      <c r="B5723" s="37"/>
      <c r="C5723" s="37"/>
      <c r="D5723" s="37"/>
      <c r="E5723" s="212"/>
    </row>
    <row r="5724" spans="1:5" ht="14.25">
      <c r="A5724" s="37"/>
      <c r="B5724" s="37"/>
      <c r="C5724" s="37"/>
      <c r="D5724" s="37"/>
      <c r="E5724" s="212"/>
    </row>
    <row r="5725" spans="1:5" ht="14.25">
      <c r="A5725" s="37"/>
      <c r="B5725" s="37"/>
      <c r="C5725" s="37"/>
      <c r="D5725" s="37"/>
      <c r="E5725" s="212"/>
    </row>
    <row r="5726" spans="1:5" ht="14.25">
      <c r="A5726" s="37"/>
      <c r="B5726" s="37"/>
      <c r="C5726" s="37"/>
      <c r="D5726" s="37"/>
      <c r="E5726" s="212"/>
    </row>
    <row r="5727" spans="1:5" ht="14.25">
      <c r="A5727" s="37"/>
      <c r="B5727" s="37"/>
      <c r="C5727" s="37"/>
      <c r="D5727" s="37"/>
      <c r="E5727" s="212"/>
    </row>
    <row r="5728" spans="1:5" ht="14.25">
      <c r="A5728" s="37"/>
      <c r="B5728" s="37"/>
      <c r="C5728" s="37"/>
      <c r="D5728" s="37"/>
      <c r="E5728" s="212"/>
    </row>
    <row r="5729" spans="1:5" ht="14.25">
      <c r="A5729" s="37"/>
      <c r="B5729" s="37"/>
      <c r="C5729" s="37"/>
      <c r="D5729" s="37"/>
      <c r="E5729" s="212"/>
    </row>
    <row r="5730" spans="1:5" ht="14.25">
      <c r="A5730" s="37"/>
      <c r="B5730" s="37"/>
      <c r="C5730" s="37"/>
      <c r="D5730" s="37"/>
      <c r="E5730" s="212"/>
    </row>
    <row r="5731" spans="1:5" ht="14.25">
      <c r="A5731" s="37"/>
      <c r="B5731" s="37"/>
      <c r="C5731" s="37"/>
      <c r="D5731" s="37"/>
      <c r="E5731" s="212"/>
    </row>
    <row r="5732" spans="1:5" ht="14.25">
      <c r="A5732" s="37"/>
      <c r="B5732" s="37"/>
      <c r="C5732" s="37"/>
      <c r="D5732" s="37"/>
      <c r="E5732" s="212"/>
    </row>
    <row r="5733" spans="1:5" ht="14.25">
      <c r="A5733" s="37"/>
      <c r="B5733" s="37"/>
      <c r="C5733" s="37"/>
      <c r="D5733" s="37"/>
      <c r="E5733" s="212"/>
    </row>
    <row r="5734" spans="1:5" ht="14.25">
      <c r="A5734" s="37"/>
      <c r="B5734" s="37"/>
      <c r="C5734" s="37"/>
      <c r="D5734" s="37"/>
      <c r="E5734" s="212"/>
    </row>
    <row r="5735" spans="1:5" ht="14.25">
      <c r="A5735" s="37"/>
      <c r="B5735" s="37"/>
      <c r="C5735" s="37"/>
      <c r="D5735" s="37"/>
      <c r="E5735" s="212"/>
    </row>
    <row r="5736" spans="1:5" ht="14.25">
      <c r="A5736" s="37"/>
      <c r="B5736" s="37"/>
      <c r="C5736" s="37"/>
      <c r="D5736" s="37"/>
      <c r="E5736" s="212"/>
    </row>
    <row r="5737" spans="1:5" ht="14.25">
      <c r="A5737" s="37"/>
      <c r="B5737" s="37"/>
      <c r="C5737" s="37"/>
      <c r="D5737" s="37"/>
      <c r="E5737" s="212"/>
    </row>
    <row r="5738" spans="1:5" ht="14.25">
      <c r="A5738" s="37"/>
      <c r="B5738" s="37"/>
      <c r="C5738" s="37"/>
      <c r="D5738" s="37"/>
      <c r="E5738" s="212"/>
    </row>
    <row r="5739" spans="1:5" ht="14.25">
      <c r="A5739" s="37"/>
      <c r="B5739" s="37"/>
      <c r="C5739" s="37"/>
      <c r="D5739" s="37"/>
      <c r="E5739" s="212"/>
    </row>
    <row r="5740" spans="1:5" ht="14.25">
      <c r="A5740" s="37"/>
      <c r="B5740" s="37"/>
      <c r="C5740" s="37"/>
      <c r="D5740" s="37"/>
      <c r="E5740" s="212"/>
    </row>
    <row r="5741" spans="1:5" ht="14.25">
      <c r="A5741" s="37"/>
      <c r="B5741" s="37"/>
      <c r="C5741" s="37"/>
      <c r="D5741" s="37"/>
      <c r="E5741" s="212"/>
    </row>
    <row r="5742" spans="1:5" ht="14.25">
      <c r="A5742" s="37"/>
      <c r="B5742" s="37"/>
      <c r="C5742" s="37"/>
      <c r="D5742" s="37"/>
      <c r="E5742" s="212"/>
    </row>
    <row r="5743" spans="1:5" ht="14.25">
      <c r="A5743" s="37"/>
      <c r="B5743" s="37"/>
      <c r="C5743" s="37"/>
      <c r="D5743" s="37"/>
      <c r="E5743" s="212"/>
    </row>
    <row r="5744" spans="1:5" ht="14.25">
      <c r="A5744" s="37"/>
      <c r="B5744" s="37"/>
      <c r="C5744" s="37"/>
      <c r="D5744" s="37"/>
      <c r="E5744" s="212"/>
    </row>
    <row r="5745" spans="1:5" ht="14.25">
      <c r="A5745" s="37"/>
      <c r="B5745" s="37"/>
      <c r="C5745" s="37"/>
      <c r="D5745" s="37"/>
      <c r="E5745" s="212"/>
    </row>
    <row r="5746" spans="1:5" ht="14.25">
      <c r="A5746" s="37"/>
      <c r="B5746" s="37"/>
      <c r="C5746" s="37"/>
      <c r="D5746" s="37"/>
      <c r="E5746" s="212"/>
    </row>
    <row r="5747" spans="1:5" ht="14.25">
      <c r="A5747" s="37"/>
      <c r="B5747" s="37"/>
      <c r="C5747" s="37"/>
      <c r="D5747" s="37"/>
      <c r="E5747" s="212"/>
    </row>
    <row r="5748" spans="1:5" ht="14.25">
      <c r="A5748" s="37"/>
      <c r="B5748" s="37"/>
      <c r="C5748" s="37"/>
      <c r="D5748" s="37"/>
      <c r="E5748" s="212"/>
    </row>
    <row r="5749" spans="1:5" ht="14.25">
      <c r="A5749" s="37"/>
      <c r="B5749" s="37"/>
      <c r="C5749" s="37"/>
      <c r="D5749" s="37"/>
      <c r="E5749" s="212"/>
    </row>
    <row r="5750" spans="1:5" ht="14.25">
      <c r="A5750" s="37"/>
      <c r="B5750" s="37"/>
      <c r="C5750" s="37"/>
      <c r="D5750" s="37"/>
      <c r="E5750" s="212"/>
    </row>
    <row r="5751" spans="1:5" ht="14.25">
      <c r="A5751" s="37"/>
      <c r="B5751" s="37"/>
      <c r="C5751" s="37"/>
      <c r="D5751" s="37"/>
      <c r="E5751" s="212"/>
    </row>
    <row r="5752" spans="1:5" ht="14.25">
      <c r="A5752" s="37"/>
      <c r="B5752" s="37"/>
      <c r="C5752" s="37"/>
      <c r="D5752" s="37"/>
      <c r="E5752" s="212"/>
    </row>
    <row r="5753" spans="1:5" ht="14.25">
      <c r="A5753" s="37"/>
      <c r="B5753" s="37"/>
      <c r="C5753" s="37"/>
      <c r="D5753" s="37"/>
      <c r="E5753" s="212"/>
    </row>
    <row r="5754" spans="1:5" ht="14.25">
      <c r="A5754" s="37"/>
      <c r="B5754" s="37"/>
      <c r="C5754" s="37"/>
      <c r="D5754" s="37"/>
      <c r="E5754" s="212"/>
    </row>
    <row r="5755" spans="1:5" ht="14.25">
      <c r="A5755" s="37"/>
      <c r="B5755" s="37"/>
      <c r="C5755" s="37"/>
      <c r="D5755" s="37"/>
      <c r="E5755" s="212"/>
    </row>
    <row r="5756" spans="1:5" ht="14.25">
      <c r="A5756" s="37"/>
      <c r="B5756" s="37"/>
      <c r="C5756" s="37"/>
      <c r="D5756" s="37"/>
      <c r="E5756" s="212"/>
    </row>
    <row r="5757" spans="1:5" ht="14.25">
      <c r="A5757" s="37"/>
      <c r="B5757" s="37"/>
      <c r="C5757" s="37"/>
      <c r="D5757" s="37"/>
      <c r="E5757" s="212"/>
    </row>
    <row r="5758" spans="1:5" ht="14.25">
      <c r="A5758" s="37"/>
      <c r="B5758" s="37"/>
      <c r="C5758" s="37"/>
      <c r="D5758" s="37"/>
      <c r="E5758" s="212"/>
    </row>
    <row r="5759" spans="1:5" ht="14.25">
      <c r="A5759" s="37"/>
      <c r="B5759" s="37"/>
      <c r="C5759" s="37"/>
      <c r="D5759" s="37"/>
      <c r="E5759" s="212"/>
    </row>
    <row r="5760" spans="1:5" ht="14.25">
      <c r="A5760" s="37"/>
      <c r="B5760" s="37"/>
      <c r="C5760" s="37"/>
      <c r="D5760" s="37"/>
      <c r="E5760" s="212"/>
    </row>
    <row r="5761" spans="1:5" ht="14.25">
      <c r="A5761" s="37"/>
      <c r="B5761" s="37"/>
      <c r="C5761" s="37"/>
      <c r="D5761" s="37"/>
      <c r="E5761" s="212"/>
    </row>
    <row r="5762" spans="1:5" ht="14.25">
      <c r="A5762" s="37"/>
      <c r="B5762" s="37"/>
      <c r="C5762" s="37"/>
      <c r="D5762" s="37"/>
      <c r="E5762" s="212"/>
    </row>
    <row r="5763" spans="1:5" ht="14.25">
      <c r="A5763" s="37"/>
      <c r="B5763" s="37"/>
      <c r="C5763" s="37"/>
      <c r="D5763" s="37"/>
      <c r="E5763" s="212"/>
    </row>
    <row r="5764" spans="1:5" ht="14.25">
      <c r="A5764" s="37"/>
      <c r="B5764" s="37"/>
      <c r="C5764" s="37"/>
      <c r="D5764" s="37"/>
      <c r="E5764" s="212"/>
    </row>
    <row r="5765" spans="1:5" ht="14.25">
      <c r="A5765" s="37"/>
      <c r="B5765" s="37"/>
      <c r="C5765" s="37"/>
      <c r="D5765" s="37"/>
      <c r="E5765" s="212"/>
    </row>
    <row r="5766" spans="1:5" ht="14.25">
      <c r="A5766" s="37"/>
      <c r="B5766" s="37"/>
      <c r="C5766" s="37"/>
      <c r="D5766" s="37"/>
      <c r="E5766" s="212"/>
    </row>
    <row r="5767" spans="1:5" ht="14.25">
      <c r="A5767" s="37"/>
      <c r="B5767" s="37"/>
      <c r="C5767" s="37"/>
      <c r="D5767" s="37"/>
      <c r="E5767" s="212"/>
    </row>
    <row r="5768" spans="1:5" ht="14.25">
      <c r="A5768" s="37"/>
      <c r="B5768" s="37"/>
      <c r="C5768" s="37"/>
      <c r="D5768" s="37"/>
      <c r="E5768" s="212"/>
    </row>
    <row r="5769" spans="1:5" ht="14.25">
      <c r="A5769" s="37"/>
      <c r="B5769" s="37"/>
      <c r="C5769" s="37"/>
      <c r="D5769" s="37"/>
      <c r="E5769" s="212"/>
    </row>
    <row r="5770" spans="1:5" ht="14.25">
      <c r="A5770" s="37"/>
      <c r="B5770" s="37"/>
      <c r="C5770" s="37"/>
      <c r="D5770" s="37"/>
      <c r="E5770" s="212"/>
    </row>
    <row r="5771" spans="1:5" ht="14.25">
      <c r="A5771" s="37"/>
      <c r="B5771" s="37"/>
      <c r="C5771" s="37"/>
      <c r="D5771" s="37"/>
      <c r="E5771" s="212"/>
    </row>
    <row r="5772" spans="1:5" ht="14.25">
      <c r="A5772" s="37"/>
      <c r="B5772" s="37"/>
      <c r="C5772" s="37"/>
      <c r="D5772" s="37"/>
      <c r="E5772" s="212"/>
    </row>
    <row r="5773" spans="1:5" ht="14.25">
      <c r="A5773" s="37"/>
      <c r="B5773" s="37"/>
      <c r="C5773" s="37"/>
      <c r="D5773" s="37"/>
      <c r="E5773" s="212"/>
    </row>
    <row r="5774" spans="1:5" ht="14.25">
      <c r="A5774" s="37"/>
      <c r="B5774" s="37"/>
      <c r="C5774" s="37"/>
      <c r="D5774" s="37"/>
      <c r="E5774" s="212"/>
    </row>
    <row r="5775" spans="1:5" ht="14.25">
      <c r="A5775" s="37"/>
      <c r="B5775" s="37"/>
      <c r="C5775" s="37"/>
      <c r="D5775" s="37"/>
      <c r="E5775" s="212"/>
    </row>
    <row r="5776" spans="1:5" ht="14.25">
      <c r="A5776" s="37"/>
      <c r="B5776" s="37"/>
      <c r="C5776" s="37"/>
      <c r="D5776" s="37"/>
      <c r="E5776" s="212"/>
    </row>
    <row r="5777" spans="1:5" ht="14.25">
      <c r="A5777" s="37"/>
      <c r="B5777" s="37"/>
      <c r="C5777" s="37"/>
      <c r="D5777" s="37"/>
      <c r="E5777" s="212"/>
    </row>
    <row r="5778" spans="1:5" ht="14.25">
      <c r="A5778" s="37"/>
      <c r="B5778" s="37"/>
      <c r="C5778" s="37"/>
      <c r="D5778" s="37"/>
      <c r="E5778" s="212"/>
    </row>
    <row r="5779" spans="1:5" ht="14.25">
      <c r="A5779" s="37"/>
      <c r="B5779" s="37"/>
      <c r="C5779" s="37"/>
      <c r="D5779" s="37"/>
      <c r="E5779" s="212"/>
    </row>
    <row r="5780" spans="1:5" ht="14.25">
      <c r="A5780" s="37"/>
      <c r="B5780" s="37"/>
      <c r="C5780" s="37"/>
      <c r="D5780" s="37"/>
      <c r="E5780" s="212"/>
    </row>
    <row r="5781" spans="1:5" ht="14.25">
      <c r="A5781" s="37"/>
      <c r="B5781" s="37"/>
      <c r="C5781" s="37"/>
      <c r="D5781" s="37"/>
      <c r="E5781" s="212"/>
    </row>
    <row r="5782" spans="1:5" ht="14.25">
      <c r="A5782" s="37"/>
      <c r="B5782" s="37"/>
      <c r="C5782" s="37"/>
      <c r="D5782" s="37"/>
      <c r="E5782" s="212"/>
    </row>
    <row r="5783" spans="1:5" ht="14.25">
      <c r="A5783" s="37"/>
      <c r="B5783" s="37"/>
      <c r="C5783" s="37"/>
      <c r="D5783" s="37"/>
      <c r="E5783" s="212"/>
    </row>
    <row r="5784" spans="1:5" ht="14.25">
      <c r="A5784" s="37"/>
      <c r="B5784" s="37"/>
      <c r="C5784" s="37"/>
      <c r="D5784" s="37"/>
      <c r="E5784" s="212"/>
    </row>
    <row r="5785" spans="1:5" ht="14.25">
      <c r="A5785" s="37"/>
      <c r="B5785" s="37"/>
      <c r="C5785" s="37"/>
      <c r="D5785" s="37"/>
      <c r="E5785" s="212"/>
    </row>
    <row r="5786" spans="1:5" ht="14.25">
      <c r="A5786" s="37"/>
      <c r="B5786" s="37"/>
      <c r="C5786" s="37"/>
      <c r="D5786" s="37"/>
      <c r="E5786" s="212"/>
    </row>
    <row r="5787" spans="1:5" ht="14.25">
      <c r="A5787" s="37"/>
      <c r="B5787" s="37"/>
      <c r="C5787" s="37"/>
      <c r="D5787" s="37"/>
      <c r="E5787" s="212"/>
    </row>
    <row r="5788" spans="1:5" ht="14.25">
      <c r="A5788" s="37"/>
      <c r="B5788" s="37"/>
      <c r="C5788" s="37"/>
      <c r="D5788" s="37"/>
      <c r="E5788" s="212"/>
    </row>
    <row r="5789" spans="1:5" ht="14.25">
      <c r="A5789" s="37"/>
      <c r="B5789" s="37"/>
      <c r="C5789" s="37"/>
      <c r="D5789" s="37"/>
      <c r="E5789" s="212"/>
    </row>
    <row r="5790" spans="1:5" ht="14.25">
      <c r="A5790" s="37"/>
      <c r="B5790" s="37"/>
      <c r="C5790" s="37"/>
      <c r="D5790" s="37"/>
      <c r="E5790" s="212"/>
    </row>
    <row r="5791" spans="1:5" ht="14.25">
      <c r="A5791" s="37"/>
      <c r="B5791" s="37"/>
      <c r="C5791" s="37"/>
      <c r="D5791" s="37"/>
      <c r="E5791" s="212"/>
    </row>
    <row r="5792" spans="1:5" ht="14.25">
      <c r="A5792" s="37"/>
      <c r="B5792" s="37"/>
      <c r="C5792" s="37"/>
      <c r="D5792" s="37"/>
      <c r="E5792" s="212"/>
    </row>
    <row r="5793" spans="1:5" ht="14.25">
      <c r="A5793" s="37"/>
      <c r="B5793" s="37"/>
      <c r="C5793" s="37"/>
      <c r="D5793" s="37"/>
      <c r="E5793" s="212"/>
    </row>
    <row r="5794" spans="1:5" ht="14.25">
      <c r="A5794" s="37"/>
      <c r="B5794" s="37"/>
      <c r="C5794" s="37"/>
      <c r="D5794" s="37"/>
      <c r="E5794" s="212"/>
    </row>
    <row r="5795" spans="1:5" ht="14.25">
      <c r="A5795" s="37"/>
      <c r="B5795" s="37"/>
      <c r="C5795" s="37"/>
      <c r="D5795" s="37"/>
      <c r="E5795" s="212"/>
    </row>
    <row r="5796" spans="1:5" ht="14.25">
      <c r="A5796" s="37"/>
      <c r="B5796" s="37"/>
      <c r="C5796" s="37"/>
      <c r="D5796" s="37"/>
      <c r="E5796" s="212"/>
    </row>
    <row r="5797" spans="1:5" ht="14.25">
      <c r="A5797" s="37"/>
      <c r="B5797" s="37"/>
      <c r="C5797" s="37"/>
      <c r="D5797" s="37"/>
      <c r="E5797" s="212"/>
    </row>
    <row r="5798" spans="1:5" ht="14.25">
      <c r="A5798" s="37"/>
      <c r="B5798" s="37"/>
      <c r="C5798" s="37"/>
      <c r="D5798" s="37"/>
      <c r="E5798" s="212"/>
    </row>
    <row r="5799" spans="1:5" ht="14.25">
      <c r="A5799" s="37"/>
      <c r="B5799" s="37"/>
      <c r="C5799" s="37"/>
      <c r="D5799" s="37"/>
      <c r="E5799" s="212"/>
    </row>
    <row r="5800" spans="1:5" ht="14.25">
      <c r="A5800" s="37"/>
      <c r="B5800" s="37"/>
      <c r="C5800" s="37"/>
      <c r="D5800" s="37"/>
      <c r="E5800" s="212"/>
    </row>
    <row r="5801" spans="1:5" ht="14.25">
      <c r="A5801" s="37"/>
      <c r="B5801" s="37"/>
      <c r="C5801" s="37"/>
      <c r="D5801" s="37"/>
      <c r="E5801" s="212"/>
    </row>
    <row r="5802" spans="1:5" ht="14.25">
      <c r="A5802" s="37"/>
      <c r="B5802" s="37"/>
      <c r="C5802" s="37"/>
      <c r="D5802" s="37"/>
      <c r="E5802" s="212"/>
    </row>
    <row r="5803" spans="1:5" ht="14.25">
      <c r="A5803" s="37"/>
      <c r="B5803" s="37"/>
      <c r="C5803" s="37"/>
      <c r="D5803" s="37"/>
      <c r="E5803" s="212"/>
    </row>
    <row r="5804" spans="1:5" ht="14.25">
      <c r="A5804" s="37"/>
      <c r="B5804" s="37"/>
      <c r="C5804" s="37"/>
      <c r="D5804" s="37"/>
      <c r="E5804" s="212"/>
    </row>
    <row r="5805" spans="1:5" ht="14.25">
      <c r="A5805" s="37"/>
      <c r="B5805" s="37"/>
      <c r="C5805" s="37"/>
      <c r="D5805" s="37"/>
      <c r="E5805" s="212"/>
    </row>
    <row r="5806" spans="1:5" ht="14.25">
      <c r="A5806" s="37"/>
      <c r="B5806" s="37"/>
      <c r="C5806" s="37"/>
      <c r="D5806" s="37"/>
      <c r="E5806" s="212"/>
    </row>
    <row r="5807" spans="1:5" ht="14.25">
      <c r="A5807" s="37"/>
      <c r="B5807" s="37"/>
      <c r="C5807" s="37"/>
      <c r="D5807" s="37"/>
      <c r="E5807" s="212"/>
    </row>
    <row r="5808" spans="1:5" ht="14.25">
      <c r="A5808" s="37"/>
      <c r="B5808" s="37"/>
      <c r="C5808" s="37"/>
      <c r="D5808" s="37"/>
      <c r="E5808" s="212"/>
    </row>
    <row r="5809" spans="1:5" ht="14.25">
      <c r="A5809" s="37"/>
      <c r="B5809" s="37"/>
      <c r="C5809" s="37"/>
      <c r="D5809" s="37"/>
      <c r="E5809" s="212"/>
    </row>
    <row r="5810" spans="1:5" ht="14.25">
      <c r="A5810" s="37"/>
      <c r="B5810" s="37"/>
      <c r="C5810" s="37"/>
      <c r="D5810" s="37"/>
      <c r="E5810" s="212"/>
    </row>
    <row r="5811" spans="1:5" ht="14.25">
      <c r="A5811" s="37"/>
      <c r="B5811" s="37"/>
      <c r="C5811" s="37"/>
      <c r="D5811" s="37"/>
      <c r="E5811" s="212"/>
    </row>
    <row r="5812" spans="1:5" ht="14.25">
      <c r="A5812" s="37"/>
      <c r="B5812" s="37"/>
      <c r="C5812" s="37"/>
      <c r="D5812" s="37"/>
      <c r="E5812" s="212"/>
    </row>
    <row r="5813" spans="1:5" ht="14.25">
      <c r="A5813" s="37"/>
      <c r="B5813" s="37"/>
      <c r="C5813" s="37"/>
      <c r="D5813" s="37"/>
      <c r="E5813" s="212"/>
    </row>
    <row r="5814" spans="1:5" ht="14.25">
      <c r="A5814" s="37"/>
      <c r="B5814" s="37"/>
      <c r="C5814" s="37"/>
      <c r="D5814" s="37"/>
      <c r="E5814" s="212"/>
    </row>
    <row r="5815" spans="1:5" ht="14.25">
      <c r="A5815" s="37"/>
      <c r="B5815" s="37"/>
      <c r="C5815" s="37"/>
      <c r="D5815" s="37"/>
      <c r="E5815" s="212"/>
    </row>
    <row r="5816" spans="1:5" ht="14.25">
      <c r="A5816" s="37"/>
      <c r="B5816" s="37"/>
      <c r="C5816" s="37"/>
      <c r="D5816" s="37"/>
      <c r="E5816" s="212"/>
    </row>
    <row r="5817" spans="1:5" ht="14.25">
      <c r="A5817" s="37"/>
      <c r="B5817" s="37"/>
      <c r="C5817" s="37"/>
      <c r="D5817" s="37"/>
      <c r="E5817" s="212"/>
    </row>
    <row r="5818" spans="1:5" ht="14.25">
      <c r="A5818" s="37"/>
      <c r="B5818" s="37"/>
      <c r="C5818" s="37"/>
      <c r="D5818" s="37"/>
      <c r="E5818" s="212"/>
    </row>
    <row r="5819" spans="1:5" ht="14.25">
      <c r="A5819" s="37"/>
      <c r="B5819" s="37"/>
      <c r="C5819" s="37"/>
      <c r="D5819" s="37"/>
      <c r="E5819" s="212"/>
    </row>
    <row r="5820" spans="1:5" ht="14.25">
      <c r="A5820" s="37"/>
      <c r="B5820" s="37"/>
      <c r="C5820" s="37"/>
      <c r="D5820" s="37"/>
      <c r="E5820" s="212"/>
    </row>
    <row r="5821" spans="1:5" ht="14.25">
      <c r="A5821" s="37"/>
      <c r="B5821" s="37"/>
      <c r="C5821" s="37"/>
      <c r="D5821" s="37"/>
      <c r="E5821" s="212"/>
    </row>
    <row r="5822" spans="1:5" ht="14.25">
      <c r="A5822" s="37"/>
      <c r="B5822" s="37"/>
      <c r="C5822" s="37"/>
      <c r="D5822" s="37"/>
      <c r="E5822" s="212"/>
    </row>
    <row r="5823" spans="1:5" ht="14.25">
      <c r="A5823" s="37"/>
      <c r="B5823" s="37"/>
      <c r="C5823" s="37"/>
      <c r="D5823" s="37"/>
      <c r="E5823" s="212"/>
    </row>
    <row r="5824" spans="1:5" ht="14.25">
      <c r="A5824" s="37"/>
      <c r="B5824" s="37"/>
      <c r="C5824" s="37"/>
      <c r="D5824" s="37"/>
      <c r="E5824" s="212"/>
    </row>
    <row r="5825" spans="1:5" ht="14.25">
      <c r="A5825" s="37"/>
      <c r="B5825" s="37"/>
      <c r="C5825" s="37"/>
      <c r="D5825" s="37"/>
      <c r="E5825" s="212"/>
    </row>
    <row r="5826" spans="1:5" ht="14.25">
      <c r="A5826" s="37"/>
      <c r="B5826" s="37"/>
      <c r="C5826" s="37"/>
      <c r="D5826" s="37"/>
      <c r="E5826" s="212"/>
    </row>
    <row r="5827" spans="1:5" ht="14.25">
      <c r="A5827" s="37"/>
      <c r="B5827" s="37"/>
      <c r="C5827" s="37"/>
      <c r="D5827" s="37"/>
      <c r="E5827" s="212"/>
    </row>
    <row r="5828" spans="1:5" ht="14.25">
      <c r="A5828" s="37"/>
      <c r="B5828" s="37"/>
      <c r="C5828" s="37"/>
      <c r="D5828" s="37"/>
      <c r="E5828" s="212"/>
    </row>
    <row r="5829" spans="1:5" ht="14.25">
      <c r="A5829" s="37"/>
      <c r="B5829" s="37"/>
      <c r="C5829" s="37"/>
      <c r="D5829" s="37"/>
      <c r="E5829" s="212"/>
    </row>
    <row r="5830" spans="1:5" ht="14.25">
      <c r="A5830" s="37"/>
      <c r="B5830" s="37"/>
      <c r="C5830" s="37"/>
      <c r="D5830" s="37"/>
      <c r="E5830" s="212"/>
    </row>
    <row r="5831" spans="1:5" ht="14.25">
      <c r="A5831" s="37"/>
      <c r="B5831" s="37"/>
      <c r="C5831" s="37"/>
      <c r="D5831" s="37"/>
      <c r="E5831" s="212"/>
    </row>
    <row r="5832" spans="1:5" ht="14.25">
      <c r="A5832" s="37"/>
      <c r="B5832" s="37"/>
      <c r="C5832" s="37"/>
      <c r="D5832" s="37"/>
      <c r="E5832" s="212"/>
    </row>
    <row r="5833" spans="1:5" ht="14.25">
      <c r="A5833" s="37"/>
      <c r="B5833" s="37"/>
      <c r="C5833" s="37"/>
      <c r="D5833" s="37"/>
      <c r="E5833" s="212"/>
    </row>
    <row r="5834" spans="1:5" ht="14.25">
      <c r="A5834" s="37"/>
      <c r="B5834" s="37"/>
      <c r="C5834" s="37"/>
      <c r="D5834" s="37"/>
      <c r="E5834" s="212"/>
    </row>
    <row r="5835" spans="1:5" ht="14.25">
      <c r="A5835" s="37"/>
      <c r="B5835" s="37"/>
      <c r="C5835" s="37"/>
      <c r="D5835" s="37"/>
      <c r="E5835" s="213"/>
    </row>
    <row r="5836" spans="1:5" ht="14.25">
      <c r="A5836" s="37"/>
      <c r="B5836" s="37"/>
      <c r="C5836" s="37"/>
      <c r="D5836" s="37"/>
      <c r="E5836" s="212"/>
    </row>
    <row r="5837" spans="1:5" ht="14.25">
      <c r="A5837" s="37"/>
      <c r="B5837" s="37"/>
      <c r="C5837" s="37"/>
      <c r="D5837" s="37"/>
      <c r="E5837" s="212"/>
    </row>
    <row r="5838" spans="1:5" ht="14.25">
      <c r="A5838" s="37"/>
      <c r="B5838" s="37"/>
      <c r="C5838" s="37"/>
      <c r="D5838" s="37"/>
      <c r="E5838" s="212"/>
    </row>
    <row r="5839" spans="1:5" ht="14.25">
      <c r="A5839" s="37"/>
      <c r="B5839" s="37"/>
      <c r="C5839" s="37"/>
      <c r="D5839" s="37"/>
      <c r="E5839" s="212"/>
    </row>
    <row r="5840" spans="1:5" ht="14.25">
      <c r="A5840" s="37"/>
      <c r="B5840" s="37"/>
      <c r="C5840" s="37"/>
      <c r="D5840" s="37"/>
      <c r="E5840" s="212"/>
    </row>
    <row r="5841" spans="1:5" ht="14.25">
      <c r="A5841" s="37"/>
      <c r="B5841" s="37"/>
      <c r="C5841" s="37"/>
      <c r="D5841" s="37"/>
      <c r="E5841" s="212"/>
    </row>
    <row r="5842" spans="1:5" ht="14.25">
      <c r="A5842" s="37"/>
      <c r="B5842" s="37"/>
      <c r="C5842" s="37"/>
      <c r="D5842" s="37"/>
      <c r="E5842" s="212"/>
    </row>
    <row r="5843" spans="1:5" ht="14.25">
      <c r="A5843" s="37"/>
      <c r="B5843" s="37"/>
      <c r="C5843" s="37"/>
      <c r="D5843" s="37"/>
      <c r="E5843" s="212"/>
    </row>
    <row r="5844" spans="1:5" ht="14.25">
      <c r="A5844" s="37"/>
      <c r="B5844" s="37"/>
      <c r="C5844" s="37"/>
      <c r="D5844" s="37"/>
      <c r="E5844" s="212"/>
    </row>
    <row r="5845" spans="1:5" ht="14.25">
      <c r="A5845" s="37"/>
      <c r="B5845" s="37"/>
      <c r="C5845" s="37"/>
      <c r="D5845" s="37"/>
      <c r="E5845" s="212"/>
    </row>
    <row r="5846" spans="1:5" ht="14.25">
      <c r="A5846" s="37"/>
      <c r="B5846" s="37"/>
      <c r="C5846" s="37"/>
      <c r="D5846" s="37"/>
      <c r="E5846" s="212"/>
    </row>
    <row r="5847" spans="1:5" ht="14.25">
      <c r="A5847" s="37"/>
      <c r="B5847" s="37"/>
      <c r="C5847" s="37"/>
      <c r="D5847" s="37"/>
      <c r="E5847" s="212"/>
    </row>
    <row r="5848" spans="1:5" ht="14.25">
      <c r="A5848" s="37"/>
      <c r="B5848" s="37"/>
      <c r="C5848" s="37"/>
      <c r="D5848" s="37"/>
      <c r="E5848" s="212"/>
    </row>
    <row r="5849" spans="1:5" ht="14.25">
      <c r="A5849" s="37"/>
      <c r="B5849" s="37"/>
      <c r="C5849" s="37"/>
      <c r="D5849" s="37"/>
      <c r="E5849" s="212"/>
    </row>
    <row r="5850" spans="1:5" ht="14.25">
      <c r="A5850" s="37"/>
      <c r="B5850" s="37"/>
      <c r="C5850" s="37"/>
      <c r="D5850" s="37"/>
      <c r="E5850" s="212"/>
    </row>
    <row r="5851" spans="1:5" ht="14.25">
      <c r="A5851" s="37"/>
      <c r="B5851" s="37"/>
      <c r="C5851" s="37"/>
      <c r="D5851" s="37"/>
      <c r="E5851" s="212"/>
    </row>
    <row r="5852" spans="1:5" ht="14.25">
      <c r="A5852" s="37"/>
      <c r="B5852" s="37"/>
      <c r="C5852" s="37"/>
      <c r="D5852" s="37"/>
      <c r="E5852" s="212"/>
    </row>
    <row r="5853" spans="1:5" ht="14.25">
      <c r="A5853" s="37"/>
      <c r="B5853" s="37"/>
      <c r="C5853" s="37"/>
      <c r="D5853" s="37"/>
      <c r="E5853" s="212"/>
    </row>
    <row r="5854" spans="1:5" ht="14.25">
      <c r="A5854" s="37"/>
      <c r="B5854" s="37"/>
      <c r="C5854" s="37"/>
      <c r="D5854" s="37"/>
      <c r="E5854" s="212"/>
    </row>
    <row r="5855" spans="1:5" ht="14.25">
      <c r="A5855" s="37"/>
      <c r="B5855" s="37"/>
      <c r="C5855" s="37"/>
      <c r="D5855" s="37"/>
      <c r="E5855" s="212"/>
    </row>
    <row r="5856" spans="1:5" ht="14.25">
      <c r="A5856" s="37"/>
      <c r="B5856" s="37"/>
      <c r="C5856" s="37"/>
      <c r="D5856" s="37"/>
      <c r="E5856" s="212"/>
    </row>
    <row r="5857" spans="1:5" ht="14.25">
      <c r="A5857" s="37"/>
      <c r="B5857" s="37"/>
      <c r="C5857" s="37"/>
      <c r="D5857" s="37"/>
      <c r="E5857" s="212"/>
    </row>
    <row r="5858" spans="1:5" ht="14.25">
      <c r="A5858" s="37"/>
      <c r="B5858" s="37"/>
      <c r="C5858" s="37"/>
      <c r="D5858" s="37"/>
      <c r="E5858" s="212"/>
    </row>
    <row r="5859" spans="1:5" ht="14.25">
      <c r="A5859" s="37"/>
      <c r="B5859" s="37"/>
      <c r="C5859" s="37"/>
      <c r="D5859" s="37"/>
      <c r="E5859" s="212"/>
    </row>
    <row r="5860" spans="1:5" ht="14.25">
      <c r="A5860" s="37"/>
      <c r="B5860" s="37"/>
      <c r="C5860" s="37"/>
      <c r="D5860" s="37"/>
      <c r="E5860" s="212"/>
    </row>
    <row r="5861" spans="1:5" ht="14.25">
      <c r="A5861" s="37"/>
      <c r="B5861" s="37"/>
      <c r="C5861" s="37"/>
      <c r="D5861" s="37"/>
      <c r="E5861" s="212"/>
    </row>
    <row r="5862" spans="1:5" ht="14.25">
      <c r="A5862" s="37"/>
      <c r="B5862" s="37"/>
      <c r="C5862" s="37"/>
      <c r="D5862" s="37"/>
      <c r="E5862" s="212"/>
    </row>
    <row r="5863" spans="1:5" ht="14.25">
      <c r="A5863" s="37"/>
      <c r="B5863" s="37"/>
      <c r="C5863" s="37"/>
      <c r="D5863" s="37"/>
      <c r="E5863" s="212"/>
    </row>
    <row r="5864" spans="1:5" ht="14.25">
      <c r="A5864" s="37"/>
      <c r="B5864" s="37"/>
      <c r="C5864" s="37"/>
      <c r="D5864" s="37"/>
      <c r="E5864" s="212"/>
    </row>
    <row r="5865" spans="1:5" ht="14.25">
      <c r="A5865" s="37"/>
      <c r="B5865" s="37"/>
      <c r="C5865" s="37"/>
      <c r="D5865" s="37"/>
      <c r="E5865" s="212"/>
    </row>
    <row r="5866" spans="1:5" ht="14.25">
      <c r="A5866" s="37"/>
      <c r="B5866" s="37"/>
      <c r="C5866" s="37"/>
      <c r="D5866" s="37"/>
      <c r="E5866" s="212"/>
    </row>
    <row r="5867" spans="1:5" ht="14.25">
      <c r="A5867" s="37"/>
      <c r="B5867" s="37"/>
      <c r="C5867" s="37"/>
      <c r="D5867" s="37"/>
      <c r="E5867" s="212"/>
    </row>
    <row r="5868" spans="1:5" ht="14.25">
      <c r="A5868" s="37"/>
      <c r="B5868" s="37"/>
      <c r="C5868" s="37"/>
      <c r="D5868" s="37"/>
      <c r="E5868" s="212"/>
    </row>
    <row r="5869" spans="1:5" ht="14.25">
      <c r="A5869" s="37"/>
      <c r="B5869" s="37"/>
      <c r="C5869" s="37"/>
      <c r="D5869" s="37"/>
      <c r="E5869" s="212"/>
    </row>
    <row r="5870" spans="1:5" ht="14.25">
      <c r="A5870" s="37"/>
      <c r="B5870" s="37"/>
      <c r="C5870" s="37"/>
      <c r="D5870" s="37"/>
      <c r="E5870" s="212"/>
    </row>
    <row r="5871" spans="1:5" ht="14.25">
      <c r="A5871" s="37"/>
      <c r="B5871" s="37"/>
      <c r="C5871" s="37"/>
      <c r="D5871" s="37"/>
      <c r="E5871" s="212"/>
    </row>
    <row r="5872" spans="1:5" ht="14.25">
      <c r="A5872" s="37"/>
      <c r="B5872" s="37"/>
      <c r="C5872" s="37"/>
      <c r="D5872" s="37"/>
      <c r="E5872" s="212"/>
    </row>
    <row r="5873" spans="1:5" ht="14.25">
      <c r="A5873" s="37"/>
      <c r="B5873" s="37"/>
      <c r="C5873" s="37"/>
      <c r="D5873" s="37"/>
      <c r="E5873" s="213"/>
    </row>
    <row r="5874" spans="1:5" ht="14.25">
      <c r="A5874" s="37"/>
      <c r="B5874" s="37"/>
      <c r="C5874" s="37"/>
      <c r="D5874" s="37"/>
      <c r="E5874" s="212"/>
    </row>
    <row r="5875" spans="1:5" ht="14.25">
      <c r="A5875" s="37"/>
      <c r="B5875" s="37"/>
      <c r="C5875" s="37"/>
      <c r="D5875" s="37"/>
      <c r="E5875" s="213"/>
    </row>
    <row r="5876" spans="1:5" ht="14.25">
      <c r="A5876" s="37"/>
      <c r="B5876" s="37"/>
      <c r="C5876" s="37"/>
      <c r="D5876" s="37"/>
      <c r="E5876" s="212"/>
    </row>
    <row r="5877" spans="1:5" ht="14.25">
      <c r="A5877" s="37"/>
      <c r="B5877" s="37"/>
      <c r="C5877" s="37"/>
      <c r="D5877" s="37"/>
      <c r="E5877" s="213"/>
    </row>
    <row r="5878" spans="1:5" ht="14.25">
      <c r="A5878" s="37"/>
      <c r="B5878" s="37"/>
      <c r="C5878" s="37"/>
      <c r="D5878" s="37"/>
      <c r="E5878" s="212"/>
    </row>
    <row r="5879" spans="1:5" ht="14.25">
      <c r="A5879" s="37"/>
      <c r="B5879" s="37"/>
      <c r="C5879" s="37"/>
      <c r="D5879" s="37"/>
      <c r="E5879" s="213"/>
    </row>
    <row r="5880" spans="1:5" ht="14.25">
      <c r="A5880" s="37"/>
      <c r="B5880" s="37"/>
      <c r="C5880" s="37"/>
      <c r="D5880" s="37"/>
      <c r="E5880" s="212"/>
    </row>
    <row r="5881" spans="1:5" ht="14.25">
      <c r="A5881" s="37"/>
      <c r="B5881" s="37"/>
      <c r="C5881" s="37"/>
      <c r="D5881" s="37"/>
      <c r="E5881" s="212"/>
    </row>
    <row r="5882" spans="1:5" ht="14.25">
      <c r="A5882" s="37"/>
      <c r="B5882" s="37"/>
      <c r="C5882" s="37"/>
      <c r="D5882" s="37"/>
      <c r="E5882" s="212"/>
    </row>
    <row r="5883" spans="1:5" ht="14.25">
      <c r="A5883" s="37"/>
      <c r="B5883" s="37"/>
      <c r="C5883" s="37"/>
      <c r="D5883" s="37"/>
      <c r="E5883" s="212"/>
    </row>
    <row r="5884" spans="1:5" ht="14.25">
      <c r="A5884" s="37"/>
      <c r="B5884" s="37"/>
      <c r="C5884" s="37"/>
      <c r="D5884" s="37"/>
      <c r="E5884" s="212"/>
    </row>
    <row r="5885" spans="1:5" ht="14.25">
      <c r="A5885" s="37"/>
      <c r="B5885" s="37"/>
      <c r="C5885" s="37"/>
      <c r="D5885" s="37"/>
      <c r="E5885" s="212"/>
    </row>
    <row r="5886" spans="1:5" ht="14.25">
      <c r="A5886" s="37"/>
      <c r="B5886" s="37"/>
      <c r="C5886" s="37"/>
      <c r="D5886" s="37"/>
      <c r="E5886" s="212"/>
    </row>
    <row r="5887" spans="1:5" ht="14.25">
      <c r="A5887" s="37"/>
      <c r="B5887" s="37"/>
      <c r="C5887" s="37"/>
      <c r="D5887" s="37"/>
      <c r="E5887" s="212"/>
    </row>
    <row r="5888" spans="1:5" ht="14.25">
      <c r="A5888" s="37"/>
      <c r="B5888" s="37"/>
      <c r="C5888" s="37"/>
      <c r="D5888" s="37"/>
      <c r="E5888" s="212"/>
    </row>
    <row r="5889" spans="1:5" ht="14.25">
      <c r="A5889" s="37"/>
      <c r="B5889" s="37"/>
      <c r="C5889" s="37"/>
      <c r="D5889" s="37"/>
      <c r="E5889" s="212"/>
    </row>
    <row r="5890" spans="1:5" ht="14.25">
      <c r="A5890" s="37"/>
      <c r="B5890" s="37"/>
      <c r="C5890" s="37"/>
      <c r="D5890" s="37"/>
      <c r="E5890" s="212"/>
    </row>
    <row r="5891" spans="1:5" ht="14.25">
      <c r="A5891" s="37"/>
      <c r="B5891" s="37"/>
      <c r="C5891" s="37"/>
      <c r="D5891" s="37"/>
      <c r="E5891" s="213"/>
    </row>
    <row r="5892" spans="1:5" ht="14.25">
      <c r="A5892" s="37"/>
      <c r="B5892" s="37"/>
      <c r="C5892" s="37"/>
      <c r="D5892" s="37"/>
      <c r="E5892" s="213"/>
    </row>
    <row r="5893" spans="1:5" ht="14.25">
      <c r="A5893" s="37"/>
      <c r="B5893" s="37"/>
      <c r="C5893" s="37"/>
      <c r="D5893" s="37"/>
      <c r="E5893" s="213"/>
    </row>
    <row r="5894" spans="1:5" ht="14.25">
      <c r="A5894" s="37"/>
      <c r="B5894" s="37"/>
      <c r="C5894" s="37"/>
      <c r="D5894" s="37"/>
      <c r="E5894" s="213"/>
    </row>
    <row r="5895" spans="1:5" ht="14.25">
      <c r="A5895" s="37"/>
      <c r="B5895" s="37"/>
      <c r="C5895" s="37"/>
      <c r="D5895" s="37"/>
      <c r="E5895" s="212"/>
    </row>
    <row r="5896" spans="1:5" ht="14.25">
      <c r="A5896" s="37"/>
      <c r="B5896" s="37"/>
      <c r="C5896" s="37"/>
      <c r="D5896" s="37"/>
      <c r="E5896" s="212"/>
    </row>
    <row r="5897" spans="1:5" ht="14.25">
      <c r="A5897" s="37"/>
      <c r="B5897" s="37"/>
      <c r="C5897" s="37"/>
      <c r="D5897" s="37"/>
      <c r="E5897" s="212"/>
    </row>
    <row r="5898" spans="1:5" ht="14.25">
      <c r="A5898" s="37"/>
      <c r="B5898" s="37"/>
      <c r="C5898" s="37"/>
      <c r="D5898" s="37"/>
      <c r="E5898" s="212"/>
    </row>
    <row r="5899" spans="1:5" ht="14.25">
      <c r="A5899" s="37"/>
      <c r="B5899" s="37"/>
      <c r="C5899" s="37"/>
      <c r="D5899" s="37"/>
      <c r="E5899" s="212"/>
    </row>
    <row r="5900" spans="1:5" ht="14.25">
      <c r="A5900" s="37"/>
      <c r="B5900" s="37"/>
      <c r="C5900" s="37"/>
      <c r="D5900" s="37"/>
      <c r="E5900" s="213"/>
    </row>
    <row r="5901" spans="1:5" ht="14.25">
      <c r="A5901" s="37"/>
      <c r="B5901" s="37"/>
      <c r="C5901" s="37"/>
      <c r="D5901" s="37"/>
      <c r="E5901" s="213"/>
    </row>
    <row r="5902" spans="1:5" ht="14.25">
      <c r="A5902" s="37"/>
      <c r="B5902" s="37"/>
      <c r="C5902" s="37"/>
      <c r="D5902" s="37"/>
      <c r="E5902" s="213"/>
    </row>
    <row r="5903" spans="1:5" ht="14.25">
      <c r="A5903" s="37"/>
      <c r="B5903" s="37"/>
      <c r="C5903" s="37"/>
      <c r="D5903" s="37"/>
      <c r="E5903" s="213"/>
    </row>
    <row r="5904" spans="1:5" ht="14.25">
      <c r="A5904" s="37"/>
      <c r="B5904" s="37"/>
      <c r="C5904" s="37"/>
      <c r="D5904" s="37"/>
      <c r="E5904" s="213"/>
    </row>
    <row r="5905" spans="1:5" ht="14.25">
      <c r="A5905" s="37"/>
      <c r="B5905" s="37"/>
      <c r="C5905" s="37"/>
      <c r="D5905" s="37"/>
      <c r="E5905" s="212"/>
    </row>
    <row r="5906" spans="1:5" ht="14.25">
      <c r="A5906" s="37"/>
      <c r="B5906" s="37"/>
      <c r="C5906" s="37"/>
      <c r="D5906" s="37"/>
      <c r="E5906" s="212"/>
    </row>
    <row r="5907" spans="1:5" ht="14.25">
      <c r="A5907" s="37"/>
      <c r="B5907" s="37"/>
      <c r="C5907" s="37"/>
      <c r="D5907" s="37"/>
      <c r="E5907" s="212"/>
    </row>
    <row r="5908" spans="1:5" ht="14.25">
      <c r="A5908" s="37"/>
      <c r="B5908" s="37"/>
      <c r="C5908" s="37"/>
      <c r="D5908" s="37"/>
      <c r="E5908" s="212"/>
    </row>
    <row r="5909" spans="1:5" ht="14.25">
      <c r="A5909" s="37"/>
      <c r="B5909" s="37"/>
      <c r="C5909" s="37"/>
      <c r="D5909" s="37"/>
      <c r="E5909" s="212"/>
    </row>
    <row r="5910" spans="1:5" ht="14.25">
      <c r="A5910" s="37"/>
      <c r="B5910" s="37"/>
      <c r="C5910" s="37"/>
      <c r="D5910" s="37"/>
      <c r="E5910" s="212"/>
    </row>
    <row r="5911" spans="1:5" ht="14.25">
      <c r="A5911" s="37"/>
      <c r="B5911" s="37"/>
      <c r="C5911" s="37"/>
      <c r="D5911" s="37"/>
      <c r="E5911" s="212"/>
    </row>
    <row r="5912" spans="1:5" ht="14.25">
      <c r="A5912" s="37"/>
      <c r="B5912" s="37"/>
      <c r="C5912" s="37"/>
      <c r="D5912" s="37"/>
      <c r="E5912" s="212"/>
    </row>
    <row r="5913" spans="1:5" ht="14.25">
      <c r="A5913" s="37"/>
      <c r="B5913" s="37"/>
      <c r="C5913" s="37"/>
      <c r="D5913" s="37"/>
      <c r="E5913" s="212"/>
    </row>
    <row r="5914" spans="1:5" ht="14.25">
      <c r="A5914" s="37"/>
      <c r="B5914" s="37"/>
      <c r="C5914" s="37"/>
      <c r="D5914" s="37"/>
      <c r="E5914" s="212"/>
    </row>
    <row r="5915" spans="1:5" ht="14.25">
      <c r="A5915" s="37"/>
      <c r="B5915" s="37"/>
      <c r="C5915" s="37"/>
      <c r="D5915" s="37"/>
      <c r="E5915" s="212"/>
    </row>
    <row r="5916" spans="1:5" ht="14.25">
      <c r="A5916" s="37"/>
      <c r="B5916" s="37"/>
      <c r="C5916" s="37"/>
      <c r="D5916" s="37"/>
      <c r="E5916" s="212"/>
    </row>
    <row r="5917" spans="1:5" ht="14.25">
      <c r="A5917" s="37"/>
      <c r="B5917" s="37"/>
      <c r="C5917" s="37"/>
      <c r="D5917" s="37"/>
      <c r="E5917" s="212"/>
    </row>
    <row r="5918" spans="1:5" ht="14.25">
      <c r="A5918" s="37"/>
      <c r="B5918" s="37"/>
      <c r="C5918" s="37"/>
      <c r="D5918" s="37"/>
      <c r="E5918" s="212"/>
    </row>
    <row r="5919" spans="1:5" ht="14.25">
      <c r="A5919" s="37"/>
      <c r="B5919" s="37"/>
      <c r="C5919" s="37"/>
      <c r="D5919" s="37"/>
      <c r="E5919" s="212"/>
    </row>
    <row r="5920" spans="1:5" ht="14.25">
      <c r="A5920" s="37"/>
      <c r="B5920" s="37"/>
      <c r="C5920" s="37"/>
      <c r="D5920" s="37"/>
      <c r="E5920" s="212"/>
    </row>
    <row r="5921" spans="1:5" ht="14.25">
      <c r="A5921" s="37"/>
      <c r="B5921" s="37"/>
      <c r="C5921" s="37"/>
      <c r="D5921" s="37"/>
      <c r="E5921" s="212"/>
    </row>
    <row r="5922" spans="1:5" ht="14.25">
      <c r="A5922" s="37"/>
      <c r="B5922" s="37"/>
      <c r="C5922" s="37"/>
      <c r="D5922" s="37"/>
      <c r="E5922" s="212"/>
    </row>
    <row r="5923" spans="1:5" ht="14.25">
      <c r="A5923" s="37"/>
      <c r="B5923" s="37"/>
      <c r="C5923" s="37"/>
      <c r="D5923" s="37"/>
      <c r="E5923" s="212"/>
    </row>
    <row r="5924" spans="1:5" ht="14.25">
      <c r="A5924" s="37"/>
      <c r="B5924" s="37"/>
      <c r="C5924" s="37"/>
      <c r="D5924" s="37"/>
      <c r="E5924" s="212"/>
    </row>
    <row r="5925" spans="1:5" ht="14.25">
      <c r="A5925" s="37"/>
      <c r="B5925" s="37"/>
      <c r="C5925" s="37"/>
      <c r="D5925" s="37"/>
      <c r="E5925" s="212"/>
    </row>
    <row r="5926" spans="1:5" ht="14.25">
      <c r="A5926" s="37"/>
      <c r="B5926" s="37"/>
      <c r="C5926" s="37"/>
      <c r="D5926" s="37"/>
      <c r="E5926" s="212"/>
    </row>
    <row r="5927" spans="1:5" ht="14.25">
      <c r="A5927" s="37"/>
      <c r="B5927" s="37"/>
      <c r="C5927" s="37"/>
      <c r="D5927" s="37"/>
      <c r="E5927" s="212"/>
    </row>
    <row r="5928" spans="1:5" ht="14.25">
      <c r="A5928" s="37"/>
      <c r="B5928" s="37"/>
      <c r="C5928" s="37"/>
      <c r="D5928" s="37"/>
      <c r="E5928" s="212"/>
    </row>
    <row r="5929" spans="1:5" ht="14.25">
      <c r="A5929" s="37"/>
      <c r="B5929" s="37"/>
      <c r="C5929" s="37"/>
      <c r="D5929" s="37"/>
      <c r="E5929" s="212"/>
    </row>
    <row r="5930" spans="1:5" ht="14.25">
      <c r="A5930" s="37"/>
      <c r="B5930" s="37"/>
      <c r="C5930" s="37"/>
      <c r="D5930" s="37"/>
      <c r="E5930" s="212"/>
    </row>
    <row r="5931" spans="1:5" ht="14.25">
      <c r="A5931" s="37"/>
      <c r="B5931" s="37"/>
      <c r="C5931" s="37"/>
      <c r="D5931" s="37"/>
      <c r="E5931" s="212"/>
    </row>
    <row r="5932" spans="1:5" ht="14.25">
      <c r="A5932" s="37"/>
      <c r="B5932" s="37"/>
      <c r="C5932" s="37"/>
      <c r="D5932" s="37"/>
      <c r="E5932" s="212"/>
    </row>
    <row r="5933" spans="1:5" ht="14.25">
      <c r="A5933" s="37"/>
      <c r="B5933" s="37"/>
      <c r="C5933" s="37"/>
      <c r="D5933" s="37"/>
      <c r="E5933" s="212"/>
    </row>
    <row r="5934" spans="1:5" ht="14.25">
      <c r="A5934" s="37"/>
      <c r="B5934" s="37"/>
      <c r="C5934" s="37"/>
      <c r="D5934" s="37"/>
      <c r="E5934" s="212"/>
    </row>
    <row r="5935" spans="1:5" ht="14.25">
      <c r="A5935" s="37"/>
      <c r="B5935" s="37"/>
      <c r="C5935" s="37"/>
      <c r="D5935" s="37"/>
      <c r="E5935" s="212"/>
    </row>
    <row r="5936" spans="1:5" ht="14.25">
      <c r="A5936" s="37"/>
      <c r="B5936" s="37"/>
      <c r="C5936" s="37"/>
      <c r="D5936" s="37"/>
      <c r="E5936" s="212"/>
    </row>
    <row r="5937" spans="1:5" ht="14.25">
      <c r="A5937" s="37"/>
      <c r="B5937" s="37"/>
      <c r="C5937" s="37"/>
      <c r="D5937" s="37"/>
      <c r="E5937" s="212"/>
    </row>
    <row r="5938" spans="1:5" ht="14.25">
      <c r="A5938" s="37"/>
      <c r="B5938" s="37"/>
      <c r="C5938" s="37"/>
      <c r="D5938" s="37"/>
      <c r="E5938" s="212"/>
    </row>
    <row r="5939" spans="1:5" ht="14.25">
      <c r="A5939" s="37"/>
      <c r="B5939" s="37"/>
      <c r="C5939" s="37"/>
      <c r="D5939" s="37"/>
      <c r="E5939" s="212"/>
    </row>
    <row r="5940" spans="1:5" ht="14.25">
      <c r="A5940" s="37"/>
      <c r="B5940" s="37"/>
      <c r="C5940" s="37"/>
      <c r="D5940" s="37"/>
      <c r="E5940" s="212"/>
    </row>
    <row r="5941" spans="1:5" ht="14.25">
      <c r="A5941" s="37"/>
      <c r="B5941" s="37"/>
      <c r="C5941" s="37"/>
      <c r="D5941" s="37"/>
      <c r="E5941" s="212"/>
    </row>
    <row r="5942" spans="1:5" ht="14.25">
      <c r="A5942" s="37"/>
      <c r="B5942" s="37"/>
      <c r="C5942" s="37"/>
      <c r="D5942" s="37"/>
      <c r="E5942" s="212"/>
    </row>
    <row r="5943" spans="1:5" ht="14.25">
      <c r="A5943" s="37"/>
      <c r="B5943" s="37"/>
      <c r="C5943" s="37"/>
      <c r="D5943" s="37"/>
      <c r="E5943" s="212"/>
    </row>
    <row r="5944" spans="1:5" ht="14.25">
      <c r="A5944" s="37"/>
      <c r="B5944" s="37"/>
      <c r="C5944" s="37"/>
      <c r="D5944" s="37"/>
      <c r="E5944" s="212"/>
    </row>
    <row r="5945" spans="1:5" ht="14.25">
      <c r="A5945" s="37"/>
      <c r="B5945" s="37"/>
      <c r="C5945" s="37"/>
      <c r="D5945" s="37"/>
      <c r="E5945" s="212"/>
    </row>
    <row r="5946" spans="1:5" ht="14.25">
      <c r="A5946" s="37"/>
      <c r="B5946" s="37"/>
      <c r="C5946" s="37"/>
      <c r="D5946" s="37"/>
      <c r="E5946" s="212"/>
    </row>
    <row r="5947" spans="1:5" ht="14.25">
      <c r="A5947" s="37"/>
      <c r="B5947" s="37"/>
      <c r="C5947" s="37"/>
      <c r="D5947" s="37"/>
      <c r="E5947" s="212"/>
    </row>
    <row r="5948" spans="1:5" ht="14.25">
      <c r="A5948" s="37"/>
      <c r="B5948" s="37"/>
      <c r="C5948" s="37"/>
      <c r="D5948" s="37"/>
      <c r="E5948" s="212"/>
    </row>
    <row r="5949" spans="1:5" ht="14.25">
      <c r="A5949" s="37"/>
      <c r="B5949" s="37"/>
      <c r="C5949" s="37"/>
      <c r="D5949" s="37"/>
      <c r="E5949" s="212"/>
    </row>
    <row r="5950" spans="1:5" ht="14.25">
      <c r="A5950" s="37"/>
      <c r="B5950" s="37"/>
      <c r="C5950" s="37"/>
      <c r="D5950" s="37"/>
      <c r="E5950" s="212"/>
    </row>
    <row r="5951" spans="1:5" ht="14.25">
      <c r="A5951" s="37"/>
      <c r="B5951" s="37"/>
      <c r="C5951" s="37"/>
      <c r="D5951" s="37"/>
      <c r="E5951" s="212"/>
    </row>
    <row r="5952" spans="1:5" ht="14.25">
      <c r="A5952" s="37"/>
      <c r="B5952" s="37"/>
      <c r="C5952" s="37"/>
      <c r="D5952" s="37"/>
      <c r="E5952" s="212"/>
    </row>
    <row r="5953" spans="1:5" ht="14.25">
      <c r="A5953" s="37"/>
      <c r="B5953" s="37"/>
      <c r="C5953" s="37"/>
      <c r="D5953" s="37"/>
      <c r="E5953" s="212"/>
    </row>
    <row r="5954" spans="1:5" ht="14.25">
      <c r="A5954" s="37"/>
      <c r="B5954" s="37"/>
      <c r="C5954" s="37"/>
      <c r="D5954" s="37"/>
      <c r="E5954" s="212"/>
    </row>
    <row r="5955" spans="1:5" ht="14.25">
      <c r="A5955" s="37"/>
      <c r="B5955" s="37"/>
      <c r="C5955" s="37"/>
      <c r="D5955" s="37"/>
      <c r="E5955" s="213"/>
    </row>
    <row r="5956" spans="1:5" ht="14.25">
      <c r="A5956" s="37"/>
      <c r="B5956" s="37"/>
      <c r="C5956" s="37"/>
      <c r="D5956" s="37"/>
      <c r="E5956" s="213"/>
    </row>
    <row r="5957" spans="1:5" ht="14.25">
      <c r="A5957" s="37"/>
      <c r="B5957" s="37"/>
      <c r="C5957" s="37"/>
      <c r="D5957" s="37"/>
      <c r="E5957" s="212"/>
    </row>
    <row r="5958" spans="1:5" ht="14.25">
      <c r="A5958" s="37"/>
      <c r="B5958" s="37"/>
      <c r="C5958" s="37"/>
      <c r="D5958" s="37"/>
      <c r="E5958" s="212"/>
    </row>
    <row r="5959" spans="1:5" ht="14.25">
      <c r="A5959" s="37"/>
      <c r="B5959" s="37"/>
      <c r="C5959" s="37"/>
      <c r="D5959" s="37"/>
      <c r="E5959" s="212"/>
    </row>
    <row r="5960" spans="1:5" ht="14.25">
      <c r="A5960" s="37"/>
      <c r="B5960" s="37"/>
      <c r="C5960" s="37"/>
      <c r="D5960" s="37"/>
      <c r="E5960" s="212"/>
    </row>
    <row r="5961" spans="1:5" ht="14.25">
      <c r="A5961" s="37"/>
      <c r="B5961" s="37"/>
      <c r="C5961" s="37"/>
      <c r="D5961" s="37"/>
      <c r="E5961" s="212"/>
    </row>
    <row r="5962" spans="1:5" ht="14.25">
      <c r="A5962" s="37"/>
      <c r="B5962" s="37"/>
      <c r="C5962" s="37"/>
      <c r="D5962" s="37"/>
      <c r="E5962" s="212"/>
    </row>
    <row r="5963" spans="1:5" ht="14.25">
      <c r="A5963" s="37"/>
      <c r="B5963" s="37"/>
      <c r="C5963" s="37"/>
      <c r="D5963" s="37"/>
      <c r="E5963" s="212"/>
    </row>
    <row r="5964" spans="1:5" ht="14.25">
      <c r="A5964" s="37"/>
      <c r="B5964" s="37"/>
      <c r="C5964" s="37"/>
      <c r="D5964" s="37"/>
      <c r="E5964" s="212"/>
    </row>
    <row r="5965" spans="1:5" ht="14.25">
      <c r="A5965" s="37"/>
      <c r="B5965" s="37"/>
      <c r="C5965" s="37"/>
      <c r="D5965" s="37"/>
      <c r="E5965" s="212"/>
    </row>
    <row r="5966" spans="1:5" ht="14.25">
      <c r="A5966" s="37"/>
      <c r="B5966" s="37"/>
      <c r="C5966" s="37"/>
      <c r="D5966" s="37"/>
      <c r="E5966" s="212"/>
    </row>
    <row r="5967" spans="1:5" ht="14.25">
      <c r="A5967" s="37"/>
      <c r="B5967" s="37"/>
      <c r="C5967" s="37"/>
      <c r="D5967" s="37"/>
      <c r="E5967" s="212"/>
    </row>
    <row r="5968" spans="1:5" ht="14.25">
      <c r="A5968" s="37"/>
      <c r="B5968" s="37"/>
      <c r="C5968" s="37"/>
      <c r="D5968" s="37"/>
      <c r="E5968" s="212"/>
    </row>
    <row r="5969" spans="1:5" ht="14.25">
      <c r="A5969" s="37"/>
      <c r="B5969" s="37"/>
      <c r="C5969" s="37"/>
      <c r="D5969" s="37"/>
      <c r="E5969" s="212"/>
    </row>
    <row r="5970" spans="1:5" ht="14.25">
      <c r="A5970" s="37"/>
      <c r="B5970" s="37"/>
      <c r="C5970" s="37"/>
      <c r="D5970" s="37"/>
      <c r="E5970" s="213"/>
    </row>
    <row r="5971" spans="1:5" ht="14.25">
      <c r="A5971" s="37"/>
      <c r="B5971" s="37"/>
      <c r="C5971" s="37"/>
      <c r="D5971" s="37"/>
      <c r="E5971" s="212"/>
    </row>
    <row r="5972" spans="1:5" ht="14.25">
      <c r="A5972" s="37"/>
      <c r="B5972" s="37"/>
      <c r="C5972" s="37"/>
      <c r="D5972" s="37"/>
      <c r="E5972" s="212"/>
    </row>
    <row r="5973" spans="1:5" ht="14.25">
      <c r="A5973" s="37"/>
      <c r="B5973" s="37"/>
      <c r="C5973" s="37"/>
      <c r="D5973" s="37"/>
      <c r="E5973" s="212"/>
    </row>
    <row r="5974" spans="1:5" ht="14.25">
      <c r="A5974" s="37"/>
      <c r="B5974" s="37"/>
      <c r="C5974" s="37"/>
      <c r="D5974" s="37"/>
      <c r="E5974" s="212"/>
    </row>
    <row r="5975" spans="1:5" ht="14.25">
      <c r="A5975" s="37"/>
      <c r="B5975" s="37"/>
      <c r="C5975" s="37"/>
      <c r="D5975" s="37"/>
      <c r="E5975" s="212"/>
    </row>
    <row r="5976" spans="1:5" ht="14.25">
      <c r="A5976" s="37"/>
      <c r="B5976" s="37"/>
      <c r="C5976" s="37"/>
      <c r="D5976" s="37"/>
      <c r="E5976" s="212"/>
    </row>
    <row r="5977" spans="1:5" ht="14.25">
      <c r="A5977" s="37"/>
      <c r="B5977" s="37"/>
      <c r="C5977" s="37"/>
      <c r="D5977" s="37"/>
      <c r="E5977" s="213"/>
    </row>
    <row r="5978" spans="1:5" ht="14.25">
      <c r="A5978" s="37"/>
      <c r="B5978" s="37"/>
      <c r="C5978" s="37"/>
      <c r="D5978" s="37"/>
      <c r="E5978" s="212"/>
    </row>
    <row r="5979" spans="1:5" ht="14.25">
      <c r="A5979" s="37"/>
      <c r="B5979" s="37"/>
      <c r="C5979" s="37"/>
      <c r="D5979" s="37"/>
      <c r="E5979" s="212"/>
    </row>
    <row r="5980" spans="1:5" ht="14.25">
      <c r="A5980" s="37"/>
      <c r="B5980" s="37"/>
      <c r="C5980" s="37"/>
      <c r="D5980" s="37"/>
      <c r="E5980" s="212"/>
    </row>
    <row r="5981" spans="1:5" ht="14.25">
      <c r="A5981" s="37"/>
      <c r="B5981" s="37"/>
      <c r="C5981" s="37"/>
      <c r="D5981" s="37"/>
      <c r="E5981" s="212"/>
    </row>
    <row r="5982" spans="1:5" ht="14.25">
      <c r="A5982" s="37"/>
      <c r="B5982" s="37"/>
      <c r="C5982" s="37"/>
      <c r="D5982" s="37"/>
      <c r="E5982" s="213"/>
    </row>
    <row r="5983" spans="1:5" ht="14.25">
      <c r="A5983" s="37"/>
      <c r="B5983" s="37"/>
      <c r="C5983" s="37"/>
      <c r="D5983" s="37"/>
      <c r="E5983" s="212"/>
    </row>
    <row r="5984" spans="1:5" ht="14.25">
      <c r="A5984" s="37"/>
      <c r="B5984" s="37"/>
      <c r="C5984" s="37"/>
      <c r="D5984" s="37"/>
      <c r="E5984" s="212"/>
    </row>
    <row r="5985" spans="1:5" ht="14.25">
      <c r="A5985" s="37"/>
      <c r="B5985" s="37"/>
      <c r="C5985" s="37"/>
      <c r="D5985" s="37"/>
      <c r="E5985" s="212"/>
    </row>
    <row r="5986" spans="1:5" ht="14.25">
      <c r="A5986" s="37"/>
      <c r="B5986" s="37"/>
      <c r="C5986" s="37"/>
      <c r="D5986" s="37"/>
      <c r="E5986" s="212"/>
    </row>
    <row r="5987" spans="1:5" ht="14.25">
      <c r="A5987" s="37"/>
      <c r="B5987" s="37"/>
      <c r="C5987" s="37"/>
      <c r="D5987" s="37"/>
      <c r="E5987" s="212"/>
    </row>
    <row r="5988" spans="1:5" ht="14.25">
      <c r="A5988" s="37"/>
      <c r="B5988" s="37"/>
      <c r="C5988" s="37"/>
      <c r="D5988" s="37"/>
      <c r="E5988" s="212"/>
    </row>
    <row r="5989" spans="1:5" ht="14.25">
      <c r="A5989" s="37"/>
      <c r="B5989" s="37"/>
      <c r="C5989" s="37"/>
      <c r="D5989" s="37"/>
      <c r="E5989" s="212"/>
    </row>
    <row r="5990" spans="1:5" ht="14.25">
      <c r="A5990" s="37"/>
      <c r="B5990" s="37"/>
      <c r="C5990" s="37"/>
      <c r="D5990" s="37"/>
      <c r="E5990" s="212"/>
    </row>
    <row r="5991" spans="1:5" ht="14.25">
      <c r="A5991" s="37"/>
      <c r="B5991" s="37"/>
      <c r="C5991" s="37"/>
      <c r="D5991" s="37"/>
      <c r="E5991" s="212"/>
    </row>
    <row r="5992" spans="1:5" ht="14.25">
      <c r="A5992" s="37"/>
      <c r="B5992" s="37"/>
      <c r="C5992" s="37"/>
      <c r="D5992" s="37"/>
      <c r="E5992" s="212"/>
    </row>
    <row r="5993" spans="1:5" ht="14.25">
      <c r="A5993" s="37"/>
      <c r="B5993" s="37"/>
      <c r="C5993" s="37"/>
      <c r="D5993" s="37"/>
      <c r="E5993" s="212"/>
    </row>
    <row r="5994" spans="1:5" ht="14.25">
      <c r="A5994" s="37"/>
      <c r="B5994" s="37"/>
      <c r="C5994" s="37"/>
      <c r="D5994" s="37"/>
      <c r="E5994" s="212"/>
    </row>
    <row r="5995" spans="1:5" ht="14.25">
      <c r="A5995" s="37"/>
      <c r="B5995" s="37"/>
      <c r="C5995" s="37"/>
      <c r="D5995" s="37"/>
      <c r="E5995" s="212"/>
    </row>
    <row r="5996" spans="1:5" ht="14.25">
      <c r="A5996" s="37"/>
      <c r="B5996" s="37"/>
      <c r="C5996" s="37"/>
      <c r="D5996" s="37"/>
      <c r="E5996" s="212"/>
    </row>
    <row r="5997" spans="1:5" ht="14.25">
      <c r="A5997" s="37"/>
      <c r="B5997" s="37"/>
      <c r="C5997" s="37"/>
      <c r="D5997" s="37"/>
      <c r="E5997" s="213"/>
    </row>
    <row r="5998" spans="1:5" ht="14.25">
      <c r="A5998" s="37"/>
      <c r="B5998" s="37"/>
      <c r="C5998" s="37"/>
      <c r="D5998" s="37"/>
      <c r="E5998" s="212"/>
    </row>
    <row r="5999" spans="1:5" ht="14.25">
      <c r="A5999" s="37"/>
      <c r="B5999" s="37"/>
      <c r="C5999" s="37"/>
      <c r="D5999" s="37"/>
      <c r="E5999" s="213"/>
    </row>
    <row r="6000" spans="1:5" ht="14.25">
      <c r="A6000" s="37"/>
      <c r="B6000" s="37"/>
      <c r="C6000" s="37"/>
      <c r="D6000" s="37"/>
      <c r="E6000" s="212"/>
    </row>
    <row r="6001" spans="1:5" ht="14.25">
      <c r="A6001" s="37"/>
      <c r="B6001" s="37"/>
      <c r="C6001" s="37"/>
      <c r="D6001" s="37"/>
      <c r="E6001" s="212"/>
    </row>
    <row r="6002" spans="1:5" ht="14.25">
      <c r="A6002" s="37"/>
      <c r="B6002" s="37"/>
      <c r="C6002" s="37"/>
      <c r="D6002" s="37"/>
      <c r="E6002" s="212"/>
    </row>
    <row r="6003" spans="1:5" ht="14.25">
      <c r="A6003" s="37"/>
      <c r="B6003" s="37"/>
      <c r="C6003" s="37"/>
      <c r="D6003" s="37"/>
      <c r="E6003" s="212"/>
    </row>
    <row r="6004" spans="1:5" ht="14.25">
      <c r="A6004" s="37"/>
      <c r="B6004" s="37"/>
      <c r="C6004" s="37"/>
      <c r="D6004" s="37"/>
      <c r="E6004" s="212"/>
    </row>
    <row r="6005" spans="1:5" ht="14.25">
      <c r="A6005" s="37"/>
      <c r="B6005" s="37"/>
      <c r="C6005" s="37"/>
      <c r="D6005" s="37"/>
      <c r="E6005" s="212"/>
    </row>
    <row r="6006" spans="1:5" ht="14.25">
      <c r="A6006" s="37"/>
      <c r="B6006" s="37"/>
      <c r="C6006" s="37"/>
      <c r="D6006" s="37"/>
      <c r="E6006" s="212"/>
    </row>
    <row r="6007" spans="1:5" ht="14.25">
      <c r="A6007" s="37"/>
      <c r="B6007" s="37"/>
      <c r="C6007" s="37"/>
      <c r="D6007" s="37"/>
      <c r="E6007" s="212"/>
    </row>
    <row r="6008" spans="1:5" ht="14.25">
      <c r="A6008" s="37"/>
      <c r="B6008" s="37"/>
      <c r="C6008" s="37"/>
      <c r="D6008" s="37"/>
      <c r="E6008" s="212"/>
    </row>
    <row r="6009" spans="1:5" ht="14.25">
      <c r="A6009" s="37"/>
      <c r="B6009" s="37"/>
      <c r="C6009" s="37"/>
      <c r="D6009" s="37"/>
      <c r="E6009" s="212"/>
    </row>
    <row r="6010" spans="1:5" ht="14.25">
      <c r="A6010" s="37"/>
      <c r="B6010" s="37"/>
      <c r="C6010" s="37"/>
      <c r="D6010" s="37"/>
      <c r="E6010" s="212"/>
    </row>
    <row r="6011" spans="1:5" ht="14.25">
      <c r="A6011" s="37"/>
      <c r="B6011" s="37"/>
      <c r="C6011" s="37"/>
      <c r="D6011" s="37"/>
      <c r="E6011" s="212"/>
    </row>
    <row r="6012" spans="1:5" ht="14.25">
      <c r="A6012" s="37"/>
      <c r="B6012" s="37"/>
      <c r="C6012" s="37"/>
      <c r="D6012" s="37"/>
      <c r="E6012" s="212"/>
    </row>
    <row r="6013" spans="1:5" ht="14.25">
      <c r="A6013" s="37"/>
      <c r="B6013" s="37"/>
      <c r="C6013" s="37"/>
      <c r="D6013" s="37"/>
      <c r="E6013" s="212"/>
    </row>
    <row r="6014" spans="1:5" ht="14.25">
      <c r="A6014" s="37"/>
      <c r="B6014" s="37"/>
      <c r="C6014" s="37"/>
      <c r="D6014" s="37"/>
      <c r="E6014" s="212"/>
    </row>
    <row r="6015" spans="1:5" ht="14.25">
      <c r="A6015" s="37"/>
      <c r="B6015" s="37"/>
      <c r="C6015" s="37"/>
      <c r="D6015" s="37"/>
      <c r="E6015" s="212"/>
    </row>
    <row r="6016" spans="1:5" ht="14.25">
      <c r="A6016" s="37"/>
      <c r="B6016" s="37"/>
      <c r="C6016" s="37"/>
      <c r="D6016" s="37"/>
      <c r="E6016" s="212"/>
    </row>
    <row r="6017" spans="1:5" ht="14.25">
      <c r="A6017" s="37"/>
      <c r="B6017" s="37"/>
      <c r="C6017" s="37"/>
      <c r="D6017" s="37"/>
      <c r="E6017" s="212"/>
    </row>
    <row r="6018" spans="1:5" ht="14.25">
      <c r="A6018" s="37"/>
      <c r="B6018" s="37"/>
      <c r="C6018" s="37"/>
      <c r="D6018" s="37"/>
      <c r="E6018" s="212"/>
    </row>
    <row r="6019" spans="1:5" ht="14.25">
      <c r="A6019" s="37"/>
      <c r="B6019" s="37"/>
      <c r="C6019" s="37"/>
      <c r="D6019" s="37"/>
      <c r="E6019" s="212"/>
    </row>
    <row r="6020" spans="1:5" ht="14.25">
      <c r="A6020" s="37"/>
      <c r="B6020" s="37"/>
      <c r="C6020" s="37"/>
      <c r="D6020" s="37"/>
      <c r="E6020" s="212"/>
    </row>
    <row r="6021" spans="1:5" ht="14.25">
      <c r="A6021" s="37"/>
      <c r="B6021" s="37"/>
      <c r="C6021" s="37"/>
      <c r="D6021" s="37"/>
      <c r="E6021" s="212"/>
    </row>
    <row r="6022" spans="1:5" ht="14.25">
      <c r="A6022" s="37"/>
      <c r="B6022" s="37"/>
      <c r="C6022" s="37"/>
      <c r="D6022" s="37"/>
      <c r="E6022" s="212"/>
    </row>
    <row r="6023" spans="1:5" ht="14.25">
      <c r="A6023" s="37"/>
      <c r="B6023" s="37"/>
      <c r="C6023" s="37"/>
      <c r="D6023" s="37"/>
      <c r="E6023" s="212"/>
    </row>
    <row r="6024" spans="1:5" ht="14.25">
      <c r="A6024" s="37"/>
      <c r="B6024" s="37"/>
      <c r="C6024" s="37"/>
      <c r="D6024" s="37"/>
      <c r="E6024" s="212"/>
    </row>
    <row r="6025" spans="1:5" ht="14.25">
      <c r="A6025" s="37"/>
      <c r="B6025" s="37"/>
      <c r="C6025" s="37"/>
      <c r="D6025" s="37"/>
      <c r="E6025" s="212"/>
    </row>
    <row r="6026" spans="1:5" ht="14.25">
      <c r="A6026" s="37"/>
      <c r="B6026" s="37"/>
      <c r="C6026" s="37"/>
      <c r="D6026" s="37"/>
      <c r="E6026" s="212"/>
    </row>
    <row r="6027" spans="1:5" ht="14.25">
      <c r="A6027" s="37"/>
      <c r="B6027" s="37"/>
      <c r="C6027" s="37"/>
      <c r="D6027" s="37"/>
      <c r="E6027" s="212"/>
    </row>
    <row r="6028" spans="1:5" ht="14.25">
      <c r="A6028" s="37"/>
      <c r="B6028" s="37"/>
      <c r="C6028" s="37"/>
      <c r="D6028" s="37"/>
      <c r="E6028" s="212"/>
    </row>
    <row r="6029" spans="1:5" ht="14.25">
      <c r="A6029" s="37"/>
      <c r="B6029" s="37"/>
      <c r="C6029" s="37"/>
      <c r="D6029" s="37"/>
      <c r="E6029" s="212"/>
    </row>
    <row r="6030" spans="1:5" ht="14.25">
      <c r="A6030" s="37"/>
      <c r="B6030" s="37"/>
      <c r="C6030" s="37"/>
      <c r="D6030" s="37"/>
      <c r="E6030" s="212"/>
    </row>
    <row r="6031" spans="1:5" ht="14.25">
      <c r="A6031" s="37"/>
      <c r="B6031" s="37"/>
      <c r="C6031" s="37"/>
      <c r="D6031" s="37"/>
      <c r="E6031" s="212"/>
    </row>
    <row r="6032" spans="1:5" ht="14.25">
      <c r="A6032" s="37"/>
      <c r="B6032" s="37"/>
      <c r="C6032" s="37"/>
      <c r="D6032" s="37"/>
      <c r="E6032" s="212"/>
    </row>
    <row r="6033" spans="1:5" ht="14.25">
      <c r="A6033" s="37"/>
      <c r="B6033" s="37"/>
      <c r="C6033" s="37"/>
      <c r="D6033" s="37"/>
      <c r="E6033" s="212"/>
    </row>
    <row r="6034" spans="1:5" ht="14.25">
      <c r="A6034" s="37"/>
      <c r="B6034" s="37"/>
      <c r="C6034" s="37"/>
      <c r="D6034" s="37"/>
      <c r="E6034" s="212"/>
    </row>
    <row r="6035" spans="1:5" ht="14.25">
      <c r="A6035" s="37"/>
      <c r="B6035" s="37"/>
      <c r="C6035" s="37"/>
      <c r="D6035" s="37"/>
      <c r="E6035" s="212"/>
    </row>
    <row r="6036" spans="1:5" ht="14.25">
      <c r="A6036" s="37"/>
      <c r="B6036" s="37"/>
      <c r="C6036" s="37"/>
      <c r="D6036" s="37"/>
      <c r="E6036" s="212"/>
    </row>
    <row r="6037" spans="1:5" ht="14.25">
      <c r="A6037" s="37"/>
      <c r="B6037" s="37"/>
      <c r="C6037" s="37"/>
      <c r="D6037" s="37"/>
      <c r="E6037" s="212"/>
    </row>
    <row r="6038" spans="1:5" ht="14.25">
      <c r="A6038" s="37"/>
      <c r="B6038" s="37"/>
      <c r="C6038" s="37"/>
      <c r="D6038" s="37"/>
      <c r="E6038" s="212"/>
    </row>
    <row r="6039" spans="1:5" ht="14.25">
      <c r="A6039" s="37"/>
      <c r="B6039" s="37"/>
      <c r="C6039" s="37"/>
      <c r="D6039" s="37"/>
      <c r="E6039" s="212"/>
    </row>
    <row r="6040" spans="1:5" ht="14.25">
      <c r="A6040" s="37"/>
      <c r="B6040" s="37"/>
      <c r="C6040" s="37"/>
      <c r="D6040" s="37"/>
      <c r="E6040" s="212"/>
    </row>
    <row r="6041" spans="1:5" ht="14.25">
      <c r="A6041" s="37"/>
      <c r="B6041" s="37"/>
      <c r="C6041" s="37"/>
      <c r="D6041" s="37"/>
      <c r="E6041" s="212"/>
    </row>
    <row r="6042" spans="1:5" ht="14.25">
      <c r="A6042" s="37"/>
      <c r="B6042" s="37"/>
      <c r="C6042" s="37"/>
      <c r="D6042" s="37"/>
      <c r="E6042" s="212"/>
    </row>
    <row r="6043" spans="1:5" ht="14.25">
      <c r="A6043" s="37"/>
      <c r="B6043" s="37"/>
      <c r="C6043" s="37"/>
      <c r="D6043" s="37"/>
      <c r="E6043" s="212"/>
    </row>
    <row r="6044" spans="1:5" ht="14.25">
      <c r="A6044" s="37"/>
      <c r="B6044" s="37"/>
      <c r="C6044" s="37"/>
      <c r="D6044" s="37"/>
      <c r="E6044" s="212"/>
    </row>
    <row r="6045" spans="1:5" ht="14.25">
      <c r="A6045" s="37"/>
      <c r="B6045" s="37"/>
      <c r="C6045" s="37"/>
      <c r="D6045" s="37"/>
      <c r="E6045" s="212"/>
    </row>
    <row r="6046" spans="1:5" ht="14.25">
      <c r="A6046" s="37"/>
      <c r="B6046" s="37"/>
      <c r="C6046" s="37"/>
      <c r="D6046" s="37"/>
      <c r="E6046" s="212"/>
    </row>
    <row r="6047" spans="1:5" ht="14.25">
      <c r="A6047" s="37"/>
      <c r="B6047" s="37"/>
      <c r="C6047" s="37"/>
      <c r="D6047" s="37"/>
      <c r="E6047" s="212"/>
    </row>
    <row r="6048" spans="1:5" ht="14.25">
      <c r="A6048" s="37"/>
      <c r="B6048" s="37"/>
      <c r="C6048" s="37"/>
      <c r="D6048" s="37"/>
      <c r="E6048" s="212"/>
    </row>
    <row r="6049" spans="1:5" ht="14.25">
      <c r="A6049" s="37"/>
      <c r="B6049" s="37"/>
      <c r="C6049" s="37"/>
      <c r="D6049" s="37"/>
      <c r="E6049" s="212"/>
    </row>
    <row r="6050" spans="1:5" ht="14.25">
      <c r="A6050" s="37"/>
      <c r="B6050" s="37"/>
      <c r="C6050" s="37"/>
      <c r="D6050" s="37"/>
      <c r="E6050" s="212"/>
    </row>
    <row r="6051" spans="1:5" ht="14.25">
      <c r="A6051" s="37"/>
      <c r="B6051" s="37"/>
      <c r="C6051" s="37"/>
      <c r="D6051" s="37"/>
      <c r="E6051" s="212"/>
    </row>
    <row r="6052" spans="1:5" ht="14.25">
      <c r="A6052" s="37"/>
      <c r="B6052" s="37"/>
      <c r="C6052" s="37"/>
      <c r="D6052" s="37"/>
      <c r="E6052" s="213"/>
    </row>
    <row r="6053" spans="1:5" ht="14.25">
      <c r="A6053" s="37"/>
      <c r="B6053" s="37"/>
      <c r="C6053" s="37"/>
      <c r="D6053" s="37"/>
      <c r="E6053" s="213"/>
    </row>
    <row r="6054" spans="1:5" ht="14.25">
      <c r="A6054" s="37"/>
      <c r="B6054" s="37"/>
      <c r="C6054" s="37"/>
      <c r="D6054" s="37"/>
      <c r="E6054" s="213"/>
    </row>
    <row r="6055" spans="1:5" ht="14.25">
      <c r="A6055" s="37"/>
      <c r="B6055" s="37"/>
      <c r="C6055" s="37"/>
      <c r="D6055" s="37"/>
      <c r="E6055" s="212"/>
    </row>
    <row r="6056" spans="1:5" ht="14.25">
      <c r="A6056" s="37"/>
      <c r="B6056" s="37"/>
      <c r="C6056" s="37"/>
      <c r="D6056" s="37"/>
      <c r="E6056" s="212"/>
    </row>
    <row r="6057" spans="1:5" ht="14.25">
      <c r="A6057" s="37"/>
      <c r="B6057" s="37"/>
      <c r="C6057" s="37"/>
      <c r="D6057" s="37"/>
      <c r="E6057" s="213"/>
    </row>
    <row r="6058" spans="1:5" ht="14.25">
      <c r="A6058" s="37"/>
      <c r="B6058" s="37"/>
      <c r="C6058" s="37"/>
      <c r="D6058" s="37"/>
      <c r="E6058" s="212"/>
    </row>
    <row r="6059" spans="1:5" ht="14.25">
      <c r="A6059" s="37"/>
      <c r="B6059" s="37"/>
      <c r="C6059" s="37"/>
      <c r="D6059" s="37"/>
      <c r="E6059" s="212"/>
    </row>
    <row r="6060" spans="1:5" ht="14.25">
      <c r="A6060" s="37"/>
      <c r="B6060" s="37"/>
      <c r="C6060" s="37"/>
      <c r="D6060" s="37"/>
      <c r="E6060" s="212"/>
    </row>
    <row r="6061" spans="1:5" ht="14.25">
      <c r="A6061" s="37"/>
      <c r="B6061" s="37"/>
      <c r="C6061" s="37"/>
      <c r="D6061" s="37"/>
      <c r="E6061" s="212"/>
    </row>
    <row r="6062" spans="1:5" ht="14.25">
      <c r="A6062" s="37"/>
      <c r="B6062" s="37"/>
      <c r="C6062" s="37"/>
      <c r="D6062" s="37"/>
      <c r="E6062" s="212"/>
    </row>
    <row r="6063" spans="1:5" ht="14.25">
      <c r="A6063" s="37"/>
      <c r="B6063" s="37"/>
      <c r="C6063" s="37"/>
      <c r="D6063" s="37"/>
      <c r="E6063" s="212"/>
    </row>
    <row r="6064" spans="1:5" ht="14.25">
      <c r="A6064" s="37"/>
      <c r="B6064" s="37"/>
      <c r="C6064" s="37"/>
      <c r="D6064" s="37"/>
      <c r="E6064" s="212"/>
    </row>
    <row r="6065" spans="1:5" ht="14.25">
      <c r="A6065" s="37"/>
      <c r="B6065" s="37"/>
      <c r="C6065" s="37"/>
      <c r="D6065" s="37"/>
      <c r="E6065" s="212"/>
    </row>
    <row r="6066" spans="1:5" ht="14.25">
      <c r="A6066" s="37"/>
      <c r="B6066" s="37"/>
      <c r="C6066" s="37"/>
      <c r="D6066" s="37"/>
      <c r="E6066" s="213"/>
    </row>
    <row r="6067" spans="1:5" ht="14.25">
      <c r="A6067" s="37"/>
      <c r="B6067" s="37"/>
      <c r="C6067" s="37"/>
      <c r="D6067" s="37"/>
      <c r="E6067" s="212"/>
    </row>
    <row r="6068" spans="1:5" ht="14.25">
      <c r="A6068" s="37"/>
      <c r="B6068" s="37"/>
      <c r="C6068" s="37"/>
      <c r="D6068" s="37"/>
      <c r="E6068" s="213"/>
    </row>
    <row r="6069" spans="1:5" ht="14.25">
      <c r="A6069" s="37"/>
      <c r="B6069" s="37"/>
      <c r="C6069" s="37"/>
      <c r="D6069" s="37"/>
      <c r="E6069" s="212"/>
    </row>
    <row r="6070" spans="1:5" ht="14.25">
      <c r="A6070" s="37"/>
      <c r="B6070" s="37"/>
      <c r="C6070" s="37"/>
      <c r="D6070" s="37"/>
      <c r="E6070" s="212"/>
    </row>
    <row r="6071" spans="1:5" ht="14.25">
      <c r="A6071" s="37"/>
      <c r="B6071" s="37"/>
      <c r="C6071" s="37"/>
      <c r="D6071" s="37"/>
      <c r="E6071" s="212"/>
    </row>
    <row r="6072" spans="1:5" ht="14.25">
      <c r="A6072" s="37"/>
      <c r="B6072" s="37"/>
      <c r="C6072" s="37"/>
      <c r="D6072" s="37"/>
      <c r="E6072" s="212"/>
    </row>
    <row r="6073" spans="1:5" ht="14.25">
      <c r="A6073" s="37"/>
      <c r="B6073" s="37"/>
      <c r="C6073" s="37"/>
      <c r="D6073" s="37"/>
      <c r="E6073" s="212"/>
    </row>
    <row r="6074" spans="1:5" ht="14.25">
      <c r="A6074" s="37"/>
      <c r="B6074" s="37"/>
      <c r="C6074" s="37"/>
      <c r="D6074" s="37"/>
      <c r="E6074" s="212"/>
    </row>
    <row r="6075" spans="1:5" ht="14.25">
      <c r="A6075" s="37"/>
      <c r="B6075" s="37"/>
      <c r="C6075" s="37"/>
      <c r="D6075" s="37"/>
      <c r="E6075" s="212"/>
    </row>
    <row r="6076" spans="1:5" ht="14.25">
      <c r="A6076" s="37"/>
      <c r="B6076" s="37"/>
      <c r="C6076" s="37"/>
      <c r="D6076" s="37"/>
      <c r="E6076" s="212"/>
    </row>
    <row r="6077" spans="1:5" ht="14.25">
      <c r="A6077" s="37"/>
      <c r="B6077" s="37"/>
      <c r="C6077" s="37"/>
      <c r="D6077" s="37"/>
      <c r="E6077" s="213"/>
    </row>
    <row r="6078" spans="1:5" ht="14.25">
      <c r="A6078" s="37"/>
      <c r="B6078" s="37"/>
      <c r="C6078" s="37"/>
      <c r="D6078" s="37"/>
      <c r="E6078" s="212"/>
    </row>
    <row r="6079" spans="1:5" ht="14.25">
      <c r="A6079" s="37"/>
      <c r="B6079" s="37"/>
      <c r="C6079" s="37"/>
      <c r="D6079" s="37"/>
      <c r="E6079" s="213"/>
    </row>
    <row r="6080" spans="1:5" ht="14.25">
      <c r="A6080" s="37"/>
      <c r="B6080" s="37"/>
      <c r="C6080" s="37"/>
      <c r="D6080" s="37"/>
      <c r="E6080" s="212"/>
    </row>
    <row r="6081" spans="1:5" ht="14.25">
      <c r="A6081" s="37"/>
      <c r="B6081" s="37"/>
      <c r="C6081" s="37"/>
      <c r="D6081" s="37"/>
      <c r="E6081" s="213"/>
    </row>
    <row r="6082" spans="1:5" ht="14.25">
      <c r="A6082" s="37"/>
      <c r="B6082" s="37"/>
      <c r="C6082" s="37"/>
      <c r="D6082" s="37"/>
      <c r="E6082" s="212"/>
    </row>
    <row r="6083" spans="1:5" ht="14.25">
      <c r="A6083" s="37"/>
      <c r="B6083" s="37"/>
      <c r="C6083" s="37"/>
      <c r="D6083" s="37"/>
      <c r="E6083" s="213"/>
    </row>
    <row r="6084" spans="1:5" ht="14.25">
      <c r="A6084" s="37"/>
      <c r="B6084" s="37"/>
      <c r="C6084" s="37"/>
      <c r="D6084" s="37"/>
      <c r="E6084" s="212"/>
    </row>
    <row r="6085" spans="1:5" ht="14.25">
      <c r="A6085" s="37"/>
      <c r="B6085" s="37"/>
      <c r="C6085" s="37"/>
      <c r="D6085" s="37"/>
      <c r="E6085" s="213"/>
    </row>
    <row r="6086" spans="1:5" ht="14.25">
      <c r="A6086" s="37"/>
      <c r="B6086" s="37"/>
      <c r="C6086" s="37"/>
      <c r="D6086" s="37"/>
      <c r="E6086" s="212"/>
    </row>
    <row r="6087" spans="1:5" ht="14.25">
      <c r="A6087" s="37"/>
      <c r="B6087" s="37"/>
      <c r="C6087" s="37"/>
      <c r="D6087" s="37"/>
      <c r="E6087" s="213"/>
    </row>
    <row r="6088" spans="1:5" ht="14.25">
      <c r="A6088" s="37"/>
      <c r="B6088" s="37"/>
      <c r="C6088" s="37"/>
      <c r="D6088" s="37"/>
      <c r="E6088" s="212"/>
    </row>
    <row r="6089" spans="1:5" ht="14.25">
      <c r="A6089" s="37"/>
      <c r="B6089" s="37"/>
      <c r="C6089" s="37"/>
      <c r="D6089" s="37"/>
      <c r="E6089" s="213"/>
    </row>
    <row r="6090" spans="1:5" ht="14.25">
      <c r="A6090" s="37"/>
      <c r="B6090" s="37"/>
      <c r="C6090" s="37"/>
      <c r="D6090" s="37"/>
      <c r="E6090" s="212"/>
    </row>
    <row r="6091" spans="1:5" ht="14.25">
      <c r="A6091" s="37"/>
      <c r="B6091" s="37"/>
      <c r="C6091" s="37"/>
      <c r="D6091" s="37"/>
      <c r="E6091" s="213"/>
    </row>
    <row r="6092" spans="1:5" ht="14.25">
      <c r="A6092" s="37"/>
      <c r="B6092" s="37"/>
      <c r="C6092" s="37"/>
      <c r="D6092" s="37"/>
      <c r="E6092" s="212"/>
    </row>
    <row r="6093" spans="1:5" ht="14.25">
      <c r="A6093" s="37"/>
      <c r="B6093" s="37"/>
      <c r="C6093" s="37"/>
      <c r="D6093" s="37"/>
      <c r="E6093" s="212"/>
    </row>
    <row r="6094" spans="1:5" ht="14.25">
      <c r="A6094" s="37"/>
      <c r="B6094" s="37"/>
      <c r="C6094" s="37"/>
      <c r="D6094" s="37"/>
      <c r="E6094" s="212"/>
    </row>
    <row r="6095" spans="1:5" ht="14.25">
      <c r="A6095" s="37"/>
      <c r="B6095" s="37"/>
      <c r="C6095" s="37"/>
      <c r="D6095" s="37"/>
      <c r="E6095" s="212"/>
    </row>
    <row r="6096" spans="1:5" ht="14.25">
      <c r="A6096" s="37"/>
      <c r="B6096" s="37"/>
      <c r="C6096" s="37"/>
      <c r="D6096" s="37"/>
      <c r="E6096" s="212"/>
    </row>
    <row r="6097" spans="1:5" ht="14.25">
      <c r="A6097" s="37"/>
      <c r="B6097" s="37"/>
      <c r="C6097" s="37"/>
      <c r="D6097" s="37"/>
      <c r="E6097" s="212"/>
    </row>
    <row r="6098" spans="1:5" ht="14.25">
      <c r="A6098" s="37"/>
      <c r="B6098" s="37"/>
      <c r="C6098" s="37"/>
      <c r="D6098" s="37"/>
      <c r="E6098" s="212"/>
    </row>
    <row r="6099" spans="1:5" ht="14.25">
      <c r="A6099" s="37"/>
      <c r="B6099" s="37"/>
      <c r="C6099" s="37"/>
      <c r="D6099" s="37"/>
      <c r="E6099" s="212"/>
    </row>
    <row r="6100" spans="1:5" ht="14.25">
      <c r="A6100" s="37"/>
      <c r="B6100" s="37"/>
      <c r="C6100" s="37"/>
      <c r="D6100" s="37"/>
      <c r="E6100" s="212"/>
    </row>
    <row r="6101" spans="1:5" ht="14.25">
      <c r="A6101" s="37"/>
      <c r="B6101" s="37"/>
      <c r="C6101" s="37"/>
      <c r="D6101" s="37"/>
      <c r="E6101" s="212"/>
    </row>
    <row r="6102" spans="1:5" ht="14.25">
      <c r="A6102" s="37"/>
      <c r="B6102" s="37"/>
      <c r="C6102" s="37"/>
      <c r="D6102" s="37"/>
      <c r="E6102" s="212"/>
    </row>
    <row r="6103" spans="1:5" ht="14.25">
      <c r="A6103" s="37"/>
      <c r="B6103" s="37"/>
      <c r="C6103" s="37"/>
      <c r="D6103" s="37"/>
      <c r="E6103" s="212"/>
    </row>
    <row r="6104" spans="1:5" ht="14.25">
      <c r="A6104" s="37"/>
      <c r="B6104" s="37"/>
      <c r="C6104" s="37"/>
      <c r="D6104" s="37"/>
      <c r="E6104" s="212"/>
    </row>
    <row r="6105" spans="1:5" ht="14.25">
      <c r="A6105" s="37"/>
      <c r="B6105" s="37"/>
      <c r="C6105" s="37"/>
      <c r="D6105" s="37"/>
      <c r="E6105" s="212"/>
    </row>
    <row r="6106" spans="1:5" ht="14.25">
      <c r="A6106" s="37"/>
      <c r="B6106" s="37"/>
      <c r="C6106" s="37"/>
      <c r="D6106" s="37"/>
      <c r="E6106" s="212"/>
    </row>
    <row r="6107" spans="1:5" ht="14.25">
      <c r="A6107" s="37"/>
      <c r="B6107" s="37"/>
      <c r="C6107" s="37"/>
      <c r="D6107" s="37"/>
      <c r="E6107" s="212"/>
    </row>
    <row r="6108" spans="1:5" ht="14.25">
      <c r="A6108" s="37"/>
      <c r="B6108" s="37"/>
      <c r="C6108" s="37"/>
      <c r="D6108" s="37"/>
      <c r="E6108" s="212"/>
    </row>
    <row r="6109" spans="1:5" ht="14.25">
      <c r="A6109" s="37"/>
      <c r="B6109" s="37"/>
      <c r="C6109" s="37"/>
      <c r="D6109" s="37"/>
      <c r="E6109" s="212"/>
    </row>
    <row r="6110" spans="1:5" ht="14.25">
      <c r="A6110" s="37"/>
      <c r="B6110" s="37"/>
      <c r="C6110" s="37"/>
      <c r="D6110" s="37"/>
      <c r="E6110" s="212"/>
    </row>
    <row r="6111" spans="1:5" ht="14.25">
      <c r="A6111" s="37"/>
      <c r="B6111" s="37"/>
      <c r="C6111" s="37"/>
      <c r="D6111" s="37"/>
      <c r="E6111" s="212"/>
    </row>
    <row r="6112" spans="1:5" ht="14.25">
      <c r="A6112" s="37"/>
      <c r="B6112" s="37"/>
      <c r="C6112" s="37"/>
      <c r="D6112" s="37"/>
      <c r="E6112" s="212"/>
    </row>
    <row r="6113" spans="1:5" ht="14.25">
      <c r="A6113" s="37"/>
      <c r="B6113" s="37"/>
      <c r="C6113" s="37"/>
      <c r="D6113" s="37"/>
      <c r="E6113" s="212"/>
    </row>
    <row r="6114" spans="1:5" ht="14.25">
      <c r="A6114" s="37"/>
      <c r="B6114" s="37"/>
      <c r="C6114" s="37"/>
      <c r="D6114" s="37"/>
      <c r="E6114" s="212"/>
    </row>
    <row r="6115" spans="1:5" ht="14.25">
      <c r="A6115" s="37"/>
      <c r="B6115" s="37"/>
      <c r="C6115" s="37"/>
      <c r="D6115" s="37"/>
      <c r="E6115" s="212"/>
    </row>
    <row r="6116" spans="1:5" ht="14.25">
      <c r="A6116" s="37"/>
      <c r="B6116" s="37"/>
      <c r="C6116" s="37"/>
      <c r="D6116" s="37"/>
      <c r="E6116" s="212"/>
    </row>
    <row r="6117" spans="1:5" ht="14.25">
      <c r="A6117" s="37"/>
      <c r="B6117" s="37"/>
      <c r="C6117" s="37"/>
      <c r="D6117" s="37"/>
      <c r="E6117" s="213"/>
    </row>
    <row r="6118" spans="1:5" ht="14.25">
      <c r="A6118" s="37"/>
      <c r="B6118" s="37"/>
      <c r="C6118" s="37"/>
      <c r="D6118" s="37"/>
      <c r="E6118" s="213"/>
    </row>
    <row r="6119" spans="1:5" ht="14.25">
      <c r="A6119" s="37"/>
      <c r="B6119" s="37"/>
      <c r="C6119" s="37"/>
      <c r="D6119" s="37"/>
      <c r="E6119" s="213"/>
    </row>
    <row r="6120" spans="1:5" ht="14.25">
      <c r="A6120" s="37"/>
      <c r="B6120" s="37"/>
      <c r="C6120" s="37"/>
      <c r="D6120" s="37"/>
      <c r="E6120" s="212"/>
    </row>
    <row r="6121" spans="1:5" ht="14.25">
      <c r="A6121" s="37"/>
      <c r="B6121" s="37"/>
      <c r="C6121" s="37"/>
      <c r="D6121" s="37"/>
      <c r="E6121" s="213"/>
    </row>
    <row r="6122" spans="1:5" ht="14.25">
      <c r="A6122" s="37"/>
      <c r="B6122" s="37"/>
      <c r="C6122" s="37"/>
      <c r="D6122" s="37"/>
      <c r="E6122" s="213"/>
    </row>
    <row r="6123" spans="1:5" ht="14.25">
      <c r="A6123" s="37"/>
      <c r="B6123" s="37"/>
      <c r="C6123" s="37"/>
      <c r="D6123" s="37"/>
      <c r="E6123" s="213"/>
    </row>
    <row r="6124" spans="1:5" ht="14.25">
      <c r="A6124" s="37"/>
      <c r="B6124" s="37"/>
      <c r="C6124" s="37"/>
      <c r="D6124" s="37"/>
      <c r="E6124" s="213"/>
    </row>
    <row r="6125" spans="1:5" ht="14.25">
      <c r="A6125" s="37"/>
      <c r="B6125" s="37"/>
      <c r="C6125" s="37"/>
      <c r="D6125" s="37"/>
      <c r="E6125" s="213"/>
    </row>
    <row r="6126" spans="1:5" ht="14.25">
      <c r="A6126" s="37"/>
      <c r="B6126" s="37"/>
      <c r="C6126" s="37"/>
      <c r="D6126" s="37"/>
      <c r="E6126" s="213"/>
    </row>
    <row r="6127" spans="1:5" ht="14.25">
      <c r="A6127" s="37"/>
      <c r="B6127" s="37"/>
      <c r="C6127" s="37"/>
      <c r="D6127" s="37"/>
      <c r="E6127" s="213"/>
    </row>
    <row r="6128" spans="1:5" ht="14.25">
      <c r="A6128" s="37"/>
      <c r="B6128" s="37"/>
      <c r="C6128" s="37"/>
      <c r="D6128" s="37"/>
      <c r="E6128" s="213"/>
    </row>
    <row r="6129" spans="1:5" ht="14.25">
      <c r="A6129" s="37"/>
      <c r="B6129" s="37"/>
      <c r="C6129" s="37"/>
      <c r="D6129" s="37"/>
      <c r="E6129" s="213"/>
    </row>
    <row r="6130" spans="1:5" ht="14.25">
      <c r="A6130" s="37"/>
      <c r="B6130" s="37"/>
      <c r="C6130" s="37"/>
      <c r="D6130" s="37"/>
      <c r="E6130" s="213"/>
    </row>
    <row r="6131" spans="1:5" ht="14.25">
      <c r="A6131" s="37"/>
      <c r="B6131" s="37"/>
      <c r="C6131" s="37"/>
      <c r="D6131" s="37"/>
      <c r="E6131" s="212"/>
    </row>
    <row r="6132" spans="1:5" ht="14.25">
      <c r="A6132" s="37"/>
      <c r="B6132" s="37"/>
      <c r="C6132" s="37"/>
      <c r="D6132" s="37"/>
      <c r="E6132" s="212"/>
    </row>
    <row r="6133" spans="1:5" ht="14.25">
      <c r="A6133" s="37"/>
      <c r="B6133" s="37"/>
      <c r="C6133" s="37"/>
      <c r="D6133" s="37"/>
      <c r="E6133" s="212"/>
    </row>
    <row r="6134" spans="1:5" ht="14.25">
      <c r="A6134" s="37"/>
      <c r="B6134" s="37"/>
      <c r="C6134" s="37"/>
      <c r="D6134" s="37"/>
      <c r="E6134" s="212"/>
    </row>
    <row r="6135" spans="1:5" ht="14.25">
      <c r="A6135" s="37"/>
      <c r="B6135" s="37"/>
      <c r="C6135" s="37"/>
      <c r="D6135" s="37"/>
      <c r="E6135" s="212"/>
    </row>
    <row r="6136" spans="1:5" ht="14.25">
      <c r="A6136" s="37"/>
      <c r="B6136" s="37"/>
      <c r="C6136" s="37"/>
      <c r="D6136" s="37"/>
      <c r="E6136" s="212"/>
    </row>
    <row r="6137" spans="1:5" ht="14.25">
      <c r="A6137" s="37"/>
      <c r="B6137" s="37"/>
      <c r="C6137" s="37"/>
      <c r="D6137" s="37"/>
      <c r="E6137" s="212"/>
    </row>
    <row r="6138" spans="1:5" ht="14.25">
      <c r="A6138" s="37"/>
      <c r="B6138" s="37"/>
      <c r="C6138" s="37"/>
      <c r="D6138" s="37"/>
      <c r="E6138" s="212"/>
    </row>
    <row r="6139" spans="1:5" ht="14.25">
      <c r="A6139" s="37"/>
      <c r="B6139" s="37"/>
      <c r="C6139" s="37"/>
      <c r="D6139" s="37"/>
      <c r="E6139" s="212"/>
    </row>
    <row r="6140" spans="1:5" ht="14.25">
      <c r="A6140" s="37"/>
      <c r="B6140" s="37"/>
      <c r="C6140" s="37"/>
      <c r="D6140" s="37"/>
      <c r="E6140" s="212"/>
    </row>
    <row r="6141" spans="1:5" ht="14.25">
      <c r="A6141" s="37"/>
      <c r="B6141" s="37"/>
      <c r="C6141" s="37"/>
      <c r="D6141" s="37"/>
      <c r="E6141" s="212"/>
    </row>
    <row r="6142" spans="1:5" ht="14.25">
      <c r="A6142" s="37"/>
      <c r="B6142" s="37"/>
      <c r="C6142" s="37"/>
      <c r="D6142" s="37"/>
      <c r="E6142" s="212"/>
    </row>
    <row r="6143" spans="1:5" ht="14.25">
      <c r="A6143" s="37"/>
      <c r="B6143" s="37"/>
      <c r="C6143" s="37"/>
      <c r="D6143" s="37"/>
      <c r="E6143" s="212"/>
    </row>
    <row r="6144" spans="1:5" ht="14.25">
      <c r="A6144" s="37"/>
      <c r="B6144" s="37"/>
      <c r="C6144" s="37"/>
      <c r="D6144" s="37"/>
      <c r="E6144" s="212"/>
    </row>
    <row r="6145" spans="1:5" ht="14.25">
      <c r="A6145" s="37"/>
      <c r="B6145" s="37"/>
      <c r="C6145" s="37"/>
      <c r="D6145" s="37"/>
      <c r="E6145" s="212"/>
    </row>
    <row r="6146" spans="1:5" ht="14.25">
      <c r="A6146" s="37"/>
      <c r="B6146" s="37"/>
      <c r="C6146" s="37"/>
      <c r="D6146" s="37"/>
      <c r="E6146" s="212"/>
    </row>
    <row r="6147" spans="1:5" ht="14.25">
      <c r="A6147" s="37"/>
      <c r="B6147" s="37"/>
      <c r="C6147" s="37"/>
      <c r="D6147" s="37"/>
      <c r="E6147" s="212"/>
    </row>
    <row r="6148" spans="1:5" ht="14.25">
      <c r="A6148" s="37"/>
      <c r="B6148" s="37"/>
      <c r="C6148" s="37"/>
      <c r="D6148" s="37"/>
      <c r="E6148" s="212"/>
    </row>
    <row r="6149" spans="1:5" ht="14.25">
      <c r="A6149" s="37"/>
      <c r="B6149" s="37"/>
      <c r="C6149" s="37"/>
      <c r="D6149" s="37"/>
      <c r="E6149" s="213"/>
    </row>
    <row r="6150" spans="1:5" ht="14.25">
      <c r="A6150" s="37"/>
      <c r="B6150" s="37"/>
      <c r="C6150" s="37"/>
      <c r="D6150" s="37"/>
      <c r="E6150" s="213"/>
    </row>
    <row r="6151" spans="1:5" ht="14.25">
      <c r="A6151" s="37"/>
      <c r="B6151" s="37"/>
      <c r="C6151" s="37"/>
      <c r="D6151" s="37"/>
      <c r="E6151" s="212"/>
    </row>
    <row r="6152" spans="1:5" ht="14.25">
      <c r="A6152" s="37"/>
      <c r="B6152" s="37"/>
      <c r="C6152" s="37"/>
      <c r="D6152" s="37"/>
      <c r="E6152" s="212"/>
    </row>
    <row r="6153" spans="1:5" ht="14.25">
      <c r="A6153" s="37"/>
      <c r="B6153" s="37"/>
      <c r="C6153" s="37"/>
      <c r="D6153" s="37"/>
      <c r="E6153" s="212"/>
    </row>
    <row r="6154" spans="1:5" ht="14.25">
      <c r="A6154" s="37"/>
      <c r="B6154" s="37"/>
      <c r="C6154" s="37"/>
      <c r="D6154" s="37"/>
      <c r="E6154" s="212"/>
    </row>
    <row r="6155" spans="1:5" ht="14.25">
      <c r="A6155" s="37"/>
      <c r="B6155" s="37"/>
      <c r="C6155" s="37"/>
      <c r="D6155" s="37"/>
      <c r="E6155" s="212"/>
    </row>
    <row r="6156" spans="1:5" ht="14.25">
      <c r="A6156" s="37"/>
      <c r="B6156" s="37"/>
      <c r="C6156" s="37"/>
      <c r="D6156" s="37"/>
      <c r="E6156" s="212"/>
    </row>
    <row r="6157" spans="1:5" ht="14.25">
      <c r="A6157" s="37"/>
      <c r="B6157" s="37"/>
      <c r="C6157" s="37"/>
      <c r="D6157" s="37"/>
      <c r="E6157" s="212"/>
    </row>
    <row r="6158" spans="1:5" ht="14.25">
      <c r="A6158" s="37"/>
      <c r="B6158" s="37"/>
      <c r="C6158" s="37"/>
      <c r="D6158" s="37"/>
      <c r="E6158" s="212"/>
    </row>
    <row r="6159" spans="1:5" ht="14.25">
      <c r="A6159" s="37"/>
      <c r="B6159" s="37"/>
      <c r="C6159" s="37"/>
      <c r="D6159" s="37"/>
      <c r="E6159" s="212"/>
    </row>
    <row r="6160" spans="1:5" ht="14.25">
      <c r="A6160" s="37"/>
      <c r="B6160" s="37"/>
      <c r="C6160" s="37"/>
      <c r="D6160" s="37"/>
      <c r="E6160" s="212"/>
    </row>
    <row r="6161" spans="1:5" ht="14.25">
      <c r="A6161" s="37"/>
      <c r="B6161" s="37"/>
      <c r="C6161" s="37"/>
      <c r="D6161" s="37"/>
      <c r="E6161" s="212"/>
    </row>
    <row r="6162" spans="1:5" ht="14.25">
      <c r="A6162" s="37"/>
      <c r="B6162" s="37"/>
      <c r="C6162" s="37"/>
      <c r="D6162" s="37"/>
      <c r="E6162" s="212"/>
    </row>
    <row r="6163" spans="1:5" ht="14.25">
      <c r="A6163" s="37"/>
      <c r="B6163" s="37"/>
      <c r="C6163" s="37"/>
      <c r="D6163" s="37"/>
      <c r="E6163" s="212"/>
    </row>
    <row r="6164" spans="1:5" ht="14.25">
      <c r="A6164" s="37"/>
      <c r="B6164" s="37"/>
      <c r="C6164" s="37"/>
      <c r="D6164" s="37"/>
      <c r="E6164" s="212"/>
    </row>
    <row r="6165" spans="1:5" ht="14.25">
      <c r="A6165" s="37"/>
      <c r="B6165" s="37"/>
      <c r="C6165" s="37"/>
      <c r="D6165" s="37"/>
      <c r="E6165" s="212"/>
    </row>
    <row r="6166" spans="1:5" ht="14.25">
      <c r="A6166" s="37"/>
      <c r="B6166" s="37"/>
      <c r="C6166" s="37"/>
      <c r="D6166" s="37"/>
      <c r="E6166" s="212"/>
    </row>
    <row r="6167" spans="1:5" ht="14.25">
      <c r="A6167" s="37"/>
      <c r="B6167" s="37"/>
      <c r="C6167" s="37"/>
      <c r="D6167" s="37"/>
      <c r="E6167" s="212"/>
    </row>
    <row r="6168" spans="1:5" ht="14.25">
      <c r="A6168" s="37"/>
      <c r="B6168" s="37"/>
      <c r="C6168" s="37"/>
      <c r="D6168" s="37"/>
      <c r="E6168" s="213"/>
    </row>
    <row r="6169" spans="1:5" ht="14.25">
      <c r="A6169" s="37"/>
      <c r="B6169" s="37"/>
      <c r="C6169" s="37"/>
      <c r="D6169" s="37"/>
      <c r="E6169" s="212"/>
    </row>
    <row r="6170" spans="1:5" ht="14.25">
      <c r="A6170" s="37"/>
      <c r="B6170" s="37"/>
      <c r="C6170" s="37"/>
      <c r="D6170" s="37"/>
      <c r="E6170" s="212"/>
    </row>
    <row r="6171" spans="1:5" ht="14.25">
      <c r="A6171" s="37"/>
      <c r="B6171" s="37"/>
      <c r="C6171" s="37"/>
      <c r="D6171" s="37"/>
      <c r="E6171" s="213"/>
    </row>
    <row r="6172" spans="1:5" ht="14.25">
      <c r="A6172" s="37"/>
      <c r="B6172" s="37"/>
      <c r="C6172" s="37"/>
      <c r="D6172" s="37"/>
      <c r="E6172" s="212"/>
    </row>
    <row r="6173" spans="1:5" ht="14.25">
      <c r="A6173" s="37"/>
      <c r="B6173" s="37"/>
      <c r="C6173" s="37"/>
      <c r="D6173" s="37"/>
      <c r="E6173" s="212"/>
    </row>
    <row r="6174" spans="1:5" ht="14.25">
      <c r="A6174" s="37"/>
      <c r="B6174" s="37"/>
      <c r="C6174" s="37"/>
      <c r="D6174" s="37"/>
      <c r="E6174" s="212"/>
    </row>
    <row r="6175" spans="1:5" ht="14.25">
      <c r="A6175" s="37"/>
      <c r="B6175" s="37"/>
      <c r="C6175" s="37"/>
      <c r="D6175" s="37"/>
      <c r="E6175" s="212"/>
    </row>
    <row r="6176" spans="1:5" ht="14.25">
      <c r="A6176" s="37"/>
      <c r="B6176" s="37"/>
      <c r="C6176" s="37"/>
      <c r="D6176" s="37"/>
      <c r="E6176" s="212"/>
    </row>
    <row r="6177" spans="1:5" ht="14.25">
      <c r="A6177" s="37"/>
      <c r="B6177" s="37"/>
      <c r="C6177" s="37"/>
      <c r="D6177" s="37"/>
      <c r="E6177" s="212"/>
    </row>
    <row r="6178" spans="1:5" ht="14.25">
      <c r="A6178" s="37"/>
      <c r="B6178" s="37"/>
      <c r="C6178" s="37"/>
      <c r="D6178" s="37"/>
      <c r="E6178" s="212"/>
    </row>
    <row r="6179" spans="1:5" ht="14.25">
      <c r="A6179" s="37"/>
      <c r="B6179" s="37"/>
      <c r="C6179" s="37"/>
      <c r="D6179" s="37"/>
      <c r="E6179" s="212"/>
    </row>
    <row r="6180" spans="1:5" ht="14.25">
      <c r="A6180" s="37"/>
      <c r="B6180" s="37"/>
      <c r="C6180" s="37"/>
      <c r="D6180" s="37"/>
      <c r="E6180" s="212"/>
    </row>
    <row r="6181" spans="1:5" ht="14.25">
      <c r="A6181" s="37"/>
      <c r="B6181" s="37"/>
      <c r="C6181" s="37"/>
      <c r="D6181" s="37"/>
      <c r="E6181" s="212"/>
    </row>
    <row r="6182" spans="1:5" ht="14.25">
      <c r="A6182" s="37"/>
      <c r="B6182" s="37"/>
      <c r="C6182" s="37"/>
      <c r="D6182" s="37"/>
      <c r="E6182" s="212"/>
    </row>
    <row r="6183" spans="1:5" ht="14.25">
      <c r="A6183" s="37"/>
      <c r="B6183" s="37"/>
      <c r="C6183" s="37"/>
      <c r="D6183" s="37"/>
      <c r="E6183" s="212"/>
    </row>
    <row r="6184" spans="1:5" ht="14.25">
      <c r="A6184" s="37"/>
      <c r="B6184" s="37"/>
      <c r="C6184" s="37"/>
      <c r="D6184" s="37"/>
      <c r="E6184" s="212"/>
    </row>
    <row r="6185" spans="1:5" ht="14.25">
      <c r="A6185" s="37"/>
      <c r="B6185" s="37"/>
      <c r="C6185" s="37"/>
      <c r="D6185" s="37"/>
      <c r="E6185" s="212"/>
    </row>
    <row r="6186" spans="1:5" ht="14.25">
      <c r="A6186" s="37"/>
      <c r="B6186" s="37"/>
      <c r="C6186" s="37"/>
      <c r="D6186" s="37"/>
      <c r="E6186" s="212"/>
    </row>
    <row r="6187" spans="1:5" ht="14.25">
      <c r="A6187" s="37"/>
      <c r="B6187" s="37"/>
      <c r="C6187" s="37"/>
      <c r="D6187" s="37"/>
      <c r="E6187" s="212"/>
    </row>
    <row r="6188" spans="1:5" ht="14.25">
      <c r="A6188" s="37"/>
      <c r="B6188" s="37"/>
      <c r="C6188" s="37"/>
      <c r="D6188" s="37"/>
      <c r="E6188" s="212"/>
    </row>
    <row r="6189" spans="1:5" ht="14.25">
      <c r="A6189" s="37"/>
      <c r="B6189" s="37"/>
      <c r="C6189" s="37"/>
      <c r="D6189" s="37"/>
      <c r="E6189" s="212"/>
    </row>
    <row r="6190" spans="1:5" ht="14.25">
      <c r="A6190" s="37"/>
      <c r="B6190" s="37"/>
      <c r="C6190" s="37"/>
      <c r="D6190" s="37"/>
      <c r="E6190" s="212"/>
    </row>
    <row r="6191" spans="1:5" ht="14.25">
      <c r="A6191" s="37"/>
      <c r="B6191" s="37"/>
      <c r="C6191" s="37"/>
      <c r="D6191" s="37"/>
      <c r="E6191" s="212"/>
    </row>
    <row r="6192" spans="1:5" ht="14.25">
      <c r="A6192" s="37"/>
      <c r="B6192" s="37"/>
      <c r="C6192" s="37"/>
      <c r="D6192" s="37"/>
      <c r="E6192" s="212"/>
    </row>
    <row r="6193" spans="1:5" ht="14.25">
      <c r="A6193" s="37"/>
      <c r="B6193" s="37"/>
      <c r="C6193" s="37"/>
      <c r="D6193" s="37"/>
      <c r="E6193" s="212"/>
    </row>
    <row r="6194" spans="1:5" ht="14.25">
      <c r="A6194" s="37"/>
      <c r="B6194" s="37"/>
      <c r="C6194" s="37"/>
      <c r="D6194" s="37"/>
      <c r="E6194" s="212"/>
    </row>
    <row r="6195" spans="1:5" ht="14.25">
      <c r="A6195" s="37"/>
      <c r="B6195" s="37"/>
      <c r="C6195" s="37"/>
      <c r="D6195" s="37"/>
      <c r="E6195" s="212"/>
    </row>
    <row r="6196" spans="1:5" ht="14.25">
      <c r="A6196" s="37"/>
      <c r="B6196" s="37"/>
      <c r="C6196" s="37"/>
      <c r="D6196" s="37"/>
      <c r="E6196" s="212"/>
    </row>
    <row r="6197" spans="1:5" ht="14.25">
      <c r="A6197" s="37"/>
      <c r="B6197" s="37"/>
      <c r="C6197" s="37"/>
      <c r="D6197" s="37"/>
      <c r="E6197" s="212"/>
    </row>
    <row r="6198" spans="1:5" ht="14.25">
      <c r="A6198" s="37"/>
      <c r="B6198" s="37"/>
      <c r="C6198" s="37"/>
      <c r="D6198" s="37"/>
      <c r="E6198" s="212"/>
    </row>
    <row r="6199" spans="1:5" ht="14.25">
      <c r="A6199" s="37"/>
      <c r="B6199" s="37"/>
      <c r="C6199" s="37"/>
      <c r="D6199" s="37"/>
      <c r="E6199" s="212"/>
    </row>
    <row r="6200" spans="1:5" ht="14.25">
      <c r="A6200" s="37"/>
      <c r="B6200" s="37"/>
      <c r="C6200" s="37"/>
      <c r="D6200" s="37"/>
      <c r="E6200" s="212"/>
    </row>
    <row r="6201" spans="1:5" ht="14.25">
      <c r="A6201" s="37"/>
      <c r="B6201" s="37"/>
      <c r="C6201" s="37"/>
      <c r="D6201" s="37"/>
      <c r="E6201" s="212"/>
    </row>
    <row r="6202" spans="1:5" ht="14.25">
      <c r="A6202" s="37"/>
      <c r="B6202" s="37"/>
      <c r="C6202" s="37"/>
      <c r="D6202" s="37"/>
      <c r="E6202" s="212"/>
    </row>
    <row r="6203" spans="1:5" ht="14.25">
      <c r="A6203" s="37"/>
      <c r="B6203" s="37"/>
      <c r="C6203" s="37"/>
      <c r="D6203" s="37"/>
      <c r="E6203" s="212"/>
    </row>
    <row r="6204" spans="1:5" ht="14.25">
      <c r="A6204" s="37"/>
      <c r="B6204" s="37"/>
      <c r="C6204" s="37"/>
      <c r="D6204" s="37"/>
      <c r="E6204" s="212"/>
    </row>
    <row r="6205" spans="1:5" ht="14.25">
      <c r="A6205" s="37"/>
      <c r="B6205" s="37"/>
      <c r="C6205" s="37"/>
      <c r="D6205" s="37"/>
      <c r="E6205" s="212"/>
    </row>
    <row r="6206" spans="1:5" ht="14.25">
      <c r="A6206" s="37"/>
      <c r="B6206" s="37"/>
      <c r="C6206" s="37"/>
      <c r="D6206" s="37"/>
      <c r="E6206" s="212"/>
    </row>
    <row r="6207" spans="1:5" ht="14.25">
      <c r="A6207" s="37"/>
      <c r="B6207" s="37"/>
      <c r="C6207" s="37"/>
      <c r="D6207" s="37"/>
      <c r="E6207" s="212"/>
    </row>
    <row r="6208" spans="1:5" ht="14.25">
      <c r="A6208" s="37"/>
      <c r="B6208" s="37"/>
      <c r="C6208" s="37"/>
      <c r="D6208" s="37"/>
      <c r="E6208" s="212"/>
    </row>
    <row r="6209" spans="1:5" ht="14.25">
      <c r="A6209" s="37"/>
      <c r="B6209" s="37"/>
      <c r="C6209" s="37"/>
      <c r="D6209" s="37"/>
      <c r="E6209" s="212"/>
    </row>
    <row r="6210" spans="1:5" ht="14.25">
      <c r="A6210" s="37"/>
      <c r="B6210" s="37"/>
      <c r="C6210" s="37"/>
      <c r="D6210" s="37"/>
      <c r="E6210" s="212"/>
    </row>
    <row r="6211" spans="1:5" ht="14.25">
      <c r="A6211" s="37"/>
      <c r="B6211" s="37"/>
      <c r="C6211" s="37"/>
      <c r="D6211" s="37"/>
      <c r="E6211" s="212"/>
    </row>
    <row r="6212" spans="1:5" ht="14.25">
      <c r="A6212" s="37"/>
      <c r="B6212" s="37"/>
      <c r="C6212" s="37"/>
      <c r="D6212" s="37"/>
      <c r="E6212" s="212"/>
    </row>
    <row r="6213" spans="1:5" ht="14.25">
      <c r="A6213" s="37"/>
      <c r="B6213" s="37"/>
      <c r="C6213" s="37"/>
      <c r="D6213" s="37"/>
      <c r="E6213" s="212"/>
    </row>
    <row r="6214" spans="1:5" ht="14.25">
      <c r="A6214" s="37"/>
      <c r="B6214" s="37"/>
      <c r="C6214" s="37"/>
      <c r="D6214" s="37"/>
      <c r="E6214" s="212"/>
    </row>
    <row r="6215" spans="1:5" ht="14.25">
      <c r="A6215" s="37"/>
      <c r="B6215" s="37"/>
      <c r="C6215" s="37"/>
      <c r="D6215" s="37"/>
      <c r="E6215" s="212"/>
    </row>
    <row r="6216" spans="1:5" ht="14.25">
      <c r="A6216" s="37"/>
      <c r="B6216" s="37"/>
      <c r="C6216" s="37"/>
      <c r="D6216" s="37"/>
      <c r="E6216" s="212"/>
    </row>
    <row r="6217" spans="1:5" ht="14.25">
      <c r="A6217" s="37"/>
      <c r="B6217" s="37"/>
      <c r="C6217" s="37"/>
      <c r="D6217" s="37"/>
      <c r="E6217" s="212"/>
    </row>
    <row r="6218" spans="1:5" ht="14.25">
      <c r="A6218" s="37"/>
      <c r="B6218" s="37"/>
      <c r="C6218" s="37"/>
      <c r="D6218" s="37"/>
      <c r="E6218" s="212"/>
    </row>
    <row r="6219" spans="1:5" ht="14.25">
      <c r="A6219" s="37"/>
      <c r="B6219" s="37"/>
      <c r="C6219" s="37"/>
      <c r="D6219" s="37"/>
      <c r="E6219" s="212"/>
    </row>
    <row r="6220" spans="1:5" ht="14.25">
      <c r="A6220" s="37"/>
      <c r="B6220" s="37"/>
      <c r="C6220" s="37"/>
      <c r="D6220" s="37"/>
      <c r="E6220" s="212"/>
    </row>
    <row r="6221" spans="1:5" ht="14.25">
      <c r="A6221" s="37"/>
      <c r="B6221" s="37"/>
      <c r="C6221" s="37"/>
      <c r="D6221" s="37"/>
      <c r="E6221" s="212"/>
    </row>
    <row r="6222" spans="1:5" ht="14.25">
      <c r="A6222" s="37"/>
      <c r="B6222" s="37"/>
      <c r="C6222" s="37"/>
      <c r="D6222" s="37"/>
      <c r="E6222" s="212"/>
    </row>
    <row r="6223" spans="1:5" ht="14.25">
      <c r="A6223" s="37"/>
      <c r="B6223" s="37"/>
      <c r="C6223" s="37"/>
      <c r="D6223" s="37"/>
      <c r="E6223" s="212"/>
    </row>
    <row r="6224" spans="1:5" ht="14.25">
      <c r="A6224" s="37"/>
      <c r="B6224" s="37"/>
      <c r="C6224" s="37"/>
      <c r="D6224" s="37"/>
      <c r="E6224" s="212"/>
    </row>
    <row r="6225" spans="1:5" ht="14.25">
      <c r="A6225" s="37"/>
      <c r="B6225" s="37"/>
      <c r="C6225" s="37"/>
      <c r="D6225" s="37"/>
      <c r="E6225" s="212"/>
    </row>
    <row r="6226" spans="1:5" ht="14.25">
      <c r="A6226" s="37"/>
      <c r="B6226" s="37"/>
      <c r="C6226" s="37"/>
      <c r="D6226" s="37"/>
      <c r="E6226" s="212"/>
    </row>
    <row r="6227" spans="1:5" ht="14.25">
      <c r="A6227" s="37"/>
      <c r="B6227" s="37"/>
      <c r="C6227" s="37"/>
      <c r="D6227" s="37"/>
      <c r="E6227" s="212"/>
    </row>
    <row r="6228" spans="1:5" ht="14.25">
      <c r="A6228" s="37"/>
      <c r="B6228" s="37"/>
      <c r="C6228" s="37"/>
      <c r="D6228" s="37"/>
      <c r="E6228" s="212"/>
    </row>
    <row r="6229" spans="1:5" ht="14.25">
      <c r="A6229" s="37"/>
      <c r="B6229" s="37"/>
      <c r="C6229" s="37"/>
      <c r="D6229" s="37"/>
      <c r="E6229" s="212"/>
    </row>
    <row r="6230" spans="1:5" ht="14.25">
      <c r="A6230" s="37"/>
      <c r="B6230" s="37"/>
      <c r="C6230" s="37"/>
      <c r="D6230" s="37"/>
      <c r="E6230" s="212"/>
    </row>
    <row r="6231" spans="1:5" ht="14.25">
      <c r="A6231" s="37"/>
      <c r="B6231" s="37"/>
      <c r="C6231" s="37"/>
      <c r="D6231" s="37"/>
      <c r="E6231" s="212"/>
    </row>
    <row r="6232" spans="1:5" ht="14.25">
      <c r="A6232" s="37"/>
      <c r="B6232" s="37"/>
      <c r="C6232" s="37"/>
      <c r="D6232" s="37"/>
      <c r="E6232" s="212"/>
    </row>
    <row r="6233" spans="1:5" ht="14.25">
      <c r="A6233" s="37"/>
      <c r="B6233" s="37"/>
      <c r="C6233" s="37"/>
      <c r="D6233" s="37"/>
      <c r="E6233" s="212"/>
    </row>
    <row r="6234" spans="1:5" ht="14.25">
      <c r="A6234" s="37"/>
      <c r="B6234" s="37"/>
      <c r="C6234" s="37"/>
      <c r="D6234" s="37"/>
      <c r="E6234" s="212"/>
    </row>
    <row r="6235" spans="1:5" ht="14.25">
      <c r="A6235" s="37"/>
      <c r="B6235" s="37"/>
      <c r="C6235" s="37"/>
      <c r="D6235" s="37"/>
      <c r="E6235" s="212"/>
    </row>
    <row r="6236" spans="1:5" ht="14.25">
      <c r="A6236" s="37"/>
      <c r="B6236" s="37"/>
      <c r="C6236" s="37"/>
      <c r="D6236" s="37"/>
      <c r="E6236" s="212"/>
    </row>
    <row r="6237" spans="1:5" ht="14.25">
      <c r="A6237" s="37"/>
      <c r="B6237" s="37"/>
      <c r="C6237" s="37"/>
      <c r="D6237" s="37"/>
      <c r="E6237" s="212"/>
    </row>
    <row r="6238" spans="1:5" ht="14.25">
      <c r="A6238" s="37"/>
      <c r="B6238" s="37"/>
      <c r="C6238" s="37"/>
      <c r="D6238" s="37"/>
      <c r="E6238" s="212"/>
    </row>
    <row r="6239" spans="1:5" ht="14.25">
      <c r="A6239" s="37"/>
      <c r="B6239" s="37"/>
      <c r="C6239" s="37"/>
      <c r="D6239" s="37"/>
      <c r="E6239" s="212"/>
    </row>
    <row r="6240" spans="1:5" ht="14.25">
      <c r="A6240" s="37"/>
      <c r="B6240" s="37"/>
      <c r="C6240" s="37"/>
      <c r="D6240" s="37"/>
      <c r="E6240" s="212"/>
    </row>
    <row r="6241" spans="1:5" ht="14.25">
      <c r="A6241" s="37"/>
      <c r="B6241" s="37"/>
      <c r="C6241" s="37"/>
      <c r="D6241" s="37"/>
      <c r="E6241" s="212"/>
    </row>
    <row r="6242" spans="1:5" ht="14.25">
      <c r="A6242" s="37"/>
      <c r="B6242" s="37"/>
      <c r="C6242" s="37"/>
      <c r="D6242" s="37"/>
      <c r="E6242" s="212"/>
    </row>
    <row r="6243" spans="1:5" ht="14.25">
      <c r="A6243" s="37"/>
      <c r="B6243" s="37"/>
      <c r="C6243" s="37"/>
      <c r="D6243" s="37"/>
      <c r="E6243" s="212"/>
    </row>
    <row r="6244" spans="1:5" ht="14.25">
      <c r="A6244" s="37"/>
      <c r="B6244" s="37"/>
      <c r="C6244" s="37"/>
      <c r="D6244" s="37"/>
      <c r="E6244" s="212"/>
    </row>
    <row r="6245" spans="1:5" ht="14.25">
      <c r="A6245" s="37"/>
      <c r="B6245" s="37"/>
      <c r="C6245" s="37"/>
      <c r="D6245" s="37"/>
      <c r="E6245" s="212"/>
    </row>
    <row r="6246" spans="1:5" ht="14.25">
      <c r="A6246" s="37"/>
      <c r="B6246" s="37"/>
      <c r="C6246" s="37"/>
      <c r="D6246" s="37"/>
      <c r="E6246" s="212"/>
    </row>
    <row r="6247" spans="1:5" ht="14.25">
      <c r="A6247" s="37"/>
      <c r="B6247" s="37"/>
      <c r="C6247" s="37"/>
      <c r="D6247" s="37"/>
      <c r="E6247" s="212"/>
    </row>
    <row r="6248" spans="1:5" ht="14.25">
      <c r="A6248" s="37"/>
      <c r="B6248" s="37"/>
      <c r="C6248" s="37"/>
      <c r="D6248" s="37"/>
      <c r="E6248" s="212"/>
    </row>
    <row r="6249" spans="1:5" ht="14.25">
      <c r="A6249" s="37"/>
      <c r="B6249" s="37"/>
      <c r="C6249" s="37"/>
      <c r="D6249" s="37"/>
      <c r="E6249" s="212"/>
    </row>
    <row r="6250" spans="1:5" ht="14.25">
      <c r="A6250" s="37"/>
      <c r="B6250" s="37"/>
      <c r="C6250" s="37"/>
      <c r="D6250" s="37"/>
      <c r="E6250" s="212"/>
    </row>
    <row r="6251" spans="1:5" ht="14.25">
      <c r="A6251" s="37"/>
      <c r="B6251" s="37"/>
      <c r="C6251" s="37"/>
      <c r="D6251" s="37"/>
      <c r="E6251" s="212"/>
    </row>
    <row r="6252" spans="1:5" ht="14.25">
      <c r="A6252" s="37"/>
      <c r="B6252" s="37"/>
      <c r="C6252" s="37"/>
      <c r="D6252" s="37"/>
      <c r="E6252" s="212"/>
    </row>
    <row r="6253" spans="1:5" ht="14.25">
      <c r="A6253" s="37"/>
      <c r="B6253" s="37"/>
      <c r="C6253" s="37"/>
      <c r="D6253" s="37"/>
      <c r="E6253" s="212"/>
    </row>
    <row r="6254" spans="1:5" ht="14.25">
      <c r="A6254" s="37"/>
      <c r="B6254" s="37"/>
      <c r="C6254" s="37"/>
      <c r="D6254" s="37"/>
      <c r="E6254" s="212"/>
    </row>
    <row r="6255" spans="1:5" ht="14.25">
      <c r="A6255" s="37"/>
      <c r="B6255" s="37"/>
      <c r="C6255" s="37"/>
      <c r="D6255" s="37"/>
      <c r="E6255" s="212"/>
    </row>
    <row r="6256" spans="1:5" ht="14.25">
      <c r="A6256" s="37"/>
      <c r="B6256" s="37"/>
      <c r="C6256" s="37"/>
      <c r="D6256" s="37"/>
      <c r="E6256" s="212"/>
    </row>
    <row r="6257" spans="1:5" ht="14.25">
      <c r="A6257" s="37"/>
      <c r="B6257" s="37"/>
      <c r="C6257" s="37"/>
      <c r="D6257" s="37"/>
      <c r="E6257" s="212"/>
    </row>
    <row r="6258" spans="1:5" ht="14.25">
      <c r="A6258" s="37"/>
      <c r="B6258" s="37"/>
      <c r="C6258" s="37"/>
      <c r="D6258" s="37"/>
      <c r="E6258" s="212"/>
    </row>
    <row r="6259" spans="1:5" ht="14.25">
      <c r="A6259" s="37"/>
      <c r="B6259" s="37"/>
      <c r="C6259" s="37"/>
      <c r="D6259" s="37"/>
      <c r="E6259" s="212"/>
    </row>
    <row r="6260" spans="1:5" ht="14.25">
      <c r="A6260" s="37"/>
      <c r="B6260" s="37"/>
      <c r="C6260" s="37"/>
      <c r="D6260" s="37"/>
      <c r="E6260" s="212"/>
    </row>
    <row r="6261" spans="1:5" ht="14.25">
      <c r="A6261" s="37"/>
      <c r="B6261" s="37"/>
      <c r="C6261" s="37"/>
      <c r="D6261" s="37"/>
      <c r="E6261" s="212"/>
    </row>
    <row r="6262" spans="1:5" ht="14.25">
      <c r="A6262" s="37"/>
      <c r="B6262" s="37"/>
      <c r="C6262" s="37"/>
      <c r="D6262" s="37"/>
      <c r="E6262" s="212"/>
    </row>
    <row r="6263" spans="1:5" ht="14.25">
      <c r="A6263" s="37"/>
      <c r="B6263" s="37"/>
      <c r="C6263" s="37"/>
      <c r="D6263" s="37"/>
      <c r="E6263" s="212"/>
    </row>
    <row r="6264" spans="1:5" ht="14.25">
      <c r="A6264" s="37"/>
      <c r="B6264" s="37"/>
      <c r="C6264" s="37"/>
      <c r="D6264" s="37"/>
      <c r="E6264" s="212"/>
    </row>
    <row r="6265" spans="1:5" ht="14.25">
      <c r="A6265" s="37"/>
      <c r="B6265" s="37"/>
      <c r="C6265" s="37"/>
      <c r="D6265" s="37"/>
      <c r="E6265" s="212"/>
    </row>
    <row r="6266" spans="1:5" ht="14.25">
      <c r="A6266" s="37"/>
      <c r="B6266" s="37"/>
      <c r="C6266" s="37"/>
      <c r="D6266" s="37"/>
      <c r="E6266" s="212"/>
    </row>
    <row r="6267" spans="1:5" ht="14.25">
      <c r="A6267" s="37"/>
      <c r="B6267" s="37"/>
      <c r="C6267" s="37"/>
      <c r="D6267" s="37"/>
      <c r="E6267" s="212"/>
    </row>
    <row r="6268" spans="1:5" ht="14.25">
      <c r="A6268" s="37"/>
      <c r="B6268" s="37"/>
      <c r="C6268" s="37"/>
      <c r="D6268" s="37"/>
      <c r="E6268" s="212"/>
    </row>
    <row r="6269" spans="1:5" ht="14.25">
      <c r="A6269" s="37"/>
      <c r="B6269" s="37"/>
      <c r="C6269" s="37"/>
      <c r="D6269" s="37"/>
      <c r="E6269" s="212"/>
    </row>
    <row r="6270" spans="1:5" ht="14.25">
      <c r="A6270" s="37"/>
      <c r="B6270" s="37"/>
      <c r="C6270" s="37"/>
      <c r="D6270" s="37"/>
      <c r="E6270" s="212"/>
    </row>
    <row r="6271" spans="1:5" ht="14.25">
      <c r="A6271" s="37"/>
      <c r="B6271" s="37"/>
      <c r="C6271" s="37"/>
      <c r="D6271" s="37"/>
      <c r="E6271" s="212"/>
    </row>
    <row r="6272" spans="1:5" ht="14.25">
      <c r="A6272" s="37"/>
      <c r="B6272" s="37"/>
      <c r="C6272" s="37"/>
      <c r="D6272" s="37"/>
      <c r="E6272" s="212"/>
    </row>
    <row r="6273" spans="1:5" ht="14.25">
      <c r="A6273" s="37"/>
      <c r="B6273" s="37"/>
      <c r="C6273" s="37"/>
      <c r="D6273" s="37"/>
      <c r="E6273" s="212"/>
    </row>
    <row r="6274" spans="1:5" ht="14.25">
      <c r="A6274" s="37"/>
      <c r="B6274" s="37"/>
      <c r="C6274" s="37"/>
      <c r="D6274" s="37"/>
      <c r="E6274" s="213"/>
    </row>
    <row r="6275" spans="1:5" ht="14.25">
      <c r="A6275" s="37"/>
      <c r="B6275" s="37"/>
      <c r="C6275" s="37"/>
      <c r="D6275" s="37"/>
      <c r="E6275" s="213"/>
    </row>
    <row r="6276" spans="1:5" ht="14.25">
      <c r="A6276" s="37"/>
      <c r="B6276" s="37"/>
      <c r="C6276" s="37"/>
      <c r="D6276" s="37"/>
      <c r="E6276" s="213"/>
    </row>
    <row r="6277" spans="1:5" ht="14.25">
      <c r="A6277" s="37"/>
      <c r="B6277" s="37"/>
      <c r="C6277" s="37"/>
      <c r="D6277" s="37"/>
      <c r="E6277" s="212"/>
    </row>
    <row r="6278" spans="1:5" ht="14.25">
      <c r="A6278" s="37"/>
      <c r="B6278" s="37"/>
      <c r="C6278" s="37"/>
      <c r="D6278" s="37"/>
      <c r="E6278" s="212"/>
    </row>
    <row r="6279" spans="1:5" ht="14.25">
      <c r="A6279" s="37"/>
      <c r="B6279" s="37"/>
      <c r="C6279" s="37"/>
      <c r="D6279" s="37"/>
      <c r="E6279" s="212"/>
    </row>
    <row r="6280" spans="1:5" ht="14.25">
      <c r="A6280" s="37"/>
      <c r="B6280" s="37"/>
      <c r="C6280" s="37"/>
      <c r="D6280" s="37"/>
      <c r="E6280" s="212"/>
    </row>
    <row r="6281" spans="1:5" ht="14.25">
      <c r="A6281" s="37"/>
      <c r="B6281" s="37"/>
      <c r="C6281" s="37"/>
      <c r="D6281" s="37"/>
      <c r="E6281" s="212"/>
    </row>
    <row r="6282" spans="1:5" ht="14.25">
      <c r="A6282" s="37"/>
      <c r="B6282" s="37"/>
      <c r="C6282" s="37"/>
      <c r="D6282" s="37"/>
      <c r="E6282" s="212"/>
    </row>
    <row r="6283" spans="1:5" ht="14.25">
      <c r="A6283" s="37"/>
      <c r="B6283" s="37"/>
      <c r="C6283" s="37"/>
      <c r="D6283" s="37"/>
      <c r="E6283" s="212"/>
    </row>
    <row r="6284" spans="1:5" ht="14.25">
      <c r="A6284" s="37"/>
      <c r="B6284" s="37"/>
      <c r="C6284" s="37"/>
      <c r="D6284" s="37"/>
      <c r="E6284" s="212"/>
    </row>
    <row r="6285" spans="1:5" ht="14.25">
      <c r="A6285" s="37"/>
      <c r="B6285" s="37"/>
      <c r="C6285" s="37"/>
      <c r="D6285" s="37"/>
      <c r="E6285" s="212"/>
    </row>
    <row r="6286" spans="1:5" ht="14.25">
      <c r="A6286" s="37"/>
      <c r="B6286" s="37"/>
      <c r="C6286" s="37"/>
      <c r="D6286" s="37"/>
      <c r="E6286" s="212"/>
    </row>
    <row r="6287" spans="1:5" ht="14.25">
      <c r="A6287" s="37"/>
      <c r="B6287" s="37"/>
      <c r="C6287" s="37"/>
      <c r="D6287" s="37"/>
      <c r="E6287" s="212"/>
    </row>
    <row r="6288" spans="1:5" ht="14.25">
      <c r="A6288" s="37"/>
      <c r="B6288" s="37"/>
      <c r="C6288" s="37"/>
      <c r="D6288" s="37"/>
      <c r="E6288" s="212"/>
    </row>
    <row r="6289" spans="1:5" ht="14.25">
      <c r="A6289" s="37"/>
      <c r="B6289" s="37"/>
      <c r="C6289" s="37"/>
      <c r="D6289" s="37"/>
      <c r="E6289" s="212"/>
    </row>
    <row r="6290" spans="1:5" ht="14.25">
      <c r="A6290" s="37"/>
      <c r="B6290" s="37"/>
      <c r="C6290" s="37"/>
      <c r="D6290" s="37"/>
      <c r="E6290" s="212"/>
    </row>
    <row r="6291" spans="1:5" ht="14.25">
      <c r="A6291" s="37"/>
      <c r="B6291" s="37"/>
      <c r="C6291" s="37"/>
      <c r="D6291" s="37"/>
      <c r="E6291" s="212"/>
    </row>
    <row r="6292" spans="1:5" ht="14.25">
      <c r="A6292" s="37"/>
      <c r="B6292" s="37"/>
      <c r="C6292" s="37"/>
      <c r="D6292" s="37"/>
      <c r="E6292" s="212"/>
    </row>
    <row r="6293" spans="1:5" ht="14.25">
      <c r="A6293" s="37"/>
      <c r="B6293" s="37"/>
      <c r="C6293" s="37"/>
      <c r="D6293" s="37"/>
      <c r="E6293" s="212"/>
    </row>
    <row r="6294" spans="1:5" ht="14.25">
      <c r="A6294" s="37"/>
      <c r="B6294" s="37"/>
      <c r="C6294" s="37"/>
      <c r="D6294" s="37"/>
      <c r="E6294" s="212"/>
    </row>
    <row r="6295" spans="1:5" ht="14.25">
      <c r="A6295" s="37"/>
      <c r="B6295" s="37"/>
      <c r="C6295" s="37"/>
      <c r="D6295" s="37"/>
      <c r="E6295" s="212"/>
    </row>
    <row r="6296" spans="1:5" ht="14.25">
      <c r="A6296" s="37"/>
      <c r="B6296" s="37"/>
      <c r="C6296" s="37"/>
      <c r="D6296" s="37"/>
      <c r="E6296" s="212"/>
    </row>
    <row r="6297" spans="1:5" ht="14.25">
      <c r="A6297" s="37"/>
      <c r="B6297" s="37"/>
      <c r="C6297" s="37"/>
      <c r="D6297" s="37"/>
      <c r="E6297" s="212"/>
    </row>
    <row r="6298" spans="1:5" ht="14.25">
      <c r="A6298" s="37"/>
      <c r="B6298" s="37"/>
      <c r="C6298" s="37"/>
      <c r="D6298" s="37"/>
      <c r="E6298" s="212"/>
    </row>
    <row r="6299" spans="1:5" ht="14.25">
      <c r="A6299" s="37"/>
      <c r="B6299" s="37"/>
      <c r="C6299" s="37"/>
      <c r="D6299" s="37"/>
      <c r="E6299" s="212"/>
    </row>
    <row r="6300" spans="1:5" ht="14.25">
      <c r="A6300" s="37"/>
      <c r="B6300" s="37"/>
      <c r="C6300" s="37"/>
      <c r="D6300" s="37"/>
      <c r="E6300" s="212"/>
    </row>
    <row r="6301" spans="1:5" ht="14.25">
      <c r="A6301" s="37"/>
      <c r="B6301" s="37"/>
      <c r="C6301" s="37"/>
      <c r="D6301" s="37"/>
      <c r="E6301" s="212"/>
    </row>
    <row r="6302" spans="1:5" ht="14.25">
      <c r="A6302" s="37"/>
      <c r="B6302" s="37"/>
      <c r="C6302" s="37"/>
      <c r="D6302" s="37"/>
      <c r="E6302" s="212"/>
    </row>
    <row r="6303" spans="1:5" ht="14.25">
      <c r="A6303" s="37"/>
      <c r="B6303" s="37"/>
      <c r="C6303" s="37"/>
      <c r="D6303" s="37"/>
      <c r="E6303" s="212"/>
    </row>
    <row r="6304" spans="1:5" ht="14.25">
      <c r="A6304" s="37"/>
      <c r="B6304" s="37"/>
      <c r="C6304" s="37"/>
      <c r="D6304" s="37"/>
      <c r="E6304" s="212"/>
    </row>
    <row r="6305" spans="1:5" ht="14.25">
      <c r="A6305" s="37"/>
      <c r="B6305" s="37"/>
      <c r="C6305" s="37"/>
      <c r="D6305" s="37"/>
      <c r="E6305" s="212"/>
    </row>
    <row r="6306" spans="1:5" ht="14.25">
      <c r="A6306" s="37"/>
      <c r="B6306" s="37"/>
      <c r="C6306" s="37"/>
      <c r="D6306" s="37"/>
      <c r="E6306" s="212"/>
    </row>
    <row r="6307" spans="1:5" ht="14.25">
      <c r="A6307" s="37"/>
      <c r="B6307" s="37"/>
      <c r="C6307" s="37"/>
      <c r="D6307" s="37"/>
      <c r="E6307" s="212"/>
    </row>
    <row r="6308" spans="1:5" ht="14.25">
      <c r="A6308" s="37"/>
      <c r="B6308" s="37"/>
      <c r="C6308" s="37"/>
      <c r="D6308" s="37"/>
      <c r="E6308" s="212"/>
    </row>
    <row r="6309" spans="1:5" ht="14.25">
      <c r="A6309" s="37"/>
      <c r="B6309" s="37"/>
      <c r="C6309" s="37"/>
      <c r="D6309" s="37"/>
      <c r="E6309" s="212"/>
    </row>
    <row r="6310" spans="1:5" ht="14.25">
      <c r="A6310" s="37"/>
      <c r="B6310" s="37"/>
      <c r="C6310" s="37"/>
      <c r="D6310" s="37"/>
      <c r="E6310" s="212"/>
    </row>
    <row r="6311" spans="1:5" ht="14.25">
      <c r="A6311" s="37"/>
      <c r="B6311" s="37"/>
      <c r="C6311" s="37"/>
      <c r="D6311" s="37"/>
      <c r="E6311" s="212"/>
    </row>
    <row r="6312" spans="1:5" ht="14.25">
      <c r="A6312" s="37"/>
      <c r="B6312" s="37"/>
      <c r="C6312" s="37"/>
      <c r="D6312" s="37"/>
      <c r="E6312" s="212"/>
    </row>
    <row r="6313" spans="1:5" ht="14.25">
      <c r="A6313" s="37"/>
      <c r="B6313" s="37"/>
      <c r="C6313" s="37"/>
      <c r="D6313" s="37"/>
      <c r="E6313" s="212"/>
    </row>
    <row r="6314" spans="1:5" ht="14.25">
      <c r="A6314" s="37"/>
      <c r="B6314" s="37"/>
      <c r="C6314" s="37"/>
      <c r="D6314" s="37"/>
      <c r="E6314" s="212"/>
    </row>
    <row r="6315" spans="1:5" ht="14.25">
      <c r="A6315" s="37"/>
      <c r="B6315" s="37"/>
      <c r="C6315" s="37"/>
      <c r="D6315" s="37"/>
      <c r="E6315" s="212"/>
    </row>
    <row r="6316" spans="1:5" ht="14.25">
      <c r="A6316" s="37"/>
      <c r="B6316" s="37"/>
      <c r="C6316" s="37"/>
      <c r="D6316" s="37"/>
      <c r="E6316" s="212"/>
    </row>
    <row r="6317" spans="1:5" ht="14.25">
      <c r="A6317" s="37"/>
      <c r="B6317" s="37"/>
      <c r="C6317" s="37"/>
      <c r="D6317" s="37"/>
      <c r="E6317" s="212"/>
    </row>
    <row r="6318" spans="1:5" ht="14.25">
      <c r="A6318" s="37"/>
      <c r="B6318" s="37"/>
      <c r="C6318" s="37"/>
      <c r="D6318" s="37"/>
      <c r="E6318" s="212"/>
    </row>
    <row r="6319" spans="1:5" ht="14.25">
      <c r="A6319" s="37"/>
      <c r="B6319" s="37"/>
      <c r="C6319" s="37"/>
      <c r="D6319" s="37"/>
      <c r="E6319" s="212"/>
    </row>
    <row r="6320" spans="1:5" ht="14.25">
      <c r="A6320" s="37"/>
      <c r="B6320" s="37"/>
      <c r="C6320" s="37"/>
      <c r="D6320" s="37"/>
      <c r="E6320" s="212"/>
    </row>
    <row r="6321" spans="1:5" ht="14.25">
      <c r="A6321" s="37"/>
      <c r="B6321" s="37"/>
      <c r="C6321" s="37"/>
      <c r="D6321" s="37"/>
      <c r="E6321" s="212"/>
    </row>
    <row r="6322" spans="1:5" ht="14.25">
      <c r="A6322" s="37"/>
      <c r="B6322" s="37"/>
      <c r="C6322" s="37"/>
      <c r="D6322" s="37"/>
      <c r="E6322" s="212"/>
    </row>
    <row r="6323" spans="1:5" ht="14.25">
      <c r="A6323" s="37"/>
      <c r="B6323" s="37"/>
      <c r="C6323" s="37"/>
      <c r="D6323" s="37"/>
      <c r="E6323" s="212"/>
    </row>
    <row r="6324" spans="1:5" ht="14.25">
      <c r="A6324" s="37"/>
      <c r="B6324" s="37"/>
      <c r="C6324" s="37"/>
      <c r="D6324" s="37"/>
      <c r="E6324" s="212"/>
    </row>
    <row r="6325" spans="1:5" ht="14.25">
      <c r="A6325" s="37"/>
      <c r="B6325" s="37"/>
      <c r="C6325" s="37"/>
      <c r="D6325" s="37"/>
      <c r="E6325" s="212"/>
    </row>
    <row r="6326" spans="1:5" ht="14.25">
      <c r="A6326" s="37"/>
      <c r="B6326" s="37"/>
      <c r="C6326" s="37"/>
      <c r="D6326" s="37"/>
      <c r="E6326" s="212"/>
    </row>
    <row r="6327" spans="1:5" ht="14.25">
      <c r="A6327" s="37"/>
      <c r="B6327" s="37"/>
      <c r="C6327" s="37"/>
      <c r="D6327" s="37"/>
      <c r="E6327" s="212"/>
    </row>
    <row r="6328" spans="1:5" ht="14.25">
      <c r="A6328" s="37"/>
      <c r="B6328" s="37"/>
      <c r="C6328" s="37"/>
      <c r="D6328" s="37"/>
      <c r="E6328" s="212"/>
    </row>
    <row r="6329" spans="1:5" ht="14.25">
      <c r="A6329" s="37"/>
      <c r="B6329" s="37"/>
      <c r="C6329" s="37"/>
      <c r="D6329" s="37"/>
      <c r="E6329" s="212"/>
    </row>
    <row r="6330" spans="1:5" ht="14.25">
      <c r="A6330" s="37"/>
      <c r="B6330" s="37"/>
      <c r="C6330" s="37"/>
      <c r="D6330" s="37"/>
      <c r="E6330" s="212"/>
    </row>
    <row r="6331" spans="1:5" ht="14.25">
      <c r="A6331" s="37"/>
      <c r="B6331" s="37"/>
      <c r="C6331" s="37"/>
      <c r="D6331" s="37"/>
      <c r="E6331" s="212"/>
    </row>
    <row r="6332" spans="1:5" ht="14.25">
      <c r="A6332" s="37"/>
      <c r="B6332" s="37"/>
      <c r="C6332" s="37"/>
      <c r="D6332" s="37"/>
      <c r="E6332" s="212"/>
    </row>
    <row r="6333" spans="1:5" ht="14.25">
      <c r="A6333" s="37"/>
      <c r="B6333" s="37"/>
      <c r="C6333" s="37"/>
      <c r="D6333" s="37"/>
      <c r="E6333" s="212"/>
    </row>
    <row r="6334" spans="1:5" ht="14.25">
      <c r="A6334" s="37"/>
      <c r="B6334" s="37"/>
      <c r="C6334" s="37"/>
      <c r="D6334" s="37"/>
      <c r="E6334" s="212"/>
    </row>
    <row r="6335" spans="1:5" ht="14.25">
      <c r="A6335" s="37"/>
      <c r="B6335" s="37"/>
      <c r="C6335" s="37"/>
      <c r="D6335" s="37"/>
      <c r="E6335" s="212"/>
    </row>
    <row r="6336" spans="1:5" ht="14.25">
      <c r="A6336" s="37"/>
      <c r="B6336" s="37"/>
      <c r="C6336" s="37"/>
      <c r="D6336" s="37"/>
      <c r="E6336" s="212"/>
    </row>
    <row r="6337" spans="1:5" ht="14.25">
      <c r="A6337" s="37"/>
      <c r="B6337" s="37"/>
      <c r="C6337" s="37"/>
      <c r="D6337" s="37"/>
      <c r="E6337" s="212"/>
    </row>
    <row r="6338" spans="1:5" ht="14.25">
      <c r="A6338" s="37"/>
      <c r="B6338" s="37"/>
      <c r="C6338" s="37"/>
      <c r="D6338" s="37"/>
      <c r="E6338" s="212"/>
    </row>
    <row r="6339" spans="1:5" ht="14.25">
      <c r="A6339" s="37"/>
      <c r="B6339" s="37"/>
      <c r="C6339" s="37"/>
      <c r="D6339" s="37"/>
      <c r="E6339" s="212"/>
    </row>
    <row r="6340" spans="1:5" ht="14.25">
      <c r="A6340" s="37"/>
      <c r="B6340" s="37"/>
      <c r="C6340" s="37"/>
      <c r="D6340" s="37"/>
      <c r="E6340" s="212"/>
    </row>
    <row r="6341" spans="1:5" ht="14.25">
      <c r="A6341" s="37"/>
      <c r="B6341" s="37"/>
      <c r="C6341" s="37"/>
      <c r="D6341" s="37"/>
      <c r="E6341" s="213"/>
    </row>
    <row r="6342" spans="1:5" ht="14.25">
      <c r="A6342" s="37"/>
      <c r="B6342" s="37"/>
      <c r="C6342" s="37"/>
      <c r="D6342" s="37"/>
      <c r="E6342" s="213"/>
    </row>
    <row r="6343" spans="1:5" ht="14.25">
      <c r="A6343" s="37"/>
      <c r="B6343" s="37"/>
      <c r="C6343" s="37"/>
      <c r="D6343" s="37"/>
      <c r="E6343" s="213"/>
    </row>
    <row r="6344" spans="1:5" ht="14.25">
      <c r="A6344" s="37"/>
      <c r="B6344" s="37"/>
      <c r="C6344" s="37"/>
      <c r="D6344" s="37"/>
      <c r="E6344" s="213"/>
    </row>
    <row r="6345" spans="1:5" ht="14.25">
      <c r="A6345" s="37"/>
      <c r="B6345" s="37"/>
      <c r="C6345" s="37"/>
      <c r="D6345" s="37"/>
      <c r="E6345" s="213"/>
    </row>
    <row r="6346" spans="1:5" ht="14.25">
      <c r="A6346" s="37"/>
      <c r="B6346" s="37"/>
      <c r="C6346" s="37"/>
      <c r="D6346" s="37"/>
      <c r="E6346" s="213"/>
    </row>
    <row r="6347" spans="1:5" ht="14.25">
      <c r="A6347" s="37"/>
      <c r="B6347" s="37"/>
      <c r="C6347" s="37"/>
      <c r="D6347" s="37"/>
      <c r="E6347" s="212"/>
    </row>
    <row r="6348" spans="1:5" ht="14.25">
      <c r="A6348" s="37"/>
      <c r="B6348" s="37"/>
      <c r="C6348" s="37"/>
      <c r="D6348" s="37"/>
      <c r="E6348" s="212"/>
    </row>
    <row r="6349" spans="1:5" ht="14.25">
      <c r="A6349" s="37"/>
      <c r="B6349" s="37"/>
      <c r="C6349" s="37"/>
      <c r="D6349" s="37"/>
      <c r="E6349" s="212"/>
    </row>
    <row r="6350" spans="1:5" ht="14.25">
      <c r="A6350" s="37"/>
      <c r="B6350" s="37"/>
      <c r="C6350" s="37"/>
      <c r="D6350" s="37"/>
      <c r="E6350" s="212"/>
    </row>
    <row r="6351" spans="1:5" ht="14.25">
      <c r="A6351" s="37"/>
      <c r="B6351" s="37"/>
      <c r="C6351" s="37"/>
      <c r="D6351" s="37"/>
      <c r="E6351" s="212"/>
    </row>
    <row r="6352" spans="1:5" ht="14.25">
      <c r="A6352" s="37"/>
      <c r="B6352" s="37"/>
      <c r="C6352" s="37"/>
      <c r="D6352" s="37"/>
      <c r="E6352" s="212"/>
    </row>
    <row r="6353" spans="1:5" ht="14.25">
      <c r="A6353" s="37"/>
      <c r="B6353" s="37"/>
      <c r="C6353" s="37"/>
      <c r="D6353" s="37"/>
      <c r="E6353" s="212"/>
    </row>
    <row r="6354" spans="1:5" ht="14.25">
      <c r="A6354" s="37"/>
      <c r="B6354" s="37"/>
      <c r="C6354" s="37"/>
      <c r="D6354" s="37"/>
      <c r="E6354" s="212"/>
    </row>
    <row r="6355" spans="1:5" ht="14.25">
      <c r="A6355" s="37"/>
      <c r="B6355" s="37"/>
      <c r="C6355" s="37"/>
      <c r="D6355" s="37"/>
      <c r="E6355" s="212"/>
    </row>
    <row r="6356" spans="1:5" ht="14.25">
      <c r="A6356" s="37"/>
      <c r="B6356" s="37"/>
      <c r="C6356" s="37"/>
      <c r="D6356" s="37"/>
      <c r="E6356" s="212"/>
    </row>
    <row r="6357" spans="1:5" ht="14.25">
      <c r="A6357" s="37"/>
      <c r="B6357" s="37"/>
      <c r="C6357" s="37"/>
      <c r="D6357" s="37"/>
      <c r="E6357" s="212"/>
    </row>
    <row r="6358" spans="1:5" ht="14.25">
      <c r="A6358" s="37"/>
      <c r="B6358" s="37"/>
      <c r="C6358" s="37"/>
      <c r="D6358" s="37"/>
      <c r="E6358" s="212"/>
    </row>
    <row r="6359" spans="1:5" ht="14.25">
      <c r="A6359" s="37"/>
      <c r="B6359" s="37"/>
      <c r="C6359" s="37"/>
      <c r="D6359" s="37"/>
      <c r="E6359" s="213"/>
    </row>
    <row r="6360" spans="1:5" ht="14.25">
      <c r="A6360" s="37"/>
      <c r="B6360" s="37"/>
      <c r="C6360" s="37"/>
      <c r="D6360" s="37"/>
      <c r="E6360" s="213"/>
    </row>
    <row r="6361" spans="1:5" ht="14.25">
      <c r="A6361" s="37"/>
      <c r="B6361" s="37"/>
      <c r="C6361" s="37"/>
      <c r="D6361" s="37"/>
      <c r="E6361" s="213"/>
    </row>
    <row r="6362" spans="1:5" ht="14.25">
      <c r="A6362" s="37"/>
      <c r="B6362" s="37"/>
      <c r="C6362" s="37"/>
      <c r="D6362" s="37"/>
      <c r="E6362" s="212"/>
    </row>
    <row r="6363" spans="1:5" ht="14.25">
      <c r="A6363" s="37"/>
      <c r="B6363" s="37"/>
      <c r="C6363" s="37"/>
      <c r="D6363" s="37"/>
      <c r="E6363" s="212"/>
    </row>
    <row r="6364" spans="1:5" ht="14.25">
      <c r="A6364" s="37"/>
      <c r="B6364" s="37"/>
      <c r="C6364" s="37"/>
      <c r="D6364" s="37"/>
      <c r="E6364" s="212"/>
    </row>
    <row r="6365" spans="1:5" ht="14.25">
      <c r="A6365" s="37"/>
      <c r="B6365" s="37"/>
      <c r="C6365" s="37"/>
      <c r="D6365" s="37"/>
      <c r="E6365" s="212"/>
    </row>
    <row r="6366" spans="1:5" ht="14.25">
      <c r="A6366" s="37"/>
      <c r="B6366" s="37"/>
      <c r="C6366" s="37"/>
      <c r="D6366" s="37"/>
      <c r="E6366" s="212"/>
    </row>
    <row r="6367" spans="1:5" ht="14.25">
      <c r="A6367" s="37"/>
      <c r="B6367" s="37"/>
      <c r="C6367" s="37"/>
      <c r="D6367" s="37"/>
      <c r="E6367" s="212"/>
    </row>
    <row r="6368" spans="1:5" ht="14.25">
      <c r="A6368" s="37"/>
      <c r="B6368" s="37"/>
      <c r="C6368" s="37"/>
      <c r="D6368" s="37"/>
      <c r="E6368" s="212"/>
    </row>
    <row r="6369" spans="1:5" ht="14.25">
      <c r="A6369" s="37"/>
      <c r="B6369" s="37"/>
      <c r="C6369" s="37"/>
      <c r="D6369" s="37"/>
      <c r="E6369" s="212"/>
    </row>
    <row r="6370" spans="1:5" ht="14.25">
      <c r="A6370" s="37"/>
      <c r="B6370" s="37"/>
      <c r="C6370" s="37"/>
      <c r="D6370" s="37"/>
      <c r="E6370" s="212"/>
    </row>
    <row r="6371" spans="1:5" ht="14.25">
      <c r="A6371" s="37"/>
      <c r="B6371" s="37"/>
      <c r="C6371" s="37"/>
      <c r="D6371" s="37"/>
      <c r="E6371" s="212"/>
    </row>
    <row r="6372" spans="1:5" ht="14.25">
      <c r="A6372" s="37"/>
      <c r="B6372" s="37"/>
      <c r="C6372" s="37"/>
      <c r="D6372" s="37"/>
      <c r="E6372" s="212"/>
    </row>
    <row r="6373" spans="1:5" ht="14.25">
      <c r="A6373" s="37"/>
      <c r="B6373" s="37"/>
      <c r="C6373" s="37"/>
      <c r="D6373" s="37"/>
      <c r="E6373" s="212"/>
    </row>
    <row r="6374" spans="1:5" ht="14.25">
      <c r="A6374" s="37"/>
      <c r="B6374" s="37"/>
      <c r="C6374" s="37"/>
      <c r="D6374" s="37"/>
      <c r="E6374" s="213"/>
    </row>
    <row r="6375" spans="1:5" ht="14.25">
      <c r="A6375" s="37"/>
      <c r="B6375" s="37"/>
      <c r="C6375" s="37"/>
      <c r="D6375" s="37"/>
      <c r="E6375" s="212"/>
    </row>
    <row r="6376" spans="1:5" ht="14.25">
      <c r="A6376" s="37"/>
      <c r="B6376" s="37"/>
      <c r="C6376" s="37"/>
      <c r="D6376" s="37"/>
      <c r="E6376" s="212"/>
    </row>
    <row r="6377" spans="1:5" ht="14.25">
      <c r="A6377" s="37"/>
      <c r="B6377" s="37"/>
      <c r="C6377" s="37"/>
      <c r="D6377" s="37"/>
      <c r="E6377" s="212"/>
    </row>
    <row r="6378" spans="1:5" ht="14.25">
      <c r="A6378" s="37"/>
      <c r="B6378" s="37"/>
      <c r="C6378" s="37"/>
      <c r="D6378" s="37"/>
      <c r="E6378" s="212"/>
    </row>
    <row r="6379" spans="1:5" ht="14.25">
      <c r="A6379" s="37"/>
      <c r="B6379" s="37"/>
      <c r="C6379" s="37"/>
      <c r="D6379" s="37"/>
      <c r="E6379" s="212"/>
    </row>
    <row r="6380" spans="1:5" ht="14.25">
      <c r="A6380" s="37"/>
      <c r="B6380" s="37"/>
      <c r="C6380" s="37"/>
      <c r="D6380" s="37"/>
      <c r="E6380" s="212"/>
    </row>
    <row r="6381" spans="1:5" ht="14.25">
      <c r="A6381" s="37"/>
      <c r="B6381" s="37"/>
      <c r="C6381" s="37"/>
      <c r="D6381" s="37"/>
      <c r="E6381" s="212"/>
    </row>
    <row r="6382" spans="1:5" ht="14.25">
      <c r="A6382" s="37"/>
      <c r="B6382" s="37"/>
      <c r="C6382" s="37"/>
      <c r="D6382" s="37"/>
      <c r="E6382" s="212"/>
    </row>
    <row r="6383" spans="1:5" ht="14.25">
      <c r="A6383" s="37"/>
      <c r="B6383" s="37"/>
      <c r="C6383" s="37"/>
      <c r="D6383" s="37"/>
      <c r="E6383" s="212"/>
    </row>
    <row r="6384" spans="1:5" ht="14.25">
      <c r="A6384" s="37"/>
      <c r="B6384" s="37"/>
      <c r="C6384" s="37"/>
      <c r="D6384" s="37"/>
      <c r="E6384" s="212"/>
    </row>
    <row r="6385" spans="1:5" ht="14.25">
      <c r="A6385" s="37"/>
      <c r="B6385" s="37"/>
      <c r="C6385" s="37"/>
      <c r="D6385" s="37"/>
      <c r="E6385" s="212"/>
    </row>
    <row r="6386" spans="1:5" ht="14.25">
      <c r="A6386" s="37"/>
      <c r="B6386" s="37"/>
      <c r="C6386" s="37"/>
      <c r="D6386" s="37"/>
      <c r="E6386" s="212"/>
    </row>
    <row r="6387" spans="1:5" ht="14.25">
      <c r="A6387" s="37"/>
      <c r="B6387" s="37"/>
      <c r="C6387" s="37"/>
      <c r="D6387" s="37"/>
      <c r="E6387" s="212"/>
    </row>
    <row r="6388" spans="1:5" ht="14.25">
      <c r="A6388" s="37"/>
      <c r="B6388" s="37"/>
      <c r="C6388" s="37"/>
      <c r="D6388" s="37"/>
      <c r="E6388" s="212"/>
    </row>
    <row r="6389" spans="1:5" ht="14.25">
      <c r="A6389" s="37"/>
      <c r="B6389" s="37"/>
      <c r="C6389" s="37"/>
      <c r="D6389" s="37"/>
      <c r="E6389" s="212"/>
    </row>
    <row r="6390" spans="1:5" ht="14.25">
      <c r="A6390" s="37"/>
      <c r="B6390" s="37"/>
      <c r="C6390" s="37"/>
      <c r="D6390" s="37"/>
      <c r="E6390" s="212"/>
    </row>
    <row r="6391" spans="1:5" ht="14.25">
      <c r="A6391" s="37"/>
      <c r="B6391" s="37"/>
      <c r="C6391" s="37"/>
      <c r="D6391" s="37"/>
      <c r="E6391" s="212"/>
    </row>
    <row r="6392" spans="1:5" ht="14.25">
      <c r="A6392" s="37"/>
      <c r="B6392" s="37"/>
      <c r="C6392" s="37"/>
      <c r="D6392" s="37"/>
      <c r="E6392" s="212"/>
    </row>
    <row r="6393" spans="1:5" ht="14.25">
      <c r="A6393" s="37"/>
      <c r="B6393" s="37"/>
      <c r="C6393" s="37"/>
      <c r="D6393" s="37"/>
      <c r="E6393" s="212"/>
    </row>
    <row r="6394" spans="1:5" ht="14.25">
      <c r="A6394" s="37"/>
      <c r="B6394" s="37"/>
      <c r="C6394" s="37"/>
      <c r="D6394" s="37"/>
      <c r="E6394" s="213"/>
    </row>
    <row r="6395" spans="1:5" ht="14.25">
      <c r="A6395" s="37"/>
      <c r="B6395" s="37"/>
      <c r="C6395" s="37"/>
      <c r="D6395" s="37"/>
      <c r="E6395" s="212"/>
    </row>
    <row r="6396" spans="1:5" ht="14.25">
      <c r="A6396" s="37"/>
      <c r="B6396" s="37"/>
      <c r="C6396" s="37"/>
      <c r="D6396" s="37"/>
      <c r="E6396" s="213"/>
    </row>
    <row r="6397" spans="1:5" ht="14.25">
      <c r="A6397" s="37"/>
      <c r="B6397" s="37"/>
      <c r="C6397" s="37"/>
      <c r="D6397" s="37"/>
      <c r="E6397" s="212"/>
    </row>
    <row r="6398" spans="1:5" ht="14.25">
      <c r="A6398" s="37"/>
      <c r="B6398" s="37"/>
      <c r="C6398" s="37"/>
      <c r="D6398" s="37"/>
      <c r="E6398" s="212"/>
    </row>
    <row r="6399" spans="1:5" ht="14.25">
      <c r="A6399" s="37"/>
      <c r="B6399" s="37"/>
      <c r="C6399" s="37"/>
      <c r="D6399" s="37"/>
      <c r="E6399" s="212"/>
    </row>
    <row r="6400" spans="1:5" ht="14.25">
      <c r="A6400" s="37"/>
      <c r="B6400" s="37"/>
      <c r="C6400" s="37"/>
      <c r="D6400" s="37"/>
      <c r="E6400" s="212"/>
    </row>
    <row r="6401" spans="1:5" ht="14.25">
      <c r="A6401" s="37"/>
      <c r="B6401" s="37"/>
      <c r="C6401" s="37"/>
      <c r="D6401" s="37"/>
      <c r="E6401" s="213"/>
    </row>
    <row r="6402" spans="1:5" ht="14.25">
      <c r="A6402" s="37"/>
      <c r="B6402" s="37"/>
      <c r="C6402" s="37"/>
      <c r="D6402" s="37"/>
      <c r="E6402" s="213"/>
    </row>
    <row r="6403" spans="1:5" ht="14.25">
      <c r="A6403" s="37"/>
      <c r="B6403" s="37"/>
      <c r="C6403" s="37"/>
      <c r="D6403" s="37"/>
      <c r="E6403" s="212"/>
    </row>
    <row r="6404" spans="1:5" ht="14.25">
      <c r="A6404" s="37"/>
      <c r="B6404" s="37"/>
      <c r="C6404" s="37"/>
      <c r="D6404" s="37"/>
      <c r="E6404" s="212"/>
    </row>
    <row r="6405" spans="1:5" ht="14.25">
      <c r="A6405" s="37"/>
      <c r="B6405" s="37"/>
      <c r="C6405" s="37"/>
      <c r="D6405" s="37"/>
      <c r="E6405" s="212"/>
    </row>
    <row r="6406" spans="1:5" ht="14.25">
      <c r="A6406" s="37"/>
      <c r="B6406" s="37"/>
      <c r="C6406" s="37"/>
      <c r="D6406" s="37"/>
      <c r="E6406" s="212"/>
    </row>
    <row r="6407" spans="1:5" ht="14.25">
      <c r="A6407" s="37"/>
      <c r="B6407" s="37"/>
      <c r="C6407" s="37"/>
      <c r="D6407" s="37"/>
      <c r="E6407" s="212"/>
    </row>
    <row r="6408" spans="1:5" ht="14.25">
      <c r="A6408" s="37"/>
      <c r="B6408" s="37"/>
      <c r="C6408" s="37"/>
      <c r="D6408" s="37"/>
      <c r="E6408" s="212"/>
    </row>
    <row r="6409" spans="1:5" ht="14.25">
      <c r="A6409" s="37"/>
      <c r="B6409" s="37"/>
      <c r="C6409" s="37"/>
      <c r="D6409" s="37"/>
      <c r="E6409" s="212"/>
    </row>
    <row r="6410" spans="1:5" ht="14.25">
      <c r="A6410" s="37"/>
      <c r="B6410" s="37"/>
      <c r="C6410" s="37"/>
      <c r="D6410" s="37"/>
      <c r="E6410" s="212"/>
    </row>
    <row r="6411" spans="1:5" ht="14.25">
      <c r="A6411" s="37"/>
      <c r="B6411" s="37"/>
      <c r="C6411" s="37"/>
      <c r="D6411" s="37"/>
      <c r="E6411" s="212"/>
    </row>
    <row r="6412" spans="1:5" ht="14.25">
      <c r="A6412" s="37"/>
      <c r="B6412" s="37"/>
      <c r="C6412" s="37"/>
      <c r="D6412" s="37"/>
      <c r="E6412" s="212"/>
    </row>
    <row r="6413" spans="1:5" ht="14.25">
      <c r="A6413" s="37"/>
      <c r="B6413" s="37"/>
      <c r="C6413" s="37"/>
      <c r="D6413" s="37"/>
      <c r="E6413" s="212"/>
    </row>
    <row r="6414" spans="1:5" ht="14.25">
      <c r="A6414" s="37"/>
      <c r="B6414" s="37"/>
      <c r="C6414" s="37"/>
      <c r="D6414" s="37"/>
      <c r="E6414" s="212"/>
    </row>
    <row r="6415" spans="1:5" ht="14.25">
      <c r="A6415" s="37"/>
      <c r="B6415" s="37"/>
      <c r="C6415" s="37"/>
      <c r="D6415" s="37"/>
      <c r="E6415" s="212"/>
    </row>
    <row r="6416" spans="1:5" ht="14.25">
      <c r="A6416" s="37"/>
      <c r="B6416" s="37"/>
      <c r="C6416" s="37"/>
      <c r="D6416" s="37"/>
      <c r="E6416" s="212"/>
    </row>
    <row r="6417" spans="1:5" ht="14.25">
      <c r="A6417" s="37"/>
      <c r="B6417" s="37"/>
      <c r="C6417" s="37"/>
      <c r="D6417" s="37"/>
      <c r="E6417" s="212"/>
    </row>
    <row r="6418" spans="1:5" ht="14.25">
      <c r="A6418" s="37"/>
      <c r="B6418" s="37"/>
      <c r="C6418" s="37"/>
      <c r="D6418" s="37"/>
      <c r="E6418" s="212"/>
    </row>
    <row r="6419" spans="1:5" ht="14.25">
      <c r="A6419" s="37"/>
      <c r="B6419" s="37"/>
      <c r="C6419" s="37"/>
      <c r="D6419" s="37"/>
      <c r="E6419" s="212"/>
    </row>
    <row r="6420" spans="1:5" ht="14.25">
      <c r="A6420" s="37"/>
      <c r="B6420" s="37"/>
      <c r="C6420" s="37"/>
      <c r="D6420" s="37"/>
      <c r="E6420" s="212"/>
    </row>
    <row r="6421" spans="1:5" ht="14.25">
      <c r="A6421" s="37"/>
      <c r="B6421" s="37"/>
      <c r="C6421" s="37"/>
      <c r="D6421" s="37"/>
      <c r="E6421" s="212"/>
    </row>
    <row r="6422" spans="1:5" ht="14.25">
      <c r="A6422" s="37"/>
      <c r="B6422" s="37"/>
      <c r="C6422" s="37"/>
      <c r="D6422" s="37"/>
      <c r="E6422" s="212"/>
    </row>
    <row r="6423" spans="1:5" ht="14.25">
      <c r="A6423" s="37"/>
      <c r="B6423" s="37"/>
      <c r="C6423" s="37"/>
      <c r="D6423" s="37"/>
      <c r="E6423" s="212"/>
    </row>
    <row r="6424" spans="1:5" ht="14.25">
      <c r="A6424" s="37"/>
      <c r="B6424" s="37"/>
      <c r="C6424" s="37"/>
      <c r="D6424" s="37"/>
      <c r="E6424" s="212"/>
    </row>
    <row r="6425" spans="1:5" ht="14.25">
      <c r="A6425" s="37"/>
      <c r="B6425" s="37"/>
      <c r="C6425" s="37"/>
      <c r="D6425" s="37"/>
      <c r="E6425" s="212"/>
    </row>
    <row r="6426" spans="1:5" ht="14.25">
      <c r="A6426" s="37"/>
      <c r="B6426" s="37"/>
      <c r="C6426" s="37"/>
      <c r="D6426" s="37"/>
      <c r="E6426" s="212"/>
    </row>
    <row r="6427" spans="1:5" ht="14.25">
      <c r="A6427" s="37"/>
      <c r="B6427" s="37"/>
      <c r="C6427" s="37"/>
      <c r="D6427" s="37"/>
      <c r="E6427" s="212"/>
    </row>
    <row r="6428" spans="1:5" ht="14.25">
      <c r="A6428" s="37"/>
      <c r="B6428" s="37"/>
      <c r="C6428" s="37"/>
      <c r="D6428" s="37"/>
      <c r="E6428" s="212"/>
    </row>
    <row r="6429" spans="1:5" ht="14.25">
      <c r="A6429" s="37"/>
      <c r="B6429" s="37"/>
      <c r="C6429" s="37"/>
      <c r="D6429" s="37"/>
      <c r="E6429" s="212"/>
    </row>
    <row r="6430" spans="1:5" ht="14.25">
      <c r="A6430" s="37"/>
      <c r="B6430" s="37"/>
      <c r="C6430" s="37"/>
      <c r="D6430" s="37"/>
      <c r="E6430" s="213"/>
    </row>
    <row r="6431" spans="1:5" ht="14.25">
      <c r="A6431" s="37"/>
      <c r="B6431" s="37"/>
      <c r="C6431" s="37"/>
      <c r="D6431" s="37"/>
      <c r="E6431" s="213"/>
    </row>
    <row r="6432" spans="1:5" ht="14.25">
      <c r="A6432" s="37"/>
      <c r="B6432" s="37"/>
      <c r="C6432" s="37"/>
      <c r="D6432" s="37"/>
      <c r="E6432" s="213"/>
    </row>
    <row r="6433" spans="1:5" ht="14.25">
      <c r="A6433" s="37"/>
      <c r="B6433" s="37"/>
      <c r="C6433" s="37"/>
      <c r="D6433" s="37"/>
      <c r="E6433" s="213"/>
    </row>
    <row r="6434" spans="1:5" ht="14.25">
      <c r="A6434" s="37"/>
      <c r="B6434" s="37"/>
      <c r="C6434" s="37"/>
      <c r="D6434" s="37"/>
      <c r="E6434" s="213"/>
    </row>
    <row r="6435" spans="1:5" ht="14.25">
      <c r="A6435" s="37"/>
      <c r="B6435" s="37"/>
      <c r="C6435" s="37"/>
      <c r="D6435" s="37"/>
      <c r="E6435" s="213"/>
    </row>
    <row r="6436" spans="1:5" ht="14.25">
      <c r="A6436" s="37"/>
      <c r="B6436" s="37"/>
      <c r="C6436" s="37"/>
      <c r="D6436" s="37"/>
      <c r="E6436" s="213"/>
    </row>
    <row r="6437" spans="1:5" ht="14.25">
      <c r="A6437" s="37"/>
      <c r="B6437" s="37"/>
      <c r="C6437" s="37"/>
      <c r="D6437" s="37"/>
      <c r="E6437" s="213"/>
    </row>
    <row r="6438" spans="1:5" ht="14.25">
      <c r="A6438" s="37"/>
      <c r="B6438" s="37"/>
      <c r="C6438" s="37"/>
      <c r="D6438" s="37"/>
      <c r="E6438" s="213"/>
    </row>
    <row r="6439" spans="1:5" ht="14.25">
      <c r="A6439" s="37"/>
      <c r="B6439" s="37"/>
      <c r="C6439" s="37"/>
      <c r="D6439" s="37"/>
      <c r="E6439" s="213"/>
    </row>
    <row r="6440" spans="1:5" ht="14.25">
      <c r="A6440" s="37"/>
      <c r="B6440" s="37"/>
      <c r="C6440" s="37"/>
      <c r="D6440" s="37"/>
      <c r="E6440" s="213"/>
    </row>
    <row r="6441" spans="1:5" ht="14.25">
      <c r="A6441" s="37"/>
      <c r="B6441" s="37"/>
      <c r="C6441" s="37"/>
      <c r="D6441" s="37"/>
      <c r="E6441" s="213"/>
    </row>
    <row r="6442" spans="1:5" ht="14.25">
      <c r="A6442" s="37"/>
      <c r="B6442" s="37"/>
      <c r="C6442" s="37"/>
      <c r="D6442" s="37"/>
      <c r="E6442" s="213"/>
    </row>
    <row r="6443" spans="1:5" ht="14.25">
      <c r="A6443" s="37"/>
      <c r="B6443" s="37"/>
      <c r="C6443" s="37"/>
      <c r="D6443" s="37"/>
      <c r="E6443" s="213"/>
    </row>
    <row r="6444" spans="1:5" ht="14.25">
      <c r="A6444" s="37"/>
      <c r="B6444" s="37"/>
      <c r="C6444" s="37"/>
      <c r="D6444" s="37"/>
      <c r="E6444" s="213"/>
    </row>
    <row r="6445" spans="1:5" ht="14.25">
      <c r="A6445" s="37"/>
      <c r="B6445" s="37"/>
      <c r="C6445" s="37"/>
      <c r="D6445" s="37"/>
      <c r="E6445" s="213"/>
    </row>
    <row r="6446" spans="1:5" ht="14.25">
      <c r="A6446" s="37"/>
      <c r="B6446" s="37"/>
      <c r="C6446" s="37"/>
      <c r="D6446" s="37"/>
      <c r="E6446" s="213"/>
    </row>
    <row r="6447" spans="1:5" ht="14.25">
      <c r="A6447" s="37"/>
      <c r="B6447" s="37"/>
      <c r="C6447" s="37"/>
      <c r="D6447" s="37"/>
      <c r="E6447" s="213"/>
    </row>
    <row r="6448" spans="1:5" ht="14.25">
      <c r="A6448" s="37"/>
      <c r="B6448" s="37"/>
      <c r="C6448" s="37"/>
      <c r="D6448" s="37"/>
      <c r="E6448" s="213"/>
    </row>
    <row r="6449" spans="1:5" ht="14.25">
      <c r="A6449" s="37"/>
      <c r="B6449" s="37"/>
      <c r="C6449" s="37"/>
      <c r="D6449" s="37"/>
      <c r="E6449" s="213"/>
    </row>
    <row r="6450" spans="1:5" ht="14.25">
      <c r="A6450" s="37"/>
      <c r="B6450" s="37"/>
      <c r="C6450" s="37"/>
      <c r="D6450" s="37"/>
      <c r="E6450" s="212"/>
    </row>
    <row r="6451" spans="1:5" ht="14.25">
      <c r="A6451" s="37"/>
      <c r="B6451" s="37"/>
      <c r="C6451" s="37"/>
      <c r="D6451" s="37"/>
      <c r="E6451" s="212"/>
    </row>
    <row r="6452" spans="1:5" ht="14.25">
      <c r="A6452" s="37"/>
      <c r="B6452" s="37"/>
      <c r="C6452" s="37"/>
      <c r="D6452" s="37"/>
      <c r="E6452" s="212"/>
    </row>
    <row r="6453" spans="1:5" ht="14.25">
      <c r="A6453" s="37"/>
      <c r="B6453" s="37"/>
      <c r="C6453" s="37"/>
      <c r="D6453" s="37"/>
      <c r="E6453" s="212"/>
    </row>
    <row r="6454" spans="1:5" ht="14.25">
      <c r="A6454" s="37"/>
      <c r="B6454" s="37"/>
      <c r="C6454" s="37"/>
      <c r="D6454" s="37"/>
      <c r="E6454" s="212"/>
    </row>
    <row r="6455" spans="1:5" ht="14.25">
      <c r="A6455" s="37"/>
      <c r="B6455" s="37"/>
      <c r="C6455" s="37"/>
      <c r="D6455" s="37"/>
      <c r="E6455" s="212"/>
    </row>
    <row r="6456" spans="1:5" ht="14.25">
      <c r="A6456" s="37"/>
      <c r="B6456" s="37"/>
      <c r="C6456" s="37"/>
      <c r="D6456" s="37"/>
      <c r="E6456" s="213"/>
    </row>
    <row r="6457" spans="1:5" ht="14.25">
      <c r="A6457" s="37"/>
      <c r="B6457" s="37"/>
      <c r="C6457" s="37"/>
      <c r="D6457" s="37"/>
      <c r="E6457" s="213"/>
    </row>
    <row r="6458" spans="1:5" ht="14.25">
      <c r="A6458" s="37"/>
      <c r="B6458" s="37"/>
      <c r="C6458" s="37"/>
      <c r="D6458" s="37"/>
      <c r="E6458" s="213"/>
    </row>
    <row r="6459" spans="1:5" ht="14.25">
      <c r="A6459" s="37"/>
      <c r="B6459" s="37"/>
      <c r="C6459" s="37"/>
      <c r="D6459" s="37"/>
      <c r="E6459" s="213"/>
    </row>
    <row r="6460" spans="1:5" ht="14.25">
      <c r="A6460" s="37"/>
      <c r="B6460" s="37"/>
      <c r="C6460" s="37"/>
      <c r="D6460" s="37"/>
      <c r="E6460" s="213"/>
    </row>
    <row r="6461" spans="1:5" ht="14.25">
      <c r="A6461" s="37"/>
      <c r="B6461" s="37"/>
      <c r="C6461" s="37"/>
      <c r="D6461" s="37"/>
      <c r="E6461" s="213"/>
    </row>
    <row r="6462" spans="1:5" ht="14.25">
      <c r="A6462" s="37"/>
      <c r="B6462" s="37"/>
      <c r="C6462" s="37"/>
      <c r="D6462" s="37"/>
      <c r="E6462" s="213"/>
    </row>
    <row r="6463" spans="1:5" ht="14.25">
      <c r="A6463" s="37"/>
      <c r="B6463" s="37"/>
      <c r="C6463" s="37"/>
      <c r="D6463" s="37"/>
      <c r="E6463" s="213"/>
    </row>
    <row r="6464" spans="1:5" ht="14.25">
      <c r="A6464" s="37"/>
      <c r="B6464" s="37"/>
      <c r="C6464" s="37"/>
      <c r="D6464" s="37"/>
      <c r="E6464" s="213"/>
    </row>
    <row r="6465" spans="1:5" ht="14.25">
      <c r="A6465" s="37"/>
      <c r="B6465" s="37"/>
      <c r="C6465" s="37"/>
      <c r="D6465" s="37"/>
      <c r="E6465" s="213"/>
    </row>
    <row r="6466" spans="1:5" ht="14.25">
      <c r="A6466" s="37"/>
      <c r="B6466" s="37"/>
      <c r="C6466" s="37"/>
      <c r="D6466" s="37"/>
      <c r="E6466" s="213"/>
    </row>
    <row r="6467" spans="1:5" ht="14.25">
      <c r="A6467" s="37"/>
      <c r="B6467" s="37"/>
      <c r="C6467" s="37"/>
      <c r="D6467" s="37"/>
      <c r="E6467" s="213"/>
    </row>
    <row r="6468" spans="1:5" ht="14.25">
      <c r="A6468" s="37"/>
      <c r="B6468" s="37"/>
      <c r="C6468" s="37"/>
      <c r="D6468" s="37"/>
      <c r="E6468" s="212"/>
    </row>
    <row r="6469" spans="1:5" ht="14.25">
      <c r="A6469" s="37"/>
      <c r="B6469" s="37"/>
      <c r="C6469" s="37"/>
      <c r="D6469" s="37"/>
      <c r="E6469" s="212"/>
    </row>
    <row r="6470" spans="1:5" ht="14.25">
      <c r="A6470" s="37"/>
      <c r="B6470" s="37"/>
      <c r="C6470" s="37"/>
      <c r="D6470" s="37"/>
      <c r="E6470" s="212"/>
    </row>
    <row r="6471" spans="1:5" ht="14.25">
      <c r="A6471" s="37"/>
      <c r="B6471" s="37"/>
      <c r="C6471" s="37"/>
      <c r="D6471" s="37"/>
      <c r="E6471" s="212"/>
    </row>
    <row r="6472" spans="1:5" ht="14.25">
      <c r="A6472" s="37"/>
      <c r="B6472" s="37"/>
      <c r="C6472" s="37"/>
      <c r="D6472" s="37"/>
      <c r="E6472" s="212"/>
    </row>
    <row r="6473" spans="1:5" ht="14.25">
      <c r="A6473" s="37"/>
      <c r="B6473" s="37"/>
      <c r="C6473" s="37"/>
      <c r="D6473" s="37"/>
      <c r="E6473" s="212"/>
    </row>
    <row r="6474" spans="1:5" ht="14.25">
      <c r="A6474" s="37"/>
      <c r="B6474" s="37"/>
      <c r="C6474" s="37"/>
      <c r="D6474" s="37"/>
      <c r="E6474" s="212"/>
    </row>
    <row r="6475" spans="1:5" ht="14.25">
      <c r="A6475" s="37"/>
      <c r="B6475" s="37"/>
      <c r="C6475" s="37"/>
      <c r="D6475" s="37"/>
      <c r="E6475" s="212"/>
    </row>
    <row r="6476" spans="1:5" ht="14.25">
      <c r="A6476" s="37"/>
      <c r="B6476" s="37"/>
      <c r="C6476" s="37"/>
      <c r="D6476" s="37"/>
      <c r="E6476" s="212"/>
    </row>
    <row r="6477" spans="1:5" ht="14.25">
      <c r="A6477" s="37"/>
      <c r="B6477" s="37"/>
      <c r="C6477" s="37"/>
      <c r="D6477" s="37"/>
      <c r="E6477" s="213"/>
    </row>
    <row r="6478" spans="1:5" ht="14.25">
      <c r="A6478" s="37"/>
      <c r="B6478" s="37"/>
      <c r="C6478" s="37"/>
      <c r="D6478" s="37"/>
      <c r="E6478" s="213"/>
    </row>
    <row r="6479" spans="1:5" ht="14.25">
      <c r="A6479" s="37"/>
      <c r="B6479" s="37"/>
      <c r="C6479" s="37"/>
      <c r="D6479" s="37"/>
      <c r="E6479" s="213"/>
    </row>
    <row r="6480" spans="1:5" ht="14.25">
      <c r="A6480" s="37"/>
      <c r="B6480" s="37"/>
      <c r="C6480" s="37"/>
      <c r="D6480" s="37"/>
      <c r="E6480" s="213"/>
    </row>
    <row r="6481" spans="1:5" ht="14.25">
      <c r="A6481" s="37"/>
      <c r="B6481" s="37"/>
      <c r="C6481" s="37"/>
      <c r="D6481" s="37"/>
      <c r="E6481" s="213"/>
    </row>
    <row r="6482" spans="1:5" ht="14.25">
      <c r="A6482" s="37"/>
      <c r="B6482" s="37"/>
      <c r="C6482" s="37"/>
      <c r="D6482" s="37"/>
      <c r="E6482" s="213"/>
    </row>
    <row r="6483" spans="1:5" ht="14.25">
      <c r="A6483" s="37"/>
      <c r="B6483" s="37"/>
      <c r="C6483" s="37"/>
      <c r="D6483" s="37"/>
      <c r="E6483" s="212"/>
    </row>
    <row r="6484" spans="1:5" ht="14.25">
      <c r="A6484" s="37"/>
      <c r="B6484" s="37"/>
      <c r="C6484" s="37"/>
      <c r="D6484" s="37"/>
      <c r="E6484" s="212"/>
    </row>
    <row r="6485" spans="1:5" ht="14.25">
      <c r="A6485" s="37"/>
      <c r="B6485" s="37"/>
      <c r="C6485" s="37"/>
      <c r="D6485" s="37"/>
      <c r="E6485" s="212"/>
    </row>
    <row r="6486" spans="1:5" ht="14.25">
      <c r="A6486" s="37"/>
      <c r="B6486" s="37"/>
      <c r="C6486" s="37"/>
      <c r="D6486" s="37"/>
      <c r="E6486" s="213"/>
    </row>
    <row r="6487" spans="1:5" ht="14.25">
      <c r="A6487" s="37"/>
      <c r="B6487" s="37"/>
      <c r="C6487" s="37"/>
      <c r="D6487" s="37"/>
      <c r="E6487" s="212"/>
    </row>
    <row r="6488" spans="1:5" ht="14.25">
      <c r="A6488" s="37"/>
      <c r="B6488" s="37"/>
      <c r="C6488" s="37"/>
      <c r="D6488" s="37"/>
      <c r="E6488" s="212"/>
    </row>
    <row r="6489" spans="1:5" ht="14.25">
      <c r="A6489" s="37"/>
      <c r="B6489" s="37"/>
      <c r="C6489" s="37"/>
      <c r="D6489" s="37"/>
      <c r="E6489" s="212"/>
    </row>
    <row r="6490" spans="1:5" ht="14.25">
      <c r="A6490" s="37"/>
      <c r="B6490" s="37"/>
      <c r="C6490" s="37"/>
      <c r="D6490" s="37"/>
      <c r="E6490" s="213"/>
    </row>
    <row r="6491" spans="1:5" ht="14.25">
      <c r="A6491" s="37"/>
      <c r="B6491" s="37"/>
      <c r="C6491" s="37"/>
      <c r="D6491" s="37"/>
      <c r="E6491" s="213"/>
    </row>
    <row r="6492" spans="1:5" ht="14.25">
      <c r="A6492" s="37"/>
      <c r="B6492" s="37"/>
      <c r="C6492" s="37"/>
      <c r="D6492" s="37"/>
      <c r="E6492" s="212"/>
    </row>
    <row r="6493" spans="1:5" ht="14.25">
      <c r="A6493" s="37"/>
      <c r="B6493" s="37"/>
      <c r="C6493" s="37"/>
      <c r="D6493" s="37"/>
      <c r="E6493" s="212"/>
    </row>
    <row r="6494" spans="1:5" ht="14.25">
      <c r="A6494" s="37"/>
      <c r="B6494" s="37"/>
      <c r="C6494" s="37"/>
      <c r="D6494" s="37"/>
      <c r="E6494" s="212"/>
    </row>
    <row r="6495" spans="1:5" ht="14.25">
      <c r="A6495" s="37"/>
      <c r="B6495" s="37"/>
      <c r="C6495" s="37"/>
      <c r="D6495" s="37"/>
      <c r="E6495" s="212"/>
    </row>
    <row r="6496" spans="1:5" ht="14.25">
      <c r="A6496" s="37"/>
      <c r="B6496" s="37"/>
      <c r="C6496" s="37"/>
      <c r="D6496" s="37"/>
      <c r="E6496" s="213"/>
    </row>
    <row r="6497" spans="1:5" ht="14.25">
      <c r="A6497" s="37"/>
      <c r="B6497" s="37"/>
      <c r="C6497" s="37"/>
      <c r="D6497" s="37"/>
      <c r="E6497" s="212"/>
    </row>
    <row r="6498" spans="1:5" ht="14.25">
      <c r="A6498" s="37"/>
      <c r="B6498" s="37"/>
      <c r="C6498" s="37"/>
      <c r="D6498" s="37"/>
      <c r="E6498" s="212"/>
    </row>
    <row r="6499" spans="1:5" ht="14.25">
      <c r="A6499" s="37"/>
      <c r="B6499" s="37"/>
      <c r="C6499" s="37"/>
      <c r="D6499" s="37"/>
      <c r="E6499" s="212"/>
    </row>
    <row r="6500" spans="1:5" ht="14.25">
      <c r="A6500" s="37"/>
      <c r="B6500" s="37"/>
      <c r="C6500" s="37"/>
      <c r="D6500" s="37"/>
      <c r="E6500" s="212"/>
    </row>
    <row r="6501" spans="1:5" ht="14.25">
      <c r="A6501" s="37"/>
      <c r="B6501" s="37"/>
      <c r="C6501" s="37"/>
      <c r="D6501" s="37"/>
      <c r="E6501" s="213"/>
    </row>
    <row r="6502" spans="1:5" ht="14.25">
      <c r="A6502" s="37"/>
      <c r="B6502" s="37"/>
      <c r="C6502" s="37"/>
      <c r="D6502" s="37"/>
      <c r="E6502" s="212"/>
    </row>
    <row r="6503" spans="1:5" ht="14.25">
      <c r="A6503" s="37"/>
      <c r="B6503" s="37"/>
      <c r="C6503" s="37"/>
      <c r="D6503" s="37"/>
      <c r="E6503" s="212"/>
    </row>
    <row r="6504" spans="1:5" ht="14.25">
      <c r="A6504" s="37"/>
      <c r="B6504" s="37"/>
      <c r="C6504" s="37"/>
      <c r="D6504" s="37"/>
      <c r="E6504" s="212"/>
    </row>
    <row r="6505" spans="1:5" ht="14.25">
      <c r="A6505" s="37"/>
      <c r="B6505" s="37"/>
      <c r="C6505" s="37"/>
      <c r="D6505" s="37"/>
      <c r="E6505" s="212"/>
    </row>
    <row r="6506" spans="1:5" ht="14.25">
      <c r="A6506" s="37"/>
      <c r="B6506" s="37"/>
      <c r="C6506" s="37"/>
      <c r="D6506" s="37"/>
      <c r="E6506" s="212"/>
    </row>
    <row r="6507" spans="1:5" ht="14.25">
      <c r="A6507" s="37"/>
      <c r="B6507" s="37"/>
      <c r="C6507" s="37"/>
      <c r="D6507" s="37"/>
      <c r="E6507" s="212"/>
    </row>
    <row r="6508" spans="1:5" ht="14.25">
      <c r="A6508" s="37"/>
      <c r="B6508" s="37"/>
      <c r="C6508" s="37"/>
      <c r="D6508" s="37"/>
      <c r="E6508" s="212"/>
    </row>
    <row r="6509" spans="1:5" ht="14.25">
      <c r="A6509" s="37"/>
      <c r="B6509" s="37"/>
      <c r="C6509" s="37"/>
      <c r="D6509" s="37"/>
      <c r="E6509" s="212"/>
    </row>
    <row r="6510" spans="1:5" ht="14.25">
      <c r="A6510" s="37"/>
      <c r="B6510" s="37"/>
      <c r="C6510" s="37"/>
      <c r="D6510" s="37"/>
      <c r="E6510" s="212"/>
    </row>
    <row r="6511" spans="1:5" ht="14.25">
      <c r="A6511" s="37"/>
      <c r="B6511" s="37"/>
      <c r="C6511" s="37"/>
      <c r="D6511" s="37"/>
      <c r="E6511" s="212"/>
    </row>
    <row r="6512" spans="1:5" ht="14.25">
      <c r="A6512" s="37"/>
      <c r="B6512" s="37"/>
      <c r="C6512" s="37"/>
      <c r="D6512" s="37"/>
      <c r="E6512" s="212"/>
    </row>
    <row r="6513" spans="1:5" ht="14.25">
      <c r="A6513" s="37"/>
      <c r="B6513" s="37"/>
      <c r="C6513" s="37"/>
      <c r="D6513" s="37"/>
      <c r="E6513" s="212"/>
    </row>
    <row r="6514" spans="1:5" ht="14.25">
      <c r="A6514" s="37"/>
      <c r="B6514" s="37"/>
      <c r="C6514" s="37"/>
      <c r="D6514" s="37"/>
      <c r="E6514" s="212"/>
    </row>
    <row r="6515" spans="1:5" ht="14.25">
      <c r="A6515" s="37"/>
      <c r="B6515" s="37"/>
      <c r="C6515" s="37"/>
      <c r="D6515" s="37"/>
      <c r="E6515" s="212"/>
    </row>
    <row r="6516" spans="1:5" ht="14.25">
      <c r="A6516" s="37"/>
      <c r="B6516" s="37"/>
      <c r="C6516" s="37"/>
      <c r="D6516" s="37"/>
      <c r="E6516" s="212"/>
    </row>
    <row r="6517" spans="1:5" ht="14.25">
      <c r="A6517" s="37"/>
      <c r="B6517" s="37"/>
      <c r="C6517" s="37"/>
      <c r="D6517" s="37"/>
      <c r="E6517" s="212"/>
    </row>
    <row r="6518" spans="1:5" ht="14.25">
      <c r="A6518" s="37"/>
      <c r="B6518" s="37"/>
      <c r="C6518" s="37"/>
      <c r="D6518" s="37"/>
      <c r="E6518" s="212"/>
    </row>
    <row r="6519" spans="1:5" ht="14.25">
      <c r="A6519" s="37"/>
      <c r="B6519" s="37"/>
      <c r="C6519" s="37"/>
      <c r="D6519" s="37"/>
      <c r="E6519" s="212"/>
    </row>
    <row r="6520" spans="1:5" ht="14.25">
      <c r="A6520" s="37"/>
      <c r="B6520" s="37"/>
      <c r="C6520" s="37"/>
      <c r="D6520" s="37"/>
      <c r="E6520" s="212"/>
    </row>
    <row r="6521" spans="1:5" ht="14.25">
      <c r="A6521" s="37"/>
      <c r="B6521" s="37"/>
      <c r="C6521" s="37"/>
      <c r="D6521" s="37"/>
      <c r="E6521" s="212"/>
    </row>
    <row r="6522" spans="1:5" ht="14.25">
      <c r="A6522" s="37"/>
      <c r="B6522" s="37"/>
      <c r="C6522" s="37"/>
      <c r="D6522" s="37"/>
      <c r="E6522" s="212"/>
    </row>
    <row r="6523" spans="1:5" ht="14.25">
      <c r="A6523" s="37"/>
      <c r="B6523" s="37"/>
      <c r="C6523" s="37"/>
      <c r="D6523" s="37"/>
      <c r="E6523" s="212"/>
    </row>
    <row r="6524" spans="1:5" ht="14.25">
      <c r="A6524" s="37"/>
      <c r="B6524" s="37"/>
      <c r="C6524" s="37"/>
      <c r="D6524" s="37"/>
      <c r="E6524" s="213"/>
    </row>
    <row r="6525" spans="1:5" ht="14.25">
      <c r="A6525" s="37"/>
      <c r="B6525" s="37"/>
      <c r="C6525" s="37"/>
      <c r="D6525" s="37"/>
      <c r="E6525" s="212"/>
    </row>
    <row r="6526" spans="1:5" ht="14.25">
      <c r="A6526" s="37"/>
      <c r="B6526" s="37"/>
      <c r="C6526" s="37"/>
      <c r="D6526" s="37"/>
      <c r="E6526" s="212"/>
    </row>
    <row r="6527" spans="1:5" ht="14.25">
      <c r="A6527" s="37"/>
      <c r="B6527" s="37"/>
      <c r="C6527" s="37"/>
      <c r="D6527" s="37"/>
      <c r="E6527" s="212"/>
    </row>
    <row r="6528" spans="1:5" ht="14.25">
      <c r="A6528" s="37"/>
      <c r="B6528" s="37"/>
      <c r="C6528" s="37"/>
      <c r="D6528" s="37"/>
      <c r="E6528" s="212"/>
    </row>
    <row r="6529" spans="1:5" ht="14.25">
      <c r="A6529" s="37"/>
      <c r="B6529" s="37"/>
      <c r="C6529" s="37"/>
      <c r="D6529" s="37"/>
      <c r="E6529" s="212"/>
    </row>
    <row r="6530" spans="1:5" ht="14.25">
      <c r="A6530" s="37"/>
      <c r="B6530" s="37"/>
      <c r="C6530" s="37"/>
      <c r="D6530" s="37"/>
      <c r="E6530" s="212"/>
    </row>
    <row r="6531" spans="1:5" ht="14.25">
      <c r="A6531" s="37"/>
      <c r="B6531" s="37"/>
      <c r="C6531" s="37"/>
      <c r="D6531" s="37"/>
      <c r="E6531" s="212"/>
    </row>
    <row r="6532" spans="1:5" ht="14.25">
      <c r="A6532" s="37"/>
      <c r="B6532" s="37"/>
      <c r="C6532" s="37"/>
      <c r="D6532" s="37"/>
      <c r="E6532" s="212"/>
    </row>
    <row r="6533" spans="1:5" ht="14.25">
      <c r="A6533" s="37"/>
      <c r="B6533" s="37"/>
      <c r="C6533" s="37"/>
      <c r="D6533" s="37"/>
      <c r="E6533" s="212"/>
    </row>
    <row r="6534" spans="1:5" ht="14.25">
      <c r="A6534" s="37"/>
      <c r="B6534" s="37"/>
      <c r="C6534" s="37"/>
      <c r="D6534" s="37"/>
      <c r="E6534" s="212"/>
    </row>
    <row r="6535" spans="1:5" ht="14.25">
      <c r="A6535" s="37"/>
      <c r="B6535" s="37"/>
      <c r="C6535" s="37"/>
      <c r="D6535" s="37"/>
      <c r="E6535" s="212"/>
    </row>
    <row r="6536" spans="1:5" ht="14.25">
      <c r="A6536" s="37"/>
      <c r="B6536" s="37"/>
      <c r="C6536" s="37"/>
      <c r="D6536" s="37"/>
      <c r="E6536" s="212"/>
    </row>
    <row r="6537" spans="1:5" ht="14.25">
      <c r="A6537" s="37"/>
      <c r="B6537" s="37"/>
      <c r="C6537" s="37"/>
      <c r="D6537" s="37"/>
      <c r="E6537" s="213"/>
    </row>
    <row r="6538" spans="1:5" ht="14.25">
      <c r="A6538" s="37"/>
      <c r="B6538" s="37"/>
      <c r="C6538" s="37"/>
      <c r="D6538" s="37"/>
      <c r="E6538" s="213"/>
    </row>
    <row r="6539" spans="1:5" ht="14.25">
      <c r="A6539" s="37"/>
      <c r="B6539" s="37"/>
      <c r="C6539" s="37"/>
      <c r="D6539" s="37"/>
      <c r="E6539" s="212"/>
    </row>
    <row r="6540" spans="1:5" ht="14.25">
      <c r="A6540" s="37"/>
      <c r="B6540" s="37"/>
      <c r="C6540" s="37"/>
      <c r="D6540" s="37"/>
      <c r="E6540" s="212"/>
    </row>
    <row r="6541" spans="1:5" ht="14.25">
      <c r="A6541" s="37"/>
      <c r="B6541" s="37"/>
      <c r="C6541" s="37"/>
      <c r="D6541" s="37"/>
      <c r="E6541" s="212"/>
    </row>
    <row r="6542" spans="1:5" ht="14.25">
      <c r="A6542" s="37"/>
      <c r="B6542" s="37"/>
      <c r="C6542" s="37"/>
      <c r="D6542" s="37"/>
      <c r="E6542" s="213"/>
    </row>
    <row r="6543" spans="1:5" ht="14.25">
      <c r="A6543" s="37"/>
      <c r="B6543" s="37"/>
      <c r="C6543" s="37"/>
      <c r="D6543" s="37"/>
      <c r="E6543" s="213"/>
    </row>
    <row r="6544" spans="1:5" ht="14.25">
      <c r="A6544" s="37"/>
      <c r="B6544" s="37"/>
      <c r="C6544" s="37"/>
      <c r="D6544" s="37"/>
      <c r="E6544" s="212"/>
    </row>
    <row r="6545" spans="1:5" ht="14.25">
      <c r="A6545" s="37"/>
      <c r="B6545" s="37"/>
      <c r="C6545" s="37"/>
      <c r="D6545" s="37"/>
      <c r="E6545" s="213"/>
    </row>
    <row r="6546" spans="1:5" ht="14.25">
      <c r="A6546" s="37"/>
      <c r="B6546" s="37"/>
      <c r="C6546" s="37"/>
      <c r="D6546" s="37"/>
      <c r="E6546" s="212"/>
    </row>
    <row r="6547" spans="1:5" ht="14.25">
      <c r="A6547" s="37"/>
      <c r="B6547" s="37"/>
      <c r="C6547" s="37"/>
      <c r="D6547" s="37"/>
      <c r="E6547" s="212"/>
    </row>
    <row r="6548" spans="1:5" ht="14.25">
      <c r="A6548" s="37"/>
      <c r="B6548" s="37"/>
      <c r="C6548" s="37"/>
      <c r="D6548" s="37"/>
      <c r="E6548" s="212"/>
    </row>
    <row r="6549" spans="1:5" ht="14.25">
      <c r="A6549" s="37"/>
      <c r="B6549" s="37"/>
      <c r="C6549" s="37"/>
      <c r="D6549" s="37"/>
      <c r="E6549" s="212"/>
    </row>
    <row r="6550" spans="1:5" ht="14.25">
      <c r="A6550" s="37"/>
      <c r="B6550" s="37"/>
      <c r="C6550" s="37"/>
      <c r="D6550" s="37"/>
      <c r="E6550" s="212"/>
    </row>
    <row r="6551" spans="1:5" ht="14.25">
      <c r="A6551" s="37"/>
      <c r="B6551" s="37"/>
      <c r="C6551" s="37"/>
      <c r="D6551" s="37"/>
      <c r="E6551" s="212"/>
    </row>
    <row r="6552" spans="1:5" ht="14.25">
      <c r="A6552" s="37"/>
      <c r="B6552" s="37"/>
      <c r="C6552" s="37"/>
      <c r="D6552" s="37"/>
      <c r="E6552" s="212"/>
    </row>
    <row r="6553" spans="1:5" ht="14.25">
      <c r="A6553" s="37"/>
      <c r="B6553" s="37"/>
      <c r="C6553" s="37"/>
      <c r="D6553" s="37"/>
      <c r="E6553" s="213"/>
    </row>
    <row r="6554" spans="1:5" ht="14.25">
      <c r="A6554" s="37"/>
      <c r="B6554" s="37"/>
      <c r="C6554" s="37"/>
      <c r="D6554" s="37"/>
      <c r="E6554" s="212"/>
    </row>
    <row r="6555" spans="1:5" ht="14.25">
      <c r="A6555" s="37"/>
      <c r="B6555" s="37"/>
      <c r="C6555" s="37"/>
      <c r="D6555" s="37"/>
      <c r="E6555" s="212"/>
    </row>
    <row r="6556" spans="1:5" ht="14.25">
      <c r="A6556" s="37"/>
      <c r="B6556" s="37"/>
      <c r="C6556" s="37"/>
      <c r="D6556" s="37"/>
      <c r="E6556" s="212"/>
    </row>
    <row r="6557" spans="1:5" ht="14.25">
      <c r="A6557" s="37"/>
      <c r="B6557" s="37"/>
      <c r="C6557" s="37"/>
      <c r="D6557" s="37"/>
      <c r="E6557" s="212"/>
    </row>
    <row r="6558" spans="1:5" ht="14.25">
      <c r="A6558" s="37"/>
      <c r="B6558" s="37"/>
      <c r="C6558" s="37"/>
      <c r="D6558" s="37"/>
      <c r="E6558" s="212"/>
    </row>
    <row r="6559" spans="1:5" ht="14.25">
      <c r="A6559" s="37"/>
      <c r="B6559" s="37"/>
      <c r="C6559" s="37"/>
      <c r="D6559" s="37"/>
      <c r="E6559" s="212"/>
    </row>
    <row r="6560" spans="1:5" ht="14.25">
      <c r="A6560" s="37"/>
      <c r="B6560" s="37"/>
      <c r="C6560" s="37"/>
      <c r="D6560" s="37"/>
      <c r="E6560" s="212"/>
    </row>
    <row r="6561" spans="1:5" ht="14.25">
      <c r="A6561" s="37"/>
      <c r="B6561" s="37"/>
      <c r="C6561" s="37"/>
      <c r="D6561" s="37"/>
      <c r="E6561" s="212"/>
    </row>
    <row r="6562" spans="1:5" ht="14.25">
      <c r="A6562" s="37"/>
      <c r="B6562" s="37"/>
      <c r="C6562" s="37"/>
      <c r="D6562" s="37"/>
      <c r="E6562" s="212"/>
    </row>
    <row r="6563" spans="1:5" ht="14.25">
      <c r="A6563" s="37"/>
      <c r="B6563" s="37"/>
      <c r="C6563" s="37"/>
      <c r="D6563" s="37"/>
      <c r="E6563" s="212"/>
    </row>
    <row r="6564" spans="1:5" ht="14.25">
      <c r="A6564" s="37"/>
      <c r="B6564" s="37"/>
      <c r="C6564" s="37"/>
      <c r="D6564" s="37"/>
      <c r="E6564" s="212"/>
    </row>
    <row r="6565" spans="1:5" ht="14.25">
      <c r="A6565" s="37"/>
      <c r="B6565" s="37"/>
      <c r="C6565" s="37"/>
      <c r="D6565" s="37"/>
      <c r="E6565" s="212"/>
    </row>
    <row r="6566" spans="1:5" ht="14.25">
      <c r="A6566" s="37"/>
      <c r="B6566" s="37"/>
      <c r="C6566" s="37"/>
      <c r="D6566" s="37"/>
      <c r="E6566" s="212"/>
    </row>
    <row r="6567" spans="1:5" ht="14.25">
      <c r="A6567" s="37"/>
      <c r="B6567" s="37"/>
      <c r="C6567" s="37"/>
      <c r="D6567" s="37"/>
      <c r="E6567" s="212"/>
    </row>
    <row r="6568" spans="1:5" ht="14.25">
      <c r="A6568" s="37"/>
      <c r="B6568" s="37"/>
      <c r="C6568" s="37"/>
      <c r="D6568" s="37"/>
      <c r="E6568" s="212"/>
    </row>
    <row r="6569" spans="1:5" ht="14.25">
      <c r="A6569" s="37"/>
      <c r="B6569" s="37"/>
      <c r="C6569" s="37"/>
      <c r="D6569" s="37"/>
      <c r="E6569" s="212"/>
    </row>
    <row r="6570" spans="1:5" ht="14.25">
      <c r="A6570" s="37"/>
      <c r="B6570" s="37"/>
      <c r="C6570" s="37"/>
      <c r="D6570" s="37"/>
      <c r="E6570" s="212"/>
    </row>
    <row r="6571" spans="1:5" ht="14.25">
      <c r="A6571" s="37"/>
      <c r="B6571" s="37"/>
      <c r="C6571" s="37"/>
      <c r="D6571" s="37"/>
      <c r="E6571" s="212"/>
    </row>
    <row r="6572" spans="1:5" ht="14.25">
      <c r="A6572" s="37"/>
      <c r="B6572" s="37"/>
      <c r="C6572" s="37"/>
      <c r="D6572" s="37"/>
      <c r="E6572" s="212"/>
    </row>
    <row r="6573" spans="1:5" ht="14.25">
      <c r="A6573" s="37"/>
      <c r="B6573" s="37"/>
      <c r="C6573" s="37"/>
      <c r="D6573" s="37"/>
      <c r="E6573" s="212"/>
    </row>
    <row r="6574" spans="1:5" ht="14.25">
      <c r="A6574" s="37"/>
      <c r="B6574" s="37"/>
      <c r="C6574" s="37"/>
      <c r="D6574" s="37"/>
      <c r="E6574" s="212"/>
    </row>
    <row r="6575" spans="1:5" ht="14.25">
      <c r="A6575" s="37"/>
      <c r="B6575" s="37"/>
      <c r="C6575" s="37"/>
      <c r="D6575" s="37"/>
      <c r="E6575" s="212"/>
    </row>
    <row r="6576" spans="1:5" ht="14.25">
      <c r="A6576" s="37"/>
      <c r="B6576" s="37"/>
      <c r="C6576" s="37"/>
      <c r="D6576" s="37"/>
      <c r="E6576" s="212"/>
    </row>
    <row r="6577" spans="1:5" ht="14.25">
      <c r="A6577" s="37"/>
      <c r="B6577" s="37"/>
      <c r="C6577" s="37"/>
      <c r="D6577" s="37"/>
      <c r="E6577" s="212"/>
    </row>
    <row r="6578" spans="1:5" ht="14.25">
      <c r="A6578" s="37"/>
      <c r="B6578" s="37"/>
      <c r="C6578" s="37"/>
      <c r="D6578" s="37"/>
      <c r="E6578" s="212"/>
    </row>
    <row r="6579" spans="1:5" ht="14.25">
      <c r="A6579" s="37"/>
      <c r="B6579" s="37"/>
      <c r="C6579" s="37"/>
      <c r="D6579" s="37"/>
      <c r="E6579" s="212"/>
    </row>
    <row r="6580" spans="1:5" ht="14.25">
      <c r="A6580" s="37"/>
      <c r="B6580" s="37"/>
      <c r="C6580" s="37"/>
      <c r="D6580" s="37"/>
      <c r="E6580" s="212"/>
    </row>
    <row r="6581" spans="1:5" ht="14.25">
      <c r="A6581" s="37"/>
      <c r="B6581" s="37"/>
      <c r="C6581" s="37"/>
      <c r="D6581" s="37"/>
      <c r="E6581" s="212"/>
    </row>
    <row r="6582" spans="1:5" ht="14.25">
      <c r="A6582" s="37"/>
      <c r="B6582" s="37"/>
      <c r="C6582" s="37"/>
      <c r="D6582" s="37"/>
      <c r="E6582" s="212"/>
    </row>
    <row r="6583" spans="1:5" ht="14.25">
      <c r="A6583" s="37"/>
      <c r="B6583" s="37"/>
      <c r="C6583" s="37"/>
      <c r="D6583" s="37"/>
      <c r="E6583" s="212"/>
    </row>
    <row r="6584" spans="1:5" ht="14.25">
      <c r="A6584" s="37"/>
      <c r="B6584" s="37"/>
      <c r="C6584" s="37"/>
      <c r="D6584" s="37"/>
      <c r="E6584" s="212"/>
    </row>
    <row r="6585" spans="1:5" ht="14.25">
      <c r="A6585" s="37"/>
      <c r="B6585" s="37"/>
      <c r="C6585" s="37"/>
      <c r="D6585" s="37"/>
      <c r="E6585" s="212"/>
    </row>
    <row r="6586" spans="1:5" ht="14.25">
      <c r="A6586" s="37"/>
      <c r="B6586" s="37"/>
      <c r="C6586" s="37"/>
      <c r="D6586" s="37"/>
      <c r="E6586" s="212"/>
    </row>
    <row r="6587" spans="1:5" ht="14.25">
      <c r="A6587" s="37"/>
      <c r="B6587" s="37"/>
      <c r="C6587" s="37"/>
      <c r="D6587" s="37"/>
      <c r="E6587" s="212"/>
    </row>
    <row r="6588" spans="1:5" ht="14.25">
      <c r="A6588" s="37"/>
      <c r="B6588" s="37"/>
      <c r="C6588" s="37"/>
      <c r="D6588" s="37"/>
      <c r="E6588" s="212"/>
    </row>
    <row r="6589" spans="1:5" ht="14.25">
      <c r="A6589" s="37"/>
      <c r="B6589" s="37"/>
      <c r="C6589" s="37"/>
      <c r="D6589" s="37"/>
      <c r="E6589" s="212"/>
    </row>
    <row r="6590" spans="1:5" ht="14.25">
      <c r="A6590" s="37"/>
      <c r="B6590" s="37"/>
      <c r="C6590" s="37"/>
      <c r="D6590" s="37"/>
      <c r="E6590" s="212"/>
    </row>
    <row r="6591" spans="1:5" ht="14.25">
      <c r="A6591" s="37"/>
      <c r="B6591" s="37"/>
      <c r="C6591" s="37"/>
      <c r="D6591" s="37"/>
      <c r="E6591" s="212"/>
    </row>
    <row r="6592" spans="1:5" ht="14.25">
      <c r="A6592" s="37"/>
      <c r="B6592" s="37"/>
      <c r="C6592" s="37"/>
      <c r="D6592" s="37"/>
      <c r="E6592" s="212"/>
    </row>
    <row r="6593" spans="1:5" ht="14.25">
      <c r="A6593" s="37"/>
      <c r="B6593" s="37"/>
      <c r="C6593" s="37"/>
      <c r="D6593" s="37"/>
      <c r="E6593" s="212"/>
    </row>
    <row r="6594" spans="1:5" ht="14.25">
      <c r="A6594" s="37"/>
      <c r="B6594" s="37"/>
      <c r="C6594" s="37"/>
      <c r="D6594" s="37"/>
      <c r="E6594" s="212"/>
    </row>
    <row r="6595" spans="1:5" ht="14.25">
      <c r="A6595" s="37"/>
      <c r="B6595" s="37"/>
      <c r="C6595" s="37"/>
      <c r="D6595" s="37"/>
      <c r="E6595" s="212"/>
    </row>
    <row r="6596" spans="1:5" ht="14.25">
      <c r="A6596" s="37"/>
      <c r="B6596" s="37"/>
      <c r="C6596" s="37"/>
      <c r="D6596" s="37"/>
      <c r="E6596" s="212"/>
    </row>
    <row r="6597" spans="1:5" ht="14.25">
      <c r="A6597" s="37"/>
      <c r="B6597" s="37"/>
      <c r="C6597" s="37"/>
      <c r="D6597" s="37"/>
      <c r="E6597" s="212"/>
    </row>
    <row r="6598" spans="1:5" ht="14.25">
      <c r="A6598" s="37"/>
      <c r="B6598" s="37"/>
      <c r="C6598" s="37"/>
      <c r="D6598" s="37"/>
      <c r="E6598" s="212"/>
    </row>
    <row r="6599" spans="1:5" ht="14.25">
      <c r="A6599" s="37"/>
      <c r="B6599" s="37"/>
      <c r="C6599" s="37"/>
      <c r="D6599" s="37"/>
      <c r="E6599" s="212"/>
    </row>
    <row r="6600" spans="1:5" ht="14.25">
      <c r="A6600" s="37"/>
      <c r="B6600" s="37"/>
      <c r="C6600" s="37"/>
      <c r="D6600" s="37"/>
      <c r="E6600" s="212"/>
    </row>
    <row r="6601" spans="1:5" ht="14.25">
      <c r="A6601" s="37"/>
      <c r="B6601" s="37"/>
      <c r="C6601" s="37"/>
      <c r="D6601" s="37"/>
      <c r="E6601" s="212"/>
    </row>
    <row r="6602" spans="1:5" ht="14.25">
      <c r="A6602" s="37"/>
      <c r="B6602" s="37"/>
      <c r="C6602" s="37"/>
      <c r="D6602" s="37"/>
      <c r="E6602" s="212"/>
    </row>
    <row r="6603" spans="1:5" ht="14.25">
      <c r="A6603" s="37"/>
      <c r="B6603" s="37"/>
      <c r="C6603" s="37"/>
      <c r="D6603" s="37"/>
      <c r="E6603" s="212"/>
    </row>
    <row r="6604" spans="1:5" ht="14.25">
      <c r="A6604" s="37"/>
      <c r="B6604" s="37"/>
      <c r="C6604" s="37"/>
      <c r="D6604" s="37"/>
      <c r="E6604" s="212"/>
    </row>
    <row r="6605" spans="1:5" ht="14.25">
      <c r="A6605" s="37"/>
      <c r="B6605" s="37"/>
      <c r="C6605" s="37"/>
      <c r="D6605" s="37"/>
      <c r="E6605" s="212"/>
    </row>
    <row r="6606" spans="1:5" ht="14.25">
      <c r="A6606" s="37"/>
      <c r="B6606" s="37"/>
      <c r="C6606" s="37"/>
      <c r="D6606" s="37"/>
      <c r="E6606" s="212"/>
    </row>
    <row r="6607" spans="1:5" ht="14.25">
      <c r="A6607" s="37"/>
      <c r="B6607" s="37"/>
      <c r="C6607" s="37"/>
      <c r="D6607" s="37"/>
      <c r="E6607" s="212"/>
    </row>
    <row r="6608" spans="1:5" ht="14.25">
      <c r="A6608" s="37"/>
      <c r="B6608" s="37"/>
      <c r="C6608" s="37"/>
      <c r="D6608" s="37"/>
      <c r="E6608" s="212"/>
    </row>
    <row r="6609" spans="1:5" ht="14.25">
      <c r="A6609" s="37"/>
      <c r="B6609" s="37"/>
      <c r="C6609" s="37"/>
      <c r="D6609" s="37"/>
      <c r="E6609" s="212"/>
    </row>
    <row r="6610" spans="1:5" ht="14.25">
      <c r="A6610" s="37"/>
      <c r="B6610" s="37"/>
      <c r="C6610" s="37"/>
      <c r="D6610" s="37"/>
      <c r="E6610" s="212"/>
    </row>
    <row r="6611" spans="1:5" ht="14.25">
      <c r="A6611" s="37"/>
      <c r="B6611" s="37"/>
      <c r="C6611" s="37"/>
      <c r="D6611" s="37"/>
      <c r="E6611" s="212"/>
    </row>
    <row r="6612" spans="1:5" ht="14.25">
      <c r="A6612" s="37"/>
      <c r="B6612" s="37"/>
      <c r="C6612" s="37"/>
      <c r="D6612" s="37"/>
      <c r="E6612" s="212"/>
    </row>
    <row r="6613" spans="1:5" ht="14.25">
      <c r="A6613" s="37"/>
      <c r="B6613" s="37"/>
      <c r="C6613" s="37"/>
      <c r="D6613" s="37"/>
      <c r="E6613" s="212"/>
    </row>
    <row r="6614" spans="1:5" ht="14.25">
      <c r="A6614" s="37"/>
      <c r="B6614" s="37"/>
      <c r="C6614" s="37"/>
      <c r="D6614" s="37"/>
      <c r="E6614" s="212"/>
    </row>
    <row r="6615" spans="1:5" ht="14.25">
      <c r="A6615" s="37"/>
      <c r="B6615" s="37"/>
      <c r="C6615" s="37"/>
      <c r="D6615" s="37"/>
      <c r="E6615" s="212"/>
    </row>
    <row r="6616" spans="1:5" ht="14.25">
      <c r="A6616" s="37"/>
      <c r="B6616" s="37"/>
      <c r="C6616" s="37"/>
      <c r="D6616" s="37"/>
      <c r="E6616" s="212"/>
    </row>
    <row r="6617" spans="1:5" ht="14.25">
      <c r="A6617" s="37"/>
      <c r="B6617" s="37"/>
      <c r="C6617" s="37"/>
      <c r="D6617" s="37"/>
      <c r="E6617" s="212"/>
    </row>
    <row r="6618" spans="1:5" ht="14.25">
      <c r="A6618" s="37"/>
      <c r="B6618" s="37"/>
      <c r="C6618" s="37"/>
      <c r="D6618" s="37"/>
      <c r="E6618" s="212"/>
    </row>
    <row r="6619" spans="1:5" ht="14.25">
      <c r="A6619" s="37"/>
      <c r="B6619" s="37"/>
      <c r="C6619" s="37"/>
      <c r="D6619" s="37"/>
      <c r="E6619" s="212"/>
    </row>
    <row r="6620" spans="1:5" ht="14.25">
      <c r="A6620" s="37"/>
      <c r="B6620" s="37"/>
      <c r="C6620" s="37"/>
      <c r="D6620" s="37"/>
      <c r="E6620" s="212"/>
    </row>
    <row r="6621" spans="1:5" ht="14.25">
      <c r="A6621" s="37"/>
      <c r="B6621" s="37"/>
      <c r="C6621" s="37"/>
      <c r="D6621" s="37"/>
      <c r="E6621" s="212"/>
    </row>
    <row r="6622" spans="1:5" ht="14.25">
      <c r="A6622" s="37"/>
      <c r="B6622" s="37"/>
      <c r="C6622" s="37"/>
      <c r="D6622" s="37"/>
      <c r="E6622" s="212"/>
    </row>
    <row r="6623" spans="1:5" ht="14.25">
      <c r="A6623" s="37"/>
      <c r="B6623" s="37"/>
      <c r="C6623" s="37"/>
      <c r="D6623" s="37"/>
      <c r="E6623" s="212"/>
    </row>
    <row r="6624" spans="1:5" ht="14.25">
      <c r="A6624" s="37"/>
      <c r="B6624" s="37"/>
      <c r="C6624" s="37"/>
      <c r="D6624" s="37"/>
      <c r="E6624" s="212"/>
    </row>
    <row r="6625" spans="1:5" ht="14.25">
      <c r="A6625" s="37"/>
      <c r="B6625" s="37"/>
      <c r="C6625" s="37"/>
      <c r="D6625" s="37"/>
      <c r="E6625" s="212"/>
    </row>
    <row r="6626" spans="1:5" ht="14.25">
      <c r="A6626" s="37"/>
      <c r="B6626" s="37"/>
      <c r="C6626" s="37"/>
      <c r="D6626" s="37"/>
      <c r="E6626" s="212"/>
    </row>
    <row r="6627" spans="1:5" ht="14.25">
      <c r="A6627" s="37"/>
      <c r="B6627" s="37"/>
      <c r="C6627" s="37"/>
      <c r="D6627" s="37"/>
      <c r="E6627" s="212"/>
    </row>
    <row r="6628" spans="1:5" ht="14.25">
      <c r="A6628" s="37"/>
      <c r="B6628" s="37"/>
      <c r="C6628" s="37"/>
      <c r="D6628" s="37"/>
      <c r="E6628" s="212"/>
    </row>
    <row r="6629" spans="1:5" ht="14.25">
      <c r="A6629" s="37"/>
      <c r="B6629" s="37"/>
      <c r="C6629" s="37"/>
      <c r="D6629" s="37"/>
      <c r="E6629" s="212"/>
    </row>
    <row r="6630" spans="1:5" ht="14.25">
      <c r="A6630" s="37"/>
      <c r="B6630" s="37"/>
      <c r="C6630" s="37"/>
      <c r="D6630" s="37"/>
      <c r="E6630" s="212"/>
    </row>
    <row r="6631" spans="1:5" ht="14.25">
      <c r="A6631" s="37"/>
      <c r="B6631" s="37"/>
      <c r="C6631" s="37"/>
      <c r="D6631" s="37"/>
      <c r="E6631" s="212"/>
    </row>
    <row r="6632" spans="1:5" ht="14.25">
      <c r="A6632" s="37"/>
      <c r="B6632" s="37"/>
      <c r="C6632" s="37"/>
      <c r="D6632" s="37"/>
      <c r="E6632" s="212"/>
    </row>
    <row r="6633" spans="1:5" ht="14.25">
      <c r="A6633" s="37"/>
      <c r="B6633" s="37"/>
      <c r="C6633" s="37"/>
      <c r="D6633" s="37"/>
      <c r="E6633" s="212"/>
    </row>
    <row r="6634" spans="1:5" ht="14.25">
      <c r="A6634" s="37"/>
      <c r="B6634" s="37"/>
      <c r="C6634" s="37"/>
      <c r="D6634" s="37"/>
      <c r="E6634" s="212"/>
    </row>
    <row r="6635" spans="1:5" ht="14.25">
      <c r="A6635" s="37"/>
      <c r="B6635" s="37"/>
      <c r="C6635" s="37"/>
      <c r="D6635" s="37"/>
      <c r="E6635" s="212"/>
    </row>
    <row r="6636" spans="1:5" ht="14.25">
      <c r="A6636" s="37"/>
      <c r="B6636" s="37"/>
      <c r="C6636" s="37"/>
      <c r="D6636" s="37"/>
      <c r="E6636" s="212"/>
    </row>
    <row r="6637" spans="1:5" ht="14.25">
      <c r="A6637" s="37"/>
      <c r="B6637" s="37"/>
      <c r="C6637" s="37"/>
      <c r="D6637" s="37"/>
      <c r="E6637" s="212"/>
    </row>
    <row r="6638" spans="1:5" ht="14.25">
      <c r="A6638" s="37"/>
      <c r="B6638" s="37"/>
      <c r="C6638" s="37"/>
      <c r="D6638" s="37"/>
      <c r="E6638" s="212"/>
    </row>
    <row r="6639" spans="1:5" ht="14.25">
      <c r="A6639" s="37"/>
      <c r="B6639" s="37"/>
      <c r="C6639" s="37"/>
      <c r="D6639" s="37"/>
      <c r="E6639" s="212"/>
    </row>
    <row r="6640" spans="1:5" ht="14.25">
      <c r="A6640" s="37"/>
      <c r="B6640" s="37"/>
      <c r="C6640" s="37"/>
      <c r="D6640" s="37"/>
      <c r="E6640" s="212"/>
    </row>
    <row r="6641" spans="1:5" ht="14.25">
      <c r="A6641" s="37"/>
      <c r="B6641" s="37"/>
      <c r="C6641" s="37"/>
      <c r="D6641" s="37"/>
      <c r="E6641" s="212"/>
    </row>
    <row r="6642" spans="1:5" ht="14.25">
      <c r="A6642" s="37"/>
      <c r="B6642" s="37"/>
      <c r="C6642" s="37"/>
      <c r="D6642" s="37"/>
      <c r="E6642" s="212"/>
    </row>
    <row r="6643" spans="1:5" ht="14.25">
      <c r="A6643" s="37"/>
      <c r="B6643" s="37"/>
      <c r="C6643" s="37"/>
      <c r="D6643" s="37"/>
      <c r="E6643" s="212"/>
    </row>
    <row r="6644" spans="1:5" ht="14.25">
      <c r="A6644" s="37"/>
      <c r="B6644" s="37"/>
      <c r="C6644" s="37"/>
      <c r="D6644" s="37"/>
      <c r="E6644" s="212"/>
    </row>
    <row r="6645" spans="1:5" ht="14.25">
      <c r="A6645" s="37"/>
      <c r="B6645" s="37"/>
      <c r="C6645" s="37"/>
      <c r="D6645" s="37"/>
      <c r="E6645" s="212"/>
    </row>
    <row r="6646" spans="1:5" ht="14.25">
      <c r="A6646" s="37"/>
      <c r="B6646" s="37"/>
      <c r="C6646" s="37"/>
      <c r="D6646" s="37"/>
      <c r="E6646" s="212"/>
    </row>
    <row r="6647" spans="1:5" ht="14.25">
      <c r="A6647" s="37"/>
      <c r="B6647" s="37"/>
      <c r="C6647" s="37"/>
      <c r="D6647" s="37"/>
      <c r="E6647" s="212"/>
    </row>
    <row r="6648" spans="1:5" ht="14.25">
      <c r="A6648" s="37"/>
      <c r="B6648" s="37"/>
      <c r="C6648" s="37"/>
      <c r="D6648" s="37"/>
      <c r="E6648" s="212"/>
    </row>
    <row r="6649" spans="1:5" ht="14.25">
      <c r="A6649" s="37"/>
      <c r="B6649" s="37"/>
      <c r="C6649" s="37"/>
      <c r="D6649" s="37"/>
      <c r="E6649" s="212"/>
    </row>
    <row r="6650" spans="1:5" ht="14.25">
      <c r="A6650" s="37"/>
      <c r="B6650" s="37"/>
      <c r="C6650" s="37"/>
      <c r="D6650" s="37"/>
      <c r="E6650" s="212"/>
    </row>
    <row r="6651" spans="1:5" ht="14.25">
      <c r="A6651" s="37"/>
      <c r="B6651" s="37"/>
      <c r="C6651" s="37"/>
      <c r="D6651" s="37"/>
      <c r="E6651" s="212"/>
    </row>
    <row r="6652" spans="1:5" ht="14.25">
      <c r="A6652" s="37"/>
      <c r="B6652" s="37"/>
      <c r="C6652" s="37"/>
      <c r="D6652" s="37"/>
      <c r="E6652" s="212"/>
    </row>
    <row r="6653" spans="1:5" ht="14.25">
      <c r="A6653" s="37"/>
      <c r="B6653" s="37"/>
      <c r="C6653" s="37"/>
      <c r="D6653" s="37"/>
      <c r="E6653" s="212"/>
    </row>
    <row r="6654" spans="1:5" ht="14.25">
      <c r="A6654" s="37"/>
      <c r="B6654" s="37"/>
      <c r="C6654" s="37"/>
      <c r="D6654" s="37"/>
      <c r="E6654" s="212"/>
    </row>
    <row r="6655" spans="1:5" ht="14.25">
      <c r="A6655" s="37"/>
      <c r="B6655" s="37"/>
      <c r="C6655" s="37"/>
      <c r="D6655" s="37"/>
      <c r="E6655" s="212"/>
    </row>
    <row r="6656" spans="1:5" ht="14.25">
      <c r="A6656" s="37"/>
      <c r="B6656" s="37"/>
      <c r="C6656" s="37"/>
      <c r="D6656" s="37"/>
      <c r="E6656" s="212"/>
    </row>
    <row r="6657" spans="1:5" ht="14.25">
      <c r="A6657" s="37"/>
      <c r="B6657" s="37"/>
      <c r="C6657" s="37"/>
      <c r="D6657" s="37"/>
      <c r="E6657" s="212"/>
    </row>
    <row r="6658" spans="1:5" ht="14.25">
      <c r="A6658" s="37"/>
      <c r="B6658" s="37"/>
      <c r="C6658" s="37"/>
      <c r="D6658" s="37"/>
      <c r="E6658" s="212"/>
    </row>
    <row r="6659" spans="1:5" ht="14.25">
      <c r="A6659" s="37"/>
      <c r="B6659" s="37"/>
      <c r="C6659" s="37"/>
      <c r="D6659" s="37"/>
      <c r="E6659" s="212"/>
    </row>
    <row r="6660" spans="1:5" ht="14.25">
      <c r="A6660" s="37"/>
      <c r="B6660" s="37"/>
      <c r="C6660" s="37"/>
      <c r="D6660" s="37"/>
      <c r="E6660" s="212"/>
    </row>
    <row r="6661" spans="1:5" ht="14.25">
      <c r="A6661" s="37"/>
      <c r="B6661" s="37"/>
      <c r="C6661" s="37"/>
      <c r="D6661" s="37"/>
      <c r="E6661" s="212"/>
    </row>
    <row r="6662" spans="1:5" ht="14.25">
      <c r="A6662" s="37"/>
      <c r="B6662" s="37"/>
      <c r="C6662" s="37"/>
      <c r="D6662" s="37"/>
      <c r="E6662" s="212"/>
    </row>
    <row r="6663" spans="1:5" ht="14.25">
      <c r="A6663" s="37"/>
      <c r="B6663" s="37"/>
      <c r="C6663" s="37"/>
      <c r="D6663" s="37"/>
      <c r="E6663" s="212"/>
    </row>
    <row r="6664" spans="1:5" ht="14.25">
      <c r="A6664" s="37"/>
      <c r="B6664" s="37"/>
      <c r="C6664" s="37"/>
      <c r="D6664" s="37"/>
      <c r="E6664" s="212"/>
    </row>
    <row r="6665" spans="1:5" ht="14.25">
      <c r="A6665" s="37"/>
      <c r="B6665" s="37"/>
      <c r="C6665" s="37"/>
      <c r="D6665" s="37"/>
      <c r="E6665" s="212"/>
    </row>
    <row r="6666" spans="1:5" ht="14.25">
      <c r="A6666" s="37"/>
      <c r="B6666" s="37"/>
      <c r="C6666" s="37"/>
      <c r="D6666" s="37"/>
      <c r="E6666" s="212"/>
    </row>
    <row r="6667" spans="1:5" ht="14.25">
      <c r="A6667" s="37"/>
      <c r="B6667" s="37"/>
      <c r="C6667" s="37"/>
      <c r="D6667" s="37"/>
      <c r="E6667" s="212"/>
    </row>
    <row r="6668" spans="1:5" ht="14.25">
      <c r="A6668" s="37"/>
      <c r="B6668" s="37"/>
      <c r="C6668" s="37"/>
      <c r="D6668" s="37"/>
      <c r="E6668" s="212"/>
    </row>
    <row r="6669" spans="1:5" ht="14.25">
      <c r="A6669" s="37"/>
      <c r="B6669" s="37"/>
      <c r="C6669" s="37"/>
      <c r="D6669" s="37"/>
      <c r="E6669" s="212"/>
    </row>
    <row r="6670" spans="1:5" ht="14.25">
      <c r="A6670" s="37"/>
      <c r="B6670" s="37"/>
      <c r="C6670" s="37"/>
      <c r="D6670" s="37"/>
      <c r="E6670" s="212"/>
    </row>
    <row r="6671" spans="1:5" ht="14.25">
      <c r="A6671" s="37"/>
      <c r="B6671" s="37"/>
      <c r="C6671" s="37"/>
      <c r="D6671" s="37"/>
      <c r="E6671" s="212"/>
    </row>
    <row r="6672" spans="1:5" ht="14.25">
      <c r="A6672" s="37"/>
      <c r="B6672" s="37"/>
      <c r="C6672" s="37"/>
      <c r="D6672" s="37"/>
      <c r="E6672" s="212"/>
    </row>
    <row r="6673" spans="1:5" ht="14.25">
      <c r="A6673" s="37"/>
      <c r="B6673" s="37"/>
      <c r="C6673" s="37"/>
      <c r="D6673" s="37"/>
      <c r="E6673" s="212"/>
    </row>
    <row r="6674" spans="1:5" ht="14.25">
      <c r="A6674" s="37"/>
      <c r="B6674" s="37"/>
      <c r="C6674" s="37"/>
      <c r="D6674" s="37"/>
      <c r="E6674" s="212"/>
    </row>
    <row r="6675" spans="1:5" ht="14.25">
      <c r="A6675" s="37"/>
      <c r="B6675" s="37"/>
      <c r="C6675" s="37"/>
      <c r="D6675" s="37"/>
      <c r="E6675" s="212"/>
    </row>
    <row r="6676" spans="1:5" ht="14.25">
      <c r="A6676" s="37"/>
      <c r="B6676" s="37"/>
      <c r="C6676" s="37"/>
      <c r="D6676" s="37"/>
      <c r="E6676" s="212"/>
    </row>
    <row r="6677" spans="1:5" ht="14.25">
      <c r="A6677" s="37"/>
      <c r="B6677" s="37"/>
      <c r="C6677" s="37"/>
      <c r="D6677" s="37"/>
      <c r="E6677" s="212"/>
    </row>
    <row r="6678" spans="1:5" ht="14.25">
      <c r="A6678" s="37"/>
      <c r="B6678" s="37"/>
      <c r="C6678" s="37"/>
      <c r="D6678" s="37"/>
      <c r="E6678" s="212"/>
    </row>
    <row r="6679" spans="1:5" ht="14.25">
      <c r="A6679" s="37"/>
      <c r="B6679" s="37"/>
      <c r="C6679" s="37"/>
      <c r="D6679" s="37"/>
      <c r="E6679" s="212"/>
    </row>
    <row r="6680" spans="1:5" ht="14.25">
      <c r="A6680" s="37"/>
      <c r="B6680" s="37"/>
      <c r="C6680" s="37"/>
      <c r="D6680" s="37"/>
      <c r="E6680" s="212"/>
    </row>
    <row r="6681" spans="1:5" ht="14.25">
      <c r="A6681" s="37"/>
      <c r="B6681" s="37"/>
      <c r="C6681" s="37"/>
      <c r="D6681" s="37"/>
      <c r="E6681" s="212"/>
    </row>
    <row r="6682" spans="1:5" ht="14.25">
      <c r="A6682" s="37"/>
      <c r="B6682" s="37"/>
      <c r="C6682" s="37"/>
      <c r="D6682" s="37"/>
      <c r="E6682" s="212"/>
    </row>
    <row r="6683" spans="1:5" ht="14.25">
      <c r="A6683" s="37"/>
      <c r="B6683" s="37"/>
      <c r="C6683" s="37"/>
      <c r="D6683" s="37"/>
      <c r="E6683" s="212"/>
    </row>
    <row r="6684" spans="1:5" ht="14.25">
      <c r="A6684" s="37"/>
      <c r="B6684" s="37"/>
      <c r="C6684" s="37"/>
      <c r="D6684" s="37"/>
      <c r="E6684" s="212"/>
    </row>
    <row r="6685" spans="1:5" ht="14.25">
      <c r="A6685" s="37"/>
      <c r="B6685" s="37"/>
      <c r="C6685" s="37"/>
      <c r="D6685" s="37"/>
      <c r="E6685" s="212"/>
    </row>
    <row r="6686" spans="1:5" ht="14.25">
      <c r="A6686" s="37"/>
      <c r="B6686" s="37"/>
      <c r="C6686" s="37"/>
      <c r="D6686" s="37"/>
      <c r="E6686" s="212"/>
    </row>
    <row r="6687" spans="1:5" ht="14.25">
      <c r="A6687" s="37"/>
      <c r="B6687" s="37"/>
      <c r="C6687" s="37"/>
      <c r="D6687" s="37"/>
      <c r="E6687" s="212"/>
    </row>
    <row r="6688" spans="1:5" ht="14.25">
      <c r="A6688" s="37"/>
      <c r="B6688" s="37"/>
      <c r="C6688" s="37"/>
      <c r="D6688" s="37"/>
      <c r="E6688" s="212"/>
    </row>
    <row r="6689" spans="1:5" ht="14.25">
      <c r="A6689" s="37"/>
      <c r="B6689" s="37"/>
      <c r="C6689" s="37"/>
      <c r="D6689" s="37"/>
      <c r="E6689" s="212"/>
    </row>
    <row r="6690" spans="1:5" ht="14.25">
      <c r="A6690" s="37"/>
      <c r="B6690" s="37"/>
      <c r="C6690" s="37"/>
      <c r="D6690" s="37"/>
      <c r="E6690" s="212"/>
    </row>
    <row r="6691" spans="1:5" ht="14.25">
      <c r="A6691" s="37"/>
      <c r="B6691" s="37"/>
      <c r="C6691" s="37"/>
      <c r="D6691" s="37"/>
      <c r="E6691" s="212"/>
    </row>
    <row r="6692" spans="1:5" ht="14.25">
      <c r="A6692" s="37"/>
      <c r="B6692" s="37"/>
      <c r="C6692" s="37"/>
      <c r="D6692" s="37"/>
      <c r="E6692" s="212"/>
    </row>
    <row r="6693" spans="1:5" ht="14.25">
      <c r="A6693" s="37"/>
      <c r="B6693" s="37"/>
      <c r="C6693" s="37"/>
      <c r="D6693" s="37"/>
      <c r="E6693" s="212"/>
    </row>
    <row r="6694" spans="1:5" ht="14.25">
      <c r="A6694" s="37"/>
      <c r="B6694" s="37"/>
      <c r="C6694" s="37"/>
      <c r="D6694" s="37"/>
      <c r="E6694" s="212"/>
    </row>
    <row r="6695" spans="1:5" ht="14.25">
      <c r="A6695" s="37"/>
      <c r="B6695" s="37"/>
      <c r="C6695" s="37"/>
      <c r="D6695" s="37"/>
      <c r="E6695" s="212"/>
    </row>
    <row r="6696" spans="1:5" ht="14.25">
      <c r="A6696" s="37"/>
      <c r="B6696" s="37"/>
      <c r="C6696" s="37"/>
      <c r="D6696" s="37"/>
      <c r="E6696" s="212"/>
    </row>
    <row r="6697" spans="1:5" ht="14.25">
      <c r="A6697" s="37"/>
      <c r="B6697" s="37"/>
      <c r="C6697" s="37"/>
      <c r="D6697" s="37"/>
      <c r="E6697" s="212"/>
    </row>
    <row r="6698" spans="1:5" ht="14.25">
      <c r="A6698" s="37"/>
      <c r="B6698" s="37"/>
      <c r="C6698" s="37"/>
      <c r="D6698" s="37"/>
      <c r="E6698" s="212"/>
    </row>
    <row r="6699" spans="1:5" ht="14.25">
      <c r="A6699" s="37"/>
      <c r="B6699" s="37"/>
      <c r="C6699" s="37"/>
      <c r="D6699" s="37"/>
      <c r="E6699" s="212"/>
    </row>
    <row r="6700" spans="1:5" ht="14.25">
      <c r="A6700" s="37"/>
      <c r="B6700" s="37"/>
      <c r="C6700" s="37"/>
      <c r="D6700" s="37"/>
      <c r="E6700" s="212"/>
    </row>
    <row r="6701" spans="1:5" ht="14.25">
      <c r="A6701" s="37"/>
      <c r="B6701" s="37"/>
      <c r="C6701" s="37"/>
      <c r="D6701" s="37"/>
      <c r="E6701" s="212"/>
    </row>
    <row r="6702" spans="1:5" ht="14.25">
      <c r="A6702" s="37"/>
      <c r="B6702" s="37"/>
      <c r="C6702" s="37"/>
      <c r="D6702" s="37"/>
      <c r="E6702" s="212"/>
    </row>
    <row r="6703" spans="1:5" ht="14.25">
      <c r="A6703" s="37"/>
      <c r="B6703" s="37"/>
      <c r="C6703" s="37"/>
      <c r="D6703" s="37"/>
      <c r="E6703" s="212"/>
    </row>
    <row r="6704" spans="1:5" ht="14.25">
      <c r="A6704" s="37"/>
      <c r="B6704" s="37"/>
      <c r="C6704" s="37"/>
      <c r="D6704" s="37"/>
      <c r="E6704" s="212"/>
    </row>
    <row r="6705" spans="1:5" ht="14.25">
      <c r="A6705" s="37"/>
      <c r="B6705" s="37"/>
      <c r="C6705" s="37"/>
      <c r="D6705" s="37"/>
      <c r="E6705" s="212"/>
    </row>
    <row r="6706" spans="1:5" ht="14.25">
      <c r="A6706" s="37"/>
      <c r="B6706" s="37"/>
      <c r="C6706" s="37"/>
      <c r="D6706" s="37"/>
      <c r="E6706" s="212"/>
    </row>
    <row r="6707" spans="1:5" ht="14.25">
      <c r="A6707" s="37"/>
      <c r="B6707" s="37"/>
      <c r="C6707" s="37"/>
      <c r="D6707" s="37"/>
      <c r="E6707" s="212"/>
    </row>
    <row r="6708" spans="1:5" ht="14.25">
      <c r="A6708" s="37"/>
      <c r="B6708" s="37"/>
      <c r="C6708" s="37"/>
      <c r="D6708" s="37"/>
      <c r="E6708" s="212"/>
    </row>
    <row r="6709" spans="1:5" ht="14.25">
      <c r="A6709" s="37"/>
      <c r="B6709" s="37"/>
      <c r="C6709" s="37"/>
      <c r="D6709" s="37"/>
      <c r="E6709" s="212"/>
    </row>
    <row r="6710" spans="1:5" ht="14.25">
      <c r="A6710" s="37"/>
      <c r="B6710" s="37"/>
      <c r="C6710" s="37"/>
      <c r="D6710" s="37"/>
      <c r="E6710" s="212"/>
    </row>
    <row r="6711" spans="1:5" ht="14.25">
      <c r="A6711" s="37"/>
      <c r="B6711" s="37"/>
      <c r="C6711" s="37"/>
      <c r="D6711" s="37"/>
      <c r="E6711" s="212"/>
    </row>
    <row r="6712" spans="1:5" ht="14.25">
      <c r="A6712" s="37"/>
      <c r="B6712" s="37"/>
      <c r="C6712" s="37"/>
      <c r="D6712" s="37"/>
      <c r="E6712" s="212"/>
    </row>
    <row r="6713" spans="1:5" ht="14.25">
      <c r="A6713" s="37"/>
      <c r="B6713" s="37"/>
      <c r="C6713" s="37"/>
      <c r="D6713" s="37"/>
      <c r="E6713" s="212"/>
    </row>
    <row r="6714" spans="1:5" ht="14.25">
      <c r="A6714" s="37"/>
      <c r="B6714" s="37"/>
      <c r="C6714" s="37"/>
      <c r="D6714" s="37"/>
      <c r="E6714" s="212"/>
    </row>
    <row r="6715" spans="1:5" ht="14.25">
      <c r="A6715" s="37"/>
      <c r="B6715" s="37"/>
      <c r="C6715" s="37"/>
      <c r="D6715" s="37"/>
      <c r="E6715" s="212"/>
    </row>
    <row r="6716" spans="1:5" ht="14.25">
      <c r="A6716" s="37"/>
      <c r="B6716" s="37"/>
      <c r="C6716" s="37"/>
      <c r="D6716" s="37"/>
      <c r="E6716" s="212"/>
    </row>
    <row r="6717" spans="1:5" ht="14.25">
      <c r="A6717" s="37"/>
      <c r="B6717" s="37"/>
      <c r="C6717" s="37"/>
      <c r="D6717" s="37"/>
      <c r="E6717" s="212"/>
    </row>
    <row r="6718" spans="1:5" ht="14.25">
      <c r="A6718" s="37"/>
      <c r="B6718" s="37"/>
      <c r="C6718" s="37"/>
      <c r="D6718" s="37"/>
      <c r="E6718" s="212"/>
    </row>
    <row r="6719" spans="1:5" ht="14.25">
      <c r="A6719" s="37"/>
      <c r="B6719" s="37"/>
      <c r="C6719" s="37"/>
      <c r="D6719" s="37"/>
      <c r="E6719" s="212"/>
    </row>
    <row r="6720" spans="1:5" ht="14.25">
      <c r="A6720" s="37"/>
      <c r="B6720" s="37"/>
      <c r="C6720" s="37"/>
      <c r="D6720" s="37"/>
      <c r="E6720" s="212"/>
    </row>
    <row r="6721" spans="1:5" ht="14.25">
      <c r="A6721" s="37"/>
      <c r="B6721" s="37"/>
      <c r="C6721" s="37"/>
      <c r="D6721" s="37"/>
      <c r="E6721" s="212"/>
    </row>
    <row r="6722" spans="1:5" ht="14.25">
      <c r="A6722" s="37"/>
      <c r="B6722" s="37"/>
      <c r="C6722" s="37"/>
      <c r="D6722" s="37"/>
      <c r="E6722" s="212"/>
    </row>
    <row r="6723" spans="1:5" ht="14.25">
      <c r="A6723" s="37"/>
      <c r="B6723" s="37"/>
      <c r="C6723" s="37"/>
      <c r="D6723" s="37"/>
      <c r="E6723" s="212"/>
    </row>
    <row r="6724" spans="1:5" ht="14.25">
      <c r="A6724" s="37"/>
      <c r="B6724" s="37"/>
      <c r="C6724" s="37"/>
      <c r="D6724" s="37"/>
      <c r="E6724" s="212"/>
    </row>
    <row r="6725" spans="1:5" ht="14.25">
      <c r="A6725" s="37"/>
      <c r="B6725" s="37"/>
      <c r="C6725" s="37"/>
      <c r="D6725" s="37"/>
      <c r="E6725" s="212"/>
    </row>
    <row r="6726" spans="1:5" ht="14.25">
      <c r="A6726" s="37"/>
      <c r="B6726" s="37"/>
      <c r="C6726" s="37"/>
      <c r="D6726" s="37"/>
      <c r="E6726" s="212"/>
    </row>
    <row r="6727" spans="1:5" ht="14.25">
      <c r="A6727" s="37"/>
      <c r="B6727" s="37"/>
      <c r="C6727" s="37"/>
      <c r="D6727" s="37"/>
      <c r="E6727" s="212"/>
    </row>
    <row r="6728" spans="1:5" ht="14.25">
      <c r="A6728" s="37"/>
      <c r="B6728" s="37"/>
      <c r="C6728" s="37"/>
      <c r="D6728" s="37"/>
      <c r="E6728" s="212"/>
    </row>
    <row r="6729" spans="1:5" ht="14.25">
      <c r="A6729" s="37"/>
      <c r="B6729" s="37"/>
      <c r="C6729" s="37"/>
      <c r="D6729" s="37"/>
      <c r="E6729" s="212"/>
    </row>
    <row r="6730" spans="1:5" ht="14.25">
      <c r="A6730" s="37"/>
      <c r="B6730" s="37"/>
      <c r="C6730" s="37"/>
      <c r="D6730" s="37"/>
      <c r="E6730" s="212"/>
    </row>
    <row r="6731" spans="1:5" ht="14.25">
      <c r="A6731" s="37"/>
      <c r="B6731" s="37"/>
      <c r="C6731" s="37"/>
      <c r="D6731" s="37"/>
      <c r="E6731" s="212"/>
    </row>
    <row r="6732" spans="1:5" ht="14.25">
      <c r="A6732" s="37"/>
      <c r="B6732" s="37"/>
      <c r="C6732" s="37"/>
      <c r="D6732" s="37"/>
      <c r="E6732" s="212"/>
    </row>
    <row r="6733" spans="1:5" ht="14.25">
      <c r="A6733" s="37"/>
      <c r="B6733" s="37"/>
      <c r="C6733" s="37"/>
      <c r="D6733" s="37"/>
      <c r="E6733" s="213"/>
    </row>
    <row r="6734" spans="1:5" ht="14.25">
      <c r="A6734" s="37"/>
      <c r="B6734" s="37"/>
      <c r="C6734" s="37"/>
      <c r="D6734" s="37"/>
      <c r="E6734" s="213"/>
    </row>
    <row r="6735" spans="1:5" ht="14.25">
      <c r="A6735" s="37"/>
      <c r="B6735" s="37"/>
      <c r="C6735" s="37"/>
      <c r="D6735" s="37"/>
      <c r="E6735" s="212"/>
    </row>
    <row r="6736" spans="1:5" ht="14.25">
      <c r="A6736" s="37"/>
      <c r="B6736" s="37"/>
      <c r="C6736" s="37"/>
      <c r="D6736" s="37"/>
      <c r="E6736" s="212"/>
    </row>
    <row r="6737" spans="1:5" ht="14.25">
      <c r="A6737" s="37"/>
      <c r="B6737" s="37"/>
      <c r="C6737" s="37"/>
      <c r="D6737" s="37"/>
      <c r="E6737" s="213"/>
    </row>
    <row r="6738" spans="1:5" ht="14.25">
      <c r="A6738" s="37"/>
      <c r="B6738" s="37"/>
      <c r="C6738" s="37"/>
      <c r="D6738" s="37"/>
      <c r="E6738" s="213"/>
    </row>
    <row r="6739" spans="1:5" ht="14.25">
      <c r="A6739" s="37"/>
      <c r="B6739" s="37"/>
      <c r="C6739" s="37"/>
      <c r="D6739" s="37"/>
      <c r="E6739" s="212"/>
    </row>
    <row r="6740" spans="1:5" ht="14.25">
      <c r="A6740" s="37"/>
      <c r="B6740" s="37"/>
      <c r="C6740" s="37"/>
      <c r="D6740" s="37"/>
      <c r="E6740" s="212"/>
    </row>
    <row r="6741" spans="1:5" ht="14.25">
      <c r="A6741" s="37"/>
      <c r="B6741" s="37"/>
      <c r="C6741" s="37"/>
      <c r="D6741" s="37"/>
      <c r="E6741" s="212"/>
    </row>
    <row r="6742" spans="1:5" ht="14.25">
      <c r="A6742" s="37"/>
      <c r="B6742" s="37"/>
      <c r="C6742" s="37"/>
      <c r="D6742" s="37"/>
      <c r="E6742" s="212"/>
    </row>
    <row r="6743" spans="1:5" ht="14.25">
      <c r="A6743" s="37"/>
      <c r="B6743" s="37"/>
      <c r="C6743" s="37"/>
      <c r="D6743" s="37"/>
      <c r="E6743" s="212"/>
    </row>
    <row r="6744" spans="1:5" ht="14.25">
      <c r="A6744" s="37"/>
      <c r="B6744" s="37"/>
      <c r="C6744" s="37"/>
      <c r="D6744" s="37"/>
      <c r="E6744" s="212"/>
    </row>
    <row r="6745" spans="1:5" ht="14.25">
      <c r="A6745" s="37"/>
      <c r="B6745" s="37"/>
      <c r="C6745" s="37"/>
      <c r="D6745" s="37"/>
      <c r="E6745" s="212"/>
    </row>
    <row r="6746" spans="1:5" ht="14.25">
      <c r="A6746" s="37"/>
      <c r="B6746" s="37"/>
      <c r="C6746" s="37"/>
      <c r="D6746" s="37"/>
      <c r="E6746" s="212"/>
    </row>
    <row r="6747" spans="1:5" ht="14.25">
      <c r="A6747" s="37"/>
      <c r="B6747" s="37"/>
      <c r="C6747" s="37"/>
      <c r="D6747" s="37"/>
      <c r="E6747" s="212"/>
    </row>
    <row r="6748" spans="1:5" ht="14.25">
      <c r="A6748" s="37"/>
      <c r="B6748" s="37"/>
      <c r="C6748" s="37"/>
      <c r="D6748" s="37"/>
      <c r="E6748" s="212"/>
    </row>
    <row r="6749" spans="1:5" ht="14.25">
      <c r="A6749" s="37"/>
      <c r="B6749" s="37"/>
      <c r="C6749" s="37"/>
      <c r="D6749" s="37"/>
      <c r="E6749" s="212"/>
    </row>
    <row r="6750" spans="1:5" ht="14.25">
      <c r="A6750" s="37"/>
      <c r="B6750" s="37"/>
      <c r="C6750" s="37"/>
      <c r="D6750" s="37"/>
      <c r="E6750" s="212"/>
    </row>
    <row r="6751" spans="1:5" ht="14.25">
      <c r="A6751" s="37"/>
      <c r="B6751" s="37"/>
      <c r="C6751" s="37"/>
      <c r="D6751" s="37"/>
      <c r="E6751" s="212"/>
    </row>
    <row r="6752" spans="1:5" ht="14.25">
      <c r="A6752" s="37"/>
      <c r="B6752" s="37"/>
      <c r="C6752" s="37"/>
      <c r="D6752" s="37"/>
      <c r="E6752" s="212"/>
    </row>
    <row r="6753" spans="1:5" ht="14.25">
      <c r="A6753" s="37"/>
      <c r="B6753" s="37"/>
      <c r="C6753" s="37"/>
      <c r="D6753" s="37"/>
      <c r="E6753" s="212"/>
    </row>
    <row r="6754" spans="1:5" ht="14.25">
      <c r="A6754" s="37"/>
      <c r="B6754" s="37"/>
      <c r="C6754" s="37"/>
      <c r="D6754" s="37"/>
      <c r="E6754" s="212"/>
    </row>
    <row r="6755" spans="1:5" ht="14.25">
      <c r="A6755" s="37"/>
      <c r="B6755" s="37"/>
      <c r="C6755" s="37"/>
      <c r="D6755" s="37"/>
      <c r="E6755" s="212"/>
    </row>
    <row r="6756" spans="1:5" ht="14.25">
      <c r="A6756" s="37"/>
      <c r="B6756" s="37"/>
      <c r="C6756" s="37"/>
      <c r="D6756" s="37"/>
      <c r="E6756" s="212"/>
    </row>
    <row r="6757" spans="1:5" ht="14.25">
      <c r="A6757" s="37"/>
      <c r="B6757" s="37"/>
      <c r="C6757" s="37"/>
      <c r="D6757" s="37"/>
      <c r="E6757" s="212"/>
    </row>
    <row r="6758" spans="1:5" ht="14.25">
      <c r="A6758" s="37"/>
      <c r="B6758" s="37"/>
      <c r="C6758" s="37"/>
      <c r="D6758" s="37"/>
      <c r="E6758" s="212"/>
    </row>
    <row r="6759" spans="1:5" ht="14.25">
      <c r="A6759" s="37"/>
      <c r="B6759" s="37"/>
      <c r="C6759" s="37"/>
      <c r="D6759" s="37"/>
      <c r="E6759" s="212"/>
    </row>
    <row r="6760" spans="1:5" ht="14.25">
      <c r="A6760" s="37"/>
      <c r="B6760" s="37"/>
      <c r="C6760" s="37"/>
      <c r="D6760" s="37"/>
      <c r="E6760" s="212"/>
    </row>
    <row r="6761" spans="1:5" ht="14.25">
      <c r="A6761" s="37"/>
      <c r="B6761" s="37"/>
      <c r="C6761" s="37"/>
      <c r="D6761" s="37"/>
      <c r="E6761" s="212"/>
    </row>
    <row r="6762" spans="1:5" ht="14.25">
      <c r="A6762" s="37"/>
      <c r="B6762" s="37"/>
      <c r="C6762" s="37"/>
      <c r="D6762" s="37"/>
      <c r="E6762" s="212"/>
    </row>
    <row r="6763" spans="1:5" ht="14.25">
      <c r="A6763" s="37"/>
      <c r="B6763" s="37"/>
      <c r="C6763" s="37"/>
      <c r="D6763" s="37"/>
      <c r="E6763" s="212"/>
    </row>
    <row r="6764" spans="1:5" ht="14.25">
      <c r="A6764" s="37"/>
      <c r="B6764" s="37"/>
      <c r="C6764" s="37"/>
      <c r="D6764" s="37"/>
      <c r="E6764" s="212"/>
    </row>
    <row r="6765" spans="1:5" ht="14.25">
      <c r="A6765" s="37"/>
      <c r="B6765" s="37"/>
      <c r="C6765" s="37"/>
      <c r="D6765" s="37"/>
      <c r="E6765" s="212"/>
    </row>
    <row r="6766" spans="1:5" ht="14.25">
      <c r="A6766" s="37"/>
      <c r="B6766" s="37"/>
      <c r="C6766" s="37"/>
      <c r="D6766" s="37"/>
      <c r="E6766" s="212"/>
    </row>
    <row r="6767" spans="1:5" ht="14.25">
      <c r="A6767" s="37"/>
      <c r="B6767" s="37"/>
      <c r="C6767" s="37"/>
      <c r="D6767" s="37"/>
      <c r="E6767" s="212"/>
    </row>
    <row r="6768" spans="1:5" ht="14.25">
      <c r="A6768" s="37"/>
      <c r="B6768" s="37"/>
      <c r="C6768" s="37"/>
      <c r="D6768" s="37"/>
      <c r="E6768" s="212"/>
    </row>
    <row r="6769" spans="1:5" ht="14.25">
      <c r="A6769" s="37"/>
      <c r="B6769" s="37"/>
      <c r="C6769" s="37"/>
      <c r="D6769" s="37"/>
      <c r="E6769" s="212"/>
    </row>
    <row r="6770" spans="1:5" ht="14.25">
      <c r="A6770" s="37"/>
      <c r="B6770" s="37"/>
      <c r="C6770" s="37"/>
      <c r="D6770" s="37"/>
      <c r="E6770" s="212"/>
    </row>
    <row r="6771" spans="1:5" ht="14.25">
      <c r="A6771" s="37"/>
      <c r="B6771" s="37"/>
      <c r="C6771" s="37"/>
      <c r="D6771" s="37"/>
      <c r="E6771" s="212"/>
    </row>
    <row r="6772" spans="1:5" ht="14.25">
      <c r="A6772" s="37"/>
      <c r="B6772" s="37"/>
      <c r="C6772" s="37"/>
      <c r="D6772" s="37"/>
      <c r="E6772" s="212"/>
    </row>
    <row r="6773" spans="1:5" ht="14.25">
      <c r="A6773" s="37"/>
      <c r="B6773" s="37"/>
      <c r="C6773" s="37"/>
      <c r="D6773" s="37"/>
      <c r="E6773" s="212"/>
    </row>
    <row r="6774" spans="1:5" ht="14.25">
      <c r="A6774" s="37"/>
      <c r="B6774" s="37"/>
      <c r="C6774" s="37"/>
      <c r="D6774" s="37"/>
      <c r="E6774" s="212"/>
    </row>
    <row r="6775" spans="1:5" ht="14.25">
      <c r="A6775" s="37"/>
      <c r="B6775" s="37"/>
      <c r="C6775" s="37"/>
      <c r="D6775" s="37"/>
      <c r="E6775" s="212"/>
    </row>
    <row r="6776" spans="1:5" ht="14.25">
      <c r="A6776" s="37"/>
      <c r="B6776" s="37"/>
      <c r="C6776" s="37"/>
      <c r="D6776" s="37"/>
      <c r="E6776" s="212"/>
    </row>
    <row r="6777" spans="1:5" ht="14.25">
      <c r="A6777" s="37"/>
      <c r="B6777" s="37"/>
      <c r="C6777" s="37"/>
      <c r="D6777" s="37"/>
      <c r="E6777" s="212"/>
    </row>
    <row r="6778" spans="1:5" ht="14.25">
      <c r="A6778" s="37"/>
      <c r="B6778" s="37"/>
      <c r="C6778" s="37"/>
      <c r="D6778" s="37"/>
      <c r="E6778" s="212"/>
    </row>
    <row r="6779" spans="1:5" ht="14.25">
      <c r="A6779" s="37"/>
      <c r="B6779" s="37"/>
      <c r="C6779" s="37"/>
      <c r="D6779" s="37"/>
      <c r="E6779" s="212"/>
    </row>
    <row r="6780" spans="1:5" ht="14.25">
      <c r="A6780" s="37"/>
      <c r="B6780" s="37"/>
      <c r="C6780" s="37"/>
      <c r="D6780" s="37"/>
      <c r="E6780" s="212"/>
    </row>
    <row r="6781" spans="1:5" ht="14.25">
      <c r="A6781" s="37"/>
      <c r="B6781" s="37"/>
      <c r="C6781" s="37"/>
      <c r="D6781" s="37"/>
      <c r="E6781" s="212"/>
    </row>
    <row r="6782" spans="1:5" ht="14.25">
      <c r="A6782" s="37"/>
      <c r="B6782" s="37"/>
      <c r="C6782" s="37"/>
      <c r="D6782" s="37"/>
      <c r="E6782" s="212"/>
    </row>
    <row r="6783" spans="1:5" ht="14.25">
      <c r="A6783" s="37"/>
      <c r="B6783" s="37"/>
      <c r="C6783" s="37"/>
      <c r="D6783" s="37"/>
      <c r="E6783" s="212"/>
    </row>
    <row r="6784" spans="1:5" ht="14.25">
      <c r="A6784" s="37"/>
      <c r="B6784" s="37"/>
      <c r="C6784" s="37"/>
      <c r="D6784" s="37"/>
      <c r="E6784" s="212"/>
    </row>
    <row r="6785" spans="1:5" ht="14.25">
      <c r="A6785" s="37"/>
      <c r="B6785" s="37"/>
      <c r="C6785" s="37"/>
      <c r="D6785" s="37"/>
      <c r="E6785" s="212"/>
    </row>
    <row r="6786" spans="1:5" ht="14.25">
      <c r="A6786" s="37"/>
      <c r="B6786" s="37"/>
      <c r="C6786" s="37"/>
      <c r="D6786" s="37"/>
      <c r="E6786" s="212"/>
    </row>
    <row r="6787" spans="1:5" ht="14.25">
      <c r="A6787" s="37"/>
      <c r="B6787" s="37"/>
      <c r="C6787" s="37"/>
      <c r="D6787" s="37"/>
      <c r="E6787" s="212"/>
    </row>
    <row r="6788" spans="1:5" ht="14.25">
      <c r="A6788" s="37"/>
      <c r="B6788" s="37"/>
      <c r="C6788" s="37"/>
      <c r="D6788" s="37"/>
      <c r="E6788" s="212"/>
    </row>
    <row r="6789" spans="1:5" ht="14.25">
      <c r="A6789" s="37"/>
      <c r="B6789" s="37"/>
      <c r="C6789" s="37"/>
      <c r="D6789" s="37"/>
      <c r="E6789" s="212"/>
    </row>
    <row r="6790" spans="1:5" ht="14.25">
      <c r="A6790" s="37"/>
      <c r="B6790" s="37"/>
      <c r="C6790" s="37"/>
      <c r="D6790" s="37"/>
      <c r="E6790" s="212"/>
    </row>
    <row r="6791" spans="1:5" ht="14.25">
      <c r="A6791" s="37"/>
      <c r="B6791" s="37"/>
      <c r="C6791" s="37"/>
      <c r="D6791" s="37"/>
      <c r="E6791" s="212"/>
    </row>
    <row r="6792" spans="1:5" ht="14.25">
      <c r="A6792" s="37"/>
      <c r="B6792" s="37"/>
      <c r="C6792" s="37"/>
      <c r="D6792" s="37"/>
      <c r="E6792" s="212"/>
    </row>
    <row r="6793" spans="1:5" ht="14.25">
      <c r="A6793" s="37"/>
      <c r="B6793" s="37"/>
      <c r="C6793" s="37"/>
      <c r="D6793" s="37"/>
      <c r="E6793" s="212"/>
    </row>
    <row r="6794" spans="1:5" ht="14.25">
      <c r="A6794" s="37"/>
      <c r="B6794" s="37"/>
      <c r="C6794" s="37"/>
      <c r="D6794" s="37"/>
      <c r="E6794" s="212"/>
    </row>
    <row r="6795" spans="1:5" ht="14.25">
      <c r="A6795" s="37"/>
      <c r="B6795" s="37"/>
      <c r="C6795" s="37"/>
      <c r="D6795" s="37"/>
      <c r="E6795" s="212"/>
    </row>
    <row r="6796" spans="1:5" ht="14.25">
      <c r="A6796" s="37"/>
      <c r="B6796" s="37"/>
      <c r="C6796" s="37"/>
      <c r="D6796" s="37"/>
      <c r="E6796" s="212"/>
    </row>
    <row r="6797" spans="1:5" ht="14.25">
      <c r="A6797" s="37"/>
      <c r="B6797" s="37"/>
      <c r="C6797" s="37"/>
      <c r="D6797" s="37"/>
      <c r="E6797" s="212"/>
    </row>
    <row r="6798" spans="1:5" ht="14.25">
      <c r="A6798" s="37"/>
      <c r="B6798" s="37"/>
      <c r="C6798" s="37"/>
      <c r="D6798" s="37"/>
      <c r="E6798" s="212"/>
    </row>
    <row r="6799" spans="1:5" ht="14.25">
      <c r="A6799" s="37"/>
      <c r="B6799" s="37"/>
      <c r="C6799" s="37"/>
      <c r="D6799" s="37"/>
      <c r="E6799" s="212"/>
    </row>
    <row r="6800" spans="1:5" ht="14.25">
      <c r="A6800" s="37"/>
      <c r="B6800" s="37"/>
      <c r="C6800" s="37"/>
      <c r="D6800" s="37"/>
      <c r="E6800" s="212"/>
    </row>
    <row r="6801" spans="1:5" ht="14.25">
      <c r="A6801" s="37"/>
      <c r="B6801" s="37"/>
      <c r="C6801" s="37"/>
      <c r="D6801" s="37"/>
      <c r="E6801" s="212"/>
    </row>
    <row r="6802" spans="1:5" ht="14.25">
      <c r="A6802" s="37"/>
      <c r="B6802" s="37"/>
      <c r="C6802" s="37"/>
      <c r="D6802" s="37"/>
      <c r="E6802" s="212"/>
    </row>
    <row r="6803" spans="1:5" ht="14.25">
      <c r="A6803" s="37"/>
      <c r="B6803" s="37"/>
      <c r="C6803" s="37"/>
      <c r="D6803" s="37"/>
      <c r="E6803" s="212"/>
    </row>
    <row r="6804" spans="1:5" ht="14.25">
      <c r="A6804" s="37"/>
      <c r="B6804" s="37"/>
      <c r="C6804" s="37"/>
      <c r="D6804" s="37"/>
      <c r="E6804" s="212"/>
    </row>
    <row r="6805" spans="1:5" ht="14.25">
      <c r="A6805" s="37"/>
      <c r="B6805" s="37"/>
      <c r="C6805" s="37"/>
      <c r="D6805" s="37"/>
      <c r="E6805" s="212"/>
    </row>
    <row r="6806" spans="1:5" ht="14.25">
      <c r="A6806" s="37"/>
      <c r="B6806" s="37"/>
      <c r="C6806" s="37"/>
      <c r="D6806" s="37"/>
      <c r="E6806" s="212"/>
    </row>
    <row r="6807" spans="1:5" ht="14.25">
      <c r="A6807" s="37"/>
      <c r="B6807" s="37"/>
      <c r="C6807" s="37"/>
      <c r="D6807" s="37"/>
      <c r="E6807" s="212"/>
    </row>
    <row r="6808" spans="1:5" ht="14.25">
      <c r="A6808" s="37"/>
      <c r="B6808" s="37"/>
      <c r="C6808" s="37"/>
      <c r="D6808" s="37"/>
      <c r="E6808" s="212"/>
    </row>
    <row r="6809" spans="1:5" ht="14.25">
      <c r="A6809" s="37"/>
      <c r="B6809" s="37"/>
      <c r="C6809" s="37"/>
      <c r="D6809" s="37"/>
      <c r="E6809" s="212"/>
    </row>
    <row r="6810" spans="1:5" ht="14.25">
      <c r="A6810" s="37"/>
      <c r="B6810" s="37"/>
      <c r="C6810" s="37"/>
      <c r="D6810" s="37"/>
      <c r="E6810" s="212"/>
    </row>
    <row r="6811" spans="1:5" ht="14.25">
      <c r="A6811" s="37"/>
      <c r="B6811" s="37"/>
      <c r="C6811" s="37"/>
      <c r="D6811" s="37"/>
      <c r="E6811" s="212"/>
    </row>
    <row r="6812" spans="1:5" ht="14.25">
      <c r="A6812" s="37"/>
      <c r="B6812" s="37"/>
      <c r="C6812" s="37"/>
      <c r="D6812" s="37"/>
      <c r="E6812" s="212"/>
    </row>
    <row r="6813" spans="1:5" ht="14.25">
      <c r="A6813" s="37"/>
      <c r="B6813" s="37"/>
      <c r="C6813" s="37"/>
      <c r="D6813" s="37"/>
      <c r="E6813" s="212"/>
    </row>
    <row r="6814" spans="1:5" ht="14.25">
      <c r="A6814" s="37"/>
      <c r="B6814" s="37"/>
      <c r="C6814" s="37"/>
      <c r="D6814" s="37"/>
      <c r="E6814" s="212"/>
    </row>
    <row r="6815" spans="1:5" ht="14.25">
      <c r="A6815" s="37"/>
      <c r="B6815" s="37"/>
      <c r="C6815" s="37"/>
      <c r="D6815" s="37"/>
      <c r="E6815" s="212"/>
    </row>
    <row r="6816" spans="1:5" ht="14.25">
      <c r="A6816" s="37"/>
      <c r="B6816" s="37"/>
      <c r="C6816" s="37"/>
      <c r="D6816" s="37"/>
      <c r="E6816" s="212"/>
    </row>
    <row r="6817" spans="1:5" ht="14.25">
      <c r="A6817" s="37"/>
      <c r="B6817" s="37"/>
      <c r="C6817" s="37"/>
      <c r="D6817" s="37"/>
      <c r="E6817" s="212"/>
    </row>
    <row r="6818" spans="1:5" ht="14.25">
      <c r="A6818" s="37"/>
      <c r="B6818" s="37"/>
      <c r="C6818" s="37"/>
      <c r="D6818" s="37"/>
      <c r="E6818" s="212"/>
    </row>
    <row r="6819" spans="1:5" ht="14.25">
      <c r="A6819" s="37"/>
      <c r="B6819" s="37"/>
      <c r="C6819" s="37"/>
      <c r="D6819" s="37"/>
      <c r="E6819" s="212"/>
    </row>
    <row r="6820" spans="1:5" ht="14.25">
      <c r="A6820" s="37"/>
      <c r="B6820" s="37"/>
      <c r="C6820" s="37"/>
      <c r="D6820" s="37"/>
      <c r="E6820" s="212"/>
    </row>
    <row r="6821" spans="1:5" ht="14.25">
      <c r="A6821" s="37"/>
      <c r="B6821" s="37"/>
      <c r="C6821" s="37"/>
      <c r="D6821" s="37"/>
      <c r="E6821" s="212"/>
    </row>
    <row r="6822" spans="1:5" ht="14.25">
      <c r="A6822" s="37"/>
      <c r="B6822" s="37"/>
      <c r="C6822" s="37"/>
      <c r="D6822" s="37"/>
      <c r="E6822" s="212"/>
    </row>
    <row r="6823" spans="1:5" ht="14.25">
      <c r="A6823" s="37"/>
      <c r="B6823" s="37"/>
      <c r="C6823" s="37"/>
      <c r="D6823" s="37"/>
      <c r="E6823" s="212"/>
    </row>
    <row r="6824" spans="1:5" ht="14.25">
      <c r="A6824" s="37"/>
      <c r="B6824" s="37"/>
      <c r="C6824" s="37"/>
      <c r="D6824" s="37"/>
      <c r="E6824" s="213"/>
    </row>
    <row r="6825" spans="1:5" ht="14.25">
      <c r="A6825" s="37"/>
      <c r="B6825" s="37"/>
      <c r="C6825" s="37"/>
      <c r="D6825" s="37"/>
      <c r="E6825" s="212"/>
    </row>
    <row r="6826" spans="1:5" ht="14.25">
      <c r="A6826" s="37"/>
      <c r="B6826" s="37"/>
      <c r="C6826" s="37"/>
      <c r="D6826" s="37"/>
      <c r="E6826" s="212"/>
    </row>
    <row r="6827" spans="1:5" ht="14.25">
      <c r="A6827" s="37"/>
      <c r="B6827" s="37"/>
      <c r="C6827" s="37"/>
      <c r="D6827" s="37"/>
      <c r="E6827" s="212"/>
    </row>
    <row r="6828" spans="1:5" ht="14.25">
      <c r="A6828" s="37"/>
      <c r="B6828" s="37"/>
      <c r="C6828" s="37"/>
      <c r="D6828" s="37"/>
      <c r="E6828" s="212"/>
    </row>
    <row r="6829" spans="1:5" ht="14.25">
      <c r="A6829" s="37"/>
      <c r="B6829" s="37"/>
      <c r="C6829" s="37"/>
      <c r="D6829" s="37"/>
      <c r="E6829" s="212"/>
    </row>
    <row r="6830" spans="1:5" ht="14.25">
      <c r="A6830" s="37"/>
      <c r="B6830" s="37"/>
      <c r="C6830" s="37"/>
      <c r="D6830" s="37"/>
      <c r="E6830" s="212"/>
    </row>
    <row r="6831" spans="1:5" ht="14.25">
      <c r="A6831" s="37"/>
      <c r="B6831" s="37"/>
      <c r="C6831" s="37"/>
      <c r="D6831" s="37"/>
      <c r="E6831" s="212"/>
    </row>
    <row r="6832" spans="1:5" ht="14.25">
      <c r="A6832" s="37"/>
      <c r="B6832" s="37"/>
      <c r="C6832" s="37"/>
      <c r="D6832" s="37"/>
      <c r="E6832" s="212"/>
    </row>
    <row r="6833" spans="1:5" ht="14.25">
      <c r="A6833" s="37"/>
      <c r="B6833" s="37"/>
      <c r="C6833" s="37"/>
      <c r="D6833" s="37"/>
      <c r="E6833" s="212"/>
    </row>
    <row r="6834" spans="1:5" ht="14.25">
      <c r="A6834" s="37"/>
      <c r="B6834" s="37"/>
      <c r="C6834" s="37"/>
      <c r="D6834" s="37"/>
      <c r="E6834" s="212"/>
    </row>
    <row r="6835" spans="1:5" ht="14.25">
      <c r="A6835" s="37"/>
      <c r="B6835" s="37"/>
      <c r="C6835" s="37"/>
      <c r="D6835" s="37"/>
      <c r="E6835" s="212"/>
    </row>
    <row r="6836" spans="1:5" ht="14.25">
      <c r="A6836" s="37"/>
      <c r="B6836" s="37"/>
      <c r="C6836" s="37"/>
      <c r="D6836" s="37"/>
      <c r="E6836" s="212"/>
    </row>
    <row r="6837" spans="1:5" ht="14.25">
      <c r="A6837" s="37"/>
      <c r="B6837" s="37"/>
      <c r="C6837" s="37"/>
      <c r="D6837" s="37"/>
      <c r="E6837" s="213"/>
    </row>
    <row r="6838" spans="1:5" ht="14.25">
      <c r="A6838" s="37"/>
      <c r="B6838" s="37"/>
      <c r="C6838" s="37"/>
      <c r="D6838" s="37"/>
      <c r="E6838" s="212"/>
    </row>
    <row r="6839" spans="1:5" ht="14.25">
      <c r="A6839" s="37"/>
      <c r="B6839" s="37"/>
      <c r="C6839" s="37"/>
      <c r="D6839" s="37"/>
      <c r="E6839" s="212"/>
    </row>
    <row r="6840" spans="1:5" ht="14.25">
      <c r="A6840" s="37"/>
      <c r="B6840" s="37"/>
      <c r="C6840" s="37"/>
      <c r="D6840" s="37"/>
      <c r="E6840" s="213"/>
    </row>
    <row r="6841" spans="1:5" ht="14.25">
      <c r="A6841" s="37"/>
      <c r="B6841" s="37"/>
      <c r="C6841" s="37"/>
      <c r="D6841" s="37"/>
      <c r="E6841" s="213"/>
    </row>
    <row r="6842" spans="1:5" ht="14.25">
      <c r="A6842" s="37"/>
      <c r="B6842" s="37"/>
      <c r="C6842" s="37"/>
      <c r="D6842" s="37"/>
      <c r="E6842" s="213"/>
    </row>
    <row r="6843" spans="1:5" ht="14.25">
      <c r="A6843" s="37"/>
      <c r="B6843" s="37"/>
      <c r="C6843" s="37"/>
      <c r="D6843" s="37"/>
      <c r="E6843" s="213"/>
    </row>
    <row r="6844" spans="1:5" ht="14.25">
      <c r="A6844" s="37"/>
      <c r="B6844" s="37"/>
      <c r="C6844" s="37"/>
      <c r="D6844" s="37"/>
      <c r="E6844" s="212"/>
    </row>
    <row r="6845" spans="1:5" ht="14.25">
      <c r="A6845" s="37"/>
      <c r="B6845" s="37"/>
      <c r="C6845" s="37"/>
      <c r="D6845" s="37"/>
      <c r="E6845" s="212"/>
    </row>
    <row r="6846" spans="1:5" ht="14.25">
      <c r="A6846" s="37"/>
      <c r="B6846" s="37"/>
      <c r="C6846" s="37"/>
      <c r="D6846" s="37"/>
      <c r="E6846" s="212"/>
    </row>
    <row r="6847" spans="1:5" ht="14.25">
      <c r="A6847" s="37"/>
      <c r="B6847" s="37"/>
      <c r="C6847" s="37"/>
      <c r="D6847" s="37"/>
      <c r="E6847" s="212"/>
    </row>
    <row r="6848" spans="1:5" ht="14.25">
      <c r="A6848" s="37"/>
      <c r="B6848" s="37"/>
      <c r="C6848" s="37"/>
      <c r="D6848" s="37"/>
      <c r="E6848" s="213"/>
    </row>
    <row r="6849" spans="1:5" ht="14.25">
      <c r="A6849" s="37"/>
      <c r="B6849" s="37"/>
      <c r="C6849" s="37"/>
      <c r="D6849" s="37"/>
      <c r="E6849" s="212"/>
    </row>
    <row r="6850" spans="1:5" ht="14.25">
      <c r="A6850" s="37"/>
      <c r="B6850" s="37"/>
      <c r="C6850" s="37"/>
      <c r="D6850" s="37"/>
      <c r="E6850" s="212"/>
    </row>
    <row r="6851" spans="1:5" ht="14.25">
      <c r="A6851" s="37"/>
      <c r="B6851" s="37"/>
      <c r="C6851" s="37"/>
      <c r="D6851" s="37"/>
      <c r="E6851" s="212"/>
    </row>
    <row r="6852" spans="1:5" ht="14.25">
      <c r="A6852" s="37"/>
      <c r="B6852" s="37"/>
      <c r="C6852" s="37"/>
      <c r="D6852" s="37"/>
      <c r="E6852" s="212"/>
    </row>
    <row r="6853" spans="1:5" ht="14.25">
      <c r="A6853" s="37"/>
      <c r="B6853" s="37"/>
      <c r="C6853" s="37"/>
      <c r="D6853" s="37"/>
      <c r="E6853" s="212"/>
    </row>
    <row r="6854" spans="1:5" ht="14.25">
      <c r="A6854" s="37"/>
      <c r="B6854" s="37"/>
      <c r="C6854" s="37"/>
      <c r="D6854" s="37"/>
      <c r="E6854" s="212"/>
    </row>
    <row r="6855" spans="1:5" ht="14.25">
      <c r="A6855" s="37"/>
      <c r="B6855" s="37"/>
      <c r="C6855" s="37"/>
      <c r="D6855" s="37"/>
      <c r="E6855" s="212"/>
    </row>
    <row r="6856" spans="1:5" ht="14.25">
      <c r="A6856" s="37"/>
      <c r="B6856" s="37"/>
      <c r="C6856" s="37"/>
      <c r="D6856" s="37"/>
      <c r="E6856" s="212"/>
    </row>
    <row r="6857" spans="1:5" ht="14.25">
      <c r="A6857" s="37"/>
      <c r="B6857" s="37"/>
      <c r="C6857" s="37"/>
      <c r="D6857" s="37"/>
      <c r="E6857" s="212"/>
    </row>
    <row r="6858" spans="1:5" ht="14.25">
      <c r="A6858" s="37"/>
      <c r="B6858" s="37"/>
      <c r="C6858" s="37"/>
      <c r="D6858" s="37"/>
      <c r="E6858" s="212"/>
    </row>
    <row r="6859" spans="1:5" ht="14.25">
      <c r="A6859" s="37"/>
      <c r="B6859" s="37"/>
      <c r="C6859" s="37"/>
      <c r="D6859" s="37"/>
      <c r="E6859" s="212"/>
    </row>
    <row r="6860" spans="1:5" ht="14.25">
      <c r="A6860" s="37"/>
      <c r="B6860" s="37"/>
      <c r="C6860" s="37"/>
      <c r="D6860" s="37"/>
      <c r="E6860" s="212"/>
    </row>
    <row r="6861" spans="1:5" ht="14.25">
      <c r="A6861" s="37"/>
      <c r="B6861" s="37"/>
      <c r="C6861" s="37"/>
      <c r="D6861" s="37"/>
      <c r="E6861" s="212"/>
    </row>
    <row r="6862" spans="1:5" ht="14.25">
      <c r="A6862" s="37"/>
      <c r="B6862" s="37"/>
      <c r="C6862" s="37"/>
      <c r="D6862" s="37"/>
      <c r="E6862" s="212"/>
    </row>
    <row r="6863" spans="1:5" ht="14.25">
      <c r="A6863" s="37"/>
      <c r="B6863" s="37"/>
      <c r="C6863" s="37"/>
      <c r="D6863" s="37"/>
      <c r="E6863" s="212"/>
    </row>
    <row r="6864" spans="1:5" ht="14.25">
      <c r="A6864" s="37"/>
      <c r="B6864" s="37"/>
      <c r="C6864" s="37"/>
      <c r="D6864" s="37"/>
      <c r="E6864" s="212"/>
    </row>
    <row r="6865" spans="1:5" ht="14.25">
      <c r="A6865" s="37"/>
      <c r="B6865" s="37"/>
      <c r="C6865" s="37"/>
      <c r="D6865" s="37"/>
      <c r="E6865" s="212"/>
    </row>
    <row r="6866" spans="1:5" ht="14.25">
      <c r="A6866" s="37"/>
      <c r="B6866" s="37"/>
      <c r="C6866" s="37"/>
      <c r="D6866" s="37"/>
      <c r="E6866" s="212"/>
    </row>
    <row r="6867" spans="1:5" ht="14.25">
      <c r="A6867" s="37"/>
      <c r="B6867" s="37"/>
      <c r="C6867" s="37"/>
      <c r="D6867" s="37"/>
      <c r="E6867" s="212"/>
    </row>
    <row r="6868" spans="1:5" ht="14.25">
      <c r="A6868" s="37"/>
      <c r="B6868" s="37"/>
      <c r="C6868" s="37"/>
      <c r="D6868" s="37"/>
      <c r="E6868" s="212"/>
    </row>
    <row r="6869" spans="1:5" ht="14.25">
      <c r="A6869" s="37"/>
      <c r="B6869" s="37"/>
      <c r="C6869" s="37"/>
      <c r="D6869" s="37"/>
      <c r="E6869" s="212"/>
    </row>
    <row r="6870" spans="1:5" ht="14.25">
      <c r="A6870" s="37"/>
      <c r="B6870" s="37"/>
      <c r="C6870" s="37"/>
      <c r="D6870" s="37"/>
      <c r="E6870" s="212"/>
    </row>
    <row r="6871" spans="1:5" ht="14.25">
      <c r="A6871" s="37"/>
      <c r="B6871" s="37"/>
      <c r="C6871" s="37"/>
      <c r="D6871" s="37"/>
      <c r="E6871" s="212"/>
    </row>
    <row r="6872" spans="1:5" ht="14.25">
      <c r="A6872" s="37"/>
      <c r="B6872" s="37"/>
      <c r="C6872" s="37"/>
      <c r="D6872" s="37"/>
      <c r="E6872" s="212"/>
    </row>
    <row r="6873" spans="1:5" ht="14.25">
      <c r="A6873" s="37"/>
      <c r="B6873" s="37"/>
      <c r="C6873" s="37"/>
      <c r="D6873" s="37"/>
      <c r="E6873" s="212"/>
    </row>
    <row r="6874" spans="1:5" ht="14.25">
      <c r="A6874" s="37"/>
      <c r="B6874" s="37"/>
      <c r="C6874" s="37"/>
      <c r="D6874" s="37"/>
      <c r="E6874" s="212"/>
    </row>
    <row r="6875" spans="1:5" ht="14.25">
      <c r="A6875" s="37"/>
      <c r="B6875" s="37"/>
      <c r="C6875" s="37"/>
      <c r="D6875" s="37"/>
      <c r="E6875" s="212"/>
    </row>
    <row r="6876" spans="1:5" ht="14.25">
      <c r="A6876" s="37"/>
      <c r="B6876" s="37"/>
      <c r="C6876" s="37"/>
      <c r="D6876" s="37"/>
      <c r="E6876" s="212"/>
    </row>
    <row r="6877" spans="1:5" ht="14.25">
      <c r="A6877" s="37"/>
      <c r="B6877" s="37"/>
      <c r="C6877" s="37"/>
      <c r="D6877" s="37"/>
      <c r="E6877" s="212"/>
    </row>
    <row r="6878" spans="1:5" ht="14.25">
      <c r="A6878" s="37"/>
      <c r="B6878" s="37"/>
      <c r="C6878" s="37"/>
      <c r="D6878" s="37"/>
      <c r="E6878" s="212"/>
    </row>
    <row r="6879" spans="1:5" ht="14.25">
      <c r="A6879" s="37"/>
      <c r="B6879" s="37"/>
      <c r="C6879" s="37"/>
      <c r="D6879" s="37"/>
      <c r="E6879" s="212"/>
    </row>
    <row r="6880" spans="1:5" ht="14.25">
      <c r="A6880" s="37"/>
      <c r="B6880" s="37"/>
      <c r="C6880" s="37"/>
      <c r="D6880" s="37"/>
      <c r="E6880" s="212"/>
    </row>
    <row r="6881" spans="1:5" ht="14.25">
      <c r="A6881" s="37"/>
      <c r="B6881" s="37"/>
      <c r="C6881" s="37"/>
      <c r="D6881" s="37"/>
      <c r="E6881" s="212"/>
    </row>
    <row r="6882" spans="1:5" ht="14.25">
      <c r="A6882" s="37"/>
      <c r="B6882" s="37"/>
      <c r="C6882" s="37"/>
      <c r="D6882" s="37"/>
      <c r="E6882" s="212"/>
    </row>
    <row r="6883" spans="1:5" ht="14.25">
      <c r="A6883" s="37"/>
      <c r="B6883" s="37"/>
      <c r="C6883" s="37"/>
      <c r="D6883" s="37"/>
      <c r="E6883" s="212"/>
    </row>
    <row r="6884" spans="1:5" ht="14.25">
      <c r="A6884" s="37"/>
      <c r="B6884" s="37"/>
      <c r="C6884" s="37"/>
      <c r="D6884" s="37"/>
      <c r="E6884" s="212"/>
    </row>
    <row r="6885" spans="1:5" ht="14.25">
      <c r="A6885" s="37"/>
      <c r="B6885" s="37"/>
      <c r="C6885" s="37"/>
      <c r="D6885" s="37"/>
      <c r="E6885" s="212"/>
    </row>
    <row r="6886" spans="1:5" ht="14.25">
      <c r="A6886" s="37"/>
      <c r="B6886" s="37"/>
      <c r="C6886" s="37"/>
      <c r="D6886" s="37"/>
      <c r="E6886" s="212"/>
    </row>
    <row r="6887" spans="1:5" ht="14.25">
      <c r="A6887" s="37"/>
      <c r="B6887" s="37"/>
      <c r="C6887" s="37"/>
      <c r="D6887" s="37"/>
      <c r="E6887" s="212"/>
    </row>
    <row r="6888" spans="1:5" ht="14.25">
      <c r="A6888" s="37"/>
      <c r="B6888" s="37"/>
      <c r="C6888" s="37"/>
      <c r="D6888" s="37"/>
      <c r="E6888" s="212"/>
    </row>
    <row r="6889" spans="1:5" ht="14.25">
      <c r="A6889" s="37"/>
      <c r="B6889" s="37"/>
      <c r="C6889" s="37"/>
      <c r="D6889" s="37"/>
      <c r="E6889" s="212"/>
    </row>
    <row r="6890" spans="1:5" ht="14.25">
      <c r="A6890" s="37"/>
      <c r="B6890" s="37"/>
      <c r="C6890" s="37"/>
      <c r="D6890" s="37"/>
      <c r="E6890" s="212"/>
    </row>
    <row r="6891" spans="1:5" ht="14.25">
      <c r="A6891" s="37"/>
      <c r="B6891" s="37"/>
      <c r="C6891" s="37"/>
      <c r="D6891" s="37"/>
      <c r="E6891" s="213"/>
    </row>
    <row r="6892" spans="1:5" ht="14.25">
      <c r="A6892" s="37"/>
      <c r="B6892" s="37"/>
      <c r="C6892" s="37"/>
      <c r="D6892" s="37"/>
      <c r="E6892" s="212"/>
    </row>
    <row r="6893" spans="1:5" ht="14.25">
      <c r="A6893" s="37"/>
      <c r="B6893" s="37"/>
      <c r="C6893" s="37"/>
      <c r="D6893" s="37"/>
      <c r="E6893" s="212"/>
    </row>
    <row r="6894" spans="1:5" ht="14.25">
      <c r="A6894" s="37"/>
      <c r="B6894" s="37"/>
      <c r="C6894" s="37"/>
      <c r="D6894" s="37"/>
      <c r="E6894" s="212"/>
    </row>
    <row r="6895" spans="1:5" ht="14.25">
      <c r="A6895" s="37"/>
      <c r="B6895" s="37"/>
      <c r="C6895" s="37"/>
      <c r="D6895" s="37"/>
      <c r="E6895" s="212"/>
    </row>
    <row r="6896" spans="1:5" ht="14.25">
      <c r="A6896" s="37"/>
      <c r="B6896" s="37"/>
      <c r="C6896" s="37"/>
      <c r="D6896" s="37"/>
      <c r="E6896" s="212"/>
    </row>
    <row r="6897" spans="1:5" ht="14.25">
      <c r="A6897" s="37"/>
      <c r="B6897" s="37"/>
      <c r="C6897" s="37"/>
      <c r="D6897" s="37"/>
      <c r="E6897" s="212"/>
    </row>
    <row r="6898" spans="1:5" ht="14.25">
      <c r="A6898" s="37"/>
      <c r="B6898" s="37"/>
      <c r="C6898" s="37"/>
      <c r="D6898" s="37"/>
      <c r="E6898" s="212"/>
    </row>
    <row r="6899" spans="1:5" ht="14.25">
      <c r="A6899" s="37"/>
      <c r="B6899" s="37"/>
      <c r="C6899" s="37"/>
      <c r="D6899" s="37"/>
      <c r="E6899" s="212"/>
    </row>
    <row r="6900" spans="1:5" ht="14.25">
      <c r="A6900" s="37"/>
      <c r="B6900" s="37"/>
      <c r="C6900" s="37"/>
      <c r="D6900" s="37"/>
      <c r="E6900" s="212"/>
    </row>
    <row r="6901" spans="1:5" ht="14.25">
      <c r="A6901" s="37"/>
      <c r="B6901" s="37"/>
      <c r="C6901" s="37"/>
      <c r="D6901" s="37"/>
      <c r="E6901" s="212"/>
    </row>
    <row r="6902" spans="1:5" ht="14.25">
      <c r="A6902" s="37"/>
      <c r="B6902" s="37"/>
      <c r="C6902" s="37"/>
      <c r="D6902" s="37"/>
      <c r="E6902" s="212"/>
    </row>
    <row r="6903" spans="1:5" ht="14.25">
      <c r="A6903" s="37"/>
      <c r="B6903" s="37"/>
      <c r="C6903" s="37"/>
      <c r="D6903" s="37"/>
      <c r="E6903" s="212"/>
    </row>
    <row r="6904" spans="1:5" ht="14.25">
      <c r="A6904" s="37"/>
      <c r="B6904" s="37"/>
      <c r="C6904" s="37"/>
      <c r="D6904" s="37"/>
      <c r="E6904" s="212"/>
    </row>
    <row r="6905" spans="1:5" ht="14.25">
      <c r="A6905" s="37"/>
      <c r="B6905" s="37"/>
      <c r="C6905" s="37"/>
      <c r="D6905" s="37"/>
      <c r="E6905" s="212"/>
    </row>
    <row r="6906" spans="1:5" ht="14.25">
      <c r="A6906" s="37"/>
      <c r="B6906" s="37"/>
      <c r="C6906" s="37"/>
      <c r="D6906" s="37"/>
      <c r="E6906" s="212"/>
    </row>
    <row r="6907" spans="1:5" ht="14.25">
      <c r="A6907" s="37"/>
      <c r="B6907" s="37"/>
      <c r="C6907" s="37"/>
      <c r="D6907" s="37"/>
      <c r="E6907" s="212"/>
    </row>
    <row r="6908" spans="1:5" ht="14.25">
      <c r="A6908" s="37"/>
      <c r="B6908" s="37"/>
      <c r="C6908" s="37"/>
      <c r="D6908" s="37"/>
      <c r="E6908" s="212"/>
    </row>
    <row r="6909" spans="1:5" ht="14.25">
      <c r="A6909" s="37"/>
      <c r="B6909" s="37"/>
      <c r="C6909" s="37"/>
      <c r="D6909" s="37"/>
      <c r="E6909" s="212"/>
    </row>
    <row r="6910" spans="1:5" ht="14.25">
      <c r="A6910" s="37"/>
      <c r="B6910" s="37"/>
      <c r="C6910" s="37"/>
      <c r="D6910" s="37"/>
      <c r="E6910" s="212"/>
    </row>
    <row r="6911" spans="1:5" ht="14.25">
      <c r="A6911" s="37"/>
      <c r="B6911" s="37"/>
      <c r="C6911" s="37"/>
      <c r="D6911" s="37"/>
      <c r="E6911" s="212"/>
    </row>
    <row r="6912" spans="1:5" ht="14.25">
      <c r="A6912" s="37"/>
      <c r="B6912" s="37"/>
      <c r="C6912" s="37"/>
      <c r="D6912" s="37"/>
      <c r="E6912" s="212"/>
    </row>
    <row r="6913" spans="1:5" ht="14.25">
      <c r="A6913" s="37"/>
      <c r="B6913" s="37"/>
      <c r="C6913" s="37"/>
      <c r="D6913" s="37"/>
      <c r="E6913" s="212"/>
    </row>
    <row r="6914" spans="1:5" ht="14.25">
      <c r="A6914" s="37"/>
      <c r="B6914" s="37"/>
      <c r="C6914" s="37"/>
      <c r="D6914" s="37"/>
      <c r="E6914" s="212"/>
    </row>
    <row r="6915" spans="1:5" ht="14.25">
      <c r="A6915" s="37"/>
      <c r="B6915" s="37"/>
      <c r="C6915" s="37"/>
      <c r="D6915" s="37"/>
      <c r="E6915" s="212"/>
    </row>
    <row r="6916" spans="1:5" ht="14.25">
      <c r="A6916" s="37"/>
      <c r="B6916" s="37"/>
      <c r="C6916" s="37"/>
      <c r="D6916" s="37"/>
      <c r="E6916" s="212"/>
    </row>
    <row r="6917" spans="1:5" ht="14.25">
      <c r="A6917" s="37"/>
      <c r="B6917" s="37"/>
      <c r="C6917" s="37"/>
      <c r="D6917" s="37"/>
      <c r="E6917" s="212"/>
    </row>
    <row r="6918" spans="1:5" ht="14.25">
      <c r="A6918" s="37"/>
      <c r="B6918" s="37"/>
      <c r="C6918" s="37"/>
      <c r="D6918" s="37"/>
      <c r="E6918" s="212"/>
    </row>
    <row r="6919" spans="1:5" ht="14.25">
      <c r="A6919" s="37"/>
      <c r="B6919" s="37"/>
      <c r="C6919" s="37"/>
      <c r="D6919" s="37"/>
      <c r="E6919" s="212"/>
    </row>
    <row r="6920" spans="1:5" ht="14.25">
      <c r="A6920" s="37"/>
      <c r="B6920" s="37"/>
      <c r="C6920" s="37"/>
      <c r="D6920" s="37"/>
      <c r="E6920" s="212"/>
    </row>
    <row r="6921" spans="1:5" ht="14.25">
      <c r="A6921" s="37"/>
      <c r="B6921" s="37"/>
      <c r="C6921" s="37"/>
      <c r="D6921" s="37"/>
      <c r="E6921" s="212"/>
    </row>
    <row r="6922" spans="1:5" ht="14.25">
      <c r="A6922" s="37"/>
      <c r="B6922" s="37"/>
      <c r="C6922" s="37"/>
      <c r="D6922" s="37"/>
      <c r="E6922" s="212"/>
    </row>
    <row r="6923" spans="1:5" ht="14.25">
      <c r="A6923" s="37"/>
      <c r="B6923" s="37"/>
      <c r="C6923" s="37"/>
      <c r="D6923" s="37"/>
      <c r="E6923" s="212"/>
    </row>
    <row r="6924" spans="1:5" ht="14.25">
      <c r="A6924" s="37"/>
      <c r="B6924" s="37"/>
      <c r="C6924" s="37"/>
      <c r="D6924" s="37"/>
      <c r="E6924" s="212"/>
    </row>
    <row r="6925" spans="1:5" ht="14.25">
      <c r="A6925" s="37"/>
      <c r="B6925" s="37"/>
      <c r="C6925" s="37"/>
      <c r="D6925" s="37"/>
      <c r="E6925" s="212"/>
    </row>
    <row r="6926" spans="1:5" ht="14.25">
      <c r="A6926" s="37"/>
      <c r="B6926" s="37"/>
      <c r="C6926" s="37"/>
      <c r="D6926" s="37"/>
      <c r="E6926" s="212"/>
    </row>
    <row r="6927" spans="1:5" ht="14.25">
      <c r="A6927" s="37"/>
      <c r="B6927" s="37"/>
      <c r="C6927" s="37"/>
      <c r="D6927" s="37"/>
      <c r="E6927" s="212"/>
    </row>
    <row r="6928" spans="1:5" ht="14.25">
      <c r="A6928" s="37"/>
      <c r="B6928" s="37"/>
      <c r="C6928" s="37"/>
      <c r="D6928" s="37"/>
      <c r="E6928" s="212"/>
    </row>
    <row r="6929" spans="1:5" ht="14.25">
      <c r="A6929" s="37"/>
      <c r="B6929" s="37"/>
      <c r="C6929" s="37"/>
      <c r="D6929" s="37"/>
      <c r="E6929" s="212"/>
    </row>
    <row r="6930" spans="1:5" ht="14.25">
      <c r="A6930" s="37"/>
      <c r="B6930" s="37"/>
      <c r="C6930" s="37"/>
      <c r="D6930" s="37"/>
      <c r="E6930" s="212"/>
    </row>
    <row r="6931" spans="1:5" ht="14.25">
      <c r="A6931" s="37"/>
      <c r="B6931" s="37"/>
      <c r="C6931" s="37"/>
      <c r="D6931" s="37"/>
      <c r="E6931" s="212"/>
    </row>
    <row r="6932" spans="1:5" ht="14.25">
      <c r="A6932" s="37"/>
      <c r="B6932" s="37"/>
      <c r="C6932" s="37"/>
      <c r="D6932" s="37"/>
      <c r="E6932" s="212"/>
    </row>
    <row r="6933" spans="1:5" ht="14.25">
      <c r="A6933" s="37"/>
      <c r="B6933" s="37"/>
      <c r="C6933" s="37"/>
      <c r="D6933" s="37"/>
      <c r="E6933" s="212"/>
    </row>
    <row r="6934" spans="1:5" ht="14.25">
      <c r="A6934" s="37"/>
      <c r="B6934" s="37"/>
      <c r="C6934" s="37"/>
      <c r="D6934" s="37"/>
      <c r="E6934" s="212"/>
    </row>
    <row r="6935" spans="1:5" ht="14.25">
      <c r="A6935" s="37"/>
      <c r="B6935" s="37"/>
      <c r="C6935" s="37"/>
      <c r="D6935" s="37"/>
      <c r="E6935" s="212"/>
    </row>
    <row r="6936" spans="1:5" ht="14.25">
      <c r="A6936" s="37"/>
      <c r="B6936" s="37"/>
      <c r="C6936" s="37"/>
      <c r="D6936" s="37"/>
      <c r="E6936" s="212"/>
    </row>
    <row r="6937" spans="1:5" ht="14.25">
      <c r="A6937" s="37"/>
      <c r="B6937" s="37"/>
      <c r="C6937" s="37"/>
      <c r="D6937" s="37"/>
      <c r="E6937" s="212"/>
    </row>
    <row r="6938" spans="1:5" ht="14.25">
      <c r="A6938" s="37"/>
      <c r="B6938" s="37"/>
      <c r="C6938" s="37"/>
      <c r="D6938" s="37"/>
      <c r="E6938" s="212"/>
    </row>
    <row r="6939" spans="1:5" ht="14.25">
      <c r="A6939" s="37"/>
      <c r="B6939" s="37"/>
      <c r="C6939" s="37"/>
      <c r="D6939" s="37"/>
      <c r="E6939" s="212"/>
    </row>
    <row r="6940" spans="1:5" ht="14.25">
      <c r="A6940" s="37"/>
      <c r="B6940" s="37"/>
      <c r="C6940" s="37"/>
      <c r="D6940" s="37"/>
      <c r="E6940" s="212"/>
    </row>
    <row r="6941" spans="1:5" ht="14.25">
      <c r="A6941" s="37"/>
      <c r="B6941" s="37"/>
      <c r="C6941" s="37"/>
      <c r="D6941" s="37"/>
      <c r="E6941" s="212"/>
    </row>
    <row r="6942" spans="1:5" ht="14.25">
      <c r="A6942" s="37"/>
      <c r="B6942" s="37"/>
      <c r="C6942" s="37"/>
      <c r="D6942" s="37"/>
      <c r="E6942" s="212"/>
    </row>
    <row r="6943" spans="1:5" ht="14.25">
      <c r="A6943" s="37"/>
      <c r="B6943" s="37"/>
      <c r="C6943" s="37"/>
      <c r="D6943" s="37"/>
      <c r="E6943" s="212"/>
    </row>
    <row r="6944" spans="1:5" ht="14.25">
      <c r="A6944" s="37"/>
      <c r="B6944" s="37"/>
      <c r="C6944" s="37"/>
      <c r="D6944" s="37"/>
      <c r="E6944" s="212"/>
    </row>
    <row r="6945" spans="1:5" ht="14.25">
      <c r="A6945" s="37"/>
      <c r="B6945" s="37"/>
      <c r="C6945" s="37"/>
      <c r="D6945" s="37"/>
      <c r="E6945" s="212"/>
    </row>
    <row r="6946" spans="1:5" ht="14.25">
      <c r="A6946" s="37"/>
      <c r="B6946" s="37"/>
      <c r="C6946" s="37"/>
      <c r="D6946" s="37"/>
      <c r="E6946" s="212"/>
    </row>
    <row r="6947" spans="1:5" ht="14.25">
      <c r="A6947" s="37"/>
      <c r="B6947" s="37"/>
      <c r="C6947" s="37"/>
      <c r="D6947" s="37"/>
      <c r="E6947" s="212"/>
    </row>
    <row r="6948" spans="1:5" ht="14.25">
      <c r="A6948" s="37"/>
      <c r="B6948" s="37"/>
      <c r="C6948" s="37"/>
      <c r="D6948" s="37"/>
      <c r="E6948" s="212"/>
    </row>
    <row r="6949" spans="1:5" ht="14.25">
      <c r="A6949" s="37"/>
      <c r="B6949" s="37"/>
      <c r="C6949" s="37"/>
      <c r="D6949" s="37"/>
      <c r="E6949" s="212"/>
    </row>
    <row r="6950" spans="1:5" ht="14.25">
      <c r="A6950" s="37"/>
      <c r="B6950" s="37"/>
      <c r="C6950" s="37"/>
      <c r="D6950" s="37"/>
      <c r="E6950" s="212"/>
    </row>
    <row r="6951" spans="1:5" ht="14.25">
      <c r="A6951" s="37"/>
      <c r="B6951" s="37"/>
      <c r="C6951" s="37"/>
      <c r="D6951" s="37"/>
      <c r="E6951" s="212"/>
    </row>
    <row r="6952" spans="1:5" ht="14.25">
      <c r="A6952" s="37"/>
      <c r="B6952" s="37"/>
      <c r="C6952" s="37"/>
      <c r="D6952" s="37"/>
      <c r="E6952" s="212"/>
    </row>
    <row r="6953" spans="1:5" ht="14.25">
      <c r="A6953" s="37"/>
      <c r="B6953" s="37"/>
      <c r="C6953" s="37"/>
      <c r="D6953" s="37"/>
      <c r="E6953" s="212"/>
    </row>
    <row r="6954" spans="1:5" ht="14.25">
      <c r="A6954" s="37"/>
      <c r="B6954" s="37"/>
      <c r="C6954" s="37"/>
      <c r="D6954" s="37"/>
      <c r="E6954" s="212"/>
    </row>
    <row r="6955" spans="1:5" ht="14.25">
      <c r="A6955" s="37"/>
      <c r="B6955" s="37"/>
      <c r="C6955" s="37"/>
      <c r="D6955" s="37"/>
      <c r="E6955" s="212"/>
    </row>
    <row r="6956" spans="1:5" ht="14.25">
      <c r="A6956" s="37"/>
      <c r="B6956" s="37"/>
      <c r="C6956" s="37"/>
      <c r="D6956" s="37"/>
      <c r="E6956" s="212"/>
    </row>
    <row r="6957" spans="1:5" ht="14.25">
      <c r="A6957" s="37"/>
      <c r="B6957" s="37"/>
      <c r="C6957" s="37"/>
      <c r="D6957" s="37"/>
      <c r="E6957" s="212"/>
    </row>
    <row r="6958" spans="1:5" ht="14.25">
      <c r="A6958" s="37"/>
      <c r="B6958" s="37"/>
      <c r="C6958" s="37"/>
      <c r="D6958" s="37"/>
      <c r="E6958" s="212"/>
    </row>
    <row r="6959" spans="1:5" ht="14.25">
      <c r="A6959" s="37"/>
      <c r="B6959" s="37"/>
      <c r="C6959" s="37"/>
      <c r="D6959" s="37"/>
      <c r="E6959" s="212"/>
    </row>
    <row r="6960" spans="1:5" ht="14.25">
      <c r="A6960" s="37"/>
      <c r="B6960" s="37"/>
      <c r="C6960" s="37"/>
      <c r="D6960" s="37"/>
      <c r="E6960" s="212"/>
    </row>
    <row r="6961" spans="1:5" ht="14.25">
      <c r="A6961" s="37"/>
      <c r="B6961" s="37"/>
      <c r="C6961" s="37"/>
      <c r="D6961" s="37"/>
      <c r="E6961" s="212"/>
    </row>
    <row r="6962" spans="1:5" ht="14.25">
      <c r="A6962" s="37"/>
      <c r="B6962" s="37"/>
      <c r="C6962" s="37"/>
      <c r="D6962" s="37"/>
      <c r="E6962" s="212"/>
    </row>
    <row r="6963" spans="1:5" ht="14.25">
      <c r="A6963" s="37"/>
      <c r="B6963" s="37"/>
      <c r="C6963" s="37"/>
      <c r="D6963" s="37"/>
      <c r="E6963" s="212"/>
    </row>
    <row r="6964" spans="1:5" ht="14.25">
      <c r="A6964" s="37"/>
      <c r="B6964" s="37"/>
      <c r="C6964" s="37"/>
      <c r="D6964" s="37"/>
      <c r="E6964" s="212"/>
    </row>
    <row r="6965" spans="1:5" ht="14.25">
      <c r="A6965" s="37"/>
      <c r="B6965" s="37"/>
      <c r="C6965" s="37"/>
      <c r="D6965" s="37"/>
      <c r="E6965" s="212"/>
    </row>
    <row r="6966" spans="1:5" ht="14.25">
      <c r="A6966" s="37"/>
      <c r="B6966" s="37"/>
      <c r="C6966" s="37"/>
      <c r="D6966" s="37"/>
      <c r="E6966" s="212"/>
    </row>
    <row r="6967" spans="1:5" ht="14.25">
      <c r="A6967" s="37"/>
      <c r="B6967" s="37"/>
      <c r="C6967" s="37"/>
      <c r="D6967" s="37"/>
      <c r="E6967" s="212"/>
    </row>
    <row r="6968" spans="1:5" ht="14.25">
      <c r="A6968" s="37"/>
      <c r="B6968" s="37"/>
      <c r="C6968" s="37"/>
      <c r="D6968" s="37"/>
      <c r="E6968" s="212"/>
    </row>
    <row r="6969" spans="1:5" ht="14.25">
      <c r="A6969" s="37"/>
      <c r="B6969" s="37"/>
      <c r="C6969" s="37"/>
      <c r="D6969" s="37"/>
      <c r="E6969" s="212"/>
    </row>
    <row r="6970" spans="1:5" ht="14.25">
      <c r="A6970" s="37"/>
      <c r="B6970" s="37"/>
      <c r="C6970" s="37"/>
      <c r="D6970" s="37"/>
      <c r="E6970" s="212"/>
    </row>
    <row r="6971" spans="1:5" ht="14.25">
      <c r="A6971" s="37"/>
      <c r="B6971" s="37"/>
      <c r="C6971" s="37"/>
      <c r="D6971" s="37"/>
      <c r="E6971" s="212"/>
    </row>
    <row r="6972" spans="1:5" ht="14.25">
      <c r="A6972" s="37"/>
      <c r="B6972" s="37"/>
      <c r="C6972" s="37"/>
      <c r="D6972" s="37"/>
      <c r="E6972" s="212"/>
    </row>
    <row r="6973" spans="1:5" ht="14.25">
      <c r="A6973" s="37"/>
      <c r="B6973" s="37"/>
      <c r="C6973" s="37"/>
      <c r="D6973" s="37"/>
      <c r="E6973" s="212"/>
    </row>
    <row r="6974" spans="1:5" ht="14.25">
      <c r="A6974" s="37"/>
      <c r="B6974" s="37"/>
      <c r="C6974" s="37"/>
      <c r="D6974" s="37"/>
      <c r="E6974" s="212"/>
    </row>
    <row r="6975" spans="1:5" ht="14.25">
      <c r="A6975" s="37"/>
      <c r="B6975" s="37"/>
      <c r="C6975" s="37"/>
      <c r="D6975" s="37"/>
      <c r="E6975" s="212"/>
    </row>
    <row r="6976" spans="1:5" ht="14.25">
      <c r="A6976" s="37"/>
      <c r="B6976" s="37"/>
      <c r="C6976" s="37"/>
      <c r="D6976" s="37"/>
      <c r="E6976" s="212"/>
    </row>
    <row r="6977" spans="1:5" ht="14.25">
      <c r="A6977" s="37"/>
      <c r="B6977" s="37"/>
      <c r="C6977" s="37"/>
      <c r="D6977" s="37"/>
      <c r="E6977" s="212"/>
    </row>
    <row r="6978" spans="1:5" ht="14.25">
      <c r="A6978" s="37"/>
      <c r="B6978" s="37"/>
      <c r="C6978" s="37"/>
      <c r="D6978" s="37"/>
      <c r="E6978" s="212"/>
    </row>
    <row r="6979" spans="1:5" ht="14.25">
      <c r="A6979" s="37"/>
      <c r="B6979" s="37"/>
      <c r="C6979" s="37"/>
      <c r="D6979" s="37"/>
      <c r="E6979" s="212"/>
    </row>
    <row r="6980" spans="1:5" ht="14.25">
      <c r="A6980" s="37"/>
      <c r="B6980" s="37"/>
      <c r="C6980" s="37"/>
      <c r="D6980" s="37"/>
      <c r="E6980" s="212"/>
    </row>
    <row r="6981" spans="1:5" ht="14.25">
      <c r="A6981" s="37"/>
      <c r="B6981" s="37"/>
      <c r="C6981" s="37"/>
      <c r="D6981" s="37"/>
      <c r="E6981" s="212"/>
    </row>
    <row r="6982" spans="1:5" ht="14.25">
      <c r="A6982" s="37"/>
      <c r="B6982" s="37"/>
      <c r="C6982" s="37"/>
      <c r="D6982" s="37"/>
      <c r="E6982" s="212"/>
    </row>
    <row r="6983" spans="1:5" ht="14.25">
      <c r="A6983" s="37"/>
      <c r="B6983" s="37"/>
      <c r="C6983" s="37"/>
      <c r="D6983" s="37"/>
      <c r="E6983" s="212"/>
    </row>
    <row r="6984" spans="1:5" ht="14.25">
      <c r="A6984" s="37"/>
      <c r="B6984" s="37"/>
      <c r="C6984" s="37"/>
      <c r="D6984" s="37"/>
      <c r="E6984" s="212"/>
    </row>
    <row r="6985" spans="1:5" ht="14.25">
      <c r="A6985" s="37"/>
      <c r="B6985" s="37"/>
      <c r="C6985" s="37"/>
      <c r="D6985" s="37"/>
      <c r="E6985" s="212"/>
    </row>
    <row r="6986" spans="1:5" ht="14.25">
      <c r="A6986" s="37"/>
      <c r="B6986" s="37"/>
      <c r="C6986" s="37"/>
      <c r="D6986" s="37"/>
      <c r="E6986" s="212"/>
    </row>
    <row r="6987" spans="1:5" ht="14.25">
      <c r="A6987" s="37"/>
      <c r="B6987" s="37"/>
      <c r="C6987" s="37"/>
      <c r="D6987" s="37"/>
      <c r="E6987" s="212"/>
    </row>
    <row r="6988" spans="1:5" ht="14.25">
      <c r="A6988" s="37"/>
      <c r="B6988" s="37"/>
      <c r="C6988" s="37"/>
      <c r="D6988" s="37"/>
      <c r="E6988" s="212"/>
    </row>
    <row r="6989" spans="1:5" ht="14.25">
      <c r="A6989" s="37"/>
      <c r="B6989" s="37"/>
      <c r="C6989" s="37"/>
      <c r="D6989" s="37"/>
      <c r="E6989" s="212"/>
    </row>
    <row r="6990" spans="1:5" ht="14.25">
      <c r="A6990" s="37"/>
      <c r="B6990" s="37"/>
      <c r="C6990" s="37"/>
      <c r="D6990" s="37"/>
      <c r="E6990" s="212"/>
    </row>
    <row r="6991" spans="1:5" ht="14.25">
      <c r="A6991" s="37"/>
      <c r="B6991" s="37"/>
      <c r="C6991" s="37"/>
      <c r="D6991" s="37"/>
      <c r="E6991" s="212"/>
    </row>
    <row r="6992" spans="1:5" ht="14.25">
      <c r="A6992" s="37"/>
      <c r="B6992" s="37"/>
      <c r="C6992" s="37"/>
      <c r="D6992" s="37"/>
      <c r="E6992" s="212"/>
    </row>
    <row r="6993" spans="1:5" ht="14.25">
      <c r="A6993" s="37"/>
      <c r="B6993" s="37"/>
      <c r="C6993" s="37"/>
      <c r="D6993" s="37"/>
      <c r="E6993" s="212"/>
    </row>
    <row r="6994" spans="1:5" ht="14.25">
      <c r="A6994" s="37"/>
      <c r="B6994" s="37"/>
      <c r="C6994" s="37"/>
      <c r="D6994" s="37"/>
      <c r="E6994" s="212"/>
    </row>
    <row r="6995" spans="1:5" ht="14.25">
      <c r="A6995" s="37"/>
      <c r="B6995" s="37"/>
      <c r="C6995" s="37"/>
      <c r="D6995" s="37"/>
      <c r="E6995" s="212"/>
    </row>
    <row r="6996" spans="1:5" ht="14.25">
      <c r="A6996" s="37"/>
      <c r="B6996" s="37"/>
      <c r="C6996" s="37"/>
      <c r="D6996" s="37"/>
      <c r="E6996" s="212"/>
    </row>
    <row r="6997" spans="1:5" ht="14.25">
      <c r="A6997" s="37"/>
      <c r="B6997" s="37"/>
      <c r="C6997" s="37"/>
      <c r="D6997" s="37"/>
      <c r="E6997" s="212"/>
    </row>
    <row r="6998" spans="1:5" ht="14.25">
      <c r="A6998" s="37"/>
      <c r="B6998" s="37"/>
      <c r="C6998" s="37"/>
      <c r="D6998" s="37"/>
      <c r="E6998" s="212"/>
    </row>
    <row r="6999" spans="1:5" ht="14.25">
      <c r="A6999" s="37"/>
      <c r="B6999" s="37"/>
      <c r="C6999" s="37"/>
      <c r="D6999" s="37"/>
      <c r="E6999" s="212"/>
    </row>
    <row r="7000" spans="1:5" ht="14.25">
      <c r="A7000" s="37"/>
      <c r="B7000" s="37"/>
      <c r="C7000" s="37"/>
      <c r="D7000" s="37"/>
      <c r="E7000" s="212"/>
    </row>
    <row r="7001" spans="1:5" ht="14.25">
      <c r="A7001" s="37"/>
      <c r="B7001" s="37"/>
      <c r="C7001" s="37"/>
      <c r="D7001" s="37"/>
      <c r="E7001" s="212"/>
    </row>
    <row r="7002" spans="1:5" ht="14.25">
      <c r="A7002" s="37"/>
      <c r="B7002" s="37"/>
      <c r="C7002" s="37"/>
      <c r="D7002" s="37"/>
      <c r="E7002" s="212"/>
    </row>
    <row r="7003" spans="1:5" ht="14.25">
      <c r="A7003" s="37"/>
      <c r="B7003" s="37"/>
      <c r="C7003" s="37"/>
      <c r="D7003" s="37"/>
      <c r="E7003" s="212"/>
    </row>
    <row r="7004" spans="1:5" ht="14.25">
      <c r="A7004" s="37"/>
      <c r="B7004" s="37"/>
      <c r="C7004" s="37"/>
      <c r="D7004" s="37"/>
      <c r="E7004" s="212"/>
    </row>
    <row r="7005" spans="1:5" ht="14.25">
      <c r="A7005" s="37"/>
      <c r="B7005" s="37"/>
      <c r="C7005" s="37"/>
      <c r="D7005" s="37"/>
      <c r="E7005" s="212"/>
    </row>
    <row r="7006" spans="1:5" ht="14.25">
      <c r="A7006" s="37"/>
      <c r="B7006" s="37"/>
      <c r="C7006" s="37"/>
      <c r="D7006" s="37"/>
      <c r="E7006" s="212"/>
    </row>
    <row r="7007" spans="1:5" ht="14.25">
      <c r="A7007" s="37"/>
      <c r="B7007" s="37"/>
      <c r="C7007" s="37"/>
      <c r="D7007" s="37"/>
      <c r="E7007" s="212"/>
    </row>
    <row r="7008" spans="1:5" ht="14.25">
      <c r="A7008" s="37"/>
      <c r="B7008" s="37"/>
      <c r="C7008" s="37"/>
      <c r="D7008" s="37"/>
      <c r="E7008" s="212"/>
    </row>
    <row r="7009" spans="1:5" ht="14.25">
      <c r="A7009" s="37"/>
      <c r="B7009" s="37"/>
      <c r="C7009" s="37"/>
      <c r="D7009" s="37"/>
      <c r="E7009" s="212"/>
    </row>
    <row r="7010" spans="1:5" ht="14.25">
      <c r="A7010" s="37"/>
      <c r="B7010" s="37"/>
      <c r="C7010" s="37"/>
      <c r="D7010" s="37"/>
      <c r="E7010" s="212"/>
    </row>
    <row r="7011" spans="1:5" ht="14.25">
      <c r="A7011" s="37"/>
      <c r="B7011" s="37"/>
      <c r="C7011" s="37"/>
      <c r="D7011" s="37"/>
      <c r="E7011" s="212"/>
    </row>
    <row r="7012" spans="1:5" ht="14.25">
      <c r="A7012" s="37"/>
      <c r="B7012" s="37"/>
      <c r="C7012" s="37"/>
      <c r="D7012" s="37"/>
      <c r="E7012" s="212"/>
    </row>
    <row r="7013" spans="1:5" ht="14.25">
      <c r="A7013" s="37"/>
      <c r="B7013" s="37"/>
      <c r="C7013" s="37"/>
      <c r="D7013" s="37"/>
      <c r="E7013" s="212"/>
    </row>
    <row r="7014" spans="1:5" ht="14.25">
      <c r="A7014" s="37"/>
      <c r="B7014" s="37"/>
      <c r="C7014" s="37"/>
      <c r="D7014" s="37"/>
      <c r="E7014" s="212"/>
    </row>
    <row r="7015" spans="1:5" ht="14.25">
      <c r="A7015" s="37"/>
      <c r="B7015" s="37"/>
      <c r="C7015" s="37"/>
      <c r="D7015" s="37"/>
      <c r="E7015" s="212"/>
    </row>
    <row r="7016" spans="1:5" ht="14.25">
      <c r="A7016" s="37"/>
      <c r="B7016" s="37"/>
      <c r="C7016" s="37"/>
      <c r="D7016" s="37"/>
      <c r="E7016" s="212"/>
    </row>
    <row r="7017" spans="1:5" ht="14.25">
      <c r="A7017" s="37"/>
      <c r="B7017" s="37"/>
      <c r="C7017" s="37"/>
      <c r="D7017" s="37"/>
      <c r="E7017" s="212"/>
    </row>
    <row r="7018" spans="1:5" ht="14.25">
      <c r="A7018" s="37"/>
      <c r="B7018" s="37"/>
      <c r="C7018" s="37"/>
      <c r="D7018" s="37"/>
      <c r="E7018" s="212"/>
    </row>
    <row r="7019" spans="1:5" ht="14.25">
      <c r="A7019" s="37"/>
      <c r="B7019" s="37"/>
      <c r="C7019" s="37"/>
      <c r="D7019" s="37"/>
      <c r="E7019" s="212"/>
    </row>
    <row r="7020" spans="1:5" ht="14.25">
      <c r="A7020" s="37"/>
      <c r="B7020" s="37"/>
      <c r="C7020" s="37"/>
      <c r="D7020" s="37"/>
      <c r="E7020" s="212"/>
    </row>
    <row r="7021" spans="1:5" ht="14.25">
      <c r="A7021" s="37"/>
      <c r="B7021" s="37"/>
      <c r="C7021" s="37"/>
      <c r="D7021" s="37"/>
      <c r="E7021" s="212"/>
    </row>
    <row r="7022" spans="1:5" ht="14.25">
      <c r="A7022" s="37"/>
      <c r="B7022" s="37"/>
      <c r="C7022" s="37"/>
      <c r="D7022" s="37"/>
      <c r="E7022" s="212"/>
    </row>
    <row r="7023" spans="1:5" ht="14.25">
      <c r="A7023" s="37"/>
      <c r="B7023" s="37"/>
      <c r="C7023" s="37"/>
      <c r="D7023" s="37"/>
      <c r="E7023" s="212"/>
    </row>
    <row r="7024" spans="1:5" ht="14.25">
      <c r="A7024" s="37"/>
      <c r="B7024" s="37"/>
      <c r="C7024" s="37"/>
      <c r="D7024" s="37"/>
      <c r="E7024" s="212"/>
    </row>
    <row r="7025" spans="1:5" ht="14.25">
      <c r="A7025" s="37"/>
      <c r="B7025" s="37"/>
      <c r="C7025" s="37"/>
      <c r="D7025" s="37"/>
      <c r="E7025" s="212"/>
    </row>
    <row r="7026" spans="1:5" ht="14.25">
      <c r="A7026" s="37"/>
      <c r="B7026" s="37"/>
      <c r="C7026" s="37"/>
      <c r="D7026" s="37"/>
      <c r="E7026" s="212"/>
    </row>
    <row r="7027" spans="1:5" ht="14.25">
      <c r="A7027" s="37"/>
      <c r="B7027" s="37"/>
      <c r="C7027" s="37"/>
      <c r="D7027" s="37"/>
      <c r="E7027" s="212"/>
    </row>
    <row r="7028" spans="1:5" ht="14.25">
      <c r="A7028" s="37"/>
      <c r="B7028" s="37"/>
      <c r="C7028" s="37"/>
      <c r="D7028" s="37"/>
      <c r="E7028" s="212"/>
    </row>
    <row r="7029" spans="1:5" ht="14.25">
      <c r="A7029" s="37"/>
      <c r="B7029" s="37"/>
      <c r="C7029" s="37"/>
      <c r="D7029" s="37"/>
      <c r="E7029" s="212"/>
    </row>
    <row r="7030" spans="1:5" ht="14.25">
      <c r="A7030" s="37"/>
      <c r="B7030" s="37"/>
      <c r="C7030" s="37"/>
      <c r="D7030" s="37"/>
      <c r="E7030" s="212"/>
    </row>
    <row r="7031" spans="1:5" ht="14.25">
      <c r="A7031" s="37"/>
      <c r="B7031" s="37"/>
      <c r="C7031" s="37"/>
      <c r="D7031" s="37"/>
      <c r="E7031" s="212"/>
    </row>
    <row r="7032" spans="1:5" ht="14.25">
      <c r="A7032" s="37"/>
      <c r="B7032" s="37"/>
      <c r="C7032" s="37"/>
      <c r="D7032" s="37"/>
      <c r="E7032" s="212"/>
    </row>
    <row r="7033" spans="1:5" ht="14.25">
      <c r="A7033" s="37"/>
      <c r="B7033" s="37"/>
      <c r="C7033" s="37"/>
      <c r="D7033" s="37"/>
      <c r="E7033" s="212"/>
    </row>
    <row r="7034" spans="1:5" ht="14.25">
      <c r="A7034" s="37"/>
      <c r="B7034" s="37"/>
      <c r="C7034" s="37"/>
      <c r="D7034" s="37"/>
      <c r="E7034" s="212"/>
    </row>
    <row r="7035" spans="1:5" ht="14.25">
      <c r="A7035" s="37"/>
      <c r="B7035" s="37"/>
      <c r="C7035" s="37"/>
      <c r="D7035" s="37"/>
      <c r="E7035" s="212"/>
    </row>
    <row r="7036" spans="1:5" ht="14.25">
      <c r="A7036" s="37"/>
      <c r="B7036" s="37"/>
      <c r="C7036" s="37"/>
      <c r="D7036" s="37"/>
      <c r="E7036" s="212"/>
    </row>
    <row r="7037" spans="1:5" ht="14.25">
      <c r="A7037" s="37"/>
      <c r="B7037" s="37"/>
      <c r="C7037" s="37"/>
      <c r="D7037" s="37"/>
      <c r="E7037" s="212"/>
    </row>
    <row r="7038" spans="1:5" ht="14.25">
      <c r="A7038" s="37"/>
      <c r="B7038" s="37"/>
      <c r="C7038" s="37"/>
      <c r="D7038" s="37"/>
      <c r="E7038" s="212"/>
    </row>
    <row r="7039" spans="1:5" ht="14.25">
      <c r="A7039" s="37"/>
      <c r="B7039" s="37"/>
      <c r="C7039" s="37"/>
      <c r="D7039" s="37"/>
      <c r="E7039" s="212"/>
    </row>
    <row r="7040" spans="1:5" ht="14.25">
      <c r="A7040" s="37"/>
      <c r="B7040" s="37"/>
      <c r="C7040" s="37"/>
      <c r="D7040" s="37"/>
      <c r="E7040" s="212"/>
    </row>
    <row r="7041" spans="1:5" ht="14.25">
      <c r="A7041" s="37"/>
      <c r="B7041" s="37"/>
      <c r="C7041" s="37"/>
      <c r="D7041" s="37"/>
      <c r="E7041" s="212"/>
    </row>
    <row r="7042" spans="1:5" ht="14.25">
      <c r="A7042" s="37"/>
      <c r="B7042" s="37"/>
      <c r="C7042" s="37"/>
      <c r="D7042" s="37"/>
      <c r="E7042" s="212"/>
    </row>
    <row r="7043" spans="1:5" ht="14.25">
      <c r="A7043" s="37"/>
      <c r="B7043" s="37"/>
      <c r="C7043" s="37"/>
      <c r="D7043" s="37"/>
      <c r="E7043" s="212"/>
    </row>
    <row r="7044" spans="1:5" ht="14.25">
      <c r="A7044" s="37"/>
      <c r="B7044" s="37"/>
      <c r="C7044" s="37"/>
      <c r="D7044" s="37"/>
      <c r="E7044" s="212"/>
    </row>
    <row r="7045" spans="1:5" ht="14.25">
      <c r="A7045" s="37"/>
      <c r="B7045" s="37"/>
      <c r="C7045" s="37"/>
      <c r="D7045" s="37"/>
      <c r="E7045" s="212"/>
    </row>
    <row r="7046" spans="1:5" ht="14.25">
      <c r="A7046" s="37"/>
      <c r="B7046" s="37"/>
      <c r="C7046" s="37"/>
      <c r="D7046" s="37"/>
      <c r="E7046" s="212"/>
    </row>
    <row r="7047" spans="1:5" ht="14.25">
      <c r="A7047" s="37"/>
      <c r="B7047" s="37"/>
      <c r="C7047" s="37"/>
      <c r="D7047" s="37"/>
      <c r="E7047" s="212"/>
    </row>
    <row r="7048" spans="1:5" ht="14.25">
      <c r="A7048" s="37"/>
      <c r="B7048" s="37"/>
      <c r="C7048" s="37"/>
      <c r="D7048" s="37"/>
      <c r="E7048" s="212"/>
    </row>
    <row r="7049" spans="1:5" ht="14.25">
      <c r="A7049" s="37"/>
      <c r="B7049" s="37"/>
      <c r="C7049" s="37"/>
      <c r="D7049" s="37"/>
      <c r="E7049" s="212"/>
    </row>
    <row r="7050" spans="1:5" ht="14.25">
      <c r="A7050" s="37"/>
      <c r="B7050" s="37"/>
      <c r="C7050" s="37"/>
      <c r="D7050" s="37"/>
      <c r="E7050" s="212"/>
    </row>
    <row r="7051" spans="1:5" ht="14.25">
      <c r="A7051" s="37"/>
      <c r="B7051" s="37"/>
      <c r="C7051" s="37"/>
      <c r="D7051" s="37"/>
      <c r="E7051" s="212"/>
    </row>
    <row r="7052" spans="1:5" ht="14.25">
      <c r="A7052" s="37"/>
      <c r="B7052" s="37"/>
      <c r="C7052" s="37"/>
      <c r="D7052" s="37"/>
      <c r="E7052" s="212"/>
    </row>
    <row r="7053" spans="1:5" ht="14.25">
      <c r="A7053" s="37"/>
      <c r="B7053" s="37"/>
      <c r="C7053" s="37"/>
      <c r="D7053" s="37"/>
      <c r="E7053" s="212"/>
    </row>
    <row r="7054" spans="1:5" ht="14.25">
      <c r="A7054" s="37"/>
      <c r="B7054" s="37"/>
      <c r="C7054" s="37"/>
      <c r="D7054" s="37"/>
      <c r="E7054" s="212"/>
    </row>
    <row r="7055" spans="1:5" ht="14.25">
      <c r="A7055" s="37"/>
      <c r="B7055" s="37"/>
      <c r="C7055" s="37"/>
      <c r="D7055" s="37"/>
      <c r="E7055" s="212"/>
    </row>
    <row r="7056" spans="1:5" ht="14.25">
      <c r="A7056" s="37"/>
      <c r="B7056" s="37"/>
      <c r="C7056" s="37"/>
      <c r="D7056" s="37"/>
      <c r="E7056" s="212"/>
    </row>
    <row r="7057" spans="1:5" ht="14.25">
      <c r="A7057" s="37"/>
      <c r="B7057" s="37"/>
      <c r="C7057" s="37"/>
      <c r="D7057" s="37"/>
      <c r="E7057" s="212"/>
    </row>
    <row r="7058" spans="1:5" ht="14.25">
      <c r="A7058" s="37"/>
      <c r="B7058" s="37"/>
      <c r="C7058" s="37"/>
      <c r="D7058" s="37"/>
      <c r="E7058" s="212"/>
    </row>
    <row r="7059" spans="1:5" ht="14.25">
      <c r="A7059" s="37"/>
      <c r="B7059" s="37"/>
      <c r="C7059" s="37"/>
      <c r="D7059" s="37"/>
      <c r="E7059" s="212"/>
    </row>
    <row r="7060" spans="1:5" ht="14.25">
      <c r="A7060" s="37"/>
      <c r="B7060" s="37"/>
      <c r="C7060" s="37"/>
      <c r="D7060" s="37"/>
      <c r="E7060" s="212"/>
    </row>
    <row r="7061" spans="1:5" ht="14.25">
      <c r="A7061" s="37"/>
      <c r="B7061" s="37"/>
      <c r="C7061" s="37"/>
      <c r="D7061" s="37"/>
      <c r="E7061" s="212"/>
    </row>
    <row r="7062" spans="1:5" ht="14.25">
      <c r="A7062" s="37"/>
      <c r="B7062" s="37"/>
      <c r="C7062" s="37"/>
      <c r="D7062" s="37"/>
      <c r="E7062" s="212"/>
    </row>
    <row r="7063" spans="1:5" ht="14.25">
      <c r="A7063" s="37"/>
      <c r="B7063" s="37"/>
      <c r="C7063" s="37"/>
      <c r="D7063" s="37"/>
      <c r="E7063" s="212"/>
    </row>
    <row r="7064" spans="1:5" ht="14.25">
      <c r="A7064" s="37"/>
      <c r="B7064" s="37"/>
      <c r="C7064" s="37"/>
      <c r="D7064" s="37"/>
      <c r="E7064" s="212"/>
    </row>
    <row r="7065" spans="1:5" ht="14.25">
      <c r="A7065" s="37"/>
      <c r="B7065" s="37"/>
      <c r="C7065" s="37"/>
      <c r="D7065" s="37"/>
      <c r="E7065" s="212"/>
    </row>
    <row r="7066" spans="1:5" ht="14.25">
      <c r="A7066" s="37"/>
      <c r="B7066" s="37"/>
      <c r="C7066" s="37"/>
      <c r="D7066" s="37"/>
      <c r="E7066" s="212"/>
    </row>
    <row r="7067" spans="1:5" ht="14.25">
      <c r="A7067" s="37"/>
      <c r="B7067" s="37"/>
      <c r="C7067" s="37"/>
      <c r="D7067" s="37"/>
      <c r="E7067" s="212"/>
    </row>
    <row r="7068" spans="1:5" ht="14.25">
      <c r="A7068" s="37"/>
      <c r="B7068" s="37"/>
      <c r="C7068" s="37"/>
      <c r="D7068" s="37"/>
      <c r="E7068" s="212"/>
    </row>
    <row r="7069" spans="1:5" ht="14.25">
      <c r="A7069" s="37"/>
      <c r="B7069" s="37"/>
      <c r="C7069" s="37"/>
      <c r="D7069" s="37"/>
      <c r="E7069" s="212"/>
    </row>
    <row r="7070" spans="1:5" ht="14.25">
      <c r="A7070" s="37"/>
      <c r="B7070" s="37"/>
      <c r="C7070" s="37"/>
      <c r="D7070" s="37"/>
      <c r="E7070" s="212"/>
    </row>
    <row r="7071" spans="1:5" ht="14.25">
      <c r="A7071" s="37"/>
      <c r="B7071" s="37"/>
      <c r="C7071" s="37"/>
      <c r="D7071" s="37"/>
      <c r="E7071" s="212"/>
    </row>
    <row r="7072" spans="1:5" ht="14.25">
      <c r="A7072" s="37"/>
      <c r="B7072" s="37"/>
      <c r="C7072" s="37"/>
      <c r="D7072" s="37"/>
      <c r="E7072" s="212"/>
    </row>
    <row r="7073" spans="1:5" ht="14.25">
      <c r="A7073" s="37"/>
      <c r="B7073" s="37"/>
      <c r="C7073" s="37"/>
      <c r="D7073" s="37"/>
      <c r="E7073" s="212"/>
    </row>
    <row r="7074" spans="1:5" ht="14.25">
      <c r="A7074" s="37"/>
      <c r="B7074" s="37"/>
      <c r="C7074" s="37"/>
      <c r="D7074" s="37"/>
      <c r="E7074" s="212"/>
    </row>
    <row r="7075" spans="1:5" ht="14.25">
      <c r="A7075" s="37"/>
      <c r="B7075" s="37"/>
      <c r="C7075" s="37"/>
      <c r="D7075" s="37"/>
      <c r="E7075" s="212"/>
    </row>
    <row r="7076" spans="1:5" ht="14.25">
      <c r="A7076" s="37"/>
      <c r="B7076" s="37"/>
      <c r="C7076" s="37"/>
      <c r="D7076" s="37"/>
      <c r="E7076" s="212"/>
    </row>
    <row r="7077" spans="1:5" ht="14.25">
      <c r="A7077" s="37"/>
      <c r="B7077" s="37"/>
      <c r="C7077" s="37"/>
      <c r="D7077" s="37"/>
      <c r="E7077" s="212"/>
    </row>
    <row r="7078" spans="1:5" ht="14.25">
      <c r="A7078" s="37"/>
      <c r="B7078" s="37"/>
      <c r="C7078" s="37"/>
      <c r="D7078" s="37"/>
      <c r="E7078" s="212"/>
    </row>
    <row r="7079" spans="1:5" ht="14.25">
      <c r="A7079" s="37"/>
      <c r="B7079" s="37"/>
      <c r="C7079" s="37"/>
      <c r="D7079" s="37"/>
      <c r="E7079" s="212"/>
    </row>
    <row r="7080" spans="1:5" ht="14.25">
      <c r="A7080" s="37"/>
      <c r="B7080" s="37"/>
      <c r="C7080" s="37"/>
      <c r="D7080" s="37"/>
      <c r="E7080" s="212"/>
    </row>
    <row r="7081" spans="1:5" ht="14.25">
      <c r="A7081" s="37"/>
      <c r="B7081" s="37"/>
      <c r="C7081" s="37"/>
      <c r="D7081" s="37"/>
      <c r="E7081" s="212"/>
    </row>
    <row r="7082" spans="1:5" ht="14.25">
      <c r="A7082" s="37"/>
      <c r="B7082" s="37"/>
      <c r="C7082" s="37"/>
      <c r="D7082" s="37"/>
      <c r="E7082" s="212"/>
    </row>
    <row r="7083" spans="1:5" ht="14.25">
      <c r="A7083" s="37"/>
      <c r="B7083" s="37"/>
      <c r="C7083" s="37"/>
      <c r="D7083" s="37"/>
      <c r="E7083" s="212"/>
    </row>
    <row r="7084" spans="1:5" ht="14.25">
      <c r="A7084" s="37"/>
      <c r="B7084" s="37"/>
      <c r="C7084" s="37"/>
      <c r="D7084" s="37"/>
      <c r="E7084" s="212"/>
    </row>
    <row r="7085" spans="1:5" ht="14.25">
      <c r="A7085" s="37"/>
      <c r="B7085" s="37"/>
      <c r="C7085" s="37"/>
      <c r="D7085" s="37"/>
      <c r="E7085" s="212"/>
    </row>
    <row r="7086" spans="1:5" ht="14.25">
      <c r="A7086" s="37"/>
      <c r="B7086" s="37"/>
      <c r="C7086" s="37"/>
      <c r="D7086" s="37"/>
      <c r="E7086" s="212"/>
    </row>
    <row r="7087" spans="1:5" ht="14.25">
      <c r="A7087" s="37"/>
      <c r="B7087" s="37"/>
      <c r="C7087" s="37"/>
      <c r="D7087" s="37"/>
      <c r="E7087" s="212"/>
    </row>
    <row r="7088" spans="1:5" ht="14.25">
      <c r="A7088" s="37"/>
      <c r="B7088" s="37"/>
      <c r="C7088" s="37"/>
      <c r="D7088" s="37"/>
      <c r="E7088" s="212"/>
    </row>
    <row r="7089" spans="1:5" ht="14.25">
      <c r="A7089" s="37"/>
      <c r="B7089" s="37"/>
      <c r="C7089" s="37"/>
      <c r="D7089" s="37"/>
      <c r="E7089" s="212"/>
    </row>
    <row r="7090" spans="1:5" ht="14.25">
      <c r="A7090" s="37"/>
      <c r="B7090" s="37"/>
      <c r="C7090" s="37"/>
      <c r="D7090" s="37"/>
      <c r="E7090" s="212"/>
    </row>
    <row r="7091" spans="1:5" ht="14.25">
      <c r="A7091" s="37"/>
      <c r="B7091" s="37"/>
      <c r="C7091" s="37"/>
      <c r="D7091" s="37"/>
      <c r="E7091" s="212"/>
    </row>
    <row r="7092" spans="1:5" ht="14.25">
      <c r="A7092" s="37"/>
      <c r="B7092" s="37"/>
      <c r="C7092" s="37"/>
      <c r="D7092" s="37"/>
      <c r="E7092" s="212"/>
    </row>
    <row r="7093" spans="1:5" ht="14.25">
      <c r="A7093" s="37"/>
      <c r="B7093" s="37"/>
      <c r="C7093" s="37"/>
      <c r="D7093" s="37"/>
      <c r="E7093" s="212"/>
    </row>
    <row r="7094" spans="1:5" ht="14.25">
      <c r="A7094" s="37"/>
      <c r="B7094" s="37"/>
      <c r="C7094" s="37"/>
      <c r="D7094" s="37"/>
      <c r="E7094" s="212"/>
    </row>
    <row r="7095" spans="1:5" ht="14.25">
      <c r="A7095" s="37"/>
      <c r="B7095" s="37"/>
      <c r="C7095" s="37"/>
      <c r="D7095" s="37"/>
      <c r="E7095" s="212"/>
    </row>
    <row r="7096" spans="1:5" ht="14.25">
      <c r="A7096" s="37"/>
      <c r="B7096" s="37"/>
      <c r="C7096" s="37"/>
      <c r="D7096" s="37"/>
      <c r="E7096" s="212"/>
    </row>
    <row r="7097" spans="1:5" ht="14.25">
      <c r="A7097" s="37"/>
      <c r="B7097" s="37"/>
      <c r="C7097" s="37"/>
      <c r="D7097" s="37"/>
      <c r="E7097" s="212"/>
    </row>
    <row r="7098" spans="1:5" ht="14.25">
      <c r="A7098" s="37"/>
      <c r="B7098" s="37"/>
      <c r="C7098" s="37"/>
      <c r="D7098" s="37"/>
      <c r="E7098" s="212"/>
    </row>
    <row r="7099" spans="1:5" ht="14.25">
      <c r="A7099" s="37"/>
      <c r="B7099" s="37"/>
      <c r="C7099" s="37"/>
      <c r="D7099" s="37"/>
      <c r="E7099" s="212"/>
    </row>
    <row r="7100" spans="1:5" ht="14.25">
      <c r="A7100" s="37"/>
      <c r="B7100" s="37"/>
      <c r="C7100" s="37"/>
      <c r="D7100" s="37"/>
      <c r="E7100" s="212"/>
    </row>
    <row r="7101" spans="1:5" ht="14.25">
      <c r="A7101" s="37"/>
      <c r="B7101" s="37"/>
      <c r="C7101" s="37"/>
      <c r="D7101" s="37"/>
      <c r="E7101" s="212"/>
    </row>
    <row r="7102" spans="1:5" ht="14.25">
      <c r="A7102" s="37"/>
      <c r="B7102" s="37"/>
      <c r="C7102" s="37"/>
      <c r="D7102" s="37"/>
      <c r="E7102" s="212"/>
    </row>
    <row r="7103" spans="1:5" ht="14.25">
      <c r="A7103" s="37"/>
      <c r="B7103" s="37"/>
      <c r="C7103" s="37"/>
      <c r="D7103" s="37"/>
      <c r="E7103" s="212"/>
    </row>
    <row r="7104" spans="1:5" ht="14.25">
      <c r="A7104" s="37"/>
      <c r="B7104" s="37"/>
      <c r="C7104" s="37"/>
      <c r="D7104" s="37"/>
      <c r="E7104" s="212"/>
    </row>
    <row r="7105" spans="1:5" ht="14.25">
      <c r="A7105" s="37"/>
      <c r="B7105" s="37"/>
      <c r="C7105" s="37"/>
      <c r="D7105" s="37"/>
      <c r="E7105" s="212"/>
    </row>
    <row r="7106" spans="1:5" ht="14.25">
      <c r="A7106" s="37"/>
      <c r="B7106" s="37"/>
      <c r="C7106" s="37"/>
      <c r="D7106" s="37"/>
      <c r="E7106" s="212"/>
    </row>
    <row r="7107" spans="1:5" ht="14.25">
      <c r="A7107" s="37"/>
      <c r="B7107" s="37"/>
      <c r="C7107" s="37"/>
      <c r="D7107" s="37"/>
      <c r="E7107" s="212"/>
    </row>
    <row r="7108" spans="1:5" ht="14.25">
      <c r="A7108" s="37"/>
      <c r="B7108" s="37"/>
      <c r="C7108" s="37"/>
      <c r="D7108" s="37"/>
      <c r="E7108" s="212"/>
    </row>
    <row r="7109" spans="1:5" ht="14.25">
      <c r="A7109" s="37"/>
      <c r="B7109" s="37"/>
      <c r="C7109" s="37"/>
      <c r="D7109" s="37"/>
      <c r="E7109" s="212"/>
    </row>
    <row r="7110" spans="1:5" ht="14.25">
      <c r="A7110" s="37"/>
      <c r="B7110" s="37"/>
      <c r="C7110" s="37"/>
      <c r="D7110" s="37"/>
      <c r="E7110" s="212"/>
    </row>
    <row r="7111" spans="1:5" ht="14.25">
      <c r="A7111" s="37"/>
      <c r="B7111" s="37"/>
      <c r="C7111" s="37"/>
      <c r="D7111" s="37"/>
      <c r="E7111" s="212"/>
    </row>
    <row r="7112" spans="1:5" ht="14.25">
      <c r="A7112" s="37"/>
      <c r="B7112" s="37"/>
      <c r="C7112" s="37"/>
      <c r="D7112" s="37"/>
      <c r="E7112" s="212"/>
    </row>
    <row r="7113" spans="1:5" ht="14.25">
      <c r="A7113" s="37"/>
      <c r="B7113" s="37"/>
      <c r="C7113" s="37"/>
      <c r="D7113" s="37"/>
      <c r="E7113" s="212"/>
    </row>
    <row r="7114" spans="1:5" ht="14.25">
      <c r="A7114" s="37"/>
      <c r="B7114" s="37"/>
      <c r="C7114" s="37"/>
      <c r="D7114" s="37"/>
      <c r="E7114" s="212"/>
    </row>
    <row r="7115" spans="1:5" ht="14.25">
      <c r="A7115" s="37"/>
      <c r="B7115" s="37"/>
      <c r="C7115" s="37"/>
      <c r="D7115" s="37"/>
      <c r="E7115" s="212"/>
    </row>
    <row r="7116" spans="1:5" ht="14.25">
      <c r="A7116" s="37"/>
      <c r="B7116" s="37"/>
      <c r="C7116" s="37"/>
      <c r="D7116" s="37"/>
      <c r="E7116" s="212"/>
    </row>
    <row r="7117" spans="1:5" ht="14.25">
      <c r="A7117" s="37"/>
      <c r="B7117" s="37"/>
      <c r="C7117" s="37"/>
      <c r="D7117" s="37"/>
      <c r="E7117" s="212"/>
    </row>
    <row r="7118" spans="1:5" ht="14.25">
      <c r="A7118" s="37"/>
      <c r="B7118" s="37"/>
      <c r="C7118" s="37"/>
      <c r="D7118" s="37"/>
      <c r="E7118" s="212"/>
    </row>
    <row r="7119" spans="1:5" ht="14.25">
      <c r="A7119" s="37"/>
      <c r="B7119" s="37"/>
      <c r="C7119" s="37"/>
      <c r="D7119" s="37"/>
      <c r="E7119" s="212"/>
    </row>
    <row r="7120" spans="1:5" ht="14.25">
      <c r="A7120" s="37"/>
      <c r="B7120" s="37"/>
      <c r="C7120" s="37"/>
      <c r="D7120" s="37"/>
      <c r="E7120" s="212"/>
    </row>
    <row r="7121" spans="1:5" ht="14.25">
      <c r="A7121" s="37"/>
      <c r="B7121" s="37"/>
      <c r="C7121" s="37"/>
      <c r="D7121" s="37"/>
      <c r="E7121" s="212"/>
    </row>
    <row r="7122" spans="1:5" ht="14.25">
      <c r="A7122" s="37"/>
      <c r="B7122" s="37"/>
      <c r="C7122" s="37"/>
      <c r="D7122" s="37"/>
      <c r="E7122" s="212"/>
    </row>
    <row r="7123" spans="1:5" ht="14.25">
      <c r="A7123" s="37"/>
      <c r="B7123" s="37"/>
      <c r="C7123" s="37"/>
      <c r="D7123" s="37"/>
      <c r="E7123" s="212"/>
    </row>
    <row r="7124" spans="1:5" ht="14.25">
      <c r="A7124" s="37"/>
      <c r="B7124" s="37"/>
      <c r="C7124" s="37"/>
      <c r="D7124" s="37"/>
      <c r="E7124" s="212"/>
    </row>
    <row r="7125" spans="1:5" ht="14.25">
      <c r="A7125" s="37"/>
      <c r="B7125" s="37"/>
      <c r="C7125" s="37"/>
      <c r="D7125" s="37"/>
      <c r="E7125" s="212"/>
    </row>
    <row r="7126" spans="1:5" ht="14.25">
      <c r="A7126" s="37"/>
      <c r="B7126" s="37"/>
      <c r="C7126" s="37"/>
      <c r="D7126" s="37"/>
      <c r="E7126" s="212"/>
    </row>
    <row r="7127" spans="1:5" ht="14.25">
      <c r="A7127" s="37"/>
      <c r="B7127" s="37"/>
      <c r="C7127" s="37"/>
      <c r="D7127" s="37"/>
      <c r="E7127" s="212"/>
    </row>
    <row r="7128" spans="1:5" ht="14.25">
      <c r="A7128" s="37"/>
      <c r="B7128" s="37"/>
      <c r="C7128" s="37"/>
      <c r="D7128" s="37"/>
      <c r="E7128" s="212"/>
    </row>
    <row r="7129" spans="1:5" ht="14.25">
      <c r="A7129" s="37"/>
      <c r="B7129" s="37"/>
      <c r="C7129" s="37"/>
      <c r="D7129" s="37"/>
      <c r="E7129" s="212"/>
    </row>
    <row r="7130" spans="1:5" ht="14.25">
      <c r="A7130" s="37"/>
      <c r="B7130" s="37"/>
      <c r="C7130" s="37"/>
      <c r="D7130" s="37"/>
      <c r="E7130" s="212"/>
    </row>
    <row r="7131" spans="1:5" ht="14.25">
      <c r="A7131" s="37"/>
      <c r="B7131" s="37"/>
      <c r="C7131" s="37"/>
      <c r="D7131" s="37"/>
      <c r="E7131" s="213"/>
    </row>
    <row r="7132" spans="1:5" ht="14.25">
      <c r="A7132" s="37"/>
      <c r="B7132" s="37"/>
      <c r="C7132" s="37"/>
      <c r="D7132" s="37"/>
      <c r="E7132" s="212"/>
    </row>
    <row r="7133" spans="1:5" ht="14.25">
      <c r="A7133" s="37"/>
      <c r="B7133" s="37"/>
      <c r="C7133" s="37"/>
      <c r="D7133" s="37"/>
      <c r="E7133" s="212"/>
    </row>
    <row r="7134" spans="1:5" ht="14.25">
      <c r="A7134" s="37"/>
      <c r="B7134" s="37"/>
      <c r="C7134" s="37"/>
      <c r="D7134" s="37"/>
      <c r="E7134" s="212"/>
    </row>
    <row r="7135" spans="1:5" ht="14.25">
      <c r="A7135" s="37"/>
      <c r="B7135" s="37"/>
      <c r="C7135" s="37"/>
      <c r="D7135" s="37"/>
      <c r="E7135" s="212"/>
    </row>
    <row r="7136" spans="1:5" ht="14.25">
      <c r="A7136" s="37"/>
      <c r="B7136" s="37"/>
      <c r="C7136" s="37"/>
      <c r="D7136" s="37"/>
      <c r="E7136" s="212"/>
    </row>
    <row r="7137" spans="1:5" ht="14.25">
      <c r="A7137" s="37"/>
      <c r="B7137" s="37"/>
      <c r="C7137" s="37"/>
      <c r="D7137" s="37"/>
      <c r="E7137" s="212"/>
    </row>
    <row r="7138" spans="1:5" ht="14.25">
      <c r="A7138" s="37"/>
      <c r="B7138" s="37"/>
      <c r="C7138" s="37"/>
      <c r="D7138" s="37"/>
      <c r="E7138" s="212"/>
    </row>
    <row r="7139" spans="1:5" ht="14.25">
      <c r="A7139" s="37"/>
      <c r="B7139" s="37"/>
      <c r="C7139" s="37"/>
      <c r="D7139" s="37"/>
      <c r="E7139" s="212"/>
    </row>
    <row r="7140" spans="1:5" ht="14.25">
      <c r="A7140" s="37"/>
      <c r="B7140" s="37"/>
      <c r="C7140" s="37"/>
      <c r="D7140" s="37"/>
      <c r="E7140" s="212"/>
    </row>
    <row r="7141" spans="1:5" ht="14.25">
      <c r="A7141" s="37"/>
      <c r="B7141" s="37"/>
      <c r="C7141" s="37"/>
      <c r="D7141" s="37"/>
      <c r="E7141" s="212"/>
    </row>
    <row r="7142" spans="1:5" ht="14.25">
      <c r="A7142" s="37"/>
      <c r="B7142" s="37"/>
      <c r="C7142" s="37"/>
      <c r="D7142" s="37"/>
      <c r="E7142" s="213"/>
    </row>
    <row r="7143" spans="1:5" ht="14.25">
      <c r="A7143" s="37"/>
      <c r="B7143" s="37"/>
      <c r="C7143" s="37"/>
      <c r="D7143" s="37"/>
      <c r="E7143" s="212"/>
    </row>
    <row r="7144" spans="1:5" ht="14.25">
      <c r="A7144" s="37"/>
      <c r="B7144" s="37"/>
      <c r="C7144" s="37"/>
      <c r="D7144" s="37"/>
      <c r="E7144" s="212"/>
    </row>
    <row r="7145" spans="1:5" ht="14.25">
      <c r="A7145" s="37"/>
      <c r="B7145" s="37"/>
      <c r="C7145" s="37"/>
      <c r="D7145" s="37"/>
      <c r="E7145" s="212"/>
    </row>
    <row r="7146" spans="1:5" ht="14.25">
      <c r="A7146" s="37"/>
      <c r="B7146" s="37"/>
      <c r="C7146" s="37"/>
      <c r="D7146" s="37"/>
      <c r="E7146" s="212"/>
    </row>
    <row r="7147" spans="1:5" ht="14.25">
      <c r="A7147" s="37"/>
      <c r="B7147" s="37"/>
      <c r="C7147" s="37"/>
      <c r="D7147" s="37"/>
      <c r="E7147" s="213"/>
    </row>
    <row r="7148" spans="1:5" ht="14.25">
      <c r="A7148" s="37"/>
      <c r="B7148" s="37"/>
      <c r="C7148" s="37"/>
      <c r="D7148" s="37"/>
      <c r="E7148" s="212"/>
    </row>
    <row r="7149" spans="1:5" ht="14.25">
      <c r="A7149" s="37"/>
      <c r="B7149" s="37"/>
      <c r="C7149" s="37"/>
      <c r="D7149" s="37"/>
      <c r="E7149" s="212"/>
    </row>
    <row r="7150" spans="1:5" ht="14.25">
      <c r="A7150" s="37"/>
      <c r="B7150" s="37"/>
      <c r="C7150" s="37"/>
      <c r="D7150" s="37"/>
      <c r="E7150" s="212"/>
    </row>
    <row r="7151" spans="1:5" ht="14.25">
      <c r="A7151" s="37"/>
      <c r="B7151" s="37"/>
      <c r="C7151" s="37"/>
      <c r="D7151" s="37"/>
      <c r="E7151" s="212"/>
    </row>
    <row r="7152" spans="1:5" ht="14.25">
      <c r="A7152" s="37"/>
      <c r="B7152" s="37"/>
      <c r="C7152" s="37"/>
      <c r="D7152" s="37"/>
      <c r="E7152" s="212"/>
    </row>
    <row r="7153" spans="1:5" ht="14.25">
      <c r="A7153" s="37"/>
      <c r="B7153" s="37"/>
      <c r="C7153" s="37"/>
      <c r="D7153" s="37"/>
      <c r="E7153" s="212"/>
    </row>
    <row r="7154" spans="1:5" ht="14.25">
      <c r="A7154" s="37"/>
      <c r="B7154" s="37"/>
      <c r="C7154" s="37"/>
      <c r="D7154" s="37"/>
      <c r="E7154" s="212"/>
    </row>
    <row r="7155" spans="1:5" ht="14.25">
      <c r="A7155" s="37"/>
      <c r="B7155" s="37"/>
      <c r="C7155" s="37"/>
      <c r="D7155" s="37"/>
      <c r="E7155" s="212"/>
    </row>
    <row r="7156" spans="1:5" ht="14.25">
      <c r="A7156" s="37"/>
      <c r="B7156" s="37"/>
      <c r="C7156" s="37"/>
      <c r="D7156" s="37"/>
      <c r="E7156" s="212"/>
    </row>
    <row r="7157" spans="1:5" ht="14.25">
      <c r="A7157" s="37"/>
      <c r="B7157" s="37"/>
      <c r="C7157" s="37"/>
      <c r="D7157" s="37"/>
      <c r="E7157" s="212"/>
    </row>
    <row r="7158" spans="1:5" ht="14.25">
      <c r="A7158" s="37"/>
      <c r="B7158" s="37"/>
      <c r="C7158" s="37"/>
      <c r="D7158" s="37"/>
      <c r="E7158" s="212"/>
    </row>
    <row r="7159" spans="1:5" ht="14.25">
      <c r="A7159" s="37"/>
      <c r="B7159" s="37"/>
      <c r="C7159" s="37"/>
      <c r="D7159" s="37"/>
      <c r="E7159" s="212"/>
    </row>
    <row r="7160" spans="1:5" ht="14.25">
      <c r="A7160" s="37"/>
      <c r="B7160" s="37"/>
      <c r="C7160" s="37"/>
      <c r="D7160" s="37"/>
      <c r="E7160" s="212"/>
    </row>
    <row r="7161" spans="1:5" ht="14.25">
      <c r="A7161" s="37"/>
      <c r="B7161" s="37"/>
      <c r="C7161" s="37"/>
      <c r="D7161" s="37"/>
      <c r="E7161" s="212"/>
    </row>
    <row r="7162" spans="1:5" ht="14.25">
      <c r="A7162" s="37"/>
      <c r="B7162" s="37"/>
      <c r="C7162" s="37"/>
      <c r="D7162" s="37"/>
      <c r="E7162" s="212"/>
    </row>
    <row r="7163" spans="1:5" ht="14.25">
      <c r="A7163" s="37"/>
      <c r="B7163" s="37"/>
      <c r="C7163" s="37"/>
      <c r="D7163" s="37"/>
      <c r="E7163" s="212"/>
    </row>
    <row r="7164" spans="1:5" ht="14.25">
      <c r="A7164" s="37"/>
      <c r="B7164" s="37"/>
      <c r="C7164" s="37"/>
      <c r="D7164" s="37"/>
      <c r="E7164" s="212"/>
    </row>
    <row r="7165" spans="1:5" ht="14.25">
      <c r="A7165" s="37"/>
      <c r="B7165" s="37"/>
      <c r="C7165" s="37"/>
      <c r="D7165" s="37"/>
      <c r="E7165" s="212"/>
    </row>
    <row r="7166" spans="1:5" ht="14.25">
      <c r="A7166" s="37"/>
      <c r="B7166" s="37"/>
      <c r="C7166" s="37"/>
      <c r="D7166" s="37"/>
      <c r="E7166" s="212"/>
    </row>
    <row r="7167" spans="1:5" ht="14.25">
      <c r="A7167" s="37"/>
      <c r="B7167" s="37"/>
      <c r="C7167" s="37"/>
      <c r="D7167" s="37"/>
      <c r="E7167" s="213"/>
    </row>
    <row r="7168" spans="1:5" ht="14.25">
      <c r="A7168" s="37"/>
      <c r="B7168" s="37"/>
      <c r="C7168" s="37"/>
      <c r="D7168" s="37"/>
      <c r="E7168" s="213"/>
    </row>
    <row r="7169" spans="1:5" ht="14.25">
      <c r="A7169" s="37"/>
      <c r="B7169" s="37"/>
      <c r="C7169" s="37"/>
      <c r="D7169" s="37"/>
      <c r="E7169" s="212"/>
    </row>
    <row r="7170" spans="1:5" ht="14.25">
      <c r="A7170" s="37"/>
      <c r="B7170" s="37"/>
      <c r="C7170" s="37"/>
      <c r="D7170" s="37"/>
      <c r="E7170" s="212"/>
    </row>
    <row r="7171" spans="1:5" ht="14.25">
      <c r="A7171" s="37"/>
      <c r="B7171" s="37"/>
      <c r="C7171" s="37"/>
      <c r="D7171" s="37"/>
      <c r="E7171" s="213"/>
    </row>
    <row r="7172" spans="1:5" ht="14.25">
      <c r="A7172" s="37"/>
      <c r="B7172" s="37"/>
      <c r="C7172" s="37"/>
      <c r="D7172" s="37"/>
      <c r="E7172" s="213"/>
    </row>
    <row r="7173" spans="1:5" ht="14.25">
      <c r="A7173" s="37"/>
      <c r="B7173" s="37"/>
      <c r="C7173" s="37"/>
      <c r="D7173" s="37"/>
      <c r="E7173" s="212"/>
    </row>
    <row r="7174" spans="1:5" ht="14.25">
      <c r="A7174" s="37"/>
      <c r="B7174" s="37"/>
      <c r="C7174" s="37"/>
      <c r="D7174" s="37"/>
      <c r="E7174" s="212"/>
    </row>
    <row r="7175" spans="1:5" ht="14.25">
      <c r="A7175" s="37"/>
      <c r="B7175" s="37"/>
      <c r="C7175" s="37"/>
      <c r="D7175" s="37"/>
      <c r="E7175" s="212"/>
    </row>
    <row r="7176" spans="1:5" ht="14.25">
      <c r="A7176" s="37"/>
      <c r="B7176" s="37"/>
      <c r="C7176" s="37"/>
      <c r="D7176" s="37"/>
      <c r="E7176" s="212"/>
    </row>
    <row r="7177" spans="1:5" ht="14.25">
      <c r="A7177" s="37"/>
      <c r="B7177" s="37"/>
      <c r="C7177" s="37"/>
      <c r="D7177" s="37"/>
      <c r="E7177" s="212"/>
    </row>
    <row r="7178" spans="1:5" ht="14.25">
      <c r="A7178" s="37"/>
      <c r="B7178" s="37"/>
      <c r="C7178" s="37"/>
      <c r="D7178" s="37"/>
      <c r="E7178" s="212"/>
    </row>
    <row r="7179" spans="1:5" ht="14.25">
      <c r="A7179" s="37"/>
      <c r="B7179" s="37"/>
      <c r="C7179" s="37"/>
      <c r="D7179" s="37"/>
      <c r="E7179" s="212"/>
    </row>
    <row r="7180" spans="1:5" ht="14.25">
      <c r="A7180" s="37"/>
      <c r="B7180" s="37"/>
      <c r="C7180" s="37"/>
      <c r="D7180" s="37"/>
      <c r="E7180" s="212"/>
    </row>
    <row r="7181" spans="1:5" ht="14.25">
      <c r="A7181" s="37"/>
      <c r="B7181" s="37"/>
      <c r="C7181" s="37"/>
      <c r="D7181" s="37"/>
      <c r="E7181" s="212"/>
    </row>
    <row r="7182" spans="1:5" ht="14.25">
      <c r="A7182" s="37"/>
      <c r="B7182" s="37"/>
      <c r="C7182" s="37"/>
      <c r="D7182" s="37"/>
      <c r="E7182" s="212"/>
    </row>
    <row r="7183" spans="1:5" ht="14.25">
      <c r="A7183" s="37"/>
      <c r="B7183" s="37"/>
      <c r="C7183" s="37"/>
      <c r="D7183" s="37"/>
      <c r="E7183" s="212"/>
    </row>
    <row r="7184" spans="1:5" ht="14.25">
      <c r="A7184" s="37"/>
      <c r="B7184" s="37"/>
      <c r="C7184" s="37"/>
      <c r="D7184" s="37"/>
      <c r="E7184" s="212"/>
    </row>
    <row r="7185" spans="1:5" ht="14.25">
      <c r="A7185" s="37"/>
      <c r="B7185" s="37"/>
      <c r="C7185" s="37"/>
      <c r="D7185" s="37"/>
      <c r="E7185" s="212"/>
    </row>
    <row r="7186" spans="1:5" ht="14.25">
      <c r="A7186" s="37"/>
      <c r="B7186" s="37"/>
      <c r="C7186" s="37"/>
      <c r="D7186" s="37"/>
      <c r="E7186" s="212"/>
    </row>
    <row r="7187" spans="1:5" ht="14.25">
      <c r="A7187" s="37"/>
      <c r="B7187" s="37"/>
      <c r="C7187" s="37"/>
      <c r="D7187" s="37"/>
      <c r="E7187" s="212"/>
    </row>
    <row r="7188" spans="1:5" ht="14.25">
      <c r="A7188" s="37"/>
      <c r="B7188" s="37"/>
      <c r="C7188" s="37"/>
      <c r="D7188" s="37"/>
      <c r="E7188" s="212"/>
    </row>
    <row r="7189" spans="1:5" ht="14.25">
      <c r="A7189" s="37"/>
      <c r="B7189" s="37"/>
      <c r="C7189" s="37"/>
      <c r="D7189" s="37"/>
      <c r="E7189" s="212"/>
    </row>
    <row r="7190" spans="1:5" ht="14.25">
      <c r="A7190" s="37"/>
      <c r="B7190" s="37"/>
      <c r="C7190" s="37"/>
      <c r="D7190" s="37"/>
      <c r="E7190" s="212"/>
    </row>
    <row r="7191" spans="1:5" ht="14.25">
      <c r="A7191" s="37"/>
      <c r="B7191" s="37"/>
      <c r="C7191" s="37"/>
      <c r="D7191" s="37"/>
      <c r="E7191" s="212"/>
    </row>
    <row r="7192" spans="1:5" ht="14.25">
      <c r="A7192" s="37"/>
      <c r="B7192" s="37"/>
      <c r="C7192" s="37"/>
      <c r="D7192" s="37"/>
      <c r="E7192" s="212"/>
    </row>
    <row r="7193" spans="1:5" ht="14.25">
      <c r="A7193" s="37"/>
      <c r="B7193" s="37"/>
      <c r="C7193" s="37"/>
      <c r="D7193" s="37"/>
      <c r="E7193" s="212"/>
    </row>
    <row r="7194" spans="1:5" ht="14.25">
      <c r="A7194" s="37"/>
      <c r="B7194" s="37"/>
      <c r="C7194" s="37"/>
      <c r="D7194" s="37"/>
      <c r="E7194" s="212"/>
    </row>
    <row r="7195" spans="1:5" ht="14.25">
      <c r="A7195" s="37"/>
      <c r="B7195" s="37"/>
      <c r="C7195" s="37"/>
      <c r="D7195" s="37"/>
      <c r="E7195" s="212"/>
    </row>
    <row r="7196" spans="1:5" ht="14.25">
      <c r="A7196" s="37"/>
      <c r="B7196" s="37"/>
      <c r="C7196" s="37"/>
      <c r="D7196" s="37"/>
      <c r="E7196" s="212"/>
    </row>
    <row r="7197" spans="1:5" ht="14.25">
      <c r="A7197" s="37"/>
      <c r="B7197" s="37"/>
      <c r="C7197" s="37"/>
      <c r="D7197" s="37"/>
      <c r="E7197" s="212"/>
    </row>
    <row r="7198" spans="1:5" ht="14.25">
      <c r="A7198" s="37"/>
      <c r="B7198" s="37"/>
      <c r="C7198" s="37"/>
      <c r="D7198" s="37"/>
      <c r="E7198" s="212"/>
    </row>
    <row r="7199" spans="1:5" ht="14.25">
      <c r="A7199" s="37"/>
      <c r="B7199" s="37"/>
      <c r="C7199" s="37"/>
      <c r="D7199" s="37"/>
      <c r="E7199" s="212"/>
    </row>
    <row r="7200" spans="1:5" ht="14.25">
      <c r="A7200" s="37"/>
      <c r="B7200" s="37"/>
      <c r="C7200" s="37"/>
      <c r="D7200" s="37"/>
      <c r="E7200" s="212"/>
    </row>
    <row r="7201" spans="1:5" ht="14.25">
      <c r="A7201" s="37"/>
      <c r="B7201" s="37"/>
      <c r="C7201" s="37"/>
      <c r="D7201" s="37"/>
      <c r="E7201" s="212"/>
    </row>
    <row r="7202" spans="1:5" ht="14.25">
      <c r="A7202" s="37"/>
      <c r="B7202" s="37"/>
      <c r="C7202" s="37"/>
      <c r="D7202" s="37"/>
      <c r="E7202" s="212"/>
    </row>
    <row r="7203" spans="1:5" ht="14.25">
      <c r="A7203" s="37"/>
      <c r="B7203" s="37"/>
      <c r="C7203" s="37"/>
      <c r="D7203" s="37"/>
      <c r="E7203" s="212"/>
    </row>
    <row r="7204" spans="1:5" ht="14.25">
      <c r="A7204" s="37"/>
      <c r="B7204" s="37"/>
      <c r="C7204" s="37"/>
      <c r="D7204" s="37"/>
      <c r="E7204" s="212"/>
    </row>
    <row r="7205" spans="1:5" ht="14.25">
      <c r="A7205" s="37"/>
      <c r="B7205" s="37"/>
      <c r="C7205" s="37"/>
      <c r="D7205" s="37"/>
      <c r="E7205" s="212"/>
    </row>
    <row r="7206" spans="1:5" ht="14.25">
      <c r="A7206" s="37"/>
      <c r="B7206" s="37"/>
      <c r="C7206" s="37"/>
      <c r="D7206" s="37"/>
      <c r="E7206" s="212"/>
    </row>
    <row r="7207" spans="1:5" ht="14.25">
      <c r="A7207" s="37"/>
      <c r="B7207" s="37"/>
      <c r="C7207" s="37"/>
      <c r="D7207" s="37"/>
      <c r="E7207" s="212"/>
    </row>
    <row r="7208" spans="1:5" ht="14.25">
      <c r="A7208" s="37"/>
      <c r="B7208" s="37"/>
      <c r="C7208" s="37"/>
      <c r="D7208" s="37"/>
      <c r="E7208" s="212"/>
    </row>
    <row r="7209" spans="1:5" ht="14.25">
      <c r="A7209" s="37"/>
      <c r="B7209" s="37"/>
      <c r="C7209" s="37"/>
      <c r="D7209" s="37"/>
      <c r="E7209" s="213"/>
    </row>
    <row r="7210" spans="1:5" ht="14.25">
      <c r="A7210" s="37"/>
      <c r="B7210" s="37"/>
      <c r="C7210" s="37"/>
      <c r="D7210" s="37"/>
      <c r="E7210" s="213"/>
    </row>
    <row r="7211" spans="1:5" ht="14.25">
      <c r="A7211" s="37"/>
      <c r="B7211" s="37"/>
      <c r="C7211" s="37"/>
      <c r="D7211" s="37"/>
      <c r="E7211" s="213"/>
    </row>
    <row r="7212" spans="1:5" ht="14.25">
      <c r="A7212" s="37"/>
      <c r="B7212" s="37"/>
      <c r="C7212" s="37"/>
      <c r="D7212" s="37"/>
      <c r="E7212" s="213"/>
    </row>
    <row r="7213" spans="1:5" ht="14.25">
      <c r="A7213" s="37"/>
      <c r="B7213" s="37"/>
      <c r="C7213" s="37"/>
      <c r="D7213" s="37"/>
      <c r="E7213" s="213"/>
    </row>
    <row r="7214" spans="1:5" ht="14.25">
      <c r="A7214" s="37"/>
      <c r="B7214" s="37"/>
      <c r="C7214" s="37"/>
      <c r="D7214" s="37"/>
      <c r="E7214" s="213"/>
    </row>
    <row r="7215" spans="1:5" ht="14.25">
      <c r="A7215" s="37"/>
      <c r="B7215" s="37"/>
      <c r="C7215" s="37"/>
      <c r="D7215" s="37"/>
      <c r="E7215" s="212"/>
    </row>
    <row r="7216" spans="1:5" ht="14.25">
      <c r="A7216" s="37"/>
      <c r="B7216" s="37"/>
      <c r="C7216" s="37"/>
      <c r="D7216" s="37"/>
      <c r="E7216" s="212"/>
    </row>
    <row r="7217" spans="1:5" ht="14.25">
      <c r="A7217" s="37"/>
      <c r="B7217" s="37"/>
      <c r="C7217" s="37"/>
      <c r="D7217" s="37"/>
      <c r="E7217" s="213"/>
    </row>
    <row r="7218" spans="1:5" ht="14.25">
      <c r="A7218" s="37"/>
      <c r="B7218" s="37"/>
      <c r="C7218" s="37"/>
      <c r="D7218" s="37"/>
      <c r="E7218" s="212"/>
    </row>
    <row r="7219" spans="1:5" ht="14.25">
      <c r="A7219" s="37"/>
      <c r="B7219" s="37"/>
      <c r="C7219" s="37"/>
      <c r="D7219" s="37"/>
      <c r="E7219" s="213"/>
    </row>
    <row r="7220" spans="1:5" ht="14.25">
      <c r="A7220" s="37"/>
      <c r="B7220" s="37"/>
      <c r="C7220" s="37"/>
      <c r="D7220" s="37"/>
      <c r="E7220" s="212"/>
    </row>
    <row r="7221" spans="1:5" ht="14.25">
      <c r="A7221" s="37"/>
      <c r="B7221" s="37"/>
      <c r="C7221" s="37"/>
      <c r="D7221" s="37"/>
      <c r="E7221" s="213"/>
    </row>
    <row r="7222" spans="1:5" ht="14.25">
      <c r="A7222" s="37"/>
      <c r="B7222" s="37"/>
      <c r="C7222" s="37"/>
      <c r="D7222" s="37"/>
      <c r="E7222" s="213"/>
    </row>
    <row r="7223" spans="1:5" ht="14.25">
      <c r="A7223" s="37"/>
      <c r="B7223" s="37"/>
      <c r="C7223" s="37"/>
      <c r="D7223" s="37"/>
      <c r="E7223" s="213"/>
    </row>
    <row r="7224" spans="1:5" ht="14.25">
      <c r="A7224" s="37"/>
      <c r="B7224" s="37"/>
      <c r="C7224" s="37"/>
      <c r="D7224" s="37"/>
      <c r="E7224" s="213"/>
    </row>
    <row r="7225" spans="1:5" ht="14.25">
      <c r="A7225" s="37"/>
      <c r="B7225" s="37"/>
      <c r="C7225" s="37"/>
      <c r="D7225" s="37"/>
      <c r="E7225" s="213"/>
    </row>
    <row r="7226" spans="1:5" ht="14.25">
      <c r="A7226" s="37"/>
      <c r="B7226" s="37"/>
      <c r="C7226" s="37"/>
      <c r="D7226" s="37"/>
      <c r="E7226" s="213"/>
    </row>
    <row r="7227" spans="1:5" ht="14.25">
      <c r="A7227" s="37"/>
      <c r="B7227" s="37"/>
      <c r="C7227" s="37"/>
      <c r="D7227" s="37"/>
      <c r="E7227" s="213"/>
    </row>
    <row r="7228" spans="1:5" ht="14.25">
      <c r="A7228" s="37"/>
      <c r="B7228" s="37"/>
      <c r="C7228" s="37"/>
      <c r="D7228" s="37"/>
      <c r="E7228" s="213"/>
    </row>
    <row r="7229" spans="1:5" ht="14.25">
      <c r="A7229" s="37"/>
      <c r="B7229" s="37"/>
      <c r="C7229" s="37"/>
      <c r="D7229" s="37"/>
      <c r="E7229" s="212"/>
    </row>
    <row r="7230" spans="1:5" ht="14.25">
      <c r="A7230" s="37"/>
      <c r="B7230" s="37"/>
      <c r="C7230" s="37"/>
      <c r="D7230" s="37"/>
      <c r="E7230" s="212"/>
    </row>
    <row r="7231" spans="1:5" ht="14.25">
      <c r="A7231" s="37"/>
      <c r="B7231" s="37"/>
      <c r="C7231" s="37"/>
      <c r="D7231" s="37"/>
      <c r="E7231" s="212"/>
    </row>
    <row r="7232" spans="1:5" ht="14.25">
      <c r="A7232" s="37"/>
      <c r="B7232" s="37"/>
      <c r="C7232" s="37"/>
      <c r="D7232" s="37"/>
      <c r="E7232" s="212"/>
    </row>
    <row r="7233" spans="1:5" ht="14.25">
      <c r="A7233" s="37"/>
      <c r="B7233" s="37"/>
      <c r="C7233" s="37"/>
      <c r="D7233" s="37"/>
      <c r="E7233" s="212"/>
    </row>
    <row r="7234" spans="1:5" ht="14.25">
      <c r="A7234" s="37"/>
      <c r="B7234" s="37"/>
      <c r="C7234" s="37"/>
      <c r="D7234" s="37"/>
      <c r="E7234" s="212"/>
    </row>
    <row r="7235" spans="1:5" ht="14.25">
      <c r="A7235" s="37"/>
      <c r="B7235" s="37"/>
      <c r="C7235" s="37"/>
      <c r="D7235" s="37"/>
      <c r="E7235" s="212"/>
    </row>
    <row r="7236" spans="1:5" ht="14.25">
      <c r="A7236" s="37"/>
      <c r="B7236" s="37"/>
      <c r="C7236" s="37"/>
      <c r="D7236" s="37"/>
      <c r="E7236" s="212"/>
    </row>
    <row r="7237" spans="1:5" ht="14.25">
      <c r="A7237" s="37"/>
      <c r="B7237" s="37"/>
      <c r="C7237" s="37"/>
      <c r="D7237" s="37"/>
      <c r="E7237" s="212"/>
    </row>
    <row r="7238" spans="1:5" ht="14.25">
      <c r="A7238" s="37"/>
      <c r="B7238" s="37"/>
      <c r="C7238" s="37"/>
      <c r="D7238" s="37"/>
      <c r="E7238" s="212"/>
    </row>
    <row r="7239" spans="1:5" ht="14.25">
      <c r="A7239" s="37"/>
      <c r="B7239" s="37"/>
      <c r="C7239" s="37"/>
      <c r="D7239" s="37"/>
      <c r="E7239" s="212"/>
    </row>
    <row r="7240" spans="1:5" ht="14.25">
      <c r="A7240" s="37"/>
      <c r="B7240" s="37"/>
      <c r="C7240" s="37"/>
      <c r="D7240" s="37"/>
      <c r="E7240" s="212"/>
    </row>
    <row r="7241" spans="1:5" ht="14.25">
      <c r="A7241" s="37"/>
      <c r="B7241" s="37"/>
      <c r="C7241" s="37"/>
      <c r="D7241" s="37"/>
      <c r="E7241" s="212"/>
    </row>
    <row r="7242" spans="1:5" ht="14.25">
      <c r="A7242" s="37"/>
      <c r="B7242" s="37"/>
      <c r="C7242" s="37"/>
      <c r="D7242" s="37"/>
      <c r="E7242" s="212"/>
    </row>
    <row r="7243" spans="1:5" ht="14.25">
      <c r="A7243" s="37"/>
      <c r="B7243" s="37"/>
      <c r="C7243" s="37"/>
      <c r="D7243" s="37"/>
      <c r="E7243" s="212"/>
    </row>
    <row r="7244" spans="1:5" ht="14.25">
      <c r="A7244" s="37"/>
      <c r="B7244" s="37"/>
      <c r="C7244" s="37"/>
      <c r="D7244" s="37"/>
      <c r="E7244" s="212"/>
    </row>
    <row r="7245" spans="1:5" ht="14.25">
      <c r="A7245" s="37"/>
      <c r="B7245" s="37"/>
      <c r="C7245" s="37"/>
      <c r="D7245" s="37"/>
      <c r="E7245" s="212"/>
    </row>
    <row r="7246" spans="1:5" ht="14.25">
      <c r="A7246" s="37"/>
      <c r="B7246" s="37"/>
      <c r="C7246" s="37"/>
      <c r="D7246" s="37"/>
      <c r="E7246" s="212"/>
    </row>
    <row r="7247" spans="1:5" ht="14.25">
      <c r="A7247" s="37"/>
      <c r="B7247" s="37"/>
      <c r="C7247" s="37"/>
      <c r="D7247" s="37"/>
      <c r="E7247" s="213"/>
    </row>
    <row r="7248" spans="1:5" ht="14.25">
      <c r="A7248" s="37"/>
      <c r="B7248" s="37"/>
      <c r="C7248" s="37"/>
      <c r="D7248" s="37"/>
      <c r="E7248" s="213"/>
    </row>
    <row r="7249" spans="1:5" ht="14.25">
      <c r="A7249" s="37"/>
      <c r="B7249" s="37"/>
      <c r="C7249" s="37"/>
      <c r="D7249" s="37"/>
      <c r="E7249" s="212"/>
    </row>
    <row r="7250" spans="1:5" ht="14.25">
      <c r="A7250" s="37"/>
      <c r="B7250" s="37"/>
      <c r="C7250" s="37"/>
      <c r="D7250" s="37"/>
      <c r="E7250" s="213"/>
    </row>
    <row r="7251" spans="1:5" ht="14.25">
      <c r="A7251" s="37"/>
      <c r="B7251" s="37"/>
      <c r="C7251" s="37"/>
      <c r="D7251" s="37"/>
      <c r="E7251" s="212"/>
    </row>
    <row r="7252" spans="1:5" ht="14.25">
      <c r="A7252" s="37"/>
      <c r="B7252" s="37"/>
      <c r="C7252" s="37"/>
      <c r="D7252" s="37"/>
      <c r="E7252" s="213"/>
    </row>
    <row r="7253" spans="1:5" ht="14.25">
      <c r="A7253" s="37"/>
      <c r="B7253" s="37"/>
      <c r="C7253" s="37"/>
      <c r="D7253" s="37"/>
      <c r="E7253" s="213"/>
    </row>
    <row r="7254" spans="1:5" ht="14.25">
      <c r="A7254" s="37"/>
      <c r="B7254" s="37"/>
      <c r="C7254" s="37"/>
      <c r="D7254" s="37"/>
      <c r="E7254" s="212"/>
    </row>
    <row r="7255" spans="1:5" ht="14.25">
      <c r="A7255" s="37"/>
      <c r="B7255" s="37"/>
      <c r="C7255" s="37"/>
      <c r="D7255" s="37"/>
      <c r="E7255" s="212"/>
    </row>
    <row r="7256" spans="1:5" ht="14.25">
      <c r="A7256" s="37"/>
      <c r="B7256" s="37"/>
      <c r="C7256" s="37"/>
      <c r="D7256" s="37"/>
      <c r="E7256" s="212"/>
    </row>
    <row r="7257" spans="1:5" ht="14.25">
      <c r="A7257" s="37"/>
      <c r="B7257" s="37"/>
      <c r="C7257" s="37"/>
      <c r="D7257" s="37"/>
      <c r="E7257" s="212"/>
    </row>
    <row r="7258" spans="1:5" ht="14.25">
      <c r="A7258" s="37"/>
      <c r="B7258" s="37"/>
      <c r="C7258" s="37"/>
      <c r="D7258" s="37"/>
      <c r="E7258" s="212"/>
    </row>
    <row r="7259" spans="1:5" ht="14.25">
      <c r="A7259" s="37"/>
      <c r="B7259" s="37"/>
      <c r="C7259" s="37"/>
      <c r="D7259" s="37"/>
      <c r="E7259" s="212"/>
    </row>
    <row r="7260" spans="1:5" ht="14.25">
      <c r="A7260" s="37"/>
      <c r="B7260" s="37"/>
      <c r="C7260" s="37"/>
      <c r="D7260" s="37"/>
      <c r="E7260" s="212"/>
    </row>
    <row r="7261" spans="1:5" ht="14.25">
      <c r="A7261" s="37"/>
      <c r="B7261" s="37"/>
      <c r="C7261" s="37"/>
      <c r="D7261" s="37"/>
      <c r="E7261" s="212"/>
    </row>
    <row r="7262" spans="1:5" ht="14.25">
      <c r="A7262" s="37"/>
      <c r="B7262" s="37"/>
      <c r="C7262" s="37"/>
      <c r="D7262" s="37"/>
      <c r="E7262" s="212"/>
    </row>
    <row r="7263" spans="1:5" ht="14.25">
      <c r="A7263" s="37"/>
      <c r="B7263" s="37"/>
      <c r="C7263" s="37"/>
      <c r="D7263" s="37"/>
      <c r="E7263" s="212"/>
    </row>
    <row r="7264" spans="1:5" ht="14.25">
      <c r="A7264" s="37"/>
      <c r="B7264" s="37"/>
      <c r="C7264" s="37"/>
      <c r="D7264" s="37"/>
      <c r="E7264" s="212"/>
    </row>
    <row r="7265" spans="1:5" ht="14.25">
      <c r="A7265" s="37"/>
      <c r="B7265" s="37"/>
      <c r="C7265" s="37"/>
      <c r="D7265" s="37"/>
      <c r="E7265" s="212"/>
    </row>
    <row r="7266" spans="1:5" ht="14.25">
      <c r="A7266" s="37"/>
      <c r="B7266" s="37"/>
      <c r="C7266" s="37"/>
      <c r="D7266" s="37"/>
      <c r="E7266" s="212"/>
    </row>
    <row r="7267" spans="1:5" ht="14.25">
      <c r="A7267" s="37"/>
      <c r="B7267" s="37"/>
      <c r="C7267" s="37"/>
      <c r="D7267" s="37"/>
      <c r="E7267" s="212"/>
    </row>
    <row r="7268" spans="1:5" ht="14.25">
      <c r="A7268" s="37"/>
      <c r="B7268" s="37"/>
      <c r="C7268" s="37"/>
      <c r="D7268" s="37"/>
      <c r="E7268" s="212"/>
    </row>
    <row r="7269" spans="1:5" ht="14.25">
      <c r="A7269" s="37"/>
      <c r="B7269" s="37"/>
      <c r="C7269" s="37"/>
      <c r="D7269" s="37"/>
      <c r="E7269" s="212"/>
    </row>
    <row r="7270" spans="1:5" ht="14.25">
      <c r="A7270" s="37"/>
      <c r="B7270" s="37"/>
      <c r="C7270" s="37"/>
      <c r="D7270" s="37"/>
      <c r="E7270" s="212"/>
    </row>
    <row r="7271" spans="1:5" ht="14.25">
      <c r="A7271" s="37"/>
      <c r="B7271" s="37"/>
      <c r="C7271" s="37"/>
      <c r="D7271" s="37"/>
      <c r="E7271" s="212"/>
    </row>
    <row r="7272" spans="1:5" ht="14.25">
      <c r="A7272" s="37"/>
      <c r="B7272" s="37"/>
      <c r="C7272" s="37"/>
      <c r="D7272" s="37"/>
      <c r="E7272" s="212"/>
    </row>
    <row r="7273" spans="1:5" ht="14.25">
      <c r="A7273" s="37"/>
      <c r="B7273" s="37"/>
      <c r="C7273" s="37"/>
      <c r="D7273" s="37"/>
      <c r="E7273" s="212"/>
    </row>
    <row r="7274" spans="1:5" ht="14.25">
      <c r="A7274" s="37"/>
      <c r="B7274" s="37"/>
      <c r="C7274" s="37"/>
      <c r="D7274" s="37"/>
      <c r="E7274" s="212"/>
    </row>
    <row r="7275" spans="1:5" ht="14.25">
      <c r="A7275" s="37"/>
      <c r="B7275" s="37"/>
      <c r="C7275" s="37"/>
      <c r="D7275" s="37"/>
      <c r="E7275" s="212"/>
    </row>
    <row r="7276" spans="1:5" ht="14.25">
      <c r="A7276" s="37"/>
      <c r="B7276" s="37"/>
      <c r="C7276" s="37"/>
      <c r="D7276" s="37"/>
      <c r="E7276" s="212"/>
    </row>
    <row r="7277" spans="1:5" ht="14.25">
      <c r="A7277" s="37"/>
      <c r="B7277" s="37"/>
      <c r="C7277" s="37"/>
      <c r="D7277" s="37"/>
      <c r="E7277" s="212"/>
    </row>
    <row r="7278" spans="1:5" ht="14.25">
      <c r="A7278" s="37"/>
      <c r="B7278" s="37"/>
      <c r="C7278" s="37"/>
      <c r="D7278" s="37"/>
      <c r="E7278" s="212"/>
    </row>
    <row r="7279" spans="1:5" ht="14.25">
      <c r="A7279" s="37"/>
      <c r="B7279" s="37"/>
      <c r="C7279" s="37"/>
      <c r="D7279" s="37"/>
      <c r="E7279" s="212"/>
    </row>
    <row r="7280" spans="1:5" ht="14.25">
      <c r="A7280" s="37"/>
      <c r="B7280" s="37"/>
      <c r="C7280" s="37"/>
      <c r="D7280" s="37"/>
      <c r="E7280" s="212"/>
    </row>
    <row r="7281" spans="1:5" ht="14.25">
      <c r="A7281" s="37"/>
      <c r="B7281" s="37"/>
      <c r="C7281" s="37"/>
      <c r="D7281" s="37"/>
      <c r="E7281" s="212"/>
    </row>
    <row r="7282" spans="1:5" ht="14.25">
      <c r="A7282" s="37"/>
      <c r="B7282" s="37"/>
      <c r="C7282" s="37"/>
      <c r="D7282" s="37"/>
      <c r="E7282" s="212"/>
    </row>
    <row r="7283" spans="1:5" ht="14.25">
      <c r="A7283" s="37"/>
      <c r="B7283" s="37"/>
      <c r="C7283" s="37"/>
      <c r="D7283" s="37"/>
      <c r="E7283" s="213"/>
    </row>
    <row r="7284" spans="1:5" ht="14.25">
      <c r="A7284" s="37"/>
      <c r="B7284" s="37"/>
      <c r="C7284" s="37"/>
      <c r="D7284" s="37"/>
      <c r="E7284" s="212"/>
    </row>
    <row r="7285" spans="1:5" ht="14.25">
      <c r="A7285" s="37"/>
      <c r="B7285" s="37"/>
      <c r="C7285" s="37"/>
      <c r="D7285" s="37"/>
      <c r="E7285" s="213"/>
    </row>
    <row r="7286" spans="1:5" ht="14.25">
      <c r="A7286" s="37"/>
      <c r="B7286" s="37"/>
      <c r="C7286" s="37"/>
      <c r="D7286" s="37"/>
      <c r="E7286" s="212"/>
    </row>
    <row r="7287" spans="1:5" ht="14.25">
      <c r="A7287" s="37"/>
      <c r="B7287" s="37"/>
      <c r="C7287" s="37"/>
      <c r="D7287" s="37"/>
      <c r="E7287" s="213"/>
    </row>
    <row r="7288" spans="1:5" ht="14.25">
      <c r="A7288" s="37"/>
      <c r="B7288" s="37"/>
      <c r="C7288" s="37"/>
      <c r="D7288" s="37"/>
      <c r="E7288" s="212"/>
    </row>
    <row r="7289" spans="1:5" ht="14.25">
      <c r="A7289" s="37"/>
      <c r="B7289" s="37"/>
      <c r="C7289" s="37"/>
      <c r="D7289" s="37"/>
      <c r="E7289" s="212"/>
    </row>
    <row r="7290" spans="1:5" ht="14.25">
      <c r="A7290" s="37"/>
      <c r="B7290" s="37"/>
      <c r="C7290" s="37"/>
      <c r="D7290" s="37"/>
      <c r="E7290" s="212"/>
    </row>
    <row r="7291" spans="1:5" ht="14.25">
      <c r="A7291" s="37"/>
      <c r="B7291" s="37"/>
      <c r="C7291" s="37"/>
      <c r="D7291" s="37"/>
      <c r="E7291" s="212"/>
    </row>
    <row r="7292" spans="1:5" ht="14.25">
      <c r="A7292" s="37"/>
      <c r="B7292" s="37"/>
      <c r="C7292" s="37"/>
      <c r="D7292" s="37"/>
      <c r="E7292" s="212"/>
    </row>
    <row r="7293" spans="1:5" ht="14.25">
      <c r="A7293" s="37"/>
      <c r="B7293" s="37"/>
      <c r="C7293" s="37"/>
      <c r="D7293" s="37"/>
      <c r="E7293" s="212"/>
    </row>
    <row r="7294" spans="1:5" ht="14.25">
      <c r="A7294" s="37"/>
      <c r="B7294" s="37"/>
      <c r="C7294" s="37"/>
      <c r="D7294" s="37"/>
      <c r="E7294" s="212"/>
    </row>
    <row r="7295" spans="1:5" ht="14.25">
      <c r="A7295" s="37"/>
      <c r="B7295" s="37"/>
      <c r="C7295" s="37"/>
      <c r="D7295" s="37"/>
      <c r="E7295" s="212"/>
    </row>
    <row r="7296" spans="1:5" ht="14.25">
      <c r="A7296" s="37"/>
      <c r="B7296" s="37"/>
      <c r="C7296" s="37"/>
      <c r="D7296" s="37"/>
      <c r="E7296" s="212"/>
    </row>
    <row r="7297" spans="1:5" ht="14.25">
      <c r="A7297" s="37"/>
      <c r="B7297" s="37"/>
      <c r="C7297" s="37"/>
      <c r="D7297" s="37"/>
      <c r="E7297" s="212"/>
    </row>
    <row r="7298" spans="1:5" ht="14.25">
      <c r="A7298" s="37"/>
      <c r="B7298" s="37"/>
      <c r="C7298" s="37"/>
      <c r="D7298" s="37"/>
      <c r="E7298" s="212"/>
    </row>
    <row r="7299" spans="1:5" ht="14.25">
      <c r="A7299" s="37"/>
      <c r="B7299" s="37"/>
      <c r="C7299" s="37"/>
      <c r="D7299" s="37"/>
      <c r="E7299" s="212"/>
    </row>
    <row r="7300" spans="1:5" ht="14.25">
      <c r="A7300" s="37"/>
      <c r="B7300" s="37"/>
      <c r="C7300" s="37"/>
      <c r="D7300" s="37"/>
      <c r="E7300" s="212"/>
    </row>
    <row r="7301" spans="1:5" ht="14.25">
      <c r="A7301" s="37"/>
      <c r="B7301" s="37"/>
      <c r="C7301" s="37"/>
      <c r="D7301" s="37"/>
      <c r="E7301" s="212"/>
    </row>
    <row r="7302" spans="1:5" ht="14.25">
      <c r="A7302" s="37"/>
      <c r="B7302" s="37"/>
      <c r="C7302" s="37"/>
      <c r="D7302" s="37"/>
      <c r="E7302" s="212"/>
    </row>
    <row r="7303" spans="1:5" ht="14.25">
      <c r="A7303" s="37"/>
      <c r="B7303" s="37"/>
      <c r="C7303" s="37"/>
      <c r="D7303" s="37"/>
      <c r="E7303" s="213"/>
    </row>
    <row r="7304" spans="1:5" ht="14.25">
      <c r="A7304" s="37"/>
      <c r="B7304" s="37"/>
      <c r="C7304" s="37"/>
      <c r="D7304" s="37"/>
      <c r="E7304" s="213"/>
    </row>
    <row r="7305" spans="1:5" ht="14.25">
      <c r="A7305" s="37"/>
      <c r="B7305" s="37"/>
      <c r="C7305" s="37"/>
      <c r="D7305" s="37"/>
      <c r="E7305" s="213"/>
    </row>
    <row r="7306" spans="1:5" ht="14.25">
      <c r="A7306" s="37"/>
      <c r="B7306" s="37"/>
      <c r="C7306" s="37"/>
      <c r="D7306" s="37"/>
      <c r="E7306" s="213"/>
    </row>
    <row r="7307" spans="1:5" ht="14.25">
      <c r="A7307" s="37"/>
      <c r="B7307" s="37"/>
      <c r="C7307" s="37"/>
      <c r="D7307" s="37"/>
      <c r="E7307" s="213"/>
    </row>
    <row r="7308" spans="1:5" ht="14.25">
      <c r="A7308" s="37"/>
      <c r="B7308" s="37"/>
      <c r="C7308" s="37"/>
      <c r="D7308" s="37"/>
      <c r="E7308" s="212"/>
    </row>
    <row r="7309" spans="1:5" ht="14.25">
      <c r="A7309" s="37"/>
      <c r="B7309" s="37"/>
      <c r="C7309" s="37"/>
      <c r="D7309" s="37"/>
      <c r="E7309" s="212"/>
    </row>
    <row r="7310" spans="1:5" ht="14.25">
      <c r="A7310" s="37"/>
      <c r="B7310" s="37"/>
      <c r="C7310" s="37"/>
      <c r="D7310" s="37"/>
      <c r="E7310" s="212"/>
    </row>
    <row r="7311" spans="1:5" ht="14.25">
      <c r="A7311" s="37"/>
      <c r="B7311" s="37"/>
      <c r="C7311" s="37"/>
      <c r="D7311" s="37"/>
      <c r="E7311" s="212"/>
    </row>
    <row r="7312" spans="1:5" ht="14.25">
      <c r="A7312" s="37"/>
      <c r="B7312" s="37"/>
      <c r="C7312" s="37"/>
      <c r="D7312" s="37"/>
      <c r="E7312" s="213"/>
    </row>
    <row r="7313" spans="1:5" ht="14.25">
      <c r="A7313" s="37"/>
      <c r="B7313" s="37"/>
      <c r="C7313" s="37"/>
      <c r="D7313" s="37"/>
      <c r="E7313" s="213"/>
    </row>
    <row r="7314" spans="1:5" ht="14.25">
      <c r="A7314" s="37"/>
      <c r="B7314" s="37"/>
      <c r="C7314" s="37"/>
      <c r="D7314" s="37"/>
      <c r="E7314" s="213"/>
    </row>
    <row r="7315" spans="1:5" ht="14.25">
      <c r="A7315" s="37"/>
      <c r="B7315" s="37"/>
      <c r="C7315" s="37"/>
      <c r="D7315" s="37"/>
      <c r="E7315" s="212"/>
    </row>
    <row r="7316" spans="1:5" ht="14.25">
      <c r="A7316" s="37"/>
      <c r="B7316" s="37"/>
      <c r="C7316" s="37"/>
      <c r="D7316" s="37"/>
      <c r="E7316" s="213"/>
    </row>
    <row r="7317" spans="1:5" ht="14.25">
      <c r="A7317" s="37"/>
      <c r="B7317" s="37"/>
      <c r="C7317" s="37"/>
      <c r="D7317" s="37"/>
      <c r="E7317" s="212"/>
    </row>
    <row r="7318" spans="1:5" ht="14.25">
      <c r="A7318" s="37"/>
      <c r="B7318" s="37"/>
      <c r="C7318" s="37"/>
      <c r="D7318" s="37"/>
      <c r="E7318" s="212"/>
    </row>
    <row r="7319" spans="1:5" ht="14.25">
      <c r="A7319" s="37"/>
      <c r="B7319" s="37"/>
      <c r="C7319" s="37"/>
      <c r="D7319" s="37"/>
      <c r="E7319" s="212"/>
    </row>
    <row r="7320" spans="1:5" ht="14.25">
      <c r="A7320" s="37"/>
      <c r="B7320" s="37"/>
      <c r="C7320" s="37"/>
      <c r="D7320" s="37"/>
      <c r="E7320" s="212"/>
    </row>
    <row r="7321" spans="1:5" ht="14.25">
      <c r="A7321" s="37"/>
      <c r="B7321" s="37"/>
      <c r="C7321" s="37"/>
      <c r="D7321" s="37"/>
      <c r="E7321" s="212"/>
    </row>
    <row r="7322" spans="1:5" ht="14.25">
      <c r="A7322" s="37"/>
      <c r="B7322" s="37"/>
      <c r="C7322" s="37"/>
      <c r="D7322" s="37"/>
      <c r="E7322" s="212"/>
    </row>
    <row r="7323" spans="1:5" ht="14.25">
      <c r="A7323" s="37"/>
      <c r="B7323" s="37"/>
      <c r="C7323" s="37"/>
      <c r="D7323" s="37"/>
      <c r="E7323" s="212"/>
    </row>
    <row r="7324" spans="1:5" ht="14.25">
      <c r="A7324" s="37"/>
      <c r="B7324" s="37"/>
      <c r="C7324" s="37"/>
      <c r="D7324" s="37"/>
      <c r="E7324" s="213"/>
    </row>
    <row r="7325" spans="1:5" ht="14.25">
      <c r="A7325" s="37"/>
      <c r="B7325" s="37"/>
      <c r="C7325" s="37"/>
      <c r="D7325" s="37"/>
      <c r="E7325" s="212"/>
    </row>
    <row r="7326" spans="1:5" ht="14.25">
      <c r="A7326" s="37"/>
      <c r="B7326" s="37"/>
      <c r="C7326" s="37"/>
      <c r="D7326" s="37"/>
      <c r="E7326" s="213"/>
    </row>
    <row r="7327" spans="1:5" ht="14.25">
      <c r="A7327" s="37"/>
      <c r="B7327" s="37"/>
      <c r="C7327" s="37"/>
      <c r="D7327" s="37"/>
      <c r="E7327" s="212"/>
    </row>
    <row r="7328" spans="1:5" ht="14.25">
      <c r="A7328" s="37"/>
      <c r="B7328" s="37"/>
      <c r="C7328" s="37"/>
      <c r="D7328" s="37"/>
      <c r="E7328" s="213"/>
    </row>
    <row r="7329" spans="1:5" ht="14.25">
      <c r="A7329" s="37"/>
      <c r="B7329" s="37"/>
      <c r="C7329" s="37"/>
      <c r="D7329" s="37"/>
      <c r="E7329" s="213"/>
    </row>
    <row r="7330" spans="1:5" ht="14.25">
      <c r="A7330" s="37"/>
      <c r="B7330" s="37"/>
      <c r="C7330" s="37"/>
      <c r="D7330" s="37"/>
      <c r="E7330" s="213"/>
    </row>
    <row r="7331" spans="1:5" ht="14.25">
      <c r="A7331" s="37"/>
      <c r="B7331" s="37"/>
      <c r="C7331" s="37"/>
      <c r="D7331" s="37"/>
      <c r="E7331" s="213"/>
    </row>
    <row r="7332" spans="1:5" ht="14.25">
      <c r="A7332" s="37"/>
      <c r="B7332" s="37"/>
      <c r="C7332" s="37"/>
      <c r="D7332" s="37"/>
      <c r="E7332" s="213"/>
    </row>
    <row r="7333" spans="1:5" ht="14.25">
      <c r="A7333" s="37"/>
      <c r="B7333" s="37"/>
      <c r="C7333" s="37"/>
      <c r="D7333" s="37"/>
      <c r="E7333" s="213"/>
    </row>
    <row r="7334" spans="1:5" ht="14.25">
      <c r="A7334" s="37"/>
      <c r="B7334" s="37"/>
      <c r="C7334" s="37"/>
      <c r="D7334" s="37"/>
      <c r="E7334" s="213"/>
    </row>
    <row r="7335" spans="1:5" ht="14.25">
      <c r="A7335" s="37"/>
      <c r="B7335" s="37"/>
      <c r="C7335" s="37"/>
      <c r="D7335" s="37"/>
      <c r="E7335" s="213"/>
    </row>
    <row r="7336" spans="1:5" ht="14.25">
      <c r="A7336" s="37"/>
      <c r="B7336" s="37"/>
      <c r="C7336" s="37"/>
      <c r="D7336" s="37"/>
      <c r="E7336" s="213"/>
    </row>
    <row r="7337" spans="1:5" ht="14.25">
      <c r="A7337" s="37"/>
      <c r="B7337" s="37"/>
      <c r="C7337" s="37"/>
      <c r="D7337" s="37"/>
      <c r="E7337" s="213"/>
    </row>
    <row r="7338" spans="1:5" ht="14.25">
      <c r="A7338" s="37"/>
      <c r="B7338" s="37"/>
      <c r="C7338" s="37"/>
      <c r="D7338" s="37"/>
      <c r="E7338" s="213"/>
    </row>
    <row r="7339" spans="1:5" ht="14.25">
      <c r="A7339" s="37"/>
      <c r="B7339" s="37"/>
      <c r="C7339" s="37"/>
      <c r="D7339" s="37"/>
      <c r="E7339" s="213"/>
    </row>
    <row r="7340" spans="1:5" ht="14.25">
      <c r="A7340" s="37"/>
      <c r="B7340" s="37"/>
      <c r="C7340" s="37"/>
      <c r="D7340" s="37"/>
      <c r="E7340" s="213"/>
    </row>
    <row r="7341" spans="1:5" ht="14.25">
      <c r="A7341" s="37"/>
      <c r="B7341" s="37"/>
      <c r="C7341" s="37"/>
      <c r="D7341" s="37"/>
      <c r="E7341" s="212"/>
    </row>
    <row r="7342" spans="1:5" ht="14.25">
      <c r="A7342" s="37"/>
      <c r="B7342" s="37"/>
      <c r="C7342" s="37"/>
      <c r="D7342" s="37"/>
      <c r="E7342" s="213"/>
    </row>
    <row r="7343" spans="1:5" ht="14.25">
      <c r="A7343" s="37"/>
      <c r="B7343" s="37"/>
      <c r="C7343" s="37"/>
      <c r="D7343" s="37"/>
      <c r="E7343" s="212"/>
    </row>
    <row r="7344" spans="1:5" ht="14.25">
      <c r="A7344" s="37"/>
      <c r="B7344" s="37"/>
      <c r="C7344" s="37"/>
      <c r="D7344" s="37"/>
      <c r="E7344" s="213"/>
    </row>
    <row r="7345" spans="1:5" ht="14.25">
      <c r="A7345" s="37"/>
      <c r="B7345" s="37"/>
      <c r="C7345" s="37"/>
      <c r="D7345" s="37"/>
      <c r="E7345" s="212"/>
    </row>
    <row r="7346" spans="1:5" ht="14.25">
      <c r="A7346" s="37"/>
      <c r="B7346" s="37"/>
      <c r="C7346" s="37"/>
      <c r="D7346" s="37"/>
      <c r="E7346" s="213"/>
    </row>
    <row r="7347" spans="1:5" ht="14.25">
      <c r="A7347" s="37"/>
      <c r="B7347" s="37"/>
      <c r="C7347" s="37"/>
      <c r="D7347" s="37"/>
      <c r="E7347" s="212"/>
    </row>
    <row r="7348" spans="1:5" ht="14.25">
      <c r="A7348" s="37"/>
      <c r="B7348" s="37"/>
      <c r="C7348" s="37"/>
      <c r="D7348" s="37"/>
      <c r="E7348" s="213"/>
    </row>
    <row r="7349" spans="1:5" ht="14.25">
      <c r="A7349" s="37"/>
      <c r="B7349" s="37"/>
      <c r="C7349" s="37"/>
      <c r="D7349" s="37"/>
      <c r="E7349" s="212"/>
    </row>
    <row r="7350" spans="1:5" ht="14.25">
      <c r="A7350" s="37"/>
      <c r="B7350" s="37"/>
      <c r="C7350" s="37"/>
      <c r="D7350" s="37"/>
      <c r="E7350" s="213"/>
    </row>
    <row r="7351" spans="1:5" ht="14.25">
      <c r="A7351" s="37"/>
      <c r="B7351" s="37"/>
      <c r="C7351" s="37"/>
      <c r="D7351" s="37"/>
      <c r="E7351" s="212"/>
    </row>
    <row r="7352" spans="1:5" ht="14.25">
      <c r="A7352" s="37"/>
      <c r="B7352" s="37"/>
      <c r="C7352" s="37"/>
      <c r="D7352" s="37"/>
      <c r="E7352" s="213"/>
    </row>
    <row r="7353" spans="1:5" ht="14.25">
      <c r="A7353" s="37"/>
      <c r="B7353" s="37"/>
      <c r="C7353" s="37"/>
      <c r="D7353" s="37"/>
      <c r="E7353" s="213"/>
    </row>
    <row r="7354" spans="1:5" ht="14.25">
      <c r="A7354" s="37"/>
      <c r="B7354" s="37"/>
      <c r="C7354" s="37"/>
      <c r="D7354" s="37"/>
      <c r="E7354" s="212"/>
    </row>
    <row r="7355" spans="1:5" ht="14.25">
      <c r="A7355" s="37"/>
      <c r="B7355" s="37"/>
      <c r="C7355" s="37"/>
      <c r="D7355" s="37"/>
      <c r="E7355" s="212"/>
    </row>
    <row r="7356" spans="1:5" ht="14.25">
      <c r="A7356" s="37"/>
      <c r="B7356" s="37"/>
      <c r="C7356" s="37"/>
      <c r="D7356" s="37"/>
      <c r="E7356" s="212"/>
    </row>
    <row r="7357" spans="1:5" ht="14.25">
      <c r="A7357" s="37"/>
      <c r="B7357" s="37"/>
      <c r="C7357" s="37"/>
      <c r="D7357" s="37"/>
      <c r="E7357" s="212"/>
    </row>
    <row r="7358" spans="1:5" ht="14.25">
      <c r="A7358" s="37"/>
      <c r="B7358" s="37"/>
      <c r="C7358" s="37"/>
      <c r="D7358" s="37"/>
      <c r="E7358" s="212"/>
    </row>
    <row r="7359" spans="1:5" ht="14.25">
      <c r="A7359" s="37"/>
      <c r="B7359" s="37"/>
      <c r="C7359" s="37"/>
      <c r="D7359" s="37"/>
      <c r="E7359" s="212"/>
    </row>
    <row r="7360" spans="1:5" ht="14.25">
      <c r="A7360" s="37"/>
      <c r="B7360" s="37"/>
      <c r="C7360" s="37"/>
      <c r="D7360" s="37"/>
      <c r="E7360" s="212"/>
    </row>
    <row r="7361" spans="1:5" ht="14.25">
      <c r="A7361" s="37"/>
      <c r="B7361" s="37"/>
      <c r="C7361" s="37"/>
      <c r="D7361" s="37"/>
      <c r="E7361" s="212"/>
    </row>
    <row r="7362" spans="1:5" ht="14.25">
      <c r="A7362" s="37"/>
      <c r="B7362" s="37"/>
      <c r="C7362" s="37"/>
      <c r="D7362" s="37"/>
      <c r="E7362" s="212"/>
    </row>
    <row r="7363" spans="1:5" ht="14.25">
      <c r="A7363" s="37"/>
      <c r="B7363" s="37"/>
      <c r="C7363" s="37"/>
      <c r="D7363" s="37"/>
      <c r="E7363" s="212"/>
    </row>
    <row r="7364" spans="1:5" ht="14.25">
      <c r="A7364" s="37"/>
      <c r="B7364" s="37"/>
      <c r="C7364" s="37"/>
      <c r="D7364" s="37"/>
      <c r="E7364" s="212"/>
    </row>
    <row r="7365" spans="1:5" ht="14.25">
      <c r="A7365" s="37"/>
      <c r="B7365" s="37"/>
      <c r="C7365" s="37"/>
      <c r="D7365" s="37"/>
      <c r="E7365" s="212"/>
    </row>
    <row r="7366" spans="1:5" ht="14.25">
      <c r="A7366" s="37"/>
      <c r="B7366" s="37"/>
      <c r="C7366" s="37"/>
      <c r="D7366" s="37"/>
      <c r="E7366" s="212"/>
    </row>
    <row r="7367" spans="1:5" ht="14.25">
      <c r="A7367" s="37"/>
      <c r="B7367" s="37"/>
      <c r="C7367" s="37"/>
      <c r="D7367" s="37"/>
      <c r="E7367" s="212"/>
    </row>
    <row r="7368" spans="1:5" ht="14.25">
      <c r="A7368" s="37"/>
      <c r="B7368" s="37"/>
      <c r="C7368" s="37"/>
      <c r="D7368" s="37"/>
      <c r="E7368" s="212"/>
    </row>
    <row r="7369" spans="1:5" ht="14.25">
      <c r="A7369" s="37"/>
      <c r="B7369" s="37"/>
      <c r="C7369" s="37"/>
      <c r="D7369" s="37"/>
      <c r="E7369" s="213"/>
    </row>
    <row r="7370" spans="1:5" ht="14.25">
      <c r="A7370" s="37"/>
      <c r="B7370" s="37"/>
      <c r="C7370" s="37"/>
      <c r="D7370" s="37"/>
      <c r="E7370" s="212"/>
    </row>
    <row r="7371" spans="1:5" ht="14.25">
      <c r="A7371" s="37"/>
      <c r="B7371" s="37"/>
      <c r="C7371" s="37"/>
      <c r="D7371" s="37"/>
      <c r="E7371" s="212"/>
    </row>
    <row r="7372" spans="1:5" ht="14.25">
      <c r="A7372" s="37"/>
      <c r="B7372" s="37"/>
      <c r="C7372" s="37"/>
      <c r="D7372" s="37"/>
      <c r="E7372" s="212"/>
    </row>
    <row r="7373" spans="1:5" ht="14.25">
      <c r="A7373" s="37"/>
      <c r="B7373" s="37"/>
      <c r="C7373" s="37"/>
      <c r="D7373" s="37"/>
      <c r="E7373" s="212"/>
    </row>
    <row r="7374" spans="1:5" ht="14.25">
      <c r="A7374" s="37"/>
      <c r="B7374" s="37"/>
      <c r="C7374" s="37"/>
      <c r="D7374" s="37"/>
      <c r="E7374" s="212"/>
    </row>
    <row r="7375" spans="1:5" ht="14.25">
      <c r="A7375" s="37"/>
      <c r="B7375" s="37"/>
      <c r="C7375" s="37"/>
      <c r="D7375" s="37"/>
      <c r="E7375" s="212"/>
    </row>
    <row r="7376" spans="1:5" ht="14.25">
      <c r="A7376" s="37"/>
      <c r="B7376" s="37"/>
      <c r="C7376" s="37"/>
      <c r="D7376" s="37"/>
      <c r="E7376" s="212"/>
    </row>
    <row r="7377" spans="1:5" ht="14.25">
      <c r="A7377" s="37"/>
      <c r="B7377" s="37"/>
      <c r="C7377" s="37"/>
      <c r="D7377" s="37"/>
      <c r="E7377" s="212"/>
    </row>
    <row r="7378" spans="1:5" ht="14.25">
      <c r="A7378" s="37"/>
      <c r="B7378" s="37"/>
      <c r="C7378" s="37"/>
      <c r="D7378" s="37"/>
      <c r="E7378" s="212"/>
    </row>
    <row r="7379" spans="1:5" ht="14.25">
      <c r="A7379" s="37"/>
      <c r="B7379" s="37"/>
      <c r="C7379" s="37"/>
      <c r="D7379" s="37"/>
      <c r="E7379" s="212"/>
    </row>
    <row r="7380" spans="1:5" ht="14.25">
      <c r="A7380" s="37"/>
      <c r="B7380" s="37"/>
      <c r="C7380" s="37"/>
      <c r="D7380" s="37"/>
      <c r="E7380" s="212"/>
    </row>
    <row r="7381" spans="1:5" ht="14.25">
      <c r="A7381" s="37"/>
      <c r="B7381" s="37"/>
      <c r="C7381" s="37"/>
      <c r="D7381" s="37"/>
      <c r="E7381" s="212"/>
    </row>
    <row r="7382" spans="1:5" ht="14.25">
      <c r="A7382" s="37"/>
      <c r="B7382" s="37"/>
      <c r="C7382" s="37"/>
      <c r="D7382" s="37"/>
      <c r="E7382" s="212"/>
    </row>
    <row r="7383" spans="1:5" ht="14.25">
      <c r="A7383" s="37"/>
      <c r="B7383" s="37"/>
      <c r="C7383" s="37"/>
      <c r="D7383" s="37"/>
      <c r="E7383" s="212"/>
    </row>
    <row r="7384" spans="1:5" ht="14.25">
      <c r="A7384" s="37"/>
      <c r="B7384" s="37"/>
      <c r="C7384" s="37"/>
      <c r="D7384" s="37"/>
      <c r="E7384" s="212"/>
    </row>
    <row r="7385" spans="1:5" ht="14.25">
      <c r="A7385" s="37"/>
      <c r="B7385" s="37"/>
      <c r="C7385" s="37"/>
      <c r="D7385" s="37"/>
      <c r="E7385" s="212"/>
    </row>
    <row r="7386" spans="1:5" ht="14.25">
      <c r="A7386" s="37"/>
      <c r="B7386" s="37"/>
      <c r="C7386" s="37"/>
      <c r="D7386" s="37"/>
      <c r="E7386" s="212"/>
    </row>
    <row r="7387" spans="1:5" ht="14.25">
      <c r="A7387" s="37"/>
      <c r="B7387" s="37"/>
      <c r="C7387" s="37"/>
      <c r="D7387" s="37"/>
      <c r="E7387" s="212"/>
    </row>
    <row r="7388" spans="1:5" ht="14.25">
      <c r="A7388" s="37"/>
      <c r="B7388" s="37"/>
      <c r="C7388" s="37"/>
      <c r="D7388" s="37"/>
      <c r="E7388" s="212"/>
    </row>
    <row r="7389" spans="1:5" ht="14.25">
      <c r="A7389" s="37"/>
      <c r="B7389" s="37"/>
      <c r="C7389" s="37"/>
      <c r="D7389" s="37"/>
      <c r="E7389" s="212"/>
    </row>
    <row r="7390" spans="1:5" ht="14.25">
      <c r="A7390" s="37"/>
      <c r="B7390" s="37"/>
      <c r="C7390" s="37"/>
      <c r="D7390" s="37"/>
      <c r="E7390" s="212"/>
    </row>
    <row r="7391" spans="1:5" ht="14.25">
      <c r="A7391" s="37"/>
      <c r="B7391" s="37"/>
      <c r="C7391" s="37"/>
      <c r="D7391" s="37"/>
      <c r="E7391" s="212"/>
    </row>
    <row r="7392" spans="1:5" ht="14.25">
      <c r="A7392" s="37"/>
      <c r="B7392" s="37"/>
      <c r="C7392" s="37"/>
      <c r="D7392" s="37"/>
      <c r="E7392" s="212"/>
    </row>
    <row r="7393" spans="1:5" ht="14.25">
      <c r="A7393" s="37"/>
      <c r="B7393" s="37"/>
      <c r="C7393" s="37"/>
      <c r="D7393" s="37"/>
      <c r="E7393" s="212"/>
    </row>
    <row r="7394" spans="1:5" ht="14.25">
      <c r="A7394" s="37"/>
      <c r="B7394" s="37"/>
      <c r="C7394" s="37"/>
      <c r="D7394" s="37"/>
      <c r="E7394" s="212"/>
    </row>
    <row r="7395" spans="1:5" ht="14.25">
      <c r="A7395" s="37"/>
      <c r="B7395" s="37"/>
      <c r="C7395" s="37"/>
      <c r="D7395" s="37"/>
      <c r="E7395" s="212"/>
    </row>
    <row r="7396" spans="1:5" ht="14.25">
      <c r="A7396" s="37"/>
      <c r="B7396" s="37"/>
      <c r="C7396" s="37"/>
      <c r="D7396" s="37"/>
      <c r="E7396" s="212"/>
    </row>
    <row r="7397" spans="1:5" ht="14.25">
      <c r="A7397" s="37"/>
      <c r="B7397" s="37"/>
      <c r="C7397" s="37"/>
      <c r="D7397" s="37"/>
      <c r="E7397" s="212"/>
    </row>
    <row r="7398" spans="1:5" ht="14.25">
      <c r="A7398" s="37"/>
      <c r="B7398" s="37"/>
      <c r="C7398" s="37"/>
      <c r="D7398" s="37"/>
      <c r="E7398" s="212"/>
    </row>
    <row r="7399" spans="1:5" ht="14.25">
      <c r="A7399" s="37"/>
      <c r="B7399" s="37"/>
      <c r="C7399" s="37"/>
      <c r="D7399" s="37"/>
      <c r="E7399" s="212"/>
    </row>
    <row r="7400" spans="1:5" ht="14.25">
      <c r="A7400" s="37"/>
      <c r="B7400" s="37"/>
      <c r="C7400" s="37"/>
      <c r="D7400" s="37"/>
      <c r="E7400" s="212"/>
    </row>
    <row r="7401" spans="1:5" ht="14.25">
      <c r="A7401" s="37"/>
      <c r="B7401" s="37"/>
      <c r="C7401" s="37"/>
      <c r="D7401" s="37"/>
      <c r="E7401" s="212"/>
    </row>
    <row r="7402" spans="1:5" ht="14.25">
      <c r="A7402" s="37"/>
      <c r="B7402" s="37"/>
      <c r="C7402" s="37"/>
      <c r="D7402" s="37"/>
      <c r="E7402" s="212"/>
    </row>
    <row r="7403" spans="1:5" ht="14.25">
      <c r="A7403" s="37"/>
      <c r="B7403" s="37"/>
      <c r="C7403" s="37"/>
      <c r="D7403" s="37"/>
      <c r="E7403" s="212"/>
    </row>
    <row r="7404" spans="1:5" ht="14.25">
      <c r="A7404" s="37"/>
      <c r="B7404" s="37"/>
      <c r="C7404" s="37"/>
      <c r="D7404" s="37"/>
      <c r="E7404" s="212"/>
    </row>
    <row r="7405" spans="1:5" ht="14.25">
      <c r="A7405" s="37"/>
      <c r="B7405" s="37"/>
      <c r="C7405" s="37"/>
      <c r="D7405" s="37"/>
      <c r="E7405" s="212"/>
    </row>
    <row r="7406" spans="1:5" ht="14.25">
      <c r="A7406" s="37"/>
      <c r="B7406" s="37"/>
      <c r="C7406" s="37"/>
      <c r="D7406" s="37"/>
      <c r="E7406" s="212"/>
    </row>
    <row r="7407" spans="1:5" ht="14.25">
      <c r="A7407" s="37"/>
      <c r="B7407" s="37"/>
      <c r="C7407" s="37"/>
      <c r="D7407" s="37"/>
      <c r="E7407" s="212"/>
    </row>
    <row r="7408" spans="1:5" ht="14.25">
      <c r="A7408" s="37"/>
      <c r="B7408" s="37"/>
      <c r="C7408" s="37"/>
      <c r="D7408" s="37"/>
      <c r="E7408" s="212"/>
    </row>
    <row r="7409" spans="1:5" ht="14.25">
      <c r="A7409" s="37"/>
      <c r="B7409" s="37"/>
      <c r="C7409" s="37"/>
      <c r="D7409" s="37"/>
      <c r="E7409" s="212"/>
    </row>
    <row r="7410" spans="1:5" ht="14.25">
      <c r="A7410" s="37"/>
      <c r="B7410" s="37"/>
      <c r="C7410" s="37"/>
      <c r="D7410" s="37"/>
      <c r="E7410" s="212"/>
    </row>
    <row r="7411" spans="1:5" ht="14.25">
      <c r="A7411" s="37"/>
      <c r="B7411" s="37"/>
      <c r="C7411" s="37"/>
      <c r="D7411" s="37"/>
      <c r="E7411" s="213"/>
    </row>
    <row r="7412" spans="1:5" ht="14.25">
      <c r="A7412" s="37"/>
      <c r="B7412" s="37"/>
      <c r="C7412" s="37"/>
      <c r="D7412" s="37"/>
      <c r="E7412" s="213"/>
    </row>
    <row r="7413" spans="1:5" ht="14.25">
      <c r="A7413" s="37"/>
      <c r="B7413" s="37"/>
      <c r="C7413" s="37"/>
      <c r="D7413" s="37"/>
      <c r="E7413" s="213"/>
    </row>
    <row r="7414" spans="1:5" ht="14.25">
      <c r="A7414" s="37"/>
      <c r="B7414" s="37"/>
      <c r="C7414" s="37"/>
      <c r="D7414" s="37"/>
      <c r="E7414" s="213"/>
    </row>
    <row r="7415" spans="1:5" ht="14.25">
      <c r="A7415" s="37"/>
      <c r="B7415" s="37"/>
      <c r="C7415" s="37"/>
      <c r="D7415" s="37"/>
      <c r="E7415" s="213"/>
    </row>
    <row r="7416" spans="1:5" ht="14.25">
      <c r="A7416" s="37"/>
      <c r="B7416" s="37"/>
      <c r="C7416" s="37"/>
      <c r="D7416" s="37"/>
      <c r="E7416" s="213"/>
    </row>
    <row r="7417" spans="1:5" ht="14.25">
      <c r="A7417" s="37"/>
      <c r="B7417" s="37"/>
      <c r="C7417" s="37"/>
      <c r="D7417" s="37"/>
      <c r="E7417" s="212"/>
    </row>
    <row r="7418" spans="1:5" ht="14.25">
      <c r="A7418" s="37"/>
      <c r="B7418" s="37"/>
      <c r="C7418" s="37"/>
      <c r="D7418" s="37"/>
      <c r="E7418" s="212"/>
    </row>
    <row r="7419" spans="1:5" ht="14.25">
      <c r="A7419" s="37"/>
      <c r="B7419" s="37"/>
      <c r="C7419" s="37"/>
      <c r="D7419" s="37"/>
      <c r="E7419" s="212"/>
    </row>
    <row r="7420" spans="1:5" ht="14.25">
      <c r="A7420" s="37"/>
      <c r="B7420" s="37"/>
      <c r="C7420" s="37"/>
      <c r="D7420" s="37"/>
      <c r="E7420" s="212"/>
    </row>
    <row r="7421" spans="1:5" ht="14.25">
      <c r="A7421" s="37"/>
      <c r="B7421" s="37"/>
      <c r="C7421" s="37"/>
      <c r="D7421" s="37"/>
      <c r="E7421" s="212"/>
    </row>
    <row r="7422" spans="1:5" ht="14.25">
      <c r="A7422" s="37"/>
      <c r="B7422" s="37"/>
      <c r="C7422" s="37"/>
      <c r="D7422" s="37"/>
      <c r="E7422" s="212"/>
    </row>
    <row r="7423" spans="1:5" ht="14.25">
      <c r="A7423" s="37"/>
      <c r="B7423" s="37"/>
      <c r="C7423" s="37"/>
      <c r="D7423" s="37"/>
      <c r="E7423" s="212"/>
    </row>
    <row r="7424" spans="1:5" ht="14.25">
      <c r="A7424" s="37"/>
      <c r="B7424" s="37"/>
      <c r="C7424" s="37"/>
      <c r="D7424" s="37"/>
      <c r="E7424" s="212"/>
    </row>
    <row r="7425" spans="1:5" ht="14.25">
      <c r="A7425" s="37"/>
      <c r="B7425" s="37"/>
      <c r="C7425" s="37"/>
      <c r="D7425" s="37"/>
      <c r="E7425" s="213"/>
    </row>
    <row r="7426" spans="1:5" ht="14.25">
      <c r="A7426" s="37"/>
      <c r="B7426" s="37"/>
      <c r="C7426" s="37"/>
      <c r="D7426" s="37"/>
      <c r="E7426" s="212"/>
    </row>
    <row r="7427" spans="1:5" ht="14.25">
      <c r="A7427" s="37"/>
      <c r="B7427" s="37"/>
      <c r="C7427" s="37"/>
      <c r="D7427" s="37"/>
      <c r="E7427" s="213"/>
    </row>
    <row r="7428" spans="1:5" ht="14.25">
      <c r="A7428" s="37"/>
      <c r="B7428" s="37"/>
      <c r="C7428" s="37"/>
      <c r="D7428" s="37"/>
      <c r="E7428" s="212"/>
    </row>
    <row r="7429" spans="1:5" ht="14.25">
      <c r="A7429" s="37"/>
      <c r="B7429" s="37"/>
      <c r="C7429" s="37"/>
      <c r="D7429" s="37"/>
      <c r="E7429" s="213"/>
    </row>
    <row r="7430" spans="1:5" ht="14.25">
      <c r="A7430" s="37"/>
      <c r="B7430" s="37"/>
      <c r="C7430" s="37"/>
      <c r="D7430" s="37"/>
      <c r="E7430" s="212"/>
    </row>
    <row r="7431" spans="1:5" ht="14.25">
      <c r="A7431" s="37"/>
      <c r="B7431" s="37"/>
      <c r="C7431" s="37"/>
      <c r="D7431" s="37"/>
      <c r="E7431" s="213"/>
    </row>
    <row r="7432" spans="1:5" ht="14.25">
      <c r="A7432" s="37"/>
      <c r="B7432" s="37"/>
      <c r="C7432" s="37"/>
      <c r="D7432" s="37"/>
      <c r="E7432" s="212"/>
    </row>
    <row r="7433" spans="1:5" ht="14.25">
      <c r="A7433" s="37"/>
      <c r="B7433" s="37"/>
      <c r="C7433" s="37"/>
      <c r="D7433" s="37"/>
      <c r="E7433" s="213"/>
    </row>
    <row r="7434" spans="1:5" ht="14.25">
      <c r="A7434" s="37"/>
      <c r="B7434" s="37"/>
      <c r="C7434" s="37"/>
      <c r="D7434" s="37"/>
      <c r="E7434" s="212"/>
    </row>
    <row r="7435" spans="1:5" ht="14.25">
      <c r="A7435" s="37"/>
      <c r="B7435" s="37"/>
      <c r="C7435" s="37"/>
      <c r="D7435" s="37"/>
      <c r="E7435" s="213"/>
    </row>
    <row r="7436" spans="1:5" ht="14.25">
      <c r="A7436" s="37"/>
      <c r="B7436" s="37"/>
      <c r="C7436" s="37"/>
      <c r="D7436" s="37"/>
      <c r="E7436" s="212"/>
    </row>
    <row r="7437" spans="1:5" ht="14.25">
      <c r="A7437" s="37"/>
      <c r="B7437" s="37"/>
      <c r="C7437" s="37"/>
      <c r="D7437" s="37"/>
      <c r="E7437" s="213"/>
    </row>
    <row r="7438" spans="1:5" ht="14.25">
      <c r="A7438" s="37"/>
      <c r="B7438" s="37"/>
      <c r="C7438" s="37"/>
      <c r="D7438" s="37"/>
      <c r="E7438" s="212"/>
    </row>
    <row r="7439" spans="1:5" ht="14.25">
      <c r="A7439" s="37"/>
      <c r="B7439" s="37"/>
      <c r="C7439" s="37"/>
      <c r="D7439" s="37"/>
      <c r="E7439" s="213"/>
    </row>
    <row r="7440" spans="1:5" ht="14.25">
      <c r="A7440" s="37"/>
      <c r="B7440" s="37"/>
      <c r="C7440" s="37"/>
      <c r="D7440" s="37"/>
      <c r="E7440" s="212"/>
    </row>
    <row r="7441" spans="1:5" ht="14.25">
      <c r="A7441" s="37"/>
      <c r="B7441" s="37"/>
      <c r="C7441" s="37"/>
      <c r="D7441" s="37"/>
      <c r="E7441" s="213"/>
    </row>
    <row r="7442" spans="1:5" ht="14.25">
      <c r="A7442" s="37"/>
      <c r="B7442" s="37"/>
      <c r="C7442" s="37"/>
      <c r="D7442" s="37"/>
      <c r="E7442" s="212"/>
    </row>
    <row r="7443" spans="1:5" ht="14.25">
      <c r="A7443" s="37"/>
      <c r="B7443" s="37"/>
      <c r="C7443" s="37"/>
      <c r="D7443" s="37"/>
      <c r="E7443" s="213"/>
    </row>
    <row r="7444" spans="1:5" ht="14.25">
      <c r="A7444" s="37"/>
      <c r="B7444" s="37"/>
      <c r="C7444" s="37"/>
      <c r="D7444" s="37"/>
      <c r="E7444" s="212"/>
    </row>
    <row r="7445" spans="1:5" ht="14.25">
      <c r="A7445" s="37"/>
      <c r="B7445" s="37"/>
      <c r="C7445" s="37"/>
      <c r="D7445" s="37"/>
      <c r="E7445" s="213"/>
    </row>
    <row r="7446" spans="1:5" ht="14.25">
      <c r="A7446" s="37"/>
      <c r="B7446" s="37"/>
      <c r="C7446" s="37"/>
      <c r="D7446" s="37"/>
      <c r="E7446" s="212"/>
    </row>
    <row r="7447" spans="1:5" ht="14.25">
      <c r="A7447" s="37"/>
      <c r="B7447" s="37"/>
      <c r="C7447" s="37"/>
      <c r="D7447" s="37"/>
      <c r="E7447" s="213"/>
    </row>
    <row r="7448" spans="1:5" ht="14.25">
      <c r="A7448" s="37"/>
      <c r="B7448" s="37"/>
      <c r="C7448" s="37"/>
      <c r="D7448" s="37"/>
      <c r="E7448" s="212"/>
    </row>
    <row r="7449" spans="1:5" ht="14.25">
      <c r="A7449" s="37"/>
      <c r="B7449" s="37"/>
      <c r="C7449" s="37"/>
      <c r="D7449" s="37"/>
      <c r="E7449" s="213"/>
    </row>
    <row r="7450" spans="1:5" ht="14.25">
      <c r="A7450" s="37"/>
      <c r="B7450" s="37"/>
      <c r="C7450" s="37"/>
      <c r="D7450" s="37"/>
      <c r="E7450" s="212"/>
    </row>
    <row r="7451" spans="1:5" ht="14.25">
      <c r="A7451" s="37"/>
      <c r="B7451" s="37"/>
      <c r="C7451" s="37"/>
      <c r="D7451" s="37"/>
      <c r="E7451" s="213"/>
    </row>
    <row r="7452" spans="1:5" ht="14.25">
      <c r="A7452" s="37"/>
      <c r="B7452" s="37"/>
      <c r="C7452" s="37"/>
      <c r="D7452" s="37"/>
      <c r="E7452" s="212"/>
    </row>
    <row r="7453" spans="1:5" ht="14.25">
      <c r="A7453" s="37"/>
      <c r="B7453" s="37"/>
      <c r="C7453" s="37"/>
      <c r="D7453" s="37"/>
      <c r="E7453" s="213"/>
    </row>
    <row r="7454" spans="1:5" ht="14.25">
      <c r="A7454" s="37"/>
      <c r="B7454" s="37"/>
      <c r="C7454" s="37"/>
      <c r="D7454" s="37"/>
      <c r="E7454" s="212"/>
    </row>
    <row r="7455" spans="1:5" ht="14.25">
      <c r="A7455" s="37"/>
      <c r="B7455" s="37"/>
      <c r="C7455" s="37"/>
      <c r="D7455" s="37"/>
      <c r="E7455" s="213"/>
    </row>
    <row r="7456" spans="1:5" ht="14.25">
      <c r="A7456" s="37"/>
      <c r="B7456" s="37"/>
      <c r="C7456" s="37"/>
      <c r="D7456" s="37"/>
      <c r="E7456" s="212"/>
    </row>
    <row r="7457" spans="1:5" ht="14.25">
      <c r="A7457" s="37"/>
      <c r="B7457" s="37"/>
      <c r="C7457" s="37"/>
      <c r="D7457" s="37"/>
      <c r="E7457" s="213"/>
    </row>
    <row r="7458" spans="1:5" ht="14.25">
      <c r="A7458" s="37"/>
      <c r="B7458" s="37"/>
      <c r="C7458" s="37"/>
      <c r="D7458" s="37"/>
      <c r="E7458" s="212"/>
    </row>
    <row r="7459" spans="1:5" ht="14.25">
      <c r="A7459" s="37"/>
      <c r="B7459" s="37"/>
      <c r="C7459" s="37"/>
      <c r="D7459" s="37"/>
      <c r="E7459" s="213"/>
    </row>
    <row r="7460" spans="1:5" ht="14.25">
      <c r="A7460" s="37"/>
      <c r="B7460" s="37"/>
      <c r="C7460" s="37"/>
      <c r="D7460" s="37"/>
      <c r="E7460" s="212"/>
    </row>
    <row r="7461" spans="1:5" ht="14.25">
      <c r="A7461" s="37"/>
      <c r="B7461" s="37"/>
      <c r="C7461" s="37"/>
      <c r="D7461" s="37"/>
      <c r="E7461" s="213"/>
    </row>
    <row r="7462" spans="1:5" ht="14.25">
      <c r="A7462" s="37"/>
      <c r="B7462" s="37"/>
      <c r="C7462" s="37"/>
      <c r="D7462" s="37"/>
      <c r="E7462" s="213"/>
    </row>
    <row r="7463" spans="1:5" ht="14.25">
      <c r="A7463" s="37"/>
      <c r="B7463" s="37"/>
      <c r="C7463" s="37"/>
      <c r="D7463" s="37"/>
      <c r="E7463" s="213"/>
    </row>
    <row r="7464" spans="1:5" ht="14.25">
      <c r="A7464" s="37"/>
      <c r="B7464" s="37"/>
      <c r="C7464" s="37"/>
      <c r="D7464" s="37"/>
      <c r="E7464" s="213"/>
    </row>
    <row r="7465" spans="1:5" ht="14.25">
      <c r="A7465" s="37"/>
      <c r="B7465" s="37"/>
      <c r="C7465" s="37"/>
      <c r="D7465" s="37"/>
      <c r="E7465" s="213"/>
    </row>
    <row r="7466" spans="1:5" ht="14.25">
      <c r="A7466" s="37"/>
      <c r="B7466" s="37"/>
      <c r="C7466" s="37"/>
      <c r="D7466" s="37"/>
      <c r="E7466" s="212"/>
    </row>
    <row r="7467" spans="1:5" ht="14.25">
      <c r="A7467" s="37"/>
      <c r="B7467" s="37"/>
      <c r="C7467" s="37"/>
      <c r="D7467" s="37"/>
      <c r="E7467" s="212"/>
    </row>
    <row r="7468" spans="1:5" ht="14.25">
      <c r="A7468" s="37"/>
      <c r="B7468" s="37"/>
      <c r="C7468" s="37"/>
      <c r="D7468" s="37"/>
      <c r="E7468" s="212"/>
    </row>
    <row r="7469" spans="1:5" ht="14.25">
      <c r="A7469" s="37"/>
      <c r="B7469" s="37"/>
      <c r="C7469" s="37"/>
      <c r="D7469" s="37"/>
      <c r="E7469" s="212"/>
    </row>
    <row r="7470" spans="1:5" ht="14.25">
      <c r="A7470" s="37"/>
      <c r="B7470" s="37"/>
      <c r="C7470" s="37"/>
      <c r="D7470" s="37"/>
      <c r="E7470" s="212"/>
    </row>
    <row r="7471" spans="1:5" ht="14.25">
      <c r="A7471" s="37"/>
      <c r="B7471" s="37"/>
      <c r="C7471" s="37"/>
      <c r="D7471" s="37"/>
      <c r="E7471" s="212"/>
    </row>
    <row r="7472" spans="1:5" ht="14.25">
      <c r="A7472" s="37"/>
      <c r="B7472" s="37"/>
      <c r="C7472" s="37"/>
      <c r="D7472" s="37"/>
      <c r="E7472" s="212"/>
    </row>
    <row r="7473" spans="1:5" ht="14.25">
      <c r="A7473" s="37"/>
      <c r="B7473" s="37"/>
      <c r="C7473" s="37"/>
      <c r="D7473" s="37"/>
      <c r="E7473" s="212"/>
    </row>
    <row r="7474" spans="1:5" ht="14.25">
      <c r="A7474" s="37"/>
      <c r="B7474" s="37"/>
      <c r="C7474" s="37"/>
      <c r="D7474" s="37"/>
      <c r="E7474" s="212"/>
    </row>
    <row r="7475" spans="1:5" ht="14.25">
      <c r="A7475" s="37"/>
      <c r="B7475" s="37"/>
      <c r="C7475" s="37"/>
      <c r="D7475" s="37"/>
      <c r="E7475" s="212"/>
    </row>
    <row r="7476" spans="1:5" ht="14.25">
      <c r="A7476" s="37"/>
      <c r="B7476" s="37"/>
      <c r="C7476" s="37"/>
      <c r="D7476" s="37"/>
      <c r="E7476" s="212"/>
    </row>
    <row r="7477" spans="1:5" ht="14.25">
      <c r="A7477" s="37"/>
      <c r="B7477" s="37"/>
      <c r="C7477" s="37"/>
      <c r="D7477" s="37"/>
      <c r="E7477" s="212"/>
    </row>
    <row r="7478" spans="1:5" ht="14.25">
      <c r="A7478" s="37"/>
      <c r="B7478" s="37"/>
      <c r="C7478" s="37"/>
      <c r="D7478" s="37"/>
      <c r="E7478" s="212"/>
    </row>
    <row r="7479" spans="1:5" ht="14.25">
      <c r="A7479" s="37"/>
      <c r="B7479" s="37"/>
      <c r="C7479" s="37"/>
      <c r="D7479" s="37"/>
      <c r="E7479" s="213"/>
    </row>
    <row r="7480" spans="1:5" ht="14.25">
      <c r="A7480" s="37"/>
      <c r="B7480" s="37"/>
      <c r="C7480" s="37"/>
      <c r="D7480" s="37"/>
      <c r="E7480" s="212"/>
    </row>
    <row r="7481" spans="1:5" ht="14.25">
      <c r="A7481" s="37"/>
      <c r="B7481" s="37"/>
      <c r="C7481" s="37"/>
      <c r="D7481" s="37"/>
      <c r="E7481" s="212"/>
    </row>
    <row r="7482" spans="1:5" ht="14.25">
      <c r="A7482" s="37"/>
      <c r="B7482" s="37"/>
      <c r="C7482" s="37"/>
      <c r="D7482" s="37"/>
      <c r="E7482" s="212"/>
    </row>
    <row r="7483" spans="1:5" ht="14.25">
      <c r="A7483" s="37"/>
      <c r="B7483" s="37"/>
      <c r="C7483" s="37"/>
      <c r="D7483" s="37"/>
      <c r="E7483" s="212"/>
    </row>
    <row r="7484" spans="1:5" ht="14.25">
      <c r="A7484" s="37"/>
      <c r="B7484" s="37"/>
      <c r="C7484" s="37"/>
      <c r="D7484" s="37"/>
      <c r="E7484" s="212"/>
    </row>
    <row r="7485" spans="1:5" ht="14.25">
      <c r="A7485" s="37"/>
      <c r="B7485" s="37"/>
      <c r="C7485" s="37"/>
      <c r="D7485" s="37"/>
      <c r="E7485" s="212"/>
    </row>
    <row r="7486" spans="1:5" ht="14.25">
      <c r="A7486" s="37"/>
      <c r="B7486" s="37"/>
      <c r="C7486" s="37"/>
      <c r="D7486" s="37"/>
      <c r="E7486" s="212"/>
    </row>
    <row r="7487" spans="1:5" ht="14.25">
      <c r="A7487" s="37"/>
      <c r="B7487" s="37"/>
      <c r="C7487" s="37"/>
      <c r="D7487" s="37"/>
      <c r="E7487" s="212"/>
    </row>
    <row r="7488" spans="1:5" ht="14.25">
      <c r="A7488" s="37"/>
      <c r="B7488" s="37"/>
      <c r="C7488" s="37"/>
      <c r="D7488" s="37"/>
      <c r="E7488" s="212"/>
    </row>
    <row r="7489" spans="1:5" ht="14.25">
      <c r="A7489" s="37"/>
      <c r="B7489" s="37"/>
      <c r="C7489" s="37"/>
      <c r="D7489" s="37"/>
      <c r="E7489" s="212"/>
    </row>
    <row r="7490" spans="1:5" ht="14.25">
      <c r="A7490" s="37"/>
      <c r="B7490" s="37"/>
      <c r="C7490" s="37"/>
      <c r="D7490" s="37"/>
      <c r="E7490" s="212"/>
    </row>
    <row r="7491" spans="1:5" ht="14.25">
      <c r="A7491" s="37"/>
      <c r="B7491" s="37"/>
      <c r="C7491" s="37"/>
      <c r="D7491" s="37"/>
      <c r="E7491" s="212"/>
    </row>
    <row r="7492" spans="1:5" ht="14.25">
      <c r="A7492" s="37"/>
      <c r="B7492" s="37"/>
      <c r="C7492" s="37"/>
      <c r="D7492" s="37"/>
      <c r="E7492" s="212"/>
    </row>
    <row r="7493" spans="1:5" ht="14.25">
      <c r="A7493" s="37"/>
      <c r="B7493" s="37"/>
      <c r="C7493" s="37"/>
      <c r="D7493" s="37"/>
      <c r="E7493" s="212"/>
    </row>
    <row r="7494" spans="1:5" ht="14.25">
      <c r="A7494" s="37"/>
      <c r="B7494" s="37"/>
      <c r="C7494" s="37"/>
      <c r="D7494" s="37"/>
      <c r="E7494" s="212"/>
    </row>
    <row r="7495" spans="1:5" ht="14.25">
      <c r="A7495" s="37"/>
      <c r="B7495" s="37"/>
      <c r="C7495" s="37"/>
      <c r="D7495" s="37"/>
      <c r="E7495" s="212"/>
    </row>
    <row r="7496" spans="1:5" ht="14.25">
      <c r="A7496" s="37"/>
      <c r="B7496" s="37"/>
      <c r="C7496" s="37"/>
      <c r="D7496" s="37"/>
      <c r="E7496" s="212"/>
    </row>
    <row r="7497" spans="1:5" ht="14.25">
      <c r="A7497" s="37"/>
      <c r="B7497" s="37"/>
      <c r="C7497" s="37"/>
      <c r="D7497" s="37"/>
      <c r="E7497" s="212"/>
    </row>
    <row r="7498" spans="1:5" ht="14.25">
      <c r="A7498" s="37"/>
      <c r="B7498" s="37"/>
      <c r="C7498" s="37"/>
      <c r="D7498" s="37"/>
      <c r="E7498" s="212"/>
    </row>
    <row r="7499" spans="1:5" ht="14.25">
      <c r="A7499" s="37"/>
      <c r="B7499" s="37"/>
      <c r="C7499" s="37"/>
      <c r="D7499" s="37"/>
      <c r="E7499" s="212"/>
    </row>
    <row r="7500" spans="1:5" ht="14.25">
      <c r="A7500" s="37"/>
      <c r="B7500" s="37"/>
      <c r="C7500" s="37"/>
      <c r="D7500" s="37"/>
      <c r="E7500" s="212"/>
    </row>
    <row r="7501" spans="1:5" ht="14.25">
      <c r="A7501" s="37"/>
      <c r="B7501" s="37"/>
      <c r="C7501" s="37"/>
      <c r="D7501" s="37"/>
      <c r="E7501" s="212"/>
    </row>
    <row r="7502" spans="1:5" ht="14.25">
      <c r="A7502" s="37"/>
      <c r="B7502" s="37"/>
      <c r="C7502" s="37"/>
      <c r="D7502" s="37"/>
      <c r="E7502" s="212"/>
    </row>
    <row r="7503" spans="1:5" ht="14.25">
      <c r="A7503" s="37"/>
      <c r="B7503" s="37"/>
      <c r="C7503" s="37"/>
      <c r="D7503" s="37"/>
      <c r="E7503" s="212"/>
    </row>
    <row r="7504" spans="1:5" ht="14.25">
      <c r="A7504" s="37"/>
      <c r="B7504" s="37"/>
      <c r="C7504" s="37"/>
      <c r="D7504" s="37"/>
      <c r="E7504" s="212"/>
    </row>
    <row r="7505" spans="1:5" ht="14.25">
      <c r="A7505" s="37"/>
      <c r="B7505" s="37"/>
      <c r="C7505" s="37"/>
      <c r="D7505" s="37"/>
      <c r="E7505" s="212"/>
    </row>
    <row r="7506" spans="1:5" ht="14.25">
      <c r="A7506" s="37"/>
      <c r="B7506" s="37"/>
      <c r="C7506" s="37"/>
      <c r="D7506" s="37"/>
      <c r="E7506" s="212"/>
    </row>
    <row r="7507" spans="1:5" ht="14.25">
      <c r="A7507" s="37"/>
      <c r="B7507" s="37"/>
      <c r="C7507" s="37"/>
      <c r="D7507" s="37"/>
      <c r="E7507" s="212"/>
    </row>
    <row r="7508" spans="1:5" ht="14.25">
      <c r="A7508" s="37"/>
      <c r="B7508" s="37"/>
      <c r="C7508" s="37"/>
      <c r="D7508" s="37"/>
      <c r="E7508" s="212"/>
    </row>
    <row r="7509" spans="1:5" ht="14.25">
      <c r="A7509" s="37"/>
      <c r="B7509" s="37"/>
      <c r="C7509" s="37"/>
      <c r="D7509" s="37"/>
      <c r="E7509" s="212"/>
    </row>
    <row r="7510" spans="1:5" ht="14.25">
      <c r="A7510" s="37"/>
      <c r="B7510" s="37"/>
      <c r="C7510" s="37"/>
      <c r="D7510" s="37"/>
      <c r="E7510" s="212"/>
    </row>
    <row r="7511" spans="1:5" ht="14.25">
      <c r="A7511" s="37"/>
      <c r="B7511" s="37"/>
      <c r="C7511" s="37"/>
      <c r="D7511" s="37"/>
      <c r="E7511" s="212"/>
    </row>
    <row r="7512" spans="1:5" ht="14.25">
      <c r="A7512" s="37"/>
      <c r="B7512" s="37"/>
      <c r="C7512" s="37"/>
      <c r="D7512" s="37"/>
      <c r="E7512" s="212"/>
    </row>
    <row r="7513" spans="1:5" ht="14.25">
      <c r="A7513" s="37"/>
      <c r="B7513" s="37"/>
      <c r="C7513" s="37"/>
      <c r="D7513" s="37"/>
      <c r="E7513" s="212"/>
    </row>
    <row r="7514" spans="1:5" ht="14.25">
      <c r="A7514" s="37"/>
      <c r="B7514" s="37"/>
      <c r="C7514" s="37"/>
      <c r="D7514" s="37"/>
      <c r="E7514" s="212"/>
    </row>
    <row r="7515" spans="1:5" ht="14.25">
      <c r="A7515" s="37"/>
      <c r="B7515" s="37"/>
      <c r="C7515" s="37"/>
      <c r="D7515" s="37"/>
      <c r="E7515" s="212"/>
    </row>
    <row r="7516" spans="1:5" ht="14.25">
      <c r="A7516" s="37"/>
      <c r="B7516" s="37"/>
      <c r="C7516" s="37"/>
      <c r="D7516" s="37"/>
      <c r="E7516" s="212"/>
    </row>
    <row r="7517" spans="1:5" ht="14.25">
      <c r="A7517" s="37"/>
      <c r="B7517" s="37"/>
      <c r="C7517" s="37"/>
      <c r="D7517" s="37"/>
      <c r="E7517" s="212"/>
    </row>
    <row r="7518" spans="1:5" ht="14.25">
      <c r="A7518" s="37"/>
      <c r="B7518" s="37"/>
      <c r="C7518" s="37"/>
      <c r="D7518" s="37"/>
      <c r="E7518" s="212"/>
    </row>
    <row r="7519" spans="1:5" ht="14.25">
      <c r="A7519" s="37"/>
      <c r="B7519" s="37"/>
      <c r="C7519" s="37"/>
      <c r="D7519" s="37"/>
      <c r="E7519" s="212"/>
    </row>
    <row r="7520" spans="1:5" ht="14.25">
      <c r="A7520" s="37"/>
      <c r="B7520" s="37"/>
      <c r="C7520" s="37"/>
      <c r="D7520" s="37"/>
      <c r="E7520" s="212"/>
    </row>
    <row r="7521" spans="1:5" ht="14.25">
      <c r="A7521" s="37"/>
      <c r="B7521" s="37"/>
      <c r="C7521" s="37"/>
      <c r="D7521" s="37"/>
      <c r="E7521" s="212"/>
    </row>
    <row r="7522" spans="1:5" ht="14.25">
      <c r="A7522" s="37"/>
      <c r="B7522" s="37"/>
      <c r="C7522" s="37"/>
      <c r="D7522" s="37"/>
      <c r="E7522" s="212"/>
    </row>
    <row r="7523" spans="1:5" ht="14.25">
      <c r="A7523" s="37"/>
      <c r="B7523" s="37"/>
      <c r="C7523" s="37"/>
      <c r="D7523" s="37"/>
      <c r="E7523" s="212"/>
    </row>
    <row r="7524" spans="1:5" ht="14.25">
      <c r="A7524" s="37"/>
      <c r="B7524" s="37"/>
      <c r="C7524" s="37"/>
      <c r="D7524" s="37"/>
      <c r="E7524" s="212"/>
    </row>
    <row r="7525" spans="1:5" ht="14.25">
      <c r="A7525" s="37"/>
      <c r="B7525" s="37"/>
      <c r="C7525" s="37"/>
      <c r="D7525" s="37"/>
      <c r="E7525" s="212"/>
    </row>
    <row r="7526" spans="1:5" ht="14.25">
      <c r="A7526" s="37"/>
      <c r="B7526" s="37"/>
      <c r="C7526" s="37"/>
      <c r="D7526" s="37"/>
      <c r="E7526" s="212"/>
    </row>
    <row r="7527" spans="1:5" ht="14.25">
      <c r="A7527" s="37"/>
      <c r="B7527" s="37"/>
      <c r="C7527" s="37"/>
      <c r="D7527" s="37"/>
      <c r="E7527" s="212"/>
    </row>
    <row r="7528" spans="1:5" ht="14.25">
      <c r="A7528" s="37"/>
      <c r="B7528" s="37"/>
      <c r="C7528" s="37"/>
      <c r="D7528" s="37"/>
      <c r="E7528" s="212"/>
    </row>
    <row r="7529" spans="1:5" ht="14.25">
      <c r="A7529" s="37"/>
      <c r="B7529" s="37"/>
      <c r="C7529" s="37"/>
      <c r="D7529" s="37"/>
      <c r="E7529" s="212"/>
    </row>
    <row r="7530" spans="1:5" ht="14.25">
      <c r="A7530" s="37"/>
      <c r="B7530" s="37"/>
      <c r="C7530" s="37"/>
      <c r="D7530" s="37"/>
      <c r="E7530" s="212"/>
    </row>
    <row r="7531" spans="1:5" ht="14.25">
      <c r="A7531" s="37"/>
      <c r="B7531" s="37"/>
      <c r="C7531" s="37"/>
      <c r="D7531" s="37"/>
      <c r="E7531" s="212"/>
    </row>
    <row r="7532" spans="1:5" ht="14.25">
      <c r="A7532" s="37"/>
      <c r="B7532" s="37"/>
      <c r="C7532" s="37"/>
      <c r="D7532" s="37"/>
      <c r="E7532" s="212"/>
    </row>
    <row r="7533" spans="1:5" ht="14.25">
      <c r="A7533" s="37"/>
      <c r="B7533" s="37"/>
      <c r="C7533" s="37"/>
      <c r="D7533" s="37"/>
      <c r="E7533" s="212"/>
    </row>
    <row r="7534" spans="1:5" ht="14.25">
      <c r="A7534" s="37"/>
      <c r="B7534" s="37"/>
      <c r="C7534" s="37"/>
      <c r="D7534" s="37"/>
      <c r="E7534" s="212"/>
    </row>
    <row r="7535" spans="1:5" ht="14.25">
      <c r="A7535" s="37"/>
      <c r="B7535" s="37"/>
      <c r="C7535" s="37"/>
      <c r="D7535" s="37"/>
      <c r="E7535" s="212"/>
    </row>
    <row r="7536" spans="1:5" ht="14.25">
      <c r="A7536" s="37"/>
      <c r="B7536" s="37"/>
      <c r="C7536" s="37"/>
      <c r="D7536" s="37"/>
      <c r="E7536" s="212"/>
    </row>
    <row r="7537" spans="1:5" ht="14.25">
      <c r="A7537" s="37"/>
      <c r="B7537" s="37"/>
      <c r="C7537" s="37"/>
      <c r="D7537" s="37"/>
      <c r="E7537" s="212"/>
    </row>
    <row r="7538" spans="1:5" ht="14.25">
      <c r="A7538" s="37"/>
      <c r="B7538" s="37"/>
      <c r="C7538" s="37"/>
      <c r="D7538" s="37"/>
      <c r="E7538" s="212"/>
    </row>
    <row r="7539" spans="1:5" ht="14.25">
      <c r="A7539" s="37"/>
      <c r="B7539" s="37"/>
      <c r="C7539" s="37"/>
      <c r="D7539" s="37"/>
      <c r="E7539" s="212"/>
    </row>
    <row r="7540" spans="1:5" ht="14.25">
      <c r="A7540" s="37"/>
      <c r="B7540" s="37"/>
      <c r="C7540" s="37"/>
      <c r="D7540" s="37"/>
      <c r="E7540" s="212"/>
    </row>
    <row r="7541" spans="1:5" ht="14.25">
      <c r="A7541" s="37"/>
      <c r="B7541" s="37"/>
      <c r="C7541" s="37"/>
      <c r="D7541" s="37"/>
      <c r="E7541" s="212"/>
    </row>
    <row r="7542" spans="1:5" ht="14.25">
      <c r="A7542" s="37"/>
      <c r="B7542" s="37"/>
      <c r="C7542" s="37"/>
      <c r="D7542" s="37"/>
      <c r="E7542" s="212"/>
    </row>
    <row r="7543" spans="1:5" ht="14.25">
      <c r="A7543" s="37"/>
      <c r="B7543" s="37"/>
      <c r="C7543" s="37"/>
      <c r="D7543" s="37"/>
      <c r="E7543" s="212"/>
    </row>
    <row r="7544" spans="1:5" ht="14.25">
      <c r="A7544" s="37"/>
      <c r="B7544" s="37"/>
      <c r="C7544" s="37"/>
      <c r="D7544" s="37"/>
      <c r="E7544" s="212"/>
    </row>
    <row r="7545" spans="1:5" ht="14.25">
      <c r="A7545" s="37"/>
      <c r="B7545" s="37"/>
      <c r="C7545" s="37"/>
      <c r="D7545" s="37"/>
      <c r="E7545" s="212"/>
    </row>
    <row r="7546" spans="1:5" ht="14.25">
      <c r="A7546" s="37"/>
      <c r="B7546" s="37"/>
      <c r="C7546" s="37"/>
      <c r="D7546" s="37"/>
      <c r="E7546" s="212"/>
    </row>
    <row r="7547" spans="1:5" ht="14.25">
      <c r="A7547" s="37"/>
      <c r="B7547" s="37"/>
      <c r="C7547" s="37"/>
      <c r="D7547" s="37"/>
      <c r="E7547" s="212"/>
    </row>
    <row r="7548" spans="1:5" ht="14.25">
      <c r="A7548" s="37"/>
      <c r="B7548" s="37"/>
      <c r="C7548" s="37"/>
      <c r="D7548" s="37"/>
      <c r="E7548" s="212"/>
    </row>
    <row r="7549" spans="1:5" ht="14.25">
      <c r="A7549" s="37"/>
      <c r="B7549" s="37"/>
      <c r="C7549" s="37"/>
      <c r="D7549" s="37"/>
      <c r="E7549" s="212"/>
    </row>
    <row r="7550" spans="1:5" ht="14.25">
      <c r="A7550" s="37"/>
      <c r="B7550" s="37"/>
      <c r="C7550" s="37"/>
      <c r="D7550" s="37"/>
      <c r="E7550" s="212"/>
    </row>
    <row r="7551" spans="1:5" ht="14.25">
      <c r="A7551" s="37"/>
      <c r="B7551" s="37"/>
      <c r="C7551" s="37"/>
      <c r="D7551" s="37"/>
      <c r="E7551" s="212"/>
    </row>
    <row r="7552" spans="1:5" ht="14.25">
      <c r="A7552" s="37"/>
      <c r="B7552" s="37"/>
      <c r="C7552" s="37"/>
      <c r="D7552" s="37"/>
      <c r="E7552" s="212"/>
    </row>
    <row r="7553" spans="1:5" ht="14.25">
      <c r="A7553" s="37"/>
      <c r="B7553" s="37"/>
      <c r="C7553" s="37"/>
      <c r="D7553" s="37"/>
      <c r="E7553" s="213"/>
    </row>
    <row r="7554" spans="1:5" ht="14.25">
      <c r="A7554" s="37"/>
      <c r="B7554" s="37"/>
      <c r="C7554" s="37"/>
      <c r="D7554" s="37"/>
      <c r="E7554" s="212"/>
    </row>
    <row r="7555" spans="1:5" ht="14.25">
      <c r="A7555" s="37"/>
      <c r="B7555" s="37"/>
      <c r="C7555" s="37"/>
      <c r="D7555" s="37"/>
      <c r="E7555" s="212"/>
    </row>
    <row r="7556" spans="1:5" ht="14.25">
      <c r="A7556" s="37"/>
      <c r="B7556" s="37"/>
      <c r="C7556" s="37"/>
      <c r="D7556" s="37"/>
      <c r="E7556" s="212"/>
    </row>
    <row r="7557" spans="1:5" ht="14.25">
      <c r="A7557" s="37"/>
      <c r="B7557" s="37"/>
      <c r="C7557" s="37"/>
      <c r="D7557" s="37"/>
      <c r="E7557" s="212"/>
    </row>
    <row r="7558" spans="1:5" ht="14.25">
      <c r="A7558" s="37"/>
      <c r="B7558" s="37"/>
      <c r="C7558" s="37"/>
      <c r="D7558" s="37"/>
      <c r="E7558" s="212"/>
    </row>
    <row r="7559" spans="1:5" ht="14.25">
      <c r="A7559" s="37"/>
      <c r="B7559" s="37"/>
      <c r="C7559" s="37"/>
      <c r="D7559" s="37"/>
      <c r="E7559" s="212"/>
    </row>
    <row r="7560" spans="1:5" ht="14.25">
      <c r="A7560" s="37"/>
      <c r="B7560" s="37"/>
      <c r="C7560" s="37"/>
      <c r="D7560" s="37"/>
      <c r="E7560" s="212"/>
    </row>
    <row r="7561" spans="1:5" ht="14.25">
      <c r="A7561" s="37"/>
      <c r="B7561" s="37"/>
      <c r="C7561" s="37"/>
      <c r="D7561" s="37"/>
      <c r="E7561" s="212"/>
    </row>
    <row r="7562" spans="1:5" ht="14.25">
      <c r="A7562" s="37"/>
      <c r="B7562" s="37"/>
      <c r="C7562" s="37"/>
      <c r="D7562" s="37"/>
      <c r="E7562" s="213"/>
    </row>
    <row r="7563" spans="1:5" ht="14.25">
      <c r="A7563" s="37"/>
      <c r="B7563" s="37"/>
      <c r="C7563" s="37"/>
      <c r="D7563" s="37"/>
      <c r="E7563" s="212"/>
    </row>
    <row r="7564" spans="1:5" ht="14.25">
      <c r="A7564" s="37"/>
      <c r="B7564" s="37"/>
      <c r="C7564" s="37"/>
      <c r="D7564" s="37"/>
      <c r="E7564" s="212"/>
    </row>
    <row r="7565" spans="1:5" ht="14.25">
      <c r="A7565" s="37"/>
      <c r="B7565" s="37"/>
      <c r="C7565" s="37"/>
      <c r="D7565" s="37"/>
      <c r="E7565" s="212"/>
    </row>
    <row r="7566" spans="1:5" ht="14.25">
      <c r="A7566" s="37"/>
      <c r="B7566" s="37"/>
      <c r="C7566" s="37"/>
      <c r="D7566" s="37"/>
      <c r="E7566" s="212"/>
    </row>
    <row r="7567" spans="1:5" ht="14.25">
      <c r="A7567" s="37"/>
      <c r="B7567" s="37"/>
      <c r="C7567" s="37"/>
      <c r="D7567" s="37"/>
      <c r="E7567" s="212"/>
    </row>
    <row r="7568" spans="1:5" ht="14.25">
      <c r="A7568" s="37"/>
      <c r="B7568" s="37"/>
      <c r="C7568" s="37"/>
      <c r="D7568" s="37"/>
      <c r="E7568" s="212"/>
    </row>
    <row r="7569" spans="1:5" ht="14.25">
      <c r="A7569" s="37"/>
      <c r="B7569" s="37"/>
      <c r="C7569" s="37"/>
      <c r="D7569" s="37"/>
      <c r="E7569" s="212"/>
    </row>
    <row r="7570" spans="1:5" ht="14.25">
      <c r="A7570" s="37"/>
      <c r="B7570" s="37"/>
      <c r="C7570" s="37"/>
      <c r="D7570" s="37"/>
      <c r="E7570" s="213"/>
    </row>
    <row r="7571" spans="1:5" ht="14.25">
      <c r="A7571" s="37"/>
      <c r="B7571" s="37"/>
      <c r="C7571" s="37"/>
      <c r="D7571" s="37"/>
      <c r="E7571" s="212"/>
    </row>
    <row r="7572" spans="1:5" ht="14.25">
      <c r="A7572" s="37"/>
      <c r="B7572" s="37"/>
      <c r="C7572" s="37"/>
      <c r="D7572" s="37"/>
      <c r="E7572" s="212"/>
    </row>
    <row r="7573" spans="1:5" ht="14.25">
      <c r="A7573" s="37"/>
      <c r="B7573" s="37"/>
      <c r="C7573" s="37"/>
      <c r="D7573" s="37"/>
      <c r="E7573" s="212"/>
    </row>
    <row r="7574" spans="1:5" ht="14.25">
      <c r="A7574" s="37"/>
      <c r="B7574" s="37"/>
      <c r="C7574" s="37"/>
      <c r="D7574" s="37"/>
      <c r="E7574" s="212"/>
    </row>
    <row r="7575" spans="1:5" ht="14.25">
      <c r="A7575" s="37"/>
      <c r="B7575" s="37"/>
      <c r="C7575" s="37"/>
      <c r="D7575" s="37"/>
      <c r="E7575" s="212"/>
    </row>
    <row r="7576" spans="1:5" ht="14.25">
      <c r="A7576" s="37"/>
      <c r="B7576" s="37"/>
      <c r="C7576" s="37"/>
      <c r="D7576" s="37"/>
      <c r="E7576" s="212"/>
    </row>
    <row r="7577" spans="1:5" ht="14.25">
      <c r="A7577" s="37"/>
      <c r="B7577" s="37"/>
      <c r="C7577" s="37"/>
      <c r="D7577" s="37"/>
      <c r="E7577" s="212"/>
    </row>
    <row r="7578" spans="1:5" ht="14.25">
      <c r="A7578" s="37"/>
      <c r="B7578" s="37"/>
      <c r="C7578" s="37"/>
      <c r="D7578" s="37"/>
      <c r="E7578" s="212"/>
    </row>
    <row r="7579" spans="1:5" ht="14.25">
      <c r="A7579" s="37"/>
      <c r="B7579" s="37"/>
      <c r="C7579" s="37"/>
      <c r="D7579" s="37"/>
      <c r="E7579" s="212"/>
    </row>
    <row r="7580" spans="1:5" ht="14.25">
      <c r="A7580" s="37"/>
      <c r="B7580" s="37"/>
      <c r="C7580" s="37"/>
      <c r="D7580" s="37"/>
      <c r="E7580" s="212"/>
    </row>
    <row r="7581" spans="1:5" ht="14.25">
      <c r="A7581" s="37"/>
      <c r="B7581" s="37"/>
      <c r="C7581" s="37"/>
      <c r="D7581" s="37"/>
      <c r="E7581" s="212"/>
    </row>
    <row r="7582" spans="1:5" ht="14.25">
      <c r="A7582" s="37"/>
      <c r="B7582" s="37"/>
      <c r="C7582" s="37"/>
      <c r="D7582" s="37"/>
      <c r="E7582" s="212"/>
    </row>
    <row r="7583" spans="1:5" ht="14.25">
      <c r="A7583" s="37"/>
      <c r="B7583" s="37"/>
      <c r="C7583" s="37"/>
      <c r="D7583" s="37"/>
      <c r="E7583" s="212"/>
    </row>
    <row r="7584" spans="1:5" ht="14.25">
      <c r="A7584" s="37"/>
      <c r="B7584" s="37"/>
      <c r="C7584" s="37"/>
      <c r="D7584" s="37"/>
      <c r="E7584" s="212"/>
    </row>
    <row r="7585" spans="1:5" ht="14.25">
      <c r="A7585" s="37"/>
      <c r="B7585" s="37"/>
      <c r="C7585" s="37"/>
      <c r="D7585" s="37"/>
      <c r="E7585" s="212"/>
    </row>
    <row r="7586" spans="1:5" ht="14.25">
      <c r="A7586" s="37"/>
      <c r="B7586" s="37"/>
      <c r="C7586" s="37"/>
      <c r="D7586" s="37"/>
      <c r="E7586" s="212"/>
    </row>
    <row r="7587" spans="1:5" ht="14.25">
      <c r="A7587" s="37"/>
      <c r="B7587" s="37"/>
      <c r="C7587" s="37"/>
      <c r="D7587" s="37"/>
      <c r="E7587" s="212"/>
    </row>
    <row r="7588" spans="1:5" ht="14.25">
      <c r="A7588" s="37"/>
      <c r="B7588" s="37"/>
      <c r="C7588" s="37"/>
      <c r="D7588" s="37"/>
      <c r="E7588" s="212"/>
    </row>
    <row r="7589" spans="1:5" ht="14.25">
      <c r="A7589" s="37"/>
      <c r="B7589" s="37"/>
      <c r="C7589" s="37"/>
      <c r="D7589" s="37"/>
      <c r="E7589" s="212"/>
    </row>
    <row r="7590" spans="1:5" ht="14.25">
      <c r="A7590" s="37"/>
      <c r="B7590" s="37"/>
      <c r="C7590" s="37"/>
      <c r="D7590" s="37"/>
      <c r="E7590" s="212"/>
    </row>
    <row r="7591" spans="1:5" ht="14.25">
      <c r="A7591" s="37"/>
      <c r="B7591" s="37"/>
      <c r="C7591" s="37"/>
      <c r="D7591" s="37"/>
      <c r="E7591" s="213"/>
    </row>
    <row r="7592" spans="1:5" ht="14.25">
      <c r="A7592" s="37"/>
      <c r="B7592" s="37"/>
      <c r="C7592" s="37"/>
      <c r="D7592" s="37"/>
      <c r="E7592" s="212"/>
    </row>
    <row r="7593" spans="1:5" ht="14.25">
      <c r="A7593" s="37"/>
      <c r="B7593" s="37"/>
      <c r="C7593" s="37"/>
      <c r="D7593" s="37"/>
      <c r="E7593" s="212"/>
    </row>
    <row r="7594" spans="1:5" ht="14.25">
      <c r="A7594" s="37"/>
      <c r="B7594" s="37"/>
      <c r="C7594" s="37"/>
      <c r="D7594" s="37"/>
      <c r="E7594" s="212"/>
    </row>
    <row r="7595" spans="1:5" ht="14.25">
      <c r="A7595" s="37"/>
      <c r="B7595" s="37"/>
      <c r="C7595" s="37"/>
      <c r="D7595" s="37"/>
      <c r="E7595" s="212"/>
    </row>
    <row r="7596" spans="1:5" ht="14.25">
      <c r="A7596" s="37"/>
      <c r="B7596" s="37"/>
      <c r="C7596" s="37"/>
      <c r="D7596" s="37"/>
      <c r="E7596" s="212"/>
    </row>
    <row r="7597" spans="1:5" ht="14.25">
      <c r="A7597" s="37"/>
      <c r="B7597" s="37"/>
      <c r="C7597" s="37"/>
      <c r="D7597" s="37"/>
      <c r="E7597" s="212"/>
    </row>
    <row r="7598" spans="1:5" ht="14.25">
      <c r="A7598" s="37"/>
      <c r="B7598" s="37"/>
      <c r="C7598" s="37"/>
      <c r="D7598" s="37"/>
      <c r="E7598" s="212"/>
    </row>
    <row r="7599" spans="1:5" ht="14.25">
      <c r="A7599" s="37"/>
      <c r="B7599" s="37"/>
      <c r="C7599" s="37"/>
      <c r="D7599" s="37"/>
      <c r="E7599" s="213"/>
    </row>
    <row r="7600" spans="1:5" ht="14.25">
      <c r="A7600" s="37"/>
      <c r="B7600" s="37"/>
      <c r="C7600" s="37"/>
      <c r="D7600" s="37"/>
      <c r="E7600" s="212"/>
    </row>
    <row r="7601" spans="1:5" ht="14.25">
      <c r="A7601" s="37"/>
      <c r="B7601" s="37"/>
      <c r="C7601" s="37"/>
      <c r="D7601" s="37"/>
      <c r="E7601" s="212"/>
    </row>
    <row r="7602" spans="1:5" ht="14.25">
      <c r="A7602" s="37"/>
      <c r="B7602" s="37"/>
      <c r="C7602" s="37"/>
      <c r="D7602" s="37"/>
      <c r="E7602" s="212"/>
    </row>
    <row r="7603" spans="1:5" ht="14.25">
      <c r="A7603" s="37"/>
      <c r="B7603" s="37"/>
      <c r="C7603" s="37"/>
      <c r="D7603" s="37"/>
      <c r="E7603" s="212"/>
    </row>
    <row r="7604" spans="1:5" ht="14.25">
      <c r="A7604" s="37"/>
      <c r="B7604" s="37"/>
      <c r="C7604" s="37"/>
      <c r="D7604" s="37"/>
      <c r="E7604" s="212"/>
    </row>
    <row r="7605" spans="1:5" ht="14.25">
      <c r="A7605" s="37"/>
      <c r="B7605" s="37"/>
      <c r="C7605" s="37"/>
      <c r="D7605" s="37"/>
      <c r="E7605" s="212"/>
    </row>
    <row r="7606" spans="1:5" ht="14.25">
      <c r="A7606" s="37"/>
      <c r="B7606" s="37"/>
      <c r="C7606" s="37"/>
      <c r="D7606" s="37"/>
      <c r="E7606" s="212"/>
    </row>
    <row r="7607" spans="1:5" ht="14.25">
      <c r="A7607" s="37"/>
      <c r="B7607" s="37"/>
      <c r="C7607" s="37"/>
      <c r="D7607" s="37"/>
      <c r="E7607" s="212"/>
    </row>
    <row r="7608" spans="1:5" ht="14.25">
      <c r="A7608" s="37"/>
      <c r="B7608" s="37"/>
      <c r="C7608" s="37"/>
      <c r="D7608" s="37"/>
      <c r="E7608" s="212"/>
    </row>
    <row r="7609" spans="1:5" ht="14.25">
      <c r="A7609" s="37"/>
      <c r="B7609" s="37"/>
      <c r="C7609" s="37"/>
      <c r="D7609" s="37"/>
      <c r="E7609" s="212"/>
    </row>
    <row r="7610" spans="1:5" ht="14.25">
      <c r="A7610" s="37"/>
      <c r="B7610" s="37"/>
      <c r="C7610" s="37"/>
      <c r="D7610" s="37"/>
      <c r="E7610" s="212"/>
    </row>
    <row r="7611" spans="1:5" ht="14.25">
      <c r="A7611" s="37"/>
      <c r="B7611" s="37"/>
      <c r="C7611" s="37"/>
      <c r="D7611" s="37"/>
      <c r="E7611" s="212"/>
    </row>
    <row r="7612" spans="1:5" ht="14.25">
      <c r="A7612" s="37"/>
      <c r="B7612" s="37"/>
      <c r="C7612" s="37"/>
      <c r="D7612" s="37"/>
      <c r="E7612" s="212"/>
    </row>
    <row r="7613" spans="1:5" ht="14.25">
      <c r="A7613" s="37"/>
      <c r="B7613" s="37"/>
      <c r="C7613" s="37"/>
      <c r="D7613" s="37"/>
      <c r="E7613" s="212"/>
    </row>
    <row r="7614" spans="1:5" ht="14.25">
      <c r="A7614" s="37"/>
      <c r="B7614" s="37"/>
      <c r="C7614" s="37"/>
      <c r="D7614" s="37"/>
      <c r="E7614" s="212"/>
    </row>
    <row r="7615" spans="1:5" ht="14.25">
      <c r="A7615" s="37"/>
      <c r="B7615" s="37"/>
      <c r="C7615" s="37"/>
      <c r="D7615" s="37"/>
      <c r="E7615" s="212"/>
    </row>
    <row r="7616" spans="1:5" ht="14.25">
      <c r="A7616" s="37"/>
      <c r="B7616" s="37"/>
      <c r="C7616" s="37"/>
      <c r="D7616" s="37"/>
      <c r="E7616" s="212"/>
    </row>
    <row r="7617" spans="1:5" ht="14.25">
      <c r="A7617" s="37"/>
      <c r="B7617" s="37"/>
      <c r="C7617" s="37"/>
      <c r="D7617" s="37"/>
      <c r="E7617" s="212"/>
    </row>
    <row r="7618" spans="1:5" ht="14.25">
      <c r="A7618" s="37"/>
      <c r="B7618" s="37"/>
      <c r="C7618" s="37"/>
      <c r="D7618" s="37"/>
      <c r="E7618" s="212"/>
    </row>
    <row r="7619" spans="1:5" ht="14.25">
      <c r="A7619" s="37"/>
      <c r="B7619" s="37"/>
      <c r="C7619" s="37"/>
      <c r="D7619" s="37"/>
      <c r="E7619" s="212"/>
    </row>
    <row r="7620" spans="1:5" ht="14.25">
      <c r="A7620" s="37"/>
      <c r="B7620" s="37"/>
      <c r="C7620" s="37"/>
      <c r="D7620" s="37"/>
      <c r="E7620" s="212"/>
    </row>
    <row r="7621" spans="1:5" ht="14.25">
      <c r="A7621" s="37"/>
      <c r="B7621" s="37"/>
      <c r="C7621" s="37"/>
      <c r="D7621" s="37"/>
      <c r="E7621" s="212"/>
    </row>
    <row r="7622" spans="1:5" ht="14.25">
      <c r="A7622" s="37"/>
      <c r="B7622" s="37"/>
      <c r="C7622" s="37"/>
      <c r="D7622" s="37"/>
      <c r="E7622" s="212"/>
    </row>
    <row r="7623" spans="1:5" ht="14.25">
      <c r="A7623" s="37"/>
      <c r="B7623" s="37"/>
      <c r="C7623" s="37"/>
      <c r="D7623" s="37"/>
      <c r="E7623" s="212"/>
    </row>
    <row r="7624" spans="1:5" ht="14.25">
      <c r="A7624" s="37"/>
      <c r="B7624" s="37"/>
      <c r="C7624" s="37"/>
      <c r="D7624" s="37"/>
      <c r="E7624" s="212"/>
    </row>
    <row r="7625" spans="1:5" ht="14.25">
      <c r="A7625" s="37"/>
      <c r="B7625" s="37"/>
      <c r="C7625" s="37"/>
      <c r="D7625" s="37"/>
      <c r="E7625" s="212"/>
    </row>
    <row r="7626" spans="1:5" ht="14.25">
      <c r="A7626" s="37"/>
      <c r="B7626" s="37"/>
      <c r="C7626" s="37"/>
      <c r="D7626" s="37"/>
      <c r="E7626" s="212"/>
    </row>
    <row r="7627" spans="1:5" ht="14.25">
      <c r="A7627" s="37"/>
      <c r="B7627" s="37"/>
      <c r="C7627" s="37"/>
      <c r="D7627" s="37"/>
      <c r="E7627" s="212"/>
    </row>
    <row r="7628" spans="1:5" ht="14.25">
      <c r="A7628" s="37"/>
      <c r="B7628" s="37"/>
      <c r="C7628" s="37"/>
      <c r="D7628" s="37"/>
      <c r="E7628" s="212"/>
    </row>
    <row r="7629" spans="1:5" ht="14.25">
      <c r="A7629" s="37"/>
      <c r="B7629" s="37"/>
      <c r="C7629" s="37"/>
      <c r="D7629" s="37"/>
      <c r="E7629" s="212"/>
    </row>
    <row r="7630" spans="1:5" ht="14.25">
      <c r="A7630" s="37"/>
      <c r="B7630" s="37"/>
      <c r="C7630" s="37"/>
      <c r="D7630" s="37"/>
      <c r="E7630" s="212"/>
    </row>
    <row r="7631" spans="1:5" ht="14.25">
      <c r="A7631" s="37"/>
      <c r="B7631" s="37"/>
      <c r="C7631" s="37"/>
      <c r="D7631" s="37"/>
      <c r="E7631" s="212"/>
    </row>
    <row r="7632" spans="1:5" ht="14.25">
      <c r="A7632" s="37"/>
      <c r="B7632" s="37"/>
      <c r="C7632" s="37"/>
      <c r="D7632" s="37"/>
      <c r="E7632" s="212"/>
    </row>
    <row r="7633" spans="1:5" ht="14.25">
      <c r="A7633" s="37"/>
      <c r="B7633" s="37"/>
      <c r="C7633" s="37"/>
      <c r="D7633" s="37"/>
      <c r="E7633" s="212"/>
    </row>
    <row r="7634" spans="1:5" ht="14.25">
      <c r="A7634" s="37"/>
      <c r="B7634" s="37"/>
      <c r="C7634" s="37"/>
      <c r="D7634" s="37"/>
      <c r="E7634" s="212"/>
    </row>
    <row r="7635" spans="1:5" ht="14.25">
      <c r="A7635" s="37"/>
      <c r="B7635" s="37"/>
      <c r="C7635" s="37"/>
      <c r="D7635" s="37"/>
      <c r="E7635" s="212"/>
    </row>
    <row r="7636" spans="1:5" ht="14.25">
      <c r="A7636" s="37"/>
      <c r="B7636" s="37"/>
      <c r="C7636" s="37"/>
      <c r="D7636" s="37"/>
      <c r="E7636" s="212"/>
    </row>
    <row r="7637" spans="1:5" ht="14.25">
      <c r="A7637" s="37"/>
      <c r="B7637" s="37"/>
      <c r="C7637" s="37"/>
      <c r="D7637" s="37"/>
      <c r="E7637" s="212"/>
    </row>
    <row r="7638" spans="1:5" ht="14.25">
      <c r="A7638" s="37"/>
      <c r="B7638" s="37"/>
      <c r="C7638" s="37"/>
      <c r="D7638" s="37"/>
      <c r="E7638" s="213"/>
    </row>
    <row r="7639" spans="1:5" ht="14.25">
      <c r="A7639" s="37"/>
      <c r="B7639" s="37"/>
      <c r="C7639" s="37"/>
      <c r="D7639" s="37"/>
      <c r="E7639" s="213"/>
    </row>
    <row r="7640" spans="1:5" ht="14.25">
      <c r="A7640" s="37"/>
      <c r="B7640" s="37"/>
      <c r="C7640" s="37"/>
      <c r="D7640" s="37"/>
      <c r="E7640" s="213"/>
    </row>
    <row r="7641" spans="1:5" ht="14.25">
      <c r="A7641" s="37"/>
      <c r="B7641" s="37"/>
      <c r="C7641" s="37"/>
      <c r="D7641" s="37"/>
      <c r="E7641" s="213"/>
    </row>
    <row r="7642" spans="1:5" ht="14.25">
      <c r="A7642" s="37"/>
      <c r="B7642" s="37"/>
      <c r="C7642" s="37"/>
      <c r="D7642" s="37"/>
      <c r="E7642" s="213"/>
    </row>
    <row r="7643" spans="1:5" ht="14.25">
      <c r="A7643" s="37"/>
      <c r="B7643" s="37"/>
      <c r="C7643" s="37"/>
      <c r="D7643" s="37"/>
      <c r="E7643" s="213"/>
    </row>
    <row r="7644" spans="1:5" ht="14.25">
      <c r="A7644" s="37"/>
      <c r="B7644" s="37"/>
      <c r="C7644" s="37"/>
      <c r="D7644" s="37"/>
      <c r="E7644" s="213"/>
    </row>
    <row r="7645" spans="1:5" ht="14.25">
      <c r="A7645" s="37"/>
      <c r="B7645" s="37"/>
      <c r="C7645" s="37"/>
      <c r="D7645" s="37"/>
      <c r="E7645" s="213"/>
    </row>
    <row r="7646" spans="1:5" ht="14.25">
      <c r="A7646" s="37"/>
      <c r="B7646" s="37"/>
      <c r="C7646" s="37"/>
      <c r="D7646" s="37"/>
      <c r="E7646" s="213"/>
    </row>
    <row r="7647" spans="1:5" ht="14.25">
      <c r="A7647" s="37"/>
      <c r="B7647" s="37"/>
      <c r="C7647" s="37"/>
      <c r="D7647" s="37"/>
      <c r="E7647" s="213"/>
    </row>
    <row r="7648" spans="1:5" ht="14.25">
      <c r="A7648" s="37"/>
      <c r="B7648" s="37"/>
      <c r="C7648" s="37"/>
      <c r="D7648" s="37"/>
      <c r="E7648" s="212"/>
    </row>
    <row r="7649" spans="1:5" ht="14.25">
      <c r="A7649" s="37"/>
      <c r="B7649" s="37"/>
      <c r="C7649" s="37"/>
      <c r="D7649" s="37"/>
      <c r="E7649" s="212"/>
    </row>
    <row r="7650" spans="1:5" ht="14.25">
      <c r="A7650" s="37"/>
      <c r="B7650" s="37"/>
      <c r="C7650" s="37"/>
      <c r="D7650" s="37"/>
      <c r="E7650" s="212"/>
    </row>
    <row r="7651" spans="1:5" ht="14.25">
      <c r="A7651" s="37"/>
      <c r="B7651" s="37"/>
      <c r="C7651" s="37"/>
      <c r="D7651" s="37"/>
      <c r="E7651" s="212"/>
    </row>
    <row r="7652" spans="1:5" ht="14.25">
      <c r="A7652" s="37"/>
      <c r="B7652" s="37"/>
      <c r="C7652" s="37"/>
      <c r="D7652" s="37"/>
      <c r="E7652" s="212"/>
    </row>
    <row r="7653" spans="1:5" ht="14.25">
      <c r="A7653" s="37"/>
      <c r="B7653" s="37"/>
      <c r="C7653" s="37"/>
      <c r="D7653" s="37"/>
      <c r="E7653" s="212"/>
    </row>
    <row r="7654" spans="1:5" ht="14.25">
      <c r="A7654" s="37"/>
      <c r="B7654" s="37"/>
      <c r="C7654" s="37"/>
      <c r="D7654" s="37"/>
      <c r="E7654" s="212"/>
    </row>
    <row r="7655" spans="1:5" ht="14.25">
      <c r="A7655" s="37"/>
      <c r="B7655" s="37"/>
      <c r="C7655" s="37"/>
      <c r="D7655" s="37"/>
      <c r="E7655" s="212"/>
    </row>
    <row r="7656" spans="1:5" ht="14.25">
      <c r="A7656" s="37"/>
      <c r="B7656" s="37"/>
      <c r="C7656" s="37"/>
      <c r="D7656" s="37"/>
      <c r="E7656" s="212"/>
    </row>
    <row r="7657" spans="1:5" ht="14.25">
      <c r="A7657" s="37"/>
      <c r="B7657" s="37"/>
      <c r="C7657" s="37"/>
      <c r="D7657" s="37"/>
      <c r="E7657" s="212"/>
    </row>
    <row r="7658" spans="1:5" ht="14.25">
      <c r="A7658" s="37"/>
      <c r="B7658" s="37"/>
      <c r="C7658" s="37"/>
      <c r="D7658" s="37"/>
      <c r="E7658" s="212"/>
    </row>
    <row r="7659" spans="1:5" ht="14.25">
      <c r="A7659" s="37"/>
      <c r="B7659" s="37"/>
      <c r="C7659" s="37"/>
      <c r="D7659" s="37"/>
      <c r="E7659" s="212"/>
    </row>
    <row r="7660" spans="1:5" ht="14.25">
      <c r="A7660" s="37"/>
      <c r="B7660" s="37"/>
      <c r="C7660" s="37"/>
      <c r="D7660" s="37"/>
      <c r="E7660" s="212"/>
    </row>
    <row r="7661" spans="1:5" ht="14.25">
      <c r="A7661" s="37"/>
      <c r="B7661" s="37"/>
      <c r="C7661" s="37"/>
      <c r="D7661" s="37"/>
      <c r="E7661" s="212"/>
    </row>
    <row r="7662" spans="1:5" ht="14.25">
      <c r="A7662" s="37"/>
      <c r="B7662" s="37"/>
      <c r="C7662" s="37"/>
      <c r="D7662" s="37"/>
      <c r="E7662" s="213"/>
    </row>
    <row r="7663" spans="1:5" ht="14.25">
      <c r="A7663" s="37"/>
      <c r="B7663" s="37"/>
      <c r="C7663" s="37"/>
      <c r="D7663" s="37"/>
      <c r="E7663" s="212"/>
    </row>
    <row r="7664" spans="1:5" ht="14.25">
      <c r="A7664" s="37"/>
      <c r="B7664" s="37"/>
      <c r="C7664" s="37"/>
      <c r="D7664" s="37"/>
      <c r="E7664" s="213"/>
    </row>
    <row r="7665" spans="1:5" ht="14.25">
      <c r="A7665" s="37"/>
      <c r="B7665" s="37"/>
      <c r="C7665" s="37"/>
      <c r="D7665" s="37"/>
      <c r="E7665" s="212"/>
    </row>
    <row r="7666" spans="1:5" ht="14.25">
      <c r="A7666" s="37"/>
      <c r="B7666" s="37"/>
      <c r="C7666" s="37"/>
      <c r="D7666" s="37"/>
      <c r="E7666" s="213"/>
    </row>
    <row r="7667" spans="1:5" ht="14.25">
      <c r="A7667" s="37"/>
      <c r="B7667" s="37"/>
      <c r="C7667" s="37"/>
      <c r="D7667" s="37"/>
      <c r="E7667" s="212"/>
    </row>
    <row r="7668" spans="1:5" ht="14.25">
      <c r="A7668" s="37"/>
      <c r="B7668" s="37"/>
      <c r="C7668" s="37"/>
      <c r="D7668" s="37"/>
      <c r="E7668" s="212"/>
    </row>
    <row r="7669" spans="1:5" ht="14.25">
      <c r="A7669" s="37"/>
      <c r="B7669" s="37"/>
      <c r="C7669" s="37"/>
      <c r="D7669" s="37"/>
      <c r="E7669" s="212"/>
    </row>
    <row r="7670" spans="1:5" ht="14.25">
      <c r="A7670" s="37"/>
      <c r="B7670" s="37"/>
      <c r="C7670" s="37"/>
      <c r="D7670" s="37"/>
      <c r="E7670" s="212"/>
    </row>
    <row r="7671" spans="1:5" ht="14.25">
      <c r="A7671" s="37"/>
      <c r="B7671" s="37"/>
      <c r="C7671" s="37"/>
      <c r="D7671" s="37"/>
      <c r="E7671" s="212"/>
    </row>
    <row r="7672" spans="1:5" ht="14.25">
      <c r="A7672" s="37"/>
      <c r="B7672" s="37"/>
      <c r="C7672" s="37"/>
      <c r="D7672" s="37"/>
      <c r="E7672" s="212"/>
    </row>
    <row r="7673" spans="1:5" ht="14.25">
      <c r="A7673" s="37"/>
      <c r="B7673" s="37"/>
      <c r="C7673" s="37"/>
      <c r="D7673" s="37"/>
      <c r="E7673" s="212"/>
    </row>
    <row r="7674" spans="1:5" ht="14.25">
      <c r="A7674" s="37"/>
      <c r="B7674" s="37"/>
      <c r="C7674" s="37"/>
      <c r="D7674" s="37"/>
      <c r="E7674" s="212"/>
    </row>
    <row r="7675" spans="1:5" ht="14.25">
      <c r="A7675" s="37"/>
      <c r="B7675" s="37"/>
      <c r="C7675" s="37"/>
      <c r="D7675" s="37"/>
      <c r="E7675" s="212"/>
    </row>
    <row r="7676" spans="1:5" ht="14.25">
      <c r="A7676" s="37"/>
      <c r="B7676" s="37"/>
      <c r="C7676" s="37"/>
      <c r="D7676" s="37"/>
      <c r="E7676" s="212"/>
    </row>
    <row r="7677" spans="1:5" ht="14.25">
      <c r="A7677" s="37"/>
      <c r="B7677" s="37"/>
      <c r="C7677" s="37"/>
      <c r="D7677" s="37"/>
      <c r="E7677" s="212"/>
    </row>
    <row r="7678" spans="1:5" ht="14.25">
      <c r="A7678" s="37"/>
      <c r="B7678" s="37"/>
      <c r="C7678" s="37"/>
      <c r="D7678" s="37"/>
      <c r="E7678" s="212"/>
    </row>
    <row r="7679" spans="1:5" ht="14.25">
      <c r="A7679" s="37"/>
      <c r="B7679" s="37"/>
      <c r="C7679" s="37"/>
      <c r="D7679" s="37"/>
      <c r="E7679" s="212"/>
    </row>
    <row r="7680" spans="1:5" ht="14.25">
      <c r="A7680" s="37"/>
      <c r="B7680" s="37"/>
      <c r="C7680" s="37"/>
      <c r="D7680" s="37"/>
      <c r="E7680" s="212"/>
    </row>
    <row r="7681" spans="1:5" ht="14.25">
      <c r="A7681" s="37"/>
      <c r="B7681" s="37"/>
      <c r="C7681" s="37"/>
      <c r="D7681" s="37"/>
      <c r="E7681" s="212"/>
    </row>
    <row r="7682" spans="1:5" ht="14.25">
      <c r="A7682" s="37"/>
      <c r="B7682" s="37"/>
      <c r="C7682" s="37"/>
      <c r="D7682" s="37"/>
      <c r="E7682" s="212"/>
    </row>
    <row r="7683" spans="1:5" ht="14.25">
      <c r="A7683" s="37"/>
      <c r="B7683" s="37"/>
      <c r="C7683" s="37"/>
      <c r="D7683" s="37"/>
      <c r="E7683" s="212"/>
    </row>
    <row r="7684" spans="1:5" ht="14.25">
      <c r="A7684" s="37"/>
      <c r="B7684" s="37"/>
      <c r="C7684" s="37"/>
      <c r="D7684" s="37"/>
      <c r="E7684" s="212"/>
    </row>
    <row r="7685" spans="1:5" ht="14.25">
      <c r="A7685" s="37"/>
      <c r="B7685" s="37"/>
      <c r="C7685" s="37"/>
      <c r="D7685" s="37"/>
      <c r="E7685" s="212"/>
    </row>
    <row r="7686" spans="1:5" ht="14.25">
      <c r="A7686" s="37"/>
      <c r="B7686" s="37"/>
      <c r="C7686" s="37"/>
      <c r="D7686" s="37"/>
      <c r="E7686" s="212"/>
    </row>
    <row r="7687" spans="1:5" ht="14.25">
      <c r="A7687" s="37"/>
      <c r="B7687" s="37"/>
      <c r="C7687" s="37"/>
      <c r="D7687" s="37"/>
      <c r="E7687" s="212"/>
    </row>
    <row r="7688" spans="1:5" ht="14.25">
      <c r="A7688" s="37"/>
      <c r="B7688" s="37"/>
      <c r="C7688" s="37"/>
      <c r="D7688" s="37"/>
      <c r="E7688" s="212"/>
    </row>
    <row r="7689" spans="1:5" ht="14.25">
      <c r="A7689" s="37"/>
      <c r="B7689" s="37"/>
      <c r="C7689" s="37"/>
      <c r="D7689" s="37"/>
      <c r="E7689" s="212"/>
    </row>
    <row r="7690" spans="1:5" ht="14.25">
      <c r="A7690" s="37"/>
      <c r="B7690" s="37"/>
      <c r="C7690" s="37"/>
      <c r="D7690" s="37"/>
      <c r="E7690" s="212"/>
    </row>
    <row r="7691" spans="1:5" ht="14.25">
      <c r="A7691" s="37"/>
      <c r="B7691" s="37"/>
      <c r="C7691" s="37"/>
      <c r="D7691" s="37"/>
      <c r="E7691" s="212"/>
    </row>
    <row r="7692" spans="1:5" ht="14.25">
      <c r="A7692" s="37"/>
      <c r="B7692" s="37"/>
      <c r="C7692" s="37"/>
      <c r="D7692" s="37"/>
      <c r="E7692" s="212"/>
    </row>
    <row r="7693" spans="1:5" ht="14.25">
      <c r="A7693" s="37"/>
      <c r="B7693" s="37"/>
      <c r="C7693" s="37"/>
      <c r="D7693" s="37"/>
      <c r="E7693" s="212"/>
    </row>
    <row r="7694" spans="1:5" ht="14.25">
      <c r="A7694" s="37"/>
      <c r="B7694" s="37"/>
      <c r="C7694" s="37"/>
      <c r="D7694" s="37"/>
      <c r="E7694" s="212"/>
    </row>
    <row r="7695" spans="1:5" ht="14.25">
      <c r="A7695" s="37"/>
      <c r="B7695" s="37"/>
      <c r="C7695" s="37"/>
      <c r="D7695" s="37"/>
      <c r="E7695" s="212"/>
    </row>
    <row r="7696" spans="1:5" ht="14.25">
      <c r="A7696" s="37"/>
      <c r="B7696" s="37"/>
      <c r="C7696" s="37"/>
      <c r="D7696" s="37"/>
      <c r="E7696" s="212"/>
    </row>
    <row r="7697" spans="1:5" ht="14.25">
      <c r="A7697" s="37"/>
      <c r="B7697" s="37"/>
      <c r="C7697" s="37"/>
      <c r="D7697" s="37"/>
      <c r="E7697" s="212"/>
    </row>
    <row r="7698" spans="1:5" ht="14.25">
      <c r="A7698" s="37"/>
      <c r="B7698" s="37"/>
      <c r="C7698" s="37"/>
      <c r="D7698" s="37"/>
      <c r="E7698" s="212"/>
    </row>
    <row r="7699" spans="1:5" ht="14.25">
      <c r="A7699" s="37"/>
      <c r="B7699" s="37"/>
      <c r="C7699" s="37"/>
      <c r="D7699" s="37"/>
      <c r="E7699" s="212"/>
    </row>
    <row r="7700" spans="1:5" ht="14.25">
      <c r="A7700" s="37"/>
      <c r="B7700" s="37"/>
      <c r="C7700" s="37"/>
      <c r="D7700" s="37"/>
      <c r="E7700" s="212"/>
    </row>
    <row r="7701" spans="1:5" ht="14.25">
      <c r="A7701" s="37"/>
      <c r="B7701" s="37"/>
      <c r="C7701" s="37"/>
      <c r="D7701" s="37"/>
      <c r="E7701" s="212"/>
    </row>
    <row r="7702" spans="1:5" ht="14.25">
      <c r="A7702" s="37"/>
      <c r="B7702" s="37"/>
      <c r="C7702" s="37"/>
      <c r="D7702" s="37"/>
      <c r="E7702" s="212"/>
    </row>
    <row r="7703" spans="1:5" ht="14.25">
      <c r="A7703" s="37"/>
      <c r="B7703" s="37"/>
      <c r="C7703" s="37"/>
      <c r="D7703" s="37"/>
      <c r="E7703" s="212"/>
    </row>
    <row r="7704" spans="1:5" ht="14.25">
      <c r="A7704" s="37"/>
      <c r="B7704" s="37"/>
      <c r="C7704" s="37"/>
      <c r="D7704" s="37"/>
      <c r="E7704" s="212"/>
    </row>
    <row r="7705" spans="1:5" ht="14.25">
      <c r="A7705" s="37"/>
      <c r="B7705" s="37"/>
      <c r="C7705" s="37"/>
      <c r="D7705" s="37"/>
      <c r="E7705" s="212"/>
    </row>
    <row r="7706" spans="1:5" ht="14.25">
      <c r="A7706" s="37"/>
      <c r="B7706" s="37"/>
      <c r="C7706" s="37"/>
      <c r="D7706" s="37"/>
      <c r="E7706" s="212"/>
    </row>
    <row r="7707" spans="1:5" ht="14.25">
      <c r="A7707" s="37"/>
      <c r="B7707" s="37"/>
      <c r="C7707" s="37"/>
      <c r="D7707" s="37"/>
      <c r="E7707" s="212"/>
    </row>
    <row r="7708" spans="1:5" ht="14.25">
      <c r="A7708" s="37"/>
      <c r="B7708" s="37"/>
      <c r="C7708" s="37"/>
      <c r="D7708" s="37"/>
      <c r="E7708" s="212"/>
    </row>
    <row r="7709" spans="1:5" ht="14.25">
      <c r="A7709" s="37"/>
      <c r="B7709" s="37"/>
      <c r="C7709" s="37"/>
      <c r="D7709" s="37"/>
      <c r="E7709" s="212"/>
    </row>
    <row r="7710" spans="1:5" ht="14.25">
      <c r="A7710" s="37"/>
      <c r="B7710" s="37"/>
      <c r="C7710" s="37"/>
      <c r="D7710" s="37"/>
      <c r="E7710" s="212"/>
    </row>
    <row r="7711" spans="1:5" ht="14.25">
      <c r="A7711" s="37"/>
      <c r="B7711" s="37"/>
      <c r="C7711" s="37"/>
      <c r="D7711" s="37"/>
      <c r="E7711" s="212"/>
    </row>
    <row r="7712" spans="1:5" ht="14.25">
      <c r="A7712" s="37"/>
      <c r="B7712" s="37"/>
      <c r="C7712" s="37"/>
      <c r="D7712" s="37"/>
      <c r="E7712" s="212"/>
    </row>
    <row r="7713" spans="1:5" ht="14.25">
      <c r="A7713" s="37"/>
      <c r="B7713" s="37"/>
      <c r="C7713" s="37"/>
      <c r="D7713" s="37"/>
      <c r="E7713" s="212"/>
    </row>
    <row r="7714" spans="1:5" ht="14.25">
      <c r="A7714" s="37"/>
      <c r="B7714" s="37"/>
      <c r="C7714" s="37"/>
      <c r="D7714" s="37"/>
      <c r="E7714" s="212"/>
    </row>
    <row r="7715" spans="1:5" ht="14.25">
      <c r="A7715" s="37"/>
      <c r="B7715" s="37"/>
      <c r="C7715" s="37"/>
      <c r="D7715" s="37"/>
      <c r="E7715" s="212"/>
    </row>
    <row r="7716" spans="1:5" ht="14.25">
      <c r="A7716" s="37"/>
      <c r="B7716" s="37"/>
      <c r="C7716" s="37"/>
      <c r="D7716" s="37"/>
      <c r="E7716" s="213"/>
    </row>
    <row r="7717" spans="1:5" ht="14.25">
      <c r="A7717" s="37"/>
      <c r="B7717" s="37"/>
      <c r="C7717" s="37"/>
      <c r="D7717" s="37"/>
      <c r="E7717" s="212"/>
    </row>
    <row r="7718" spans="1:5" ht="14.25">
      <c r="A7718" s="37"/>
      <c r="B7718" s="37"/>
      <c r="C7718" s="37"/>
      <c r="D7718" s="37"/>
      <c r="E7718" s="212"/>
    </row>
    <row r="7719" spans="1:5" ht="14.25">
      <c r="A7719" s="37"/>
      <c r="B7719" s="37"/>
      <c r="C7719" s="37"/>
      <c r="D7719" s="37"/>
      <c r="E7719" s="212"/>
    </row>
    <row r="7720" spans="1:5" ht="14.25">
      <c r="A7720" s="37"/>
      <c r="B7720" s="37"/>
      <c r="C7720" s="37"/>
      <c r="D7720" s="37"/>
      <c r="E7720" s="212"/>
    </row>
    <row r="7721" spans="1:5" ht="14.25">
      <c r="A7721" s="37"/>
      <c r="B7721" s="37"/>
      <c r="C7721" s="37"/>
      <c r="D7721" s="37"/>
      <c r="E7721" s="212"/>
    </row>
    <row r="7722" spans="1:5" ht="14.25">
      <c r="A7722" s="37"/>
      <c r="B7722" s="37"/>
      <c r="C7722" s="37"/>
      <c r="D7722" s="37"/>
      <c r="E7722" s="212"/>
    </row>
    <row r="7723" spans="1:5" ht="14.25">
      <c r="A7723" s="37"/>
      <c r="B7723" s="37"/>
      <c r="C7723" s="37"/>
      <c r="D7723" s="37"/>
      <c r="E7723" s="212"/>
    </row>
    <row r="7724" spans="1:5" ht="14.25">
      <c r="A7724" s="37"/>
      <c r="B7724" s="37"/>
      <c r="C7724" s="37"/>
      <c r="D7724" s="37"/>
      <c r="E7724" s="212"/>
    </row>
    <row r="7725" spans="1:5" ht="14.25">
      <c r="A7725" s="37"/>
      <c r="B7725" s="37"/>
      <c r="C7725" s="37"/>
      <c r="D7725" s="37"/>
      <c r="E7725" s="212"/>
    </row>
    <row r="7726" spans="1:5" ht="14.25">
      <c r="A7726" s="37"/>
      <c r="B7726" s="37"/>
      <c r="C7726" s="37"/>
      <c r="D7726" s="37"/>
      <c r="E7726" s="212"/>
    </row>
    <row r="7727" spans="1:5" ht="14.25">
      <c r="A7727" s="37"/>
      <c r="B7727" s="37"/>
      <c r="C7727" s="37"/>
      <c r="D7727" s="37"/>
      <c r="E7727" s="212"/>
    </row>
    <row r="7728" spans="1:5" ht="14.25">
      <c r="A7728" s="37"/>
      <c r="B7728" s="37"/>
      <c r="C7728" s="37"/>
      <c r="D7728" s="37"/>
      <c r="E7728" s="212"/>
    </row>
    <row r="7729" spans="1:5" ht="14.25">
      <c r="A7729" s="37"/>
      <c r="B7729" s="37"/>
      <c r="C7729" s="37"/>
      <c r="D7729" s="37"/>
      <c r="E7729" s="212"/>
    </row>
    <row r="7730" spans="1:5" ht="14.25">
      <c r="A7730" s="37"/>
      <c r="B7730" s="37"/>
      <c r="C7730" s="37"/>
      <c r="D7730" s="37"/>
      <c r="E7730" s="213"/>
    </row>
    <row r="7731" spans="1:5" ht="14.25">
      <c r="A7731" s="37"/>
      <c r="B7731" s="37"/>
      <c r="C7731" s="37"/>
      <c r="D7731" s="37"/>
      <c r="E7731" s="212"/>
    </row>
    <row r="7732" spans="1:5" ht="14.25">
      <c r="A7732" s="37"/>
      <c r="B7732" s="37"/>
      <c r="C7732" s="37"/>
      <c r="D7732" s="37"/>
      <c r="E7732" s="212"/>
    </row>
    <row r="7733" spans="1:5" ht="14.25">
      <c r="A7733" s="37"/>
      <c r="B7733" s="37"/>
      <c r="C7733" s="37"/>
      <c r="D7733" s="37"/>
      <c r="E7733" s="212"/>
    </row>
    <row r="7734" spans="1:5" ht="14.25">
      <c r="A7734" s="37"/>
      <c r="B7734" s="37"/>
      <c r="C7734" s="37"/>
      <c r="D7734" s="37"/>
      <c r="E7734" s="212"/>
    </row>
    <row r="7735" spans="1:5" ht="14.25">
      <c r="A7735" s="37"/>
      <c r="B7735" s="37"/>
      <c r="C7735" s="37"/>
      <c r="D7735" s="37"/>
      <c r="E7735" s="212"/>
    </row>
    <row r="7736" spans="1:5" ht="14.25">
      <c r="A7736" s="37"/>
      <c r="B7736" s="37"/>
      <c r="C7736" s="37"/>
      <c r="D7736" s="37"/>
      <c r="E7736" s="212"/>
    </row>
    <row r="7737" spans="1:5" ht="14.25">
      <c r="A7737" s="37"/>
      <c r="B7737" s="37"/>
      <c r="C7737" s="37"/>
      <c r="D7737" s="37"/>
      <c r="E7737" s="212"/>
    </row>
    <row r="7738" spans="1:5" ht="14.25">
      <c r="A7738" s="37"/>
      <c r="B7738" s="37"/>
      <c r="C7738" s="37"/>
      <c r="D7738" s="37"/>
      <c r="E7738" s="212"/>
    </row>
    <row r="7739" spans="1:5" ht="14.25">
      <c r="A7739" s="37"/>
      <c r="B7739" s="37"/>
      <c r="C7739" s="37"/>
      <c r="D7739" s="37"/>
      <c r="E7739" s="212"/>
    </row>
    <row r="7740" spans="1:5" ht="14.25">
      <c r="A7740" s="37"/>
      <c r="B7740" s="37"/>
      <c r="C7740" s="37"/>
      <c r="D7740" s="37"/>
      <c r="E7740" s="212"/>
    </row>
    <row r="7741" spans="1:5" ht="14.25">
      <c r="A7741" s="37"/>
      <c r="B7741" s="37"/>
      <c r="C7741" s="37"/>
      <c r="D7741" s="37"/>
      <c r="E7741" s="212"/>
    </row>
    <row r="7742" spans="1:5" ht="14.25">
      <c r="A7742" s="37"/>
      <c r="B7742" s="37"/>
      <c r="C7742" s="37"/>
      <c r="D7742" s="37"/>
      <c r="E7742" s="212"/>
    </row>
    <row r="7743" spans="1:5" ht="14.25">
      <c r="A7743" s="37"/>
      <c r="B7743" s="37"/>
      <c r="C7743" s="37"/>
      <c r="D7743" s="37"/>
      <c r="E7743" s="212"/>
    </row>
    <row r="7744" spans="1:5" ht="14.25">
      <c r="A7744" s="37"/>
      <c r="B7744" s="37"/>
      <c r="C7744" s="37"/>
      <c r="D7744" s="37"/>
      <c r="E7744" s="212"/>
    </row>
    <row r="7745" spans="1:5" ht="14.25">
      <c r="A7745" s="37"/>
      <c r="B7745" s="37"/>
      <c r="C7745" s="37"/>
      <c r="D7745" s="37"/>
      <c r="E7745" s="212"/>
    </row>
    <row r="7746" spans="1:5" ht="14.25">
      <c r="A7746" s="37"/>
      <c r="B7746" s="37"/>
      <c r="C7746" s="37"/>
      <c r="D7746" s="37"/>
      <c r="E7746" s="212"/>
    </row>
    <row r="7747" spans="1:5" ht="14.25">
      <c r="A7747" s="37"/>
      <c r="B7747" s="37"/>
      <c r="C7747" s="37"/>
      <c r="D7747" s="37"/>
      <c r="E7747" s="212"/>
    </row>
    <row r="7748" spans="1:5" ht="14.25">
      <c r="A7748" s="37"/>
      <c r="B7748" s="37"/>
      <c r="C7748" s="37"/>
      <c r="D7748" s="37"/>
      <c r="E7748" s="212"/>
    </row>
    <row r="7749" spans="1:5" ht="14.25">
      <c r="A7749" s="37"/>
      <c r="B7749" s="37"/>
      <c r="C7749" s="37"/>
      <c r="D7749" s="37"/>
      <c r="E7749" s="212"/>
    </row>
    <row r="7750" spans="1:5" ht="14.25">
      <c r="A7750" s="37"/>
      <c r="B7750" s="37"/>
      <c r="C7750" s="37"/>
      <c r="D7750" s="37"/>
      <c r="E7750" s="212"/>
    </row>
    <row r="7751" spans="1:5" ht="14.25">
      <c r="A7751" s="37"/>
      <c r="B7751" s="37"/>
      <c r="C7751" s="37"/>
      <c r="D7751" s="37"/>
      <c r="E7751" s="212"/>
    </row>
    <row r="7752" spans="1:5" ht="14.25">
      <c r="A7752" s="37"/>
      <c r="B7752" s="37"/>
      <c r="C7752" s="37"/>
      <c r="D7752" s="37"/>
      <c r="E7752" s="212"/>
    </row>
    <row r="7753" spans="1:5" ht="14.25">
      <c r="A7753" s="37"/>
      <c r="B7753" s="37"/>
      <c r="C7753" s="37"/>
      <c r="D7753" s="37"/>
      <c r="E7753" s="212"/>
    </row>
    <row r="7754" spans="1:5" ht="14.25">
      <c r="A7754" s="37"/>
      <c r="B7754" s="37"/>
      <c r="C7754" s="37"/>
      <c r="D7754" s="37"/>
      <c r="E7754" s="212"/>
    </row>
    <row r="7755" spans="1:5" ht="14.25">
      <c r="A7755" s="37"/>
      <c r="B7755" s="37"/>
      <c r="C7755" s="37"/>
      <c r="D7755" s="37"/>
      <c r="E7755" s="212"/>
    </row>
    <row r="7756" spans="1:5" ht="14.25">
      <c r="A7756" s="37"/>
      <c r="B7756" s="37"/>
      <c r="C7756" s="37"/>
      <c r="D7756" s="37"/>
      <c r="E7756" s="212"/>
    </row>
    <row r="7757" spans="1:5" ht="14.25">
      <c r="A7757" s="37"/>
      <c r="B7757" s="37"/>
      <c r="C7757" s="37"/>
      <c r="D7757" s="37"/>
      <c r="E7757" s="212"/>
    </row>
    <row r="7758" spans="1:5" ht="14.25">
      <c r="A7758" s="37"/>
      <c r="B7758" s="37"/>
      <c r="C7758" s="37"/>
      <c r="D7758" s="37"/>
      <c r="E7758" s="212"/>
    </row>
    <row r="7759" spans="1:5" ht="14.25">
      <c r="A7759" s="37"/>
      <c r="B7759" s="37"/>
      <c r="C7759" s="37"/>
      <c r="D7759" s="37"/>
      <c r="E7759" s="212"/>
    </row>
    <row r="7760" spans="1:5" ht="14.25">
      <c r="A7760" s="37"/>
      <c r="B7760" s="37"/>
      <c r="C7760" s="37"/>
      <c r="D7760" s="37"/>
      <c r="E7760" s="212"/>
    </row>
    <row r="7761" spans="1:5" ht="14.25">
      <c r="A7761" s="37"/>
      <c r="B7761" s="37"/>
      <c r="C7761" s="37"/>
      <c r="D7761" s="37"/>
      <c r="E7761" s="213"/>
    </row>
    <row r="7762" spans="1:5" ht="14.25">
      <c r="A7762" s="37"/>
      <c r="B7762" s="37"/>
      <c r="C7762" s="37"/>
      <c r="D7762" s="37"/>
      <c r="E7762" s="213"/>
    </row>
    <row r="7763" spans="1:5" ht="14.25">
      <c r="A7763" s="37"/>
      <c r="B7763" s="37"/>
      <c r="C7763" s="37"/>
      <c r="D7763" s="37"/>
      <c r="E7763" s="212"/>
    </row>
    <row r="7764" spans="1:5" ht="14.25">
      <c r="A7764" s="37"/>
      <c r="B7764" s="37"/>
      <c r="C7764" s="37"/>
      <c r="D7764" s="37"/>
      <c r="E7764" s="212"/>
    </row>
    <row r="7765" spans="1:5" ht="14.25">
      <c r="A7765" s="37"/>
      <c r="B7765" s="37"/>
      <c r="C7765" s="37"/>
      <c r="D7765" s="37"/>
      <c r="E7765" s="212"/>
    </row>
    <row r="7766" spans="1:5" ht="14.25">
      <c r="A7766" s="37"/>
      <c r="B7766" s="37"/>
      <c r="C7766" s="37"/>
      <c r="D7766" s="37"/>
      <c r="E7766" s="212"/>
    </row>
    <row r="7767" spans="1:5" ht="14.25">
      <c r="A7767" s="37"/>
      <c r="B7767" s="37"/>
      <c r="C7767" s="37"/>
      <c r="D7767" s="37"/>
      <c r="E7767" s="212"/>
    </row>
    <row r="7768" spans="1:5" ht="14.25">
      <c r="A7768" s="37"/>
      <c r="B7768" s="37"/>
      <c r="C7768" s="37"/>
      <c r="D7768" s="37"/>
      <c r="E7768" s="212"/>
    </row>
    <row r="7769" spans="1:5" ht="14.25">
      <c r="A7769" s="37"/>
      <c r="B7769" s="37"/>
      <c r="C7769" s="37"/>
      <c r="D7769" s="37"/>
      <c r="E7769" s="212"/>
    </row>
    <row r="7770" spans="1:5" ht="14.25">
      <c r="A7770" s="37"/>
      <c r="B7770" s="37"/>
      <c r="C7770" s="37"/>
      <c r="D7770" s="37"/>
      <c r="E7770" s="212"/>
    </row>
    <row r="7771" spans="1:5" ht="14.25">
      <c r="A7771" s="37"/>
      <c r="B7771" s="37"/>
      <c r="C7771" s="37"/>
      <c r="D7771" s="37"/>
      <c r="E7771" s="212"/>
    </row>
    <row r="7772" spans="1:5" ht="14.25">
      <c r="A7772" s="37"/>
      <c r="B7772" s="37"/>
      <c r="C7772" s="37"/>
      <c r="D7772" s="37"/>
      <c r="E7772" s="212"/>
    </row>
    <row r="7773" spans="1:5" ht="14.25">
      <c r="A7773" s="37"/>
      <c r="B7773" s="37"/>
      <c r="C7773" s="37"/>
      <c r="D7773" s="37"/>
      <c r="E7773" s="212"/>
    </row>
    <row r="7774" spans="1:5" ht="14.25">
      <c r="A7774" s="37"/>
      <c r="B7774" s="37"/>
      <c r="C7774" s="37"/>
      <c r="D7774" s="37"/>
      <c r="E7774" s="212"/>
    </row>
    <row r="7775" spans="1:5" ht="14.25">
      <c r="A7775" s="37"/>
      <c r="B7775" s="37"/>
      <c r="C7775" s="37"/>
      <c r="D7775" s="37"/>
      <c r="E7775" s="212"/>
    </row>
    <row r="7776" spans="1:5" ht="14.25">
      <c r="A7776" s="37"/>
      <c r="B7776" s="37"/>
      <c r="C7776" s="37"/>
      <c r="D7776" s="37"/>
      <c r="E7776" s="212"/>
    </row>
    <row r="7777" spans="1:5" ht="14.25">
      <c r="A7777" s="37"/>
      <c r="B7777" s="37"/>
      <c r="C7777" s="37"/>
      <c r="D7777" s="37"/>
      <c r="E7777" s="212"/>
    </row>
    <row r="7778" spans="1:5" ht="14.25">
      <c r="A7778" s="37"/>
      <c r="B7778" s="37"/>
      <c r="C7778" s="37"/>
      <c r="D7778" s="37"/>
      <c r="E7778" s="212"/>
    </row>
    <row r="7779" spans="1:5" ht="14.25">
      <c r="A7779" s="37"/>
      <c r="B7779" s="37"/>
      <c r="C7779" s="37"/>
      <c r="D7779" s="37"/>
      <c r="E7779" s="212"/>
    </row>
    <row r="7780" spans="1:5" ht="14.25">
      <c r="A7780" s="37"/>
      <c r="B7780" s="37"/>
      <c r="C7780" s="37"/>
      <c r="D7780" s="37"/>
      <c r="E7780" s="212"/>
    </row>
    <row r="7781" spans="1:5" ht="14.25">
      <c r="A7781" s="37"/>
      <c r="B7781" s="37"/>
      <c r="C7781" s="37"/>
      <c r="D7781" s="37"/>
      <c r="E7781" s="212"/>
    </row>
    <row r="7782" spans="1:5" ht="14.25">
      <c r="A7782" s="37"/>
      <c r="B7782" s="37"/>
      <c r="C7782" s="37"/>
      <c r="D7782" s="37"/>
      <c r="E7782" s="212"/>
    </row>
    <row r="7783" spans="1:5" ht="14.25">
      <c r="A7783" s="37"/>
      <c r="B7783" s="37"/>
      <c r="C7783" s="37"/>
      <c r="D7783" s="37"/>
      <c r="E7783" s="212"/>
    </row>
    <row r="7784" spans="1:5" ht="14.25">
      <c r="A7784" s="37"/>
      <c r="B7784" s="37"/>
      <c r="C7784" s="37"/>
      <c r="D7784" s="37"/>
      <c r="E7784" s="212"/>
    </row>
    <row r="7785" spans="1:5" ht="14.25">
      <c r="A7785" s="37"/>
      <c r="B7785" s="37"/>
      <c r="C7785" s="37"/>
      <c r="D7785" s="37"/>
      <c r="E7785" s="212"/>
    </row>
    <row r="7786" spans="1:5" ht="14.25">
      <c r="A7786" s="37"/>
      <c r="B7786" s="37"/>
      <c r="C7786" s="37"/>
      <c r="D7786" s="37"/>
      <c r="E7786" s="212"/>
    </row>
    <row r="7787" spans="1:5" ht="14.25">
      <c r="A7787" s="37"/>
      <c r="B7787" s="37"/>
      <c r="C7787" s="37"/>
      <c r="D7787" s="37"/>
      <c r="E7787" s="212"/>
    </row>
    <row r="7788" spans="1:5" ht="14.25">
      <c r="A7788" s="37"/>
      <c r="B7788" s="37"/>
      <c r="C7788" s="37"/>
      <c r="D7788" s="37"/>
      <c r="E7788" s="212"/>
    </row>
    <row r="7789" spans="1:5" ht="14.25">
      <c r="A7789" s="37"/>
      <c r="B7789" s="37"/>
      <c r="C7789" s="37"/>
      <c r="D7789" s="37"/>
      <c r="E7789" s="212"/>
    </row>
    <row r="7790" spans="1:5" ht="14.25">
      <c r="A7790" s="37"/>
      <c r="B7790" s="37"/>
      <c r="C7790" s="37"/>
      <c r="D7790" s="37"/>
      <c r="E7790" s="212"/>
    </row>
    <row r="7791" spans="1:5" ht="14.25">
      <c r="A7791" s="37"/>
      <c r="B7791" s="37"/>
      <c r="C7791" s="37"/>
      <c r="D7791" s="37"/>
      <c r="E7791" s="212"/>
    </row>
    <row r="7792" spans="1:5" ht="14.25">
      <c r="A7792" s="37"/>
      <c r="B7792" s="37"/>
      <c r="C7792" s="37"/>
      <c r="D7792" s="37"/>
      <c r="E7792" s="212"/>
    </row>
    <row r="7793" spans="1:5" ht="14.25">
      <c r="A7793" s="37"/>
      <c r="B7793" s="37"/>
      <c r="C7793" s="37"/>
      <c r="D7793" s="37"/>
      <c r="E7793" s="212"/>
    </row>
    <row r="7794" spans="1:5" ht="14.25">
      <c r="A7794" s="37"/>
      <c r="B7794" s="37"/>
      <c r="C7794" s="37"/>
      <c r="D7794" s="37"/>
      <c r="E7794" s="212"/>
    </row>
    <row r="7795" spans="1:5" ht="14.25">
      <c r="A7795" s="37"/>
      <c r="B7795" s="37"/>
      <c r="C7795" s="37"/>
      <c r="D7795" s="37"/>
      <c r="E7795" s="212"/>
    </row>
    <row r="7796" spans="1:5" ht="14.25">
      <c r="A7796" s="37"/>
      <c r="B7796" s="37"/>
      <c r="C7796" s="37"/>
      <c r="D7796" s="37"/>
      <c r="E7796" s="212"/>
    </row>
    <row r="7797" spans="1:5" ht="14.25">
      <c r="A7797" s="37"/>
      <c r="B7797" s="37"/>
      <c r="C7797" s="37"/>
      <c r="D7797" s="37"/>
      <c r="E7797" s="212"/>
    </row>
    <row r="7798" spans="1:5" ht="14.25">
      <c r="A7798" s="37"/>
      <c r="B7798" s="37"/>
      <c r="C7798" s="37"/>
      <c r="D7798" s="37"/>
      <c r="E7798" s="212"/>
    </row>
    <row r="7799" spans="1:5" ht="14.25">
      <c r="A7799" s="37"/>
      <c r="B7799" s="37"/>
      <c r="C7799" s="37"/>
      <c r="D7799" s="37"/>
      <c r="E7799" s="212"/>
    </row>
    <row r="7800" spans="1:5" ht="14.25">
      <c r="A7800" s="37"/>
      <c r="B7800" s="37"/>
      <c r="C7800" s="37"/>
      <c r="D7800" s="37"/>
      <c r="E7800" s="212"/>
    </row>
    <row r="7801" spans="1:5" ht="14.25">
      <c r="A7801" s="37"/>
      <c r="B7801" s="37"/>
      <c r="C7801" s="37"/>
      <c r="D7801" s="37"/>
      <c r="E7801" s="212"/>
    </row>
    <row r="7802" spans="1:5" ht="14.25">
      <c r="A7802" s="37"/>
      <c r="B7802" s="37"/>
      <c r="C7802" s="37"/>
      <c r="D7802" s="37"/>
      <c r="E7802" s="212"/>
    </row>
    <row r="7803" spans="1:5" ht="14.25">
      <c r="A7803" s="37"/>
      <c r="B7803" s="37"/>
      <c r="C7803" s="37"/>
      <c r="D7803" s="37"/>
      <c r="E7803" s="212"/>
    </row>
    <row r="7804" spans="1:5" ht="14.25">
      <c r="A7804" s="37"/>
      <c r="B7804" s="37"/>
      <c r="C7804" s="37"/>
      <c r="D7804" s="37"/>
      <c r="E7804" s="213"/>
    </row>
    <row r="7805" spans="1:5" ht="14.25">
      <c r="A7805" s="37"/>
      <c r="B7805" s="37"/>
      <c r="C7805" s="37"/>
      <c r="D7805" s="37"/>
      <c r="E7805" s="212"/>
    </row>
    <row r="7806" spans="1:5" ht="14.25">
      <c r="A7806" s="37"/>
      <c r="B7806" s="37"/>
      <c r="C7806" s="37"/>
      <c r="D7806" s="37"/>
      <c r="E7806" s="212"/>
    </row>
    <row r="7807" spans="1:5" ht="14.25">
      <c r="A7807" s="37"/>
      <c r="B7807" s="37"/>
      <c r="C7807" s="37"/>
      <c r="D7807" s="37"/>
      <c r="E7807" s="212"/>
    </row>
    <row r="7808" spans="1:5" ht="14.25">
      <c r="A7808" s="37"/>
      <c r="B7808" s="37"/>
      <c r="C7808" s="37"/>
      <c r="D7808" s="37"/>
      <c r="E7808" s="212"/>
    </row>
    <row r="7809" spans="1:5" ht="14.25">
      <c r="A7809" s="37"/>
      <c r="B7809" s="37"/>
      <c r="C7809" s="37"/>
      <c r="D7809" s="37"/>
      <c r="E7809" s="212"/>
    </row>
    <row r="7810" spans="1:5" ht="14.25">
      <c r="A7810" s="37"/>
      <c r="B7810" s="37"/>
      <c r="C7810" s="37"/>
      <c r="D7810" s="37"/>
      <c r="E7810" s="212"/>
    </row>
    <row r="7811" spans="1:5" ht="14.25">
      <c r="A7811" s="37"/>
      <c r="B7811" s="37"/>
      <c r="C7811" s="37"/>
      <c r="D7811" s="37"/>
      <c r="E7811" s="212"/>
    </row>
    <row r="7812" spans="1:5" ht="14.25">
      <c r="A7812" s="37"/>
      <c r="B7812" s="37"/>
      <c r="C7812" s="37"/>
      <c r="D7812" s="37"/>
      <c r="E7812" s="212"/>
    </row>
    <row r="7813" spans="1:5" ht="14.25">
      <c r="A7813" s="37"/>
      <c r="B7813" s="37"/>
      <c r="C7813" s="37"/>
      <c r="D7813" s="37"/>
      <c r="E7813" s="212"/>
    </row>
    <row r="7814" spans="1:5" ht="14.25">
      <c r="A7814" s="37"/>
      <c r="B7814" s="37"/>
      <c r="C7814" s="37"/>
      <c r="D7814" s="37"/>
      <c r="E7814" s="212"/>
    </row>
    <row r="7815" spans="1:5" ht="14.25">
      <c r="A7815" s="37"/>
      <c r="B7815" s="37"/>
      <c r="C7815" s="37"/>
      <c r="D7815" s="37"/>
      <c r="E7815" s="212"/>
    </row>
    <row r="7816" spans="1:5" ht="14.25">
      <c r="A7816" s="37"/>
      <c r="B7816" s="37"/>
      <c r="C7816" s="37"/>
      <c r="D7816" s="37"/>
      <c r="E7816" s="212"/>
    </row>
    <row r="7817" spans="1:5" ht="14.25">
      <c r="A7817" s="37"/>
      <c r="B7817" s="37"/>
      <c r="C7817" s="37"/>
      <c r="D7817" s="37"/>
      <c r="E7817" s="212"/>
    </row>
    <row r="7818" spans="1:5" ht="14.25">
      <c r="A7818" s="37"/>
      <c r="B7818" s="37"/>
      <c r="C7818" s="37"/>
      <c r="D7818" s="37"/>
      <c r="E7818" s="212"/>
    </row>
    <row r="7819" spans="1:5" ht="14.25">
      <c r="A7819" s="37"/>
      <c r="B7819" s="37"/>
      <c r="C7819" s="37"/>
      <c r="D7819" s="37"/>
      <c r="E7819" s="212"/>
    </row>
    <row r="7820" spans="1:5" ht="14.25">
      <c r="A7820" s="37"/>
      <c r="B7820" s="37"/>
      <c r="C7820" s="37"/>
      <c r="D7820" s="37"/>
      <c r="E7820" s="212"/>
    </row>
    <row r="7821" spans="1:5" ht="14.25">
      <c r="A7821" s="37"/>
      <c r="B7821" s="37"/>
      <c r="C7821" s="37"/>
      <c r="D7821" s="37"/>
      <c r="E7821" s="212"/>
    </row>
    <row r="7822" spans="1:5" ht="14.25">
      <c r="A7822" s="37"/>
      <c r="B7822" s="37"/>
      <c r="C7822" s="37"/>
      <c r="D7822" s="37"/>
      <c r="E7822" s="212"/>
    </row>
    <row r="7823" spans="1:5" ht="14.25">
      <c r="A7823" s="37"/>
      <c r="B7823" s="37"/>
      <c r="C7823" s="37"/>
      <c r="D7823" s="37"/>
      <c r="E7823" s="212"/>
    </row>
    <row r="7824" spans="1:5" ht="14.25">
      <c r="A7824" s="37"/>
      <c r="B7824" s="37"/>
      <c r="C7824" s="37"/>
      <c r="D7824" s="37"/>
      <c r="E7824" s="212"/>
    </row>
    <row r="7825" spans="1:5" ht="14.25">
      <c r="A7825" s="37"/>
      <c r="B7825" s="37"/>
      <c r="C7825" s="37"/>
      <c r="D7825" s="37"/>
      <c r="E7825" s="213"/>
    </row>
    <row r="7826" spans="1:5" ht="14.25">
      <c r="A7826" s="37"/>
      <c r="B7826" s="37"/>
      <c r="C7826" s="37"/>
      <c r="D7826" s="37"/>
      <c r="E7826" s="212"/>
    </row>
    <row r="7827" spans="1:5" ht="14.25">
      <c r="A7827" s="37"/>
      <c r="B7827" s="37"/>
      <c r="C7827" s="37"/>
      <c r="D7827" s="37"/>
      <c r="E7827" s="212"/>
    </row>
    <row r="7828" spans="1:5" ht="14.25">
      <c r="A7828" s="37"/>
      <c r="B7828" s="37"/>
      <c r="C7828" s="37"/>
      <c r="D7828" s="37"/>
      <c r="E7828" s="212"/>
    </row>
    <row r="7829" spans="1:5" ht="14.25">
      <c r="A7829" s="37"/>
      <c r="B7829" s="37"/>
      <c r="C7829" s="37"/>
      <c r="D7829" s="37"/>
      <c r="E7829" s="212"/>
    </row>
    <row r="7830" spans="1:5" ht="14.25">
      <c r="A7830" s="37"/>
      <c r="B7830" s="37"/>
      <c r="C7830" s="37"/>
      <c r="D7830" s="37"/>
      <c r="E7830" s="212"/>
    </row>
    <row r="7831" spans="1:5" ht="14.25">
      <c r="A7831" s="37"/>
      <c r="B7831" s="37"/>
      <c r="C7831" s="37"/>
      <c r="D7831" s="37"/>
      <c r="E7831" s="212"/>
    </row>
    <row r="7832" spans="1:5" ht="14.25">
      <c r="A7832" s="37"/>
      <c r="B7832" s="37"/>
      <c r="C7832" s="37"/>
      <c r="D7832" s="37"/>
      <c r="E7832" s="212"/>
    </row>
    <row r="7833" spans="1:5" ht="14.25">
      <c r="A7833" s="37"/>
      <c r="B7833" s="37"/>
      <c r="C7833" s="37"/>
      <c r="D7833" s="37"/>
      <c r="E7833" s="212"/>
    </row>
    <row r="7834" spans="1:5" ht="14.25">
      <c r="A7834" s="37"/>
      <c r="B7834" s="37"/>
      <c r="C7834" s="37"/>
      <c r="D7834" s="37"/>
      <c r="E7834" s="213"/>
    </row>
    <row r="7835" spans="1:5" ht="14.25">
      <c r="A7835" s="37"/>
      <c r="B7835" s="37"/>
      <c r="C7835" s="37"/>
      <c r="D7835" s="37"/>
      <c r="E7835" s="213"/>
    </row>
    <row r="7836" spans="1:5" ht="14.25">
      <c r="A7836" s="37"/>
      <c r="B7836" s="37"/>
      <c r="C7836" s="37"/>
      <c r="D7836" s="37"/>
      <c r="E7836" s="213"/>
    </row>
    <row r="7837" spans="1:5" ht="14.25">
      <c r="A7837" s="37"/>
      <c r="B7837" s="37"/>
      <c r="C7837" s="37"/>
      <c r="D7837" s="37"/>
      <c r="E7837" s="213"/>
    </row>
    <row r="7838" spans="1:5" ht="14.25">
      <c r="A7838" s="37"/>
      <c r="B7838" s="37"/>
      <c r="C7838" s="37"/>
      <c r="D7838" s="37"/>
      <c r="E7838" s="213"/>
    </row>
    <row r="7839" spans="1:5" ht="14.25">
      <c r="A7839" s="37"/>
      <c r="B7839" s="37"/>
      <c r="C7839" s="37"/>
      <c r="D7839" s="37"/>
      <c r="E7839" s="213"/>
    </row>
    <row r="7840" spans="1:5" ht="14.25">
      <c r="A7840" s="37"/>
      <c r="B7840" s="37"/>
      <c r="C7840" s="37"/>
      <c r="D7840" s="37"/>
      <c r="E7840" s="213"/>
    </row>
    <row r="7841" spans="1:5" ht="14.25">
      <c r="A7841" s="37"/>
      <c r="B7841" s="37"/>
      <c r="C7841" s="37"/>
      <c r="D7841" s="37"/>
      <c r="E7841" s="212"/>
    </row>
    <row r="7842" spans="1:5" ht="14.25">
      <c r="A7842" s="37"/>
      <c r="B7842" s="37"/>
      <c r="C7842" s="37"/>
      <c r="D7842" s="37"/>
      <c r="E7842" s="212"/>
    </row>
    <row r="7843" spans="1:5" ht="14.25">
      <c r="A7843" s="37"/>
      <c r="B7843" s="37"/>
      <c r="C7843" s="37"/>
      <c r="D7843" s="37"/>
      <c r="E7843" s="212"/>
    </row>
    <row r="7844" spans="1:5" ht="14.25">
      <c r="A7844" s="37"/>
      <c r="B7844" s="37"/>
      <c r="C7844" s="37"/>
      <c r="D7844" s="37"/>
      <c r="E7844" s="212"/>
    </row>
    <row r="7845" spans="1:5" ht="14.25">
      <c r="A7845" s="37"/>
      <c r="B7845" s="37"/>
      <c r="C7845" s="37"/>
      <c r="D7845" s="37"/>
      <c r="E7845" s="212"/>
    </row>
    <row r="7846" spans="1:5" ht="14.25">
      <c r="A7846" s="37"/>
      <c r="B7846" s="37"/>
      <c r="C7846" s="37"/>
      <c r="D7846" s="37"/>
      <c r="E7846" s="212"/>
    </row>
    <row r="7847" spans="1:5" ht="14.25">
      <c r="A7847" s="37"/>
      <c r="B7847" s="37"/>
      <c r="C7847" s="37"/>
      <c r="D7847" s="37"/>
      <c r="E7847" s="213"/>
    </row>
    <row r="7848" spans="1:5" ht="14.25">
      <c r="A7848" s="37"/>
      <c r="B7848" s="37"/>
      <c r="C7848" s="37"/>
      <c r="D7848" s="37"/>
      <c r="E7848" s="213"/>
    </row>
    <row r="7849" spans="1:5" ht="14.25">
      <c r="A7849" s="37"/>
      <c r="B7849" s="37"/>
      <c r="C7849" s="37"/>
      <c r="D7849" s="37"/>
      <c r="E7849" s="212"/>
    </row>
    <row r="7850" spans="1:5" ht="14.25">
      <c r="A7850" s="37"/>
      <c r="B7850" s="37"/>
      <c r="C7850" s="37"/>
      <c r="D7850" s="37"/>
      <c r="E7850" s="212"/>
    </row>
    <row r="7851" spans="1:5" ht="14.25">
      <c r="A7851" s="37"/>
      <c r="B7851" s="37"/>
      <c r="C7851" s="37"/>
      <c r="D7851" s="37"/>
      <c r="E7851" s="212"/>
    </row>
    <row r="7852" spans="1:5" ht="14.25">
      <c r="A7852" s="37"/>
      <c r="B7852" s="37"/>
      <c r="C7852" s="37"/>
      <c r="D7852" s="37"/>
      <c r="E7852" s="212"/>
    </row>
    <row r="7853" spans="1:5" ht="14.25">
      <c r="A7853" s="37"/>
      <c r="B7853" s="37"/>
      <c r="C7853" s="37"/>
      <c r="D7853" s="37"/>
      <c r="E7853" s="212"/>
    </row>
    <row r="7854" spans="1:5" ht="14.25">
      <c r="A7854" s="37"/>
      <c r="B7854" s="37"/>
      <c r="C7854" s="37"/>
      <c r="D7854" s="37"/>
      <c r="E7854" s="213"/>
    </row>
    <row r="7855" spans="1:5" ht="14.25">
      <c r="A7855" s="37"/>
      <c r="B7855" s="37"/>
      <c r="C7855" s="37"/>
      <c r="D7855" s="37"/>
      <c r="E7855" s="213"/>
    </row>
    <row r="7856" spans="1:5" ht="14.25">
      <c r="A7856" s="37"/>
      <c r="B7856" s="37"/>
      <c r="C7856" s="37"/>
      <c r="D7856" s="37"/>
      <c r="E7856" s="212"/>
    </row>
    <row r="7857" spans="1:5" ht="14.25">
      <c r="A7857" s="37"/>
      <c r="B7857" s="37"/>
      <c r="C7857" s="37"/>
      <c r="D7857" s="37"/>
      <c r="E7857" s="212"/>
    </row>
    <row r="7858" spans="1:5" ht="14.25">
      <c r="A7858" s="37"/>
      <c r="B7858" s="37"/>
      <c r="C7858" s="37"/>
      <c r="D7858" s="37"/>
      <c r="E7858" s="213"/>
    </row>
    <row r="7859" spans="1:5" ht="14.25">
      <c r="A7859" s="37"/>
      <c r="B7859" s="37"/>
      <c r="C7859" s="37"/>
      <c r="D7859" s="37"/>
      <c r="E7859" s="212"/>
    </row>
    <row r="7860" spans="1:5" ht="14.25">
      <c r="A7860" s="37"/>
      <c r="B7860" s="37"/>
      <c r="C7860" s="37"/>
      <c r="D7860" s="37"/>
      <c r="E7860" s="213"/>
    </row>
    <row r="7861" spans="1:5" ht="14.25">
      <c r="A7861" s="37"/>
      <c r="B7861" s="37"/>
      <c r="C7861" s="37"/>
      <c r="D7861" s="37"/>
      <c r="E7861" s="213"/>
    </row>
    <row r="7862" spans="1:5" ht="14.25">
      <c r="A7862" s="37"/>
      <c r="B7862" s="37"/>
      <c r="C7862" s="37"/>
      <c r="D7862" s="37"/>
      <c r="E7862" s="213"/>
    </row>
    <row r="7863" spans="1:5" ht="14.25">
      <c r="A7863" s="37"/>
      <c r="B7863" s="37"/>
      <c r="C7863" s="37"/>
      <c r="D7863" s="37"/>
      <c r="E7863" s="213"/>
    </row>
    <row r="7864" spans="1:5" ht="14.25">
      <c r="A7864" s="37"/>
      <c r="B7864" s="37"/>
      <c r="C7864" s="37"/>
      <c r="D7864" s="37"/>
      <c r="E7864" s="212"/>
    </row>
    <row r="7865" spans="1:5" ht="14.25">
      <c r="A7865" s="37"/>
      <c r="B7865" s="37"/>
      <c r="C7865" s="37"/>
      <c r="D7865" s="37"/>
      <c r="E7865" s="212"/>
    </row>
    <row r="7866" spans="1:5" ht="14.25">
      <c r="A7866" s="37"/>
      <c r="B7866" s="37"/>
      <c r="C7866" s="37"/>
      <c r="D7866" s="37"/>
      <c r="E7866" s="212"/>
    </row>
    <row r="7867" spans="1:5" ht="14.25">
      <c r="A7867" s="37"/>
      <c r="B7867" s="37"/>
      <c r="C7867" s="37"/>
      <c r="D7867" s="37"/>
      <c r="E7867" s="212"/>
    </row>
    <row r="7868" spans="1:5" ht="14.25">
      <c r="A7868" s="37"/>
      <c r="B7868" s="37"/>
      <c r="C7868" s="37"/>
      <c r="D7868" s="37"/>
      <c r="E7868" s="212"/>
    </row>
    <row r="7869" spans="1:5" ht="14.25">
      <c r="A7869" s="37"/>
      <c r="B7869" s="37"/>
      <c r="C7869" s="37"/>
      <c r="D7869" s="37"/>
      <c r="E7869" s="212"/>
    </row>
    <row r="7870" spans="1:5" ht="14.25">
      <c r="A7870" s="37"/>
      <c r="B7870" s="37"/>
      <c r="C7870" s="37"/>
      <c r="D7870" s="37"/>
      <c r="E7870" s="212"/>
    </row>
    <row r="7871" spans="1:5" ht="14.25">
      <c r="A7871" s="37"/>
      <c r="B7871" s="37"/>
      <c r="C7871" s="37"/>
      <c r="D7871" s="37"/>
      <c r="E7871" s="212"/>
    </row>
    <row r="7872" spans="1:5" ht="14.25">
      <c r="A7872" s="37"/>
      <c r="B7872" s="37"/>
      <c r="C7872" s="37"/>
      <c r="D7872" s="37"/>
      <c r="E7872" s="212"/>
    </row>
    <row r="7873" spans="1:5" ht="14.25">
      <c r="A7873" s="37"/>
      <c r="B7873" s="37"/>
      <c r="C7873" s="37"/>
      <c r="D7873" s="37"/>
      <c r="E7873" s="212"/>
    </row>
    <row r="7874" spans="1:5" ht="14.25">
      <c r="A7874" s="37"/>
      <c r="B7874" s="37"/>
      <c r="C7874" s="37"/>
      <c r="D7874" s="37"/>
      <c r="E7874" s="212"/>
    </row>
    <row r="7875" spans="1:5" ht="14.25">
      <c r="A7875" s="37"/>
      <c r="B7875" s="37"/>
      <c r="C7875" s="37"/>
      <c r="D7875" s="37"/>
      <c r="E7875" s="212"/>
    </row>
    <row r="7876" spans="1:5" ht="14.25">
      <c r="A7876" s="37"/>
      <c r="B7876" s="37"/>
      <c r="C7876" s="37"/>
      <c r="D7876" s="37"/>
      <c r="E7876" s="212"/>
    </row>
    <row r="7877" spans="1:5" ht="14.25">
      <c r="A7877" s="37"/>
      <c r="B7877" s="37"/>
      <c r="C7877" s="37"/>
      <c r="D7877" s="37"/>
      <c r="E7877" s="212"/>
    </row>
    <row r="7878" spans="1:5" ht="14.25">
      <c r="A7878" s="37"/>
      <c r="B7878" s="37"/>
      <c r="C7878" s="37"/>
      <c r="D7878" s="37"/>
      <c r="E7878" s="212"/>
    </row>
    <row r="7879" spans="1:5" ht="14.25">
      <c r="A7879" s="37"/>
      <c r="B7879" s="37"/>
      <c r="C7879" s="37"/>
      <c r="D7879" s="37"/>
      <c r="E7879" s="212"/>
    </row>
    <row r="7880" spans="1:5" ht="14.25">
      <c r="A7880" s="37"/>
      <c r="B7880" s="37"/>
      <c r="C7880" s="37"/>
      <c r="D7880" s="37"/>
      <c r="E7880" s="212"/>
    </row>
    <row r="7881" spans="1:5" ht="14.25">
      <c r="A7881" s="37"/>
      <c r="B7881" s="37"/>
      <c r="C7881" s="37"/>
      <c r="D7881" s="37"/>
      <c r="E7881" s="212"/>
    </row>
    <row r="7882" spans="1:5" ht="14.25">
      <c r="A7882" s="37"/>
      <c r="B7882" s="37"/>
      <c r="C7882" s="37"/>
      <c r="D7882" s="37"/>
      <c r="E7882" s="212"/>
    </row>
    <row r="7883" spans="1:5" ht="14.25">
      <c r="A7883" s="37"/>
      <c r="B7883" s="37"/>
      <c r="C7883" s="37"/>
      <c r="D7883" s="37"/>
      <c r="E7883" s="212"/>
    </row>
    <row r="7884" spans="1:5" ht="14.25">
      <c r="A7884" s="37"/>
      <c r="B7884" s="37"/>
      <c r="C7884" s="37"/>
      <c r="D7884" s="37"/>
      <c r="E7884" s="212"/>
    </row>
    <row r="7885" spans="1:5" ht="14.25">
      <c r="A7885" s="37"/>
      <c r="B7885" s="37"/>
      <c r="C7885" s="37"/>
      <c r="D7885" s="37"/>
      <c r="E7885" s="212"/>
    </row>
    <row r="7886" spans="1:5" ht="14.25">
      <c r="A7886" s="37"/>
      <c r="B7886" s="37"/>
      <c r="C7886" s="37"/>
      <c r="D7886" s="37"/>
      <c r="E7886" s="212"/>
    </row>
    <row r="7887" spans="1:5" ht="14.25">
      <c r="A7887" s="37"/>
      <c r="B7887" s="37"/>
      <c r="C7887" s="37"/>
      <c r="D7887" s="37"/>
      <c r="E7887" s="212"/>
    </row>
    <row r="7888" spans="1:5" ht="14.25">
      <c r="A7888" s="37"/>
      <c r="B7888" s="37"/>
      <c r="C7888" s="37"/>
      <c r="D7888" s="37"/>
      <c r="E7888" s="212"/>
    </row>
    <row r="7889" spans="1:5" ht="14.25">
      <c r="A7889" s="37"/>
      <c r="B7889" s="37"/>
      <c r="C7889" s="37"/>
      <c r="D7889" s="37"/>
      <c r="E7889" s="212"/>
    </row>
    <row r="7890" spans="1:5" ht="14.25">
      <c r="A7890" s="37"/>
      <c r="B7890" s="37"/>
      <c r="C7890" s="37"/>
      <c r="D7890" s="37"/>
      <c r="E7890" s="212"/>
    </row>
    <row r="7891" spans="1:5" ht="14.25">
      <c r="A7891" s="37"/>
      <c r="B7891" s="37"/>
      <c r="C7891" s="37"/>
      <c r="D7891" s="37"/>
      <c r="E7891" s="212"/>
    </row>
    <row r="7892" spans="1:5" ht="14.25">
      <c r="A7892" s="37"/>
      <c r="B7892" s="37"/>
      <c r="C7892" s="37"/>
      <c r="D7892" s="37"/>
      <c r="E7892" s="212"/>
    </row>
    <row r="7893" spans="1:5" ht="14.25">
      <c r="A7893" s="37"/>
      <c r="B7893" s="37"/>
      <c r="C7893" s="37"/>
      <c r="D7893" s="37"/>
      <c r="E7893" s="213"/>
    </row>
    <row r="7894" spans="1:5" ht="14.25">
      <c r="A7894" s="37"/>
      <c r="B7894" s="37"/>
      <c r="C7894" s="37"/>
      <c r="D7894" s="37"/>
      <c r="E7894" s="212"/>
    </row>
    <row r="7895" spans="1:5" ht="14.25">
      <c r="A7895" s="37"/>
      <c r="B7895" s="37"/>
      <c r="C7895" s="37"/>
      <c r="D7895" s="37"/>
      <c r="E7895" s="212"/>
    </row>
    <row r="7896" spans="1:5" ht="14.25">
      <c r="A7896" s="37"/>
      <c r="B7896" s="37"/>
      <c r="C7896" s="37"/>
      <c r="D7896" s="37"/>
      <c r="E7896" s="212"/>
    </row>
    <row r="7897" spans="1:5" ht="14.25">
      <c r="A7897" s="37"/>
      <c r="B7897" s="37"/>
      <c r="C7897" s="37"/>
      <c r="D7897" s="37"/>
      <c r="E7897" s="213"/>
    </row>
    <row r="7898" spans="1:5" ht="14.25">
      <c r="A7898" s="37"/>
      <c r="B7898" s="37"/>
      <c r="C7898" s="37"/>
      <c r="D7898" s="37"/>
      <c r="E7898" s="213"/>
    </row>
    <row r="7899" spans="1:5" ht="14.25">
      <c r="A7899" s="37"/>
      <c r="B7899" s="37"/>
      <c r="C7899" s="37"/>
      <c r="D7899" s="37"/>
      <c r="E7899" s="212"/>
    </row>
    <row r="7900" spans="1:5" ht="14.25">
      <c r="A7900" s="37"/>
      <c r="B7900" s="37"/>
      <c r="C7900" s="37"/>
      <c r="D7900" s="37"/>
      <c r="E7900" s="212"/>
    </row>
    <row r="7901" spans="1:5" ht="14.25">
      <c r="A7901" s="37"/>
      <c r="B7901" s="37"/>
      <c r="C7901" s="37"/>
      <c r="D7901" s="37"/>
      <c r="E7901" s="212"/>
    </row>
    <row r="7902" spans="1:5" ht="14.25">
      <c r="A7902" s="37"/>
      <c r="B7902" s="37"/>
      <c r="C7902" s="37"/>
      <c r="D7902" s="37"/>
      <c r="E7902" s="212"/>
    </row>
    <row r="7903" spans="1:5" ht="14.25">
      <c r="A7903" s="37"/>
      <c r="B7903" s="37"/>
      <c r="C7903" s="37"/>
      <c r="D7903" s="37"/>
      <c r="E7903" s="212"/>
    </row>
    <row r="7904" spans="1:5" ht="14.25">
      <c r="A7904" s="37"/>
      <c r="B7904" s="37"/>
      <c r="C7904" s="37"/>
      <c r="D7904" s="37"/>
      <c r="E7904" s="212"/>
    </row>
    <row r="7905" spans="1:5" ht="14.25">
      <c r="A7905" s="37"/>
      <c r="B7905" s="37"/>
      <c r="C7905" s="37"/>
      <c r="D7905" s="37"/>
      <c r="E7905" s="212"/>
    </row>
    <row r="7906" spans="1:5" ht="14.25">
      <c r="A7906" s="37"/>
      <c r="B7906" s="37"/>
      <c r="C7906" s="37"/>
      <c r="D7906" s="37"/>
      <c r="E7906" s="212"/>
    </row>
    <row r="7907" spans="1:5" ht="14.25">
      <c r="A7907" s="37"/>
      <c r="B7907" s="37"/>
      <c r="C7907" s="37"/>
      <c r="D7907" s="37"/>
      <c r="E7907" s="212"/>
    </row>
    <row r="7908" spans="1:5" ht="14.25">
      <c r="A7908" s="37"/>
      <c r="B7908" s="37"/>
      <c r="C7908" s="37"/>
      <c r="D7908" s="37"/>
      <c r="E7908" s="212"/>
    </row>
    <row r="7909" spans="1:5" ht="14.25">
      <c r="A7909" s="37"/>
      <c r="B7909" s="37"/>
      <c r="C7909" s="37"/>
      <c r="D7909" s="37"/>
      <c r="E7909" s="212"/>
    </row>
    <row r="7910" spans="1:5" ht="14.25">
      <c r="A7910" s="37"/>
      <c r="B7910" s="37"/>
      <c r="C7910" s="37"/>
      <c r="D7910" s="37"/>
      <c r="E7910" s="212"/>
    </row>
    <row r="7911" spans="1:5" ht="14.25">
      <c r="A7911" s="37"/>
      <c r="B7911" s="37"/>
      <c r="C7911" s="37"/>
      <c r="D7911" s="37"/>
      <c r="E7911" s="212"/>
    </row>
    <row r="7912" spans="1:5" ht="14.25">
      <c r="A7912" s="37"/>
      <c r="B7912" s="37"/>
      <c r="C7912" s="37"/>
      <c r="D7912" s="37"/>
      <c r="E7912" s="212"/>
    </row>
    <row r="7913" spans="1:5" ht="14.25">
      <c r="A7913" s="37"/>
      <c r="B7913" s="37"/>
      <c r="C7913" s="37"/>
      <c r="D7913" s="37"/>
      <c r="E7913" s="212"/>
    </row>
    <row r="7914" spans="1:5" ht="14.25">
      <c r="A7914" s="37"/>
      <c r="B7914" s="37"/>
      <c r="C7914" s="37"/>
      <c r="D7914" s="37"/>
      <c r="E7914" s="212"/>
    </row>
    <row r="7915" spans="1:5" ht="14.25">
      <c r="A7915" s="37"/>
      <c r="B7915" s="37"/>
      <c r="C7915" s="37"/>
      <c r="D7915" s="37"/>
      <c r="E7915" s="212"/>
    </row>
    <row r="7916" spans="1:5" ht="14.25">
      <c r="A7916" s="37"/>
      <c r="B7916" s="37"/>
      <c r="C7916" s="37"/>
      <c r="D7916" s="37"/>
      <c r="E7916" s="212"/>
    </row>
    <row r="7917" spans="1:5" ht="14.25">
      <c r="A7917" s="37"/>
      <c r="B7917" s="37"/>
      <c r="C7917" s="37"/>
      <c r="D7917" s="37"/>
      <c r="E7917" s="212"/>
    </row>
    <row r="7918" spans="1:5" ht="14.25">
      <c r="A7918" s="37"/>
      <c r="B7918" s="37"/>
      <c r="C7918" s="37"/>
      <c r="D7918" s="37"/>
      <c r="E7918" s="212"/>
    </row>
    <row r="7919" spans="1:5" ht="14.25">
      <c r="A7919" s="37"/>
      <c r="B7919" s="37"/>
      <c r="C7919" s="37"/>
      <c r="D7919" s="37"/>
      <c r="E7919" s="212"/>
    </row>
    <row r="7920" spans="1:5" ht="14.25">
      <c r="A7920" s="37"/>
      <c r="B7920" s="37"/>
      <c r="C7920" s="37"/>
      <c r="D7920" s="37"/>
      <c r="E7920" s="212"/>
    </row>
    <row r="7921" spans="1:5" ht="14.25">
      <c r="A7921" s="37"/>
      <c r="B7921" s="37"/>
      <c r="C7921" s="37"/>
      <c r="D7921" s="37"/>
      <c r="E7921" s="212"/>
    </row>
    <row r="7922" spans="1:5" ht="14.25">
      <c r="A7922" s="37"/>
      <c r="B7922" s="37"/>
      <c r="C7922" s="37"/>
      <c r="D7922" s="37"/>
      <c r="E7922" s="212"/>
    </row>
    <row r="7923" spans="1:5" ht="14.25">
      <c r="A7923" s="37"/>
      <c r="B7923" s="37"/>
      <c r="C7923" s="37"/>
      <c r="D7923" s="37"/>
      <c r="E7923" s="213"/>
    </row>
    <row r="7924" spans="1:5" ht="14.25">
      <c r="A7924" s="37"/>
      <c r="B7924" s="37"/>
      <c r="C7924" s="37"/>
      <c r="D7924" s="37"/>
      <c r="E7924" s="212"/>
    </row>
    <row r="7925" spans="1:5" ht="14.25">
      <c r="A7925" s="37"/>
      <c r="B7925" s="37"/>
      <c r="C7925" s="37"/>
      <c r="D7925" s="37"/>
      <c r="E7925" s="213"/>
    </row>
    <row r="7926" spans="1:5" ht="14.25">
      <c r="A7926" s="37"/>
      <c r="B7926" s="37"/>
      <c r="C7926" s="37"/>
      <c r="D7926" s="37"/>
      <c r="E7926" s="212"/>
    </row>
    <row r="7927" spans="1:5" ht="14.25">
      <c r="A7927" s="37"/>
      <c r="B7927" s="37"/>
      <c r="C7927" s="37"/>
      <c r="D7927" s="37"/>
      <c r="E7927" s="213"/>
    </row>
    <row r="7928" spans="1:5" ht="14.25">
      <c r="A7928" s="37"/>
      <c r="B7928" s="37"/>
      <c r="C7928" s="37"/>
      <c r="D7928" s="37"/>
      <c r="E7928" s="213"/>
    </row>
    <row r="7929" spans="1:5" ht="14.25">
      <c r="A7929" s="37"/>
      <c r="B7929" s="37"/>
      <c r="C7929" s="37"/>
      <c r="D7929" s="37"/>
      <c r="E7929" s="213"/>
    </row>
    <row r="7930" spans="1:5" ht="14.25">
      <c r="A7930" s="37"/>
      <c r="B7930" s="37"/>
      <c r="C7930" s="37"/>
      <c r="D7930" s="37"/>
      <c r="E7930" s="212"/>
    </row>
    <row r="7931" spans="1:5" ht="14.25">
      <c r="A7931" s="37"/>
      <c r="B7931" s="37"/>
      <c r="C7931" s="37"/>
      <c r="D7931" s="37"/>
      <c r="E7931" s="212"/>
    </row>
    <row r="7932" spans="1:5" ht="14.25">
      <c r="A7932" s="37"/>
      <c r="B7932" s="37"/>
      <c r="C7932" s="37"/>
      <c r="D7932" s="37"/>
      <c r="E7932" s="212"/>
    </row>
    <row r="7933" spans="1:5" ht="14.25">
      <c r="A7933" s="37"/>
      <c r="B7933" s="37"/>
      <c r="C7933" s="37"/>
      <c r="D7933" s="37"/>
      <c r="E7933" s="212"/>
    </row>
    <row r="7934" spans="1:5" ht="14.25">
      <c r="A7934" s="37"/>
      <c r="B7934" s="37"/>
      <c r="C7934" s="37"/>
      <c r="D7934" s="37"/>
      <c r="E7934" s="213"/>
    </row>
    <row r="7935" spans="1:5" ht="14.25">
      <c r="A7935" s="37"/>
      <c r="B7935" s="37"/>
      <c r="C7935" s="37"/>
      <c r="D7935" s="37"/>
      <c r="E7935" s="213"/>
    </row>
    <row r="7936" spans="1:5" ht="14.25">
      <c r="A7936" s="37"/>
      <c r="B7936" s="37"/>
      <c r="C7936" s="37"/>
      <c r="D7936" s="37"/>
      <c r="E7936" s="212"/>
    </row>
    <row r="7937" spans="1:5" ht="14.25">
      <c r="A7937" s="37"/>
      <c r="B7937" s="37"/>
      <c r="C7937" s="37"/>
      <c r="D7937" s="37"/>
      <c r="E7937" s="212"/>
    </row>
    <row r="7938" spans="1:5" ht="14.25">
      <c r="A7938" s="37"/>
      <c r="B7938" s="37"/>
      <c r="C7938" s="37"/>
      <c r="D7938" s="37"/>
      <c r="E7938" s="212"/>
    </row>
    <row r="7939" spans="1:5" ht="14.25">
      <c r="A7939" s="37"/>
      <c r="B7939" s="37"/>
      <c r="C7939" s="37"/>
      <c r="D7939" s="37"/>
      <c r="E7939" s="212"/>
    </row>
    <row r="7940" spans="1:5" ht="14.25">
      <c r="A7940" s="37"/>
      <c r="B7940" s="37"/>
      <c r="C7940" s="37"/>
      <c r="D7940" s="37"/>
      <c r="E7940" s="212"/>
    </row>
    <row r="7941" spans="1:5" ht="14.25">
      <c r="A7941" s="37"/>
      <c r="B7941" s="37"/>
      <c r="C7941" s="37"/>
      <c r="D7941" s="37"/>
      <c r="E7941" s="212"/>
    </row>
    <row r="7942" spans="1:5" ht="14.25">
      <c r="A7942" s="37"/>
      <c r="B7942" s="37"/>
      <c r="C7942" s="37"/>
      <c r="D7942" s="37"/>
      <c r="E7942" s="212"/>
    </row>
    <row r="7943" spans="1:5" ht="14.25">
      <c r="A7943" s="37"/>
      <c r="B7943" s="37"/>
      <c r="C7943" s="37"/>
      <c r="D7943" s="37"/>
      <c r="E7943" s="212"/>
    </row>
    <row r="7944" spans="1:5" ht="14.25">
      <c r="A7944" s="37"/>
      <c r="B7944" s="37"/>
      <c r="C7944" s="37"/>
      <c r="D7944" s="37"/>
      <c r="E7944" s="212"/>
    </row>
    <row r="7945" spans="1:5" ht="14.25">
      <c r="A7945" s="37"/>
      <c r="B7945" s="37"/>
      <c r="C7945" s="37"/>
      <c r="D7945" s="37"/>
      <c r="E7945" s="212"/>
    </row>
    <row r="7946" spans="1:5" ht="14.25">
      <c r="A7946" s="37"/>
      <c r="B7946" s="37"/>
      <c r="C7946" s="37"/>
      <c r="D7946" s="37"/>
      <c r="E7946" s="212"/>
    </row>
    <row r="7947" spans="1:5" ht="14.25">
      <c r="A7947" s="37"/>
      <c r="B7947" s="37"/>
      <c r="C7947" s="37"/>
      <c r="D7947" s="37"/>
      <c r="E7947" s="212"/>
    </row>
    <row r="7948" spans="1:5" ht="14.25">
      <c r="A7948" s="37"/>
      <c r="B7948" s="37"/>
      <c r="C7948" s="37"/>
      <c r="D7948" s="37"/>
      <c r="E7948" s="212"/>
    </row>
    <row r="7949" spans="1:5" ht="14.25">
      <c r="A7949" s="37"/>
      <c r="B7949" s="37"/>
      <c r="C7949" s="37"/>
      <c r="D7949" s="37"/>
      <c r="E7949" s="212"/>
    </row>
    <row r="7950" spans="1:5" ht="14.25">
      <c r="A7950" s="37"/>
      <c r="B7950" s="37"/>
      <c r="C7950" s="37"/>
      <c r="D7950" s="37"/>
      <c r="E7950" s="212"/>
    </row>
    <row r="7951" spans="1:5" ht="14.25">
      <c r="A7951" s="37"/>
      <c r="B7951" s="37"/>
      <c r="C7951" s="37"/>
      <c r="D7951" s="37"/>
      <c r="E7951" s="212"/>
    </row>
    <row r="7952" spans="1:5" ht="14.25">
      <c r="A7952" s="37"/>
      <c r="B7952" s="37"/>
      <c r="C7952" s="37"/>
      <c r="D7952" s="37"/>
      <c r="E7952" s="212"/>
    </row>
    <row r="7953" spans="1:5" ht="14.25">
      <c r="A7953" s="37"/>
      <c r="B7953" s="37"/>
      <c r="C7953" s="37"/>
      <c r="D7953" s="37"/>
      <c r="E7953" s="212"/>
    </row>
    <row r="7954" spans="1:5" ht="14.25">
      <c r="A7954" s="37"/>
      <c r="B7954" s="37"/>
      <c r="C7954" s="37"/>
      <c r="D7954" s="37"/>
      <c r="E7954" s="212"/>
    </row>
    <row r="7955" spans="1:5" ht="14.25">
      <c r="A7955" s="37"/>
      <c r="B7955" s="37"/>
      <c r="C7955" s="37"/>
      <c r="D7955" s="37"/>
      <c r="E7955" s="212"/>
    </row>
    <row r="7956" spans="1:5" ht="14.25">
      <c r="A7956" s="37"/>
      <c r="B7956" s="37"/>
      <c r="C7956" s="37"/>
      <c r="D7956" s="37"/>
      <c r="E7956" s="212"/>
    </row>
    <row r="7957" spans="1:5" ht="14.25">
      <c r="A7957" s="37"/>
      <c r="B7957" s="37"/>
      <c r="C7957" s="37"/>
      <c r="D7957" s="37"/>
      <c r="E7957" s="212"/>
    </row>
    <row r="7958" spans="1:5" ht="14.25">
      <c r="A7958" s="37"/>
      <c r="B7958" s="37"/>
      <c r="C7958" s="37"/>
      <c r="D7958" s="37"/>
      <c r="E7958" s="212"/>
    </row>
    <row r="7959" spans="1:5" ht="14.25">
      <c r="A7959" s="37"/>
      <c r="B7959" s="37"/>
      <c r="C7959" s="37"/>
      <c r="D7959" s="37"/>
      <c r="E7959" s="212"/>
    </row>
    <row r="7960" spans="1:5" ht="14.25">
      <c r="A7960" s="37"/>
      <c r="B7960" s="37"/>
      <c r="C7960" s="37"/>
      <c r="D7960" s="37"/>
      <c r="E7960" s="212"/>
    </row>
    <row r="7961" spans="1:5" ht="14.25">
      <c r="A7961" s="37"/>
      <c r="B7961" s="37"/>
      <c r="C7961" s="37"/>
      <c r="D7961" s="37"/>
      <c r="E7961" s="212"/>
    </row>
    <row r="7962" spans="1:5" ht="14.25">
      <c r="A7962" s="37"/>
      <c r="B7962" s="37"/>
      <c r="C7962" s="37"/>
      <c r="D7962" s="37"/>
      <c r="E7962" s="212"/>
    </row>
    <row r="7963" spans="1:5" ht="14.25">
      <c r="A7963" s="37"/>
      <c r="B7963" s="37"/>
      <c r="C7963" s="37"/>
      <c r="D7963" s="37"/>
      <c r="E7963" s="212"/>
    </row>
    <row r="7964" spans="1:5" ht="14.25">
      <c r="A7964" s="37"/>
      <c r="B7964" s="37"/>
      <c r="C7964" s="37"/>
      <c r="D7964" s="37"/>
      <c r="E7964" s="212"/>
    </row>
    <row r="7965" spans="1:5" ht="14.25">
      <c r="A7965" s="37"/>
      <c r="B7965" s="37"/>
      <c r="C7965" s="37"/>
      <c r="D7965" s="37"/>
      <c r="E7965" s="212"/>
    </row>
    <row r="7966" spans="1:5" ht="14.25">
      <c r="A7966" s="37"/>
      <c r="B7966" s="37"/>
      <c r="C7966" s="37"/>
      <c r="D7966" s="37"/>
      <c r="E7966" s="212"/>
    </row>
    <row r="7967" spans="1:5" ht="14.25">
      <c r="A7967" s="37"/>
      <c r="B7967" s="37"/>
      <c r="C7967" s="37"/>
      <c r="D7967" s="37"/>
      <c r="E7967" s="213"/>
    </row>
    <row r="7968" spans="1:5" ht="14.25">
      <c r="A7968" s="37"/>
      <c r="B7968" s="37"/>
      <c r="C7968" s="37"/>
      <c r="D7968" s="37"/>
      <c r="E7968" s="212"/>
    </row>
    <row r="7969" spans="1:5" ht="14.25">
      <c r="A7969" s="37"/>
      <c r="B7969" s="37"/>
      <c r="C7969" s="37"/>
      <c r="D7969" s="37"/>
      <c r="E7969" s="212"/>
    </row>
    <row r="7970" spans="1:5" ht="14.25">
      <c r="A7970" s="37"/>
      <c r="B7970" s="37"/>
      <c r="C7970" s="37"/>
      <c r="D7970" s="37"/>
      <c r="E7970" s="212"/>
    </row>
    <row r="7971" spans="1:5" ht="14.25">
      <c r="A7971" s="37"/>
      <c r="B7971" s="37"/>
      <c r="C7971" s="37"/>
      <c r="D7971" s="37"/>
      <c r="E7971" s="212"/>
    </row>
    <row r="7972" spans="1:5" ht="14.25">
      <c r="A7972" s="37"/>
      <c r="B7972" s="37"/>
      <c r="C7972" s="37"/>
      <c r="D7972" s="37"/>
      <c r="E7972" s="212"/>
    </row>
    <row r="7973" spans="1:5" ht="14.25">
      <c r="A7973" s="37"/>
      <c r="B7973" s="37"/>
      <c r="C7973" s="37"/>
      <c r="D7973" s="37"/>
      <c r="E7973" s="212"/>
    </row>
    <row r="7974" spans="1:5" ht="14.25">
      <c r="A7974" s="37"/>
      <c r="B7974" s="37"/>
      <c r="C7974" s="37"/>
      <c r="D7974" s="37"/>
      <c r="E7974" s="212"/>
    </row>
    <row r="7975" spans="1:5" ht="14.25">
      <c r="A7975" s="37"/>
      <c r="B7975" s="37"/>
      <c r="C7975" s="37"/>
      <c r="D7975" s="37"/>
      <c r="E7975" s="212"/>
    </row>
    <row r="7976" spans="1:5" ht="14.25">
      <c r="A7976" s="37"/>
      <c r="B7976" s="37"/>
      <c r="C7976" s="37"/>
      <c r="D7976" s="37"/>
      <c r="E7976" s="212"/>
    </row>
    <row r="7977" spans="1:5" ht="14.25">
      <c r="A7977" s="37"/>
      <c r="B7977" s="37"/>
      <c r="C7977" s="37"/>
      <c r="D7977" s="37"/>
      <c r="E7977" s="212"/>
    </row>
    <row r="7978" spans="1:5" ht="14.25">
      <c r="A7978" s="37"/>
      <c r="B7978" s="37"/>
      <c r="C7978" s="37"/>
      <c r="D7978" s="37"/>
      <c r="E7978" s="212"/>
    </row>
    <row r="7979" spans="1:5" ht="14.25">
      <c r="A7979" s="37"/>
      <c r="B7979" s="37"/>
      <c r="C7979" s="37"/>
      <c r="D7979" s="37"/>
      <c r="E7979" s="212"/>
    </row>
    <row r="7980" spans="1:5" ht="14.25">
      <c r="A7980" s="37"/>
      <c r="B7980" s="37"/>
      <c r="C7980" s="37"/>
      <c r="D7980" s="37"/>
      <c r="E7980" s="212"/>
    </row>
    <row r="7981" spans="1:5" ht="14.25">
      <c r="A7981" s="37"/>
      <c r="B7981" s="37"/>
      <c r="C7981" s="37"/>
      <c r="D7981" s="37"/>
      <c r="E7981" s="213"/>
    </row>
    <row r="7982" spans="1:5" ht="14.25">
      <c r="A7982" s="37"/>
      <c r="B7982" s="37"/>
      <c r="C7982" s="37"/>
      <c r="D7982" s="37"/>
      <c r="E7982" s="212"/>
    </row>
    <row r="7983" spans="1:5" ht="14.25">
      <c r="A7983" s="37"/>
      <c r="B7983" s="37"/>
      <c r="C7983" s="37"/>
      <c r="D7983" s="37"/>
      <c r="E7983" s="212"/>
    </row>
    <row r="7984" spans="1:5" ht="14.25">
      <c r="A7984" s="37"/>
      <c r="B7984" s="37"/>
      <c r="C7984" s="37"/>
      <c r="D7984" s="37"/>
      <c r="E7984" s="212"/>
    </row>
    <row r="7985" spans="1:5" ht="14.25">
      <c r="A7985" s="37"/>
      <c r="B7985" s="37"/>
      <c r="C7985" s="37"/>
      <c r="D7985" s="37"/>
      <c r="E7985" s="212"/>
    </row>
    <row r="7986" spans="1:5" ht="14.25">
      <c r="A7986" s="37"/>
      <c r="B7986" s="37"/>
      <c r="C7986" s="37"/>
      <c r="D7986" s="37"/>
      <c r="E7986" s="212"/>
    </row>
    <row r="7987" spans="1:5" ht="14.25">
      <c r="A7987" s="37"/>
      <c r="B7987" s="37"/>
      <c r="C7987" s="37"/>
      <c r="D7987" s="37"/>
      <c r="E7987" s="212"/>
    </row>
    <row r="7988" spans="1:5" ht="14.25">
      <c r="A7988" s="37"/>
      <c r="B7988" s="37"/>
      <c r="C7988" s="37"/>
      <c r="D7988" s="37"/>
      <c r="E7988" s="212"/>
    </row>
    <row r="7989" spans="1:5" ht="14.25">
      <c r="A7989" s="37"/>
      <c r="B7989" s="37"/>
      <c r="C7989" s="37"/>
      <c r="D7989" s="37"/>
      <c r="E7989" s="212"/>
    </row>
    <row r="7990" spans="1:5" ht="14.25">
      <c r="A7990" s="37"/>
      <c r="B7990" s="37"/>
      <c r="C7990" s="37"/>
      <c r="D7990" s="37"/>
      <c r="E7990" s="212"/>
    </row>
    <row r="7991" spans="1:5" ht="14.25">
      <c r="A7991" s="37"/>
      <c r="B7991" s="37"/>
      <c r="C7991" s="37"/>
      <c r="D7991" s="37"/>
      <c r="E7991" s="212"/>
    </row>
    <row r="7992" spans="1:5" ht="14.25">
      <c r="A7992" s="37"/>
      <c r="B7992" s="37"/>
      <c r="C7992" s="37"/>
      <c r="D7992" s="37"/>
      <c r="E7992" s="212"/>
    </row>
    <row r="7993" spans="1:5" ht="14.25">
      <c r="A7993" s="37"/>
      <c r="B7993" s="37"/>
      <c r="C7993" s="37"/>
      <c r="D7993" s="37"/>
      <c r="E7993" s="212"/>
    </row>
    <row r="7994" spans="1:5" ht="14.25">
      <c r="A7994" s="37"/>
      <c r="B7994" s="37"/>
      <c r="C7994" s="37"/>
      <c r="D7994" s="37"/>
      <c r="E7994" s="212"/>
    </row>
    <row r="7995" spans="1:5" ht="14.25">
      <c r="A7995" s="37"/>
      <c r="B7995" s="37"/>
      <c r="C7995" s="37"/>
      <c r="D7995" s="37"/>
      <c r="E7995" s="212"/>
    </row>
    <row r="7996" spans="1:5" ht="14.25">
      <c r="A7996" s="37"/>
      <c r="B7996" s="37"/>
      <c r="C7996" s="37"/>
      <c r="D7996" s="37"/>
      <c r="E7996" s="212"/>
    </row>
    <row r="7997" spans="1:5" ht="14.25">
      <c r="A7997" s="37"/>
      <c r="B7997" s="37"/>
      <c r="C7997" s="37"/>
      <c r="D7997" s="37"/>
      <c r="E7997" s="212"/>
    </row>
    <row r="7998" spans="1:5" ht="14.25">
      <c r="A7998" s="37"/>
      <c r="B7998" s="37"/>
      <c r="C7998" s="37"/>
      <c r="D7998" s="37"/>
      <c r="E7998" s="212"/>
    </row>
    <row r="7999" spans="1:5" ht="14.25">
      <c r="A7999" s="37"/>
      <c r="B7999" s="37"/>
      <c r="C7999" s="37"/>
      <c r="D7999" s="37"/>
      <c r="E7999" s="212"/>
    </row>
    <row r="8000" spans="1:5" ht="14.25">
      <c r="A8000" s="37"/>
      <c r="B8000" s="37"/>
      <c r="C8000" s="37"/>
      <c r="D8000" s="37"/>
      <c r="E8000" s="212"/>
    </row>
    <row r="8001" spans="1:5" ht="14.25">
      <c r="A8001" s="37"/>
      <c r="B8001" s="37"/>
      <c r="C8001" s="37"/>
      <c r="D8001" s="37"/>
      <c r="E8001" s="212"/>
    </row>
    <row r="8002" spans="1:5" ht="14.25">
      <c r="A8002" s="37"/>
      <c r="B8002" s="37"/>
      <c r="C8002" s="37"/>
      <c r="D8002" s="37"/>
      <c r="E8002" s="212"/>
    </row>
    <row r="8003" spans="1:5" ht="14.25">
      <c r="A8003" s="37"/>
      <c r="B8003" s="37"/>
      <c r="C8003" s="37"/>
      <c r="D8003" s="37"/>
      <c r="E8003" s="212"/>
    </row>
    <row r="8004" spans="1:5" ht="14.25">
      <c r="A8004" s="37"/>
      <c r="B8004" s="37"/>
      <c r="C8004" s="37"/>
      <c r="D8004" s="37"/>
      <c r="E8004" s="212"/>
    </row>
    <row r="8005" spans="1:5" ht="14.25">
      <c r="A8005" s="37"/>
      <c r="B8005" s="37"/>
      <c r="C8005" s="37"/>
      <c r="D8005" s="37"/>
      <c r="E8005" s="212"/>
    </row>
    <row r="8006" spans="1:5" ht="14.25">
      <c r="A8006" s="37"/>
      <c r="B8006" s="37"/>
      <c r="C8006" s="37"/>
      <c r="D8006" s="37"/>
      <c r="E8006" s="212"/>
    </row>
    <row r="8007" spans="1:5" ht="14.25">
      <c r="A8007" s="37"/>
      <c r="B8007" s="37"/>
      <c r="C8007" s="37"/>
      <c r="D8007" s="37"/>
      <c r="E8007" s="212"/>
    </row>
    <row r="8008" spans="1:5" ht="14.25">
      <c r="A8008" s="37"/>
      <c r="B8008" s="37"/>
      <c r="C8008" s="37"/>
      <c r="D8008" s="37"/>
      <c r="E8008" s="212"/>
    </row>
    <row r="8009" spans="1:5" ht="14.25">
      <c r="A8009" s="37"/>
      <c r="B8009" s="37"/>
      <c r="C8009" s="37"/>
      <c r="D8009" s="37"/>
      <c r="E8009" s="212"/>
    </row>
    <row r="8010" spans="1:5" ht="14.25">
      <c r="A8010" s="37"/>
      <c r="B8010" s="37"/>
      <c r="C8010" s="37"/>
      <c r="D8010" s="37"/>
      <c r="E8010" s="212"/>
    </row>
    <row r="8011" spans="1:5" ht="14.25">
      <c r="A8011" s="37"/>
      <c r="B8011" s="37"/>
      <c r="C8011" s="37"/>
      <c r="D8011" s="37"/>
      <c r="E8011" s="212"/>
    </row>
    <row r="8012" spans="1:5" ht="14.25">
      <c r="A8012" s="37"/>
      <c r="B8012" s="37"/>
      <c r="C8012" s="37"/>
      <c r="D8012" s="37"/>
      <c r="E8012" s="212"/>
    </row>
    <row r="8013" spans="1:5" ht="14.25">
      <c r="A8013" s="37"/>
      <c r="B8013" s="37"/>
      <c r="C8013" s="37"/>
      <c r="D8013" s="37"/>
      <c r="E8013" s="212"/>
    </row>
    <row r="8014" spans="1:5" ht="14.25">
      <c r="A8014" s="37"/>
      <c r="B8014" s="37"/>
      <c r="C8014" s="37"/>
      <c r="D8014" s="37"/>
      <c r="E8014" s="212"/>
    </row>
    <row r="8015" spans="1:5" ht="14.25">
      <c r="A8015" s="37"/>
      <c r="B8015" s="37"/>
      <c r="C8015" s="37"/>
      <c r="D8015" s="37"/>
      <c r="E8015" s="212"/>
    </row>
    <row r="8016" spans="1:5" ht="14.25">
      <c r="A8016" s="37"/>
      <c r="B8016" s="37"/>
      <c r="C8016" s="37"/>
      <c r="D8016" s="37"/>
      <c r="E8016" s="212"/>
    </row>
    <row r="8017" spans="1:5" ht="14.25">
      <c r="A8017" s="37"/>
      <c r="B8017" s="37"/>
      <c r="C8017" s="37"/>
      <c r="D8017" s="37"/>
      <c r="E8017" s="212"/>
    </row>
    <row r="8018" spans="1:5" ht="14.25">
      <c r="A8018" s="37"/>
      <c r="B8018" s="37"/>
      <c r="C8018" s="37"/>
      <c r="D8018" s="37"/>
      <c r="E8018" s="212"/>
    </row>
    <row r="8019" spans="1:5" ht="14.25">
      <c r="A8019" s="37"/>
      <c r="B8019" s="37"/>
      <c r="C8019" s="37"/>
      <c r="D8019" s="37"/>
      <c r="E8019" s="212"/>
    </row>
    <row r="8020" spans="1:5" ht="14.25">
      <c r="A8020" s="37"/>
      <c r="B8020" s="37"/>
      <c r="C8020" s="37"/>
      <c r="D8020" s="37"/>
      <c r="E8020" s="212"/>
    </row>
    <row r="8021" spans="1:5" ht="14.25">
      <c r="A8021" s="37"/>
      <c r="B8021" s="37"/>
      <c r="C8021" s="37"/>
      <c r="D8021" s="37"/>
      <c r="E8021" s="212"/>
    </row>
    <row r="8022" spans="1:5" ht="14.25">
      <c r="A8022" s="37"/>
      <c r="B8022" s="37"/>
      <c r="C8022" s="37"/>
      <c r="D8022" s="37"/>
      <c r="E8022" s="212"/>
    </row>
    <row r="8023" spans="1:5" ht="14.25">
      <c r="A8023" s="37"/>
      <c r="B8023" s="37"/>
      <c r="C8023" s="37"/>
      <c r="D8023" s="37"/>
      <c r="E8023" s="212"/>
    </row>
    <row r="8024" spans="1:5" ht="14.25">
      <c r="A8024" s="37"/>
      <c r="B8024" s="37"/>
      <c r="C8024" s="37"/>
      <c r="D8024" s="37"/>
      <c r="E8024" s="212"/>
    </row>
    <row r="8025" spans="1:5" ht="14.25">
      <c r="A8025" s="37"/>
      <c r="B8025" s="37"/>
      <c r="C8025" s="37"/>
      <c r="D8025" s="37"/>
      <c r="E8025" s="212"/>
    </row>
    <row r="8026" spans="1:5" ht="14.25">
      <c r="A8026" s="37"/>
      <c r="B8026" s="37"/>
      <c r="C8026" s="37"/>
      <c r="D8026" s="37"/>
      <c r="E8026" s="212"/>
    </row>
    <row r="8027" spans="1:5" ht="14.25">
      <c r="A8027" s="37"/>
      <c r="B8027" s="37"/>
      <c r="C8027" s="37"/>
      <c r="D8027" s="37"/>
      <c r="E8027" s="212"/>
    </row>
    <row r="8028" spans="1:5" ht="14.25">
      <c r="A8028" s="37"/>
      <c r="B8028" s="37"/>
      <c r="C8028" s="37"/>
      <c r="D8028" s="37"/>
      <c r="E8028" s="212"/>
    </row>
    <row r="8029" spans="1:5" ht="14.25">
      <c r="A8029" s="37"/>
      <c r="B8029" s="37"/>
      <c r="C8029" s="37"/>
      <c r="D8029" s="37"/>
      <c r="E8029" s="212"/>
    </row>
    <row r="8030" spans="1:5" ht="14.25">
      <c r="A8030" s="37"/>
      <c r="B8030" s="37"/>
      <c r="C8030" s="37"/>
      <c r="D8030" s="37"/>
      <c r="E8030" s="212"/>
    </row>
    <row r="8031" spans="1:5" ht="14.25">
      <c r="A8031" s="37"/>
      <c r="B8031" s="37"/>
      <c r="C8031" s="37"/>
      <c r="D8031" s="37"/>
      <c r="E8031" s="212"/>
    </row>
    <row r="8032" spans="1:5" ht="14.25">
      <c r="A8032" s="37"/>
      <c r="B8032" s="37"/>
      <c r="C8032" s="37"/>
      <c r="D8032" s="37"/>
      <c r="E8032" s="212"/>
    </row>
    <row r="8033" spans="1:5" ht="14.25">
      <c r="A8033" s="37"/>
      <c r="B8033" s="37"/>
      <c r="C8033" s="37"/>
      <c r="D8033" s="37"/>
      <c r="E8033" s="212"/>
    </row>
    <row r="8034" spans="1:5" ht="14.25">
      <c r="A8034" s="37"/>
      <c r="B8034" s="37"/>
      <c r="C8034" s="37"/>
      <c r="D8034" s="37"/>
      <c r="E8034" s="212"/>
    </row>
    <row r="8035" spans="1:5" ht="14.25">
      <c r="A8035" s="37"/>
      <c r="B8035" s="37"/>
      <c r="C8035" s="37"/>
      <c r="D8035" s="37"/>
      <c r="E8035" s="212"/>
    </row>
    <row r="8036" spans="1:5" ht="14.25">
      <c r="A8036" s="37"/>
      <c r="B8036" s="37"/>
      <c r="C8036" s="37"/>
      <c r="D8036" s="37"/>
      <c r="E8036" s="212"/>
    </row>
    <row r="8037" spans="1:5" ht="14.25">
      <c r="A8037" s="37"/>
      <c r="B8037" s="37"/>
      <c r="C8037" s="37"/>
      <c r="D8037" s="37"/>
      <c r="E8037" s="212"/>
    </row>
    <row r="8038" spans="1:5" ht="14.25">
      <c r="A8038" s="37"/>
      <c r="B8038" s="37"/>
      <c r="C8038" s="37"/>
      <c r="D8038" s="37"/>
      <c r="E8038" s="212"/>
    </row>
    <row r="8039" spans="1:5" ht="14.25">
      <c r="A8039" s="37"/>
      <c r="B8039" s="37"/>
      <c r="C8039" s="37"/>
      <c r="D8039" s="37"/>
      <c r="E8039" s="213"/>
    </row>
    <row r="8040" spans="1:5" ht="14.25">
      <c r="A8040" s="37"/>
      <c r="B8040" s="37"/>
      <c r="C8040" s="37"/>
      <c r="D8040" s="37"/>
      <c r="E8040" s="213"/>
    </row>
    <row r="8041" spans="1:5" ht="14.25">
      <c r="A8041" s="37"/>
      <c r="B8041" s="37"/>
      <c r="C8041" s="37"/>
      <c r="D8041" s="37"/>
      <c r="E8041" s="212"/>
    </row>
    <row r="8042" spans="1:5" ht="14.25">
      <c r="A8042" s="37"/>
      <c r="B8042" s="37"/>
      <c r="C8042" s="37"/>
      <c r="D8042" s="37"/>
      <c r="E8042" s="212"/>
    </row>
    <row r="8043" spans="1:5" ht="14.25">
      <c r="A8043" s="37"/>
      <c r="B8043" s="37"/>
      <c r="C8043" s="37"/>
      <c r="D8043" s="37"/>
      <c r="E8043" s="212"/>
    </row>
    <row r="8044" spans="1:5" ht="14.25">
      <c r="A8044" s="37"/>
      <c r="B8044" s="37"/>
      <c r="C8044" s="37"/>
      <c r="D8044" s="37"/>
      <c r="E8044" s="212"/>
    </row>
    <row r="8045" spans="1:5" ht="14.25">
      <c r="A8045" s="37"/>
      <c r="B8045" s="37"/>
      <c r="C8045" s="37"/>
      <c r="D8045" s="37"/>
      <c r="E8045" s="212"/>
    </row>
    <row r="8046" spans="1:5" ht="14.25">
      <c r="A8046" s="37"/>
      <c r="B8046" s="37"/>
      <c r="C8046" s="37"/>
      <c r="D8046" s="37"/>
      <c r="E8046" s="212"/>
    </row>
    <row r="8047" spans="1:5" ht="14.25">
      <c r="A8047" s="37"/>
      <c r="B8047" s="37"/>
      <c r="C8047" s="37"/>
      <c r="D8047" s="37"/>
      <c r="E8047" s="212"/>
    </row>
    <row r="8048" spans="1:5" ht="14.25">
      <c r="A8048" s="37"/>
      <c r="B8048" s="37"/>
      <c r="C8048" s="37"/>
      <c r="D8048" s="37"/>
      <c r="E8048" s="212"/>
    </row>
    <row r="8049" spans="1:5" ht="14.25">
      <c r="A8049" s="37"/>
      <c r="B8049" s="37"/>
      <c r="C8049" s="37"/>
      <c r="D8049" s="37"/>
      <c r="E8049" s="213"/>
    </row>
    <row r="8050" spans="1:5" ht="14.25">
      <c r="A8050" s="37"/>
      <c r="B8050" s="37"/>
      <c r="C8050" s="37"/>
      <c r="D8050" s="37"/>
      <c r="E8050" s="213"/>
    </row>
    <row r="8051" spans="1:5" ht="14.25">
      <c r="A8051" s="37"/>
      <c r="B8051" s="37"/>
      <c r="C8051" s="37"/>
      <c r="D8051" s="37"/>
      <c r="E8051" s="213"/>
    </row>
    <row r="8052" spans="1:5" ht="14.25">
      <c r="A8052" s="37"/>
      <c r="B8052" s="37"/>
      <c r="C8052" s="37"/>
      <c r="D8052" s="37"/>
      <c r="E8052" s="212"/>
    </row>
    <row r="8053" spans="1:5" ht="14.25">
      <c r="A8053" s="37"/>
      <c r="B8053" s="37"/>
      <c r="C8053" s="37"/>
      <c r="D8053" s="37"/>
      <c r="E8053" s="212"/>
    </row>
    <row r="8054" spans="1:5" ht="14.25">
      <c r="A8054" s="37"/>
      <c r="B8054" s="37"/>
      <c r="C8054" s="37"/>
      <c r="D8054" s="37"/>
      <c r="E8054" s="212"/>
    </row>
    <row r="8055" spans="1:5" ht="14.25">
      <c r="A8055" s="37"/>
      <c r="B8055" s="37"/>
      <c r="C8055" s="37"/>
      <c r="D8055" s="37"/>
      <c r="E8055" s="212"/>
    </row>
    <row r="8056" spans="1:5" ht="14.25">
      <c r="A8056" s="37"/>
      <c r="B8056" s="37"/>
      <c r="C8056" s="37"/>
      <c r="D8056" s="37"/>
      <c r="E8056" s="212"/>
    </row>
    <row r="8057" spans="1:5" ht="14.25">
      <c r="A8057" s="37"/>
      <c r="B8057" s="37"/>
      <c r="C8057" s="37"/>
      <c r="D8057" s="37"/>
      <c r="E8057" s="212"/>
    </row>
    <row r="8058" spans="1:5" ht="14.25">
      <c r="A8058" s="37"/>
      <c r="B8058" s="37"/>
      <c r="C8058" s="37"/>
      <c r="D8058" s="37"/>
      <c r="E8058" s="212"/>
    </row>
    <row r="8059" spans="1:5" ht="14.25">
      <c r="A8059" s="37"/>
      <c r="B8059" s="37"/>
      <c r="C8059" s="37"/>
      <c r="D8059" s="37"/>
      <c r="E8059" s="212"/>
    </row>
    <row r="8060" spans="1:5" ht="14.25">
      <c r="A8060" s="37"/>
      <c r="B8060" s="37"/>
      <c r="C8060" s="37"/>
      <c r="D8060" s="37"/>
      <c r="E8060" s="212"/>
    </row>
    <row r="8061" spans="1:5" ht="14.25">
      <c r="A8061" s="37"/>
      <c r="B8061" s="37"/>
      <c r="C8061" s="37"/>
      <c r="D8061" s="37"/>
      <c r="E8061" s="212"/>
    </row>
    <row r="8062" spans="1:5" ht="14.25">
      <c r="A8062" s="37"/>
      <c r="B8062" s="37"/>
      <c r="C8062" s="37"/>
      <c r="D8062" s="37"/>
      <c r="E8062" s="213"/>
    </row>
    <row r="8063" spans="1:5" ht="14.25">
      <c r="A8063" s="37"/>
      <c r="B8063" s="37"/>
      <c r="C8063" s="37"/>
      <c r="D8063" s="37"/>
      <c r="E8063" s="213"/>
    </row>
    <row r="8064" spans="1:5" ht="14.25">
      <c r="A8064" s="37"/>
      <c r="B8064" s="37"/>
      <c r="C8064" s="37"/>
      <c r="D8064" s="37"/>
      <c r="E8064" s="212"/>
    </row>
    <row r="8065" spans="1:5" ht="14.25">
      <c r="A8065" s="37"/>
      <c r="B8065" s="37"/>
      <c r="C8065" s="37"/>
      <c r="D8065" s="37"/>
      <c r="E8065" s="212"/>
    </row>
    <row r="8066" spans="1:5" ht="14.25">
      <c r="A8066" s="37"/>
      <c r="B8066" s="37"/>
      <c r="C8066" s="37"/>
      <c r="D8066" s="37"/>
      <c r="E8066" s="212"/>
    </row>
    <row r="8067" spans="1:5" ht="14.25">
      <c r="A8067" s="37"/>
      <c r="B8067" s="37"/>
      <c r="C8067" s="37"/>
      <c r="D8067" s="37"/>
      <c r="E8067" s="212"/>
    </row>
    <row r="8068" spans="1:5" ht="14.25">
      <c r="A8068" s="37"/>
      <c r="B8068" s="37"/>
      <c r="C8068" s="37"/>
      <c r="D8068" s="37"/>
      <c r="E8068" s="212"/>
    </row>
    <row r="8069" spans="1:5" ht="14.25">
      <c r="A8069" s="37"/>
      <c r="B8069" s="37"/>
      <c r="C8069" s="37"/>
      <c r="D8069" s="37"/>
      <c r="E8069" s="212"/>
    </row>
    <row r="8070" spans="1:5" ht="14.25">
      <c r="A8070" s="37"/>
      <c r="B8070" s="37"/>
      <c r="C8070" s="37"/>
      <c r="D8070" s="37"/>
      <c r="E8070" s="212"/>
    </row>
    <row r="8071" spans="1:5" ht="14.25">
      <c r="A8071" s="37"/>
      <c r="B8071" s="37"/>
      <c r="C8071" s="37"/>
      <c r="D8071" s="37"/>
      <c r="E8071" s="212"/>
    </row>
    <row r="8072" spans="1:5" ht="14.25">
      <c r="A8072" s="37"/>
      <c r="B8072" s="37"/>
      <c r="C8072" s="37"/>
      <c r="D8072" s="37"/>
      <c r="E8072" s="212"/>
    </row>
    <row r="8073" spans="1:5" ht="14.25">
      <c r="A8073" s="37"/>
      <c r="B8073" s="37"/>
      <c r="C8073" s="37"/>
      <c r="D8073" s="37"/>
      <c r="E8073" s="212"/>
    </row>
    <row r="8074" spans="1:5" ht="14.25">
      <c r="A8074" s="37"/>
      <c r="B8074" s="37"/>
      <c r="C8074" s="37"/>
      <c r="D8074" s="37"/>
      <c r="E8074" s="212"/>
    </row>
    <row r="8075" spans="1:5" ht="14.25">
      <c r="A8075" s="37"/>
      <c r="B8075" s="37"/>
      <c r="C8075" s="37"/>
      <c r="D8075" s="37"/>
      <c r="E8075" s="212"/>
    </row>
    <row r="8076" spans="1:5" ht="14.25">
      <c r="A8076" s="37"/>
      <c r="B8076" s="37"/>
      <c r="C8076" s="37"/>
      <c r="D8076" s="37"/>
      <c r="E8076" s="212"/>
    </row>
    <row r="8077" spans="1:5" ht="14.25">
      <c r="A8077" s="37"/>
      <c r="B8077" s="37"/>
      <c r="C8077" s="37"/>
      <c r="D8077" s="37"/>
      <c r="E8077" s="212"/>
    </row>
    <row r="8078" spans="1:5" ht="14.25">
      <c r="A8078" s="37"/>
      <c r="B8078" s="37"/>
      <c r="C8078" s="37"/>
      <c r="D8078" s="37"/>
      <c r="E8078" s="213"/>
    </row>
    <row r="8079" spans="1:5" ht="14.25">
      <c r="A8079" s="37"/>
      <c r="B8079" s="37"/>
      <c r="C8079" s="37"/>
      <c r="D8079" s="37"/>
      <c r="E8079" s="213"/>
    </row>
    <row r="8080" spans="1:5" ht="14.25">
      <c r="A8080" s="37"/>
      <c r="B8080" s="37"/>
      <c r="C8080" s="37"/>
      <c r="D8080" s="37"/>
      <c r="E8080" s="213"/>
    </row>
    <row r="8081" spans="1:5" ht="14.25">
      <c r="A8081" s="37"/>
      <c r="B8081" s="37"/>
      <c r="C8081" s="37"/>
      <c r="D8081" s="37"/>
      <c r="E8081" s="213"/>
    </row>
    <row r="8082" spans="1:5" ht="14.25">
      <c r="A8082" s="37"/>
      <c r="B8082" s="37"/>
      <c r="C8082" s="37"/>
      <c r="D8082" s="37"/>
      <c r="E8082" s="213"/>
    </row>
    <row r="8083" spans="1:5" ht="14.25">
      <c r="A8083" s="37"/>
      <c r="B8083" s="37"/>
      <c r="C8083" s="37"/>
      <c r="D8083" s="37"/>
      <c r="E8083" s="213"/>
    </row>
    <row r="8084" spans="1:5" ht="14.25">
      <c r="A8084" s="37"/>
      <c r="B8084" s="37"/>
      <c r="C8084" s="37"/>
      <c r="D8084" s="37"/>
      <c r="E8084" s="213"/>
    </row>
    <row r="8085" spans="1:5" ht="14.25">
      <c r="A8085" s="37"/>
      <c r="B8085" s="37"/>
      <c r="C8085" s="37"/>
      <c r="D8085" s="37"/>
      <c r="E8085" s="213"/>
    </row>
    <row r="8086" spans="1:5" ht="14.25">
      <c r="A8086" s="37"/>
      <c r="B8086" s="37"/>
      <c r="C8086" s="37"/>
      <c r="D8086" s="37"/>
      <c r="E8086" s="213"/>
    </row>
    <row r="8087" spans="1:5" ht="14.25">
      <c r="A8087" s="37"/>
      <c r="B8087" s="37"/>
      <c r="C8087" s="37"/>
      <c r="D8087" s="37"/>
      <c r="E8087" s="213"/>
    </row>
    <row r="8088" spans="1:5" ht="14.25">
      <c r="A8088" s="37"/>
      <c r="B8088" s="37"/>
      <c r="C8088" s="37"/>
      <c r="D8088" s="37"/>
      <c r="E8088" s="212"/>
    </row>
    <row r="8089" spans="1:5" ht="14.25">
      <c r="A8089" s="37"/>
      <c r="B8089" s="37"/>
      <c r="C8089" s="37"/>
      <c r="D8089" s="37"/>
      <c r="E8089" s="212"/>
    </row>
    <row r="8090" spans="1:5" ht="14.25">
      <c r="A8090" s="37"/>
      <c r="B8090" s="37"/>
      <c r="C8090" s="37"/>
      <c r="D8090" s="37"/>
      <c r="E8090" s="213"/>
    </row>
    <row r="8091" spans="1:5" ht="14.25">
      <c r="A8091" s="37"/>
      <c r="B8091" s="37"/>
      <c r="C8091" s="37"/>
      <c r="D8091" s="37"/>
      <c r="E8091" s="212"/>
    </row>
    <row r="8092" spans="1:5" ht="14.25">
      <c r="A8092" s="37"/>
      <c r="B8092" s="37"/>
      <c r="C8092" s="37"/>
      <c r="D8092" s="37"/>
      <c r="E8092" s="212"/>
    </row>
    <row r="8093" spans="1:5" ht="14.25">
      <c r="A8093" s="37"/>
      <c r="B8093" s="37"/>
      <c r="C8093" s="37"/>
      <c r="D8093" s="37"/>
      <c r="E8093" s="213"/>
    </row>
    <row r="8094" spans="1:5" ht="14.25">
      <c r="A8094" s="37"/>
      <c r="B8094" s="37"/>
      <c r="C8094" s="37"/>
      <c r="D8094" s="37"/>
      <c r="E8094" s="213"/>
    </row>
    <row r="8095" spans="1:5" ht="14.25">
      <c r="A8095" s="37"/>
      <c r="B8095" s="37"/>
      <c r="C8095" s="37"/>
      <c r="D8095" s="37"/>
      <c r="E8095" s="212"/>
    </row>
    <row r="8096" spans="1:5" ht="14.25">
      <c r="A8096" s="37"/>
      <c r="B8096" s="37"/>
      <c r="C8096" s="37"/>
      <c r="D8096" s="37"/>
      <c r="E8096" s="212"/>
    </row>
    <row r="8097" spans="1:5" ht="14.25">
      <c r="A8097" s="37"/>
      <c r="B8097" s="37"/>
      <c r="C8097" s="37"/>
      <c r="D8097" s="37"/>
      <c r="E8097" s="212"/>
    </row>
    <row r="8098" spans="1:5" ht="14.25">
      <c r="A8098" s="37"/>
      <c r="B8098" s="37"/>
      <c r="C8098" s="37"/>
      <c r="D8098" s="37"/>
      <c r="E8098" s="212"/>
    </row>
    <row r="8099" spans="1:5" ht="14.25">
      <c r="A8099" s="37"/>
      <c r="B8099" s="37"/>
      <c r="C8099" s="37"/>
      <c r="D8099" s="37"/>
      <c r="E8099" s="212"/>
    </row>
    <row r="8100" spans="1:5" ht="14.25">
      <c r="A8100" s="37"/>
      <c r="B8100" s="37"/>
      <c r="C8100" s="37"/>
      <c r="D8100" s="37"/>
      <c r="E8100" s="212"/>
    </row>
    <row r="8101" spans="1:5" ht="14.25">
      <c r="A8101" s="37"/>
      <c r="B8101" s="37"/>
      <c r="C8101" s="37"/>
      <c r="D8101" s="37"/>
      <c r="E8101" s="212"/>
    </row>
    <row r="8102" spans="1:5" ht="14.25">
      <c r="A8102" s="37"/>
      <c r="B8102" s="37"/>
      <c r="C8102" s="37"/>
      <c r="D8102" s="37"/>
      <c r="E8102" s="212"/>
    </row>
    <row r="8103" spans="1:5" ht="14.25">
      <c r="A8103" s="37"/>
      <c r="B8103" s="37"/>
      <c r="C8103" s="37"/>
      <c r="D8103" s="37"/>
      <c r="E8103" s="212"/>
    </row>
    <row r="8104" spans="1:5" ht="14.25">
      <c r="A8104" s="37"/>
      <c r="B8104" s="37"/>
      <c r="C8104" s="37"/>
      <c r="D8104" s="37"/>
      <c r="E8104" s="212"/>
    </row>
    <row r="8105" spans="1:5" ht="14.25">
      <c r="A8105" s="37"/>
      <c r="B8105" s="37"/>
      <c r="C8105" s="37"/>
      <c r="D8105" s="37"/>
      <c r="E8105" s="212"/>
    </row>
    <row r="8106" spans="1:5" ht="14.25">
      <c r="A8106" s="37"/>
      <c r="B8106" s="37"/>
      <c r="C8106" s="37"/>
      <c r="D8106" s="37"/>
      <c r="E8106" s="212"/>
    </row>
    <row r="8107" spans="1:5" ht="14.25">
      <c r="A8107" s="37"/>
      <c r="B8107" s="37"/>
      <c r="C8107" s="37"/>
      <c r="D8107" s="37"/>
      <c r="E8107" s="212"/>
    </row>
    <row r="8108" spans="1:5" ht="14.25">
      <c r="A8108" s="37"/>
      <c r="B8108" s="37"/>
      <c r="C8108" s="37"/>
      <c r="D8108" s="37"/>
      <c r="E8108" s="212"/>
    </row>
    <row r="8109" spans="1:5" ht="14.25">
      <c r="A8109" s="37"/>
      <c r="B8109" s="37"/>
      <c r="C8109" s="37"/>
      <c r="D8109" s="37"/>
      <c r="E8109" s="212"/>
    </row>
    <row r="8110" spans="1:5" ht="14.25">
      <c r="A8110" s="37"/>
      <c r="B8110" s="37"/>
      <c r="C8110" s="37"/>
      <c r="D8110" s="37"/>
      <c r="E8110" s="212"/>
    </row>
    <row r="8111" spans="1:5" ht="14.25">
      <c r="A8111" s="37"/>
      <c r="B8111" s="37"/>
      <c r="C8111" s="37"/>
      <c r="D8111" s="37"/>
      <c r="E8111" s="212"/>
    </row>
    <row r="8112" spans="1:5" ht="14.25">
      <c r="A8112" s="37"/>
      <c r="B8112" s="37"/>
      <c r="C8112" s="37"/>
      <c r="D8112" s="37"/>
      <c r="E8112" s="212"/>
    </row>
    <row r="8113" spans="1:5" ht="14.25">
      <c r="A8113" s="37"/>
      <c r="B8113" s="37"/>
      <c r="C8113" s="37"/>
      <c r="D8113" s="37"/>
      <c r="E8113" s="212"/>
    </row>
    <row r="8114" spans="1:5" ht="14.25">
      <c r="A8114" s="37"/>
      <c r="B8114" s="37"/>
      <c r="C8114" s="37"/>
      <c r="D8114" s="37"/>
      <c r="E8114" s="212"/>
    </row>
    <row r="8115" spans="1:5" ht="14.25">
      <c r="A8115" s="37"/>
      <c r="B8115" s="37"/>
      <c r="C8115" s="37"/>
      <c r="D8115" s="37"/>
      <c r="E8115" s="212"/>
    </row>
    <row r="8116" spans="1:5" ht="14.25">
      <c r="A8116" s="37"/>
      <c r="B8116" s="37"/>
      <c r="C8116" s="37"/>
      <c r="D8116" s="37"/>
      <c r="E8116" s="212"/>
    </row>
    <row r="8117" spans="1:5" ht="14.25">
      <c r="A8117" s="37"/>
      <c r="B8117" s="37"/>
      <c r="C8117" s="37"/>
      <c r="D8117" s="37"/>
      <c r="E8117" s="212"/>
    </row>
    <row r="8118" spans="1:5" ht="14.25">
      <c r="A8118" s="37"/>
      <c r="B8118" s="37"/>
      <c r="C8118" s="37"/>
      <c r="D8118" s="37"/>
      <c r="E8118" s="212"/>
    </row>
    <row r="8119" spans="1:5" ht="14.25">
      <c r="A8119" s="37"/>
      <c r="B8119" s="37"/>
      <c r="C8119" s="37"/>
      <c r="D8119" s="37"/>
      <c r="E8119" s="212"/>
    </row>
    <row r="8120" spans="1:5" ht="14.25">
      <c r="A8120" s="37"/>
      <c r="B8120" s="37"/>
      <c r="C8120" s="37"/>
      <c r="D8120" s="37"/>
      <c r="E8120" s="212"/>
    </row>
    <row r="8121" spans="1:5" ht="14.25">
      <c r="A8121" s="37"/>
      <c r="B8121" s="37"/>
      <c r="C8121" s="37"/>
      <c r="D8121" s="37"/>
      <c r="E8121" s="212"/>
    </row>
    <row r="8122" spans="1:5" ht="14.25">
      <c r="A8122" s="37"/>
      <c r="B8122" s="37"/>
      <c r="C8122" s="37"/>
      <c r="D8122" s="37"/>
      <c r="E8122" s="212"/>
    </row>
    <row r="8123" spans="1:5" ht="14.25">
      <c r="A8123" s="37"/>
      <c r="B8123" s="37"/>
      <c r="C8123" s="37"/>
      <c r="D8123" s="37"/>
      <c r="E8123" s="212"/>
    </row>
    <row r="8124" spans="1:5" ht="14.25">
      <c r="A8124" s="37"/>
      <c r="B8124" s="37"/>
      <c r="C8124" s="37"/>
      <c r="D8124" s="37"/>
      <c r="E8124" s="212"/>
    </row>
    <row r="8125" spans="1:5" ht="14.25">
      <c r="A8125" s="37"/>
      <c r="B8125" s="37"/>
      <c r="C8125" s="37"/>
      <c r="D8125" s="37"/>
      <c r="E8125" s="212"/>
    </row>
    <row r="8126" spans="1:5" ht="14.25">
      <c r="A8126" s="37"/>
      <c r="B8126" s="37"/>
      <c r="C8126" s="37"/>
      <c r="D8126" s="37"/>
      <c r="E8126" s="212"/>
    </row>
    <row r="8127" spans="1:5" ht="14.25">
      <c r="A8127" s="37"/>
      <c r="B8127" s="37"/>
      <c r="C8127" s="37"/>
      <c r="D8127" s="37"/>
      <c r="E8127" s="212"/>
    </row>
    <row r="8128" spans="1:5" ht="14.25">
      <c r="A8128" s="37"/>
      <c r="B8128" s="37"/>
      <c r="C8128" s="37"/>
      <c r="D8128" s="37"/>
      <c r="E8128" s="212"/>
    </row>
    <row r="8129" spans="1:5" ht="14.25">
      <c r="A8129" s="37"/>
      <c r="B8129" s="37"/>
      <c r="C8129" s="37"/>
      <c r="D8129" s="37"/>
      <c r="E8129" s="212"/>
    </row>
    <row r="8130" spans="1:5" ht="14.25">
      <c r="A8130" s="37"/>
      <c r="B8130" s="37"/>
      <c r="C8130" s="37"/>
      <c r="D8130" s="37"/>
      <c r="E8130" s="212"/>
    </row>
    <row r="8131" spans="1:5" ht="14.25">
      <c r="A8131" s="37"/>
      <c r="B8131" s="37"/>
      <c r="C8131" s="37"/>
      <c r="D8131" s="37"/>
      <c r="E8131" s="212"/>
    </row>
    <row r="8132" spans="1:5" ht="14.25">
      <c r="A8132" s="37"/>
      <c r="B8132" s="37"/>
      <c r="C8132" s="37"/>
      <c r="D8132" s="37"/>
      <c r="E8132" s="212"/>
    </row>
    <row r="8133" spans="1:5" ht="14.25">
      <c r="A8133" s="37"/>
      <c r="B8133" s="37"/>
      <c r="C8133" s="37"/>
      <c r="D8133" s="37"/>
      <c r="E8133" s="213"/>
    </row>
    <row r="8134" spans="1:5" ht="14.25">
      <c r="A8134" s="37"/>
      <c r="B8134" s="37"/>
      <c r="C8134" s="37"/>
      <c r="D8134" s="37"/>
      <c r="E8134" s="213"/>
    </row>
    <row r="8135" spans="1:5" ht="14.25">
      <c r="A8135" s="37"/>
      <c r="B8135" s="37"/>
      <c r="C8135" s="37"/>
      <c r="D8135" s="37"/>
      <c r="E8135" s="213"/>
    </row>
    <row r="8136" spans="1:5" ht="14.25">
      <c r="A8136" s="37"/>
      <c r="B8136" s="37"/>
      <c r="C8136" s="37"/>
      <c r="D8136" s="37"/>
      <c r="E8136" s="212"/>
    </row>
    <row r="8137" spans="1:5" ht="14.25">
      <c r="A8137" s="37"/>
      <c r="B8137" s="37"/>
      <c r="C8137" s="37"/>
      <c r="D8137" s="37"/>
      <c r="E8137" s="212"/>
    </row>
    <row r="8138" spans="1:5" ht="14.25">
      <c r="A8138" s="37"/>
      <c r="B8138" s="37"/>
      <c r="C8138" s="37"/>
      <c r="D8138" s="37"/>
      <c r="E8138" s="212"/>
    </row>
    <row r="8139" spans="1:5" ht="14.25">
      <c r="A8139" s="37"/>
      <c r="B8139" s="37"/>
      <c r="C8139" s="37"/>
      <c r="D8139" s="37"/>
      <c r="E8139" s="212"/>
    </row>
    <row r="8140" spans="1:5" ht="14.25">
      <c r="A8140" s="37"/>
      <c r="B8140" s="37"/>
      <c r="C8140" s="37"/>
      <c r="D8140" s="37"/>
      <c r="E8140" s="212"/>
    </row>
    <row r="8141" spans="1:5" ht="14.25">
      <c r="A8141" s="37"/>
      <c r="B8141" s="37"/>
      <c r="C8141" s="37"/>
      <c r="D8141" s="37"/>
      <c r="E8141" s="213"/>
    </row>
    <row r="8142" spans="1:5" ht="14.25">
      <c r="A8142" s="37"/>
      <c r="B8142" s="37"/>
      <c r="C8142" s="37"/>
      <c r="D8142" s="37"/>
      <c r="E8142" s="213"/>
    </row>
    <row r="8143" spans="1:5" ht="14.25">
      <c r="A8143" s="37"/>
      <c r="B8143" s="37"/>
      <c r="C8143" s="37"/>
      <c r="D8143" s="37"/>
      <c r="E8143" s="212"/>
    </row>
    <row r="8144" spans="1:5" ht="14.25">
      <c r="A8144" s="37"/>
      <c r="B8144" s="37"/>
      <c r="C8144" s="37"/>
      <c r="D8144" s="37"/>
      <c r="E8144" s="213"/>
    </row>
    <row r="8145" spans="1:5" ht="14.25">
      <c r="A8145" s="37"/>
      <c r="B8145" s="37"/>
      <c r="C8145" s="37"/>
      <c r="D8145" s="37"/>
      <c r="E8145" s="212"/>
    </row>
    <row r="8146" spans="1:5" ht="14.25">
      <c r="A8146" s="37"/>
      <c r="B8146" s="37"/>
      <c r="C8146" s="37"/>
      <c r="D8146" s="37"/>
      <c r="E8146" s="213"/>
    </row>
    <row r="8147" spans="1:5" ht="14.25">
      <c r="A8147" s="37"/>
      <c r="B8147" s="37"/>
      <c r="C8147" s="37"/>
      <c r="D8147" s="37"/>
      <c r="E8147" s="212"/>
    </row>
    <row r="8148" spans="1:5" ht="14.25">
      <c r="A8148" s="37"/>
      <c r="B8148" s="37"/>
      <c r="C8148" s="37"/>
      <c r="D8148" s="37"/>
      <c r="E8148" s="212"/>
    </row>
    <row r="8149" spans="1:5" ht="14.25">
      <c r="A8149" s="37"/>
      <c r="B8149" s="37"/>
      <c r="C8149" s="37"/>
      <c r="D8149" s="37"/>
      <c r="E8149" s="212"/>
    </row>
    <row r="8150" spans="1:5" ht="14.25">
      <c r="A8150" s="37"/>
      <c r="B8150" s="37"/>
      <c r="C8150" s="37"/>
      <c r="D8150" s="37"/>
      <c r="E8150" s="212"/>
    </row>
    <row r="8151" spans="1:5" ht="14.25">
      <c r="A8151" s="37"/>
      <c r="B8151" s="37"/>
      <c r="C8151" s="37"/>
      <c r="D8151" s="37"/>
      <c r="E8151" s="212"/>
    </row>
    <row r="8152" spans="1:5" ht="14.25">
      <c r="A8152" s="37"/>
      <c r="B8152" s="37"/>
      <c r="C8152" s="37"/>
      <c r="D8152" s="37"/>
      <c r="E8152" s="212"/>
    </row>
    <row r="8153" spans="1:5" ht="14.25">
      <c r="A8153" s="37"/>
      <c r="B8153" s="37"/>
      <c r="C8153" s="37"/>
      <c r="D8153" s="37"/>
      <c r="E8153" s="212"/>
    </row>
    <row r="8154" spans="1:5" ht="14.25">
      <c r="A8154" s="37"/>
      <c r="B8154" s="37"/>
      <c r="C8154" s="37"/>
      <c r="D8154" s="37"/>
      <c r="E8154" s="212"/>
    </row>
    <row r="8155" spans="1:5" ht="14.25">
      <c r="A8155" s="37"/>
      <c r="B8155" s="37"/>
      <c r="C8155" s="37"/>
      <c r="D8155" s="37"/>
      <c r="E8155" s="212"/>
    </row>
    <row r="8156" spans="1:5" ht="14.25">
      <c r="A8156" s="37"/>
      <c r="B8156" s="37"/>
      <c r="C8156" s="37"/>
      <c r="D8156" s="37"/>
      <c r="E8156" s="212"/>
    </row>
    <row r="8157" spans="1:5" ht="14.25">
      <c r="A8157" s="37"/>
      <c r="B8157" s="37"/>
      <c r="C8157" s="37"/>
      <c r="D8157" s="37"/>
      <c r="E8157" s="212"/>
    </row>
    <row r="8158" spans="1:5" ht="14.25">
      <c r="A8158" s="37"/>
      <c r="B8158" s="37"/>
      <c r="C8158" s="37"/>
      <c r="D8158" s="37"/>
      <c r="E8158" s="212"/>
    </row>
    <row r="8159" spans="1:5" ht="14.25">
      <c r="A8159" s="37"/>
      <c r="B8159" s="37"/>
      <c r="C8159" s="37"/>
      <c r="D8159" s="37"/>
      <c r="E8159" s="213"/>
    </row>
    <row r="8160" spans="1:5" ht="14.25">
      <c r="A8160" s="37"/>
      <c r="B8160" s="37"/>
      <c r="C8160" s="37"/>
      <c r="D8160" s="37"/>
      <c r="E8160" s="213"/>
    </row>
    <row r="8161" spans="1:5" ht="14.25">
      <c r="A8161" s="37"/>
      <c r="B8161" s="37"/>
      <c r="C8161" s="37"/>
      <c r="D8161" s="37"/>
      <c r="E8161" s="213"/>
    </row>
    <row r="8162" spans="1:5" ht="14.25">
      <c r="A8162" s="37"/>
      <c r="B8162" s="37"/>
      <c r="C8162" s="37"/>
      <c r="D8162" s="37"/>
      <c r="E8162" s="212"/>
    </row>
    <row r="8163" spans="1:5" ht="14.25">
      <c r="A8163" s="37"/>
      <c r="B8163" s="37"/>
      <c r="C8163" s="37"/>
      <c r="D8163" s="37"/>
      <c r="E8163" s="212"/>
    </row>
    <row r="8164" spans="1:5" ht="14.25">
      <c r="A8164" s="37"/>
      <c r="B8164" s="37"/>
      <c r="C8164" s="37"/>
      <c r="D8164" s="37"/>
      <c r="E8164" s="212"/>
    </row>
    <row r="8165" spans="1:5" ht="14.25">
      <c r="A8165" s="37"/>
      <c r="B8165" s="37"/>
      <c r="C8165" s="37"/>
      <c r="D8165" s="37"/>
      <c r="E8165" s="212"/>
    </row>
    <row r="8166" spans="1:5" ht="14.25">
      <c r="A8166" s="37"/>
      <c r="B8166" s="37"/>
      <c r="C8166" s="37"/>
      <c r="D8166" s="37"/>
      <c r="E8166" s="212"/>
    </row>
    <row r="8167" spans="1:5" ht="14.25">
      <c r="A8167" s="37"/>
      <c r="B8167" s="37"/>
      <c r="C8167" s="37"/>
      <c r="D8167" s="37"/>
      <c r="E8167" s="212"/>
    </row>
    <row r="8168" spans="1:5" ht="14.25">
      <c r="A8168" s="37"/>
      <c r="B8168" s="37"/>
      <c r="C8168" s="37"/>
      <c r="D8168" s="37"/>
      <c r="E8168" s="213"/>
    </row>
    <row r="8169" spans="1:5" ht="14.25">
      <c r="A8169" s="37"/>
      <c r="B8169" s="37"/>
      <c r="C8169" s="37"/>
      <c r="D8169" s="37"/>
      <c r="E8169" s="212"/>
    </row>
    <row r="8170" spans="1:5" ht="14.25">
      <c r="A8170" s="37"/>
      <c r="B8170" s="37"/>
      <c r="C8170" s="37"/>
      <c r="D8170" s="37"/>
      <c r="E8170" s="213"/>
    </row>
    <row r="8171" spans="1:5" ht="14.25">
      <c r="A8171" s="37"/>
      <c r="B8171" s="37"/>
      <c r="C8171" s="37"/>
      <c r="D8171" s="37"/>
      <c r="E8171" s="212"/>
    </row>
    <row r="8172" spans="1:5" ht="14.25">
      <c r="A8172" s="37"/>
      <c r="B8172" s="37"/>
      <c r="C8172" s="37"/>
      <c r="D8172" s="37"/>
      <c r="E8172" s="212"/>
    </row>
    <row r="8173" spans="1:5" ht="14.25">
      <c r="A8173" s="37"/>
      <c r="B8173" s="37"/>
      <c r="C8173" s="37"/>
      <c r="D8173" s="37"/>
      <c r="E8173" s="212"/>
    </row>
    <row r="8174" spans="1:5" ht="14.25">
      <c r="A8174" s="37"/>
      <c r="B8174" s="37"/>
      <c r="C8174" s="37"/>
      <c r="D8174" s="37"/>
      <c r="E8174" s="212"/>
    </row>
    <row r="8175" spans="1:5" ht="14.25">
      <c r="A8175" s="37"/>
      <c r="B8175" s="37"/>
      <c r="C8175" s="37"/>
      <c r="D8175" s="37"/>
      <c r="E8175" s="212"/>
    </row>
    <row r="8176" spans="1:5" ht="14.25">
      <c r="A8176" s="37"/>
      <c r="B8176" s="37"/>
      <c r="C8176" s="37"/>
      <c r="D8176" s="37"/>
      <c r="E8176" s="212"/>
    </row>
    <row r="8177" spans="1:5" ht="14.25">
      <c r="A8177" s="37"/>
      <c r="B8177" s="37"/>
      <c r="C8177" s="37"/>
      <c r="D8177" s="37"/>
      <c r="E8177" s="212"/>
    </row>
    <row r="8178" spans="1:5" ht="14.25">
      <c r="A8178" s="37"/>
      <c r="B8178" s="37"/>
      <c r="C8178" s="37"/>
      <c r="D8178" s="37"/>
      <c r="E8178" s="212"/>
    </row>
    <row r="8179" spans="1:5" ht="14.25">
      <c r="A8179" s="37"/>
      <c r="B8179" s="37"/>
      <c r="C8179" s="37"/>
      <c r="D8179" s="37"/>
      <c r="E8179" s="212"/>
    </row>
    <row r="8180" spans="1:5" ht="14.25">
      <c r="A8180" s="37"/>
      <c r="B8180" s="37"/>
      <c r="C8180" s="37"/>
      <c r="D8180" s="37"/>
      <c r="E8180" s="212"/>
    </row>
    <row r="8181" spans="1:5" ht="14.25">
      <c r="A8181" s="37"/>
      <c r="B8181" s="37"/>
      <c r="C8181" s="37"/>
      <c r="D8181" s="37"/>
      <c r="E8181" s="212"/>
    </row>
    <row r="8182" spans="1:5" ht="14.25">
      <c r="A8182" s="37"/>
      <c r="B8182" s="37"/>
      <c r="C8182" s="37"/>
      <c r="D8182" s="37"/>
      <c r="E8182" s="212"/>
    </row>
    <row r="8183" spans="1:5" ht="14.25">
      <c r="A8183" s="37"/>
      <c r="B8183" s="37"/>
      <c r="C8183" s="37"/>
      <c r="D8183" s="37"/>
      <c r="E8183" s="212"/>
    </row>
    <row r="8184" spans="1:5" ht="14.25">
      <c r="A8184" s="37"/>
      <c r="B8184" s="37"/>
      <c r="C8184" s="37"/>
      <c r="D8184" s="37"/>
      <c r="E8184" s="212"/>
    </row>
    <row r="8185" spans="1:5" ht="14.25">
      <c r="A8185" s="37"/>
      <c r="B8185" s="37"/>
      <c r="C8185" s="37"/>
      <c r="D8185" s="37"/>
      <c r="E8185" s="212"/>
    </row>
    <row r="8186" spans="1:5" ht="14.25">
      <c r="A8186" s="37"/>
      <c r="B8186" s="37"/>
      <c r="C8186" s="37"/>
      <c r="D8186" s="37"/>
      <c r="E8186" s="212"/>
    </row>
    <row r="8187" spans="1:5" ht="14.25">
      <c r="A8187" s="37"/>
      <c r="B8187" s="37"/>
      <c r="C8187" s="37"/>
      <c r="D8187" s="37"/>
      <c r="E8187" s="212"/>
    </row>
    <row r="8188" spans="1:5" ht="14.25">
      <c r="A8188" s="37"/>
      <c r="B8188" s="37"/>
      <c r="C8188" s="37"/>
      <c r="D8188" s="37"/>
      <c r="E8188" s="212"/>
    </row>
    <row r="8189" spans="1:5" ht="14.25">
      <c r="A8189" s="37"/>
      <c r="B8189" s="37"/>
      <c r="C8189" s="37"/>
      <c r="D8189" s="37"/>
      <c r="E8189" s="212"/>
    </row>
    <row r="8190" spans="1:5" ht="14.25">
      <c r="A8190" s="37"/>
      <c r="B8190" s="37"/>
      <c r="C8190" s="37"/>
      <c r="D8190" s="37"/>
      <c r="E8190" s="212"/>
    </row>
    <row r="8191" spans="1:5" ht="14.25">
      <c r="A8191" s="37"/>
      <c r="B8191" s="37"/>
      <c r="C8191" s="37"/>
      <c r="D8191" s="37"/>
      <c r="E8191" s="212"/>
    </row>
    <row r="8192" spans="1:5" ht="14.25">
      <c r="A8192" s="37"/>
      <c r="B8192" s="37"/>
      <c r="C8192" s="37"/>
      <c r="D8192" s="37"/>
      <c r="E8192" s="212"/>
    </row>
    <row r="8193" spans="1:5" ht="14.25">
      <c r="A8193" s="37"/>
      <c r="B8193" s="37"/>
      <c r="C8193" s="37"/>
      <c r="D8193" s="37"/>
      <c r="E8193" s="212"/>
    </row>
    <row r="8194" spans="1:5" ht="14.25">
      <c r="A8194" s="37"/>
      <c r="B8194" s="37"/>
      <c r="C8194" s="37"/>
      <c r="D8194" s="37"/>
      <c r="E8194" s="212"/>
    </row>
    <row r="8195" spans="1:5" ht="14.25">
      <c r="A8195" s="37"/>
      <c r="B8195" s="37"/>
      <c r="C8195" s="37"/>
      <c r="D8195" s="37"/>
      <c r="E8195" s="212"/>
    </row>
    <row r="8196" spans="1:5" ht="14.25">
      <c r="A8196" s="37"/>
      <c r="B8196" s="37"/>
      <c r="C8196" s="37"/>
      <c r="D8196" s="37"/>
      <c r="E8196" s="212"/>
    </row>
    <row r="8197" spans="1:5" ht="14.25">
      <c r="A8197" s="37"/>
      <c r="B8197" s="37"/>
      <c r="C8197" s="37"/>
      <c r="D8197" s="37"/>
      <c r="E8197" s="212"/>
    </row>
    <row r="8198" spans="1:5" ht="14.25">
      <c r="A8198" s="37"/>
      <c r="B8198" s="37"/>
      <c r="C8198" s="37"/>
      <c r="D8198" s="37"/>
      <c r="E8198" s="212"/>
    </row>
    <row r="8199" spans="1:5" ht="14.25">
      <c r="A8199" s="37"/>
      <c r="B8199" s="37"/>
      <c r="C8199" s="37"/>
      <c r="D8199" s="37"/>
      <c r="E8199" s="212"/>
    </row>
    <row r="8200" spans="1:5" ht="14.25">
      <c r="A8200" s="37"/>
      <c r="B8200" s="37"/>
      <c r="C8200" s="37"/>
      <c r="D8200" s="37"/>
      <c r="E8200" s="212"/>
    </row>
    <row r="8201" spans="1:5" ht="14.25">
      <c r="A8201" s="37"/>
      <c r="B8201" s="37"/>
      <c r="C8201" s="37"/>
      <c r="D8201" s="37"/>
      <c r="E8201" s="212"/>
    </row>
    <row r="8202" spans="1:5" ht="14.25">
      <c r="A8202" s="37"/>
      <c r="B8202" s="37"/>
      <c r="C8202" s="37"/>
      <c r="D8202" s="37"/>
      <c r="E8202" s="212"/>
    </row>
    <row r="8203" spans="1:5" ht="14.25">
      <c r="A8203" s="37"/>
      <c r="B8203" s="37"/>
      <c r="C8203" s="37"/>
      <c r="D8203" s="37"/>
      <c r="E8203" s="212"/>
    </row>
    <row r="8204" spans="1:5" ht="14.25">
      <c r="A8204" s="37"/>
      <c r="B8204" s="37"/>
      <c r="C8204" s="37"/>
      <c r="D8204" s="37"/>
      <c r="E8204" s="213"/>
    </row>
    <row r="8205" spans="1:5" ht="14.25">
      <c r="A8205" s="37"/>
      <c r="B8205" s="37"/>
      <c r="C8205" s="37"/>
      <c r="D8205" s="37"/>
      <c r="E8205" s="212"/>
    </row>
    <row r="8206" spans="1:5" ht="14.25">
      <c r="A8206" s="37"/>
      <c r="B8206" s="37"/>
      <c r="C8206" s="37"/>
      <c r="D8206" s="37"/>
      <c r="E8206" s="212"/>
    </row>
    <row r="8207" spans="1:5" ht="14.25">
      <c r="A8207" s="37"/>
      <c r="B8207" s="37"/>
      <c r="C8207" s="37"/>
      <c r="D8207" s="37"/>
      <c r="E8207" s="212"/>
    </row>
    <row r="8208" spans="1:5" ht="14.25">
      <c r="A8208" s="37"/>
      <c r="B8208" s="37"/>
      <c r="C8208" s="37"/>
      <c r="D8208" s="37"/>
      <c r="E8208" s="212"/>
    </row>
    <row r="8209" spans="1:5" ht="14.25">
      <c r="A8209" s="37"/>
      <c r="B8209" s="37"/>
      <c r="C8209" s="37"/>
      <c r="D8209" s="37"/>
      <c r="E8209" s="212"/>
    </row>
    <row r="8210" spans="1:5" ht="14.25">
      <c r="A8210" s="37"/>
      <c r="B8210" s="37"/>
      <c r="C8210" s="37"/>
      <c r="D8210" s="37"/>
      <c r="E8210" s="212"/>
    </row>
    <row r="8211" spans="1:5" ht="14.25">
      <c r="A8211" s="37"/>
      <c r="B8211" s="37"/>
      <c r="C8211" s="37"/>
      <c r="D8211" s="37"/>
      <c r="E8211" s="212"/>
    </row>
    <row r="8212" spans="1:5" ht="14.25">
      <c r="A8212" s="37"/>
      <c r="B8212" s="37"/>
      <c r="C8212" s="37"/>
      <c r="D8212" s="37"/>
      <c r="E8212" s="212"/>
    </row>
    <row r="8213" spans="1:5" ht="14.25">
      <c r="A8213" s="37"/>
      <c r="B8213" s="37"/>
      <c r="C8213" s="37"/>
      <c r="D8213" s="37"/>
      <c r="E8213" s="212"/>
    </row>
    <row r="8214" spans="1:5" ht="14.25">
      <c r="A8214" s="37"/>
      <c r="B8214" s="37"/>
      <c r="C8214" s="37"/>
      <c r="D8214" s="37"/>
      <c r="E8214" s="212"/>
    </row>
    <row r="8215" spans="1:5" ht="14.25">
      <c r="A8215" s="37"/>
      <c r="B8215" s="37"/>
      <c r="C8215" s="37"/>
      <c r="D8215" s="37"/>
      <c r="E8215" s="212"/>
    </row>
    <row r="8216" spans="1:5" ht="14.25">
      <c r="A8216" s="37"/>
      <c r="B8216" s="37"/>
      <c r="C8216" s="37"/>
      <c r="D8216" s="37"/>
      <c r="E8216" s="212"/>
    </row>
    <row r="8217" spans="1:5" ht="14.25">
      <c r="A8217" s="37"/>
      <c r="B8217" s="37"/>
      <c r="C8217" s="37"/>
      <c r="D8217" s="37"/>
      <c r="E8217" s="212"/>
    </row>
    <row r="8218" spans="1:5" ht="14.25">
      <c r="A8218" s="37"/>
      <c r="B8218" s="37"/>
      <c r="C8218" s="37"/>
      <c r="D8218" s="37"/>
      <c r="E8218" s="212"/>
    </row>
    <row r="8219" spans="1:5" ht="14.25">
      <c r="A8219" s="37"/>
      <c r="B8219" s="37"/>
      <c r="C8219" s="37"/>
      <c r="D8219" s="37"/>
      <c r="E8219" s="213"/>
    </row>
    <row r="8220" spans="1:5" ht="14.25">
      <c r="A8220" s="37"/>
      <c r="B8220" s="37"/>
      <c r="C8220" s="37"/>
      <c r="D8220" s="37"/>
      <c r="E8220" s="212"/>
    </row>
    <row r="8221" spans="1:5" ht="14.25">
      <c r="A8221" s="37"/>
      <c r="B8221" s="37"/>
      <c r="C8221" s="37"/>
      <c r="D8221" s="37"/>
      <c r="E8221" s="213"/>
    </row>
    <row r="8222" spans="1:5" ht="14.25">
      <c r="A8222" s="37"/>
      <c r="B8222" s="37"/>
      <c r="C8222" s="37"/>
      <c r="D8222" s="37"/>
      <c r="E8222" s="212"/>
    </row>
    <row r="8223" spans="1:5" ht="14.25">
      <c r="A8223" s="37"/>
      <c r="B8223" s="37"/>
      <c r="C8223" s="37"/>
      <c r="D8223" s="37"/>
      <c r="E8223" s="212"/>
    </row>
    <row r="8224" spans="1:5" ht="14.25">
      <c r="A8224" s="37"/>
      <c r="B8224" s="37"/>
      <c r="C8224" s="37"/>
      <c r="D8224" s="37"/>
      <c r="E8224" s="213"/>
    </row>
    <row r="8225" spans="1:5" ht="14.25">
      <c r="A8225" s="37"/>
      <c r="B8225" s="37"/>
      <c r="C8225" s="37"/>
      <c r="D8225" s="37"/>
      <c r="E8225" s="212"/>
    </row>
    <row r="8226" spans="1:5" ht="14.25">
      <c r="A8226" s="37"/>
      <c r="B8226" s="37"/>
      <c r="C8226" s="37"/>
      <c r="D8226" s="37"/>
      <c r="E8226" s="212"/>
    </row>
    <row r="8227" spans="1:5" ht="14.25">
      <c r="A8227" s="37"/>
      <c r="B8227" s="37"/>
      <c r="C8227" s="37"/>
      <c r="D8227" s="37"/>
      <c r="E8227" s="212"/>
    </row>
    <row r="8228" spans="1:5" ht="14.25">
      <c r="A8228" s="37"/>
      <c r="B8228" s="37"/>
      <c r="C8228" s="37"/>
      <c r="D8228" s="37"/>
      <c r="E8228" s="212"/>
    </row>
    <row r="8229" spans="1:5" ht="14.25">
      <c r="A8229" s="37"/>
      <c r="B8229" s="37"/>
      <c r="C8229" s="37"/>
      <c r="D8229" s="37"/>
      <c r="E8229" s="212"/>
    </row>
    <row r="8230" spans="1:5" ht="14.25">
      <c r="A8230" s="37"/>
      <c r="B8230" s="37"/>
      <c r="C8230" s="37"/>
      <c r="D8230" s="37"/>
      <c r="E8230" s="212"/>
    </row>
    <row r="8231" spans="1:5" ht="14.25">
      <c r="A8231" s="37"/>
      <c r="B8231" s="37"/>
      <c r="C8231" s="37"/>
      <c r="D8231" s="37"/>
      <c r="E8231" s="213"/>
    </row>
    <row r="8232" spans="1:5" ht="14.25">
      <c r="A8232" s="37"/>
      <c r="B8232" s="37"/>
      <c r="C8232" s="37"/>
      <c r="D8232" s="37"/>
      <c r="E8232" s="212"/>
    </row>
    <row r="8233" spans="1:5" ht="14.25">
      <c r="A8233" s="37"/>
      <c r="B8233" s="37"/>
      <c r="C8233" s="37"/>
      <c r="D8233" s="37"/>
      <c r="E8233" s="212"/>
    </row>
    <row r="8234" spans="1:5" ht="14.25">
      <c r="A8234" s="37"/>
      <c r="B8234" s="37"/>
      <c r="C8234" s="37"/>
      <c r="D8234" s="37"/>
      <c r="E8234" s="212"/>
    </row>
    <row r="8235" spans="1:5" ht="14.25">
      <c r="A8235" s="37"/>
      <c r="B8235" s="37"/>
      <c r="C8235" s="37"/>
      <c r="D8235" s="37"/>
      <c r="E8235" s="212"/>
    </row>
    <row r="8236" spans="1:5" ht="14.25">
      <c r="A8236" s="37"/>
      <c r="B8236" s="37"/>
      <c r="C8236" s="37"/>
      <c r="D8236" s="37"/>
      <c r="E8236" s="212"/>
    </row>
    <row r="8237" spans="1:5" ht="14.25">
      <c r="A8237" s="37"/>
      <c r="B8237" s="37"/>
      <c r="C8237" s="37"/>
      <c r="D8237" s="37"/>
      <c r="E8237" s="212"/>
    </row>
    <row r="8238" spans="1:5" ht="14.25">
      <c r="A8238" s="37"/>
      <c r="B8238" s="37"/>
      <c r="C8238" s="37"/>
      <c r="D8238" s="37"/>
      <c r="E8238" s="212"/>
    </row>
    <row r="8239" spans="1:5" ht="14.25">
      <c r="A8239" s="37"/>
      <c r="B8239" s="37"/>
      <c r="C8239" s="37"/>
      <c r="D8239" s="37"/>
      <c r="E8239" s="212"/>
    </row>
    <row r="8240" spans="1:5" ht="14.25">
      <c r="A8240" s="37"/>
      <c r="B8240" s="37"/>
      <c r="C8240" s="37"/>
      <c r="D8240" s="37"/>
      <c r="E8240" s="212"/>
    </row>
    <row r="8241" spans="1:5" ht="14.25">
      <c r="A8241" s="37"/>
      <c r="B8241" s="37"/>
      <c r="C8241" s="37"/>
      <c r="D8241" s="37"/>
      <c r="E8241" s="212"/>
    </row>
    <row r="8242" spans="1:5" ht="14.25">
      <c r="A8242" s="37"/>
      <c r="B8242" s="37"/>
      <c r="C8242" s="37"/>
      <c r="D8242" s="37"/>
      <c r="E8242" s="212"/>
    </row>
    <row r="8243" spans="1:5" ht="14.25">
      <c r="A8243" s="37"/>
      <c r="B8243" s="37"/>
      <c r="C8243" s="37"/>
      <c r="D8243" s="37"/>
      <c r="E8243" s="212"/>
    </row>
    <row r="8244" spans="1:5" ht="14.25">
      <c r="A8244" s="37"/>
      <c r="B8244" s="37"/>
      <c r="C8244" s="37"/>
      <c r="D8244" s="37"/>
      <c r="E8244" s="212"/>
    </row>
    <row r="8245" spans="1:5" ht="14.25">
      <c r="A8245" s="37"/>
      <c r="B8245" s="37"/>
      <c r="C8245" s="37"/>
      <c r="D8245" s="37"/>
      <c r="E8245" s="212"/>
    </row>
    <row r="8246" spans="1:5" ht="14.25">
      <c r="A8246" s="37"/>
      <c r="B8246" s="37"/>
      <c r="C8246" s="37"/>
      <c r="D8246" s="37"/>
      <c r="E8246" s="212"/>
    </row>
    <row r="8247" spans="1:5" ht="14.25">
      <c r="A8247" s="37"/>
      <c r="B8247" s="37"/>
      <c r="C8247" s="37"/>
      <c r="D8247" s="37"/>
      <c r="E8247" s="212"/>
    </row>
    <row r="8248" spans="1:5" ht="14.25">
      <c r="A8248" s="37"/>
      <c r="B8248" s="37"/>
      <c r="C8248" s="37"/>
      <c r="D8248" s="37"/>
      <c r="E8248" s="212"/>
    </row>
    <row r="8249" spans="1:5" ht="14.25">
      <c r="A8249" s="37"/>
      <c r="B8249" s="37"/>
      <c r="C8249" s="37"/>
      <c r="D8249" s="37"/>
      <c r="E8249" s="212"/>
    </row>
    <row r="8250" spans="1:5" ht="14.25">
      <c r="A8250" s="37"/>
      <c r="B8250" s="37"/>
      <c r="C8250" s="37"/>
      <c r="D8250" s="37"/>
      <c r="E8250" s="212"/>
    </row>
    <row r="8251" spans="1:5" ht="14.25">
      <c r="A8251" s="37"/>
      <c r="B8251" s="37"/>
      <c r="C8251" s="37"/>
      <c r="D8251" s="37"/>
      <c r="E8251" s="212"/>
    </row>
    <row r="8252" spans="1:5" ht="14.25">
      <c r="A8252" s="37"/>
      <c r="B8252" s="37"/>
      <c r="C8252" s="37"/>
      <c r="D8252" s="37"/>
      <c r="E8252" s="212"/>
    </row>
    <row r="8253" spans="1:5" ht="14.25">
      <c r="A8253" s="37"/>
      <c r="B8253" s="37"/>
      <c r="C8253" s="37"/>
      <c r="D8253" s="37"/>
      <c r="E8253" s="212"/>
    </row>
    <row r="8254" spans="1:5" ht="14.25">
      <c r="A8254" s="37"/>
      <c r="B8254" s="37"/>
      <c r="C8254" s="37"/>
      <c r="D8254" s="37"/>
      <c r="E8254" s="212"/>
    </row>
    <row r="8255" spans="1:5" ht="14.25">
      <c r="A8255" s="37"/>
      <c r="B8255" s="37"/>
      <c r="C8255" s="37"/>
      <c r="D8255" s="37"/>
      <c r="E8255" s="212"/>
    </row>
    <row r="8256" spans="1:5" ht="14.25">
      <c r="A8256" s="37"/>
      <c r="B8256" s="37"/>
      <c r="C8256" s="37"/>
      <c r="D8256" s="37"/>
      <c r="E8256" s="212"/>
    </row>
    <row r="8257" spans="1:5" ht="14.25">
      <c r="A8257" s="37"/>
      <c r="B8257" s="37"/>
      <c r="C8257" s="37"/>
      <c r="D8257" s="37"/>
      <c r="E8257" s="212"/>
    </row>
    <row r="8258" spans="1:5" ht="14.25">
      <c r="A8258" s="37"/>
      <c r="B8258" s="37"/>
      <c r="C8258" s="37"/>
      <c r="D8258" s="37"/>
      <c r="E8258" s="212"/>
    </row>
    <row r="8259" spans="1:5" ht="14.25">
      <c r="A8259" s="37"/>
      <c r="B8259" s="37"/>
      <c r="C8259" s="37"/>
      <c r="D8259" s="37"/>
      <c r="E8259" s="212"/>
    </row>
    <row r="8260" spans="1:5" ht="14.25">
      <c r="A8260" s="37"/>
      <c r="B8260" s="37"/>
      <c r="C8260" s="37"/>
      <c r="D8260" s="37"/>
      <c r="E8260" s="212"/>
    </row>
    <row r="8261" spans="1:5" ht="14.25">
      <c r="A8261" s="37"/>
      <c r="B8261" s="37"/>
      <c r="C8261" s="37"/>
      <c r="D8261" s="37"/>
      <c r="E8261" s="212"/>
    </row>
    <row r="8262" spans="1:5" ht="14.25">
      <c r="A8262" s="37"/>
      <c r="B8262" s="37"/>
      <c r="C8262" s="37"/>
      <c r="D8262" s="37"/>
      <c r="E8262" s="212"/>
    </row>
    <row r="8263" spans="1:5" ht="14.25">
      <c r="A8263" s="37"/>
      <c r="B8263" s="37"/>
      <c r="C8263" s="37"/>
      <c r="D8263" s="37"/>
      <c r="E8263" s="212"/>
    </row>
    <row r="8264" spans="1:5" ht="14.25">
      <c r="A8264" s="37"/>
      <c r="B8264" s="37"/>
      <c r="C8264" s="37"/>
      <c r="D8264" s="37"/>
      <c r="E8264" s="212"/>
    </row>
    <row r="8265" spans="1:5" ht="14.25">
      <c r="A8265" s="37"/>
      <c r="B8265" s="37"/>
      <c r="C8265" s="37"/>
      <c r="D8265" s="37"/>
      <c r="E8265" s="212"/>
    </row>
    <row r="8266" spans="1:5" ht="14.25">
      <c r="A8266" s="37"/>
      <c r="B8266" s="37"/>
      <c r="C8266" s="37"/>
      <c r="D8266" s="37"/>
      <c r="E8266" s="212"/>
    </row>
    <row r="8267" spans="1:5" ht="14.25">
      <c r="A8267" s="37"/>
      <c r="B8267" s="37"/>
      <c r="C8267" s="37"/>
      <c r="D8267" s="37"/>
      <c r="E8267" s="213"/>
    </row>
    <row r="8268" spans="1:5" ht="14.25">
      <c r="A8268" s="37"/>
      <c r="B8268" s="37"/>
      <c r="C8268" s="37"/>
      <c r="D8268" s="37"/>
      <c r="E8268" s="212"/>
    </row>
    <row r="8269" spans="1:5" ht="14.25">
      <c r="A8269" s="37"/>
      <c r="B8269" s="37"/>
      <c r="C8269" s="37"/>
      <c r="D8269" s="37"/>
      <c r="E8269" s="212"/>
    </row>
    <row r="8270" spans="1:5" ht="14.25">
      <c r="A8270" s="37"/>
      <c r="B8270" s="37"/>
      <c r="C8270" s="37"/>
      <c r="D8270" s="37"/>
      <c r="E8270" s="212"/>
    </row>
    <row r="8271" spans="1:5" ht="14.25">
      <c r="A8271" s="37"/>
      <c r="B8271" s="37"/>
      <c r="C8271" s="37"/>
      <c r="D8271" s="37"/>
      <c r="E8271" s="212"/>
    </row>
    <row r="8272" spans="1:5" ht="14.25">
      <c r="A8272" s="37"/>
      <c r="B8272" s="37"/>
      <c r="C8272" s="37"/>
      <c r="D8272" s="37"/>
      <c r="E8272" s="213"/>
    </row>
    <row r="8273" spans="1:5" ht="14.25">
      <c r="A8273" s="37"/>
      <c r="B8273" s="37"/>
      <c r="C8273" s="37"/>
      <c r="D8273" s="37"/>
      <c r="E8273" s="213"/>
    </row>
    <row r="8274" spans="1:5" ht="14.25">
      <c r="A8274" s="37"/>
      <c r="B8274" s="37"/>
      <c r="C8274" s="37"/>
      <c r="D8274" s="37"/>
      <c r="E8274" s="213"/>
    </row>
    <row r="8275" spans="1:5" ht="14.25">
      <c r="A8275" s="37"/>
      <c r="B8275" s="37"/>
      <c r="C8275" s="37"/>
      <c r="D8275" s="37"/>
      <c r="E8275" s="213"/>
    </row>
    <row r="8276" spans="1:5" ht="14.25">
      <c r="A8276" s="37"/>
      <c r="B8276" s="37"/>
      <c r="C8276" s="37"/>
      <c r="D8276" s="37"/>
      <c r="E8276" s="213"/>
    </row>
    <row r="8277" spans="1:5" ht="14.25">
      <c r="A8277" s="37"/>
      <c r="B8277" s="37"/>
      <c r="C8277" s="37"/>
      <c r="D8277" s="37"/>
      <c r="E8277" s="213"/>
    </row>
    <row r="8278" spans="1:5" ht="14.25">
      <c r="A8278" s="37"/>
      <c r="B8278" s="37"/>
      <c r="C8278" s="37"/>
      <c r="D8278" s="37"/>
      <c r="E8278" s="213"/>
    </row>
    <row r="8279" spans="1:5" ht="14.25">
      <c r="A8279" s="37"/>
      <c r="B8279" s="37"/>
      <c r="C8279" s="37"/>
      <c r="D8279" s="37"/>
      <c r="E8279" s="213"/>
    </row>
    <row r="8280" spans="1:5" ht="14.25">
      <c r="A8280" s="37"/>
      <c r="B8280" s="37"/>
      <c r="C8280" s="37"/>
      <c r="D8280" s="37"/>
      <c r="E8280" s="212"/>
    </row>
    <row r="8281" spans="1:5" ht="14.25">
      <c r="A8281" s="37"/>
      <c r="B8281" s="37"/>
      <c r="C8281" s="37"/>
      <c r="D8281" s="37"/>
      <c r="E8281" s="212"/>
    </row>
    <row r="8282" spans="1:5" ht="14.25">
      <c r="A8282" s="37"/>
      <c r="B8282" s="37"/>
      <c r="C8282" s="37"/>
      <c r="D8282" s="37"/>
      <c r="E8282" s="212"/>
    </row>
    <row r="8283" spans="1:5" ht="14.25">
      <c r="A8283" s="37"/>
      <c r="B8283" s="37"/>
      <c r="C8283" s="37"/>
      <c r="D8283" s="37"/>
      <c r="E8283" s="212"/>
    </row>
    <row r="8284" spans="1:5" ht="14.25">
      <c r="A8284" s="37"/>
      <c r="B8284" s="37"/>
      <c r="C8284" s="37"/>
      <c r="D8284" s="37"/>
      <c r="E8284" s="212"/>
    </row>
    <row r="8285" spans="1:5" ht="14.25">
      <c r="A8285" s="37"/>
      <c r="B8285" s="37"/>
      <c r="C8285" s="37"/>
      <c r="D8285" s="37"/>
      <c r="E8285" s="212"/>
    </row>
    <row r="8286" spans="1:5" ht="14.25">
      <c r="A8286" s="37"/>
      <c r="B8286" s="37"/>
      <c r="C8286" s="37"/>
      <c r="D8286" s="37"/>
      <c r="E8286" s="212"/>
    </row>
    <row r="8287" spans="1:5" ht="14.25">
      <c r="A8287" s="37"/>
      <c r="B8287" s="37"/>
      <c r="C8287" s="37"/>
      <c r="D8287" s="37"/>
      <c r="E8287" s="213"/>
    </row>
    <row r="8288" spans="1:5" ht="14.25">
      <c r="A8288" s="37"/>
      <c r="B8288" s="37"/>
      <c r="C8288" s="37"/>
      <c r="D8288" s="37"/>
      <c r="E8288" s="212"/>
    </row>
    <row r="8289" spans="1:5" ht="14.25">
      <c r="A8289" s="37"/>
      <c r="B8289" s="37"/>
      <c r="C8289" s="37"/>
      <c r="D8289" s="37"/>
      <c r="E8289" s="212"/>
    </row>
    <row r="8290" spans="1:5" ht="14.25">
      <c r="A8290" s="37"/>
      <c r="B8290" s="37"/>
      <c r="C8290" s="37"/>
      <c r="D8290" s="37"/>
      <c r="E8290" s="212"/>
    </row>
    <row r="8291" spans="1:5" ht="14.25">
      <c r="A8291" s="37"/>
      <c r="B8291" s="37"/>
      <c r="C8291" s="37"/>
      <c r="D8291" s="37"/>
      <c r="E8291" s="212"/>
    </row>
    <row r="8292" spans="1:5" ht="14.25">
      <c r="A8292" s="37"/>
      <c r="B8292" s="37"/>
      <c r="C8292" s="37"/>
      <c r="D8292" s="37"/>
      <c r="E8292" s="212"/>
    </row>
    <row r="8293" spans="1:5" ht="14.25">
      <c r="A8293" s="37"/>
      <c r="B8293" s="37"/>
      <c r="C8293" s="37"/>
      <c r="D8293" s="37"/>
      <c r="E8293" s="212"/>
    </row>
    <row r="8294" spans="1:5" ht="14.25">
      <c r="A8294" s="37"/>
      <c r="B8294" s="37"/>
      <c r="C8294" s="37"/>
      <c r="D8294" s="37"/>
      <c r="E8294" s="212"/>
    </row>
    <row r="8295" spans="1:5" ht="14.25">
      <c r="A8295" s="37"/>
      <c r="B8295" s="37"/>
      <c r="C8295" s="37"/>
      <c r="D8295" s="37"/>
      <c r="E8295" s="212"/>
    </row>
    <row r="8296" spans="1:5" ht="14.25">
      <c r="A8296" s="37"/>
      <c r="B8296" s="37"/>
      <c r="C8296" s="37"/>
      <c r="D8296" s="37"/>
      <c r="E8296" s="212"/>
    </row>
    <row r="8297" spans="1:5" ht="14.25">
      <c r="A8297" s="37"/>
      <c r="B8297" s="37"/>
      <c r="C8297" s="37"/>
      <c r="D8297" s="37"/>
      <c r="E8297" s="212"/>
    </row>
    <row r="8298" spans="1:5" ht="14.25">
      <c r="A8298" s="37"/>
      <c r="B8298" s="37"/>
      <c r="C8298" s="37"/>
      <c r="D8298" s="37"/>
      <c r="E8298" s="213"/>
    </row>
    <row r="8299" spans="1:5" ht="14.25">
      <c r="A8299" s="37"/>
      <c r="B8299" s="37"/>
      <c r="C8299" s="37"/>
      <c r="D8299" s="37"/>
      <c r="E8299" s="212"/>
    </row>
    <row r="8300" spans="1:5" ht="14.25">
      <c r="A8300" s="37"/>
      <c r="B8300" s="37"/>
      <c r="C8300" s="37"/>
      <c r="D8300" s="37"/>
      <c r="E8300" s="212"/>
    </row>
    <row r="8301" spans="1:5" ht="14.25">
      <c r="A8301" s="37"/>
      <c r="B8301" s="37"/>
      <c r="C8301" s="37"/>
      <c r="D8301" s="37"/>
      <c r="E8301" s="212"/>
    </row>
    <row r="8302" spans="1:5" ht="14.25">
      <c r="A8302" s="37"/>
      <c r="B8302" s="37"/>
      <c r="C8302" s="37"/>
      <c r="D8302" s="37"/>
      <c r="E8302" s="212"/>
    </row>
    <row r="8303" spans="1:5" ht="14.25">
      <c r="A8303" s="37"/>
      <c r="B8303" s="37"/>
      <c r="C8303" s="37"/>
      <c r="D8303" s="37"/>
      <c r="E8303" s="212"/>
    </row>
    <row r="8304" spans="1:5" ht="14.25">
      <c r="A8304" s="37"/>
      <c r="B8304" s="37"/>
      <c r="C8304" s="37"/>
      <c r="D8304" s="37"/>
      <c r="E8304" s="212"/>
    </row>
    <row r="8305" spans="1:5" ht="14.25">
      <c r="A8305" s="37"/>
      <c r="B8305" s="37"/>
      <c r="C8305" s="37"/>
      <c r="D8305" s="37"/>
      <c r="E8305" s="212"/>
    </row>
    <row r="8306" spans="1:5" ht="14.25">
      <c r="A8306" s="37"/>
      <c r="B8306" s="37"/>
      <c r="C8306" s="37"/>
      <c r="D8306" s="37"/>
      <c r="E8306" s="212"/>
    </row>
    <row r="8307" spans="1:5" ht="14.25">
      <c r="A8307" s="37"/>
      <c r="B8307" s="37"/>
      <c r="C8307" s="37"/>
      <c r="D8307" s="37"/>
      <c r="E8307" s="212"/>
    </row>
    <row r="8308" spans="1:5" ht="14.25">
      <c r="A8308" s="37"/>
      <c r="B8308" s="37"/>
      <c r="C8308" s="37"/>
      <c r="D8308" s="37"/>
      <c r="E8308" s="212"/>
    </row>
    <row r="8309" spans="1:5" ht="14.25">
      <c r="A8309" s="37"/>
      <c r="B8309" s="37"/>
      <c r="C8309" s="37"/>
      <c r="D8309" s="37"/>
      <c r="E8309" s="212"/>
    </row>
    <row r="8310" spans="1:5" ht="14.25">
      <c r="A8310" s="37"/>
      <c r="B8310" s="37"/>
      <c r="C8310" s="37"/>
      <c r="D8310" s="37"/>
      <c r="E8310" s="212"/>
    </row>
    <row r="8311" spans="1:5" ht="14.25">
      <c r="A8311" s="37"/>
      <c r="B8311" s="37"/>
      <c r="C8311" s="37"/>
      <c r="D8311" s="37"/>
      <c r="E8311" s="212"/>
    </row>
    <row r="8312" spans="1:5" ht="14.25">
      <c r="A8312" s="37"/>
      <c r="B8312" s="37"/>
      <c r="C8312" s="37"/>
      <c r="D8312" s="37"/>
      <c r="E8312" s="212"/>
    </row>
    <row r="8313" spans="1:5" ht="14.25">
      <c r="A8313" s="37"/>
      <c r="B8313" s="37"/>
      <c r="C8313" s="37"/>
      <c r="D8313" s="37"/>
      <c r="E8313" s="212"/>
    </row>
    <row r="8314" spans="1:5" ht="14.25">
      <c r="A8314" s="37"/>
      <c r="B8314" s="37"/>
      <c r="C8314" s="37"/>
      <c r="D8314" s="37"/>
      <c r="E8314" s="212"/>
    </row>
    <row r="8315" spans="1:5" ht="14.25">
      <c r="A8315" s="37"/>
      <c r="B8315" s="37"/>
      <c r="C8315" s="37"/>
      <c r="D8315" s="37"/>
      <c r="E8315" s="212"/>
    </row>
    <row r="8316" spans="1:5" ht="14.25">
      <c r="A8316" s="37"/>
      <c r="B8316" s="37"/>
      <c r="C8316" s="37"/>
      <c r="D8316" s="37"/>
      <c r="E8316" s="212"/>
    </row>
    <row r="8317" spans="1:5" ht="14.25">
      <c r="A8317" s="37"/>
      <c r="B8317" s="37"/>
      <c r="C8317" s="37"/>
      <c r="D8317" s="37"/>
      <c r="E8317" s="212"/>
    </row>
    <row r="8318" spans="1:5" ht="14.25">
      <c r="A8318" s="37"/>
      <c r="B8318" s="37"/>
      <c r="C8318" s="37"/>
      <c r="D8318" s="37"/>
      <c r="E8318" s="212"/>
    </row>
    <row r="8319" spans="1:5" ht="14.25">
      <c r="A8319" s="37"/>
      <c r="B8319" s="37"/>
      <c r="C8319" s="37"/>
      <c r="D8319" s="37"/>
      <c r="E8319" s="212"/>
    </row>
    <row r="8320" spans="1:5" ht="14.25">
      <c r="A8320" s="37"/>
      <c r="B8320" s="37"/>
      <c r="C8320" s="37"/>
      <c r="D8320" s="37"/>
      <c r="E8320" s="212"/>
    </row>
    <row r="8321" spans="1:5" ht="14.25">
      <c r="A8321" s="37"/>
      <c r="B8321" s="37"/>
      <c r="C8321" s="37"/>
      <c r="D8321" s="37"/>
      <c r="E8321" s="212"/>
    </row>
    <row r="8322" spans="1:5" ht="14.25">
      <c r="A8322" s="37"/>
      <c r="B8322" s="37"/>
      <c r="C8322" s="37"/>
      <c r="D8322" s="37"/>
      <c r="E8322" s="212"/>
    </row>
    <row r="8323" spans="1:5" ht="14.25">
      <c r="A8323" s="37"/>
      <c r="B8323" s="37"/>
      <c r="C8323" s="37"/>
      <c r="D8323" s="37"/>
      <c r="E8323" s="212"/>
    </row>
    <row r="8324" spans="1:5" ht="14.25">
      <c r="A8324" s="37"/>
      <c r="B8324" s="37"/>
      <c r="C8324" s="37"/>
      <c r="D8324" s="37"/>
      <c r="E8324" s="212"/>
    </row>
    <row r="8325" spans="1:5" ht="14.25">
      <c r="A8325" s="37"/>
      <c r="B8325" s="37"/>
      <c r="C8325" s="37"/>
      <c r="D8325" s="37"/>
      <c r="E8325" s="212"/>
    </row>
    <row r="8326" spans="1:5" ht="14.25">
      <c r="A8326" s="37"/>
      <c r="B8326" s="37"/>
      <c r="C8326" s="37"/>
      <c r="D8326" s="37"/>
      <c r="E8326" s="212"/>
    </row>
    <row r="8327" spans="1:5" ht="14.25">
      <c r="A8327" s="37"/>
      <c r="B8327" s="37"/>
      <c r="C8327" s="37"/>
      <c r="D8327" s="37"/>
      <c r="E8327" s="212"/>
    </row>
    <row r="8328" spans="1:5" ht="14.25">
      <c r="A8328" s="37"/>
      <c r="B8328" s="37"/>
      <c r="C8328" s="37"/>
      <c r="D8328" s="37"/>
      <c r="E8328" s="212"/>
    </row>
    <row r="8329" spans="1:5" ht="14.25">
      <c r="A8329" s="37"/>
      <c r="B8329" s="37"/>
      <c r="C8329" s="37"/>
      <c r="D8329" s="37"/>
      <c r="E8329" s="212"/>
    </row>
    <row r="8330" spans="1:5" ht="14.25">
      <c r="A8330" s="37"/>
      <c r="B8330" s="37"/>
      <c r="C8330" s="37"/>
      <c r="D8330" s="37"/>
      <c r="E8330" s="212"/>
    </row>
    <row r="8331" spans="1:5" ht="14.25">
      <c r="A8331" s="37"/>
      <c r="B8331" s="37"/>
      <c r="C8331" s="37"/>
      <c r="D8331" s="37"/>
      <c r="E8331" s="212"/>
    </row>
    <row r="8332" spans="1:5" ht="14.25">
      <c r="A8332" s="37"/>
      <c r="B8332" s="37"/>
      <c r="C8332" s="37"/>
      <c r="D8332" s="37"/>
      <c r="E8332" s="212"/>
    </row>
    <row r="8333" spans="1:5" ht="14.25">
      <c r="A8333" s="37"/>
      <c r="B8333" s="37"/>
      <c r="C8333" s="37"/>
      <c r="D8333" s="37"/>
      <c r="E8333" s="212"/>
    </row>
    <row r="8334" spans="1:5" ht="14.25">
      <c r="A8334" s="37"/>
      <c r="B8334" s="37"/>
      <c r="C8334" s="37"/>
      <c r="D8334" s="37"/>
      <c r="E8334" s="212"/>
    </row>
    <row r="8335" spans="1:5" ht="14.25">
      <c r="A8335" s="37"/>
      <c r="B8335" s="37"/>
      <c r="C8335" s="37"/>
      <c r="D8335" s="37"/>
      <c r="E8335" s="212"/>
    </row>
    <row r="8336" spans="1:5" ht="14.25">
      <c r="A8336" s="37"/>
      <c r="B8336" s="37"/>
      <c r="C8336" s="37"/>
      <c r="D8336" s="37"/>
      <c r="E8336" s="212"/>
    </row>
    <row r="8337" spans="1:5" ht="14.25">
      <c r="A8337" s="37"/>
      <c r="B8337" s="37"/>
      <c r="C8337" s="37"/>
      <c r="D8337" s="37"/>
      <c r="E8337" s="212"/>
    </row>
    <row r="8338" spans="1:5" ht="14.25">
      <c r="A8338" s="37"/>
      <c r="B8338" s="37"/>
      <c r="C8338" s="37"/>
      <c r="D8338" s="37"/>
      <c r="E8338" s="212"/>
    </row>
    <row r="8339" spans="1:5" ht="14.25">
      <c r="A8339" s="37"/>
      <c r="B8339" s="37"/>
      <c r="C8339" s="37"/>
      <c r="D8339" s="37"/>
      <c r="E8339" s="212"/>
    </row>
    <row r="8340" spans="1:5" ht="14.25">
      <c r="A8340" s="37"/>
      <c r="B8340" s="37"/>
      <c r="C8340" s="37"/>
      <c r="D8340" s="37"/>
      <c r="E8340" s="212"/>
    </row>
    <row r="8341" spans="1:5" ht="14.25">
      <c r="A8341" s="37"/>
      <c r="B8341" s="37"/>
      <c r="C8341" s="37"/>
      <c r="D8341" s="37"/>
      <c r="E8341" s="212"/>
    </row>
    <row r="8342" spans="1:5" ht="14.25">
      <c r="A8342" s="37"/>
      <c r="B8342" s="37"/>
      <c r="C8342" s="37"/>
      <c r="D8342" s="37"/>
      <c r="E8342" s="212"/>
    </row>
    <row r="8343" spans="1:5" ht="14.25">
      <c r="A8343" s="37"/>
      <c r="B8343" s="37"/>
      <c r="C8343" s="37"/>
      <c r="D8343" s="37"/>
      <c r="E8343" s="212"/>
    </row>
    <row r="8344" spans="1:5" ht="14.25">
      <c r="A8344" s="37"/>
      <c r="B8344" s="37"/>
      <c r="C8344" s="37"/>
      <c r="D8344" s="37"/>
      <c r="E8344" s="212"/>
    </row>
    <row r="8345" spans="1:5" ht="14.25">
      <c r="A8345" s="37"/>
      <c r="B8345" s="37"/>
      <c r="C8345" s="37"/>
      <c r="D8345" s="37"/>
      <c r="E8345" s="212"/>
    </row>
    <row r="8346" spans="1:5" ht="14.25">
      <c r="A8346" s="37"/>
      <c r="B8346" s="37"/>
      <c r="C8346" s="37"/>
      <c r="D8346" s="37"/>
      <c r="E8346" s="212"/>
    </row>
    <row r="8347" spans="1:5" ht="14.25">
      <c r="A8347" s="37"/>
      <c r="B8347" s="37"/>
      <c r="C8347" s="37"/>
      <c r="D8347" s="37"/>
      <c r="E8347" s="212"/>
    </row>
    <row r="8348" spans="1:5" ht="14.25">
      <c r="A8348" s="37"/>
      <c r="B8348" s="37"/>
      <c r="C8348" s="37"/>
      <c r="D8348" s="37"/>
      <c r="E8348" s="212"/>
    </row>
    <row r="8349" spans="1:5" ht="14.25">
      <c r="A8349" s="37"/>
      <c r="B8349" s="37"/>
      <c r="C8349" s="37"/>
      <c r="D8349" s="37"/>
      <c r="E8349" s="212"/>
    </row>
    <row r="8350" spans="1:5" ht="14.25">
      <c r="A8350" s="37"/>
      <c r="B8350" s="37"/>
      <c r="C8350" s="37"/>
      <c r="D8350" s="37"/>
      <c r="E8350" s="212"/>
    </row>
    <row r="8351" spans="1:5" ht="14.25">
      <c r="A8351" s="37"/>
      <c r="B8351" s="37"/>
      <c r="C8351" s="37"/>
      <c r="D8351" s="37"/>
      <c r="E8351" s="212"/>
    </row>
    <row r="8352" spans="1:5" ht="14.25">
      <c r="A8352" s="37"/>
      <c r="B8352" s="37"/>
      <c r="C8352" s="37"/>
      <c r="D8352" s="37"/>
      <c r="E8352" s="212"/>
    </row>
    <row r="8353" spans="1:5" ht="14.25">
      <c r="A8353" s="37"/>
      <c r="B8353" s="37"/>
      <c r="C8353" s="37"/>
      <c r="D8353" s="37"/>
      <c r="E8353" s="212"/>
    </row>
    <row r="8354" spans="1:5" ht="14.25">
      <c r="A8354" s="37"/>
      <c r="B8354" s="37"/>
      <c r="C8354" s="37"/>
      <c r="D8354" s="37"/>
      <c r="E8354" s="212"/>
    </row>
    <row r="8355" spans="1:5" ht="14.25">
      <c r="A8355" s="37"/>
      <c r="B8355" s="37"/>
      <c r="C8355" s="37"/>
      <c r="D8355" s="37"/>
      <c r="E8355" s="212"/>
    </row>
    <row r="8356" spans="1:5" ht="14.25">
      <c r="A8356" s="37"/>
      <c r="B8356" s="37"/>
      <c r="C8356" s="37"/>
      <c r="D8356" s="37"/>
      <c r="E8356" s="212"/>
    </row>
    <row r="8357" spans="1:5" ht="14.25">
      <c r="A8357" s="37"/>
      <c r="B8357" s="37"/>
      <c r="C8357" s="37"/>
      <c r="D8357" s="37"/>
      <c r="E8357" s="212"/>
    </row>
    <row r="8358" spans="1:5" ht="14.25">
      <c r="A8358" s="37"/>
      <c r="B8358" s="37"/>
      <c r="C8358" s="37"/>
      <c r="D8358" s="37"/>
      <c r="E8358" s="212"/>
    </row>
    <row r="8359" spans="1:5" ht="14.25">
      <c r="A8359" s="37"/>
      <c r="B8359" s="37"/>
      <c r="C8359" s="37"/>
      <c r="D8359" s="37"/>
      <c r="E8359" s="212"/>
    </row>
    <row r="8360" spans="1:5" ht="14.25">
      <c r="A8360" s="37"/>
      <c r="B8360" s="37"/>
      <c r="C8360" s="37"/>
      <c r="D8360" s="37"/>
      <c r="E8360" s="212"/>
    </row>
    <row r="8361" spans="1:5" ht="14.25">
      <c r="A8361" s="37"/>
      <c r="B8361" s="37"/>
      <c r="C8361" s="37"/>
      <c r="D8361" s="37"/>
      <c r="E8361" s="212"/>
    </row>
    <row r="8362" spans="1:5" ht="14.25">
      <c r="A8362" s="37"/>
      <c r="B8362" s="37"/>
      <c r="C8362" s="37"/>
      <c r="D8362" s="37"/>
      <c r="E8362" s="212"/>
    </row>
    <row r="8363" spans="1:5" ht="14.25">
      <c r="A8363" s="37"/>
      <c r="B8363" s="37"/>
      <c r="C8363" s="37"/>
      <c r="D8363" s="37"/>
      <c r="E8363" s="212"/>
    </row>
    <row r="8364" spans="1:5" ht="14.25">
      <c r="A8364" s="37"/>
      <c r="B8364" s="37"/>
      <c r="C8364" s="37"/>
      <c r="D8364" s="37"/>
      <c r="E8364" s="212"/>
    </row>
    <row r="8365" spans="1:5" ht="14.25">
      <c r="A8365" s="37"/>
      <c r="B8365" s="37"/>
      <c r="C8365" s="37"/>
      <c r="D8365" s="37"/>
      <c r="E8365" s="212"/>
    </row>
    <row r="8366" spans="1:5" ht="14.25">
      <c r="A8366" s="37"/>
      <c r="B8366" s="37"/>
      <c r="C8366" s="37"/>
      <c r="D8366" s="37"/>
      <c r="E8366" s="212"/>
    </row>
    <row r="8367" spans="1:5" ht="14.25">
      <c r="A8367" s="37"/>
      <c r="B8367" s="37"/>
      <c r="C8367" s="37"/>
      <c r="D8367" s="37"/>
      <c r="E8367" s="212"/>
    </row>
    <row r="8368" spans="1:5" ht="14.25">
      <c r="A8368" s="37"/>
      <c r="B8368" s="37"/>
      <c r="C8368" s="37"/>
      <c r="D8368" s="37"/>
      <c r="E8368" s="212"/>
    </row>
    <row r="8369" spans="1:5" ht="14.25">
      <c r="A8369" s="37"/>
      <c r="B8369" s="37"/>
      <c r="C8369" s="37"/>
      <c r="D8369" s="37"/>
      <c r="E8369" s="212"/>
    </row>
    <row r="8370" spans="1:5" ht="14.25">
      <c r="A8370" s="37"/>
      <c r="B8370" s="37"/>
      <c r="C8370" s="37"/>
      <c r="D8370" s="37"/>
      <c r="E8370" s="212"/>
    </row>
    <row r="8371" spans="1:5" ht="14.25">
      <c r="A8371" s="37"/>
      <c r="B8371" s="37"/>
      <c r="C8371" s="37"/>
      <c r="D8371" s="37"/>
      <c r="E8371" s="212"/>
    </row>
    <row r="8372" spans="1:5" ht="14.25">
      <c r="A8372" s="37"/>
      <c r="B8372" s="37"/>
      <c r="C8372" s="37"/>
      <c r="D8372" s="37"/>
      <c r="E8372" s="212"/>
    </row>
    <row r="8373" spans="1:5" ht="14.25">
      <c r="A8373" s="37"/>
      <c r="B8373" s="37"/>
      <c r="C8373" s="37"/>
      <c r="D8373" s="37"/>
      <c r="E8373" s="212"/>
    </row>
    <row r="8374" spans="1:5" ht="14.25">
      <c r="A8374" s="37"/>
      <c r="B8374" s="37"/>
      <c r="C8374" s="37"/>
      <c r="D8374" s="37"/>
      <c r="E8374" s="212"/>
    </row>
    <row r="8375" spans="1:5" ht="14.25">
      <c r="A8375" s="37"/>
      <c r="B8375" s="37"/>
      <c r="C8375" s="37"/>
      <c r="D8375" s="37"/>
      <c r="E8375" s="212"/>
    </row>
    <row r="8376" spans="1:5" ht="14.25">
      <c r="A8376" s="37"/>
      <c r="B8376" s="37"/>
      <c r="C8376" s="37"/>
      <c r="D8376" s="37"/>
      <c r="E8376" s="212"/>
    </row>
    <row r="8377" spans="1:5" ht="14.25">
      <c r="A8377" s="37"/>
      <c r="B8377" s="37"/>
      <c r="C8377" s="37"/>
      <c r="D8377" s="37"/>
      <c r="E8377" s="212"/>
    </row>
    <row r="8378" spans="1:5" ht="14.25">
      <c r="A8378" s="37"/>
      <c r="B8378" s="37"/>
      <c r="C8378" s="37"/>
      <c r="D8378" s="37"/>
      <c r="E8378" s="212"/>
    </row>
    <row r="8379" spans="1:5" ht="14.25">
      <c r="A8379" s="37"/>
      <c r="B8379" s="37"/>
      <c r="C8379" s="37"/>
      <c r="D8379" s="37"/>
      <c r="E8379" s="212"/>
    </row>
    <row r="8380" spans="1:5" ht="14.25">
      <c r="A8380" s="37"/>
      <c r="B8380" s="37"/>
      <c r="C8380" s="37"/>
      <c r="D8380" s="37"/>
      <c r="E8380" s="212"/>
    </row>
    <row r="8381" spans="1:5" ht="14.25">
      <c r="A8381" s="37"/>
      <c r="B8381" s="37"/>
      <c r="C8381" s="37"/>
      <c r="D8381" s="37"/>
      <c r="E8381" s="212"/>
    </row>
    <row r="8382" spans="1:5" ht="14.25">
      <c r="A8382" s="37"/>
      <c r="B8382" s="37"/>
      <c r="C8382" s="37"/>
      <c r="D8382" s="37"/>
      <c r="E8382" s="212"/>
    </row>
    <row r="8383" spans="1:5" ht="14.25">
      <c r="A8383" s="37"/>
      <c r="B8383" s="37"/>
      <c r="C8383" s="37"/>
      <c r="D8383" s="37"/>
      <c r="E8383" s="212"/>
    </row>
    <row r="8384" spans="1:5" ht="14.25">
      <c r="A8384" s="37"/>
      <c r="B8384" s="37"/>
      <c r="C8384" s="37"/>
      <c r="D8384" s="37"/>
      <c r="E8384" s="212"/>
    </row>
    <row r="8385" spans="1:5" ht="14.25">
      <c r="A8385" s="37"/>
      <c r="B8385" s="37"/>
      <c r="C8385" s="37"/>
      <c r="D8385" s="37"/>
      <c r="E8385" s="212"/>
    </row>
    <row r="8386" spans="1:5" ht="14.25">
      <c r="A8386" s="37"/>
      <c r="B8386" s="37"/>
      <c r="C8386" s="37"/>
      <c r="D8386" s="37"/>
      <c r="E8386" s="212"/>
    </row>
    <row r="8387" spans="1:5" ht="14.25">
      <c r="A8387" s="37"/>
      <c r="B8387" s="37"/>
      <c r="C8387" s="37"/>
      <c r="D8387" s="37"/>
      <c r="E8387" s="212"/>
    </row>
    <row r="8388" spans="1:5" ht="14.25">
      <c r="A8388" s="37"/>
      <c r="B8388" s="37"/>
      <c r="C8388" s="37"/>
      <c r="D8388" s="37"/>
      <c r="E8388" s="212"/>
    </row>
    <row r="8389" spans="1:5" ht="14.25">
      <c r="A8389" s="37"/>
      <c r="B8389" s="37"/>
      <c r="C8389" s="37"/>
      <c r="D8389" s="37"/>
      <c r="E8389" s="212"/>
    </row>
    <row r="8390" spans="1:5" ht="14.25">
      <c r="A8390" s="37"/>
      <c r="B8390" s="37"/>
      <c r="C8390" s="37"/>
      <c r="D8390" s="37"/>
      <c r="E8390" s="212"/>
    </row>
    <row r="8391" spans="1:5" ht="14.25">
      <c r="A8391" s="37"/>
      <c r="B8391" s="37"/>
      <c r="C8391" s="37"/>
      <c r="D8391" s="37"/>
      <c r="E8391" s="212"/>
    </row>
    <row r="8392" spans="1:5" ht="14.25">
      <c r="A8392" s="37"/>
      <c r="B8392" s="37"/>
      <c r="C8392" s="37"/>
      <c r="D8392" s="37"/>
      <c r="E8392" s="212"/>
    </row>
    <row r="8393" spans="1:5" ht="14.25">
      <c r="A8393" s="37"/>
      <c r="B8393" s="37"/>
      <c r="C8393" s="37"/>
      <c r="D8393" s="37"/>
      <c r="E8393" s="212"/>
    </row>
    <row r="8394" spans="1:5" ht="14.25">
      <c r="A8394" s="37"/>
      <c r="B8394" s="37"/>
      <c r="C8394" s="37"/>
      <c r="D8394" s="37"/>
      <c r="E8394" s="212"/>
    </row>
    <row r="8395" spans="1:5" ht="14.25">
      <c r="A8395" s="37"/>
      <c r="B8395" s="37"/>
      <c r="C8395" s="37"/>
      <c r="D8395" s="37"/>
      <c r="E8395" s="212"/>
    </row>
    <row r="8396" spans="1:5" ht="14.25">
      <c r="A8396" s="37"/>
      <c r="B8396" s="37"/>
      <c r="C8396" s="37"/>
      <c r="D8396" s="37"/>
      <c r="E8396" s="212"/>
    </row>
    <row r="8397" spans="1:5" ht="14.25">
      <c r="A8397" s="37"/>
      <c r="B8397" s="37"/>
      <c r="C8397" s="37"/>
      <c r="D8397" s="37"/>
      <c r="E8397" s="212"/>
    </row>
    <row r="8398" spans="1:5" ht="14.25">
      <c r="A8398" s="37"/>
      <c r="B8398" s="37"/>
      <c r="C8398" s="37"/>
      <c r="D8398" s="37"/>
      <c r="E8398" s="212"/>
    </row>
    <row r="8399" spans="1:5" ht="14.25">
      <c r="A8399" s="37"/>
      <c r="B8399" s="37"/>
      <c r="C8399" s="37"/>
      <c r="D8399" s="37"/>
      <c r="E8399" s="212"/>
    </row>
    <row r="8400" spans="1:5" ht="14.25">
      <c r="A8400" s="37"/>
      <c r="B8400" s="37"/>
      <c r="C8400" s="37"/>
      <c r="D8400" s="37"/>
      <c r="E8400" s="212"/>
    </row>
    <row r="8401" spans="1:5" ht="14.25">
      <c r="A8401" s="37"/>
      <c r="B8401" s="37"/>
      <c r="C8401" s="37"/>
      <c r="D8401" s="37"/>
      <c r="E8401" s="212"/>
    </row>
    <row r="8402" spans="1:5" ht="14.25">
      <c r="A8402" s="37"/>
      <c r="B8402" s="37"/>
      <c r="C8402" s="37"/>
      <c r="D8402" s="37"/>
      <c r="E8402" s="212"/>
    </row>
    <row r="8403" spans="1:5" ht="14.25">
      <c r="A8403" s="37"/>
      <c r="B8403" s="37"/>
      <c r="C8403" s="37"/>
      <c r="D8403" s="37"/>
      <c r="E8403" s="212"/>
    </row>
    <row r="8404" spans="1:5" ht="14.25">
      <c r="A8404" s="37"/>
      <c r="B8404" s="37"/>
      <c r="C8404" s="37"/>
      <c r="D8404" s="37"/>
      <c r="E8404" s="212"/>
    </row>
    <row r="8405" spans="1:5" ht="14.25">
      <c r="A8405" s="37"/>
      <c r="B8405" s="37"/>
      <c r="C8405" s="37"/>
      <c r="D8405" s="37"/>
      <c r="E8405" s="212"/>
    </row>
    <row r="8406" spans="1:5" ht="14.25">
      <c r="A8406" s="37"/>
      <c r="B8406" s="37"/>
      <c r="C8406" s="37"/>
      <c r="D8406" s="37"/>
      <c r="E8406" s="212"/>
    </row>
    <row r="8407" spans="1:5" ht="14.25">
      <c r="A8407" s="37"/>
      <c r="B8407" s="37"/>
      <c r="C8407" s="37"/>
      <c r="D8407" s="37"/>
      <c r="E8407" s="212"/>
    </row>
    <row r="8408" spans="1:5" ht="14.25">
      <c r="A8408" s="37"/>
      <c r="B8408" s="37"/>
      <c r="C8408" s="37"/>
      <c r="D8408" s="37"/>
      <c r="E8408" s="212"/>
    </row>
    <row r="8409" spans="1:5" ht="14.25">
      <c r="A8409" s="37"/>
      <c r="B8409" s="37"/>
      <c r="C8409" s="37"/>
      <c r="D8409" s="37"/>
      <c r="E8409" s="212"/>
    </row>
    <row r="8410" spans="1:5" ht="14.25">
      <c r="A8410" s="37"/>
      <c r="B8410" s="37"/>
      <c r="C8410" s="37"/>
      <c r="D8410" s="37"/>
      <c r="E8410" s="212"/>
    </row>
    <row r="8411" spans="1:5" ht="14.25">
      <c r="A8411" s="37"/>
      <c r="B8411" s="37"/>
      <c r="C8411" s="37"/>
      <c r="D8411" s="37"/>
      <c r="E8411" s="212"/>
    </row>
    <row r="8412" spans="1:5" ht="14.25">
      <c r="A8412" s="37"/>
      <c r="B8412" s="37"/>
      <c r="C8412" s="37"/>
      <c r="D8412" s="37"/>
      <c r="E8412" s="212"/>
    </row>
    <row r="8413" spans="1:5" ht="14.25">
      <c r="A8413" s="37"/>
      <c r="B8413" s="37"/>
      <c r="C8413" s="37"/>
      <c r="D8413" s="37"/>
      <c r="E8413" s="212"/>
    </row>
    <row r="8414" spans="1:5" ht="14.25">
      <c r="A8414" s="37"/>
      <c r="B8414" s="37"/>
      <c r="C8414" s="37"/>
      <c r="D8414" s="37"/>
      <c r="E8414" s="212"/>
    </row>
    <row r="8415" spans="1:5" ht="14.25">
      <c r="A8415" s="37"/>
      <c r="B8415" s="37"/>
      <c r="C8415" s="37"/>
      <c r="D8415" s="37"/>
      <c r="E8415" s="212"/>
    </row>
    <row r="8416" spans="1:5" ht="14.25">
      <c r="A8416" s="37"/>
      <c r="B8416" s="37"/>
      <c r="C8416" s="37"/>
      <c r="D8416" s="37"/>
      <c r="E8416" s="212"/>
    </row>
    <row r="8417" spans="1:5" ht="14.25">
      <c r="A8417" s="37"/>
      <c r="B8417" s="37"/>
      <c r="C8417" s="37"/>
      <c r="D8417" s="37"/>
      <c r="E8417" s="212"/>
    </row>
    <row r="8418" spans="1:5" ht="14.25">
      <c r="A8418" s="37"/>
      <c r="B8418" s="37"/>
      <c r="C8418" s="37"/>
      <c r="D8418" s="37"/>
      <c r="E8418" s="212"/>
    </row>
    <row r="8419" spans="1:5" ht="14.25">
      <c r="A8419" s="37"/>
      <c r="B8419" s="37"/>
      <c r="C8419" s="37"/>
      <c r="D8419" s="37"/>
      <c r="E8419" s="212"/>
    </row>
    <row r="8420" spans="1:5" ht="14.25">
      <c r="A8420" s="37"/>
      <c r="B8420" s="37"/>
      <c r="C8420" s="37"/>
      <c r="D8420" s="37"/>
      <c r="E8420" s="212"/>
    </row>
    <row r="8421" spans="1:5" ht="14.25">
      <c r="A8421" s="37"/>
      <c r="B8421" s="37"/>
      <c r="C8421" s="37"/>
      <c r="D8421" s="37"/>
      <c r="E8421" s="212"/>
    </row>
    <row r="8422" spans="1:5" ht="14.25">
      <c r="A8422" s="37"/>
      <c r="B8422" s="37"/>
      <c r="C8422" s="37"/>
      <c r="D8422" s="37"/>
      <c r="E8422" s="212"/>
    </row>
    <row r="8423" spans="1:5" ht="14.25">
      <c r="A8423" s="37"/>
      <c r="B8423" s="37"/>
      <c r="C8423" s="37"/>
      <c r="D8423" s="37"/>
      <c r="E8423" s="212"/>
    </row>
    <row r="8424" spans="1:5" ht="14.25">
      <c r="A8424" s="37"/>
      <c r="B8424" s="37"/>
      <c r="C8424" s="37"/>
      <c r="D8424" s="37"/>
      <c r="E8424" s="212"/>
    </row>
    <row r="8425" spans="1:5" ht="14.25">
      <c r="A8425" s="37"/>
      <c r="B8425" s="37"/>
      <c r="C8425" s="37"/>
      <c r="D8425" s="37"/>
      <c r="E8425" s="212"/>
    </row>
    <row r="8426" spans="1:5" ht="14.25">
      <c r="A8426" s="37"/>
      <c r="B8426" s="37"/>
      <c r="C8426" s="37"/>
      <c r="D8426" s="37"/>
      <c r="E8426" s="212"/>
    </row>
    <row r="8427" spans="1:5" ht="14.25">
      <c r="A8427" s="37"/>
      <c r="B8427" s="37"/>
      <c r="C8427" s="37"/>
      <c r="D8427" s="37"/>
      <c r="E8427" s="212"/>
    </row>
    <row r="8428" spans="1:5" ht="14.25">
      <c r="A8428" s="37"/>
      <c r="B8428" s="37"/>
      <c r="C8428" s="37"/>
      <c r="D8428" s="37"/>
      <c r="E8428" s="212"/>
    </row>
    <row r="8429" spans="1:5" ht="14.25">
      <c r="A8429" s="37"/>
      <c r="B8429" s="37"/>
      <c r="C8429" s="37"/>
      <c r="D8429" s="37"/>
      <c r="E8429" s="212"/>
    </row>
    <row r="8430" spans="1:5" ht="14.25">
      <c r="A8430" s="37"/>
      <c r="B8430" s="37"/>
      <c r="C8430" s="37"/>
      <c r="D8430" s="37"/>
      <c r="E8430" s="212"/>
    </row>
    <row r="8431" spans="1:5" ht="14.25">
      <c r="A8431" s="37"/>
      <c r="B8431" s="37"/>
      <c r="C8431" s="37"/>
      <c r="D8431" s="37"/>
      <c r="E8431" s="212"/>
    </row>
    <row r="8432" spans="1:5" ht="14.25">
      <c r="A8432" s="37"/>
      <c r="B8432" s="37"/>
      <c r="C8432" s="37"/>
      <c r="D8432" s="37"/>
      <c r="E8432" s="212"/>
    </row>
    <row r="8433" spans="1:5" ht="14.25">
      <c r="A8433" s="37"/>
      <c r="B8433" s="37"/>
      <c r="C8433" s="37"/>
      <c r="D8433" s="37"/>
      <c r="E8433" s="212"/>
    </row>
    <row r="8434" spans="1:5" ht="14.25">
      <c r="A8434" s="37"/>
      <c r="B8434" s="37"/>
      <c r="C8434" s="37"/>
      <c r="D8434" s="37"/>
      <c r="E8434" s="212"/>
    </row>
    <row r="8435" spans="1:5" ht="14.25">
      <c r="A8435" s="37"/>
      <c r="B8435" s="37"/>
      <c r="C8435" s="37"/>
      <c r="D8435" s="37"/>
      <c r="E8435" s="212"/>
    </row>
    <row r="8436" spans="1:5" ht="14.25">
      <c r="A8436" s="37"/>
      <c r="B8436" s="37"/>
      <c r="C8436" s="37"/>
      <c r="D8436" s="37"/>
      <c r="E8436" s="212"/>
    </row>
    <row r="8437" spans="1:5" ht="14.25">
      <c r="A8437" s="37"/>
      <c r="B8437" s="37"/>
      <c r="C8437" s="37"/>
      <c r="D8437" s="37"/>
      <c r="E8437" s="212"/>
    </row>
    <row r="8438" spans="1:5" ht="14.25">
      <c r="A8438" s="37"/>
      <c r="B8438" s="37"/>
      <c r="C8438" s="37"/>
      <c r="D8438" s="37"/>
      <c r="E8438" s="212"/>
    </row>
    <row r="8439" spans="1:5" ht="14.25">
      <c r="A8439" s="37"/>
      <c r="B8439" s="37"/>
      <c r="C8439" s="37"/>
      <c r="D8439" s="37"/>
      <c r="E8439" s="212"/>
    </row>
    <row r="8440" spans="1:5" ht="14.25">
      <c r="A8440" s="37"/>
      <c r="B8440" s="37"/>
      <c r="C8440" s="37"/>
      <c r="D8440" s="37"/>
      <c r="E8440" s="212"/>
    </row>
    <row r="8441" spans="1:5" ht="14.25">
      <c r="A8441" s="37"/>
      <c r="B8441" s="37"/>
      <c r="C8441" s="37"/>
      <c r="D8441" s="37"/>
      <c r="E8441" s="212"/>
    </row>
    <row r="8442" spans="1:5" ht="14.25">
      <c r="A8442" s="37"/>
      <c r="B8442" s="37"/>
      <c r="C8442" s="37"/>
      <c r="D8442" s="37"/>
      <c r="E8442" s="212"/>
    </row>
    <row r="8443" spans="1:5" ht="14.25">
      <c r="A8443" s="37"/>
      <c r="B8443" s="37"/>
      <c r="C8443" s="37"/>
      <c r="D8443" s="37"/>
      <c r="E8443" s="212"/>
    </row>
    <row r="8444" spans="1:5" ht="14.25">
      <c r="A8444" s="37"/>
      <c r="B8444" s="37"/>
      <c r="C8444" s="37"/>
      <c r="D8444" s="37"/>
      <c r="E8444" s="212"/>
    </row>
    <row r="8445" spans="1:5" ht="14.25">
      <c r="A8445" s="37"/>
      <c r="B8445" s="37"/>
      <c r="C8445" s="37"/>
      <c r="D8445" s="37"/>
      <c r="E8445" s="212"/>
    </row>
    <row r="8446" spans="1:5" ht="14.25">
      <c r="A8446" s="37"/>
      <c r="B8446" s="37"/>
      <c r="C8446" s="37"/>
      <c r="D8446" s="37"/>
      <c r="E8446" s="212"/>
    </row>
    <row r="8447" spans="1:5" ht="14.25">
      <c r="A8447" s="37"/>
      <c r="B8447" s="37"/>
      <c r="C8447" s="37"/>
      <c r="D8447" s="37"/>
      <c r="E8447" s="212"/>
    </row>
    <row r="8448" spans="1:5" ht="14.25">
      <c r="A8448" s="37"/>
      <c r="B8448" s="37"/>
      <c r="C8448" s="37"/>
      <c r="D8448" s="37"/>
      <c r="E8448" s="212"/>
    </row>
    <row r="8449" spans="1:5" ht="14.25">
      <c r="A8449" s="37"/>
      <c r="B8449" s="37"/>
      <c r="C8449" s="37"/>
      <c r="D8449" s="37"/>
      <c r="E8449" s="212"/>
    </row>
    <row r="8450" spans="1:5" ht="14.25">
      <c r="A8450" s="37"/>
      <c r="B8450" s="37"/>
      <c r="C8450" s="37"/>
      <c r="D8450" s="37"/>
      <c r="E8450" s="212"/>
    </row>
    <row r="8451" spans="1:5" ht="14.25">
      <c r="A8451" s="37"/>
      <c r="B8451" s="37"/>
      <c r="C8451" s="37"/>
      <c r="D8451" s="37"/>
      <c r="E8451" s="212"/>
    </row>
    <row r="8452" spans="1:5" ht="14.25">
      <c r="A8452" s="37"/>
      <c r="B8452" s="37"/>
      <c r="C8452" s="37"/>
      <c r="D8452" s="37"/>
      <c r="E8452" s="212"/>
    </row>
    <row r="8453" spans="1:5" ht="14.25">
      <c r="A8453" s="37"/>
      <c r="B8453" s="37"/>
      <c r="C8453" s="37"/>
      <c r="D8453" s="37"/>
      <c r="E8453" s="212"/>
    </row>
    <row r="8454" spans="1:5" ht="14.25">
      <c r="A8454" s="37"/>
      <c r="B8454" s="37"/>
      <c r="C8454" s="37"/>
      <c r="D8454" s="37"/>
      <c r="E8454" s="212"/>
    </row>
    <row r="8455" spans="1:5" ht="14.25">
      <c r="A8455" s="37"/>
      <c r="B8455" s="37"/>
      <c r="C8455" s="37"/>
      <c r="D8455" s="37"/>
      <c r="E8455" s="212"/>
    </row>
    <row r="8456" spans="1:5" ht="14.25">
      <c r="A8456" s="37"/>
      <c r="B8456" s="37"/>
      <c r="C8456" s="37"/>
      <c r="D8456" s="37"/>
      <c r="E8456" s="212"/>
    </row>
    <row r="8457" spans="1:5" ht="14.25">
      <c r="A8457" s="37"/>
      <c r="B8457" s="37"/>
      <c r="C8457" s="37"/>
      <c r="D8457" s="37"/>
      <c r="E8457" s="212"/>
    </row>
    <row r="8458" spans="1:5" ht="14.25">
      <c r="A8458" s="37"/>
      <c r="B8458" s="37"/>
      <c r="C8458" s="37"/>
      <c r="D8458" s="37"/>
      <c r="E8458" s="212"/>
    </row>
    <row r="8459" spans="1:5" ht="14.25">
      <c r="A8459" s="37"/>
      <c r="B8459" s="37"/>
      <c r="C8459" s="37"/>
      <c r="D8459" s="37"/>
      <c r="E8459" s="212"/>
    </row>
    <row r="8460" spans="1:5" ht="14.25">
      <c r="A8460" s="37"/>
      <c r="B8460" s="37"/>
      <c r="C8460" s="37"/>
      <c r="D8460" s="37"/>
      <c r="E8460" s="212"/>
    </row>
    <row r="8461" spans="1:5" ht="14.25">
      <c r="A8461" s="37"/>
      <c r="B8461" s="37"/>
      <c r="C8461" s="37"/>
      <c r="D8461" s="37"/>
      <c r="E8461" s="212"/>
    </row>
    <row r="8462" spans="1:5" ht="14.25">
      <c r="A8462" s="37"/>
      <c r="B8462" s="37"/>
      <c r="C8462" s="37"/>
      <c r="D8462" s="37"/>
      <c r="E8462" s="212"/>
    </row>
    <row r="8463" spans="1:5" ht="14.25">
      <c r="A8463" s="37"/>
      <c r="B8463" s="37"/>
      <c r="C8463" s="37"/>
      <c r="D8463" s="37"/>
      <c r="E8463" s="212"/>
    </row>
    <row r="8464" spans="1:5" ht="14.25">
      <c r="A8464" s="37"/>
      <c r="B8464" s="37"/>
      <c r="C8464" s="37"/>
      <c r="D8464" s="37"/>
      <c r="E8464" s="212"/>
    </row>
    <row r="8465" spans="1:5" ht="14.25">
      <c r="A8465" s="37"/>
      <c r="B8465" s="37"/>
      <c r="C8465" s="37"/>
      <c r="D8465" s="37"/>
      <c r="E8465" s="212"/>
    </row>
    <row r="8466" spans="1:5" ht="14.25">
      <c r="A8466" s="37"/>
      <c r="B8466" s="37"/>
      <c r="C8466" s="37"/>
      <c r="D8466" s="37"/>
      <c r="E8466" s="212"/>
    </row>
    <row r="8467" spans="1:5" ht="14.25">
      <c r="A8467" s="37"/>
      <c r="B8467" s="37"/>
      <c r="C8467" s="37"/>
      <c r="D8467" s="37"/>
      <c r="E8467" s="212"/>
    </row>
    <row r="8468" spans="1:5" ht="14.25">
      <c r="A8468" s="37"/>
      <c r="B8468" s="37"/>
      <c r="C8468" s="37"/>
      <c r="D8468" s="37"/>
      <c r="E8468" s="212"/>
    </row>
    <row r="8469" spans="1:5" ht="14.25">
      <c r="A8469" s="37"/>
      <c r="B8469" s="37"/>
      <c r="C8469" s="37"/>
      <c r="D8469" s="37"/>
      <c r="E8469" s="212"/>
    </row>
    <row r="8470" spans="1:5" ht="14.25">
      <c r="A8470" s="37"/>
      <c r="B8470" s="37"/>
      <c r="C8470" s="37"/>
      <c r="D8470" s="37"/>
      <c r="E8470" s="212"/>
    </row>
    <row r="8471" spans="1:5" ht="14.25">
      <c r="A8471" s="37"/>
      <c r="B8471" s="37"/>
      <c r="C8471" s="37"/>
      <c r="D8471" s="37"/>
      <c r="E8471" s="212"/>
    </row>
    <row r="8472" spans="1:5" ht="14.25">
      <c r="A8472" s="37"/>
      <c r="B8472" s="37"/>
      <c r="C8472" s="37"/>
      <c r="D8472" s="37"/>
      <c r="E8472" s="212"/>
    </row>
    <row r="8473" spans="1:5" ht="14.25">
      <c r="A8473" s="37"/>
      <c r="B8473" s="37"/>
      <c r="C8473" s="37"/>
      <c r="D8473" s="37"/>
      <c r="E8473" s="212"/>
    </row>
    <row r="8474" spans="1:5" ht="14.25">
      <c r="A8474" s="37"/>
      <c r="B8474" s="37"/>
      <c r="C8474" s="37"/>
      <c r="D8474" s="37"/>
      <c r="E8474" s="212"/>
    </row>
    <row r="8475" spans="1:5" ht="14.25">
      <c r="A8475" s="37"/>
      <c r="B8475" s="37"/>
      <c r="C8475" s="37"/>
      <c r="D8475" s="37"/>
      <c r="E8475" s="212"/>
    </row>
    <row r="8476" spans="1:5" ht="14.25">
      <c r="A8476" s="37"/>
      <c r="B8476" s="37"/>
      <c r="C8476" s="37"/>
      <c r="D8476" s="37"/>
      <c r="E8476" s="212"/>
    </row>
    <row r="8477" spans="1:5" ht="14.25">
      <c r="A8477" s="37"/>
      <c r="B8477" s="37"/>
      <c r="C8477" s="37"/>
      <c r="D8477" s="37"/>
      <c r="E8477" s="212"/>
    </row>
    <row r="8478" spans="1:5" ht="14.25">
      <c r="A8478" s="37"/>
      <c r="B8478" s="37"/>
      <c r="C8478" s="37"/>
      <c r="D8478" s="37"/>
      <c r="E8478" s="212"/>
    </row>
    <row r="8479" spans="1:5" ht="14.25">
      <c r="A8479" s="37"/>
      <c r="B8479" s="37"/>
      <c r="C8479" s="37"/>
      <c r="D8479" s="37"/>
      <c r="E8479" s="212"/>
    </row>
    <row r="8480" spans="1:5" ht="14.25">
      <c r="A8480" s="37"/>
      <c r="B8480" s="37"/>
      <c r="C8480" s="37"/>
      <c r="D8480" s="37"/>
      <c r="E8480" s="212"/>
    </row>
    <row r="8481" spans="1:5" ht="14.25">
      <c r="A8481" s="37"/>
      <c r="B8481" s="37"/>
      <c r="C8481" s="37"/>
      <c r="D8481" s="37"/>
      <c r="E8481" s="212"/>
    </row>
    <row r="8482" spans="1:5" ht="14.25">
      <c r="A8482" s="37"/>
      <c r="B8482" s="37"/>
      <c r="C8482" s="37"/>
      <c r="D8482" s="37"/>
      <c r="E8482" s="212"/>
    </row>
    <row r="8483" spans="1:5" ht="14.25">
      <c r="A8483" s="37"/>
      <c r="B8483" s="37"/>
      <c r="C8483" s="37"/>
      <c r="D8483" s="37"/>
      <c r="E8483" s="212"/>
    </row>
    <row r="8484" spans="1:5" ht="14.25">
      <c r="A8484" s="37"/>
      <c r="B8484" s="37"/>
      <c r="C8484" s="37"/>
      <c r="D8484" s="37"/>
      <c r="E8484" s="212"/>
    </row>
    <row r="8485" spans="1:5" ht="14.25">
      <c r="A8485" s="37"/>
      <c r="B8485" s="37"/>
      <c r="C8485" s="37"/>
      <c r="D8485" s="37"/>
      <c r="E8485" s="212"/>
    </row>
    <row r="8486" spans="1:5" ht="14.25">
      <c r="A8486" s="37"/>
      <c r="B8486" s="37"/>
      <c r="C8486" s="37"/>
      <c r="D8486" s="37"/>
      <c r="E8486" s="212"/>
    </row>
    <row r="8487" spans="1:5" ht="14.25">
      <c r="A8487" s="37"/>
      <c r="B8487" s="37"/>
      <c r="C8487" s="37"/>
      <c r="D8487" s="37"/>
      <c r="E8487" s="212"/>
    </row>
    <row r="8488" spans="1:5" ht="14.25">
      <c r="A8488" s="37"/>
      <c r="B8488" s="37"/>
      <c r="C8488" s="37"/>
      <c r="D8488" s="37"/>
      <c r="E8488" s="212"/>
    </row>
    <row r="8489" spans="1:5" ht="14.25">
      <c r="A8489" s="37"/>
      <c r="B8489" s="37"/>
      <c r="C8489" s="37"/>
      <c r="D8489" s="37"/>
      <c r="E8489" s="212"/>
    </row>
    <row r="8490" spans="1:5" ht="14.25">
      <c r="A8490" s="37"/>
      <c r="B8490" s="37"/>
      <c r="C8490" s="37"/>
      <c r="D8490" s="37"/>
      <c r="E8490" s="212"/>
    </row>
    <row r="8491" spans="1:5" ht="14.25">
      <c r="A8491" s="37"/>
      <c r="B8491" s="37"/>
      <c r="C8491" s="37"/>
      <c r="D8491" s="37"/>
      <c r="E8491" s="212"/>
    </row>
    <row r="8492" spans="1:5" ht="14.25">
      <c r="A8492" s="37"/>
      <c r="B8492" s="37"/>
      <c r="C8492" s="37"/>
      <c r="D8492" s="37"/>
      <c r="E8492" s="212"/>
    </row>
    <row r="8493" spans="1:5" ht="14.25">
      <c r="A8493" s="37"/>
      <c r="B8493" s="37"/>
      <c r="C8493" s="37"/>
      <c r="D8493" s="37"/>
      <c r="E8493" s="212"/>
    </row>
    <row r="8494" spans="1:5" ht="14.25">
      <c r="A8494" s="37"/>
      <c r="B8494" s="37"/>
      <c r="C8494" s="37"/>
      <c r="D8494" s="37"/>
      <c r="E8494" s="212"/>
    </row>
    <row r="8495" spans="1:5" ht="14.25">
      <c r="A8495" s="37"/>
      <c r="B8495" s="37"/>
      <c r="C8495" s="37"/>
      <c r="D8495" s="37"/>
      <c r="E8495" s="212"/>
    </row>
    <row r="8496" spans="1:5" ht="14.25">
      <c r="A8496" s="37"/>
      <c r="B8496" s="37"/>
      <c r="C8496" s="37"/>
      <c r="D8496" s="37"/>
      <c r="E8496" s="212"/>
    </row>
    <row r="8497" spans="1:5" ht="14.25">
      <c r="A8497" s="37"/>
      <c r="B8497" s="37"/>
      <c r="C8497" s="37"/>
      <c r="D8497" s="37"/>
      <c r="E8497" s="212"/>
    </row>
    <row r="8498" spans="1:5" ht="14.25">
      <c r="A8498" s="37"/>
      <c r="B8498" s="37"/>
      <c r="C8498" s="37"/>
      <c r="D8498" s="37"/>
      <c r="E8498" s="213"/>
    </row>
    <row r="8499" spans="1:5" ht="14.25">
      <c r="A8499" s="37"/>
      <c r="B8499" s="37"/>
      <c r="C8499" s="37"/>
      <c r="D8499" s="37"/>
      <c r="E8499" s="213"/>
    </row>
    <row r="8500" spans="1:5" ht="14.25">
      <c r="A8500" s="37"/>
      <c r="B8500" s="37"/>
      <c r="C8500" s="37"/>
      <c r="D8500" s="37"/>
      <c r="E8500" s="212"/>
    </row>
    <row r="8501" spans="1:5" ht="14.25">
      <c r="A8501" s="37"/>
      <c r="B8501" s="37"/>
      <c r="C8501" s="37"/>
      <c r="D8501" s="37"/>
      <c r="E8501" s="212"/>
    </row>
    <row r="8502" spans="1:5" ht="14.25">
      <c r="A8502" s="37"/>
      <c r="B8502" s="37"/>
      <c r="C8502" s="37"/>
      <c r="D8502" s="37"/>
      <c r="E8502" s="213"/>
    </row>
    <row r="8503" spans="1:5" ht="14.25">
      <c r="A8503" s="37"/>
      <c r="B8503" s="37"/>
      <c r="C8503" s="37"/>
      <c r="D8503" s="37"/>
      <c r="E8503" s="212"/>
    </row>
    <row r="8504" spans="1:5" ht="14.25">
      <c r="A8504" s="37"/>
      <c r="B8504" s="37"/>
      <c r="C8504" s="37"/>
      <c r="D8504" s="37"/>
      <c r="E8504" s="213"/>
    </row>
    <row r="8505" spans="1:5" ht="14.25">
      <c r="A8505" s="37"/>
      <c r="B8505" s="37"/>
      <c r="C8505" s="37"/>
      <c r="D8505" s="37"/>
      <c r="E8505" s="212"/>
    </row>
    <row r="8506" spans="1:5" ht="14.25">
      <c r="A8506" s="37"/>
      <c r="B8506" s="37"/>
      <c r="C8506" s="37"/>
      <c r="D8506" s="37"/>
      <c r="E8506" s="213"/>
    </row>
    <row r="8507" spans="1:5" ht="14.25">
      <c r="A8507" s="37"/>
      <c r="B8507" s="37"/>
      <c r="C8507" s="37"/>
      <c r="D8507" s="37"/>
      <c r="E8507" s="212"/>
    </row>
    <row r="8508" spans="1:5" ht="14.25">
      <c r="A8508" s="37"/>
      <c r="B8508" s="37"/>
      <c r="C8508" s="37"/>
      <c r="D8508" s="37"/>
      <c r="E8508" s="213"/>
    </row>
    <row r="8509" spans="1:5" ht="14.25">
      <c r="A8509" s="37"/>
      <c r="B8509" s="37"/>
      <c r="C8509" s="37"/>
      <c r="D8509" s="37"/>
      <c r="E8509" s="212"/>
    </row>
    <row r="8510" spans="1:5" ht="14.25">
      <c r="A8510" s="37"/>
      <c r="B8510" s="37"/>
      <c r="C8510" s="37"/>
      <c r="D8510" s="37"/>
      <c r="E8510" s="212"/>
    </row>
    <row r="8511" spans="1:5" ht="14.25">
      <c r="A8511" s="37"/>
      <c r="B8511" s="37"/>
      <c r="C8511" s="37"/>
      <c r="D8511" s="37"/>
      <c r="E8511" s="212"/>
    </row>
    <row r="8512" spans="1:5" ht="14.25">
      <c r="A8512" s="37"/>
      <c r="B8512" s="37"/>
      <c r="C8512" s="37"/>
      <c r="D8512" s="37"/>
      <c r="E8512" s="212"/>
    </row>
    <row r="8513" spans="1:5" ht="14.25">
      <c r="A8513" s="37"/>
      <c r="B8513" s="37"/>
      <c r="C8513" s="37"/>
      <c r="D8513" s="37"/>
      <c r="E8513" s="212"/>
    </row>
    <row r="8514" spans="1:5" ht="14.25">
      <c r="A8514" s="37"/>
      <c r="B8514" s="37"/>
      <c r="C8514" s="37"/>
      <c r="D8514" s="37"/>
      <c r="E8514" s="212"/>
    </row>
    <row r="8515" spans="1:5" ht="14.25">
      <c r="A8515" s="37"/>
      <c r="B8515" s="37"/>
      <c r="C8515" s="37"/>
      <c r="D8515" s="37"/>
      <c r="E8515" s="212"/>
    </row>
    <row r="8516" spans="1:5" ht="14.25">
      <c r="A8516" s="37"/>
      <c r="B8516" s="37"/>
      <c r="C8516" s="37"/>
      <c r="D8516" s="37"/>
      <c r="E8516" s="212"/>
    </row>
    <row r="8517" spans="1:5" ht="14.25">
      <c r="A8517" s="37"/>
      <c r="B8517" s="37"/>
      <c r="C8517" s="37"/>
      <c r="D8517" s="37"/>
      <c r="E8517" s="212"/>
    </row>
    <row r="8518" spans="1:5" ht="14.25">
      <c r="A8518" s="37"/>
      <c r="B8518" s="37"/>
      <c r="C8518" s="37"/>
      <c r="D8518" s="37"/>
      <c r="E8518" s="212"/>
    </row>
    <row r="8519" spans="1:5" ht="14.25">
      <c r="A8519" s="37"/>
      <c r="B8519" s="37"/>
      <c r="C8519" s="37"/>
      <c r="D8519" s="37"/>
      <c r="E8519" s="212"/>
    </row>
    <row r="8520" spans="1:5" ht="14.25">
      <c r="A8520" s="37"/>
      <c r="B8520" s="37"/>
      <c r="C8520" s="37"/>
      <c r="D8520" s="37"/>
      <c r="E8520" s="212"/>
    </row>
    <row r="8521" spans="1:5" ht="14.25">
      <c r="A8521" s="37"/>
      <c r="B8521" s="37"/>
      <c r="C8521" s="37"/>
      <c r="D8521" s="37"/>
      <c r="E8521" s="212"/>
    </row>
    <row r="8522" spans="1:5" ht="14.25">
      <c r="A8522" s="37"/>
      <c r="B8522" s="37"/>
      <c r="C8522" s="37"/>
      <c r="D8522" s="37"/>
      <c r="E8522" s="212"/>
    </row>
    <row r="8523" spans="1:5" ht="14.25">
      <c r="A8523" s="37"/>
      <c r="B8523" s="37"/>
      <c r="C8523" s="37"/>
      <c r="D8523" s="37"/>
      <c r="E8523" s="212"/>
    </row>
    <row r="8524" spans="1:5" ht="14.25">
      <c r="A8524" s="37"/>
      <c r="B8524" s="37"/>
      <c r="C8524" s="37"/>
      <c r="D8524" s="37"/>
      <c r="E8524" s="212"/>
    </row>
    <row r="8525" spans="1:5" ht="14.25">
      <c r="A8525" s="37"/>
      <c r="B8525" s="37"/>
      <c r="C8525" s="37"/>
      <c r="D8525" s="37"/>
      <c r="E8525" s="212"/>
    </row>
    <row r="8526" spans="1:5" ht="14.25">
      <c r="A8526" s="37"/>
      <c r="B8526" s="37"/>
      <c r="C8526" s="37"/>
      <c r="D8526" s="37"/>
      <c r="E8526" s="212"/>
    </row>
    <row r="8527" spans="1:5" ht="14.25">
      <c r="A8527" s="37"/>
      <c r="B8527" s="37"/>
      <c r="C8527" s="37"/>
      <c r="D8527" s="37"/>
      <c r="E8527" s="212"/>
    </row>
    <row r="8528" spans="1:5" ht="14.25">
      <c r="A8528" s="37"/>
      <c r="B8528" s="37"/>
      <c r="C8528" s="37"/>
      <c r="D8528" s="37"/>
      <c r="E8528" s="212"/>
    </row>
    <row r="8529" spans="1:5" ht="14.25">
      <c r="A8529" s="37"/>
      <c r="B8529" s="37"/>
      <c r="C8529" s="37"/>
      <c r="D8529" s="37"/>
      <c r="E8529" s="212"/>
    </row>
    <row r="8530" spans="1:5" ht="14.25">
      <c r="A8530" s="37"/>
      <c r="B8530" s="37"/>
      <c r="C8530" s="37"/>
      <c r="D8530" s="37"/>
      <c r="E8530" s="212"/>
    </row>
    <row r="8531" spans="1:5" ht="14.25">
      <c r="A8531" s="37"/>
      <c r="B8531" s="37"/>
      <c r="C8531" s="37"/>
      <c r="D8531" s="37"/>
      <c r="E8531" s="212"/>
    </row>
    <row r="8532" spans="1:5" ht="14.25">
      <c r="A8532" s="37"/>
      <c r="B8532" s="37"/>
      <c r="C8532" s="37"/>
      <c r="D8532" s="37"/>
      <c r="E8532" s="212"/>
    </row>
    <row r="8533" spans="1:5" ht="14.25">
      <c r="A8533" s="37"/>
      <c r="B8533" s="37"/>
      <c r="C8533" s="37"/>
      <c r="D8533" s="37"/>
      <c r="E8533" s="212"/>
    </row>
    <row r="8534" spans="1:5" ht="14.25">
      <c r="A8534" s="37"/>
      <c r="B8534" s="37"/>
      <c r="C8534" s="37"/>
      <c r="D8534" s="37"/>
      <c r="E8534" s="212"/>
    </row>
    <row r="8535" spans="1:5" ht="14.25">
      <c r="A8535" s="37"/>
      <c r="B8535" s="37"/>
      <c r="C8535" s="37"/>
      <c r="D8535" s="37"/>
      <c r="E8535" s="212"/>
    </row>
    <row r="8536" spans="1:5" ht="14.25">
      <c r="A8536" s="37"/>
      <c r="B8536" s="37"/>
      <c r="C8536" s="37"/>
      <c r="D8536" s="37"/>
      <c r="E8536" s="212"/>
    </row>
    <row r="8537" spans="1:5" ht="14.25">
      <c r="A8537" s="37"/>
      <c r="B8537" s="37"/>
      <c r="C8537" s="37"/>
      <c r="D8537" s="37"/>
      <c r="E8537" s="212"/>
    </row>
    <row r="8538" spans="1:5" ht="14.25">
      <c r="A8538" s="37"/>
      <c r="B8538" s="37"/>
      <c r="C8538" s="37"/>
      <c r="D8538" s="37"/>
      <c r="E8538" s="212"/>
    </row>
    <row r="8539" spans="1:5" ht="14.25">
      <c r="A8539" s="37"/>
      <c r="B8539" s="37"/>
      <c r="C8539" s="37"/>
      <c r="D8539" s="37"/>
      <c r="E8539" s="212"/>
    </row>
    <row r="8540" spans="1:5" ht="14.25">
      <c r="A8540" s="37"/>
      <c r="B8540" s="37"/>
      <c r="C8540" s="37"/>
      <c r="D8540" s="37"/>
      <c r="E8540" s="212"/>
    </row>
    <row r="8541" spans="1:5" ht="14.25">
      <c r="A8541" s="37"/>
      <c r="B8541" s="37"/>
      <c r="C8541" s="37"/>
      <c r="D8541" s="37"/>
      <c r="E8541" s="212"/>
    </row>
    <row r="8542" spans="1:5" ht="14.25">
      <c r="A8542" s="37"/>
      <c r="B8542" s="37"/>
      <c r="C8542" s="37"/>
      <c r="D8542" s="37"/>
      <c r="E8542" s="212"/>
    </row>
    <row r="8543" spans="1:5" ht="14.25">
      <c r="A8543" s="37"/>
      <c r="B8543" s="37"/>
      <c r="C8543" s="37"/>
      <c r="D8543" s="37"/>
      <c r="E8543" s="212"/>
    </row>
    <row r="8544" spans="1:5" ht="14.25">
      <c r="A8544" s="37"/>
      <c r="B8544" s="37"/>
      <c r="C8544" s="37"/>
      <c r="D8544" s="37"/>
      <c r="E8544" s="212"/>
    </row>
    <row r="8545" spans="1:5" ht="14.25">
      <c r="A8545" s="37"/>
      <c r="B8545" s="37"/>
      <c r="C8545" s="37"/>
      <c r="D8545" s="37"/>
      <c r="E8545" s="212"/>
    </row>
    <row r="8546" spans="1:5" ht="14.25">
      <c r="A8546" s="37"/>
      <c r="B8546" s="37"/>
      <c r="C8546" s="37"/>
      <c r="D8546" s="37"/>
      <c r="E8546" s="212"/>
    </row>
    <row r="8547" spans="1:5" ht="14.25">
      <c r="A8547" s="37"/>
      <c r="B8547" s="37"/>
      <c r="C8547" s="37"/>
      <c r="D8547" s="37"/>
      <c r="E8547" s="212"/>
    </row>
    <row r="8548" spans="1:5" ht="14.25">
      <c r="A8548" s="37"/>
      <c r="B8548" s="37"/>
      <c r="C8548" s="37"/>
      <c r="D8548" s="37"/>
      <c r="E8548" s="212"/>
    </row>
    <row r="8549" spans="1:5" ht="14.25">
      <c r="A8549" s="37"/>
      <c r="B8549" s="37"/>
      <c r="C8549" s="37"/>
      <c r="D8549" s="37"/>
      <c r="E8549" s="212"/>
    </row>
    <row r="8550" spans="1:5" ht="14.25">
      <c r="A8550" s="37"/>
      <c r="B8550" s="37"/>
      <c r="C8550" s="37"/>
      <c r="D8550" s="37"/>
      <c r="E8550" s="212"/>
    </row>
    <row r="8551" spans="1:5" ht="14.25">
      <c r="A8551" s="37"/>
      <c r="B8551" s="37"/>
      <c r="C8551" s="37"/>
      <c r="D8551" s="37"/>
      <c r="E8551" s="212"/>
    </row>
    <row r="8552" spans="1:5" ht="14.25">
      <c r="A8552" s="37"/>
      <c r="B8552" s="37"/>
      <c r="C8552" s="37"/>
      <c r="D8552" s="37"/>
      <c r="E8552" s="212"/>
    </row>
    <row r="8553" spans="1:5" ht="14.25">
      <c r="A8553" s="37"/>
      <c r="B8553" s="37"/>
      <c r="C8553" s="37"/>
      <c r="D8553" s="37"/>
      <c r="E8553" s="212"/>
    </row>
    <row r="8554" spans="1:5" ht="14.25">
      <c r="A8554" s="37"/>
      <c r="B8554" s="37"/>
      <c r="C8554" s="37"/>
      <c r="D8554" s="37"/>
      <c r="E8554" s="212"/>
    </row>
    <row r="8555" spans="1:5" ht="14.25">
      <c r="A8555" s="37"/>
      <c r="B8555" s="37"/>
      <c r="C8555" s="37"/>
      <c r="D8555" s="37"/>
      <c r="E8555" s="212"/>
    </row>
    <row r="8556" spans="1:5" ht="14.25">
      <c r="A8556" s="37"/>
      <c r="B8556" s="37"/>
      <c r="C8556" s="37"/>
      <c r="D8556" s="37"/>
      <c r="E8556" s="212"/>
    </row>
    <row r="8557" spans="1:5" ht="14.25">
      <c r="A8557" s="37"/>
      <c r="B8557" s="37"/>
      <c r="C8557" s="37"/>
      <c r="D8557" s="37"/>
      <c r="E8557" s="212"/>
    </row>
    <row r="8558" spans="1:5" ht="14.25">
      <c r="A8558" s="37"/>
      <c r="B8558" s="37"/>
      <c r="C8558" s="37"/>
      <c r="D8558" s="37"/>
      <c r="E8558" s="212"/>
    </row>
    <row r="8559" spans="1:5" ht="14.25">
      <c r="A8559" s="37"/>
      <c r="B8559" s="37"/>
      <c r="C8559" s="37"/>
      <c r="D8559" s="37"/>
      <c r="E8559" s="212"/>
    </row>
    <row r="8560" spans="1:5" ht="14.25">
      <c r="A8560" s="37"/>
      <c r="B8560" s="37"/>
      <c r="C8560" s="37"/>
      <c r="D8560" s="37"/>
      <c r="E8560" s="212"/>
    </row>
    <row r="8561" spans="1:5" ht="14.25">
      <c r="A8561" s="37"/>
      <c r="B8561" s="37"/>
      <c r="C8561" s="37"/>
      <c r="D8561" s="37"/>
      <c r="E8561" s="212"/>
    </row>
    <row r="8562" spans="1:5" ht="14.25">
      <c r="A8562" s="37"/>
      <c r="B8562" s="37"/>
      <c r="C8562" s="37"/>
      <c r="D8562" s="37"/>
      <c r="E8562" s="212"/>
    </row>
    <row r="8563" spans="1:5" ht="14.25">
      <c r="A8563" s="37"/>
      <c r="B8563" s="37"/>
      <c r="C8563" s="37"/>
      <c r="D8563" s="37"/>
      <c r="E8563" s="212"/>
    </row>
    <row r="8564" spans="1:5" ht="14.25">
      <c r="A8564" s="37"/>
      <c r="B8564" s="37"/>
      <c r="C8564" s="37"/>
      <c r="D8564" s="37"/>
      <c r="E8564" s="212"/>
    </row>
    <row r="8565" spans="1:5" ht="14.25">
      <c r="A8565" s="37"/>
      <c r="B8565" s="37"/>
      <c r="C8565" s="37"/>
      <c r="D8565" s="37"/>
      <c r="E8565" s="212"/>
    </row>
    <row r="8566" spans="1:5" ht="14.25">
      <c r="A8566" s="37"/>
      <c r="B8566" s="37"/>
      <c r="C8566" s="37"/>
      <c r="D8566" s="37"/>
      <c r="E8566" s="212"/>
    </row>
    <row r="8567" spans="1:5" ht="14.25">
      <c r="A8567" s="37"/>
      <c r="B8567" s="37"/>
      <c r="C8567" s="37"/>
      <c r="D8567" s="37"/>
      <c r="E8567" s="212"/>
    </row>
    <row r="8568" spans="1:5" ht="14.25">
      <c r="A8568" s="37"/>
      <c r="B8568" s="37"/>
      <c r="C8568" s="37"/>
      <c r="D8568" s="37"/>
      <c r="E8568" s="212"/>
    </row>
    <row r="8569" spans="1:5" ht="14.25">
      <c r="A8569" s="37"/>
      <c r="B8569" s="37"/>
      <c r="C8569" s="37"/>
      <c r="D8569" s="37"/>
      <c r="E8569" s="212"/>
    </row>
    <row r="8570" spans="1:5" ht="14.25">
      <c r="A8570" s="37"/>
      <c r="B8570" s="37"/>
      <c r="C8570" s="37"/>
      <c r="D8570" s="37"/>
      <c r="E8570" s="212"/>
    </row>
    <row r="8571" spans="1:5" ht="14.25">
      <c r="A8571" s="37"/>
      <c r="B8571" s="37"/>
      <c r="C8571" s="37"/>
      <c r="D8571" s="37"/>
      <c r="E8571" s="212"/>
    </row>
    <row r="8572" spans="1:5" ht="14.25">
      <c r="A8572" s="37"/>
      <c r="B8572" s="37"/>
      <c r="C8572" s="37"/>
      <c r="D8572" s="37"/>
      <c r="E8572" s="212"/>
    </row>
    <row r="8573" spans="1:5" ht="14.25">
      <c r="A8573" s="37"/>
      <c r="B8573" s="37"/>
      <c r="C8573" s="37"/>
      <c r="D8573" s="37"/>
      <c r="E8573" s="212"/>
    </row>
    <row r="8574" spans="1:5" ht="14.25">
      <c r="A8574" s="37"/>
      <c r="B8574" s="37"/>
      <c r="C8574" s="37"/>
      <c r="D8574" s="37"/>
      <c r="E8574" s="212"/>
    </row>
    <row r="8575" spans="1:5" ht="14.25">
      <c r="A8575" s="37"/>
      <c r="B8575" s="37"/>
      <c r="C8575" s="37"/>
      <c r="D8575" s="37"/>
      <c r="E8575" s="212"/>
    </row>
    <row r="8576" spans="1:5" ht="14.25">
      <c r="A8576" s="37"/>
      <c r="B8576" s="37"/>
      <c r="C8576" s="37"/>
      <c r="D8576" s="37"/>
      <c r="E8576" s="212"/>
    </row>
    <row r="8577" spans="1:5" ht="14.25">
      <c r="A8577" s="37"/>
      <c r="B8577" s="37"/>
      <c r="C8577" s="37"/>
      <c r="D8577" s="37"/>
      <c r="E8577" s="212"/>
    </row>
    <row r="8578" spans="1:5" ht="14.25">
      <c r="A8578" s="37"/>
      <c r="B8578" s="37"/>
      <c r="C8578" s="37"/>
      <c r="D8578" s="37"/>
      <c r="E8578" s="212"/>
    </row>
    <row r="8579" spans="1:5" ht="14.25">
      <c r="A8579" s="37"/>
      <c r="B8579" s="37"/>
      <c r="C8579" s="37"/>
      <c r="D8579" s="37"/>
      <c r="E8579" s="212"/>
    </row>
    <row r="8580" spans="1:5" ht="14.25">
      <c r="A8580" s="37"/>
      <c r="B8580" s="37"/>
      <c r="C8580" s="37"/>
      <c r="D8580" s="37"/>
      <c r="E8580" s="212"/>
    </row>
    <row r="8581" spans="1:5" ht="14.25">
      <c r="A8581" s="37"/>
      <c r="B8581" s="37"/>
      <c r="C8581" s="37"/>
      <c r="D8581" s="37"/>
      <c r="E8581" s="212"/>
    </row>
    <row r="8582" spans="1:5" ht="14.25">
      <c r="A8582" s="37"/>
      <c r="B8582" s="37"/>
      <c r="C8582" s="37"/>
      <c r="D8582" s="37"/>
      <c r="E8582" s="212"/>
    </row>
    <row r="8583" spans="1:5" ht="14.25">
      <c r="A8583" s="37"/>
      <c r="B8583" s="37"/>
      <c r="C8583" s="37"/>
      <c r="D8583" s="37"/>
      <c r="E8583" s="212"/>
    </row>
    <row r="8584" spans="1:5" ht="14.25">
      <c r="A8584" s="37"/>
      <c r="B8584" s="37"/>
      <c r="C8584" s="37"/>
      <c r="D8584" s="37"/>
      <c r="E8584" s="212"/>
    </row>
    <row r="8585" spans="1:5" ht="14.25">
      <c r="A8585" s="37"/>
      <c r="B8585" s="37"/>
      <c r="C8585" s="37"/>
      <c r="D8585" s="37"/>
      <c r="E8585" s="212"/>
    </row>
    <row r="8586" spans="1:5" ht="14.25">
      <c r="A8586" s="37"/>
      <c r="B8586" s="37"/>
      <c r="C8586" s="37"/>
      <c r="D8586" s="37"/>
      <c r="E8586" s="212"/>
    </row>
    <row r="8587" spans="1:5" ht="14.25">
      <c r="A8587" s="37"/>
      <c r="B8587" s="37"/>
      <c r="C8587" s="37"/>
      <c r="D8587" s="37"/>
      <c r="E8587" s="212"/>
    </row>
    <row r="8588" spans="1:5" ht="14.25">
      <c r="A8588" s="37"/>
      <c r="B8588" s="37"/>
      <c r="C8588" s="37"/>
      <c r="D8588" s="37"/>
      <c r="E8588" s="212"/>
    </row>
    <row r="8589" spans="1:5" ht="14.25">
      <c r="A8589" s="37"/>
      <c r="B8589" s="37"/>
      <c r="C8589" s="37"/>
      <c r="D8589" s="37"/>
      <c r="E8589" s="212"/>
    </row>
    <row r="8590" spans="1:5" ht="14.25">
      <c r="A8590" s="37"/>
      <c r="B8590" s="37"/>
      <c r="C8590" s="37"/>
      <c r="D8590" s="37"/>
      <c r="E8590" s="212"/>
    </row>
    <row r="8591" spans="1:5" ht="14.25">
      <c r="A8591" s="37"/>
      <c r="B8591" s="37"/>
      <c r="C8591" s="37"/>
      <c r="D8591" s="37"/>
      <c r="E8591" s="212"/>
    </row>
    <row r="8592" spans="1:5" ht="14.25">
      <c r="A8592" s="37"/>
      <c r="B8592" s="37"/>
      <c r="C8592" s="37"/>
      <c r="D8592" s="37"/>
      <c r="E8592" s="212"/>
    </row>
    <row r="8593" spans="1:5" ht="14.25">
      <c r="A8593" s="37"/>
      <c r="B8593" s="37"/>
      <c r="C8593" s="37"/>
      <c r="D8593" s="37"/>
      <c r="E8593" s="212"/>
    </row>
    <row r="8594" spans="1:5" ht="14.25">
      <c r="A8594" s="37"/>
      <c r="B8594" s="37"/>
      <c r="C8594" s="37"/>
      <c r="D8594" s="37"/>
      <c r="E8594" s="212"/>
    </row>
    <row r="8595" spans="1:5" ht="14.25">
      <c r="A8595" s="37"/>
      <c r="B8595" s="37"/>
      <c r="C8595" s="37"/>
      <c r="D8595" s="37"/>
      <c r="E8595" s="213"/>
    </row>
    <row r="8596" spans="1:5" ht="14.25">
      <c r="A8596" s="37"/>
      <c r="B8596" s="37"/>
      <c r="C8596" s="37"/>
      <c r="D8596" s="37"/>
      <c r="E8596" s="212"/>
    </row>
    <row r="8597" spans="1:5" ht="14.25">
      <c r="A8597" s="37"/>
      <c r="B8597" s="37"/>
      <c r="C8597" s="37"/>
      <c r="D8597" s="37"/>
      <c r="E8597" s="212"/>
    </row>
    <row r="8598" spans="1:5" ht="14.25">
      <c r="A8598" s="37"/>
      <c r="B8598" s="37"/>
      <c r="C8598" s="37"/>
      <c r="D8598" s="37"/>
      <c r="E8598" s="212"/>
    </row>
    <row r="8599" spans="1:5" ht="14.25">
      <c r="A8599" s="37"/>
      <c r="B8599" s="37"/>
      <c r="C8599" s="37"/>
      <c r="D8599" s="37"/>
      <c r="E8599" s="212"/>
    </row>
    <row r="8600" spans="1:5" ht="14.25">
      <c r="A8600" s="37"/>
      <c r="B8600" s="37"/>
      <c r="C8600" s="37"/>
      <c r="D8600" s="37"/>
      <c r="E8600" s="212"/>
    </row>
    <row r="8601" spans="1:5" ht="14.25">
      <c r="A8601" s="37"/>
      <c r="B8601" s="37"/>
      <c r="C8601" s="37"/>
      <c r="D8601" s="37"/>
      <c r="E8601" s="212"/>
    </row>
    <row r="8602" spans="1:5" ht="14.25">
      <c r="A8602" s="37"/>
      <c r="B8602" s="37"/>
      <c r="C8602" s="37"/>
      <c r="D8602" s="37"/>
      <c r="E8602" s="212"/>
    </row>
    <row r="8603" spans="1:5" ht="14.25">
      <c r="A8603" s="37"/>
      <c r="B8603" s="37"/>
      <c r="C8603" s="37"/>
      <c r="D8603" s="37"/>
      <c r="E8603" s="212"/>
    </row>
    <row r="8604" spans="1:5" ht="14.25">
      <c r="A8604" s="37"/>
      <c r="B8604" s="37"/>
      <c r="C8604" s="37"/>
      <c r="D8604" s="37"/>
      <c r="E8604" s="212"/>
    </row>
    <row r="8605" spans="1:5" ht="14.25">
      <c r="A8605" s="37"/>
      <c r="B8605" s="37"/>
      <c r="C8605" s="37"/>
      <c r="D8605" s="37"/>
      <c r="E8605" s="212"/>
    </row>
    <row r="8606" spans="1:5" ht="14.25">
      <c r="A8606" s="37"/>
      <c r="B8606" s="37"/>
      <c r="C8606" s="37"/>
      <c r="D8606" s="37"/>
      <c r="E8606" s="212"/>
    </row>
    <row r="8607" spans="1:5" ht="14.25">
      <c r="A8607" s="37"/>
      <c r="B8607" s="37"/>
      <c r="C8607" s="37"/>
      <c r="D8607" s="37"/>
      <c r="E8607" s="212"/>
    </row>
    <row r="8608" spans="1:5" ht="14.25">
      <c r="A8608" s="37"/>
      <c r="B8608" s="37"/>
      <c r="C8608" s="37"/>
      <c r="D8608" s="37"/>
      <c r="E8608" s="212"/>
    </row>
    <row r="8609" spans="1:5" ht="14.25">
      <c r="A8609" s="37"/>
      <c r="B8609" s="37"/>
      <c r="C8609" s="37"/>
      <c r="D8609" s="37"/>
      <c r="E8609" s="212"/>
    </row>
    <row r="8610" spans="1:5" ht="14.25">
      <c r="A8610" s="37"/>
      <c r="B8610" s="37"/>
      <c r="C8610" s="37"/>
      <c r="D8610" s="37"/>
      <c r="E8610" s="212"/>
    </row>
    <row r="8611" spans="1:5" ht="14.25">
      <c r="A8611" s="37"/>
      <c r="B8611" s="37"/>
      <c r="C8611" s="37"/>
      <c r="D8611" s="37"/>
      <c r="E8611" s="212"/>
    </row>
    <row r="8612" spans="1:5" ht="14.25">
      <c r="A8612" s="37"/>
      <c r="B8612" s="37"/>
      <c r="C8612" s="37"/>
      <c r="D8612" s="37"/>
      <c r="E8612" s="212"/>
    </row>
    <row r="8613" spans="1:5" ht="14.25">
      <c r="A8613" s="37"/>
      <c r="B8613" s="37"/>
      <c r="C8613" s="37"/>
      <c r="D8613" s="37"/>
      <c r="E8613" s="212"/>
    </row>
    <row r="8614" spans="1:5" ht="14.25">
      <c r="A8614" s="37"/>
      <c r="B8614" s="37"/>
      <c r="C8614" s="37"/>
      <c r="D8614" s="37"/>
      <c r="E8614" s="212"/>
    </row>
    <row r="8615" spans="1:5" ht="14.25">
      <c r="A8615" s="37"/>
      <c r="B8615" s="37"/>
      <c r="C8615" s="37"/>
      <c r="D8615" s="37"/>
      <c r="E8615" s="212"/>
    </row>
    <row r="8616" spans="1:5" ht="14.25">
      <c r="A8616" s="37"/>
      <c r="B8616" s="37"/>
      <c r="C8616" s="37"/>
      <c r="D8616" s="37"/>
      <c r="E8616" s="212"/>
    </row>
    <row r="8617" spans="1:5" ht="14.25">
      <c r="A8617" s="37"/>
      <c r="B8617" s="37"/>
      <c r="C8617" s="37"/>
      <c r="D8617" s="37"/>
      <c r="E8617" s="212"/>
    </row>
    <row r="8618" spans="1:5" ht="14.25">
      <c r="A8618" s="37"/>
      <c r="B8618" s="37"/>
      <c r="C8618" s="37"/>
      <c r="D8618" s="37"/>
      <c r="E8618" s="212"/>
    </row>
    <row r="8619" spans="1:5" ht="14.25">
      <c r="A8619" s="37"/>
      <c r="B8619" s="37"/>
      <c r="C8619" s="37"/>
      <c r="D8619" s="37"/>
      <c r="E8619" s="212"/>
    </row>
    <row r="8620" spans="1:5" ht="14.25">
      <c r="A8620" s="37"/>
      <c r="B8620" s="37"/>
      <c r="C8620" s="37"/>
      <c r="D8620" s="37"/>
      <c r="E8620" s="212"/>
    </row>
    <row r="8621" spans="1:5" ht="14.25">
      <c r="A8621" s="37"/>
      <c r="B8621" s="37"/>
      <c r="C8621" s="37"/>
      <c r="D8621" s="37"/>
      <c r="E8621" s="212"/>
    </row>
    <row r="8622" spans="1:5" ht="14.25">
      <c r="A8622" s="37"/>
      <c r="B8622" s="37"/>
      <c r="C8622" s="37"/>
      <c r="D8622" s="37"/>
      <c r="E8622" s="212"/>
    </row>
    <row r="8623" spans="1:5" ht="14.25">
      <c r="A8623" s="37"/>
      <c r="B8623" s="37"/>
      <c r="C8623" s="37"/>
      <c r="D8623" s="37"/>
      <c r="E8623" s="212"/>
    </row>
    <row r="8624" spans="1:5" ht="14.25">
      <c r="A8624" s="37"/>
      <c r="B8624" s="37"/>
      <c r="C8624" s="37"/>
      <c r="D8624" s="37"/>
      <c r="E8624" s="212"/>
    </row>
    <row r="8625" spans="1:5" ht="14.25">
      <c r="A8625" s="37"/>
      <c r="B8625" s="37"/>
      <c r="C8625" s="37"/>
      <c r="D8625" s="37"/>
      <c r="E8625" s="212"/>
    </row>
    <row r="8626" spans="1:5" ht="14.25">
      <c r="A8626" s="37"/>
      <c r="B8626" s="37"/>
      <c r="C8626" s="37"/>
      <c r="D8626" s="37"/>
      <c r="E8626" s="212"/>
    </row>
    <row r="8627" spans="1:5" ht="14.25">
      <c r="A8627" s="37"/>
      <c r="B8627" s="37"/>
      <c r="C8627" s="37"/>
      <c r="D8627" s="37"/>
      <c r="E8627" s="212"/>
    </row>
    <row r="8628" spans="1:5" ht="14.25">
      <c r="A8628" s="37"/>
      <c r="B8628" s="37"/>
      <c r="C8628" s="37"/>
      <c r="D8628" s="37"/>
      <c r="E8628" s="213"/>
    </row>
    <row r="8629" spans="1:5" ht="14.25">
      <c r="A8629" s="37"/>
      <c r="B8629" s="37"/>
      <c r="C8629" s="37"/>
      <c r="D8629" s="37"/>
      <c r="E8629" s="213"/>
    </row>
    <row r="8630" spans="1:5" ht="14.25">
      <c r="A8630" s="37"/>
      <c r="B8630" s="37"/>
      <c r="C8630" s="37"/>
      <c r="D8630" s="37"/>
      <c r="E8630" s="212"/>
    </row>
    <row r="8631" spans="1:5" ht="14.25">
      <c r="A8631" s="37"/>
      <c r="B8631" s="37"/>
      <c r="C8631" s="37"/>
      <c r="D8631" s="37"/>
      <c r="E8631" s="212"/>
    </row>
    <row r="8632" spans="1:5" ht="14.25">
      <c r="A8632" s="37"/>
      <c r="B8632" s="37"/>
      <c r="C8632" s="37"/>
      <c r="D8632" s="37"/>
      <c r="E8632" s="212"/>
    </row>
    <row r="8633" spans="1:5" ht="14.25">
      <c r="A8633" s="37"/>
      <c r="B8633" s="37"/>
      <c r="C8633" s="37"/>
      <c r="D8633" s="37"/>
      <c r="E8633" s="212"/>
    </row>
    <row r="8634" spans="1:5" ht="14.25">
      <c r="A8634" s="37"/>
      <c r="B8634" s="37"/>
      <c r="C8634" s="37"/>
      <c r="D8634" s="37"/>
      <c r="E8634" s="212"/>
    </row>
    <row r="8635" spans="1:5" ht="14.25">
      <c r="A8635" s="37"/>
      <c r="B8635" s="37"/>
      <c r="C8635" s="37"/>
      <c r="D8635" s="37"/>
      <c r="E8635" s="212"/>
    </row>
    <row r="8636" spans="1:5" ht="14.25">
      <c r="A8636" s="37"/>
      <c r="B8636" s="37"/>
      <c r="C8636" s="37"/>
      <c r="D8636" s="37"/>
      <c r="E8636" s="212"/>
    </row>
    <row r="8637" spans="1:5" ht="14.25">
      <c r="A8637" s="37"/>
      <c r="B8637" s="37"/>
      <c r="C8637" s="37"/>
      <c r="D8637" s="37"/>
      <c r="E8637" s="212"/>
    </row>
    <row r="8638" spans="1:5" ht="14.25">
      <c r="A8638" s="37"/>
      <c r="B8638" s="37"/>
      <c r="C8638" s="37"/>
      <c r="D8638" s="37"/>
      <c r="E8638" s="212"/>
    </row>
    <row r="8639" spans="1:5" ht="14.25">
      <c r="A8639" s="37"/>
      <c r="B8639" s="37"/>
      <c r="C8639" s="37"/>
      <c r="D8639" s="37"/>
      <c r="E8639" s="212"/>
    </row>
    <row r="8640" spans="1:5" ht="14.25">
      <c r="A8640" s="37"/>
      <c r="B8640" s="37"/>
      <c r="C8640" s="37"/>
      <c r="D8640" s="37"/>
      <c r="E8640" s="212"/>
    </row>
    <row r="8641" spans="1:5" ht="14.25">
      <c r="A8641" s="37"/>
      <c r="B8641" s="37"/>
      <c r="C8641" s="37"/>
      <c r="D8641" s="37"/>
      <c r="E8641" s="212"/>
    </row>
    <row r="8642" spans="1:5" ht="14.25">
      <c r="A8642" s="37"/>
      <c r="B8642" s="37"/>
      <c r="C8642" s="37"/>
      <c r="D8642" s="37"/>
      <c r="E8642" s="212"/>
    </row>
    <row r="8643" spans="1:5" ht="14.25">
      <c r="A8643" s="37"/>
      <c r="B8643" s="37"/>
      <c r="C8643" s="37"/>
      <c r="D8643" s="37"/>
      <c r="E8643" s="212"/>
    </row>
    <row r="8644" spans="1:5" ht="14.25">
      <c r="A8644" s="37"/>
      <c r="B8644" s="37"/>
      <c r="C8644" s="37"/>
      <c r="D8644" s="37"/>
      <c r="E8644" s="212"/>
    </row>
    <row r="8645" spans="1:5" ht="14.25">
      <c r="A8645" s="37"/>
      <c r="B8645" s="37"/>
      <c r="C8645" s="37"/>
      <c r="D8645" s="37"/>
      <c r="E8645" s="212"/>
    </row>
    <row r="8646" spans="1:5" ht="14.25">
      <c r="A8646" s="37"/>
      <c r="B8646" s="37"/>
      <c r="C8646" s="37"/>
      <c r="D8646" s="37"/>
      <c r="E8646" s="212"/>
    </row>
    <row r="8647" spans="1:5" ht="14.25">
      <c r="A8647" s="37"/>
      <c r="B8647" s="37"/>
      <c r="C8647" s="37"/>
      <c r="D8647" s="37"/>
      <c r="E8647" s="212"/>
    </row>
    <row r="8648" spans="1:5" ht="14.25">
      <c r="A8648" s="37"/>
      <c r="B8648" s="37"/>
      <c r="C8648" s="37"/>
      <c r="D8648" s="37"/>
      <c r="E8648" s="212"/>
    </row>
    <row r="8649" spans="1:5" ht="14.25">
      <c r="A8649" s="37"/>
      <c r="B8649" s="37"/>
      <c r="C8649" s="37"/>
      <c r="D8649" s="37"/>
      <c r="E8649" s="212"/>
    </row>
    <row r="8650" spans="1:5" ht="14.25">
      <c r="A8650" s="37"/>
      <c r="B8650" s="37"/>
      <c r="C8650" s="37"/>
      <c r="D8650" s="37"/>
      <c r="E8650" s="212"/>
    </row>
    <row r="8651" spans="1:5" ht="14.25">
      <c r="A8651" s="37"/>
      <c r="B8651" s="37"/>
      <c r="C8651" s="37"/>
      <c r="D8651" s="37"/>
      <c r="E8651" s="212"/>
    </row>
    <row r="8652" spans="1:5" ht="14.25">
      <c r="A8652" s="37"/>
      <c r="B8652" s="37"/>
      <c r="C8652" s="37"/>
      <c r="D8652" s="37"/>
      <c r="E8652" s="212"/>
    </row>
    <row r="8653" spans="1:5" ht="14.25">
      <c r="A8653" s="37"/>
      <c r="B8653" s="37"/>
      <c r="C8653" s="37"/>
      <c r="D8653" s="37"/>
      <c r="E8653" s="212"/>
    </row>
    <row r="8654" spans="1:5" ht="14.25">
      <c r="A8654" s="37"/>
      <c r="B8654" s="37"/>
      <c r="C8654" s="37"/>
      <c r="D8654" s="37"/>
      <c r="E8654" s="212"/>
    </row>
    <row r="8655" spans="1:5" ht="14.25">
      <c r="A8655" s="37"/>
      <c r="B8655" s="37"/>
      <c r="C8655" s="37"/>
      <c r="D8655" s="37"/>
      <c r="E8655" s="212"/>
    </row>
    <row r="8656" spans="1:5" ht="14.25">
      <c r="A8656" s="37"/>
      <c r="B8656" s="37"/>
      <c r="C8656" s="37"/>
      <c r="D8656" s="37"/>
      <c r="E8656" s="212"/>
    </row>
    <row r="8657" spans="1:5" ht="14.25">
      <c r="A8657" s="37"/>
      <c r="B8657" s="37"/>
      <c r="C8657" s="37"/>
      <c r="D8657" s="37"/>
      <c r="E8657" s="212"/>
    </row>
    <row r="8658" spans="1:5" ht="14.25">
      <c r="A8658" s="37"/>
      <c r="B8658" s="37"/>
      <c r="C8658" s="37"/>
      <c r="D8658" s="37"/>
      <c r="E8658" s="212"/>
    </row>
    <row r="8659" spans="1:5" ht="14.25">
      <c r="A8659" s="37"/>
      <c r="B8659" s="37"/>
      <c r="C8659" s="37"/>
      <c r="D8659" s="37"/>
      <c r="E8659" s="212"/>
    </row>
    <row r="8660" spans="1:5" ht="14.25">
      <c r="A8660" s="37"/>
      <c r="B8660" s="37"/>
      <c r="C8660" s="37"/>
      <c r="D8660" s="37"/>
      <c r="E8660" s="212"/>
    </row>
    <row r="8661" spans="1:5" ht="14.25">
      <c r="A8661" s="37"/>
      <c r="B8661" s="37"/>
      <c r="C8661" s="37"/>
      <c r="D8661" s="37"/>
      <c r="E8661" s="212"/>
    </row>
    <row r="8662" spans="1:5" ht="14.25">
      <c r="A8662" s="37"/>
      <c r="B8662" s="37"/>
      <c r="C8662" s="37"/>
      <c r="D8662" s="37"/>
      <c r="E8662" s="212"/>
    </row>
    <row r="8663" spans="1:5" ht="14.25">
      <c r="A8663" s="37"/>
      <c r="B8663" s="37"/>
      <c r="C8663" s="37"/>
      <c r="D8663" s="37"/>
      <c r="E8663" s="212"/>
    </row>
    <row r="8664" spans="1:5" ht="14.25">
      <c r="A8664" s="37"/>
      <c r="B8664" s="37"/>
      <c r="C8664" s="37"/>
      <c r="D8664" s="37"/>
      <c r="E8664" s="212"/>
    </row>
    <row r="8665" spans="1:5" ht="14.25">
      <c r="A8665" s="37"/>
      <c r="B8665" s="37"/>
      <c r="C8665" s="37"/>
      <c r="D8665" s="37"/>
      <c r="E8665" s="212"/>
    </row>
    <row r="8666" spans="1:5" ht="14.25">
      <c r="A8666" s="37"/>
      <c r="B8666" s="37"/>
      <c r="C8666" s="37"/>
      <c r="D8666" s="37"/>
      <c r="E8666" s="212"/>
    </row>
    <row r="8667" spans="1:5" ht="14.25">
      <c r="A8667" s="37"/>
      <c r="B8667" s="37"/>
      <c r="C8667" s="37"/>
      <c r="D8667" s="37"/>
      <c r="E8667" s="212"/>
    </row>
    <row r="8668" spans="1:5" ht="14.25">
      <c r="A8668" s="37"/>
      <c r="B8668" s="37"/>
      <c r="C8668" s="37"/>
      <c r="D8668" s="37"/>
      <c r="E8668" s="212"/>
    </row>
    <row r="8669" spans="1:5" ht="14.25">
      <c r="A8669" s="37"/>
      <c r="B8669" s="37"/>
      <c r="C8669" s="37"/>
      <c r="D8669" s="37"/>
      <c r="E8669" s="212"/>
    </row>
    <row r="8670" spans="1:5" ht="14.25">
      <c r="A8670" s="37"/>
      <c r="B8670" s="37"/>
      <c r="C8670" s="37"/>
      <c r="D8670" s="37"/>
      <c r="E8670" s="212"/>
    </row>
    <row r="8671" spans="1:5" ht="14.25">
      <c r="A8671" s="37"/>
      <c r="B8671" s="37"/>
      <c r="C8671" s="37"/>
      <c r="D8671" s="37"/>
      <c r="E8671" s="212"/>
    </row>
    <row r="8672" spans="1:5" ht="14.25">
      <c r="A8672" s="37"/>
      <c r="B8672" s="37"/>
      <c r="C8672" s="37"/>
      <c r="D8672" s="37"/>
      <c r="E8672" s="212"/>
    </row>
    <row r="8673" spans="1:5" ht="14.25">
      <c r="A8673" s="37"/>
      <c r="B8673" s="37"/>
      <c r="C8673" s="37"/>
      <c r="D8673" s="37"/>
      <c r="E8673" s="212"/>
    </row>
    <row r="8674" spans="1:5" ht="14.25">
      <c r="A8674" s="37"/>
      <c r="B8674" s="37"/>
      <c r="C8674" s="37"/>
      <c r="D8674" s="37"/>
      <c r="E8674" s="212"/>
    </row>
    <row r="8675" spans="1:5" ht="14.25">
      <c r="A8675" s="37"/>
      <c r="B8675" s="37"/>
      <c r="C8675" s="37"/>
      <c r="D8675" s="37"/>
      <c r="E8675" s="212"/>
    </row>
    <row r="8676" spans="1:5" ht="14.25">
      <c r="A8676" s="37"/>
      <c r="B8676" s="37"/>
      <c r="C8676" s="37"/>
      <c r="D8676" s="37"/>
      <c r="E8676" s="212"/>
    </row>
    <row r="8677" spans="1:5" ht="14.25">
      <c r="A8677" s="37"/>
      <c r="B8677" s="37"/>
      <c r="C8677" s="37"/>
      <c r="D8677" s="37"/>
      <c r="E8677" s="212"/>
    </row>
    <row r="8678" spans="1:5" ht="14.25">
      <c r="A8678" s="37"/>
      <c r="B8678" s="37"/>
      <c r="C8678" s="37"/>
      <c r="D8678" s="37"/>
      <c r="E8678" s="212"/>
    </row>
    <row r="8679" spans="1:5" ht="14.25">
      <c r="A8679" s="37"/>
      <c r="B8679" s="37"/>
      <c r="C8679" s="37"/>
      <c r="D8679" s="37"/>
      <c r="E8679" s="212"/>
    </row>
    <row r="8680" spans="1:5" ht="14.25">
      <c r="A8680" s="37"/>
      <c r="B8680" s="37"/>
      <c r="C8680" s="37"/>
      <c r="D8680" s="37"/>
      <c r="E8680" s="212"/>
    </row>
    <row r="8681" spans="1:5" ht="14.25">
      <c r="A8681" s="37"/>
      <c r="B8681" s="37"/>
      <c r="C8681" s="37"/>
      <c r="D8681" s="37"/>
      <c r="E8681" s="212"/>
    </row>
    <row r="8682" spans="1:5" ht="14.25">
      <c r="A8682" s="37"/>
      <c r="B8682" s="37"/>
      <c r="C8682" s="37"/>
      <c r="D8682" s="37"/>
      <c r="E8682" s="212"/>
    </row>
    <row r="8683" spans="1:5" ht="14.25">
      <c r="A8683" s="37"/>
      <c r="B8683" s="37"/>
      <c r="C8683" s="37"/>
      <c r="D8683" s="37"/>
      <c r="E8683" s="213"/>
    </row>
    <row r="8684" spans="1:5" ht="14.25">
      <c r="A8684" s="37"/>
      <c r="B8684" s="37"/>
      <c r="C8684" s="37"/>
      <c r="D8684" s="37"/>
      <c r="E8684" s="212"/>
    </row>
    <row r="8685" spans="1:5" ht="14.25">
      <c r="A8685" s="37"/>
      <c r="B8685" s="37"/>
      <c r="C8685" s="37"/>
      <c r="D8685" s="37"/>
      <c r="E8685" s="212"/>
    </row>
    <row r="8686" spans="1:5" ht="14.25">
      <c r="A8686" s="37"/>
      <c r="B8686" s="37"/>
      <c r="C8686" s="37"/>
      <c r="D8686" s="37"/>
      <c r="E8686" s="212"/>
    </row>
    <row r="8687" spans="1:5" ht="14.25">
      <c r="A8687" s="37"/>
      <c r="B8687" s="37"/>
      <c r="C8687" s="37"/>
      <c r="D8687" s="37"/>
      <c r="E8687" s="212"/>
    </row>
    <row r="8688" spans="1:5" ht="14.25">
      <c r="A8688" s="37"/>
      <c r="B8688" s="37"/>
      <c r="C8688" s="37"/>
      <c r="D8688" s="37"/>
      <c r="E8688" s="212"/>
    </row>
    <row r="8689" spans="1:5" ht="14.25">
      <c r="A8689" s="37"/>
      <c r="B8689" s="37"/>
      <c r="C8689" s="37"/>
      <c r="D8689" s="37"/>
      <c r="E8689" s="212"/>
    </row>
    <row r="8690" spans="1:5" ht="14.25">
      <c r="A8690" s="37"/>
      <c r="B8690" s="37"/>
      <c r="C8690" s="37"/>
      <c r="D8690" s="37"/>
      <c r="E8690" s="212"/>
    </row>
    <row r="8691" spans="1:5" ht="14.25">
      <c r="A8691" s="37"/>
      <c r="B8691" s="37"/>
      <c r="C8691" s="37"/>
      <c r="D8691" s="37"/>
      <c r="E8691" s="212"/>
    </row>
    <row r="8692" spans="1:5" ht="14.25">
      <c r="A8692" s="37"/>
      <c r="B8692" s="37"/>
      <c r="C8692" s="37"/>
      <c r="D8692" s="37"/>
      <c r="E8692" s="212"/>
    </row>
    <row r="8693" spans="1:5" ht="14.25">
      <c r="A8693" s="37"/>
      <c r="B8693" s="37"/>
      <c r="C8693" s="37"/>
      <c r="D8693" s="37"/>
      <c r="E8693" s="212"/>
    </row>
    <row r="8694" spans="1:5" ht="14.25">
      <c r="A8694" s="37"/>
      <c r="B8694" s="37"/>
      <c r="C8694" s="37"/>
      <c r="D8694" s="37"/>
      <c r="E8694" s="212"/>
    </row>
    <row r="8695" spans="1:5" ht="14.25">
      <c r="A8695" s="37"/>
      <c r="B8695" s="37"/>
      <c r="C8695" s="37"/>
      <c r="D8695" s="37"/>
      <c r="E8695" s="212"/>
    </row>
    <row r="8696" spans="1:5" ht="14.25">
      <c r="A8696" s="37"/>
      <c r="B8696" s="37"/>
      <c r="C8696" s="37"/>
      <c r="D8696" s="37"/>
      <c r="E8696" s="212"/>
    </row>
    <row r="8697" spans="1:5" ht="14.25">
      <c r="A8697" s="37"/>
      <c r="B8697" s="37"/>
      <c r="C8697" s="37"/>
      <c r="D8697" s="37"/>
      <c r="E8697" s="212"/>
    </row>
    <row r="8698" spans="1:5" ht="14.25">
      <c r="A8698" s="37"/>
      <c r="B8698" s="37"/>
      <c r="C8698" s="37"/>
      <c r="D8698" s="37"/>
      <c r="E8698" s="212"/>
    </row>
    <row r="8699" spans="1:5" ht="14.25">
      <c r="A8699" s="37"/>
      <c r="B8699" s="37"/>
      <c r="C8699" s="37"/>
      <c r="D8699" s="37"/>
      <c r="E8699" s="212"/>
    </row>
    <row r="8700" spans="1:5" ht="14.25">
      <c r="A8700" s="37"/>
      <c r="B8700" s="37"/>
      <c r="C8700" s="37"/>
      <c r="D8700" s="37"/>
      <c r="E8700" s="212"/>
    </row>
    <row r="8701" spans="1:5" ht="14.25">
      <c r="A8701" s="37"/>
      <c r="B8701" s="37"/>
      <c r="C8701" s="37"/>
      <c r="D8701" s="37"/>
      <c r="E8701" s="212"/>
    </row>
    <row r="8702" spans="1:5" ht="14.25">
      <c r="A8702" s="37"/>
      <c r="B8702" s="37"/>
      <c r="C8702" s="37"/>
      <c r="D8702" s="37"/>
      <c r="E8702" s="212"/>
    </row>
    <row r="8703" spans="1:5" ht="14.25">
      <c r="A8703" s="37"/>
      <c r="B8703" s="37"/>
      <c r="C8703" s="37"/>
      <c r="D8703" s="37"/>
      <c r="E8703" s="212"/>
    </row>
    <row r="8704" spans="1:5" ht="14.25">
      <c r="A8704" s="37"/>
      <c r="B8704" s="37"/>
      <c r="C8704" s="37"/>
      <c r="D8704" s="37"/>
      <c r="E8704" s="212"/>
    </row>
    <row r="8705" spans="1:5" ht="14.25">
      <c r="A8705" s="37"/>
      <c r="B8705" s="37"/>
      <c r="C8705" s="37"/>
      <c r="D8705" s="37"/>
      <c r="E8705" s="212"/>
    </row>
    <row r="8706" spans="1:5" ht="14.25">
      <c r="A8706" s="37"/>
      <c r="B8706" s="37"/>
      <c r="C8706" s="37"/>
      <c r="D8706" s="37"/>
      <c r="E8706" s="212"/>
    </row>
    <row r="8707" spans="1:5" ht="14.25">
      <c r="A8707" s="37"/>
      <c r="B8707" s="37"/>
      <c r="C8707" s="37"/>
      <c r="D8707" s="37"/>
      <c r="E8707" s="212"/>
    </row>
    <row r="8708" spans="1:5" ht="14.25">
      <c r="A8708" s="37"/>
      <c r="B8708" s="37"/>
      <c r="C8708" s="37"/>
      <c r="D8708" s="37"/>
      <c r="E8708" s="212"/>
    </row>
    <row r="8709" spans="1:5" ht="14.25">
      <c r="A8709" s="37"/>
      <c r="B8709" s="37"/>
      <c r="C8709" s="37"/>
      <c r="D8709" s="37"/>
      <c r="E8709" s="212"/>
    </row>
    <row r="8710" spans="1:5" ht="14.25">
      <c r="A8710" s="37"/>
      <c r="B8710" s="37"/>
      <c r="C8710" s="37"/>
      <c r="D8710" s="37"/>
      <c r="E8710" s="212"/>
    </row>
    <row r="8711" spans="1:5" ht="14.25">
      <c r="A8711" s="37"/>
      <c r="B8711" s="37"/>
      <c r="C8711" s="37"/>
      <c r="D8711" s="37"/>
      <c r="E8711" s="212"/>
    </row>
    <row r="8712" spans="1:5" ht="14.25">
      <c r="A8712" s="37"/>
      <c r="B8712" s="37"/>
      <c r="C8712" s="37"/>
      <c r="D8712" s="37"/>
      <c r="E8712" s="212"/>
    </row>
    <row r="8713" spans="1:5" ht="14.25">
      <c r="A8713" s="37"/>
      <c r="B8713" s="37"/>
      <c r="C8713" s="37"/>
      <c r="D8713" s="37"/>
      <c r="E8713" s="212"/>
    </row>
    <row r="8714" spans="1:5" ht="14.25">
      <c r="A8714" s="37"/>
      <c r="B8714" s="37"/>
      <c r="C8714" s="37"/>
      <c r="D8714" s="37"/>
      <c r="E8714" s="212"/>
    </row>
    <row r="8715" spans="1:5" ht="14.25">
      <c r="A8715" s="37"/>
      <c r="B8715" s="37"/>
      <c r="C8715" s="37"/>
      <c r="D8715" s="37"/>
      <c r="E8715" s="213"/>
    </row>
    <row r="8716" spans="1:5" ht="14.25">
      <c r="A8716" s="37"/>
      <c r="B8716" s="37"/>
      <c r="C8716" s="37"/>
      <c r="D8716" s="37"/>
      <c r="E8716" s="213"/>
    </row>
    <row r="8717" spans="1:5" ht="14.25">
      <c r="A8717" s="37"/>
      <c r="B8717" s="37"/>
      <c r="C8717" s="37"/>
      <c r="D8717" s="37"/>
      <c r="E8717" s="213"/>
    </row>
    <row r="8718" spans="1:5" ht="14.25">
      <c r="A8718" s="37"/>
      <c r="B8718" s="37"/>
      <c r="C8718" s="37"/>
      <c r="D8718" s="37"/>
      <c r="E8718" s="213"/>
    </row>
    <row r="8719" spans="1:5" ht="14.25">
      <c r="A8719" s="37"/>
      <c r="B8719" s="37"/>
      <c r="C8719" s="37"/>
      <c r="D8719" s="37"/>
      <c r="E8719" s="213"/>
    </row>
    <row r="8720" spans="1:5" ht="14.25">
      <c r="A8720" s="37"/>
      <c r="B8720" s="37"/>
      <c r="C8720" s="37"/>
      <c r="D8720" s="37"/>
      <c r="E8720" s="213"/>
    </row>
    <row r="8721" spans="1:5" ht="14.25">
      <c r="A8721" s="37"/>
      <c r="B8721" s="37"/>
      <c r="C8721" s="37"/>
      <c r="D8721" s="37"/>
      <c r="E8721" s="213"/>
    </row>
    <row r="8722" spans="1:5" ht="14.25">
      <c r="A8722" s="37"/>
      <c r="B8722" s="37"/>
      <c r="C8722" s="37"/>
      <c r="D8722" s="37"/>
      <c r="E8722" s="213"/>
    </row>
    <row r="8723" spans="1:5" ht="14.25">
      <c r="A8723" s="37"/>
      <c r="B8723" s="37"/>
      <c r="C8723" s="37"/>
      <c r="D8723" s="37"/>
      <c r="E8723" s="213"/>
    </row>
    <row r="8724" spans="1:5" ht="14.25">
      <c r="A8724" s="37"/>
      <c r="B8724" s="37"/>
      <c r="C8724" s="37"/>
      <c r="D8724" s="37"/>
      <c r="E8724" s="213"/>
    </row>
    <row r="8725" spans="1:5" ht="14.25">
      <c r="A8725" s="37"/>
      <c r="B8725" s="37"/>
      <c r="C8725" s="37"/>
      <c r="D8725" s="37"/>
      <c r="E8725" s="213"/>
    </row>
    <row r="8726" spans="1:5" ht="14.25">
      <c r="A8726" s="37"/>
      <c r="B8726" s="37"/>
      <c r="C8726" s="37"/>
      <c r="D8726" s="37"/>
      <c r="E8726" s="213"/>
    </row>
    <row r="8727" spans="1:5" ht="14.25">
      <c r="A8727" s="37"/>
      <c r="B8727" s="37"/>
      <c r="C8727" s="37"/>
      <c r="D8727" s="37"/>
      <c r="E8727" s="212"/>
    </row>
    <row r="8728" spans="1:5" ht="14.25">
      <c r="A8728" s="37"/>
      <c r="B8728" s="37"/>
      <c r="C8728" s="37"/>
      <c r="D8728" s="37"/>
      <c r="E8728" s="212"/>
    </row>
    <row r="8729" spans="1:5" ht="14.25">
      <c r="A8729" s="37"/>
      <c r="B8729" s="37"/>
      <c r="C8729" s="37"/>
      <c r="D8729" s="37"/>
      <c r="E8729" s="213"/>
    </row>
    <row r="8730" spans="1:5" ht="14.25">
      <c r="A8730" s="37"/>
      <c r="B8730" s="37"/>
      <c r="C8730" s="37"/>
      <c r="D8730" s="37"/>
      <c r="E8730" s="213"/>
    </row>
    <row r="8731" spans="1:5" ht="14.25">
      <c r="A8731" s="37"/>
      <c r="B8731" s="37"/>
      <c r="C8731" s="37"/>
      <c r="D8731" s="37"/>
      <c r="E8731" s="213"/>
    </row>
    <row r="8732" spans="1:5" ht="14.25">
      <c r="A8732" s="37"/>
      <c r="B8732" s="37"/>
      <c r="C8732" s="37"/>
      <c r="D8732" s="37"/>
      <c r="E8732" s="213"/>
    </row>
    <row r="8733" spans="1:5" ht="14.25">
      <c r="A8733" s="37"/>
      <c r="B8733" s="37"/>
      <c r="C8733" s="37"/>
      <c r="D8733" s="37"/>
      <c r="E8733" s="213"/>
    </row>
    <row r="8734" spans="1:5" ht="14.25">
      <c r="A8734" s="37"/>
      <c r="B8734" s="37"/>
      <c r="C8734" s="37"/>
      <c r="D8734" s="37"/>
      <c r="E8734" s="213"/>
    </row>
    <row r="8735" spans="1:5" ht="14.25">
      <c r="A8735" s="37"/>
      <c r="B8735" s="37"/>
      <c r="C8735" s="37"/>
      <c r="D8735" s="37"/>
      <c r="E8735" s="213"/>
    </row>
    <row r="8736" spans="1:5" ht="14.25">
      <c r="A8736" s="37"/>
      <c r="B8736" s="37"/>
      <c r="C8736" s="37"/>
      <c r="D8736" s="37"/>
      <c r="E8736" s="213"/>
    </row>
    <row r="8737" spans="1:5" ht="14.25">
      <c r="A8737" s="37"/>
      <c r="B8737" s="37"/>
      <c r="C8737" s="37"/>
      <c r="D8737" s="37"/>
      <c r="E8737" s="213"/>
    </row>
    <row r="8738" spans="1:5" ht="14.25">
      <c r="A8738" s="37"/>
      <c r="B8738" s="37"/>
      <c r="C8738" s="37"/>
      <c r="D8738" s="37"/>
      <c r="E8738" s="213"/>
    </row>
    <row r="8739" spans="1:5" ht="14.25">
      <c r="A8739" s="37"/>
      <c r="B8739" s="37"/>
      <c r="C8739" s="37"/>
      <c r="D8739" s="37"/>
      <c r="E8739" s="213"/>
    </row>
    <row r="8740" spans="1:5" ht="14.25">
      <c r="A8740" s="37"/>
      <c r="B8740" s="37"/>
      <c r="C8740" s="37"/>
      <c r="D8740" s="37"/>
      <c r="E8740" s="213"/>
    </row>
    <row r="8741" spans="1:5" ht="14.25">
      <c r="A8741" s="37"/>
      <c r="B8741" s="37"/>
      <c r="C8741" s="37"/>
      <c r="D8741" s="37"/>
      <c r="E8741" s="213"/>
    </row>
    <row r="8742" spans="1:5" ht="14.25">
      <c r="A8742" s="37"/>
      <c r="B8742" s="37"/>
      <c r="C8742" s="37"/>
      <c r="D8742" s="37"/>
      <c r="E8742" s="213"/>
    </row>
    <row r="8743" spans="1:5" ht="14.25">
      <c r="A8743" s="37"/>
      <c r="B8743" s="37"/>
      <c r="C8743" s="37"/>
      <c r="D8743" s="37"/>
      <c r="E8743" s="213"/>
    </row>
    <row r="8744" spans="1:5" ht="14.25">
      <c r="A8744" s="37"/>
      <c r="B8744" s="37"/>
      <c r="C8744" s="37"/>
      <c r="D8744" s="37"/>
      <c r="E8744" s="212"/>
    </row>
    <row r="8745" spans="1:5" ht="14.25">
      <c r="A8745" s="37"/>
      <c r="B8745" s="37"/>
      <c r="C8745" s="37"/>
      <c r="D8745" s="37"/>
      <c r="E8745" s="212"/>
    </row>
    <row r="8746" spans="1:5" ht="14.25">
      <c r="A8746" s="37"/>
      <c r="B8746" s="37"/>
      <c r="C8746" s="37"/>
      <c r="D8746" s="37"/>
      <c r="E8746" s="212"/>
    </row>
    <row r="8747" spans="1:5" ht="14.25">
      <c r="A8747" s="37"/>
      <c r="B8747" s="37"/>
      <c r="C8747" s="37"/>
      <c r="D8747" s="37"/>
      <c r="E8747" s="212"/>
    </row>
    <row r="8748" spans="1:5" ht="14.25">
      <c r="A8748" s="37"/>
      <c r="B8748" s="37"/>
      <c r="C8748" s="37"/>
      <c r="D8748" s="37"/>
      <c r="E8748" s="212"/>
    </row>
    <row r="8749" spans="1:5" ht="14.25">
      <c r="A8749" s="37"/>
      <c r="B8749" s="37"/>
      <c r="C8749" s="37"/>
      <c r="D8749" s="37"/>
      <c r="E8749" s="212"/>
    </row>
    <row r="8750" spans="1:5" ht="14.25">
      <c r="A8750" s="37"/>
      <c r="B8750" s="37"/>
      <c r="C8750" s="37"/>
      <c r="D8750" s="37"/>
      <c r="E8750" s="212"/>
    </row>
    <row r="8751" spans="1:5" ht="14.25">
      <c r="A8751" s="37"/>
      <c r="B8751" s="37"/>
      <c r="C8751" s="37"/>
      <c r="D8751" s="37"/>
      <c r="E8751" s="212"/>
    </row>
    <row r="8752" spans="1:5" ht="14.25">
      <c r="A8752" s="37"/>
      <c r="B8752" s="37"/>
      <c r="C8752" s="37"/>
      <c r="D8752" s="37"/>
      <c r="E8752" s="212"/>
    </row>
    <row r="8753" spans="1:5" ht="14.25">
      <c r="A8753" s="37"/>
      <c r="B8753" s="37"/>
      <c r="C8753" s="37"/>
      <c r="D8753" s="37"/>
      <c r="E8753" s="212"/>
    </row>
    <row r="8754" spans="1:5" ht="14.25">
      <c r="A8754" s="37"/>
      <c r="B8754" s="37"/>
      <c r="C8754" s="37"/>
      <c r="D8754" s="37"/>
      <c r="E8754" s="212"/>
    </row>
    <row r="8755" spans="1:5" ht="14.25">
      <c r="A8755" s="37"/>
      <c r="B8755" s="37"/>
      <c r="C8755" s="37"/>
      <c r="D8755" s="37"/>
      <c r="E8755" s="212"/>
    </row>
    <row r="8756" spans="1:5" ht="14.25">
      <c r="A8756" s="37"/>
      <c r="B8756" s="37"/>
      <c r="C8756" s="37"/>
      <c r="D8756" s="37"/>
      <c r="E8756" s="212"/>
    </row>
    <row r="8757" spans="1:5" ht="14.25">
      <c r="A8757" s="37"/>
      <c r="B8757" s="37"/>
      <c r="C8757" s="37"/>
      <c r="D8757" s="37"/>
      <c r="E8757" s="212"/>
    </row>
    <row r="8758" spans="1:5" ht="14.25">
      <c r="A8758" s="37"/>
      <c r="B8758" s="37"/>
      <c r="C8758" s="37"/>
      <c r="D8758" s="37"/>
      <c r="E8758" s="212"/>
    </row>
    <row r="8759" spans="1:5" ht="14.25">
      <c r="A8759" s="37"/>
      <c r="B8759" s="37"/>
      <c r="C8759" s="37"/>
      <c r="D8759" s="37"/>
      <c r="E8759" s="212"/>
    </row>
    <row r="8760" spans="1:5" ht="14.25">
      <c r="A8760" s="37"/>
      <c r="B8760" s="37"/>
      <c r="C8760" s="37"/>
      <c r="D8760" s="37"/>
      <c r="E8760" s="212"/>
    </row>
    <row r="8761" spans="1:5" ht="14.25">
      <c r="A8761" s="37"/>
      <c r="B8761" s="37"/>
      <c r="C8761" s="37"/>
      <c r="D8761" s="37"/>
      <c r="E8761" s="212"/>
    </row>
    <row r="8762" spans="1:5" ht="14.25">
      <c r="A8762" s="37"/>
      <c r="B8762" s="37"/>
      <c r="C8762" s="37"/>
      <c r="D8762" s="37"/>
      <c r="E8762" s="212"/>
    </row>
    <row r="8763" spans="1:5" ht="14.25">
      <c r="A8763" s="37"/>
      <c r="B8763" s="37"/>
      <c r="C8763" s="37"/>
      <c r="D8763" s="37"/>
      <c r="E8763" s="212"/>
    </row>
    <row r="8764" spans="1:5" ht="14.25">
      <c r="A8764" s="37"/>
      <c r="B8764" s="37"/>
      <c r="C8764" s="37"/>
      <c r="D8764" s="37"/>
      <c r="E8764" s="213"/>
    </row>
    <row r="8765" spans="1:5" ht="14.25">
      <c r="A8765" s="37"/>
      <c r="B8765" s="37"/>
      <c r="C8765" s="37"/>
      <c r="D8765" s="37"/>
      <c r="E8765" s="212"/>
    </row>
    <row r="8766" spans="1:5" ht="14.25">
      <c r="A8766" s="37"/>
      <c r="B8766" s="37"/>
      <c r="C8766" s="37"/>
      <c r="D8766" s="37"/>
      <c r="E8766" s="212"/>
    </row>
    <row r="8767" spans="1:5" ht="14.25">
      <c r="A8767" s="37"/>
      <c r="B8767" s="37"/>
      <c r="C8767" s="37"/>
      <c r="D8767" s="37"/>
      <c r="E8767" s="213"/>
    </row>
    <row r="8768" spans="1:5" ht="14.25">
      <c r="A8768" s="37"/>
      <c r="B8768" s="37"/>
      <c r="C8768" s="37"/>
      <c r="D8768" s="37"/>
      <c r="E8768" s="213"/>
    </row>
    <row r="8769" spans="1:5" ht="14.25">
      <c r="A8769" s="37"/>
      <c r="B8769" s="37"/>
      <c r="C8769" s="37"/>
      <c r="D8769" s="37"/>
      <c r="E8769" s="212"/>
    </row>
    <row r="8770" spans="1:5" ht="14.25">
      <c r="A8770" s="37"/>
      <c r="B8770" s="37"/>
      <c r="C8770" s="37"/>
      <c r="D8770" s="37"/>
      <c r="E8770" s="212"/>
    </row>
    <row r="8771" spans="1:5" ht="14.25">
      <c r="A8771" s="37"/>
      <c r="B8771" s="37"/>
      <c r="C8771" s="37"/>
      <c r="D8771" s="37"/>
      <c r="E8771" s="212"/>
    </row>
    <row r="8772" spans="1:5" ht="14.25">
      <c r="A8772" s="37"/>
      <c r="B8772" s="37"/>
      <c r="C8772" s="37"/>
      <c r="D8772" s="37"/>
      <c r="E8772" s="212"/>
    </row>
    <row r="8773" spans="1:5" ht="14.25">
      <c r="A8773" s="37"/>
      <c r="B8773" s="37"/>
      <c r="C8773" s="37"/>
      <c r="D8773" s="37"/>
      <c r="E8773" s="212"/>
    </row>
    <row r="8774" spans="1:5" ht="14.25">
      <c r="A8774" s="37"/>
      <c r="B8774" s="37"/>
      <c r="C8774" s="37"/>
      <c r="D8774" s="37"/>
      <c r="E8774" s="212"/>
    </row>
    <row r="8775" spans="1:5" ht="14.25">
      <c r="A8775" s="37"/>
      <c r="B8775" s="37"/>
      <c r="C8775" s="37"/>
      <c r="D8775" s="37"/>
      <c r="E8775" s="213"/>
    </row>
    <row r="8776" spans="1:5" ht="14.25">
      <c r="A8776" s="37"/>
      <c r="B8776" s="37"/>
      <c r="C8776" s="37"/>
      <c r="D8776" s="37"/>
      <c r="E8776" s="212"/>
    </row>
    <row r="8777" spans="1:5" ht="14.25">
      <c r="A8777" s="37"/>
      <c r="B8777" s="37"/>
      <c r="C8777" s="37"/>
      <c r="D8777" s="37"/>
      <c r="E8777" s="213"/>
    </row>
    <row r="8778" spans="1:5" ht="14.25">
      <c r="A8778" s="37"/>
      <c r="B8778" s="37"/>
      <c r="C8778" s="37"/>
      <c r="D8778" s="37"/>
      <c r="E8778" s="212"/>
    </row>
    <row r="8779" spans="1:5" ht="14.25">
      <c r="A8779" s="37"/>
      <c r="B8779" s="37"/>
      <c r="C8779" s="37"/>
      <c r="D8779" s="37"/>
      <c r="E8779" s="212"/>
    </row>
    <row r="8780" spans="1:5" ht="14.25">
      <c r="A8780" s="37"/>
      <c r="B8780" s="37"/>
      <c r="C8780" s="37"/>
      <c r="D8780" s="37"/>
      <c r="E8780" s="213"/>
    </row>
    <row r="8781" spans="1:5" ht="14.25">
      <c r="A8781" s="37"/>
      <c r="B8781" s="37"/>
      <c r="C8781" s="37"/>
      <c r="D8781" s="37"/>
      <c r="E8781" s="212"/>
    </row>
    <row r="8782" spans="1:5" ht="14.25">
      <c r="A8782" s="37"/>
      <c r="B8782" s="37"/>
      <c r="C8782" s="37"/>
      <c r="D8782" s="37"/>
      <c r="E8782" s="212"/>
    </row>
    <row r="8783" spans="1:5" ht="14.25">
      <c r="A8783" s="37"/>
      <c r="B8783" s="37"/>
      <c r="C8783" s="37"/>
      <c r="D8783" s="37"/>
      <c r="E8783" s="212"/>
    </row>
    <row r="8784" spans="1:5" ht="14.25">
      <c r="A8784" s="37"/>
      <c r="B8784" s="37"/>
      <c r="C8784" s="37"/>
      <c r="D8784" s="37"/>
      <c r="E8784" s="212"/>
    </row>
    <row r="8785" spans="1:5" ht="14.25">
      <c r="A8785" s="37"/>
      <c r="B8785" s="37"/>
      <c r="C8785" s="37"/>
      <c r="D8785" s="37"/>
      <c r="E8785" s="212"/>
    </row>
    <row r="8786" spans="1:5" ht="14.25">
      <c r="A8786" s="37"/>
      <c r="B8786" s="37"/>
      <c r="C8786" s="37"/>
      <c r="D8786" s="37"/>
      <c r="E8786" s="212"/>
    </row>
    <row r="8787" spans="1:5" ht="14.25">
      <c r="A8787" s="37"/>
      <c r="B8787" s="37"/>
      <c r="C8787" s="37"/>
      <c r="D8787" s="37"/>
      <c r="E8787" s="212"/>
    </row>
    <row r="8788" spans="1:5" ht="14.25">
      <c r="A8788" s="37"/>
      <c r="B8788" s="37"/>
      <c r="C8788" s="37"/>
      <c r="D8788" s="37"/>
      <c r="E8788" s="212"/>
    </row>
    <row r="8789" spans="1:5" ht="14.25">
      <c r="A8789" s="37"/>
      <c r="B8789" s="37"/>
      <c r="C8789" s="37"/>
      <c r="D8789" s="37"/>
      <c r="E8789" s="212"/>
    </row>
    <row r="8790" spans="1:5" ht="14.25">
      <c r="A8790" s="37"/>
      <c r="B8790" s="37"/>
      <c r="C8790" s="37"/>
      <c r="D8790" s="37"/>
      <c r="E8790" s="212"/>
    </row>
    <row r="8791" spans="1:5" ht="14.25">
      <c r="A8791" s="37"/>
      <c r="B8791" s="37"/>
      <c r="C8791" s="37"/>
      <c r="D8791" s="37"/>
      <c r="E8791" s="212"/>
    </row>
    <row r="8792" spans="1:5" ht="14.25">
      <c r="A8792" s="37"/>
      <c r="B8792" s="37"/>
      <c r="C8792" s="37"/>
      <c r="D8792" s="37"/>
      <c r="E8792" s="212"/>
    </row>
    <row r="8793" spans="1:5" ht="14.25">
      <c r="A8793" s="37"/>
      <c r="B8793" s="37"/>
      <c r="C8793" s="37"/>
      <c r="D8793" s="37"/>
      <c r="E8793" s="212"/>
    </row>
    <row r="8794" spans="1:5" ht="14.25">
      <c r="A8794" s="37"/>
      <c r="B8794" s="37"/>
      <c r="C8794" s="37"/>
      <c r="D8794" s="37"/>
      <c r="E8794" s="212"/>
    </row>
    <row r="8795" spans="1:5" ht="14.25">
      <c r="A8795" s="37"/>
      <c r="B8795" s="37"/>
      <c r="C8795" s="37"/>
      <c r="D8795" s="37"/>
      <c r="E8795" s="212"/>
    </row>
    <row r="8796" spans="1:5" ht="14.25">
      <c r="A8796" s="37"/>
      <c r="B8796" s="37"/>
      <c r="C8796" s="37"/>
      <c r="D8796" s="37"/>
      <c r="E8796" s="212"/>
    </row>
    <row r="8797" spans="1:5" ht="14.25">
      <c r="A8797" s="37"/>
      <c r="B8797" s="37"/>
      <c r="C8797" s="37"/>
      <c r="D8797" s="37"/>
      <c r="E8797" s="212"/>
    </row>
    <row r="8798" spans="1:5" ht="14.25">
      <c r="A8798" s="37"/>
      <c r="B8798" s="37"/>
      <c r="C8798" s="37"/>
      <c r="D8798" s="37"/>
      <c r="E8798" s="212"/>
    </row>
    <row r="8799" spans="1:5" ht="14.25">
      <c r="A8799" s="37"/>
      <c r="B8799" s="37"/>
      <c r="C8799" s="37"/>
      <c r="D8799" s="37"/>
      <c r="E8799" s="212"/>
    </row>
    <row r="8800" spans="1:5" ht="14.25">
      <c r="A8800" s="37"/>
      <c r="B8800" s="37"/>
      <c r="C8800" s="37"/>
      <c r="D8800" s="37"/>
      <c r="E8800" s="212"/>
    </row>
    <row r="8801" spans="1:5" ht="14.25">
      <c r="A8801" s="37"/>
      <c r="B8801" s="37"/>
      <c r="C8801" s="37"/>
      <c r="D8801" s="37"/>
      <c r="E8801" s="212"/>
    </row>
    <row r="8802" spans="1:5" ht="14.25">
      <c r="A8802" s="37"/>
      <c r="B8802" s="37"/>
      <c r="C8802" s="37"/>
      <c r="D8802" s="37"/>
      <c r="E8802" s="212"/>
    </row>
    <row r="8803" spans="1:5" ht="14.25">
      <c r="A8803" s="37"/>
      <c r="B8803" s="37"/>
      <c r="C8803" s="37"/>
      <c r="D8803" s="37"/>
      <c r="E8803" s="212"/>
    </row>
    <row r="8804" spans="1:5" ht="14.25">
      <c r="A8804" s="37"/>
      <c r="B8804" s="37"/>
      <c r="C8804" s="37"/>
      <c r="D8804" s="37"/>
      <c r="E8804" s="212"/>
    </row>
    <row r="8805" spans="1:5" ht="14.25">
      <c r="A8805" s="37"/>
      <c r="B8805" s="37"/>
      <c r="C8805" s="37"/>
      <c r="D8805" s="37"/>
      <c r="E8805" s="212"/>
    </row>
    <row r="8806" spans="1:5" ht="14.25">
      <c r="A8806" s="37"/>
      <c r="B8806" s="37"/>
      <c r="C8806" s="37"/>
      <c r="D8806" s="37"/>
      <c r="E8806" s="212"/>
    </row>
    <row r="8807" spans="1:5" ht="14.25">
      <c r="A8807" s="37"/>
      <c r="B8807" s="37"/>
      <c r="C8807" s="37"/>
      <c r="D8807" s="37"/>
      <c r="E8807" s="212"/>
    </row>
    <row r="8808" spans="1:5" ht="14.25">
      <c r="A8808" s="37"/>
      <c r="B8808" s="37"/>
      <c r="C8808" s="37"/>
      <c r="D8808" s="37"/>
      <c r="E8808" s="212"/>
    </row>
    <row r="8809" spans="1:5" ht="14.25">
      <c r="A8809" s="37"/>
      <c r="B8809" s="37"/>
      <c r="C8809" s="37"/>
      <c r="D8809" s="37"/>
      <c r="E8809" s="213"/>
    </row>
    <row r="8810" spans="1:5" ht="14.25">
      <c r="A8810" s="37"/>
      <c r="B8810" s="37"/>
      <c r="C8810" s="37"/>
      <c r="D8810" s="37"/>
      <c r="E8810" s="212"/>
    </row>
    <row r="8811" spans="1:5" ht="14.25">
      <c r="A8811" s="37"/>
      <c r="B8811" s="37"/>
      <c r="C8811" s="37"/>
      <c r="D8811" s="37"/>
      <c r="E8811" s="213"/>
    </row>
    <row r="8812" spans="1:5" ht="14.25">
      <c r="A8812" s="37"/>
      <c r="B8812" s="37"/>
      <c r="C8812" s="37"/>
      <c r="D8812" s="37"/>
      <c r="E8812" s="213"/>
    </row>
    <row r="8813" spans="1:5" ht="14.25">
      <c r="A8813" s="37"/>
      <c r="B8813" s="37"/>
      <c r="C8813" s="37"/>
      <c r="D8813" s="37"/>
      <c r="E8813" s="212"/>
    </row>
    <row r="8814" spans="1:5" ht="14.25">
      <c r="A8814" s="37"/>
      <c r="B8814" s="37"/>
      <c r="C8814" s="37"/>
      <c r="D8814" s="37"/>
      <c r="E8814" s="212"/>
    </row>
    <row r="8815" spans="1:5" ht="14.25">
      <c r="A8815" s="37"/>
      <c r="B8815" s="37"/>
      <c r="C8815" s="37"/>
      <c r="D8815" s="37"/>
      <c r="E8815" s="213"/>
    </row>
    <row r="8816" spans="1:5" ht="14.25">
      <c r="A8816" s="37"/>
      <c r="B8816" s="37"/>
      <c r="C8816" s="37"/>
      <c r="D8816" s="37"/>
      <c r="E8816" s="212"/>
    </row>
    <row r="8817" spans="1:5" ht="14.25">
      <c r="A8817" s="37"/>
      <c r="B8817" s="37"/>
      <c r="C8817" s="37"/>
      <c r="D8817" s="37"/>
      <c r="E8817" s="212"/>
    </row>
    <row r="8818" spans="1:5" ht="14.25">
      <c r="A8818" s="37"/>
      <c r="B8818" s="37"/>
      <c r="C8818" s="37"/>
      <c r="D8818" s="37"/>
      <c r="E8818" s="212"/>
    </row>
    <row r="8819" spans="1:5" ht="14.25">
      <c r="A8819" s="37"/>
      <c r="B8819" s="37"/>
      <c r="C8819" s="37"/>
      <c r="D8819" s="37"/>
      <c r="E8819" s="212"/>
    </row>
    <row r="8820" spans="1:5" ht="14.25">
      <c r="A8820" s="37"/>
      <c r="B8820" s="37"/>
      <c r="C8820" s="37"/>
      <c r="D8820" s="37"/>
      <c r="E8820" s="212"/>
    </row>
    <row r="8821" spans="1:5" ht="14.25">
      <c r="A8821" s="37"/>
      <c r="B8821" s="37"/>
      <c r="C8821" s="37"/>
      <c r="D8821" s="37"/>
      <c r="E8821" s="212"/>
    </row>
    <row r="8822" spans="1:5" ht="14.25">
      <c r="A8822" s="37"/>
      <c r="B8822" s="37"/>
      <c r="C8822" s="37"/>
      <c r="D8822" s="37"/>
      <c r="E8822" s="212"/>
    </row>
    <row r="8823" spans="1:5" ht="14.25">
      <c r="A8823" s="37"/>
      <c r="B8823" s="37"/>
      <c r="C8823" s="37"/>
      <c r="D8823" s="37"/>
      <c r="E8823" s="212"/>
    </row>
    <row r="8824" spans="1:5" ht="14.25">
      <c r="A8824" s="37"/>
      <c r="B8824" s="37"/>
      <c r="C8824" s="37"/>
      <c r="D8824" s="37"/>
      <c r="E8824" s="212"/>
    </row>
    <row r="8825" spans="1:5" ht="14.25">
      <c r="A8825" s="37"/>
      <c r="B8825" s="37"/>
      <c r="C8825" s="37"/>
      <c r="D8825" s="37"/>
      <c r="E8825" s="212"/>
    </row>
    <row r="8826" spans="1:5" ht="14.25">
      <c r="A8826" s="37"/>
      <c r="B8826" s="37"/>
      <c r="C8826" s="37"/>
      <c r="D8826" s="37"/>
      <c r="E8826" s="212"/>
    </row>
    <row r="8827" spans="1:5" ht="14.25">
      <c r="A8827" s="37"/>
      <c r="B8827" s="37"/>
      <c r="C8827" s="37"/>
      <c r="D8827" s="37"/>
      <c r="E8827" s="212"/>
    </row>
    <row r="8828" spans="1:5" ht="14.25">
      <c r="A8828" s="37"/>
      <c r="B8828" s="37"/>
      <c r="C8828" s="37"/>
      <c r="D8828" s="37"/>
      <c r="E8828" s="212"/>
    </row>
    <row r="8829" spans="1:5" ht="14.25">
      <c r="A8829" s="37"/>
      <c r="B8829" s="37"/>
      <c r="C8829" s="37"/>
      <c r="D8829" s="37"/>
      <c r="E8829" s="212"/>
    </row>
    <row r="8830" spans="1:5" ht="14.25">
      <c r="A8830" s="37"/>
      <c r="B8830" s="37"/>
      <c r="C8830" s="37"/>
      <c r="D8830" s="37"/>
      <c r="E8830" s="212"/>
    </row>
    <row r="8831" spans="1:5" ht="14.25">
      <c r="A8831" s="37"/>
      <c r="B8831" s="37"/>
      <c r="C8831" s="37"/>
      <c r="D8831" s="37"/>
      <c r="E8831" s="212"/>
    </row>
    <row r="8832" spans="1:5" ht="14.25">
      <c r="A8832" s="37"/>
      <c r="B8832" s="37"/>
      <c r="C8832" s="37"/>
      <c r="D8832" s="37"/>
      <c r="E8832" s="212"/>
    </row>
    <row r="8833" spans="1:5" ht="14.25">
      <c r="A8833" s="37"/>
      <c r="B8833" s="37"/>
      <c r="C8833" s="37"/>
      <c r="D8833" s="37"/>
      <c r="E8833" s="212"/>
    </row>
    <row r="8834" spans="1:5" ht="14.25">
      <c r="A8834" s="37"/>
      <c r="B8834" s="37"/>
      <c r="C8834" s="37"/>
      <c r="D8834" s="37"/>
      <c r="E8834" s="212"/>
    </row>
    <row r="8835" spans="1:5" ht="14.25">
      <c r="A8835" s="37"/>
      <c r="B8835" s="37"/>
      <c r="C8835" s="37"/>
      <c r="D8835" s="37"/>
      <c r="E8835" s="212"/>
    </row>
    <row r="8836" spans="1:5" ht="14.25">
      <c r="A8836" s="37"/>
      <c r="B8836" s="37"/>
      <c r="C8836" s="37"/>
      <c r="D8836" s="37"/>
      <c r="E8836" s="212"/>
    </row>
    <row r="8837" spans="1:5" ht="14.25">
      <c r="A8837" s="37"/>
      <c r="B8837" s="37"/>
      <c r="C8837" s="37"/>
      <c r="D8837" s="37"/>
      <c r="E8837" s="212"/>
    </row>
    <row r="8838" spans="1:5" ht="14.25">
      <c r="A8838" s="37"/>
      <c r="B8838" s="37"/>
      <c r="C8838" s="37"/>
      <c r="D8838" s="37"/>
      <c r="E8838" s="212"/>
    </row>
    <row r="8839" spans="1:5" ht="14.25">
      <c r="A8839" s="37"/>
      <c r="B8839" s="37"/>
      <c r="C8839" s="37"/>
      <c r="D8839" s="37"/>
      <c r="E8839" s="212"/>
    </row>
    <row r="8840" spans="1:5" ht="14.25">
      <c r="A8840" s="37"/>
      <c r="B8840" s="37"/>
      <c r="C8840" s="37"/>
      <c r="D8840" s="37"/>
      <c r="E8840" s="212"/>
    </row>
    <row r="8841" spans="1:5" ht="14.25">
      <c r="A8841" s="37"/>
      <c r="B8841" s="37"/>
      <c r="C8841" s="37"/>
      <c r="D8841" s="37"/>
      <c r="E8841" s="212"/>
    </row>
    <row r="8842" spans="1:5" ht="14.25">
      <c r="A8842" s="37"/>
      <c r="B8842" s="37"/>
      <c r="C8842" s="37"/>
      <c r="D8842" s="37"/>
      <c r="E8842" s="212"/>
    </row>
    <row r="8843" spans="1:5" ht="14.25">
      <c r="A8843" s="37"/>
      <c r="B8843" s="37"/>
      <c r="C8843" s="37"/>
      <c r="D8843" s="37"/>
      <c r="E8843" s="212"/>
    </row>
    <row r="8844" spans="1:5" ht="14.25">
      <c r="A8844" s="37"/>
      <c r="B8844" s="37"/>
      <c r="C8844" s="37"/>
      <c r="D8844" s="37"/>
      <c r="E8844" s="212"/>
    </row>
    <row r="8845" spans="1:5" ht="14.25">
      <c r="A8845" s="37"/>
      <c r="B8845" s="37"/>
      <c r="C8845" s="37"/>
      <c r="D8845" s="37"/>
      <c r="E8845" s="212"/>
    </row>
    <row r="8846" spans="1:5" ht="14.25">
      <c r="A8846" s="37"/>
      <c r="B8846" s="37"/>
      <c r="C8846" s="37"/>
      <c r="D8846" s="37"/>
      <c r="E8846" s="212"/>
    </row>
    <row r="8847" spans="1:5" ht="14.25">
      <c r="A8847" s="37"/>
      <c r="B8847" s="37"/>
      <c r="C8847" s="37"/>
      <c r="D8847" s="37"/>
      <c r="E8847" s="212"/>
    </row>
    <row r="8848" spans="1:5" ht="14.25">
      <c r="A8848" s="37"/>
      <c r="B8848" s="37"/>
      <c r="C8848" s="37"/>
      <c r="D8848" s="37"/>
      <c r="E8848" s="212"/>
    </row>
    <row r="8849" spans="1:5" ht="14.25">
      <c r="A8849" s="37"/>
      <c r="B8849" s="37"/>
      <c r="C8849" s="37"/>
      <c r="D8849" s="37"/>
      <c r="E8849" s="212"/>
    </row>
    <row r="8850" spans="1:5" ht="14.25">
      <c r="A8850" s="37"/>
      <c r="B8850" s="37"/>
      <c r="C8850" s="37"/>
      <c r="D8850" s="37"/>
      <c r="E8850" s="212"/>
    </row>
    <row r="8851" spans="1:5" ht="14.25">
      <c r="A8851" s="37"/>
      <c r="B8851" s="37"/>
      <c r="C8851" s="37"/>
      <c r="D8851" s="37"/>
      <c r="E8851" s="212"/>
    </row>
    <row r="8852" spans="1:5" ht="14.25">
      <c r="A8852" s="37"/>
      <c r="B8852" s="37"/>
      <c r="C8852" s="37"/>
      <c r="D8852" s="37"/>
      <c r="E8852" s="212"/>
    </row>
    <row r="8853" spans="1:5" ht="14.25">
      <c r="A8853" s="37"/>
      <c r="B8853" s="37"/>
      <c r="C8853" s="37"/>
      <c r="D8853" s="37"/>
      <c r="E8853" s="212"/>
    </row>
    <row r="8854" spans="1:5" ht="14.25">
      <c r="A8854" s="37"/>
      <c r="B8854" s="37"/>
      <c r="C8854" s="37"/>
      <c r="D8854" s="37"/>
      <c r="E8854" s="212"/>
    </row>
    <row r="8855" spans="1:5" ht="14.25">
      <c r="A8855" s="37"/>
      <c r="B8855" s="37"/>
      <c r="C8855" s="37"/>
      <c r="D8855" s="37"/>
      <c r="E8855" s="212"/>
    </row>
    <row r="8856" spans="1:5" ht="14.25">
      <c r="A8856" s="37"/>
      <c r="B8856" s="37"/>
      <c r="C8856" s="37"/>
      <c r="D8856" s="37"/>
      <c r="E8856" s="212"/>
    </row>
    <row r="8857" spans="1:5" ht="14.25">
      <c r="A8857" s="37"/>
      <c r="B8857" s="37"/>
      <c r="C8857" s="37"/>
      <c r="D8857" s="37"/>
      <c r="E8857" s="212"/>
    </row>
    <row r="8858" spans="1:5" ht="14.25">
      <c r="A8858" s="37"/>
      <c r="B8858" s="37"/>
      <c r="C8858" s="37"/>
      <c r="D8858" s="37"/>
      <c r="E8858" s="212"/>
    </row>
    <row r="8859" spans="1:5" ht="14.25">
      <c r="A8859" s="37"/>
      <c r="B8859" s="37"/>
      <c r="C8859" s="37"/>
      <c r="D8859" s="37"/>
      <c r="E8859" s="212"/>
    </row>
    <row r="8860" spans="1:5" ht="14.25">
      <c r="A8860" s="37"/>
      <c r="B8860" s="37"/>
      <c r="C8860" s="37"/>
      <c r="D8860" s="37"/>
      <c r="E8860" s="212"/>
    </row>
    <row r="8861" spans="1:5" ht="14.25">
      <c r="A8861" s="37"/>
      <c r="B8861" s="37"/>
      <c r="C8861" s="37"/>
      <c r="D8861" s="37"/>
      <c r="E8861" s="212"/>
    </row>
    <row r="8862" spans="1:5" ht="14.25">
      <c r="A8862" s="37"/>
      <c r="B8862" s="37"/>
      <c r="C8862" s="37"/>
      <c r="D8862" s="37"/>
      <c r="E8862" s="212"/>
    </row>
    <row r="8863" spans="1:5" ht="14.25">
      <c r="A8863" s="37"/>
      <c r="B8863" s="37"/>
      <c r="C8863" s="37"/>
      <c r="D8863" s="37"/>
      <c r="E8863" s="212"/>
    </row>
    <row r="8864" spans="1:5" ht="14.25">
      <c r="A8864" s="37"/>
      <c r="B8864" s="37"/>
      <c r="C8864" s="37"/>
      <c r="D8864" s="37"/>
      <c r="E8864" s="212"/>
    </row>
    <row r="8865" spans="1:5" ht="14.25">
      <c r="A8865" s="37"/>
      <c r="B8865" s="37"/>
      <c r="C8865" s="37"/>
      <c r="D8865" s="37"/>
      <c r="E8865" s="212"/>
    </row>
    <row r="8866" spans="1:5" ht="14.25">
      <c r="A8866" s="37"/>
      <c r="B8866" s="37"/>
      <c r="C8866" s="37"/>
      <c r="D8866" s="37"/>
      <c r="E8866" s="212"/>
    </row>
    <row r="8867" spans="1:5" ht="14.25">
      <c r="A8867" s="37"/>
      <c r="B8867" s="37"/>
      <c r="C8867" s="37"/>
      <c r="D8867" s="37"/>
      <c r="E8867" s="212"/>
    </row>
    <row r="8868" spans="1:5" ht="14.25">
      <c r="A8868" s="37"/>
      <c r="B8868" s="37"/>
      <c r="C8868" s="37"/>
      <c r="D8868" s="37"/>
      <c r="E8868" s="212"/>
    </row>
    <row r="8869" spans="1:5" ht="14.25">
      <c r="A8869" s="37"/>
      <c r="B8869" s="37"/>
      <c r="C8869" s="37"/>
      <c r="D8869" s="37"/>
      <c r="E8869" s="212"/>
    </row>
    <row r="8870" spans="1:5" ht="14.25">
      <c r="A8870" s="37"/>
      <c r="B8870" s="37"/>
      <c r="C8870" s="37"/>
      <c r="D8870" s="37"/>
      <c r="E8870" s="212"/>
    </row>
    <row r="8871" spans="1:5" ht="14.25">
      <c r="A8871" s="37"/>
      <c r="B8871" s="37"/>
      <c r="C8871" s="37"/>
      <c r="D8871" s="37"/>
      <c r="E8871" s="212"/>
    </row>
    <row r="8872" spans="1:5" ht="14.25">
      <c r="A8872" s="37"/>
      <c r="B8872" s="37"/>
      <c r="C8872" s="37"/>
      <c r="D8872" s="37"/>
      <c r="E8872" s="212"/>
    </row>
    <row r="8873" spans="1:5" ht="14.25">
      <c r="A8873" s="37"/>
      <c r="B8873" s="37"/>
      <c r="C8873" s="37"/>
      <c r="D8873" s="37"/>
      <c r="E8873" s="212"/>
    </row>
    <row r="8874" spans="1:5" ht="14.25">
      <c r="A8874" s="37"/>
      <c r="B8874" s="37"/>
      <c r="C8874" s="37"/>
      <c r="D8874" s="37"/>
      <c r="E8874" s="212"/>
    </row>
    <row r="8875" spans="1:5" ht="14.25">
      <c r="A8875" s="37"/>
      <c r="B8875" s="37"/>
      <c r="C8875" s="37"/>
      <c r="D8875" s="37"/>
      <c r="E8875" s="213"/>
    </row>
    <row r="8876" spans="1:5" ht="14.25">
      <c r="A8876" s="37"/>
      <c r="B8876" s="37"/>
      <c r="C8876" s="37"/>
      <c r="D8876" s="37"/>
      <c r="E8876" s="212"/>
    </row>
    <row r="8877" spans="1:5" ht="14.25">
      <c r="A8877" s="37"/>
      <c r="B8877" s="37"/>
      <c r="C8877" s="37"/>
      <c r="D8877" s="37"/>
      <c r="E8877" s="212"/>
    </row>
    <row r="8878" spans="1:5" ht="14.25">
      <c r="A8878" s="37"/>
      <c r="B8878" s="37"/>
      <c r="C8878" s="37"/>
      <c r="D8878" s="37"/>
      <c r="E8878" s="212"/>
    </row>
    <row r="8879" spans="1:5" ht="14.25">
      <c r="A8879" s="37"/>
      <c r="B8879" s="37"/>
      <c r="C8879" s="37"/>
      <c r="D8879" s="37"/>
      <c r="E8879" s="212"/>
    </row>
    <row r="8880" spans="1:5" ht="14.25">
      <c r="A8880" s="37"/>
      <c r="B8880" s="37"/>
      <c r="C8880" s="37"/>
      <c r="D8880" s="37"/>
      <c r="E8880" s="212"/>
    </row>
    <row r="8881" spans="1:5" ht="14.25">
      <c r="A8881" s="37"/>
      <c r="B8881" s="37"/>
      <c r="C8881" s="37"/>
      <c r="D8881" s="37"/>
      <c r="E8881" s="212"/>
    </row>
    <row r="8882" spans="1:5" ht="14.25">
      <c r="A8882" s="37"/>
      <c r="B8882" s="37"/>
      <c r="C8882" s="37"/>
      <c r="D8882" s="37"/>
      <c r="E8882" s="212"/>
    </row>
    <row r="8883" spans="1:5" ht="14.25">
      <c r="A8883" s="37"/>
      <c r="B8883" s="37"/>
      <c r="C8883" s="37"/>
      <c r="D8883" s="37"/>
      <c r="E8883" s="212"/>
    </row>
    <row r="8884" spans="1:5" ht="14.25">
      <c r="A8884" s="37"/>
      <c r="B8884" s="37"/>
      <c r="C8884" s="37"/>
      <c r="D8884" s="37"/>
      <c r="E8884" s="212"/>
    </row>
    <row r="8885" spans="1:5" ht="14.25">
      <c r="A8885" s="37"/>
      <c r="B8885" s="37"/>
      <c r="C8885" s="37"/>
      <c r="D8885" s="37"/>
      <c r="E8885" s="212"/>
    </row>
    <row r="8886" spans="1:5" ht="14.25">
      <c r="A8886" s="37"/>
      <c r="B8886" s="37"/>
      <c r="C8886" s="37"/>
      <c r="D8886" s="37"/>
      <c r="E8886" s="213"/>
    </row>
    <row r="8887" spans="1:5" ht="14.25">
      <c r="A8887" s="37"/>
      <c r="B8887" s="37"/>
      <c r="C8887" s="37"/>
      <c r="D8887" s="37"/>
      <c r="E8887" s="212"/>
    </row>
    <row r="8888" spans="1:5" ht="14.25">
      <c r="A8888" s="37"/>
      <c r="B8888" s="37"/>
      <c r="C8888" s="37"/>
      <c r="D8888" s="37"/>
      <c r="E8888" s="212"/>
    </row>
    <row r="8889" spans="1:5" ht="14.25">
      <c r="A8889" s="37"/>
      <c r="B8889" s="37"/>
      <c r="C8889" s="37"/>
      <c r="D8889" s="37"/>
      <c r="E8889" s="212"/>
    </row>
    <row r="8890" spans="1:5" ht="14.25">
      <c r="A8890" s="37"/>
      <c r="B8890" s="37"/>
      <c r="C8890" s="37"/>
      <c r="D8890" s="37"/>
      <c r="E8890" s="212"/>
    </row>
    <row r="8891" spans="1:5" ht="14.25">
      <c r="A8891" s="37"/>
      <c r="B8891" s="37"/>
      <c r="C8891" s="37"/>
      <c r="D8891" s="37"/>
      <c r="E8891" s="212"/>
    </row>
    <row r="8892" spans="1:5" ht="14.25">
      <c r="A8892" s="37"/>
      <c r="B8892" s="37"/>
      <c r="C8892" s="37"/>
      <c r="D8892" s="37"/>
      <c r="E8892" s="212"/>
    </row>
    <row r="8893" spans="1:5" ht="14.25">
      <c r="A8893" s="37"/>
      <c r="B8893" s="37"/>
      <c r="C8893" s="37"/>
      <c r="D8893" s="37"/>
      <c r="E8893" s="212"/>
    </row>
    <row r="8894" spans="1:5" ht="14.25">
      <c r="A8894" s="37"/>
      <c r="B8894" s="37"/>
      <c r="C8894" s="37"/>
      <c r="D8894" s="37"/>
      <c r="E8894" s="212"/>
    </row>
    <row r="8895" spans="1:5" ht="14.25">
      <c r="A8895" s="37"/>
      <c r="B8895" s="37"/>
      <c r="C8895" s="37"/>
      <c r="D8895" s="37"/>
      <c r="E8895" s="212"/>
    </row>
    <row r="8896" spans="1:5" ht="14.25">
      <c r="A8896" s="37"/>
      <c r="B8896" s="37"/>
      <c r="C8896" s="37"/>
      <c r="D8896" s="37"/>
      <c r="E8896" s="212"/>
    </row>
    <row r="8897" spans="1:5" ht="14.25">
      <c r="A8897" s="37"/>
      <c r="B8897" s="37"/>
      <c r="C8897" s="37"/>
      <c r="D8897" s="37"/>
      <c r="E8897" s="212"/>
    </row>
    <row r="8898" spans="1:5" ht="14.25">
      <c r="A8898" s="37"/>
      <c r="B8898" s="37"/>
      <c r="C8898" s="37"/>
      <c r="D8898" s="37"/>
      <c r="E8898" s="212"/>
    </row>
    <row r="8899" spans="1:5" ht="14.25">
      <c r="A8899" s="37"/>
      <c r="B8899" s="37"/>
      <c r="C8899" s="37"/>
      <c r="D8899" s="37"/>
      <c r="E8899" s="212"/>
    </row>
    <row r="8900" spans="1:5" ht="14.25">
      <c r="A8900" s="37"/>
      <c r="B8900" s="37"/>
      <c r="C8900" s="37"/>
      <c r="D8900" s="37"/>
      <c r="E8900" s="212"/>
    </row>
    <row r="8901" spans="1:5" ht="14.25">
      <c r="A8901" s="37"/>
      <c r="B8901" s="37"/>
      <c r="C8901" s="37"/>
      <c r="D8901" s="37"/>
      <c r="E8901" s="212"/>
    </row>
    <row r="8902" spans="1:5" ht="14.25">
      <c r="A8902" s="37"/>
      <c r="B8902" s="37"/>
      <c r="C8902" s="37"/>
      <c r="D8902" s="37"/>
      <c r="E8902" s="212"/>
    </row>
    <row r="8903" spans="1:5" ht="14.25">
      <c r="A8903" s="37"/>
      <c r="B8903" s="37"/>
      <c r="C8903" s="37"/>
      <c r="D8903" s="37"/>
      <c r="E8903" s="212"/>
    </row>
    <row r="8904" spans="1:5" ht="14.25">
      <c r="A8904" s="37"/>
      <c r="B8904" s="37"/>
      <c r="C8904" s="37"/>
      <c r="D8904" s="37"/>
      <c r="E8904" s="212"/>
    </row>
    <row r="8905" spans="1:5" ht="14.25">
      <c r="A8905" s="37"/>
      <c r="B8905" s="37"/>
      <c r="C8905" s="37"/>
      <c r="D8905" s="37"/>
      <c r="E8905" s="212"/>
    </row>
    <row r="8906" spans="1:5" ht="14.25">
      <c r="A8906" s="37"/>
      <c r="B8906" s="37"/>
      <c r="C8906" s="37"/>
      <c r="D8906" s="37"/>
      <c r="E8906" s="212"/>
    </row>
    <row r="8907" spans="1:5" ht="14.25">
      <c r="A8907" s="37"/>
      <c r="B8907" s="37"/>
      <c r="C8907" s="37"/>
      <c r="D8907" s="37"/>
      <c r="E8907" s="212"/>
    </row>
    <row r="8908" spans="1:5" ht="14.25">
      <c r="A8908" s="37"/>
      <c r="B8908" s="37"/>
      <c r="C8908" s="37"/>
      <c r="D8908" s="37"/>
      <c r="E8908" s="212"/>
    </row>
    <row r="8909" spans="1:5" ht="14.25">
      <c r="A8909" s="37"/>
      <c r="B8909" s="37"/>
      <c r="C8909" s="37"/>
      <c r="D8909" s="37"/>
      <c r="E8909" s="212"/>
    </row>
    <row r="8910" spans="1:5" ht="14.25">
      <c r="A8910" s="37"/>
      <c r="B8910" s="37"/>
      <c r="C8910" s="37"/>
      <c r="D8910" s="37"/>
      <c r="E8910" s="212"/>
    </row>
    <row r="8911" spans="1:5" ht="14.25">
      <c r="A8911" s="37"/>
      <c r="B8911" s="37"/>
      <c r="C8911" s="37"/>
      <c r="D8911" s="37"/>
      <c r="E8911" s="212"/>
    </row>
    <row r="8912" spans="1:5" ht="14.25">
      <c r="A8912" s="37"/>
      <c r="B8912" s="37"/>
      <c r="C8912" s="37"/>
      <c r="D8912" s="37"/>
      <c r="E8912" s="212"/>
    </row>
    <row r="8913" spans="1:5" ht="14.25">
      <c r="A8913" s="37"/>
      <c r="B8913" s="37"/>
      <c r="C8913" s="37"/>
      <c r="D8913" s="37"/>
      <c r="E8913" s="212"/>
    </row>
    <row r="8914" spans="1:5" ht="14.25">
      <c r="A8914" s="37"/>
      <c r="B8914" s="37"/>
      <c r="C8914" s="37"/>
      <c r="D8914" s="37"/>
      <c r="E8914" s="212"/>
    </row>
    <row r="8915" spans="1:5" ht="14.25">
      <c r="A8915" s="37"/>
      <c r="B8915" s="37"/>
      <c r="C8915" s="37"/>
      <c r="D8915" s="37"/>
      <c r="E8915" s="212"/>
    </row>
    <row r="8916" spans="1:5" ht="14.25">
      <c r="A8916" s="37"/>
      <c r="B8916" s="37"/>
      <c r="C8916" s="37"/>
      <c r="D8916" s="37"/>
      <c r="E8916" s="212"/>
    </row>
    <row r="8917" spans="1:5" ht="14.25">
      <c r="A8917" s="37"/>
      <c r="B8917" s="37"/>
      <c r="C8917" s="37"/>
      <c r="D8917" s="37"/>
      <c r="E8917" s="212"/>
    </row>
    <row r="8918" spans="1:5" ht="14.25">
      <c r="A8918" s="37"/>
      <c r="B8918" s="37"/>
      <c r="C8918" s="37"/>
      <c r="D8918" s="37"/>
      <c r="E8918" s="212"/>
    </row>
    <row r="8919" spans="1:5" ht="14.25">
      <c r="A8919" s="37"/>
      <c r="B8919" s="37"/>
      <c r="C8919" s="37"/>
      <c r="D8919" s="37"/>
      <c r="E8919" s="212"/>
    </row>
    <row r="8920" spans="1:5" ht="14.25">
      <c r="A8920" s="37"/>
      <c r="B8920" s="37"/>
      <c r="C8920" s="37"/>
      <c r="D8920" s="37"/>
      <c r="E8920" s="212"/>
    </row>
    <row r="8921" spans="1:5" ht="14.25">
      <c r="A8921" s="37"/>
      <c r="B8921" s="37"/>
      <c r="C8921" s="37"/>
      <c r="D8921" s="37"/>
      <c r="E8921" s="212"/>
    </row>
    <row r="8922" spans="1:5" ht="14.25">
      <c r="A8922" s="37"/>
      <c r="B8922" s="37"/>
      <c r="C8922" s="37"/>
      <c r="D8922" s="37"/>
      <c r="E8922" s="212"/>
    </row>
    <row r="8923" spans="1:5" ht="14.25">
      <c r="A8923" s="37"/>
      <c r="B8923" s="37"/>
      <c r="C8923" s="37"/>
      <c r="D8923" s="37"/>
      <c r="E8923" s="212"/>
    </row>
    <row r="8924" spans="1:5" ht="14.25">
      <c r="A8924" s="37"/>
      <c r="B8924" s="37"/>
      <c r="C8924" s="37"/>
      <c r="D8924" s="37"/>
      <c r="E8924" s="212"/>
    </row>
    <row r="8925" spans="1:5" ht="14.25">
      <c r="A8925" s="37"/>
      <c r="B8925" s="37"/>
      <c r="C8925" s="37"/>
      <c r="D8925" s="37"/>
      <c r="E8925" s="212"/>
    </row>
    <row r="8926" spans="1:5" ht="14.25">
      <c r="A8926" s="37"/>
      <c r="B8926" s="37"/>
      <c r="C8926" s="37"/>
      <c r="D8926" s="37"/>
      <c r="E8926" s="212"/>
    </row>
    <row r="8927" spans="1:5" ht="14.25">
      <c r="A8927" s="37"/>
      <c r="B8927" s="37"/>
      <c r="C8927" s="37"/>
      <c r="D8927" s="37"/>
      <c r="E8927" s="212"/>
    </row>
    <row r="8928" spans="1:5" ht="14.25">
      <c r="A8928" s="37"/>
      <c r="B8928" s="37"/>
      <c r="C8928" s="37"/>
      <c r="D8928" s="37"/>
      <c r="E8928" s="212"/>
    </row>
    <row r="8929" spans="1:5" ht="14.25">
      <c r="A8929" s="37"/>
      <c r="B8929" s="37"/>
      <c r="C8929" s="37"/>
      <c r="D8929" s="37"/>
      <c r="E8929" s="212"/>
    </row>
    <row r="8930" spans="1:5" ht="14.25">
      <c r="A8930" s="37"/>
      <c r="B8930" s="37"/>
      <c r="C8930" s="37"/>
      <c r="D8930" s="37"/>
      <c r="E8930" s="212"/>
    </row>
    <row r="8931" spans="1:5" ht="14.25">
      <c r="A8931" s="37"/>
      <c r="B8931" s="37"/>
      <c r="C8931" s="37"/>
      <c r="D8931" s="37"/>
      <c r="E8931" s="212"/>
    </row>
    <row r="8932" spans="1:5" ht="14.25">
      <c r="A8932" s="37"/>
      <c r="B8932" s="37"/>
      <c r="C8932" s="37"/>
      <c r="D8932" s="37"/>
      <c r="E8932" s="212"/>
    </row>
    <row r="8933" spans="1:5" ht="14.25">
      <c r="A8933" s="37"/>
      <c r="B8933" s="37"/>
      <c r="C8933" s="37"/>
      <c r="D8933" s="37"/>
      <c r="E8933" s="212"/>
    </row>
    <row r="8934" spans="1:5" ht="14.25">
      <c r="A8934" s="37"/>
      <c r="B8934" s="37"/>
      <c r="C8934" s="37"/>
      <c r="D8934" s="37"/>
      <c r="E8934" s="212"/>
    </row>
    <row r="8935" spans="1:5" ht="14.25">
      <c r="A8935" s="37"/>
      <c r="B8935" s="37"/>
      <c r="C8935" s="37"/>
      <c r="D8935" s="37"/>
      <c r="E8935" s="212"/>
    </row>
    <row r="8936" spans="1:5" ht="14.25">
      <c r="A8936" s="37"/>
      <c r="B8936" s="37"/>
      <c r="C8936" s="37"/>
      <c r="D8936" s="37"/>
      <c r="E8936" s="212"/>
    </row>
    <row r="8937" spans="1:5" ht="14.25">
      <c r="A8937" s="37"/>
      <c r="B8937" s="37"/>
      <c r="C8937" s="37"/>
      <c r="D8937" s="37"/>
      <c r="E8937" s="212"/>
    </row>
    <row r="8938" spans="1:5" ht="14.25">
      <c r="A8938" s="37"/>
      <c r="B8938" s="37"/>
      <c r="C8938" s="37"/>
      <c r="D8938" s="37"/>
      <c r="E8938" s="212"/>
    </row>
    <row r="8939" spans="1:5" ht="14.25">
      <c r="A8939" s="37"/>
      <c r="B8939" s="37"/>
      <c r="C8939" s="37"/>
      <c r="D8939" s="37"/>
      <c r="E8939" s="212"/>
    </row>
    <row r="8940" spans="1:5" ht="14.25">
      <c r="A8940" s="37"/>
      <c r="B8940" s="37"/>
      <c r="C8940" s="37"/>
      <c r="D8940" s="37"/>
      <c r="E8940" s="212"/>
    </row>
    <row r="8941" spans="1:5" ht="14.25">
      <c r="A8941" s="37"/>
      <c r="B8941" s="37"/>
      <c r="C8941" s="37"/>
      <c r="D8941" s="37"/>
      <c r="E8941" s="212"/>
    </row>
    <row r="8942" spans="1:5" ht="14.25">
      <c r="A8942" s="37"/>
      <c r="B8942" s="37"/>
      <c r="C8942" s="37"/>
      <c r="D8942" s="37"/>
      <c r="E8942" s="212"/>
    </row>
    <row r="8943" spans="1:5" ht="14.25">
      <c r="A8943" s="37"/>
      <c r="B8943" s="37"/>
      <c r="C8943" s="37"/>
      <c r="D8943" s="37"/>
      <c r="E8943" s="212"/>
    </row>
    <row r="8944" spans="1:5" ht="14.25">
      <c r="A8944" s="37"/>
      <c r="B8944" s="37"/>
      <c r="C8944" s="37"/>
      <c r="D8944" s="37"/>
      <c r="E8944" s="212"/>
    </row>
    <row r="8945" spans="1:5" ht="14.25">
      <c r="A8945" s="37"/>
      <c r="B8945" s="37"/>
      <c r="C8945" s="37"/>
      <c r="D8945" s="37"/>
      <c r="E8945" s="212"/>
    </row>
    <row r="8946" spans="1:5" ht="14.25">
      <c r="A8946" s="37"/>
      <c r="B8946" s="37"/>
      <c r="C8946" s="37"/>
      <c r="D8946" s="37"/>
      <c r="E8946" s="212"/>
    </row>
    <row r="8947" spans="1:5" ht="14.25">
      <c r="A8947" s="37"/>
      <c r="B8947" s="37"/>
      <c r="C8947" s="37"/>
      <c r="D8947" s="37"/>
      <c r="E8947" s="212"/>
    </row>
    <row r="8948" spans="1:5" ht="14.25">
      <c r="A8948" s="37"/>
      <c r="B8948" s="37"/>
      <c r="C8948" s="37"/>
      <c r="D8948" s="37"/>
      <c r="E8948" s="212"/>
    </row>
    <row r="8949" spans="1:5" ht="14.25">
      <c r="A8949" s="37"/>
      <c r="B8949" s="37"/>
      <c r="C8949" s="37"/>
      <c r="D8949" s="37"/>
      <c r="E8949" s="212"/>
    </row>
    <row r="8950" spans="1:5" ht="14.25">
      <c r="A8950" s="37"/>
      <c r="B8950" s="37"/>
      <c r="C8950" s="37"/>
      <c r="D8950" s="37"/>
      <c r="E8950" s="212"/>
    </row>
    <row r="8951" spans="1:5" ht="14.25">
      <c r="A8951" s="37"/>
      <c r="B8951" s="37"/>
      <c r="C8951" s="37"/>
      <c r="D8951" s="37"/>
      <c r="E8951" s="212"/>
    </row>
    <row r="8952" spans="1:5" ht="14.25">
      <c r="A8952" s="37"/>
      <c r="B8952" s="37"/>
      <c r="C8952" s="37"/>
      <c r="D8952" s="37"/>
      <c r="E8952" s="212"/>
    </row>
    <row r="8953" spans="1:5" ht="14.25">
      <c r="A8953" s="37"/>
      <c r="B8953" s="37"/>
      <c r="C8953" s="37"/>
      <c r="D8953" s="37"/>
      <c r="E8953" s="212"/>
    </row>
    <row r="8954" spans="1:5" ht="14.25">
      <c r="A8954" s="37"/>
      <c r="B8954" s="37"/>
      <c r="C8954" s="37"/>
      <c r="D8954" s="37"/>
      <c r="E8954" s="213"/>
    </row>
    <row r="8955" spans="1:5" ht="14.25">
      <c r="A8955" s="37"/>
      <c r="B8955" s="37"/>
      <c r="C8955" s="37"/>
      <c r="D8955" s="37"/>
      <c r="E8955" s="212"/>
    </row>
    <row r="8956" spans="1:5" ht="14.25">
      <c r="A8956" s="37"/>
      <c r="B8956" s="37"/>
      <c r="C8956" s="37"/>
      <c r="D8956" s="37"/>
      <c r="E8956" s="213"/>
    </row>
    <row r="8957" spans="1:5" ht="14.25">
      <c r="A8957" s="37"/>
      <c r="B8957" s="37"/>
      <c r="C8957" s="37"/>
      <c r="D8957" s="37"/>
      <c r="E8957" s="213"/>
    </row>
    <row r="8958" spans="1:5" ht="14.25">
      <c r="A8958" s="37"/>
      <c r="B8958" s="37"/>
      <c r="C8958" s="37"/>
      <c r="D8958" s="37"/>
      <c r="E8958" s="212"/>
    </row>
    <row r="8959" spans="1:5" ht="14.25">
      <c r="A8959" s="37"/>
      <c r="B8959" s="37"/>
      <c r="C8959" s="37"/>
      <c r="D8959" s="37"/>
      <c r="E8959" s="213"/>
    </row>
    <row r="8960" spans="1:5" ht="14.25">
      <c r="A8960" s="37"/>
      <c r="B8960" s="37"/>
      <c r="C8960" s="37"/>
      <c r="D8960" s="37"/>
      <c r="E8960" s="213"/>
    </row>
    <row r="8961" spans="1:5" ht="14.25">
      <c r="A8961" s="37"/>
      <c r="B8961" s="37"/>
      <c r="C8961" s="37"/>
      <c r="D8961" s="37"/>
      <c r="E8961" s="212"/>
    </row>
    <row r="8962" spans="1:5" ht="14.25">
      <c r="A8962" s="37"/>
      <c r="B8962" s="37"/>
      <c r="C8962" s="37"/>
      <c r="D8962" s="37"/>
      <c r="E8962" s="213"/>
    </row>
    <row r="8963" spans="1:5" ht="14.25">
      <c r="A8963" s="37"/>
      <c r="B8963" s="37"/>
      <c r="C8963" s="37"/>
      <c r="D8963" s="37"/>
      <c r="E8963" s="213"/>
    </row>
    <row r="8964" spans="1:5" ht="14.25">
      <c r="A8964" s="37"/>
      <c r="B8964" s="37"/>
      <c r="C8964" s="37"/>
      <c r="D8964" s="37"/>
      <c r="E8964" s="212"/>
    </row>
    <row r="8965" spans="1:5" ht="14.25">
      <c r="A8965" s="37"/>
      <c r="B8965" s="37"/>
      <c r="C8965" s="37"/>
      <c r="D8965" s="37"/>
      <c r="E8965" s="213"/>
    </row>
    <row r="8966" spans="1:5" ht="14.25">
      <c r="A8966" s="37"/>
      <c r="B8966" s="37"/>
      <c r="C8966" s="37"/>
      <c r="D8966" s="37"/>
      <c r="E8966" s="213"/>
    </row>
    <row r="8967" spans="1:5" ht="14.25">
      <c r="A8967" s="37"/>
      <c r="B8967" s="37"/>
      <c r="C8967" s="37"/>
      <c r="D8967" s="37"/>
      <c r="E8967" s="213"/>
    </row>
    <row r="8968" spans="1:5" ht="14.25">
      <c r="A8968" s="37"/>
      <c r="B8968" s="37"/>
      <c r="C8968" s="37"/>
      <c r="D8968" s="37"/>
      <c r="E8968" s="212"/>
    </row>
    <row r="8969" spans="1:5" ht="14.25">
      <c r="A8969" s="37"/>
      <c r="B8969" s="37"/>
      <c r="C8969" s="37"/>
      <c r="D8969" s="37"/>
      <c r="E8969" s="213"/>
    </row>
    <row r="8970" spans="1:5" ht="14.25">
      <c r="A8970" s="37"/>
      <c r="B8970" s="37"/>
      <c r="C8970" s="37"/>
      <c r="D8970" s="37"/>
      <c r="E8970" s="212"/>
    </row>
    <row r="8971" spans="1:5" ht="14.25">
      <c r="A8971" s="37"/>
      <c r="B8971" s="37"/>
      <c r="C8971" s="37"/>
      <c r="D8971" s="37"/>
      <c r="E8971" s="212"/>
    </row>
    <row r="8972" spans="1:5" ht="14.25">
      <c r="A8972" s="37"/>
      <c r="B8972" s="37"/>
      <c r="C8972" s="37"/>
      <c r="D8972" s="37"/>
      <c r="E8972" s="212"/>
    </row>
    <row r="8973" spans="1:5" ht="14.25">
      <c r="A8973" s="37"/>
      <c r="B8973" s="37"/>
      <c r="C8973" s="37"/>
      <c r="D8973" s="37"/>
      <c r="E8973" s="212"/>
    </row>
    <row r="8974" spans="1:5" ht="14.25">
      <c r="A8974" s="37"/>
      <c r="B8974" s="37"/>
      <c r="C8974" s="37"/>
      <c r="D8974" s="37"/>
      <c r="E8974" s="213"/>
    </row>
    <row r="8975" spans="1:5" ht="14.25">
      <c r="A8975" s="37"/>
      <c r="B8975" s="37"/>
      <c r="C8975" s="37"/>
      <c r="D8975" s="37"/>
      <c r="E8975" s="213"/>
    </row>
    <row r="8976" spans="1:5" ht="14.25">
      <c r="A8976" s="37"/>
      <c r="B8976" s="37"/>
      <c r="C8976" s="37"/>
      <c r="D8976" s="37"/>
      <c r="E8976" s="213"/>
    </row>
    <row r="8977" spans="1:5" ht="14.25">
      <c r="A8977" s="37"/>
      <c r="B8977" s="37"/>
      <c r="C8977" s="37"/>
      <c r="D8977" s="37"/>
      <c r="E8977" s="213"/>
    </row>
    <row r="8978" spans="1:5" ht="14.25">
      <c r="A8978" s="37"/>
      <c r="B8978" s="37"/>
      <c r="C8978" s="37"/>
      <c r="D8978" s="37"/>
      <c r="E8978" s="213"/>
    </row>
    <row r="8979" spans="1:5" ht="14.25">
      <c r="A8979" s="37"/>
      <c r="B8979" s="37"/>
      <c r="C8979" s="37"/>
      <c r="D8979" s="37"/>
      <c r="E8979" s="213"/>
    </row>
    <row r="8980" spans="1:5" ht="14.25">
      <c r="A8980" s="37"/>
      <c r="B8980" s="37"/>
      <c r="C8980" s="37"/>
      <c r="D8980" s="37"/>
      <c r="E8980" s="213"/>
    </row>
    <row r="8981" spans="1:5" ht="14.25">
      <c r="A8981" s="37"/>
      <c r="B8981" s="37"/>
      <c r="C8981" s="37"/>
      <c r="D8981" s="37"/>
      <c r="E8981" s="212"/>
    </row>
    <row r="8982" spans="1:5" ht="14.25">
      <c r="A8982" s="37"/>
      <c r="B8982" s="37"/>
      <c r="C8982" s="37"/>
      <c r="D8982" s="37"/>
      <c r="E8982" s="212"/>
    </row>
    <row r="8983" spans="1:5" ht="14.25">
      <c r="A8983" s="37"/>
      <c r="B8983" s="37"/>
      <c r="C8983" s="37"/>
      <c r="D8983" s="37"/>
      <c r="E8983" s="212"/>
    </row>
    <row r="8984" spans="1:5" ht="14.25">
      <c r="A8984" s="37"/>
      <c r="B8984" s="37"/>
      <c r="C8984" s="37"/>
      <c r="D8984" s="37"/>
      <c r="E8984" s="212"/>
    </row>
    <row r="8985" spans="1:5" ht="14.25">
      <c r="A8985" s="37"/>
      <c r="B8985" s="37"/>
      <c r="C8985" s="37"/>
      <c r="D8985" s="37"/>
      <c r="E8985" s="212"/>
    </row>
    <row r="8986" spans="1:5" ht="14.25">
      <c r="A8986" s="37"/>
      <c r="B8986" s="37"/>
      <c r="C8986" s="37"/>
      <c r="D8986" s="37"/>
      <c r="E8986" s="212"/>
    </row>
    <row r="8987" spans="1:5" ht="14.25">
      <c r="A8987" s="37"/>
      <c r="B8987" s="37"/>
      <c r="C8987" s="37"/>
      <c r="D8987" s="37"/>
      <c r="E8987" s="212"/>
    </row>
    <row r="8988" spans="1:5" ht="14.25">
      <c r="A8988" s="37"/>
      <c r="B8988" s="37"/>
      <c r="C8988" s="37"/>
      <c r="D8988" s="37"/>
      <c r="E8988" s="212"/>
    </row>
    <row r="8989" spans="1:5" ht="14.25">
      <c r="A8989" s="37"/>
      <c r="B8989" s="37"/>
      <c r="C8989" s="37"/>
      <c r="D8989" s="37"/>
      <c r="E8989" s="212"/>
    </row>
    <row r="8990" spans="1:5" ht="14.25">
      <c r="A8990" s="37"/>
      <c r="B8990" s="37"/>
      <c r="C8990" s="37"/>
      <c r="D8990" s="37"/>
      <c r="E8990" s="212"/>
    </row>
    <row r="8991" spans="1:5" ht="14.25">
      <c r="A8991" s="37"/>
      <c r="B8991" s="37"/>
      <c r="C8991" s="37"/>
      <c r="D8991" s="37"/>
      <c r="E8991" s="212"/>
    </row>
    <row r="8992" spans="1:5" ht="14.25">
      <c r="A8992" s="37"/>
      <c r="B8992" s="37"/>
      <c r="C8992" s="37"/>
      <c r="D8992" s="37"/>
      <c r="E8992" s="212"/>
    </row>
    <row r="8993" spans="1:5" ht="14.25">
      <c r="A8993" s="37"/>
      <c r="B8993" s="37"/>
      <c r="C8993" s="37"/>
      <c r="D8993" s="37"/>
      <c r="E8993" s="212"/>
    </row>
    <row r="8994" spans="1:5" ht="14.25">
      <c r="A8994" s="37"/>
      <c r="B8994" s="37"/>
      <c r="C8994" s="37"/>
      <c r="D8994" s="37"/>
      <c r="E8994" s="212"/>
    </row>
    <row r="8995" spans="1:5" ht="14.25">
      <c r="A8995" s="37"/>
      <c r="B8995" s="37"/>
      <c r="C8995" s="37"/>
      <c r="D8995" s="37"/>
      <c r="E8995" s="212"/>
    </row>
    <row r="8996" spans="1:5" ht="14.25">
      <c r="A8996" s="37"/>
      <c r="B8996" s="37"/>
      <c r="C8996" s="37"/>
      <c r="D8996" s="37"/>
      <c r="E8996" s="212"/>
    </row>
    <row r="8997" spans="1:5" ht="14.25">
      <c r="A8997" s="37"/>
      <c r="B8997" s="37"/>
      <c r="C8997" s="37"/>
      <c r="D8997" s="37"/>
      <c r="E8997" s="212"/>
    </row>
    <row r="8998" spans="1:5" ht="14.25">
      <c r="A8998" s="37"/>
      <c r="B8998" s="37"/>
      <c r="C8998" s="37"/>
      <c r="D8998" s="37"/>
      <c r="E8998" s="212"/>
    </row>
    <row r="8999" spans="1:5" ht="14.25">
      <c r="A8999" s="37"/>
      <c r="B8999" s="37"/>
      <c r="C8999" s="37"/>
      <c r="D8999" s="37"/>
      <c r="E8999" s="212"/>
    </row>
    <row r="9000" spans="1:5" ht="14.25">
      <c r="A9000" s="37"/>
      <c r="B9000" s="37"/>
      <c r="C9000" s="37"/>
      <c r="D9000" s="37"/>
      <c r="E9000" s="212"/>
    </row>
    <row r="9001" spans="1:5" ht="14.25">
      <c r="A9001" s="37"/>
      <c r="B9001" s="37"/>
      <c r="C9001" s="37"/>
      <c r="D9001" s="37"/>
      <c r="E9001" s="212"/>
    </row>
    <row r="9002" spans="1:5" ht="14.25">
      <c r="A9002" s="37"/>
      <c r="B9002" s="37"/>
      <c r="C9002" s="37"/>
      <c r="D9002" s="37"/>
      <c r="E9002" s="212"/>
    </row>
    <row r="9003" spans="1:5" ht="14.25">
      <c r="A9003" s="37"/>
      <c r="B9003" s="37"/>
      <c r="C9003" s="37"/>
      <c r="D9003" s="37"/>
      <c r="E9003" s="212"/>
    </row>
    <row r="9004" spans="1:5" ht="14.25">
      <c r="A9004" s="37"/>
      <c r="B9004" s="37"/>
      <c r="C9004" s="37"/>
      <c r="D9004" s="37"/>
      <c r="E9004" s="212"/>
    </row>
    <row r="9005" spans="1:5" ht="14.25">
      <c r="A9005" s="37"/>
      <c r="B9005" s="37"/>
      <c r="C9005" s="37"/>
      <c r="D9005" s="37"/>
      <c r="E9005" s="212"/>
    </row>
    <row r="9006" spans="1:5" ht="14.25">
      <c r="A9006" s="37"/>
      <c r="B9006" s="37"/>
      <c r="C9006" s="37"/>
      <c r="D9006" s="37"/>
      <c r="E9006" s="212"/>
    </row>
    <row r="9007" spans="1:5" ht="14.25">
      <c r="A9007" s="37"/>
      <c r="B9007" s="37"/>
      <c r="C9007" s="37"/>
      <c r="D9007" s="37"/>
      <c r="E9007" s="212"/>
    </row>
    <row r="9008" spans="1:5" ht="14.25">
      <c r="A9008" s="37"/>
      <c r="B9008" s="37"/>
      <c r="C9008" s="37"/>
      <c r="D9008" s="37"/>
      <c r="E9008" s="212"/>
    </row>
    <row r="9009" spans="1:5" ht="14.25">
      <c r="A9009" s="37"/>
      <c r="B9009" s="37"/>
      <c r="C9009" s="37"/>
      <c r="D9009" s="37"/>
      <c r="E9009" s="212"/>
    </row>
    <row r="9010" spans="1:5" ht="14.25">
      <c r="A9010" s="37"/>
      <c r="B9010" s="37"/>
      <c r="C9010" s="37"/>
      <c r="D9010" s="37"/>
      <c r="E9010" s="212"/>
    </row>
    <row r="9011" spans="1:5" ht="14.25">
      <c r="A9011" s="37"/>
      <c r="B9011" s="37"/>
      <c r="C9011" s="37"/>
      <c r="D9011" s="37"/>
      <c r="E9011" s="212"/>
    </row>
    <row r="9012" spans="1:5" ht="14.25">
      <c r="A9012" s="37"/>
      <c r="B9012" s="37"/>
      <c r="C9012" s="37"/>
      <c r="D9012" s="37"/>
      <c r="E9012" s="212"/>
    </row>
    <row r="9013" spans="1:5" ht="14.25">
      <c r="A9013" s="37"/>
      <c r="B9013" s="37"/>
      <c r="C9013" s="37"/>
      <c r="D9013" s="37"/>
      <c r="E9013" s="212"/>
    </row>
    <row r="9014" spans="1:5" ht="14.25">
      <c r="A9014" s="37"/>
      <c r="B9014" s="37"/>
      <c r="C9014" s="37"/>
      <c r="D9014" s="37"/>
      <c r="E9014" s="212"/>
    </row>
    <row r="9015" spans="1:5" ht="14.25">
      <c r="A9015" s="37"/>
      <c r="B9015" s="37"/>
      <c r="C9015" s="37"/>
      <c r="D9015" s="37"/>
      <c r="E9015" s="212"/>
    </row>
    <row r="9016" spans="1:5" ht="14.25">
      <c r="A9016" s="37"/>
      <c r="B9016" s="37"/>
      <c r="C9016" s="37"/>
      <c r="D9016" s="37"/>
      <c r="E9016" s="212"/>
    </row>
    <row r="9017" spans="1:5" ht="14.25">
      <c r="A9017" s="37"/>
      <c r="B9017" s="37"/>
      <c r="C9017" s="37"/>
      <c r="D9017" s="37"/>
      <c r="E9017" s="212"/>
    </row>
    <row r="9018" spans="1:5" ht="14.25">
      <c r="A9018" s="37"/>
      <c r="B9018" s="37"/>
      <c r="C9018" s="37"/>
      <c r="D9018" s="37"/>
      <c r="E9018" s="212"/>
    </row>
    <row r="9019" spans="1:5" ht="14.25">
      <c r="A9019" s="37"/>
      <c r="B9019" s="37"/>
      <c r="C9019" s="37"/>
      <c r="D9019" s="37"/>
      <c r="E9019" s="212"/>
    </row>
    <row r="9020" spans="1:5" ht="14.25">
      <c r="A9020" s="37"/>
      <c r="B9020" s="37"/>
      <c r="C9020" s="37"/>
      <c r="D9020" s="37"/>
      <c r="E9020" s="212"/>
    </row>
    <row r="9021" spans="1:5" ht="14.25">
      <c r="A9021" s="37"/>
      <c r="B9021" s="37"/>
      <c r="C9021" s="37"/>
      <c r="D9021" s="37"/>
      <c r="E9021" s="212"/>
    </row>
    <row r="9022" spans="1:5" ht="14.25">
      <c r="A9022" s="37"/>
      <c r="B9022" s="37"/>
      <c r="C9022" s="37"/>
      <c r="D9022" s="37"/>
      <c r="E9022" s="212"/>
    </row>
    <row r="9023" spans="1:5" ht="14.25">
      <c r="A9023" s="37"/>
      <c r="B9023" s="37"/>
      <c r="C9023" s="37"/>
      <c r="D9023" s="37"/>
      <c r="E9023" s="212"/>
    </row>
    <row r="9024" spans="1:5" ht="14.25">
      <c r="A9024" s="37"/>
      <c r="B9024" s="37"/>
      <c r="C9024" s="37"/>
      <c r="D9024" s="37"/>
      <c r="E9024" s="212"/>
    </row>
    <row r="9025" spans="1:5" ht="14.25">
      <c r="A9025" s="37"/>
      <c r="B9025" s="37"/>
      <c r="C9025" s="37"/>
      <c r="D9025" s="37"/>
      <c r="E9025" s="212"/>
    </row>
    <row r="9026" spans="1:5" ht="14.25">
      <c r="A9026" s="37"/>
      <c r="B9026" s="37"/>
      <c r="C9026" s="37"/>
      <c r="D9026" s="37"/>
      <c r="E9026" s="212"/>
    </row>
    <row r="9027" spans="1:5" ht="14.25">
      <c r="A9027" s="37"/>
      <c r="B9027" s="37"/>
      <c r="C9027" s="37"/>
      <c r="D9027" s="37"/>
      <c r="E9027" s="212"/>
    </row>
    <row r="9028" spans="1:5" ht="14.25">
      <c r="A9028" s="37"/>
      <c r="B9028" s="37"/>
      <c r="C9028" s="37"/>
      <c r="D9028" s="37"/>
      <c r="E9028" s="212"/>
    </row>
    <row r="9029" spans="1:5" ht="14.25">
      <c r="A9029" s="37"/>
      <c r="B9029" s="37"/>
      <c r="C9029" s="37"/>
      <c r="D9029" s="37"/>
      <c r="E9029" s="212"/>
    </row>
    <row r="9030" spans="1:5" ht="14.25">
      <c r="A9030" s="37"/>
      <c r="B9030" s="37"/>
      <c r="C9030" s="37"/>
      <c r="D9030" s="37"/>
      <c r="E9030" s="212"/>
    </row>
    <row r="9031" spans="1:5" ht="14.25">
      <c r="A9031" s="37"/>
      <c r="B9031" s="37"/>
      <c r="C9031" s="37"/>
      <c r="D9031" s="37"/>
      <c r="E9031" s="212"/>
    </row>
    <row r="9032" spans="1:5" ht="14.25">
      <c r="A9032" s="37"/>
      <c r="B9032" s="37"/>
      <c r="C9032" s="37"/>
      <c r="D9032" s="37"/>
      <c r="E9032" s="212"/>
    </row>
    <row r="9033" spans="1:5" ht="14.25">
      <c r="A9033" s="37"/>
      <c r="B9033" s="37"/>
      <c r="C9033" s="37"/>
      <c r="D9033" s="37"/>
      <c r="E9033" s="212"/>
    </row>
    <row r="9034" spans="1:5" ht="14.25">
      <c r="A9034" s="37"/>
      <c r="B9034" s="37"/>
      <c r="C9034" s="37"/>
      <c r="D9034" s="37"/>
      <c r="E9034" s="212"/>
    </row>
    <row r="9035" spans="1:5" ht="14.25">
      <c r="A9035" s="37"/>
      <c r="B9035" s="37"/>
      <c r="C9035" s="37"/>
      <c r="D9035" s="37"/>
      <c r="E9035" s="212"/>
    </row>
    <row r="9036" spans="1:5" ht="14.25">
      <c r="A9036" s="37"/>
      <c r="B9036" s="37"/>
      <c r="C9036" s="37"/>
      <c r="D9036" s="37"/>
      <c r="E9036" s="212"/>
    </row>
    <row r="9037" spans="1:5" ht="14.25">
      <c r="A9037" s="37"/>
      <c r="B9037" s="37"/>
      <c r="C9037" s="37"/>
      <c r="D9037" s="37"/>
      <c r="E9037" s="212"/>
    </row>
    <row r="9038" spans="1:5" ht="14.25">
      <c r="A9038" s="37"/>
      <c r="B9038" s="37"/>
      <c r="C9038" s="37"/>
      <c r="D9038" s="37"/>
      <c r="E9038" s="212"/>
    </row>
    <row r="9039" spans="1:5" ht="14.25">
      <c r="A9039" s="37"/>
      <c r="B9039" s="37"/>
      <c r="C9039" s="37"/>
      <c r="D9039" s="37"/>
      <c r="E9039" s="212"/>
    </row>
    <row r="9040" spans="1:5" ht="14.25">
      <c r="A9040" s="37"/>
      <c r="B9040" s="37"/>
      <c r="C9040" s="37"/>
      <c r="D9040" s="37"/>
      <c r="E9040" s="212"/>
    </row>
    <row r="9041" spans="1:5" ht="14.25">
      <c r="A9041" s="37"/>
      <c r="B9041" s="37"/>
      <c r="C9041" s="37"/>
      <c r="D9041" s="37"/>
      <c r="E9041" s="212"/>
    </row>
    <row r="9042" spans="1:5" ht="14.25">
      <c r="A9042" s="37"/>
      <c r="B9042" s="37"/>
      <c r="C9042" s="37"/>
      <c r="D9042" s="37"/>
      <c r="E9042" s="212"/>
    </row>
    <row r="9043" spans="1:5" ht="14.25">
      <c r="A9043" s="37"/>
      <c r="B9043" s="37"/>
      <c r="C9043" s="37"/>
      <c r="D9043" s="37"/>
      <c r="E9043" s="212"/>
    </row>
    <row r="9044" spans="1:5" ht="14.25">
      <c r="A9044" s="37"/>
      <c r="B9044" s="37"/>
      <c r="C9044" s="37"/>
      <c r="D9044" s="37"/>
      <c r="E9044" s="212"/>
    </row>
    <row r="9045" spans="1:5" ht="14.25">
      <c r="A9045" s="37"/>
      <c r="B9045" s="37"/>
      <c r="C9045" s="37"/>
      <c r="D9045" s="37"/>
      <c r="E9045" s="212"/>
    </row>
    <row r="9046" spans="1:5" ht="14.25">
      <c r="A9046" s="37"/>
      <c r="B9046" s="37"/>
      <c r="C9046" s="37"/>
      <c r="D9046" s="37"/>
      <c r="E9046" s="212"/>
    </row>
    <row r="9047" spans="1:5" ht="14.25">
      <c r="A9047" s="37"/>
      <c r="B9047" s="37"/>
      <c r="C9047" s="37"/>
      <c r="D9047" s="37"/>
      <c r="E9047" s="212"/>
    </row>
    <row r="9048" spans="1:5" ht="14.25">
      <c r="A9048" s="37"/>
      <c r="B9048" s="37"/>
      <c r="C9048" s="37"/>
      <c r="D9048" s="37"/>
      <c r="E9048" s="212"/>
    </row>
    <row r="9049" spans="1:5" ht="14.25">
      <c r="A9049" s="37"/>
      <c r="B9049" s="37"/>
      <c r="C9049" s="37"/>
      <c r="D9049" s="37"/>
      <c r="E9049" s="212"/>
    </row>
    <row r="9050" spans="1:5" ht="14.25">
      <c r="A9050" s="37"/>
      <c r="B9050" s="37"/>
      <c r="C9050" s="37"/>
      <c r="D9050" s="37"/>
      <c r="E9050" s="212"/>
    </row>
    <row r="9051" spans="1:5" ht="14.25">
      <c r="A9051" s="37"/>
      <c r="B9051" s="37"/>
      <c r="C9051" s="37"/>
      <c r="D9051" s="37"/>
      <c r="E9051" s="212"/>
    </row>
    <row r="9052" spans="1:5" ht="14.25">
      <c r="A9052" s="37"/>
      <c r="B9052" s="37"/>
      <c r="C9052" s="37"/>
      <c r="D9052" s="37"/>
      <c r="E9052" s="212"/>
    </row>
    <row r="9053" spans="1:5" ht="14.25">
      <c r="A9053" s="37"/>
      <c r="B9053" s="37"/>
      <c r="C9053" s="37"/>
      <c r="D9053" s="37"/>
      <c r="E9053" s="212"/>
    </row>
    <row r="9054" spans="1:5" ht="14.25">
      <c r="A9054" s="37"/>
      <c r="B9054" s="37"/>
      <c r="C9054" s="37"/>
      <c r="D9054" s="37"/>
      <c r="E9054" s="212"/>
    </row>
    <row r="9055" spans="1:5" ht="14.25">
      <c r="A9055" s="37"/>
      <c r="B9055" s="37"/>
      <c r="C9055" s="37"/>
      <c r="D9055" s="37"/>
      <c r="E9055" s="212"/>
    </row>
    <row r="9056" spans="1:5" ht="14.25">
      <c r="A9056" s="37"/>
      <c r="B9056" s="37"/>
      <c r="C9056" s="37"/>
      <c r="D9056" s="37"/>
      <c r="E9056" s="212"/>
    </row>
    <row r="9057" spans="1:5" ht="14.25">
      <c r="A9057" s="37"/>
      <c r="B9057" s="37"/>
      <c r="C9057" s="37"/>
      <c r="D9057" s="37"/>
      <c r="E9057" s="212"/>
    </row>
    <row r="9058" spans="1:5" ht="14.25">
      <c r="A9058" s="37"/>
      <c r="B9058" s="37"/>
      <c r="C9058" s="37"/>
      <c r="D9058" s="37"/>
      <c r="E9058" s="212"/>
    </row>
    <row r="9059" spans="1:5" ht="14.25">
      <c r="A9059" s="37"/>
      <c r="B9059" s="37"/>
      <c r="C9059" s="37"/>
      <c r="D9059" s="37"/>
      <c r="E9059" s="212"/>
    </row>
    <row r="9060" spans="1:5" ht="14.25">
      <c r="A9060" s="37"/>
      <c r="B9060" s="37"/>
      <c r="C9060" s="37"/>
      <c r="D9060" s="37"/>
      <c r="E9060" s="212"/>
    </row>
    <row r="9061" spans="1:5" ht="14.25">
      <c r="A9061" s="37"/>
      <c r="B9061" s="37"/>
      <c r="C9061" s="37"/>
      <c r="D9061" s="37"/>
      <c r="E9061" s="212"/>
    </row>
    <row r="9062" spans="1:5" ht="14.25">
      <c r="A9062" s="37"/>
      <c r="B9062" s="37"/>
      <c r="C9062" s="37"/>
      <c r="D9062" s="37"/>
      <c r="E9062" s="212"/>
    </row>
    <row r="9063" spans="1:5" ht="14.25">
      <c r="A9063" s="37"/>
      <c r="B9063" s="37"/>
      <c r="C9063" s="37"/>
      <c r="D9063" s="37"/>
      <c r="E9063" s="212"/>
    </row>
    <row r="9064" spans="1:5" ht="14.25">
      <c r="A9064" s="37"/>
      <c r="B9064" s="37"/>
      <c r="C9064" s="37"/>
      <c r="D9064" s="37"/>
      <c r="E9064" s="212"/>
    </row>
    <row r="9065" spans="1:5" ht="14.25">
      <c r="A9065" s="37"/>
      <c r="B9065" s="37"/>
      <c r="C9065" s="37"/>
      <c r="D9065" s="37"/>
      <c r="E9065" s="212"/>
    </row>
    <row r="9066" spans="1:5" ht="14.25">
      <c r="A9066" s="37"/>
      <c r="B9066" s="37"/>
      <c r="C9066" s="37"/>
      <c r="D9066" s="37"/>
      <c r="E9066" s="212"/>
    </row>
    <row r="9067" spans="1:5" ht="14.25">
      <c r="A9067" s="37"/>
      <c r="B9067" s="37"/>
      <c r="C9067" s="37"/>
      <c r="D9067" s="37"/>
      <c r="E9067" s="212"/>
    </row>
    <row r="9068" spans="1:5" ht="14.25">
      <c r="A9068" s="37"/>
      <c r="B9068" s="37"/>
      <c r="C9068" s="37"/>
      <c r="D9068" s="37"/>
      <c r="E9068" s="212"/>
    </row>
    <row r="9069" spans="1:5" ht="14.25">
      <c r="A9069" s="37"/>
      <c r="B9069" s="37"/>
      <c r="C9069" s="37"/>
      <c r="D9069" s="37"/>
      <c r="E9069" s="213"/>
    </row>
    <row r="9070" spans="1:5" ht="14.25">
      <c r="A9070" s="37"/>
      <c r="B9070" s="37"/>
      <c r="C9070" s="37"/>
      <c r="D9070" s="37"/>
      <c r="E9070" s="213"/>
    </row>
    <row r="9071" spans="1:5" ht="14.25">
      <c r="A9071" s="37"/>
      <c r="B9071" s="37"/>
      <c r="C9071" s="37"/>
      <c r="D9071" s="37"/>
      <c r="E9071" s="213"/>
    </row>
    <row r="9072" spans="1:5" ht="14.25">
      <c r="A9072" s="37"/>
      <c r="B9072" s="37"/>
      <c r="C9072" s="37"/>
      <c r="D9072" s="37"/>
      <c r="E9072" s="212"/>
    </row>
    <row r="9073" spans="1:5" ht="14.25">
      <c r="A9073" s="37"/>
      <c r="B9073" s="37"/>
      <c r="C9073" s="37"/>
      <c r="D9073" s="37"/>
      <c r="E9073" s="212"/>
    </row>
    <row r="9074" spans="1:5" ht="14.25">
      <c r="A9074" s="37"/>
      <c r="B9074" s="37"/>
      <c r="C9074" s="37"/>
      <c r="D9074" s="37"/>
      <c r="E9074" s="212"/>
    </row>
    <row r="9075" spans="1:5" ht="14.25">
      <c r="A9075" s="37"/>
      <c r="B9075" s="37"/>
      <c r="C9075" s="37"/>
      <c r="D9075" s="37"/>
      <c r="E9075" s="212"/>
    </row>
    <row r="9076" spans="1:5" ht="14.25">
      <c r="A9076" s="37"/>
      <c r="B9076" s="37"/>
      <c r="C9076" s="37"/>
      <c r="D9076" s="37"/>
      <c r="E9076" s="212"/>
    </row>
    <row r="9077" spans="1:5" ht="14.25">
      <c r="A9077" s="37"/>
      <c r="B9077" s="37"/>
      <c r="C9077" s="37"/>
      <c r="D9077" s="37"/>
      <c r="E9077" s="212"/>
    </row>
    <row r="9078" spans="1:5" ht="14.25">
      <c r="A9078" s="37"/>
      <c r="B9078" s="37"/>
      <c r="C9078" s="37"/>
      <c r="D9078" s="37"/>
      <c r="E9078" s="212"/>
    </row>
    <row r="9079" spans="1:5" ht="14.25">
      <c r="A9079" s="37"/>
      <c r="B9079" s="37"/>
      <c r="C9079" s="37"/>
      <c r="D9079" s="37"/>
      <c r="E9079" s="212"/>
    </row>
    <row r="9080" spans="1:5" ht="14.25">
      <c r="A9080" s="37"/>
      <c r="B9080" s="37"/>
      <c r="C9080" s="37"/>
      <c r="D9080" s="37"/>
      <c r="E9080" s="212"/>
    </row>
    <row r="9081" spans="1:5" ht="14.25">
      <c r="A9081" s="37"/>
      <c r="B9081" s="37"/>
      <c r="C9081" s="37"/>
      <c r="D9081" s="37"/>
      <c r="E9081" s="212"/>
    </row>
    <row r="9082" spans="1:5" ht="14.25">
      <c r="A9082" s="37"/>
      <c r="B9082" s="37"/>
      <c r="C9082" s="37"/>
      <c r="D9082" s="37"/>
      <c r="E9082" s="212"/>
    </row>
    <row r="9083" spans="1:5" ht="14.25">
      <c r="A9083" s="37"/>
      <c r="B9083" s="37"/>
      <c r="C9083" s="37"/>
      <c r="D9083" s="37"/>
      <c r="E9083" s="212"/>
    </row>
    <row r="9084" spans="1:5" ht="14.25">
      <c r="A9084" s="37"/>
      <c r="B9084" s="37"/>
      <c r="C9084" s="37"/>
      <c r="D9084" s="37"/>
      <c r="E9084" s="212"/>
    </row>
    <row r="9085" spans="1:5" ht="14.25">
      <c r="A9085" s="37"/>
      <c r="B9085" s="37"/>
      <c r="C9085" s="37"/>
      <c r="D9085" s="37"/>
      <c r="E9085" s="212"/>
    </row>
    <row r="9086" spans="1:5" ht="14.25">
      <c r="A9086" s="37"/>
      <c r="B9086" s="37"/>
      <c r="C9086" s="37"/>
      <c r="D9086" s="37"/>
      <c r="E9086" s="212"/>
    </row>
    <row r="9087" spans="1:5" ht="14.25">
      <c r="A9087" s="37"/>
      <c r="B9087" s="37"/>
      <c r="C9087" s="37"/>
      <c r="D9087" s="37"/>
      <c r="E9087" s="212"/>
    </row>
    <row r="9088" spans="1:5" ht="14.25">
      <c r="A9088" s="37"/>
      <c r="B9088" s="37"/>
      <c r="C9088" s="37"/>
      <c r="D9088" s="37"/>
      <c r="E9088" s="212"/>
    </row>
    <row r="9089" spans="1:5" ht="14.25">
      <c r="A9089" s="37"/>
      <c r="B9089" s="37"/>
      <c r="C9089" s="37"/>
      <c r="D9089" s="37"/>
      <c r="E9089" s="212"/>
    </row>
    <row r="9090" spans="1:5" ht="14.25">
      <c r="A9090" s="37"/>
      <c r="B9090" s="37"/>
      <c r="C9090" s="37"/>
      <c r="D9090" s="37"/>
      <c r="E9090" s="212"/>
    </row>
    <row r="9091" spans="1:5" ht="14.25">
      <c r="A9091" s="37"/>
      <c r="B9091" s="37"/>
      <c r="C9091" s="37"/>
      <c r="D9091" s="37"/>
      <c r="E9091" s="212"/>
    </row>
    <row r="9092" spans="1:5" ht="14.25">
      <c r="A9092" s="37"/>
      <c r="B9092" s="37"/>
      <c r="C9092" s="37"/>
      <c r="D9092" s="37"/>
      <c r="E9092" s="212"/>
    </row>
    <row r="9093" spans="1:5" ht="14.25">
      <c r="A9093" s="37"/>
      <c r="B9093" s="37"/>
      <c r="C9093" s="37"/>
      <c r="D9093" s="37"/>
      <c r="E9093" s="212"/>
    </row>
    <row r="9094" spans="1:5" ht="14.25">
      <c r="A9094" s="37"/>
      <c r="B9094" s="37"/>
      <c r="C9094" s="37"/>
      <c r="D9094" s="37"/>
      <c r="E9094" s="212"/>
    </row>
    <row r="9095" spans="1:5" ht="14.25">
      <c r="A9095" s="37"/>
      <c r="B9095" s="37"/>
      <c r="C9095" s="37"/>
      <c r="D9095" s="37"/>
      <c r="E9095" s="212"/>
    </row>
    <row r="9096" spans="1:5" ht="14.25">
      <c r="A9096" s="37"/>
      <c r="B9096" s="37"/>
      <c r="C9096" s="37"/>
      <c r="D9096" s="37"/>
      <c r="E9096" s="212"/>
    </row>
    <row r="9097" spans="1:5" ht="14.25">
      <c r="A9097" s="37"/>
      <c r="B9097" s="37"/>
      <c r="C9097" s="37"/>
      <c r="D9097" s="37"/>
      <c r="E9097" s="212"/>
    </row>
    <row r="9098" spans="1:5" ht="14.25">
      <c r="A9098" s="37"/>
      <c r="B9098" s="37"/>
      <c r="C9098" s="37"/>
      <c r="D9098" s="37"/>
      <c r="E9098" s="212"/>
    </row>
    <row r="9099" spans="1:5" ht="14.25">
      <c r="A9099" s="37"/>
      <c r="B9099" s="37"/>
      <c r="C9099" s="37"/>
      <c r="D9099" s="37"/>
      <c r="E9099" s="212"/>
    </row>
    <row r="9100" spans="1:5" ht="14.25">
      <c r="A9100" s="37"/>
      <c r="B9100" s="37"/>
      <c r="C9100" s="37"/>
      <c r="D9100" s="37"/>
      <c r="E9100" s="212"/>
    </row>
    <row r="9101" spans="1:5" ht="14.25">
      <c r="A9101" s="37"/>
      <c r="B9101" s="37"/>
      <c r="C9101" s="37"/>
      <c r="D9101" s="37"/>
      <c r="E9101" s="212"/>
    </row>
    <row r="9102" spans="1:5" ht="14.25">
      <c r="A9102" s="37"/>
      <c r="B9102" s="37"/>
      <c r="C9102" s="37"/>
      <c r="D9102" s="37"/>
      <c r="E9102" s="212"/>
    </row>
    <row r="9103" spans="1:5" ht="14.25">
      <c r="A9103" s="37"/>
      <c r="B9103" s="37"/>
      <c r="C9103" s="37"/>
      <c r="D9103" s="37"/>
      <c r="E9103" s="212"/>
    </row>
    <row r="9104" spans="1:5" ht="14.25">
      <c r="A9104" s="37"/>
      <c r="B9104" s="37"/>
      <c r="C9104" s="37"/>
      <c r="D9104" s="37"/>
      <c r="E9104" s="212"/>
    </row>
    <row r="9105" spans="1:5" ht="14.25">
      <c r="A9105" s="37"/>
      <c r="B9105" s="37"/>
      <c r="C9105" s="37"/>
      <c r="D9105" s="37"/>
      <c r="E9105" s="212"/>
    </row>
    <row r="9106" spans="1:5" ht="14.25">
      <c r="A9106" s="37"/>
      <c r="B9106" s="37"/>
      <c r="C9106" s="37"/>
      <c r="D9106" s="37"/>
      <c r="E9106" s="212"/>
    </row>
    <row r="9107" spans="1:5" ht="14.25">
      <c r="A9107" s="37"/>
      <c r="B9107" s="37"/>
      <c r="C9107" s="37"/>
      <c r="D9107" s="37"/>
      <c r="E9107" s="212"/>
    </row>
    <row r="9108" spans="1:5" ht="14.25">
      <c r="A9108" s="37"/>
      <c r="B9108" s="37"/>
      <c r="C9108" s="37"/>
      <c r="D9108" s="37"/>
      <c r="E9108" s="212"/>
    </row>
    <row r="9109" spans="1:5" ht="14.25">
      <c r="A9109" s="37"/>
      <c r="B9109" s="37"/>
      <c r="C9109" s="37"/>
      <c r="D9109" s="37"/>
      <c r="E9109" s="212"/>
    </row>
    <row r="9110" spans="1:5" ht="14.25">
      <c r="A9110" s="37"/>
      <c r="B9110" s="37"/>
      <c r="C9110" s="37"/>
      <c r="D9110" s="37"/>
      <c r="E9110" s="212"/>
    </row>
    <row r="9111" spans="1:5" ht="14.25">
      <c r="A9111" s="37"/>
      <c r="B9111" s="37"/>
      <c r="C9111" s="37"/>
      <c r="D9111" s="37"/>
      <c r="E9111" s="212"/>
    </row>
    <row r="9112" spans="1:5" ht="14.25">
      <c r="A9112" s="37"/>
      <c r="B9112" s="37"/>
      <c r="C9112" s="37"/>
      <c r="D9112" s="37"/>
      <c r="E9112" s="212"/>
    </row>
    <row r="9113" spans="1:5" ht="14.25">
      <c r="A9113" s="37"/>
      <c r="B9113" s="37"/>
      <c r="C9113" s="37"/>
      <c r="D9113" s="37"/>
      <c r="E9113" s="212"/>
    </row>
    <row r="9114" spans="1:5" ht="14.25">
      <c r="A9114" s="37"/>
      <c r="B9114" s="37"/>
      <c r="C9114" s="37"/>
      <c r="D9114" s="37"/>
      <c r="E9114" s="212"/>
    </row>
    <row r="9115" spans="1:5" ht="14.25">
      <c r="A9115" s="37"/>
      <c r="B9115" s="37"/>
      <c r="C9115" s="37"/>
      <c r="D9115" s="37"/>
      <c r="E9115" s="212"/>
    </row>
    <row r="9116" spans="1:5" ht="14.25">
      <c r="A9116" s="37"/>
      <c r="B9116" s="37"/>
      <c r="C9116" s="37"/>
      <c r="D9116" s="37"/>
      <c r="E9116" s="212"/>
    </row>
    <row r="9117" spans="1:5" ht="14.25">
      <c r="A9117" s="37"/>
      <c r="B9117" s="37"/>
      <c r="C9117" s="37"/>
      <c r="D9117" s="37"/>
      <c r="E9117" s="212"/>
    </row>
    <row r="9118" spans="1:5" ht="14.25">
      <c r="A9118" s="37"/>
      <c r="B9118" s="37"/>
      <c r="C9118" s="37"/>
      <c r="D9118" s="37"/>
      <c r="E9118" s="212"/>
    </row>
    <row r="9119" spans="1:5" ht="14.25">
      <c r="A9119" s="37"/>
      <c r="B9119" s="37"/>
      <c r="C9119" s="37"/>
      <c r="D9119" s="37"/>
      <c r="E9119" s="212"/>
    </row>
    <row r="9120" spans="1:5" ht="14.25">
      <c r="A9120" s="37"/>
      <c r="B9120" s="37"/>
      <c r="C9120" s="37"/>
      <c r="D9120" s="37"/>
      <c r="E9120" s="212"/>
    </row>
    <row r="9121" spans="1:5" ht="14.25">
      <c r="A9121" s="37"/>
      <c r="B9121" s="37"/>
      <c r="C9121" s="37"/>
      <c r="D9121" s="37"/>
      <c r="E9121" s="212"/>
    </row>
    <row r="9122" spans="1:5" ht="14.25">
      <c r="A9122" s="37"/>
      <c r="B9122" s="37"/>
      <c r="C9122" s="37"/>
      <c r="D9122" s="37"/>
      <c r="E9122" s="212"/>
    </row>
    <row r="9123" spans="1:5" ht="14.25">
      <c r="A9123" s="37"/>
      <c r="B9123" s="37"/>
      <c r="C9123" s="37"/>
      <c r="D9123" s="37"/>
      <c r="E9123" s="212"/>
    </row>
    <row r="9124" spans="1:5" ht="14.25">
      <c r="A9124" s="37"/>
      <c r="B9124" s="37"/>
      <c r="C9124" s="37"/>
      <c r="D9124" s="37"/>
      <c r="E9124" s="212"/>
    </row>
    <row r="9125" spans="1:5" ht="14.25">
      <c r="A9125" s="37"/>
      <c r="B9125" s="37"/>
      <c r="C9125" s="37"/>
      <c r="D9125" s="37"/>
      <c r="E9125" s="212"/>
    </row>
    <row r="9126" spans="1:5" ht="14.25">
      <c r="A9126" s="37"/>
      <c r="B9126" s="37"/>
      <c r="C9126" s="37"/>
      <c r="D9126" s="37"/>
      <c r="E9126" s="212"/>
    </row>
    <row r="9127" spans="1:5" ht="14.25">
      <c r="A9127" s="37"/>
      <c r="B9127" s="37"/>
      <c r="C9127" s="37"/>
      <c r="D9127" s="37"/>
      <c r="E9127" s="212"/>
    </row>
    <row r="9128" spans="1:5" ht="14.25">
      <c r="A9128" s="37"/>
      <c r="B9128" s="37"/>
      <c r="C9128" s="37"/>
      <c r="D9128" s="37"/>
      <c r="E9128" s="212"/>
    </row>
    <row r="9129" spans="1:5" ht="14.25">
      <c r="A9129" s="37"/>
      <c r="B9129" s="37"/>
      <c r="C9129" s="37"/>
      <c r="D9129" s="37"/>
      <c r="E9129" s="212"/>
    </row>
    <row r="9130" spans="1:5" ht="14.25">
      <c r="A9130" s="37"/>
      <c r="B9130" s="37"/>
      <c r="C9130" s="37"/>
      <c r="D9130" s="37"/>
      <c r="E9130" s="212"/>
    </row>
    <row r="9131" spans="1:5" ht="14.25">
      <c r="A9131" s="37"/>
      <c r="B9131" s="37"/>
      <c r="C9131" s="37"/>
      <c r="D9131" s="37"/>
      <c r="E9131" s="212"/>
    </row>
    <row r="9132" spans="1:5" ht="14.25">
      <c r="A9132" s="37"/>
      <c r="B9132" s="37"/>
      <c r="C9132" s="37"/>
      <c r="D9132" s="37"/>
      <c r="E9132" s="212"/>
    </row>
    <row r="9133" spans="1:5" ht="14.25">
      <c r="A9133" s="37"/>
      <c r="B9133" s="37"/>
      <c r="C9133" s="37"/>
      <c r="D9133" s="37"/>
      <c r="E9133" s="212"/>
    </row>
    <row r="9134" spans="1:5" ht="14.25">
      <c r="A9134" s="37"/>
      <c r="B9134" s="37"/>
      <c r="C9134" s="37"/>
      <c r="D9134" s="37"/>
      <c r="E9134" s="212"/>
    </row>
    <row r="9135" spans="1:5" ht="14.25">
      <c r="A9135" s="37"/>
      <c r="B9135" s="37"/>
      <c r="C9135" s="37"/>
      <c r="D9135" s="37"/>
      <c r="E9135" s="212"/>
    </row>
    <row r="9136" spans="1:5" ht="14.25">
      <c r="A9136" s="37"/>
      <c r="B9136" s="37"/>
      <c r="C9136" s="37"/>
      <c r="D9136" s="37"/>
      <c r="E9136" s="212"/>
    </row>
    <row r="9137" spans="1:5" ht="14.25">
      <c r="A9137" s="37"/>
      <c r="B9137" s="37"/>
      <c r="C9137" s="37"/>
      <c r="D9137" s="37"/>
      <c r="E9137" s="212"/>
    </row>
    <row r="9138" spans="1:5" ht="14.25">
      <c r="A9138" s="37"/>
      <c r="B9138" s="37"/>
      <c r="C9138" s="37"/>
      <c r="D9138" s="37"/>
      <c r="E9138" s="213"/>
    </row>
    <row r="9139" spans="1:5" ht="14.25">
      <c r="A9139" s="37"/>
      <c r="B9139" s="37"/>
      <c r="C9139" s="37"/>
      <c r="D9139" s="37"/>
      <c r="E9139" s="213"/>
    </row>
    <row r="9140" spans="1:5" ht="14.25">
      <c r="A9140" s="37"/>
      <c r="B9140" s="37"/>
      <c r="C9140" s="37"/>
      <c r="D9140" s="37"/>
      <c r="E9140" s="213"/>
    </row>
    <row r="9141" spans="1:5" ht="14.25">
      <c r="A9141" s="37"/>
      <c r="B9141" s="37"/>
      <c r="C9141" s="37"/>
      <c r="D9141" s="37"/>
      <c r="E9141" s="213"/>
    </row>
    <row r="9142" spans="1:5" ht="14.25">
      <c r="A9142" s="37"/>
      <c r="B9142" s="37"/>
      <c r="C9142" s="37"/>
      <c r="D9142" s="37"/>
      <c r="E9142" s="213"/>
    </row>
    <row r="9143" spans="1:5" ht="14.25">
      <c r="A9143" s="37"/>
      <c r="B9143" s="37"/>
      <c r="C9143" s="37"/>
      <c r="D9143" s="37"/>
      <c r="E9143" s="213"/>
    </row>
    <row r="9144" spans="1:5" ht="14.25">
      <c r="A9144" s="37"/>
      <c r="B9144" s="37"/>
      <c r="C9144" s="37"/>
      <c r="D9144" s="37"/>
      <c r="E9144" s="213"/>
    </row>
    <row r="9145" spans="1:5" ht="14.25">
      <c r="A9145" s="37"/>
      <c r="B9145" s="37"/>
      <c r="C9145" s="37"/>
      <c r="D9145" s="37"/>
      <c r="E9145" s="213"/>
    </row>
    <row r="9146" spans="1:5" ht="14.25">
      <c r="A9146" s="37"/>
      <c r="B9146" s="37"/>
      <c r="C9146" s="37"/>
      <c r="D9146" s="37"/>
      <c r="E9146" s="213"/>
    </row>
    <row r="9147" spans="1:5" ht="14.25">
      <c r="A9147" s="37"/>
      <c r="B9147" s="37"/>
      <c r="C9147" s="37"/>
      <c r="D9147" s="37"/>
      <c r="E9147" s="213"/>
    </row>
    <row r="9148" spans="1:5" ht="14.25">
      <c r="A9148" s="37"/>
      <c r="B9148" s="37"/>
      <c r="C9148" s="37"/>
      <c r="D9148" s="37"/>
      <c r="E9148" s="213"/>
    </row>
    <row r="9149" spans="1:5" ht="14.25">
      <c r="A9149" s="37"/>
      <c r="B9149" s="37"/>
      <c r="C9149" s="37"/>
      <c r="D9149" s="37"/>
      <c r="E9149" s="212"/>
    </row>
    <row r="9150" spans="1:5" ht="14.25">
      <c r="A9150" s="37"/>
      <c r="B9150" s="37"/>
      <c r="C9150" s="37"/>
      <c r="D9150" s="37"/>
      <c r="E9150" s="212"/>
    </row>
    <row r="9151" spans="1:5" ht="14.25">
      <c r="A9151" s="37"/>
      <c r="B9151" s="37"/>
      <c r="C9151" s="37"/>
      <c r="D9151" s="37"/>
      <c r="E9151" s="212"/>
    </row>
    <row r="9152" spans="1:5" ht="14.25">
      <c r="A9152" s="37"/>
      <c r="B9152" s="37"/>
      <c r="C9152" s="37"/>
      <c r="D9152" s="37"/>
      <c r="E9152" s="212"/>
    </row>
    <row r="9153" spans="1:5" ht="14.25">
      <c r="A9153" s="37"/>
      <c r="B9153" s="37"/>
      <c r="C9153" s="37"/>
      <c r="D9153" s="37"/>
      <c r="E9153" s="212"/>
    </row>
    <row r="9154" spans="1:5" ht="14.25">
      <c r="A9154" s="37"/>
      <c r="B9154" s="37"/>
      <c r="C9154" s="37"/>
      <c r="D9154" s="37"/>
      <c r="E9154" s="212"/>
    </row>
    <row r="9155" spans="1:5" ht="14.25">
      <c r="A9155" s="37"/>
      <c r="B9155" s="37"/>
      <c r="C9155" s="37"/>
      <c r="D9155" s="37"/>
      <c r="E9155" s="212"/>
    </row>
    <row r="9156" spans="1:5" ht="14.25">
      <c r="A9156" s="37"/>
      <c r="B9156" s="37"/>
      <c r="C9156" s="37"/>
      <c r="D9156" s="37"/>
      <c r="E9156" s="212"/>
    </row>
    <row r="9157" spans="1:5" ht="14.25">
      <c r="A9157" s="37"/>
      <c r="B9157" s="37"/>
      <c r="C9157" s="37"/>
      <c r="D9157" s="37"/>
      <c r="E9157" s="212"/>
    </row>
    <row r="9158" spans="1:5" ht="14.25">
      <c r="A9158" s="37"/>
      <c r="B9158" s="37"/>
      <c r="C9158" s="37"/>
      <c r="D9158" s="37"/>
      <c r="E9158" s="212"/>
    </row>
    <row r="9159" spans="1:5" ht="14.25">
      <c r="A9159" s="37"/>
      <c r="B9159" s="37"/>
      <c r="C9159" s="37"/>
      <c r="D9159" s="37"/>
      <c r="E9159" s="212"/>
    </row>
    <row r="9160" spans="1:5" ht="14.25">
      <c r="A9160" s="37"/>
      <c r="B9160" s="37"/>
      <c r="C9160" s="37"/>
      <c r="D9160" s="37"/>
      <c r="E9160" s="212"/>
    </row>
    <row r="9161" spans="1:5" ht="14.25">
      <c r="A9161" s="37"/>
      <c r="B9161" s="37"/>
      <c r="C9161" s="37"/>
      <c r="D9161" s="37"/>
      <c r="E9161" s="212"/>
    </row>
    <row r="9162" spans="1:5" ht="14.25">
      <c r="A9162" s="37"/>
      <c r="B9162" s="37"/>
      <c r="C9162" s="37"/>
      <c r="D9162" s="37"/>
      <c r="E9162" s="212"/>
    </row>
    <row r="9163" spans="1:5" ht="14.25">
      <c r="A9163" s="37"/>
      <c r="B9163" s="37"/>
      <c r="C9163" s="37"/>
      <c r="D9163" s="37"/>
      <c r="E9163" s="212"/>
    </row>
    <row r="9164" spans="1:5" ht="14.25">
      <c r="A9164" s="37"/>
      <c r="B9164" s="37"/>
      <c r="C9164" s="37"/>
      <c r="D9164" s="37"/>
      <c r="E9164" s="212"/>
    </row>
    <row r="9165" spans="1:5" ht="14.25">
      <c r="A9165" s="37"/>
      <c r="B9165" s="37"/>
      <c r="C9165" s="37"/>
      <c r="D9165" s="37"/>
      <c r="E9165" s="212"/>
    </row>
    <row r="9166" spans="1:5" ht="14.25">
      <c r="A9166" s="37"/>
      <c r="B9166" s="37"/>
      <c r="C9166" s="37"/>
      <c r="D9166" s="37"/>
      <c r="E9166" s="212"/>
    </row>
    <row r="9167" spans="1:5" ht="14.25">
      <c r="A9167" s="37"/>
      <c r="B9167" s="37"/>
      <c r="C9167" s="37"/>
      <c r="D9167" s="37"/>
      <c r="E9167" s="212"/>
    </row>
    <row r="9168" spans="1:5" ht="14.25">
      <c r="A9168" s="37"/>
      <c r="B9168" s="37"/>
      <c r="C9168" s="37"/>
      <c r="D9168" s="37"/>
      <c r="E9168" s="212"/>
    </row>
    <row r="9169" spans="1:5" ht="14.25">
      <c r="A9169" s="37"/>
      <c r="B9169" s="37"/>
      <c r="C9169" s="37"/>
      <c r="D9169" s="37"/>
      <c r="E9169" s="212"/>
    </row>
    <row r="9170" spans="1:5" ht="14.25">
      <c r="A9170" s="37"/>
      <c r="B9170" s="37"/>
      <c r="C9170" s="37"/>
      <c r="D9170" s="37"/>
      <c r="E9170" s="212"/>
    </row>
    <row r="9171" spans="1:5" ht="14.25">
      <c r="A9171" s="37"/>
      <c r="B9171" s="37"/>
      <c r="C9171" s="37"/>
      <c r="D9171" s="37"/>
      <c r="E9171" s="212"/>
    </row>
    <row r="9172" spans="1:5" ht="14.25">
      <c r="A9172" s="37"/>
      <c r="B9172" s="37"/>
      <c r="C9172" s="37"/>
      <c r="D9172" s="37"/>
      <c r="E9172" s="212"/>
    </row>
    <row r="9173" spans="1:5" ht="14.25">
      <c r="A9173" s="37"/>
      <c r="B9173" s="37"/>
      <c r="C9173" s="37"/>
      <c r="D9173" s="37"/>
      <c r="E9173" s="212"/>
    </row>
    <row r="9174" spans="1:5" ht="14.25">
      <c r="A9174" s="37"/>
      <c r="B9174" s="37"/>
      <c r="C9174" s="37"/>
      <c r="D9174" s="37"/>
      <c r="E9174" s="212"/>
    </row>
    <row r="9175" spans="1:5" ht="14.25">
      <c r="A9175" s="37"/>
      <c r="B9175" s="37"/>
      <c r="C9175" s="37"/>
      <c r="D9175" s="37"/>
      <c r="E9175" s="212"/>
    </row>
    <row r="9176" spans="1:5" ht="14.25">
      <c r="A9176" s="37"/>
      <c r="B9176" s="37"/>
      <c r="C9176" s="37"/>
      <c r="D9176" s="37"/>
      <c r="E9176" s="212"/>
    </row>
    <row r="9177" spans="1:5" ht="14.25">
      <c r="A9177" s="37"/>
      <c r="B9177" s="37"/>
      <c r="C9177" s="37"/>
      <c r="D9177" s="37"/>
      <c r="E9177" s="212"/>
    </row>
    <row r="9178" spans="1:5" ht="14.25">
      <c r="A9178" s="37"/>
      <c r="B9178" s="37"/>
      <c r="C9178" s="37"/>
      <c r="D9178" s="37"/>
      <c r="E9178" s="212"/>
    </row>
    <row r="9179" spans="1:5" ht="14.25">
      <c r="A9179" s="37"/>
      <c r="B9179" s="37"/>
      <c r="C9179" s="37"/>
      <c r="D9179" s="37"/>
      <c r="E9179" s="212"/>
    </row>
    <row r="9180" spans="1:5" ht="14.25">
      <c r="A9180" s="37"/>
      <c r="B9180" s="37"/>
      <c r="C9180" s="37"/>
      <c r="D9180" s="37"/>
      <c r="E9180" s="212"/>
    </row>
    <row r="9181" spans="1:5" ht="14.25">
      <c r="A9181" s="37"/>
      <c r="B9181" s="37"/>
      <c r="C9181" s="37"/>
      <c r="D9181" s="37"/>
      <c r="E9181" s="212"/>
    </row>
    <row r="9182" spans="1:5" ht="14.25">
      <c r="A9182" s="37"/>
      <c r="B9182" s="37"/>
      <c r="C9182" s="37"/>
      <c r="D9182" s="37"/>
      <c r="E9182" s="212"/>
    </row>
    <row r="9183" spans="1:5" ht="14.25">
      <c r="A9183" s="37"/>
      <c r="B9183" s="37"/>
      <c r="C9183" s="37"/>
      <c r="D9183" s="37"/>
      <c r="E9183" s="212"/>
    </row>
    <row r="9184" spans="1:5" ht="14.25">
      <c r="A9184" s="37"/>
      <c r="B9184" s="37"/>
      <c r="C9184" s="37"/>
      <c r="D9184" s="37"/>
      <c r="E9184" s="212"/>
    </row>
    <row r="9185" spans="1:5" ht="14.25">
      <c r="A9185" s="37"/>
      <c r="B9185" s="37"/>
      <c r="C9185" s="37"/>
      <c r="D9185" s="37"/>
      <c r="E9185" s="212"/>
    </row>
    <row r="9186" spans="1:5" ht="14.25">
      <c r="A9186" s="37"/>
      <c r="B9186" s="37"/>
      <c r="C9186" s="37"/>
      <c r="D9186" s="37"/>
      <c r="E9186" s="212"/>
    </row>
    <row r="9187" spans="1:5" ht="14.25">
      <c r="A9187" s="37"/>
      <c r="B9187" s="37"/>
      <c r="C9187" s="37"/>
      <c r="D9187" s="37"/>
      <c r="E9187" s="212"/>
    </row>
    <row r="9188" spans="1:5" ht="14.25">
      <c r="A9188" s="37"/>
      <c r="B9188" s="37"/>
      <c r="C9188" s="37"/>
      <c r="D9188" s="37"/>
      <c r="E9188" s="212"/>
    </row>
    <row r="9189" spans="1:5" ht="14.25">
      <c r="A9189" s="37"/>
      <c r="B9189" s="37"/>
      <c r="C9189" s="37"/>
      <c r="D9189" s="37"/>
      <c r="E9189" s="212"/>
    </row>
    <row r="9190" spans="1:5" ht="14.25">
      <c r="A9190" s="37"/>
      <c r="B9190" s="37"/>
      <c r="C9190" s="37"/>
      <c r="D9190" s="37"/>
      <c r="E9190" s="212"/>
    </row>
    <row r="9191" spans="1:5" ht="14.25">
      <c r="A9191" s="37"/>
      <c r="B9191" s="37"/>
      <c r="C9191" s="37"/>
      <c r="D9191" s="37"/>
      <c r="E9191" s="212"/>
    </row>
    <row r="9192" spans="1:5" ht="14.25">
      <c r="A9192" s="37"/>
      <c r="B9192" s="37"/>
      <c r="C9192" s="37"/>
      <c r="D9192" s="37"/>
      <c r="E9192" s="212"/>
    </row>
    <row r="9193" spans="1:5" ht="14.25">
      <c r="A9193" s="37"/>
      <c r="B9193" s="37"/>
      <c r="C9193" s="37"/>
      <c r="D9193" s="37"/>
      <c r="E9193" s="212"/>
    </row>
    <row r="9194" spans="1:5" ht="14.25">
      <c r="A9194" s="37"/>
      <c r="B9194" s="37"/>
      <c r="C9194" s="37"/>
      <c r="D9194" s="37"/>
      <c r="E9194" s="212"/>
    </row>
    <row r="9195" spans="1:5" ht="14.25">
      <c r="A9195" s="37"/>
      <c r="B9195" s="37"/>
      <c r="C9195" s="37"/>
      <c r="D9195" s="37"/>
      <c r="E9195" s="212"/>
    </row>
    <row r="9196" spans="1:5" ht="14.25">
      <c r="A9196" s="37"/>
      <c r="B9196" s="37"/>
      <c r="C9196" s="37"/>
      <c r="D9196" s="37"/>
      <c r="E9196" s="212"/>
    </row>
    <row r="9197" spans="1:5" ht="14.25">
      <c r="A9197" s="37"/>
      <c r="B9197" s="37"/>
      <c r="C9197" s="37"/>
      <c r="D9197" s="37"/>
      <c r="E9197" s="212"/>
    </row>
    <row r="9198" spans="1:5" ht="14.25">
      <c r="A9198" s="37"/>
      <c r="B9198" s="37"/>
      <c r="C9198" s="37"/>
      <c r="D9198" s="37"/>
      <c r="E9198" s="212"/>
    </row>
    <row r="9199" spans="1:5" ht="14.25">
      <c r="A9199" s="37"/>
      <c r="B9199" s="37"/>
      <c r="C9199" s="37"/>
      <c r="D9199" s="37"/>
      <c r="E9199" s="212"/>
    </row>
    <row r="9200" spans="1:5" ht="14.25">
      <c r="A9200" s="37"/>
      <c r="B9200" s="37"/>
      <c r="C9200" s="37"/>
      <c r="D9200" s="37"/>
      <c r="E9200" s="212"/>
    </row>
    <row r="9201" spans="1:5" ht="14.25">
      <c r="A9201" s="37"/>
      <c r="B9201" s="37"/>
      <c r="C9201" s="37"/>
      <c r="D9201" s="37"/>
      <c r="E9201" s="212"/>
    </row>
    <row r="9202" spans="1:5" ht="14.25">
      <c r="A9202" s="37"/>
      <c r="B9202" s="37"/>
      <c r="C9202" s="37"/>
      <c r="D9202" s="37"/>
      <c r="E9202" s="212"/>
    </row>
    <row r="9203" spans="1:5" ht="14.25">
      <c r="A9203" s="37"/>
      <c r="B9203" s="37"/>
      <c r="C9203" s="37"/>
      <c r="D9203" s="37"/>
      <c r="E9203" s="213"/>
    </row>
    <row r="9204" spans="1:5" ht="14.25">
      <c r="A9204" s="37"/>
      <c r="B9204" s="37"/>
      <c r="C9204" s="37"/>
      <c r="D9204" s="37"/>
      <c r="E9204" s="212"/>
    </row>
    <row r="9205" spans="1:5" ht="14.25">
      <c r="A9205" s="37"/>
      <c r="B9205" s="37"/>
      <c r="C9205" s="37"/>
      <c r="D9205" s="37"/>
      <c r="E9205" s="212"/>
    </row>
    <row r="9206" spans="1:5" ht="14.25">
      <c r="A9206" s="37"/>
      <c r="B9206" s="37"/>
      <c r="C9206" s="37"/>
      <c r="D9206" s="37"/>
      <c r="E9206" s="212"/>
    </row>
    <row r="9207" spans="1:5" ht="14.25">
      <c r="A9207" s="37"/>
      <c r="B9207" s="37"/>
      <c r="C9207" s="37"/>
      <c r="D9207" s="37"/>
      <c r="E9207" s="212"/>
    </row>
    <row r="9208" spans="1:5" ht="14.25">
      <c r="A9208" s="37"/>
      <c r="B9208" s="37"/>
      <c r="C9208" s="37"/>
      <c r="D9208" s="37"/>
      <c r="E9208" s="212"/>
    </row>
    <row r="9209" spans="1:5" ht="14.25">
      <c r="A9209" s="37"/>
      <c r="B9209" s="37"/>
      <c r="C9209" s="37"/>
      <c r="D9209" s="37"/>
      <c r="E9209" s="212"/>
    </row>
    <row r="9210" spans="1:5" ht="14.25">
      <c r="A9210" s="37"/>
      <c r="B9210" s="37"/>
      <c r="C9210" s="37"/>
      <c r="D9210" s="37"/>
      <c r="E9210" s="212"/>
    </row>
    <row r="9211" spans="1:5" ht="14.25">
      <c r="A9211" s="37"/>
      <c r="B9211" s="37"/>
      <c r="C9211" s="37"/>
      <c r="D9211" s="37"/>
      <c r="E9211" s="212"/>
    </row>
    <row r="9212" spans="1:5" ht="14.25">
      <c r="A9212" s="37"/>
      <c r="B9212" s="37"/>
      <c r="C9212" s="37"/>
      <c r="D9212" s="37"/>
      <c r="E9212" s="213"/>
    </row>
    <row r="9213" spans="1:5" ht="14.25">
      <c r="A9213" s="37"/>
      <c r="B9213" s="37"/>
      <c r="C9213" s="37"/>
      <c r="D9213" s="37"/>
      <c r="E9213" s="213"/>
    </row>
    <row r="9214" spans="1:5" ht="14.25">
      <c r="A9214" s="37"/>
      <c r="B9214" s="37"/>
      <c r="C9214" s="37"/>
      <c r="D9214" s="37"/>
      <c r="E9214" s="213"/>
    </row>
    <row r="9215" spans="1:5" ht="14.25">
      <c r="A9215" s="37"/>
      <c r="B9215" s="37"/>
      <c r="C9215" s="37"/>
      <c r="D9215" s="37"/>
      <c r="E9215" s="213"/>
    </row>
    <row r="9216" spans="1:5" ht="14.25">
      <c r="A9216" s="37"/>
      <c r="B9216" s="37"/>
      <c r="C9216" s="37"/>
      <c r="D9216" s="37"/>
      <c r="E9216" s="213"/>
    </row>
    <row r="9217" spans="1:5" ht="14.25">
      <c r="A9217" s="37"/>
      <c r="B9217" s="37"/>
      <c r="C9217" s="37"/>
      <c r="D9217" s="37"/>
      <c r="E9217" s="213"/>
    </row>
    <row r="9218" spans="1:5" ht="14.25">
      <c r="A9218" s="37"/>
      <c r="B9218" s="37"/>
      <c r="C9218" s="37"/>
      <c r="D9218" s="37"/>
      <c r="E9218" s="213"/>
    </row>
    <row r="9219" spans="1:5" ht="14.25">
      <c r="A9219" s="37"/>
      <c r="B9219" s="37"/>
      <c r="C9219" s="37"/>
      <c r="D9219" s="37"/>
      <c r="E9219" s="213"/>
    </row>
    <row r="9220" spans="1:5" ht="14.25">
      <c r="A9220" s="37"/>
      <c r="B9220" s="37"/>
      <c r="C9220" s="37"/>
      <c r="D9220" s="37"/>
      <c r="E9220" s="213"/>
    </row>
    <row r="9221" spans="1:5" ht="14.25">
      <c r="A9221" s="37"/>
      <c r="B9221" s="37"/>
      <c r="C9221" s="37"/>
      <c r="D9221" s="37"/>
      <c r="E9221" s="213"/>
    </row>
    <row r="9222" spans="1:5" ht="14.25">
      <c r="A9222" s="37"/>
      <c r="B9222" s="37"/>
      <c r="C9222" s="37"/>
      <c r="D9222" s="37"/>
      <c r="E9222" s="213"/>
    </row>
    <row r="9223" spans="1:5" ht="14.25">
      <c r="A9223" s="37"/>
      <c r="B9223" s="37"/>
      <c r="C9223" s="37"/>
      <c r="D9223" s="37"/>
      <c r="E9223" s="212"/>
    </row>
    <row r="9224" spans="1:5" ht="14.25">
      <c r="A9224" s="37"/>
      <c r="B9224" s="37"/>
      <c r="C9224" s="37"/>
      <c r="D9224" s="37"/>
      <c r="E9224" s="213"/>
    </row>
    <row r="9225" spans="1:5" ht="14.25">
      <c r="A9225" s="37"/>
      <c r="B9225" s="37"/>
      <c r="C9225" s="37"/>
      <c r="D9225" s="37"/>
      <c r="E9225" s="212"/>
    </row>
    <row r="9226" spans="1:5" ht="14.25">
      <c r="A9226" s="37"/>
      <c r="B9226" s="37"/>
      <c r="C9226" s="37"/>
      <c r="D9226" s="37"/>
      <c r="E9226" s="212"/>
    </row>
    <row r="9227" spans="1:5" ht="14.25">
      <c r="A9227" s="37"/>
      <c r="B9227" s="37"/>
      <c r="C9227" s="37"/>
      <c r="D9227" s="37"/>
      <c r="E9227" s="213"/>
    </row>
    <row r="9228" spans="1:5" ht="14.25">
      <c r="A9228" s="37"/>
      <c r="B9228" s="37"/>
      <c r="C9228" s="37"/>
      <c r="D9228" s="37"/>
      <c r="E9228" s="213"/>
    </row>
    <row r="9229" spans="1:5" ht="14.25">
      <c r="A9229" s="37"/>
      <c r="B9229" s="37"/>
      <c r="C9229" s="37"/>
      <c r="D9229" s="37"/>
      <c r="E9229" s="212"/>
    </row>
    <row r="9230" spans="1:5" ht="14.25">
      <c r="A9230" s="37"/>
      <c r="B9230" s="37"/>
      <c r="C9230" s="37"/>
      <c r="D9230" s="37"/>
      <c r="E9230" s="212"/>
    </row>
    <row r="9231" spans="1:5" ht="14.25">
      <c r="A9231" s="37"/>
      <c r="B9231" s="37"/>
      <c r="C9231" s="37"/>
      <c r="D9231" s="37"/>
      <c r="E9231" s="212"/>
    </row>
    <row r="9232" spans="1:5" ht="14.25">
      <c r="A9232" s="37"/>
      <c r="B9232" s="37"/>
      <c r="C9232" s="37"/>
      <c r="D9232" s="37"/>
      <c r="E9232" s="212"/>
    </row>
    <row r="9233" spans="1:5" ht="14.25">
      <c r="A9233" s="37"/>
      <c r="B9233" s="37"/>
      <c r="C9233" s="37"/>
      <c r="D9233" s="37"/>
      <c r="E9233" s="212"/>
    </row>
    <row r="9234" spans="1:5" ht="14.25">
      <c r="A9234" s="37"/>
      <c r="B9234" s="37"/>
      <c r="C9234" s="37"/>
      <c r="D9234" s="37"/>
      <c r="E9234" s="212"/>
    </row>
    <row r="9235" spans="1:5" ht="14.25">
      <c r="A9235" s="37"/>
      <c r="B9235" s="37"/>
      <c r="C9235" s="37"/>
      <c r="D9235" s="37"/>
      <c r="E9235" s="212"/>
    </row>
    <row r="9236" spans="1:5" ht="14.25">
      <c r="A9236" s="37"/>
      <c r="B9236" s="37"/>
      <c r="C9236" s="37"/>
      <c r="D9236" s="37"/>
      <c r="E9236" s="212"/>
    </row>
    <row r="9237" spans="1:5" ht="14.25">
      <c r="A9237" s="37"/>
      <c r="B9237" s="37"/>
      <c r="C9237" s="37"/>
      <c r="D9237" s="37"/>
      <c r="E9237" s="212"/>
    </row>
    <row r="9238" spans="1:5" ht="14.25">
      <c r="A9238" s="37"/>
      <c r="B9238" s="37"/>
      <c r="C9238" s="37"/>
      <c r="D9238" s="37"/>
      <c r="E9238" s="212"/>
    </row>
    <row r="9239" spans="1:5" ht="14.25">
      <c r="A9239" s="37"/>
      <c r="B9239" s="37"/>
      <c r="C9239" s="37"/>
      <c r="D9239" s="37"/>
      <c r="E9239" s="212"/>
    </row>
    <row r="9240" spans="1:5" ht="14.25">
      <c r="A9240" s="37"/>
      <c r="B9240" s="37"/>
      <c r="C9240" s="37"/>
      <c r="D9240" s="37"/>
      <c r="E9240" s="212"/>
    </row>
    <row r="9241" spans="1:5" ht="14.25">
      <c r="A9241" s="37"/>
      <c r="B9241" s="37"/>
      <c r="C9241" s="37"/>
      <c r="D9241" s="37"/>
      <c r="E9241" s="212"/>
    </row>
    <row r="9242" spans="1:5" ht="14.25">
      <c r="A9242" s="37"/>
      <c r="B9242" s="37"/>
      <c r="C9242" s="37"/>
      <c r="D9242" s="37"/>
      <c r="E9242" s="212"/>
    </row>
    <row r="9243" spans="1:5" ht="14.25">
      <c r="A9243" s="37"/>
      <c r="B9243" s="37"/>
      <c r="C9243" s="37"/>
      <c r="D9243" s="37"/>
      <c r="E9243" s="212"/>
    </row>
    <row r="9244" spans="1:5" ht="14.25">
      <c r="A9244" s="37"/>
      <c r="B9244" s="37"/>
      <c r="C9244" s="37"/>
      <c r="D9244" s="37"/>
      <c r="E9244" s="212"/>
    </row>
    <row r="9245" spans="1:5" ht="14.25">
      <c r="A9245" s="37"/>
      <c r="B9245" s="37"/>
      <c r="C9245" s="37"/>
      <c r="D9245" s="37"/>
      <c r="E9245" s="212"/>
    </row>
    <row r="9246" spans="1:5" ht="14.25">
      <c r="A9246" s="37"/>
      <c r="B9246" s="37"/>
      <c r="C9246" s="37"/>
      <c r="D9246" s="37"/>
      <c r="E9246" s="212"/>
    </row>
    <row r="9247" spans="1:5" ht="14.25">
      <c r="A9247" s="37"/>
      <c r="B9247" s="37"/>
      <c r="C9247" s="37"/>
      <c r="D9247" s="37"/>
      <c r="E9247" s="212"/>
    </row>
    <row r="9248" spans="1:5" ht="14.25">
      <c r="A9248" s="37"/>
      <c r="B9248" s="37"/>
      <c r="C9248" s="37"/>
      <c r="D9248" s="37"/>
      <c r="E9248" s="212"/>
    </row>
    <row r="9249" spans="1:5" ht="14.25">
      <c r="A9249" s="37"/>
      <c r="B9249" s="37"/>
      <c r="C9249" s="37"/>
      <c r="D9249" s="37"/>
      <c r="E9249" s="212"/>
    </row>
    <row r="9250" spans="1:5" ht="14.25">
      <c r="A9250" s="37"/>
      <c r="B9250" s="37"/>
      <c r="C9250" s="37"/>
      <c r="D9250" s="37"/>
      <c r="E9250" s="212"/>
    </row>
    <row r="9251" spans="1:5" ht="14.25">
      <c r="A9251" s="37"/>
      <c r="B9251" s="37"/>
      <c r="C9251" s="37"/>
      <c r="D9251" s="37"/>
      <c r="E9251" s="212"/>
    </row>
    <row r="9252" spans="1:5" ht="14.25">
      <c r="A9252" s="37"/>
      <c r="B9252" s="37"/>
      <c r="C9252" s="37"/>
      <c r="D9252" s="37"/>
      <c r="E9252" s="212"/>
    </row>
    <row r="9253" spans="1:5" ht="14.25">
      <c r="A9253" s="37"/>
      <c r="B9253" s="37"/>
      <c r="C9253" s="37"/>
      <c r="D9253" s="37"/>
      <c r="E9253" s="212"/>
    </row>
    <row r="9254" spans="1:5" ht="14.25">
      <c r="A9254" s="37"/>
      <c r="B9254" s="37"/>
      <c r="C9254" s="37"/>
      <c r="D9254" s="37"/>
      <c r="E9254" s="212"/>
    </row>
    <row r="9255" spans="1:5" ht="14.25">
      <c r="A9255" s="37"/>
      <c r="B9255" s="37"/>
      <c r="C9255" s="37"/>
      <c r="D9255" s="37"/>
      <c r="E9255" s="212"/>
    </row>
    <row r="9256" spans="1:5" ht="14.25">
      <c r="A9256" s="37"/>
      <c r="B9256" s="37"/>
      <c r="C9256" s="37"/>
      <c r="D9256" s="37"/>
      <c r="E9256" s="212"/>
    </row>
    <row r="9257" spans="1:5" ht="14.25">
      <c r="A9257" s="37"/>
      <c r="B9257" s="37"/>
      <c r="C9257" s="37"/>
      <c r="D9257" s="37"/>
      <c r="E9257" s="212"/>
    </row>
    <row r="9258" spans="1:5" ht="14.25">
      <c r="A9258" s="37"/>
      <c r="B9258" s="37"/>
      <c r="C9258" s="37"/>
      <c r="D9258" s="37"/>
      <c r="E9258" s="212"/>
    </row>
    <row r="9259" spans="1:5" ht="14.25">
      <c r="A9259" s="37"/>
      <c r="B9259" s="37"/>
      <c r="C9259" s="37"/>
      <c r="D9259" s="37"/>
      <c r="E9259" s="212"/>
    </row>
    <row r="9260" spans="1:5" ht="14.25">
      <c r="A9260" s="37"/>
      <c r="B9260" s="37"/>
      <c r="C9260" s="37"/>
      <c r="D9260" s="37"/>
      <c r="E9260" s="212"/>
    </row>
    <row r="9261" spans="1:5" ht="14.25">
      <c r="A9261" s="37"/>
      <c r="B9261" s="37"/>
      <c r="C9261" s="37"/>
      <c r="D9261" s="37"/>
      <c r="E9261" s="212"/>
    </row>
    <row r="9262" spans="1:5" ht="14.25">
      <c r="A9262" s="37"/>
      <c r="B9262" s="37"/>
      <c r="C9262" s="37"/>
      <c r="D9262" s="37"/>
      <c r="E9262" s="213"/>
    </row>
    <row r="9263" spans="1:5" ht="14.25">
      <c r="A9263" s="37"/>
      <c r="B9263" s="37"/>
      <c r="C9263" s="37"/>
      <c r="D9263" s="37"/>
      <c r="E9263" s="212"/>
    </row>
    <row r="9264" spans="1:5" ht="14.25">
      <c r="A9264" s="37"/>
      <c r="B9264" s="37"/>
      <c r="C9264" s="37"/>
      <c r="D9264" s="37"/>
      <c r="E9264" s="37"/>
    </row>
    <row r="9265" spans="1:5" ht="14.25">
      <c r="A9265" s="37"/>
      <c r="B9265" s="37"/>
      <c r="C9265" s="37"/>
      <c r="D9265" s="37"/>
      <c r="E9265" s="37"/>
    </row>
  </sheetData>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20"/>
  <sheetViews>
    <sheetView topLeftCell="A4" workbookViewId="0">
      <selection activeCell="E17" sqref="E17"/>
    </sheetView>
  </sheetViews>
  <sheetFormatPr defaultColWidth="21.75" defaultRowHeight="11.25"/>
  <cols>
    <col min="1" max="1" width="6.125" style="44" bestFit="1" customWidth="1"/>
    <col min="2" max="2" width="50.625" style="44" customWidth="1"/>
    <col min="3" max="3" width="7.375" style="44" customWidth="1"/>
    <col min="4" max="4" width="10.5" style="181" bestFit="1" customWidth="1"/>
    <col min="5" max="16384" width="21.75" style="13"/>
  </cols>
  <sheetData>
    <row r="1" spans="1:4" s="14" customFormat="1" ht="11.25" customHeight="1">
      <c r="A1" s="39" t="s">
        <v>2175</v>
      </c>
      <c r="B1" s="45" t="s">
        <v>28447</v>
      </c>
      <c r="C1" s="40"/>
      <c r="D1" s="178"/>
    </row>
    <row r="2" spans="1:4" s="14" customFormat="1">
      <c r="A2" s="41">
        <v>1</v>
      </c>
      <c r="B2" s="41">
        <v>2</v>
      </c>
      <c r="C2" s="41">
        <v>3</v>
      </c>
      <c r="D2" s="179">
        <v>4</v>
      </c>
    </row>
    <row r="3" spans="1:4">
      <c r="A3" s="42" t="s">
        <v>1028</v>
      </c>
      <c r="B3" s="42" t="s">
        <v>1029</v>
      </c>
      <c r="C3" s="43" t="s">
        <v>1030</v>
      </c>
      <c r="D3" s="180" t="s">
        <v>1031</v>
      </c>
    </row>
    <row r="4" spans="1:4" ht="15">
      <c r="A4" s="232">
        <v>1</v>
      </c>
      <c r="B4" s="233" t="s">
        <v>1032</v>
      </c>
      <c r="C4" s="234"/>
      <c r="D4" s="234"/>
    </row>
    <row r="5" spans="1:4" ht="15">
      <c r="A5" s="232">
        <v>101</v>
      </c>
      <c r="B5" s="233" t="s">
        <v>1033</v>
      </c>
      <c r="C5" s="234"/>
      <c r="D5" s="234"/>
    </row>
    <row r="6" spans="1:4" ht="14.25">
      <c r="A6" s="235">
        <v>10101</v>
      </c>
      <c r="B6" s="235" t="s">
        <v>26354</v>
      </c>
      <c r="C6" s="228" t="s">
        <v>10</v>
      </c>
      <c r="D6" s="229">
        <v>6.27</v>
      </c>
    </row>
    <row r="7" spans="1:4" ht="14.25">
      <c r="A7" s="235">
        <v>10106</v>
      </c>
      <c r="B7" s="235" t="s">
        <v>26355</v>
      </c>
      <c r="C7" s="228" t="s">
        <v>10</v>
      </c>
      <c r="D7" s="229">
        <v>7.43</v>
      </c>
    </row>
    <row r="8" spans="1:4" ht="14.25">
      <c r="A8" s="235">
        <v>10108</v>
      </c>
      <c r="B8" s="235" t="s">
        <v>26356</v>
      </c>
      <c r="C8" s="228" t="s">
        <v>10</v>
      </c>
      <c r="D8" s="229">
        <v>7.43</v>
      </c>
    </row>
    <row r="9" spans="1:4" ht="14.25">
      <c r="A9" s="235">
        <v>10111</v>
      </c>
      <c r="B9" s="235" t="s">
        <v>26357</v>
      </c>
      <c r="C9" s="228" t="s">
        <v>10</v>
      </c>
      <c r="D9" s="229">
        <v>7.43</v>
      </c>
    </row>
    <row r="10" spans="1:4" ht="14.25">
      <c r="A10" s="235">
        <v>10115</v>
      </c>
      <c r="B10" s="235" t="s">
        <v>26358</v>
      </c>
      <c r="C10" s="228" t="s">
        <v>10</v>
      </c>
      <c r="D10" s="229">
        <v>7.43</v>
      </c>
    </row>
    <row r="11" spans="1:4" ht="14.25">
      <c r="A11" s="235">
        <v>10117</v>
      </c>
      <c r="B11" s="235" t="s">
        <v>26359</v>
      </c>
      <c r="C11" s="228" t="s">
        <v>10</v>
      </c>
      <c r="D11" s="229">
        <v>14.1</v>
      </c>
    </row>
    <row r="12" spans="1:4" ht="14.25">
      <c r="A12" s="235">
        <v>10118</v>
      </c>
      <c r="B12" s="235" t="s">
        <v>26360</v>
      </c>
      <c r="C12" s="228" t="s">
        <v>10</v>
      </c>
      <c r="D12" s="229">
        <v>7.43</v>
      </c>
    </row>
    <row r="13" spans="1:4" ht="14.25">
      <c r="A13" s="235">
        <v>10121</v>
      </c>
      <c r="B13" s="235" t="s">
        <v>26361</v>
      </c>
      <c r="C13" s="228" t="s">
        <v>10</v>
      </c>
      <c r="D13" s="229">
        <v>7.43</v>
      </c>
    </row>
    <row r="14" spans="1:4" ht="14.25">
      <c r="A14" s="235">
        <v>10124</v>
      </c>
      <c r="B14" s="235" t="s">
        <v>26362</v>
      </c>
      <c r="C14" s="228" t="s">
        <v>10</v>
      </c>
      <c r="D14" s="229">
        <v>7.43</v>
      </c>
    </row>
    <row r="15" spans="1:4" ht="14.25">
      <c r="A15" s="235">
        <v>10128</v>
      </c>
      <c r="B15" s="235" t="s">
        <v>26363</v>
      </c>
      <c r="C15" s="228" t="s">
        <v>10</v>
      </c>
      <c r="D15" s="229">
        <v>7.43</v>
      </c>
    </row>
    <row r="16" spans="1:4" ht="14.25">
      <c r="A16" s="235">
        <v>10130</v>
      </c>
      <c r="B16" s="235" t="s">
        <v>26364</v>
      </c>
      <c r="C16" s="228" t="s">
        <v>10</v>
      </c>
      <c r="D16" s="229">
        <v>11.33</v>
      </c>
    </row>
    <row r="17" spans="1:4" ht="14.25">
      <c r="A17" s="235">
        <v>10138</v>
      </c>
      <c r="B17" s="235" t="s">
        <v>26365</v>
      </c>
      <c r="C17" s="228" t="s">
        <v>10</v>
      </c>
      <c r="D17" s="229">
        <v>7.43</v>
      </c>
    </row>
    <row r="18" spans="1:4" ht="14.25">
      <c r="A18" s="235">
        <v>10139</v>
      </c>
      <c r="B18" s="235" t="s">
        <v>26366</v>
      </c>
      <c r="C18" s="228" t="s">
        <v>10</v>
      </c>
      <c r="D18" s="229">
        <v>7.43</v>
      </c>
    </row>
    <row r="19" spans="1:4" ht="14.25">
      <c r="A19" s="235">
        <v>10140</v>
      </c>
      <c r="B19" s="235" t="s">
        <v>26367</v>
      </c>
      <c r="C19" s="228" t="s">
        <v>10</v>
      </c>
      <c r="D19" s="229">
        <v>7.43</v>
      </c>
    </row>
    <row r="20" spans="1:4" ht="14.25">
      <c r="A20" s="235">
        <v>10146</v>
      </c>
      <c r="B20" s="235" t="s">
        <v>26368</v>
      </c>
      <c r="C20" s="228" t="s">
        <v>10</v>
      </c>
      <c r="D20" s="229">
        <v>5.46</v>
      </c>
    </row>
    <row r="21" spans="1:4" ht="14.25">
      <c r="A21" s="235">
        <v>10150</v>
      </c>
      <c r="B21" s="235" t="s">
        <v>26369</v>
      </c>
      <c r="C21" s="228" t="s">
        <v>10</v>
      </c>
      <c r="D21" s="229">
        <v>7.43</v>
      </c>
    </row>
    <row r="22" spans="1:4" ht="15">
      <c r="A22" s="232">
        <v>102</v>
      </c>
      <c r="B22" s="233" t="s">
        <v>1034</v>
      </c>
      <c r="C22" s="234"/>
      <c r="D22" s="234"/>
    </row>
    <row r="23" spans="1:4" ht="14.25">
      <c r="A23" s="235">
        <v>10209</v>
      </c>
      <c r="B23" s="235" t="s">
        <v>1035</v>
      </c>
      <c r="C23" s="228" t="s">
        <v>10</v>
      </c>
      <c r="D23" s="229">
        <v>12.12</v>
      </c>
    </row>
    <row r="24" spans="1:4" ht="14.25">
      <c r="A24" s="235">
        <v>10233</v>
      </c>
      <c r="B24" s="235" t="s">
        <v>26370</v>
      </c>
      <c r="C24" s="228" t="s">
        <v>10</v>
      </c>
      <c r="D24" s="229">
        <v>5</v>
      </c>
    </row>
    <row r="25" spans="1:4" ht="14.25">
      <c r="A25" s="235">
        <v>10235</v>
      </c>
      <c r="B25" s="235" t="s">
        <v>26371</v>
      </c>
      <c r="C25" s="228" t="s">
        <v>10</v>
      </c>
      <c r="D25" s="229">
        <v>5</v>
      </c>
    </row>
    <row r="26" spans="1:4" ht="14.25">
      <c r="A26" s="235">
        <v>10237</v>
      </c>
      <c r="B26" s="235" t="s">
        <v>28401</v>
      </c>
      <c r="C26" s="228" t="s">
        <v>10</v>
      </c>
      <c r="D26" s="229">
        <v>10.07</v>
      </c>
    </row>
    <row r="27" spans="1:4" ht="28.5">
      <c r="A27" s="235">
        <v>10260</v>
      </c>
      <c r="B27" s="235" t="s">
        <v>26372</v>
      </c>
      <c r="C27" s="228" t="s">
        <v>10</v>
      </c>
      <c r="D27" s="229">
        <v>5.79</v>
      </c>
    </row>
    <row r="28" spans="1:4" ht="14.25">
      <c r="A28" s="235">
        <v>10278</v>
      </c>
      <c r="B28" s="235" t="s">
        <v>26373</v>
      </c>
      <c r="C28" s="228" t="s">
        <v>10</v>
      </c>
      <c r="D28" s="229">
        <v>11.33</v>
      </c>
    </row>
    <row r="29" spans="1:4" ht="14.25">
      <c r="A29" s="236"/>
      <c r="B29" s="237"/>
      <c r="C29" s="237"/>
      <c r="D29" s="237"/>
    </row>
    <row r="30" spans="1:4" ht="60">
      <c r="A30" s="233" t="s">
        <v>1036</v>
      </c>
      <c r="B30" s="234"/>
      <c r="C30" s="234"/>
      <c r="D30" s="234"/>
    </row>
    <row r="31" spans="1:4" ht="14.25">
      <c r="A31" s="236"/>
      <c r="B31" s="237"/>
      <c r="C31" s="237"/>
      <c r="D31" s="237"/>
    </row>
    <row r="32" spans="1:4" ht="30">
      <c r="A32" s="238" t="s">
        <v>1028</v>
      </c>
      <c r="B32" s="238" t="s">
        <v>1029</v>
      </c>
      <c r="C32" s="239" t="s">
        <v>1030</v>
      </c>
      <c r="D32" s="239" t="s">
        <v>1031</v>
      </c>
    </row>
    <row r="33" spans="1:4" ht="15">
      <c r="A33" s="232">
        <v>2</v>
      </c>
      <c r="B33" s="233" t="s">
        <v>1037</v>
      </c>
      <c r="C33" s="234"/>
      <c r="D33" s="234"/>
    </row>
    <row r="34" spans="1:4" ht="15">
      <c r="A34" s="232">
        <v>203</v>
      </c>
      <c r="B34" s="233" t="s">
        <v>1038</v>
      </c>
      <c r="C34" s="234"/>
      <c r="D34" s="234"/>
    </row>
    <row r="35" spans="1:4" ht="28.5">
      <c r="A35" s="235">
        <v>20356</v>
      </c>
      <c r="B35" s="235" t="s">
        <v>1039</v>
      </c>
      <c r="C35" s="228" t="s">
        <v>7</v>
      </c>
      <c r="D35" s="229">
        <v>67.42</v>
      </c>
    </row>
    <row r="36" spans="1:4" ht="15">
      <c r="A36" s="232">
        <v>204</v>
      </c>
      <c r="B36" s="233" t="s">
        <v>1040</v>
      </c>
      <c r="C36" s="234"/>
      <c r="D36" s="234"/>
    </row>
    <row r="37" spans="1:4" ht="14.25">
      <c r="A37" s="235">
        <v>20416</v>
      </c>
      <c r="B37" s="235" t="s">
        <v>1041</v>
      </c>
      <c r="C37" s="228" t="s">
        <v>12</v>
      </c>
      <c r="D37" s="229">
        <v>396.67</v>
      </c>
    </row>
    <row r="38" spans="1:4" ht="14.25">
      <c r="A38" s="235">
        <v>20463</v>
      </c>
      <c r="B38" s="235" t="s">
        <v>1042</v>
      </c>
      <c r="C38" s="228" t="s">
        <v>8</v>
      </c>
      <c r="D38" s="229">
        <v>6.22</v>
      </c>
    </row>
    <row r="39" spans="1:4" ht="14.25">
      <c r="A39" s="235">
        <v>20468</v>
      </c>
      <c r="B39" s="235" t="s">
        <v>1043</v>
      </c>
      <c r="C39" s="228" t="s">
        <v>8</v>
      </c>
      <c r="D39" s="229">
        <v>9.6999999999999993</v>
      </c>
    </row>
    <row r="40" spans="1:4" ht="15">
      <c r="A40" s="232">
        <v>205</v>
      </c>
      <c r="B40" s="233" t="s">
        <v>1044</v>
      </c>
      <c r="C40" s="234"/>
      <c r="D40" s="234"/>
    </row>
    <row r="41" spans="1:4" ht="14.25">
      <c r="A41" s="235">
        <v>20503</v>
      </c>
      <c r="B41" s="235" t="s">
        <v>1045</v>
      </c>
      <c r="C41" s="228" t="s">
        <v>12</v>
      </c>
      <c r="D41" s="229">
        <v>90</v>
      </c>
    </row>
    <row r="42" spans="1:4" ht="14.25">
      <c r="A42" s="235">
        <v>20505</v>
      </c>
      <c r="B42" s="235" t="s">
        <v>1046</v>
      </c>
      <c r="C42" s="228" t="s">
        <v>8</v>
      </c>
      <c r="D42" s="229">
        <v>0.78</v>
      </c>
    </row>
    <row r="43" spans="1:4" ht="14.25">
      <c r="A43" s="235">
        <v>20508</v>
      </c>
      <c r="B43" s="235" t="s">
        <v>1047</v>
      </c>
      <c r="C43" s="228" t="s">
        <v>8</v>
      </c>
      <c r="D43" s="229">
        <v>0.46</v>
      </c>
    </row>
    <row r="44" spans="1:4" ht="14.25">
      <c r="A44" s="235">
        <v>20509</v>
      </c>
      <c r="B44" s="235" t="s">
        <v>1048</v>
      </c>
      <c r="C44" s="228" t="s">
        <v>8</v>
      </c>
      <c r="D44" s="229">
        <v>4.07</v>
      </c>
    </row>
    <row r="45" spans="1:4" ht="14.25">
      <c r="A45" s="235">
        <v>20510</v>
      </c>
      <c r="B45" s="235" t="s">
        <v>1049</v>
      </c>
      <c r="C45" s="228" t="s">
        <v>8</v>
      </c>
      <c r="D45" s="229">
        <v>0.81</v>
      </c>
    </row>
    <row r="46" spans="1:4" ht="14.25">
      <c r="A46" s="235">
        <v>20514</v>
      </c>
      <c r="B46" s="235" t="s">
        <v>1050</v>
      </c>
      <c r="C46" s="228" t="s">
        <v>12</v>
      </c>
      <c r="D46" s="229">
        <v>358</v>
      </c>
    </row>
    <row r="47" spans="1:4" ht="14.25">
      <c r="A47" s="235">
        <v>20517</v>
      </c>
      <c r="B47" s="235" t="s">
        <v>1051</v>
      </c>
      <c r="C47" s="228" t="s">
        <v>12</v>
      </c>
      <c r="D47" s="229">
        <v>110.44</v>
      </c>
    </row>
    <row r="48" spans="1:4" ht="14.25">
      <c r="A48" s="235">
        <v>20518</v>
      </c>
      <c r="B48" s="235" t="s">
        <v>1053</v>
      </c>
      <c r="C48" s="228" t="s">
        <v>12</v>
      </c>
      <c r="D48" s="229">
        <v>110.44</v>
      </c>
    </row>
    <row r="49" spans="1:4" ht="14.25">
      <c r="A49" s="235">
        <v>20519</v>
      </c>
      <c r="B49" s="235" t="s">
        <v>1054</v>
      </c>
      <c r="C49" s="228" t="s">
        <v>12</v>
      </c>
      <c r="D49" s="229">
        <v>110.44</v>
      </c>
    </row>
    <row r="50" spans="1:4" ht="14.25">
      <c r="A50" s="235">
        <v>20520</v>
      </c>
      <c r="B50" s="235" t="s">
        <v>1055</v>
      </c>
      <c r="C50" s="228" t="s">
        <v>12</v>
      </c>
      <c r="D50" s="229">
        <v>110.44</v>
      </c>
    </row>
    <row r="51" spans="1:4" ht="14.25">
      <c r="A51" s="235">
        <v>20521</v>
      </c>
      <c r="B51" s="235" t="s">
        <v>1056</v>
      </c>
      <c r="C51" s="228" t="s">
        <v>12</v>
      </c>
      <c r="D51" s="229">
        <v>104.49</v>
      </c>
    </row>
    <row r="52" spans="1:4" ht="14.25">
      <c r="A52" s="235">
        <v>20522</v>
      </c>
      <c r="B52" s="235" t="s">
        <v>1057</v>
      </c>
      <c r="C52" s="228" t="s">
        <v>12</v>
      </c>
      <c r="D52" s="229">
        <v>144.32</v>
      </c>
    </row>
    <row r="53" spans="1:4" ht="14.25">
      <c r="A53" s="235">
        <v>20524</v>
      </c>
      <c r="B53" s="235" t="s">
        <v>1058</v>
      </c>
      <c r="C53" s="228" t="s">
        <v>12</v>
      </c>
      <c r="D53" s="229">
        <v>79.23</v>
      </c>
    </row>
    <row r="54" spans="1:4" ht="14.25">
      <c r="A54" s="235">
        <v>20553</v>
      </c>
      <c r="B54" s="235" t="s">
        <v>1059</v>
      </c>
      <c r="C54" s="228" t="s">
        <v>12</v>
      </c>
      <c r="D54" s="229">
        <v>110.44</v>
      </c>
    </row>
    <row r="55" spans="1:4" ht="14.25">
      <c r="A55" s="235">
        <v>20554</v>
      </c>
      <c r="B55" s="235" t="s">
        <v>1060</v>
      </c>
      <c r="C55" s="228" t="s">
        <v>12</v>
      </c>
      <c r="D55" s="229">
        <v>58.33</v>
      </c>
    </row>
    <row r="56" spans="1:4" ht="14.25">
      <c r="A56" s="235">
        <v>20567</v>
      </c>
      <c r="B56" s="235" t="s">
        <v>1061</v>
      </c>
      <c r="C56" s="228" t="s">
        <v>12</v>
      </c>
      <c r="D56" s="229">
        <v>377.33</v>
      </c>
    </row>
    <row r="57" spans="1:4" ht="14.25">
      <c r="A57" s="235">
        <v>20571</v>
      </c>
      <c r="B57" s="235" t="s">
        <v>1062</v>
      </c>
      <c r="C57" s="228" t="s">
        <v>12</v>
      </c>
      <c r="D57" s="229">
        <v>110.44</v>
      </c>
    </row>
    <row r="58" spans="1:4" ht="28.5">
      <c r="A58" s="235">
        <v>20572</v>
      </c>
      <c r="B58" s="235" t="s">
        <v>1063</v>
      </c>
      <c r="C58" s="228" t="s">
        <v>8</v>
      </c>
      <c r="D58" s="229">
        <v>3.39</v>
      </c>
    </row>
    <row r="59" spans="1:4" ht="14.25">
      <c r="A59" s="235">
        <v>20578</v>
      </c>
      <c r="B59" s="235" t="s">
        <v>1064</v>
      </c>
      <c r="C59" s="228" t="s">
        <v>12</v>
      </c>
      <c r="D59" s="229">
        <v>110</v>
      </c>
    </row>
    <row r="60" spans="1:4" ht="14.25">
      <c r="A60" s="235">
        <v>20580</v>
      </c>
      <c r="B60" s="235" t="s">
        <v>1065</v>
      </c>
      <c r="C60" s="228" t="s">
        <v>12</v>
      </c>
      <c r="D60" s="229">
        <v>78.89</v>
      </c>
    </row>
    <row r="61" spans="1:4" ht="14.25">
      <c r="A61" s="235">
        <v>20584</v>
      </c>
      <c r="B61" s="235" t="s">
        <v>1066</v>
      </c>
      <c r="C61" s="228" t="s">
        <v>8</v>
      </c>
      <c r="D61" s="229">
        <v>1.62</v>
      </c>
    </row>
    <row r="62" spans="1:4" ht="14.25">
      <c r="A62" s="235">
        <v>20588</v>
      </c>
      <c r="B62" s="235" t="s">
        <v>1067</v>
      </c>
      <c r="C62" s="228" t="s">
        <v>8</v>
      </c>
      <c r="D62" s="229">
        <v>6.22</v>
      </c>
    </row>
    <row r="63" spans="1:4" ht="15">
      <c r="A63" s="232">
        <v>207</v>
      </c>
      <c r="B63" s="233" t="s">
        <v>1044</v>
      </c>
      <c r="C63" s="234"/>
      <c r="D63" s="234"/>
    </row>
    <row r="64" spans="1:4" ht="28.5">
      <c r="A64" s="235">
        <v>20732</v>
      </c>
      <c r="B64" s="235" t="s">
        <v>1068</v>
      </c>
      <c r="C64" s="228" t="s">
        <v>8</v>
      </c>
      <c r="D64" s="229">
        <v>1.95</v>
      </c>
    </row>
    <row r="65" spans="1:4" ht="14.25">
      <c r="A65" s="235">
        <v>20746</v>
      </c>
      <c r="B65" s="235" t="s">
        <v>1069</v>
      </c>
      <c r="C65" s="228" t="s">
        <v>8</v>
      </c>
      <c r="D65" s="229">
        <v>7.42</v>
      </c>
    </row>
    <row r="66" spans="1:4" ht="15">
      <c r="A66" s="232">
        <v>209</v>
      </c>
      <c r="B66" s="233" t="s">
        <v>1070</v>
      </c>
      <c r="C66" s="234"/>
      <c r="D66" s="234"/>
    </row>
    <row r="67" spans="1:4" ht="14.25">
      <c r="A67" s="235">
        <v>20910</v>
      </c>
      <c r="B67" s="235" t="s">
        <v>1071</v>
      </c>
      <c r="C67" s="228" t="s">
        <v>9</v>
      </c>
      <c r="D67" s="229">
        <v>34.89</v>
      </c>
    </row>
    <row r="68" spans="1:4" ht="14.25">
      <c r="A68" s="235">
        <v>20975</v>
      </c>
      <c r="B68" s="235" t="s">
        <v>1072</v>
      </c>
      <c r="C68" s="228" t="s">
        <v>6</v>
      </c>
      <c r="D68" s="229">
        <v>6.78</v>
      </c>
    </row>
    <row r="69" spans="1:4" ht="14.25">
      <c r="A69" s="235">
        <v>20977</v>
      </c>
      <c r="B69" s="235" t="s">
        <v>1073</v>
      </c>
      <c r="C69" s="228" t="s">
        <v>6</v>
      </c>
      <c r="D69" s="229">
        <v>7.96</v>
      </c>
    </row>
    <row r="70" spans="1:4" ht="14.25">
      <c r="A70" s="235">
        <v>20982</v>
      </c>
      <c r="B70" s="235" t="s">
        <v>1074</v>
      </c>
      <c r="C70" s="228" t="s">
        <v>6</v>
      </c>
      <c r="D70" s="229">
        <v>14.25</v>
      </c>
    </row>
    <row r="71" spans="1:4" ht="14.25">
      <c r="A71" s="235">
        <v>20985</v>
      </c>
      <c r="B71" s="235" t="s">
        <v>1075</v>
      </c>
      <c r="C71" s="228" t="s">
        <v>6</v>
      </c>
      <c r="D71" s="229">
        <v>9.19</v>
      </c>
    </row>
    <row r="72" spans="1:4" ht="14.25">
      <c r="A72" s="235">
        <v>20987</v>
      </c>
      <c r="B72" s="235" t="s">
        <v>1076</v>
      </c>
      <c r="C72" s="228" t="s">
        <v>9</v>
      </c>
      <c r="D72" s="229">
        <v>52.27</v>
      </c>
    </row>
    <row r="73" spans="1:4" ht="14.25">
      <c r="A73" s="235">
        <v>20988</v>
      </c>
      <c r="B73" s="235" t="s">
        <v>1077</v>
      </c>
      <c r="C73" s="228" t="s">
        <v>6</v>
      </c>
      <c r="D73" s="229">
        <v>15.68</v>
      </c>
    </row>
    <row r="74" spans="1:4" ht="15">
      <c r="A74" s="232">
        <v>210</v>
      </c>
      <c r="B74" s="233" t="s">
        <v>1070</v>
      </c>
      <c r="C74" s="234"/>
      <c r="D74" s="234"/>
    </row>
    <row r="75" spans="1:4" ht="28.5">
      <c r="A75" s="235">
        <v>21005</v>
      </c>
      <c r="B75" s="235" t="s">
        <v>26374</v>
      </c>
      <c r="C75" s="228" t="s">
        <v>12</v>
      </c>
      <c r="D75" s="231">
        <v>7666.67</v>
      </c>
    </row>
    <row r="76" spans="1:4" ht="14.25">
      <c r="A76" s="235">
        <v>21009</v>
      </c>
      <c r="B76" s="235" t="s">
        <v>1078</v>
      </c>
      <c r="C76" s="228" t="s">
        <v>6</v>
      </c>
      <c r="D76" s="229">
        <v>14.75</v>
      </c>
    </row>
    <row r="77" spans="1:4" ht="14.25">
      <c r="A77" s="235">
        <v>21018</v>
      </c>
      <c r="B77" s="235" t="s">
        <v>1079</v>
      </c>
      <c r="C77" s="228" t="s">
        <v>6</v>
      </c>
      <c r="D77" s="229">
        <v>19.02</v>
      </c>
    </row>
    <row r="78" spans="1:4" ht="14.25">
      <c r="A78" s="235">
        <v>21023</v>
      </c>
      <c r="B78" s="235" t="s">
        <v>1080</v>
      </c>
      <c r="C78" s="228" t="s">
        <v>7</v>
      </c>
      <c r="D78" s="229">
        <v>3.83</v>
      </c>
    </row>
    <row r="79" spans="1:4" ht="28.5">
      <c r="A79" s="235">
        <v>21028</v>
      </c>
      <c r="B79" s="235" t="s">
        <v>1081</v>
      </c>
      <c r="C79" s="228" t="s">
        <v>1082</v>
      </c>
      <c r="D79" s="229">
        <v>265.63</v>
      </c>
    </row>
    <row r="80" spans="1:4" ht="14.25">
      <c r="A80" s="235">
        <v>21030</v>
      </c>
      <c r="B80" s="235" t="s">
        <v>1083</v>
      </c>
      <c r="C80" s="228" t="s">
        <v>9</v>
      </c>
      <c r="D80" s="229">
        <v>30.98</v>
      </c>
    </row>
    <row r="81" spans="1:4" ht="14.25">
      <c r="A81" s="235">
        <v>21031</v>
      </c>
      <c r="B81" s="235" t="s">
        <v>1084</v>
      </c>
      <c r="C81" s="228" t="s">
        <v>9</v>
      </c>
      <c r="D81" s="229">
        <v>47.03</v>
      </c>
    </row>
    <row r="82" spans="1:4" ht="14.25">
      <c r="A82" s="235">
        <v>21032</v>
      </c>
      <c r="B82" s="235" t="s">
        <v>1085</v>
      </c>
      <c r="C82" s="228" t="s">
        <v>9</v>
      </c>
      <c r="D82" s="229">
        <v>57.74</v>
      </c>
    </row>
    <row r="83" spans="1:4" ht="14.25">
      <c r="A83" s="235">
        <v>21033</v>
      </c>
      <c r="B83" s="235" t="s">
        <v>1086</v>
      </c>
      <c r="C83" s="228" t="s">
        <v>9</v>
      </c>
      <c r="D83" s="229">
        <v>72.150000000000006</v>
      </c>
    </row>
    <row r="84" spans="1:4" ht="14.25">
      <c r="A84" s="235">
        <v>21040</v>
      </c>
      <c r="B84" s="235" t="s">
        <v>1087</v>
      </c>
      <c r="C84" s="228" t="s">
        <v>6</v>
      </c>
      <c r="D84" s="229">
        <v>44.17</v>
      </c>
    </row>
    <row r="85" spans="1:4" ht="14.25">
      <c r="A85" s="235">
        <v>21041</v>
      </c>
      <c r="B85" s="235" t="s">
        <v>1088</v>
      </c>
      <c r="C85" s="228" t="s">
        <v>6</v>
      </c>
      <c r="D85" s="229">
        <v>39.28</v>
      </c>
    </row>
    <row r="86" spans="1:4" ht="14.25">
      <c r="A86" s="235">
        <v>21042</v>
      </c>
      <c r="B86" s="235" t="s">
        <v>1089</v>
      </c>
      <c r="C86" s="228" t="s">
        <v>6</v>
      </c>
      <c r="D86" s="229">
        <v>84</v>
      </c>
    </row>
    <row r="87" spans="1:4" ht="28.5">
      <c r="A87" s="235">
        <v>21043</v>
      </c>
      <c r="B87" s="235" t="s">
        <v>1090</v>
      </c>
      <c r="C87" s="228" t="s">
        <v>6</v>
      </c>
      <c r="D87" s="229">
        <v>370</v>
      </c>
    </row>
    <row r="88" spans="1:4" ht="14.25">
      <c r="A88" s="235">
        <v>21060</v>
      </c>
      <c r="B88" s="235" t="s">
        <v>1091</v>
      </c>
      <c r="C88" s="228" t="s">
        <v>6</v>
      </c>
      <c r="D88" s="229">
        <v>6.03</v>
      </c>
    </row>
    <row r="89" spans="1:4" ht="14.25">
      <c r="A89" s="235">
        <v>21061</v>
      </c>
      <c r="B89" s="235" t="s">
        <v>1092</v>
      </c>
      <c r="C89" s="228" t="s">
        <v>6</v>
      </c>
      <c r="D89" s="229">
        <v>4.6900000000000004</v>
      </c>
    </row>
    <row r="90" spans="1:4" ht="14.25">
      <c r="A90" s="235">
        <v>21085</v>
      </c>
      <c r="B90" s="235" t="s">
        <v>26375</v>
      </c>
      <c r="C90" s="228" t="s">
        <v>12</v>
      </c>
      <c r="D90" s="231">
        <v>7666.67</v>
      </c>
    </row>
    <row r="91" spans="1:4" ht="14.25">
      <c r="A91" s="235">
        <v>21089</v>
      </c>
      <c r="B91" s="235" t="s">
        <v>1093</v>
      </c>
      <c r="C91" s="228" t="s">
        <v>6</v>
      </c>
      <c r="D91" s="229">
        <v>15.26</v>
      </c>
    </row>
    <row r="92" spans="1:4" ht="14.25">
      <c r="A92" s="235">
        <v>21091</v>
      </c>
      <c r="B92" s="235" t="s">
        <v>1094</v>
      </c>
      <c r="C92" s="228" t="s">
        <v>9</v>
      </c>
      <c r="D92" s="229">
        <v>41.91</v>
      </c>
    </row>
    <row r="93" spans="1:4" ht="15">
      <c r="A93" s="232">
        <v>211</v>
      </c>
      <c r="B93" s="233" t="s">
        <v>1095</v>
      </c>
      <c r="C93" s="234"/>
      <c r="D93" s="234"/>
    </row>
    <row r="94" spans="1:4" ht="14.25">
      <c r="A94" s="235">
        <v>21108</v>
      </c>
      <c r="B94" s="235" t="s">
        <v>1096</v>
      </c>
      <c r="C94" s="228" t="s">
        <v>6</v>
      </c>
      <c r="D94" s="229">
        <v>50.93</v>
      </c>
    </row>
    <row r="95" spans="1:4" ht="14.25">
      <c r="A95" s="235">
        <v>21109</v>
      </c>
      <c r="B95" s="235" t="s">
        <v>1097</v>
      </c>
      <c r="C95" s="228" t="s">
        <v>1098</v>
      </c>
      <c r="D95" s="229">
        <v>120.93</v>
      </c>
    </row>
    <row r="96" spans="1:4" ht="14.25">
      <c r="A96" s="235">
        <v>21111</v>
      </c>
      <c r="B96" s="235" t="s">
        <v>1099</v>
      </c>
      <c r="C96" s="228" t="s">
        <v>6</v>
      </c>
      <c r="D96" s="229">
        <v>75.97</v>
      </c>
    </row>
    <row r="97" spans="1:4" ht="14.25">
      <c r="A97" s="235">
        <v>21118</v>
      </c>
      <c r="B97" s="235" t="s">
        <v>1100</v>
      </c>
      <c r="C97" s="228" t="s">
        <v>6</v>
      </c>
      <c r="D97" s="229">
        <v>74</v>
      </c>
    </row>
    <row r="98" spans="1:4" ht="14.25">
      <c r="A98" s="235">
        <v>21144</v>
      </c>
      <c r="B98" s="235" t="s">
        <v>1101</v>
      </c>
      <c r="C98" s="228" t="s">
        <v>6</v>
      </c>
      <c r="D98" s="229">
        <v>31.61</v>
      </c>
    </row>
    <row r="99" spans="1:4" ht="14.25">
      <c r="A99" s="235">
        <v>21151</v>
      </c>
      <c r="B99" s="235" t="s">
        <v>1102</v>
      </c>
      <c r="C99" s="228" t="s">
        <v>6</v>
      </c>
      <c r="D99" s="229">
        <v>5.21</v>
      </c>
    </row>
    <row r="100" spans="1:4" ht="14.25">
      <c r="A100" s="235">
        <v>21170</v>
      </c>
      <c r="B100" s="235" t="s">
        <v>1103</v>
      </c>
      <c r="C100" s="228" t="s">
        <v>6</v>
      </c>
      <c r="D100" s="229">
        <v>17.2</v>
      </c>
    </row>
    <row r="101" spans="1:4" ht="15">
      <c r="A101" s="232">
        <v>212</v>
      </c>
      <c r="B101" s="233" t="s">
        <v>1104</v>
      </c>
      <c r="C101" s="234"/>
      <c r="D101" s="234"/>
    </row>
    <row r="102" spans="1:4" ht="14.25">
      <c r="A102" s="235">
        <v>21205</v>
      </c>
      <c r="B102" s="235" t="s">
        <v>1105</v>
      </c>
      <c r="C102" s="228" t="s">
        <v>6</v>
      </c>
      <c r="D102" s="229">
        <v>14.81</v>
      </c>
    </row>
    <row r="103" spans="1:4" ht="14.25">
      <c r="A103" s="235">
        <v>21211</v>
      </c>
      <c r="B103" s="235" t="s">
        <v>1106</v>
      </c>
      <c r="C103" s="228" t="s">
        <v>9</v>
      </c>
      <c r="D103" s="229">
        <v>10</v>
      </c>
    </row>
    <row r="104" spans="1:4" ht="15">
      <c r="A104" s="232">
        <v>213</v>
      </c>
      <c r="B104" s="233" t="s">
        <v>1095</v>
      </c>
      <c r="C104" s="234"/>
      <c r="D104" s="234"/>
    </row>
    <row r="105" spans="1:4" ht="14.25">
      <c r="A105" s="235">
        <v>21305</v>
      </c>
      <c r="B105" s="235" t="s">
        <v>26376</v>
      </c>
      <c r="C105" s="228" t="s">
        <v>6</v>
      </c>
      <c r="D105" s="229">
        <v>39.21</v>
      </c>
    </row>
    <row r="106" spans="1:4" ht="28.5">
      <c r="A106" s="235">
        <v>21368</v>
      </c>
      <c r="B106" s="235" t="s">
        <v>1107</v>
      </c>
      <c r="C106" s="228" t="s">
        <v>6</v>
      </c>
      <c r="D106" s="229">
        <v>5.43</v>
      </c>
    </row>
    <row r="107" spans="1:4" ht="15">
      <c r="A107" s="232">
        <v>215</v>
      </c>
      <c r="B107" s="233" t="s">
        <v>1108</v>
      </c>
      <c r="C107" s="234"/>
      <c r="D107" s="234"/>
    </row>
    <row r="108" spans="1:4" ht="14.25">
      <c r="A108" s="235">
        <v>21516</v>
      </c>
      <c r="B108" s="235" t="s">
        <v>1109</v>
      </c>
      <c r="C108" s="228" t="s">
        <v>8</v>
      </c>
      <c r="D108" s="229">
        <v>8.93</v>
      </c>
    </row>
    <row r="109" spans="1:4" ht="14.25">
      <c r="A109" s="235">
        <v>21517</v>
      </c>
      <c r="B109" s="235" t="s">
        <v>1110</v>
      </c>
      <c r="C109" s="228" t="s">
        <v>8</v>
      </c>
      <c r="D109" s="229">
        <v>8.84</v>
      </c>
    </row>
    <row r="110" spans="1:4" ht="14.25">
      <c r="A110" s="235">
        <v>21521</v>
      </c>
      <c r="B110" s="235" t="s">
        <v>1111</v>
      </c>
      <c r="C110" s="228" t="s">
        <v>8</v>
      </c>
      <c r="D110" s="229">
        <v>8.1</v>
      </c>
    </row>
    <row r="111" spans="1:4" ht="14.25">
      <c r="A111" s="235">
        <v>21532</v>
      </c>
      <c r="B111" s="235" t="s">
        <v>1112</v>
      </c>
      <c r="C111" s="228" t="s">
        <v>8</v>
      </c>
      <c r="D111" s="229">
        <v>11.71</v>
      </c>
    </row>
    <row r="112" spans="1:4" ht="28.5">
      <c r="A112" s="235">
        <v>21543</v>
      </c>
      <c r="B112" s="235" t="s">
        <v>1113</v>
      </c>
      <c r="C112" s="228" t="s">
        <v>9</v>
      </c>
      <c r="D112" s="229">
        <v>28.54</v>
      </c>
    </row>
    <row r="113" spans="1:4" ht="15">
      <c r="A113" s="232">
        <v>220</v>
      </c>
      <c r="B113" s="233" t="s">
        <v>1114</v>
      </c>
      <c r="C113" s="234"/>
      <c r="D113" s="234"/>
    </row>
    <row r="114" spans="1:4" ht="42.75">
      <c r="A114" s="235">
        <v>22001</v>
      </c>
      <c r="B114" s="235" t="s">
        <v>1115</v>
      </c>
      <c r="C114" s="228" t="s">
        <v>9</v>
      </c>
      <c r="D114" s="229">
        <v>52.25</v>
      </c>
    </row>
    <row r="115" spans="1:4" ht="42.75">
      <c r="A115" s="235">
        <v>22002</v>
      </c>
      <c r="B115" s="235" t="s">
        <v>1116</v>
      </c>
      <c r="C115" s="228" t="s">
        <v>9</v>
      </c>
      <c r="D115" s="229">
        <v>54.75</v>
      </c>
    </row>
    <row r="116" spans="1:4" ht="15">
      <c r="A116" s="232">
        <v>225</v>
      </c>
      <c r="B116" s="233" t="s">
        <v>1117</v>
      </c>
      <c r="C116" s="234"/>
      <c r="D116" s="234"/>
    </row>
    <row r="117" spans="1:4" ht="14.25">
      <c r="A117" s="235">
        <v>22502</v>
      </c>
      <c r="B117" s="235" t="s">
        <v>1118</v>
      </c>
      <c r="C117" s="228" t="s">
        <v>7</v>
      </c>
      <c r="D117" s="229">
        <v>2.2599999999999998</v>
      </c>
    </row>
    <row r="118" spans="1:4" ht="14.25">
      <c r="A118" s="235">
        <v>22504</v>
      </c>
      <c r="B118" s="235" t="s">
        <v>1119</v>
      </c>
      <c r="C118" s="228" t="s">
        <v>7</v>
      </c>
      <c r="D118" s="229">
        <v>3.02</v>
      </c>
    </row>
    <row r="119" spans="1:4" ht="14.25">
      <c r="A119" s="235">
        <v>22505</v>
      </c>
      <c r="B119" s="235" t="s">
        <v>1120</v>
      </c>
      <c r="C119" s="228" t="s">
        <v>7</v>
      </c>
      <c r="D119" s="229">
        <v>3.8</v>
      </c>
    </row>
    <row r="120" spans="1:4" ht="14.25">
      <c r="A120" s="235">
        <v>22507</v>
      </c>
      <c r="B120" s="235" t="s">
        <v>1121</v>
      </c>
      <c r="C120" s="228" t="s">
        <v>7</v>
      </c>
      <c r="D120" s="229">
        <v>3.2</v>
      </c>
    </row>
    <row r="121" spans="1:4" ht="14.25">
      <c r="A121" s="235">
        <v>22508</v>
      </c>
      <c r="B121" s="235" t="s">
        <v>1122</v>
      </c>
      <c r="C121" s="228" t="s">
        <v>7</v>
      </c>
      <c r="D121" s="229">
        <v>4.2</v>
      </c>
    </row>
    <row r="122" spans="1:4" ht="14.25">
      <c r="A122" s="235">
        <v>22548</v>
      </c>
      <c r="B122" s="235" t="s">
        <v>1123</v>
      </c>
      <c r="C122" s="228" t="s">
        <v>7</v>
      </c>
      <c r="D122" s="229">
        <v>2.33</v>
      </c>
    </row>
    <row r="123" spans="1:4" ht="28.5">
      <c r="A123" s="235">
        <v>22585</v>
      </c>
      <c r="B123" s="235" t="s">
        <v>1124</v>
      </c>
      <c r="C123" s="228" t="s">
        <v>7</v>
      </c>
      <c r="D123" s="229">
        <v>1.33</v>
      </c>
    </row>
    <row r="124" spans="1:4" ht="28.5">
      <c r="A124" s="235">
        <v>22586</v>
      </c>
      <c r="B124" s="235" t="s">
        <v>1125</v>
      </c>
      <c r="C124" s="228" t="s">
        <v>7</v>
      </c>
      <c r="D124" s="229">
        <v>0.86</v>
      </c>
    </row>
    <row r="125" spans="1:4" ht="15">
      <c r="A125" s="232">
        <v>230</v>
      </c>
      <c r="B125" s="233" t="s">
        <v>1126</v>
      </c>
      <c r="C125" s="234"/>
      <c r="D125" s="234"/>
    </row>
    <row r="126" spans="1:4" ht="28.5">
      <c r="A126" s="235">
        <v>23010</v>
      </c>
      <c r="B126" s="235" t="s">
        <v>1127</v>
      </c>
      <c r="C126" s="228" t="s">
        <v>7</v>
      </c>
      <c r="D126" s="229">
        <v>4.83</v>
      </c>
    </row>
    <row r="127" spans="1:4" ht="28.5">
      <c r="A127" s="235">
        <v>23015</v>
      </c>
      <c r="B127" s="235" t="s">
        <v>1128</v>
      </c>
      <c r="C127" s="228" t="s">
        <v>7</v>
      </c>
      <c r="D127" s="229">
        <v>11.17</v>
      </c>
    </row>
    <row r="128" spans="1:4" ht="15">
      <c r="A128" s="232">
        <v>235</v>
      </c>
      <c r="B128" s="233" t="s">
        <v>1129</v>
      </c>
      <c r="C128" s="234"/>
      <c r="D128" s="234"/>
    </row>
    <row r="129" spans="1:4" ht="28.5">
      <c r="A129" s="235">
        <v>23501</v>
      </c>
      <c r="B129" s="235" t="s">
        <v>1130</v>
      </c>
      <c r="C129" s="228" t="s">
        <v>9</v>
      </c>
      <c r="D129" s="229">
        <v>118.22</v>
      </c>
    </row>
    <row r="130" spans="1:4" ht="28.5">
      <c r="A130" s="235">
        <v>23503</v>
      </c>
      <c r="B130" s="235" t="s">
        <v>1131</v>
      </c>
      <c r="C130" s="228" t="s">
        <v>7</v>
      </c>
      <c r="D130" s="229">
        <v>390.67</v>
      </c>
    </row>
    <row r="131" spans="1:4" ht="28.5">
      <c r="A131" s="235">
        <v>23522</v>
      </c>
      <c r="B131" s="235" t="s">
        <v>1132</v>
      </c>
      <c r="C131" s="228" t="s">
        <v>9</v>
      </c>
      <c r="D131" s="229">
        <v>295.77</v>
      </c>
    </row>
    <row r="132" spans="1:4" ht="15">
      <c r="A132" s="232">
        <v>240</v>
      </c>
      <c r="B132" s="233" t="s">
        <v>1133</v>
      </c>
      <c r="C132" s="234"/>
      <c r="D132" s="234"/>
    </row>
    <row r="133" spans="1:4" ht="14.25">
      <c r="A133" s="235">
        <v>24015</v>
      </c>
      <c r="B133" s="235" t="s">
        <v>26377</v>
      </c>
      <c r="C133" s="228" t="s">
        <v>8</v>
      </c>
      <c r="D133" s="229">
        <v>8.2899999999999991</v>
      </c>
    </row>
    <row r="134" spans="1:4" ht="14.25">
      <c r="A134" s="235">
        <v>24020</v>
      </c>
      <c r="B134" s="235" t="s">
        <v>1134</v>
      </c>
      <c r="C134" s="228" t="s">
        <v>8</v>
      </c>
      <c r="D134" s="229">
        <v>10.8</v>
      </c>
    </row>
    <row r="135" spans="1:4" ht="14.25">
      <c r="A135" s="235">
        <v>24029</v>
      </c>
      <c r="B135" s="235" t="s">
        <v>1135</v>
      </c>
      <c r="C135" s="228" t="s">
        <v>9</v>
      </c>
      <c r="D135" s="229">
        <v>7.28</v>
      </c>
    </row>
    <row r="136" spans="1:4" ht="28.5">
      <c r="A136" s="235">
        <v>24034</v>
      </c>
      <c r="B136" s="235" t="s">
        <v>1136</v>
      </c>
      <c r="C136" s="228" t="s">
        <v>8</v>
      </c>
      <c r="D136" s="229">
        <v>15.71</v>
      </c>
    </row>
    <row r="137" spans="1:4" ht="28.5">
      <c r="A137" s="235">
        <v>24035</v>
      </c>
      <c r="B137" s="235" t="s">
        <v>1137</v>
      </c>
      <c r="C137" s="228" t="s">
        <v>8</v>
      </c>
      <c r="D137" s="229">
        <v>18.34</v>
      </c>
    </row>
    <row r="138" spans="1:4" ht="14.25">
      <c r="A138" s="235">
        <v>24038</v>
      </c>
      <c r="B138" s="235" t="s">
        <v>1138</v>
      </c>
      <c r="C138" s="228" t="s">
        <v>17</v>
      </c>
      <c r="D138" s="229">
        <v>0.33</v>
      </c>
    </row>
    <row r="139" spans="1:4" ht="14.25">
      <c r="A139" s="235">
        <v>24042</v>
      </c>
      <c r="B139" s="235" t="s">
        <v>1139</v>
      </c>
      <c r="C139" s="228" t="s">
        <v>8</v>
      </c>
      <c r="D139" s="229">
        <v>29.24</v>
      </c>
    </row>
    <row r="140" spans="1:4" ht="15">
      <c r="A140" s="232">
        <v>241</v>
      </c>
      <c r="B140" s="233" t="s">
        <v>1140</v>
      </c>
      <c r="C140" s="234"/>
      <c r="D140" s="234"/>
    </row>
    <row r="141" spans="1:4" ht="14.25">
      <c r="A141" s="235">
        <v>24116</v>
      </c>
      <c r="B141" s="235" t="s">
        <v>1141</v>
      </c>
      <c r="C141" s="228" t="s">
        <v>9</v>
      </c>
      <c r="D141" s="229">
        <v>0.73</v>
      </c>
    </row>
    <row r="142" spans="1:4" ht="42.75">
      <c r="A142" s="235">
        <v>24130</v>
      </c>
      <c r="B142" s="235" t="s">
        <v>1142</v>
      </c>
      <c r="C142" s="228" t="s">
        <v>9</v>
      </c>
      <c r="D142" s="229">
        <v>232.27</v>
      </c>
    </row>
    <row r="143" spans="1:4" ht="42.75">
      <c r="A143" s="235">
        <v>24131</v>
      </c>
      <c r="B143" s="235" t="s">
        <v>1143</v>
      </c>
      <c r="C143" s="228" t="s">
        <v>9</v>
      </c>
      <c r="D143" s="229">
        <v>246.2</v>
      </c>
    </row>
    <row r="144" spans="1:4" ht="14.25">
      <c r="A144" s="235">
        <v>24145</v>
      </c>
      <c r="B144" s="235" t="s">
        <v>1144</v>
      </c>
      <c r="C144" s="228" t="s">
        <v>8</v>
      </c>
      <c r="D144" s="229">
        <v>22.65</v>
      </c>
    </row>
    <row r="145" spans="1:4" ht="14.25">
      <c r="A145" s="235">
        <v>24184</v>
      </c>
      <c r="B145" s="235" t="s">
        <v>1145</v>
      </c>
      <c r="C145" s="228" t="s">
        <v>7</v>
      </c>
      <c r="D145" s="229">
        <v>29.69</v>
      </c>
    </row>
    <row r="146" spans="1:4" ht="15">
      <c r="A146" s="232">
        <v>255</v>
      </c>
      <c r="B146" s="233" t="s">
        <v>1146</v>
      </c>
      <c r="C146" s="234"/>
      <c r="D146" s="234"/>
    </row>
    <row r="147" spans="1:4" ht="14.25">
      <c r="A147" s="235">
        <v>25513</v>
      </c>
      <c r="B147" s="235" t="s">
        <v>1147</v>
      </c>
      <c r="C147" s="228" t="s">
        <v>9</v>
      </c>
      <c r="D147" s="229">
        <v>34.36</v>
      </c>
    </row>
    <row r="148" spans="1:4" ht="14.25">
      <c r="A148" s="235">
        <v>25514</v>
      </c>
      <c r="B148" s="235" t="s">
        <v>1148</v>
      </c>
      <c r="C148" s="228" t="s">
        <v>9</v>
      </c>
      <c r="D148" s="229">
        <v>48.81</v>
      </c>
    </row>
    <row r="149" spans="1:4" ht="14.25">
      <c r="A149" s="235">
        <v>25532</v>
      </c>
      <c r="B149" s="235" t="s">
        <v>1149</v>
      </c>
      <c r="C149" s="228" t="s">
        <v>9</v>
      </c>
      <c r="D149" s="229">
        <v>79.84</v>
      </c>
    </row>
    <row r="150" spans="1:4" ht="28.5">
      <c r="A150" s="235">
        <v>25568</v>
      </c>
      <c r="B150" s="235" t="s">
        <v>1150</v>
      </c>
      <c r="C150" s="228" t="s">
        <v>9</v>
      </c>
      <c r="D150" s="229">
        <v>36.74</v>
      </c>
    </row>
    <row r="151" spans="1:4" ht="28.5">
      <c r="A151" s="235">
        <v>25569</v>
      </c>
      <c r="B151" s="235" t="s">
        <v>1150</v>
      </c>
      <c r="C151" s="228" t="s">
        <v>9</v>
      </c>
      <c r="D151" s="229">
        <v>68.13</v>
      </c>
    </row>
    <row r="152" spans="1:4" ht="28.5">
      <c r="A152" s="235">
        <v>25570</v>
      </c>
      <c r="B152" s="235" t="s">
        <v>1151</v>
      </c>
      <c r="C152" s="228" t="s">
        <v>7</v>
      </c>
      <c r="D152" s="229">
        <v>2.5</v>
      </c>
    </row>
    <row r="153" spans="1:4" ht="28.5">
      <c r="A153" s="235">
        <v>25571</v>
      </c>
      <c r="B153" s="235" t="s">
        <v>1152</v>
      </c>
      <c r="C153" s="228" t="s">
        <v>7</v>
      </c>
      <c r="D153" s="229">
        <v>5.07</v>
      </c>
    </row>
    <row r="154" spans="1:4" ht="14.25">
      <c r="A154" s="235">
        <v>25592</v>
      </c>
      <c r="B154" s="235" t="s">
        <v>1153</v>
      </c>
      <c r="C154" s="228" t="s">
        <v>9</v>
      </c>
      <c r="D154" s="229">
        <v>83.93</v>
      </c>
    </row>
    <row r="155" spans="1:4" ht="15">
      <c r="A155" s="232">
        <v>256</v>
      </c>
      <c r="B155" s="233" t="s">
        <v>1146</v>
      </c>
      <c r="C155" s="234"/>
      <c r="D155" s="234"/>
    </row>
    <row r="156" spans="1:4" ht="28.5">
      <c r="A156" s="235">
        <v>25617</v>
      </c>
      <c r="B156" s="235" t="s">
        <v>1154</v>
      </c>
      <c r="C156" s="228" t="s">
        <v>9</v>
      </c>
      <c r="D156" s="229">
        <v>55.42</v>
      </c>
    </row>
    <row r="157" spans="1:4" ht="15">
      <c r="A157" s="232">
        <v>258</v>
      </c>
      <c r="B157" s="233" t="s">
        <v>1146</v>
      </c>
      <c r="C157" s="234"/>
      <c r="D157" s="234"/>
    </row>
    <row r="158" spans="1:4" ht="42.75">
      <c r="A158" s="235">
        <v>25841</v>
      </c>
      <c r="B158" s="235" t="s">
        <v>26378</v>
      </c>
      <c r="C158" s="228" t="s">
        <v>9</v>
      </c>
      <c r="D158" s="229">
        <v>78.8</v>
      </c>
    </row>
    <row r="159" spans="1:4" ht="28.5">
      <c r="A159" s="235">
        <v>25843</v>
      </c>
      <c r="B159" s="235" t="s">
        <v>26379</v>
      </c>
      <c r="C159" s="228" t="s">
        <v>9</v>
      </c>
      <c r="D159" s="229">
        <v>86.48</v>
      </c>
    </row>
    <row r="160" spans="1:4" ht="15">
      <c r="A160" s="232">
        <v>260</v>
      </c>
      <c r="B160" s="233" t="s">
        <v>1155</v>
      </c>
      <c r="C160" s="234"/>
      <c r="D160" s="234"/>
    </row>
    <row r="161" spans="1:4" ht="14.25">
      <c r="A161" s="235">
        <v>26008</v>
      </c>
      <c r="B161" s="235" t="s">
        <v>1156</v>
      </c>
      <c r="C161" s="228" t="s">
        <v>6</v>
      </c>
      <c r="D161" s="229">
        <v>27.33</v>
      </c>
    </row>
    <row r="162" spans="1:4" ht="14.25">
      <c r="A162" s="235">
        <v>26015</v>
      </c>
      <c r="B162" s="235" t="s">
        <v>1157</v>
      </c>
      <c r="C162" s="228" t="s">
        <v>6</v>
      </c>
      <c r="D162" s="229">
        <v>51.72</v>
      </c>
    </row>
    <row r="163" spans="1:4" ht="28.5">
      <c r="A163" s="235">
        <v>26040</v>
      </c>
      <c r="B163" s="235" t="s">
        <v>19759</v>
      </c>
      <c r="C163" s="228" t="s">
        <v>6</v>
      </c>
      <c r="D163" s="229">
        <v>6.72</v>
      </c>
    </row>
    <row r="164" spans="1:4" ht="28.5">
      <c r="A164" s="235">
        <v>26091</v>
      </c>
      <c r="B164" s="235" t="s">
        <v>1158</v>
      </c>
      <c r="C164" s="228" t="s">
        <v>6</v>
      </c>
      <c r="D164" s="229">
        <v>7.23</v>
      </c>
    </row>
    <row r="165" spans="1:4" ht="15">
      <c r="A165" s="232">
        <v>265</v>
      </c>
      <c r="B165" s="233" t="s">
        <v>1159</v>
      </c>
      <c r="C165" s="234"/>
      <c r="D165" s="234"/>
    </row>
    <row r="166" spans="1:4" ht="14.25">
      <c r="A166" s="235">
        <v>26503</v>
      </c>
      <c r="B166" s="235" t="s">
        <v>1160</v>
      </c>
      <c r="C166" s="228" t="s">
        <v>7</v>
      </c>
      <c r="D166" s="229">
        <v>0.93</v>
      </c>
    </row>
    <row r="167" spans="1:4" ht="14.25">
      <c r="A167" s="235">
        <v>26506</v>
      </c>
      <c r="B167" s="235" t="s">
        <v>1161</v>
      </c>
      <c r="C167" s="228" t="s">
        <v>7</v>
      </c>
      <c r="D167" s="229">
        <v>232.98</v>
      </c>
    </row>
    <row r="168" spans="1:4" ht="28.5">
      <c r="A168" s="235">
        <v>26508</v>
      </c>
      <c r="B168" s="235" t="s">
        <v>1162</v>
      </c>
      <c r="C168" s="228" t="s">
        <v>6</v>
      </c>
      <c r="D168" s="229">
        <v>11.43</v>
      </c>
    </row>
    <row r="169" spans="1:4" ht="14.25">
      <c r="A169" s="235">
        <v>26512</v>
      </c>
      <c r="B169" s="235" t="s">
        <v>1163</v>
      </c>
      <c r="C169" s="228" t="s">
        <v>7</v>
      </c>
      <c r="D169" s="229">
        <v>1.31</v>
      </c>
    </row>
    <row r="170" spans="1:4" ht="14.25">
      <c r="A170" s="235">
        <v>26517</v>
      </c>
      <c r="B170" s="235" t="s">
        <v>1164</v>
      </c>
      <c r="C170" s="228" t="s">
        <v>7</v>
      </c>
      <c r="D170" s="229">
        <v>1.89</v>
      </c>
    </row>
    <row r="171" spans="1:4" ht="14.25">
      <c r="A171" s="235">
        <v>26546</v>
      </c>
      <c r="B171" s="235" t="s">
        <v>1165</v>
      </c>
      <c r="C171" s="228" t="s">
        <v>7</v>
      </c>
      <c r="D171" s="229">
        <v>0.33</v>
      </c>
    </row>
    <row r="172" spans="1:4" ht="14.25">
      <c r="A172" s="235">
        <v>26548</v>
      </c>
      <c r="B172" s="235" t="s">
        <v>1166</v>
      </c>
      <c r="C172" s="228" t="s">
        <v>7</v>
      </c>
      <c r="D172" s="229">
        <v>0.47</v>
      </c>
    </row>
    <row r="173" spans="1:4" ht="14.25">
      <c r="A173" s="235">
        <v>26549</v>
      </c>
      <c r="B173" s="235" t="s">
        <v>1167</v>
      </c>
      <c r="C173" s="228" t="s">
        <v>7</v>
      </c>
      <c r="D173" s="229">
        <v>0.16</v>
      </c>
    </row>
    <row r="174" spans="1:4" ht="14.25">
      <c r="A174" s="235">
        <v>26550</v>
      </c>
      <c r="B174" s="235" t="s">
        <v>1168</v>
      </c>
      <c r="C174" s="228" t="s">
        <v>7</v>
      </c>
      <c r="D174" s="229">
        <v>17.2</v>
      </c>
    </row>
    <row r="175" spans="1:4" ht="14.25">
      <c r="A175" s="235">
        <v>26551</v>
      </c>
      <c r="B175" s="235" t="s">
        <v>1169</v>
      </c>
      <c r="C175" s="228" t="s">
        <v>7</v>
      </c>
      <c r="D175" s="229">
        <v>0.7</v>
      </c>
    </row>
    <row r="176" spans="1:4" ht="14.25">
      <c r="A176" s="235">
        <v>26552</v>
      </c>
      <c r="B176" s="235" t="s">
        <v>26380</v>
      </c>
      <c r="C176" s="228" t="s">
        <v>7</v>
      </c>
      <c r="D176" s="229">
        <v>0.14000000000000001</v>
      </c>
    </row>
    <row r="177" spans="1:4" ht="14.25">
      <c r="A177" s="235">
        <v>26554</v>
      </c>
      <c r="B177" s="235" t="s">
        <v>1170</v>
      </c>
      <c r="C177" s="228" t="s">
        <v>7</v>
      </c>
      <c r="D177" s="229">
        <v>0.16</v>
      </c>
    </row>
    <row r="178" spans="1:4" ht="14.25">
      <c r="A178" s="235">
        <v>26560</v>
      </c>
      <c r="B178" s="235" t="s">
        <v>1171</v>
      </c>
      <c r="C178" s="228" t="s">
        <v>8</v>
      </c>
      <c r="D178" s="229">
        <v>20.53</v>
      </c>
    </row>
    <row r="179" spans="1:4" ht="14.25">
      <c r="A179" s="235">
        <v>26563</v>
      </c>
      <c r="B179" s="235" t="s">
        <v>1172</v>
      </c>
      <c r="C179" s="228" t="s">
        <v>8</v>
      </c>
      <c r="D179" s="229">
        <v>25.81</v>
      </c>
    </row>
    <row r="180" spans="1:4" ht="14.25">
      <c r="A180" s="235">
        <v>26566</v>
      </c>
      <c r="B180" s="235" t="s">
        <v>1173</v>
      </c>
      <c r="C180" s="228" t="s">
        <v>8</v>
      </c>
      <c r="D180" s="229">
        <v>20.43</v>
      </c>
    </row>
    <row r="181" spans="1:4" ht="14.25">
      <c r="A181" s="235">
        <v>26569</v>
      </c>
      <c r="B181" s="235" t="s">
        <v>1174</v>
      </c>
      <c r="C181" s="228" t="s">
        <v>8</v>
      </c>
      <c r="D181" s="229">
        <v>18.829999999999998</v>
      </c>
    </row>
    <row r="182" spans="1:4" ht="14.25">
      <c r="A182" s="235">
        <v>26570</v>
      </c>
      <c r="B182" s="235" t="s">
        <v>1175</v>
      </c>
      <c r="C182" s="228" t="s">
        <v>8</v>
      </c>
      <c r="D182" s="229">
        <v>18.829999999999998</v>
      </c>
    </row>
    <row r="183" spans="1:4" ht="14.25">
      <c r="A183" s="235">
        <v>26573</v>
      </c>
      <c r="B183" s="235" t="s">
        <v>1176</v>
      </c>
      <c r="C183" s="228" t="s">
        <v>8</v>
      </c>
      <c r="D183" s="229">
        <v>30.65</v>
      </c>
    </row>
    <row r="184" spans="1:4" ht="14.25">
      <c r="A184" s="235">
        <v>26581</v>
      </c>
      <c r="B184" s="235" t="s">
        <v>1177</v>
      </c>
      <c r="C184" s="228" t="s">
        <v>8</v>
      </c>
      <c r="D184" s="229">
        <v>22.14</v>
      </c>
    </row>
    <row r="185" spans="1:4" ht="14.25">
      <c r="A185" s="235">
        <v>26588</v>
      </c>
      <c r="B185" s="235" t="s">
        <v>1178</v>
      </c>
      <c r="C185" s="228" t="s">
        <v>7</v>
      </c>
      <c r="D185" s="229">
        <v>0.13</v>
      </c>
    </row>
    <row r="186" spans="1:4" ht="14.25">
      <c r="A186" s="235">
        <v>26589</v>
      </c>
      <c r="B186" s="235" t="s">
        <v>1179</v>
      </c>
      <c r="C186" s="228" t="s">
        <v>7</v>
      </c>
      <c r="D186" s="229">
        <v>0.28000000000000003</v>
      </c>
    </row>
    <row r="187" spans="1:4" ht="14.25">
      <c r="A187" s="235">
        <v>26591</v>
      </c>
      <c r="B187" s="235" t="s">
        <v>26381</v>
      </c>
      <c r="C187" s="228" t="s">
        <v>7</v>
      </c>
      <c r="D187" s="229">
        <v>0.09</v>
      </c>
    </row>
    <row r="188" spans="1:4" ht="14.25">
      <c r="A188" s="235">
        <v>26592</v>
      </c>
      <c r="B188" s="235" t="s">
        <v>26382</v>
      </c>
      <c r="C188" s="228" t="s">
        <v>7</v>
      </c>
      <c r="D188" s="229">
        <v>0.16</v>
      </c>
    </row>
    <row r="189" spans="1:4" ht="15">
      <c r="A189" s="232">
        <v>266</v>
      </c>
      <c r="B189" s="233" t="s">
        <v>1180</v>
      </c>
      <c r="C189" s="234"/>
      <c r="D189" s="234"/>
    </row>
    <row r="190" spans="1:4" ht="28.5">
      <c r="A190" s="235">
        <v>26607</v>
      </c>
      <c r="B190" s="235" t="s">
        <v>1181</v>
      </c>
      <c r="C190" s="228" t="s">
        <v>7</v>
      </c>
      <c r="D190" s="229">
        <v>1.32</v>
      </c>
    </row>
    <row r="191" spans="1:4" ht="28.5">
      <c r="A191" s="235">
        <v>26610</v>
      </c>
      <c r="B191" s="235" t="s">
        <v>1182</v>
      </c>
      <c r="C191" s="228" t="s">
        <v>7</v>
      </c>
      <c r="D191" s="229">
        <v>0.55000000000000004</v>
      </c>
    </row>
    <row r="192" spans="1:4" ht="14.25">
      <c r="A192" s="235">
        <v>26612</v>
      </c>
      <c r="B192" s="235" t="s">
        <v>1183</v>
      </c>
      <c r="C192" s="228" t="s">
        <v>7</v>
      </c>
      <c r="D192" s="229">
        <v>0.66</v>
      </c>
    </row>
    <row r="193" spans="1:4" ht="14.25">
      <c r="A193" s="235">
        <v>26617</v>
      </c>
      <c r="B193" s="235" t="s">
        <v>1184</v>
      </c>
      <c r="C193" s="228" t="s">
        <v>6</v>
      </c>
      <c r="D193" s="229">
        <v>32.64</v>
      </c>
    </row>
    <row r="194" spans="1:4" ht="14.25">
      <c r="A194" s="235">
        <v>26618</v>
      </c>
      <c r="B194" s="235" t="s">
        <v>1185</v>
      </c>
      <c r="C194" s="228" t="s">
        <v>7</v>
      </c>
      <c r="D194" s="229">
        <v>18.03</v>
      </c>
    </row>
    <row r="195" spans="1:4" ht="14.25">
      <c r="A195" s="235">
        <v>26648</v>
      </c>
      <c r="B195" s="235" t="s">
        <v>1186</v>
      </c>
      <c r="C195" s="228" t="s">
        <v>7</v>
      </c>
      <c r="D195" s="229">
        <v>0.19</v>
      </c>
    </row>
    <row r="196" spans="1:4" ht="14.25">
      <c r="A196" s="235">
        <v>26664</v>
      </c>
      <c r="B196" s="235" t="s">
        <v>26383</v>
      </c>
      <c r="C196" s="228" t="s">
        <v>7</v>
      </c>
      <c r="D196" s="229">
        <v>0.28999999999999998</v>
      </c>
    </row>
    <row r="197" spans="1:4" ht="28.5">
      <c r="A197" s="235">
        <v>26668</v>
      </c>
      <c r="B197" s="235" t="s">
        <v>1187</v>
      </c>
      <c r="C197" s="228" t="s">
        <v>7</v>
      </c>
      <c r="D197" s="229">
        <v>51.18</v>
      </c>
    </row>
    <row r="198" spans="1:4" ht="28.5">
      <c r="A198" s="235">
        <v>26669</v>
      </c>
      <c r="B198" s="235" t="s">
        <v>1188</v>
      </c>
      <c r="C198" s="228" t="s">
        <v>7</v>
      </c>
      <c r="D198" s="229">
        <v>10.19</v>
      </c>
    </row>
    <row r="199" spans="1:4" ht="28.5">
      <c r="A199" s="235">
        <v>26670</v>
      </c>
      <c r="B199" s="235" t="s">
        <v>1189</v>
      </c>
      <c r="C199" s="228" t="s">
        <v>7</v>
      </c>
      <c r="D199" s="229">
        <v>135.19999999999999</v>
      </c>
    </row>
    <row r="200" spans="1:4" ht="28.5">
      <c r="A200" s="235">
        <v>26671</v>
      </c>
      <c r="B200" s="235" t="s">
        <v>1190</v>
      </c>
      <c r="C200" s="228" t="s">
        <v>7</v>
      </c>
      <c r="D200" s="229">
        <v>64.78</v>
      </c>
    </row>
    <row r="201" spans="1:4" ht="14.25">
      <c r="A201" s="235">
        <v>26675</v>
      </c>
      <c r="B201" s="235" t="s">
        <v>1191</v>
      </c>
      <c r="C201" s="228" t="s">
        <v>7</v>
      </c>
      <c r="D201" s="229">
        <v>0.41</v>
      </c>
    </row>
    <row r="202" spans="1:4" ht="14.25">
      <c r="A202" s="235">
        <v>26678</v>
      </c>
      <c r="B202" s="235" t="s">
        <v>1192</v>
      </c>
      <c r="C202" s="228" t="s">
        <v>7</v>
      </c>
      <c r="D202" s="229">
        <v>0.53</v>
      </c>
    </row>
    <row r="203" spans="1:4" ht="15">
      <c r="A203" s="232">
        <v>267</v>
      </c>
      <c r="B203" s="233" t="s">
        <v>1180</v>
      </c>
      <c r="C203" s="234"/>
      <c r="D203" s="234"/>
    </row>
    <row r="204" spans="1:4" ht="28.5">
      <c r="A204" s="235">
        <v>26714</v>
      </c>
      <c r="B204" s="235" t="s">
        <v>1193</v>
      </c>
      <c r="C204" s="228" t="s">
        <v>7</v>
      </c>
      <c r="D204" s="229">
        <v>6.06</v>
      </c>
    </row>
    <row r="205" spans="1:4" ht="15">
      <c r="A205" s="232">
        <v>268</v>
      </c>
      <c r="B205" s="233" t="s">
        <v>1180</v>
      </c>
      <c r="C205" s="234"/>
      <c r="D205" s="234"/>
    </row>
    <row r="206" spans="1:4" ht="28.5">
      <c r="A206" s="235">
        <v>26877</v>
      </c>
      <c r="B206" s="235" t="s">
        <v>1194</v>
      </c>
      <c r="C206" s="228" t="s">
        <v>7</v>
      </c>
      <c r="D206" s="229">
        <v>0.51</v>
      </c>
    </row>
    <row r="207" spans="1:4" ht="14.25">
      <c r="A207" s="235">
        <v>26879</v>
      </c>
      <c r="B207" s="235" t="s">
        <v>1195</v>
      </c>
      <c r="C207" s="228" t="s">
        <v>7</v>
      </c>
      <c r="D207" s="229">
        <v>0.49</v>
      </c>
    </row>
    <row r="208" spans="1:4" ht="14.25">
      <c r="A208" s="235">
        <v>26894</v>
      </c>
      <c r="B208" s="235" t="s">
        <v>1196</v>
      </c>
      <c r="C208" s="228" t="s">
        <v>7</v>
      </c>
      <c r="D208" s="229">
        <v>0.12</v>
      </c>
    </row>
    <row r="209" spans="1:4" ht="15">
      <c r="A209" s="232">
        <v>269</v>
      </c>
      <c r="B209" s="233" t="s">
        <v>1197</v>
      </c>
      <c r="C209" s="234"/>
      <c r="D209" s="234"/>
    </row>
    <row r="210" spans="1:4" ht="14.25">
      <c r="A210" s="235">
        <v>26972</v>
      </c>
      <c r="B210" s="235" t="s">
        <v>1198</v>
      </c>
      <c r="C210" s="228" t="s">
        <v>7</v>
      </c>
      <c r="D210" s="229">
        <v>37.31</v>
      </c>
    </row>
    <row r="211" spans="1:4" ht="15">
      <c r="A211" s="232">
        <v>270</v>
      </c>
      <c r="B211" s="233" t="s">
        <v>1199</v>
      </c>
      <c r="C211" s="234"/>
      <c r="D211" s="234"/>
    </row>
    <row r="212" spans="1:4" ht="14.25">
      <c r="A212" s="235">
        <v>27002</v>
      </c>
      <c r="B212" s="235" t="s">
        <v>1200</v>
      </c>
      <c r="C212" s="228" t="s">
        <v>8</v>
      </c>
      <c r="D212" s="229">
        <v>16.96</v>
      </c>
    </row>
    <row r="213" spans="1:4" ht="14.25">
      <c r="A213" s="235">
        <v>27003</v>
      </c>
      <c r="B213" s="235" t="s">
        <v>1201</v>
      </c>
      <c r="C213" s="228" t="s">
        <v>8</v>
      </c>
      <c r="D213" s="229">
        <v>16.96</v>
      </c>
    </row>
    <row r="214" spans="1:4" ht="14.25">
      <c r="A214" s="235">
        <v>27004</v>
      </c>
      <c r="B214" s="235" t="s">
        <v>1202</v>
      </c>
      <c r="C214" s="228" t="s">
        <v>8</v>
      </c>
      <c r="D214" s="229">
        <v>18.66</v>
      </c>
    </row>
    <row r="215" spans="1:4" ht="14.25">
      <c r="A215" s="235">
        <v>27005</v>
      </c>
      <c r="B215" s="235" t="s">
        <v>1203</v>
      </c>
      <c r="C215" s="228" t="s">
        <v>8</v>
      </c>
      <c r="D215" s="229">
        <v>20.12</v>
      </c>
    </row>
    <row r="216" spans="1:4" ht="14.25">
      <c r="A216" s="235">
        <v>27006</v>
      </c>
      <c r="B216" s="235" t="s">
        <v>1204</v>
      </c>
      <c r="C216" s="228" t="s">
        <v>8</v>
      </c>
      <c r="D216" s="229">
        <v>31.58</v>
      </c>
    </row>
    <row r="217" spans="1:4" ht="14.25">
      <c r="A217" s="235">
        <v>27010</v>
      </c>
      <c r="B217" s="235" t="s">
        <v>1205</v>
      </c>
      <c r="C217" s="228" t="s">
        <v>8</v>
      </c>
      <c r="D217" s="229">
        <v>19.93</v>
      </c>
    </row>
    <row r="218" spans="1:4" ht="14.25">
      <c r="A218" s="235">
        <v>27020</v>
      </c>
      <c r="B218" s="235" t="s">
        <v>1206</v>
      </c>
      <c r="C218" s="228" t="s">
        <v>6</v>
      </c>
      <c r="D218" s="229">
        <v>0.52</v>
      </c>
    </row>
    <row r="219" spans="1:4" ht="14.25">
      <c r="A219" s="235">
        <v>27022</v>
      </c>
      <c r="B219" s="235" t="s">
        <v>1207</v>
      </c>
      <c r="C219" s="228" t="s">
        <v>6</v>
      </c>
      <c r="D219" s="229">
        <v>1.01</v>
      </c>
    </row>
    <row r="220" spans="1:4" ht="15">
      <c r="A220" s="232">
        <v>275</v>
      </c>
      <c r="B220" s="233" t="s">
        <v>1208</v>
      </c>
      <c r="C220" s="234"/>
      <c r="D220" s="234"/>
    </row>
    <row r="221" spans="1:4" ht="14.25">
      <c r="A221" s="235">
        <v>27504</v>
      </c>
      <c r="B221" s="235" t="s">
        <v>1209</v>
      </c>
      <c r="C221" s="228" t="s">
        <v>7</v>
      </c>
      <c r="D221" s="229">
        <v>78.95</v>
      </c>
    </row>
    <row r="222" spans="1:4" ht="28.5">
      <c r="A222" s="235">
        <v>27520</v>
      </c>
      <c r="B222" s="235" t="s">
        <v>1210</v>
      </c>
      <c r="C222" s="228" t="s">
        <v>9</v>
      </c>
      <c r="D222" s="229">
        <v>21.01</v>
      </c>
    </row>
    <row r="223" spans="1:4" ht="14.25">
      <c r="A223" s="235">
        <v>27532</v>
      </c>
      <c r="B223" s="235" t="s">
        <v>1211</v>
      </c>
      <c r="C223" s="228" t="s">
        <v>9</v>
      </c>
      <c r="D223" s="229">
        <v>139.91</v>
      </c>
    </row>
    <row r="224" spans="1:4" ht="28.5">
      <c r="A224" s="235">
        <v>27546</v>
      </c>
      <c r="B224" s="235" t="s">
        <v>1212</v>
      </c>
      <c r="C224" s="228" t="s">
        <v>9</v>
      </c>
      <c r="D224" s="229">
        <v>63.72</v>
      </c>
    </row>
    <row r="225" spans="1:4" ht="15">
      <c r="A225" s="232">
        <v>276</v>
      </c>
      <c r="B225" s="233" t="s">
        <v>1213</v>
      </c>
      <c r="C225" s="234"/>
      <c r="D225" s="234"/>
    </row>
    <row r="226" spans="1:4" ht="28.5">
      <c r="A226" s="235">
        <v>27602</v>
      </c>
      <c r="B226" s="235" t="s">
        <v>1214</v>
      </c>
      <c r="C226" s="228" t="s">
        <v>9</v>
      </c>
      <c r="D226" s="229">
        <v>41.05</v>
      </c>
    </row>
    <row r="227" spans="1:4" ht="28.5">
      <c r="A227" s="235">
        <v>27666</v>
      </c>
      <c r="B227" s="235" t="s">
        <v>1215</v>
      </c>
      <c r="C227" s="228" t="s">
        <v>9</v>
      </c>
      <c r="D227" s="229">
        <v>84.23</v>
      </c>
    </row>
    <row r="228" spans="1:4" ht="28.5">
      <c r="A228" s="235">
        <v>27676</v>
      </c>
      <c r="B228" s="235" t="s">
        <v>1216</v>
      </c>
      <c r="C228" s="228" t="s">
        <v>9</v>
      </c>
      <c r="D228" s="229">
        <v>77</v>
      </c>
    </row>
    <row r="229" spans="1:4" ht="28.5">
      <c r="A229" s="235">
        <v>27677</v>
      </c>
      <c r="B229" s="235" t="s">
        <v>1217</v>
      </c>
      <c r="C229" s="228" t="s">
        <v>9</v>
      </c>
      <c r="D229" s="229">
        <v>11.38</v>
      </c>
    </row>
    <row r="230" spans="1:4" ht="28.5">
      <c r="A230" s="235">
        <v>27678</v>
      </c>
      <c r="B230" s="235" t="s">
        <v>1218</v>
      </c>
      <c r="C230" s="228" t="s">
        <v>9</v>
      </c>
      <c r="D230" s="229">
        <v>60.08</v>
      </c>
    </row>
    <row r="231" spans="1:4" ht="28.5">
      <c r="A231" s="235">
        <v>27679</v>
      </c>
      <c r="B231" s="235" t="s">
        <v>1219</v>
      </c>
      <c r="C231" s="228" t="s">
        <v>9</v>
      </c>
      <c r="D231" s="229">
        <v>155.80000000000001</v>
      </c>
    </row>
    <row r="232" spans="1:4" ht="28.5">
      <c r="A232" s="235">
        <v>27680</v>
      </c>
      <c r="B232" s="235" t="s">
        <v>1220</v>
      </c>
      <c r="C232" s="228" t="s">
        <v>9</v>
      </c>
      <c r="D232" s="229">
        <v>112.42</v>
      </c>
    </row>
    <row r="233" spans="1:4" ht="15">
      <c r="A233" s="232">
        <v>280</v>
      </c>
      <c r="B233" s="233" t="s">
        <v>1221</v>
      </c>
      <c r="C233" s="234"/>
      <c r="D233" s="234"/>
    </row>
    <row r="234" spans="1:4" ht="14.25">
      <c r="A234" s="235">
        <v>28001</v>
      </c>
      <c r="B234" s="235" t="s">
        <v>1222</v>
      </c>
      <c r="C234" s="228" t="s">
        <v>12</v>
      </c>
      <c r="D234" s="229">
        <v>31.67</v>
      </c>
    </row>
    <row r="235" spans="1:4" ht="28.5">
      <c r="A235" s="235">
        <v>28004</v>
      </c>
      <c r="B235" s="235" t="s">
        <v>1223</v>
      </c>
      <c r="C235" s="228" t="s">
        <v>7</v>
      </c>
      <c r="D235" s="229">
        <v>85.29</v>
      </c>
    </row>
    <row r="236" spans="1:4" ht="28.5">
      <c r="A236" s="235">
        <v>28005</v>
      </c>
      <c r="B236" s="235" t="s">
        <v>1224</v>
      </c>
      <c r="C236" s="228" t="s">
        <v>8</v>
      </c>
      <c r="D236" s="229">
        <v>25.35</v>
      </c>
    </row>
    <row r="237" spans="1:4" ht="14.25">
      <c r="A237" s="235">
        <v>28008</v>
      </c>
      <c r="B237" s="235" t="s">
        <v>1225</v>
      </c>
      <c r="C237" s="228" t="s">
        <v>18</v>
      </c>
      <c r="D237" s="229">
        <v>10.81</v>
      </c>
    </row>
    <row r="238" spans="1:4" ht="28.5">
      <c r="A238" s="235">
        <v>28028</v>
      </c>
      <c r="B238" s="235" t="s">
        <v>1226</v>
      </c>
      <c r="C238" s="228" t="s">
        <v>6</v>
      </c>
      <c r="D238" s="229">
        <v>10.37</v>
      </c>
    </row>
    <row r="239" spans="1:4" ht="14.25">
      <c r="A239" s="235">
        <v>28056</v>
      </c>
      <c r="B239" s="235" t="s">
        <v>1227</v>
      </c>
      <c r="C239" s="228" t="s">
        <v>6</v>
      </c>
      <c r="D239" s="229">
        <v>3.45</v>
      </c>
    </row>
    <row r="240" spans="1:4" ht="14.25">
      <c r="A240" s="235">
        <v>28067</v>
      </c>
      <c r="B240" s="235" t="s">
        <v>1228</v>
      </c>
      <c r="C240" s="228" t="s">
        <v>6</v>
      </c>
      <c r="D240" s="229">
        <v>7.32</v>
      </c>
    </row>
    <row r="241" spans="1:4" ht="14.25">
      <c r="A241" s="235">
        <v>28068</v>
      </c>
      <c r="B241" s="235" t="s">
        <v>1229</v>
      </c>
      <c r="C241" s="228" t="s">
        <v>6</v>
      </c>
      <c r="D241" s="229">
        <v>8.99</v>
      </c>
    </row>
    <row r="242" spans="1:4" ht="15">
      <c r="A242" s="232">
        <v>281</v>
      </c>
      <c r="B242" s="233" t="s">
        <v>1230</v>
      </c>
      <c r="C242" s="234"/>
      <c r="D242" s="234"/>
    </row>
    <row r="243" spans="1:4" ht="14.25">
      <c r="A243" s="235">
        <v>28125</v>
      </c>
      <c r="B243" s="235" t="s">
        <v>1231</v>
      </c>
      <c r="C243" s="228" t="s">
        <v>6</v>
      </c>
      <c r="D243" s="229">
        <v>15.72</v>
      </c>
    </row>
    <row r="244" spans="1:4" ht="15">
      <c r="A244" s="232">
        <v>282</v>
      </c>
      <c r="B244" s="233" t="s">
        <v>1230</v>
      </c>
      <c r="C244" s="234"/>
      <c r="D244" s="234"/>
    </row>
    <row r="245" spans="1:4" ht="14.25">
      <c r="A245" s="235">
        <v>28270</v>
      </c>
      <c r="B245" s="235" t="s">
        <v>1232</v>
      </c>
      <c r="C245" s="228" t="s">
        <v>6</v>
      </c>
      <c r="D245" s="229">
        <v>0.17</v>
      </c>
    </row>
    <row r="246" spans="1:4" ht="15">
      <c r="A246" s="232">
        <v>290</v>
      </c>
      <c r="B246" s="233" t="s">
        <v>1230</v>
      </c>
      <c r="C246" s="234"/>
      <c r="D246" s="234"/>
    </row>
    <row r="247" spans="1:4" ht="14.25">
      <c r="A247" s="235">
        <v>29028</v>
      </c>
      <c r="B247" s="235" t="s">
        <v>26384</v>
      </c>
      <c r="C247" s="228" t="s">
        <v>7</v>
      </c>
      <c r="D247" s="229">
        <v>573.33000000000004</v>
      </c>
    </row>
    <row r="248" spans="1:4" ht="14.25">
      <c r="A248" s="235">
        <v>29050</v>
      </c>
      <c r="B248" s="235" t="s">
        <v>1233</v>
      </c>
      <c r="C248" s="228" t="s">
        <v>7</v>
      </c>
      <c r="D248" s="229">
        <v>20.75</v>
      </c>
    </row>
    <row r="249" spans="1:4" ht="28.5">
      <c r="A249" s="235">
        <v>29093</v>
      </c>
      <c r="B249" s="235" t="s">
        <v>1234</v>
      </c>
      <c r="C249" s="228" t="s">
        <v>7</v>
      </c>
      <c r="D249" s="229">
        <v>1.82</v>
      </c>
    </row>
    <row r="250" spans="1:4" ht="28.5">
      <c r="A250" s="235">
        <v>29094</v>
      </c>
      <c r="B250" s="235" t="s">
        <v>1235</v>
      </c>
      <c r="C250" s="228" t="s">
        <v>7</v>
      </c>
      <c r="D250" s="229">
        <v>26.81</v>
      </c>
    </row>
    <row r="251" spans="1:4" ht="15">
      <c r="A251" s="232">
        <v>293</v>
      </c>
      <c r="B251" s="233" t="s">
        <v>1221</v>
      </c>
      <c r="C251" s="234"/>
      <c r="D251" s="234"/>
    </row>
    <row r="252" spans="1:4" ht="42.75">
      <c r="A252" s="235">
        <v>29337</v>
      </c>
      <c r="B252" s="235" t="s">
        <v>1236</v>
      </c>
      <c r="C252" s="228" t="s">
        <v>7</v>
      </c>
      <c r="D252" s="229">
        <v>38.880000000000003</v>
      </c>
    </row>
    <row r="253" spans="1:4" ht="15">
      <c r="A253" s="232">
        <v>3</v>
      </c>
      <c r="B253" s="233" t="s">
        <v>1237</v>
      </c>
      <c r="C253" s="234"/>
      <c r="D253" s="234"/>
    </row>
    <row r="254" spans="1:4" ht="15">
      <c r="A254" s="232">
        <v>301</v>
      </c>
      <c r="B254" s="233" t="s">
        <v>1238</v>
      </c>
      <c r="C254" s="234"/>
      <c r="D254" s="234"/>
    </row>
    <row r="255" spans="1:4" ht="14.25">
      <c r="A255" s="235">
        <v>30106</v>
      </c>
      <c r="B255" s="235" t="s">
        <v>1239</v>
      </c>
      <c r="C255" s="228" t="s">
        <v>6</v>
      </c>
      <c r="D255" s="229">
        <v>12.73</v>
      </c>
    </row>
    <row r="256" spans="1:4" ht="28.5">
      <c r="A256" s="235">
        <v>30152</v>
      </c>
      <c r="B256" s="235" t="s">
        <v>1240</v>
      </c>
      <c r="C256" s="228" t="s">
        <v>7</v>
      </c>
      <c r="D256" s="229">
        <v>213.25</v>
      </c>
    </row>
    <row r="257" spans="1:4" ht="28.5">
      <c r="A257" s="235">
        <v>30172</v>
      </c>
      <c r="B257" s="235" t="s">
        <v>1241</v>
      </c>
      <c r="C257" s="228" t="s">
        <v>7</v>
      </c>
      <c r="D257" s="229">
        <v>270.5</v>
      </c>
    </row>
    <row r="258" spans="1:4" ht="28.5">
      <c r="A258" s="235">
        <v>30173</v>
      </c>
      <c r="B258" s="235" t="s">
        <v>1242</v>
      </c>
      <c r="C258" s="228" t="s">
        <v>7</v>
      </c>
      <c r="D258" s="229">
        <v>270.5</v>
      </c>
    </row>
    <row r="259" spans="1:4" ht="28.5">
      <c r="A259" s="235">
        <v>30174</v>
      </c>
      <c r="B259" s="235" t="s">
        <v>1243</v>
      </c>
      <c r="C259" s="228" t="s">
        <v>7</v>
      </c>
      <c r="D259" s="229">
        <v>270.5</v>
      </c>
    </row>
    <row r="260" spans="1:4" ht="28.5">
      <c r="A260" s="235">
        <v>30175</v>
      </c>
      <c r="B260" s="235" t="s">
        <v>1244</v>
      </c>
      <c r="C260" s="228" t="s">
        <v>7</v>
      </c>
      <c r="D260" s="229">
        <v>270.5</v>
      </c>
    </row>
    <row r="261" spans="1:4" ht="14.25">
      <c r="A261" s="235">
        <v>30191</v>
      </c>
      <c r="B261" s="235" t="s">
        <v>1245</v>
      </c>
      <c r="C261" s="228" t="s">
        <v>6</v>
      </c>
      <c r="D261" s="229">
        <v>61</v>
      </c>
    </row>
    <row r="262" spans="1:4" ht="15">
      <c r="A262" s="232">
        <v>302</v>
      </c>
      <c r="B262" s="233" t="s">
        <v>1246</v>
      </c>
      <c r="C262" s="234"/>
      <c r="D262" s="234"/>
    </row>
    <row r="263" spans="1:4" ht="28.5">
      <c r="A263" s="235">
        <v>30202</v>
      </c>
      <c r="B263" s="235" t="s">
        <v>1247</v>
      </c>
      <c r="C263" s="228" t="s">
        <v>7</v>
      </c>
      <c r="D263" s="229">
        <v>165.7</v>
      </c>
    </row>
    <row r="264" spans="1:4" ht="28.5">
      <c r="A264" s="235">
        <v>30210</v>
      </c>
      <c r="B264" s="235" t="s">
        <v>1248</v>
      </c>
      <c r="C264" s="228" t="s">
        <v>7</v>
      </c>
      <c r="D264" s="229">
        <v>176.6</v>
      </c>
    </row>
    <row r="265" spans="1:4" ht="28.5">
      <c r="A265" s="235">
        <v>30211</v>
      </c>
      <c r="B265" s="235" t="s">
        <v>1249</v>
      </c>
      <c r="C265" s="228" t="s">
        <v>7</v>
      </c>
      <c r="D265" s="229">
        <v>180.6</v>
      </c>
    </row>
    <row r="266" spans="1:4" ht="28.5">
      <c r="A266" s="235">
        <v>30212</v>
      </c>
      <c r="B266" s="235" t="s">
        <v>1250</v>
      </c>
      <c r="C266" s="228" t="s">
        <v>7</v>
      </c>
      <c r="D266" s="229">
        <v>184.93</v>
      </c>
    </row>
    <row r="267" spans="1:4" ht="28.5">
      <c r="A267" s="235">
        <v>30213</v>
      </c>
      <c r="B267" s="235" t="s">
        <v>1251</v>
      </c>
      <c r="C267" s="228" t="s">
        <v>7</v>
      </c>
      <c r="D267" s="229">
        <v>222.73</v>
      </c>
    </row>
    <row r="268" spans="1:4" ht="28.5">
      <c r="A268" s="235">
        <v>30217</v>
      </c>
      <c r="B268" s="235" t="s">
        <v>1252</v>
      </c>
      <c r="C268" s="228" t="s">
        <v>7</v>
      </c>
      <c r="D268" s="229">
        <v>186.6</v>
      </c>
    </row>
    <row r="269" spans="1:4" ht="28.5">
      <c r="A269" s="235">
        <v>30233</v>
      </c>
      <c r="B269" s="235" t="s">
        <v>1253</v>
      </c>
      <c r="C269" s="228" t="s">
        <v>7</v>
      </c>
      <c r="D269" s="229">
        <v>213.25</v>
      </c>
    </row>
    <row r="270" spans="1:4" ht="14.25">
      <c r="A270" s="235">
        <v>30257</v>
      </c>
      <c r="B270" s="235" t="s">
        <v>1254</v>
      </c>
      <c r="C270" s="228" t="s">
        <v>7</v>
      </c>
      <c r="D270" s="229">
        <v>856.43</v>
      </c>
    </row>
    <row r="271" spans="1:4" ht="28.5">
      <c r="A271" s="235">
        <v>30261</v>
      </c>
      <c r="B271" s="235" t="s">
        <v>1255</v>
      </c>
      <c r="C271" s="228" t="s">
        <v>7</v>
      </c>
      <c r="D271" s="229">
        <v>731</v>
      </c>
    </row>
    <row r="272" spans="1:4" ht="28.5">
      <c r="A272" s="235">
        <v>30263</v>
      </c>
      <c r="B272" s="235" t="s">
        <v>1256</v>
      </c>
      <c r="C272" s="228" t="s">
        <v>7</v>
      </c>
      <c r="D272" s="229">
        <v>948.33</v>
      </c>
    </row>
    <row r="273" spans="1:4" ht="15">
      <c r="A273" s="232">
        <v>303</v>
      </c>
      <c r="B273" s="233" t="s">
        <v>1246</v>
      </c>
      <c r="C273" s="234"/>
      <c r="D273" s="234"/>
    </row>
    <row r="274" spans="1:4" ht="14.25">
      <c r="A274" s="235">
        <v>30358</v>
      </c>
      <c r="B274" s="235" t="s">
        <v>1257</v>
      </c>
      <c r="C274" s="228" t="s">
        <v>6</v>
      </c>
      <c r="D274" s="229">
        <v>17.47</v>
      </c>
    </row>
    <row r="275" spans="1:4" ht="15">
      <c r="A275" s="232">
        <v>304</v>
      </c>
      <c r="B275" s="233" t="s">
        <v>1246</v>
      </c>
      <c r="C275" s="234"/>
      <c r="D275" s="234"/>
    </row>
    <row r="276" spans="1:4" ht="28.5">
      <c r="A276" s="235">
        <v>30460</v>
      </c>
      <c r="B276" s="235" t="s">
        <v>1258</v>
      </c>
      <c r="C276" s="228" t="s">
        <v>7</v>
      </c>
      <c r="D276" s="229">
        <v>186.6</v>
      </c>
    </row>
    <row r="277" spans="1:4" ht="14.25">
      <c r="A277" s="235">
        <v>30496</v>
      </c>
      <c r="B277" s="235" t="s">
        <v>1259</v>
      </c>
      <c r="C277" s="228" t="s">
        <v>6</v>
      </c>
      <c r="D277" s="229">
        <v>17.8</v>
      </c>
    </row>
    <row r="278" spans="1:4" ht="15">
      <c r="A278" s="232">
        <v>306</v>
      </c>
      <c r="B278" s="233" t="s">
        <v>1246</v>
      </c>
      <c r="C278" s="234"/>
      <c r="D278" s="234"/>
    </row>
    <row r="279" spans="1:4" ht="14.25">
      <c r="A279" s="235">
        <v>30665</v>
      </c>
      <c r="B279" s="235" t="s">
        <v>1260</v>
      </c>
      <c r="C279" s="228" t="s">
        <v>6</v>
      </c>
      <c r="D279" s="229">
        <v>41.75</v>
      </c>
    </row>
    <row r="280" spans="1:4" ht="28.5">
      <c r="A280" s="235">
        <v>30675</v>
      </c>
      <c r="B280" s="235" t="s">
        <v>1261</v>
      </c>
      <c r="C280" s="228" t="s">
        <v>7</v>
      </c>
      <c r="D280" s="229">
        <v>454.07</v>
      </c>
    </row>
    <row r="281" spans="1:4" ht="28.5">
      <c r="A281" s="235">
        <v>30676</v>
      </c>
      <c r="B281" s="235" t="s">
        <v>1262</v>
      </c>
      <c r="C281" s="228" t="s">
        <v>7</v>
      </c>
      <c r="D281" s="229">
        <v>507.4</v>
      </c>
    </row>
    <row r="282" spans="1:4" ht="28.5">
      <c r="A282" s="235">
        <v>30677</v>
      </c>
      <c r="B282" s="235" t="s">
        <v>1263</v>
      </c>
      <c r="C282" s="228" t="s">
        <v>7</v>
      </c>
      <c r="D282" s="229">
        <v>578.07000000000005</v>
      </c>
    </row>
    <row r="283" spans="1:4" ht="15">
      <c r="A283" s="232">
        <v>308</v>
      </c>
      <c r="B283" s="233" t="s">
        <v>1264</v>
      </c>
      <c r="C283" s="234"/>
      <c r="D283" s="234"/>
    </row>
    <row r="284" spans="1:4" ht="28.5">
      <c r="A284" s="235">
        <v>30868</v>
      </c>
      <c r="B284" s="235" t="s">
        <v>1265</v>
      </c>
      <c r="C284" s="228" t="s">
        <v>9</v>
      </c>
      <c r="D284" s="231">
        <v>1003.06</v>
      </c>
    </row>
    <row r="285" spans="1:4" ht="15">
      <c r="A285" s="232">
        <v>309</v>
      </c>
      <c r="B285" s="233" t="s">
        <v>1264</v>
      </c>
      <c r="C285" s="234"/>
      <c r="D285" s="234"/>
    </row>
    <row r="286" spans="1:4" ht="28.5">
      <c r="A286" s="235">
        <v>30951</v>
      </c>
      <c r="B286" s="235" t="s">
        <v>1266</v>
      </c>
      <c r="C286" s="228" t="s">
        <v>9</v>
      </c>
      <c r="D286" s="229">
        <v>435.45</v>
      </c>
    </row>
    <row r="287" spans="1:4" ht="15">
      <c r="A287" s="232">
        <v>314</v>
      </c>
      <c r="B287" s="233" t="s">
        <v>1264</v>
      </c>
      <c r="C287" s="234"/>
      <c r="D287" s="234"/>
    </row>
    <row r="288" spans="1:4" ht="28.5">
      <c r="A288" s="235">
        <v>31443</v>
      </c>
      <c r="B288" s="235" t="s">
        <v>1267</v>
      </c>
      <c r="C288" s="228" t="s">
        <v>9</v>
      </c>
      <c r="D288" s="229">
        <v>530.15</v>
      </c>
    </row>
    <row r="289" spans="1:4" ht="15">
      <c r="A289" s="232">
        <v>315</v>
      </c>
      <c r="B289" s="233" t="s">
        <v>1268</v>
      </c>
      <c r="C289" s="234"/>
      <c r="D289" s="234"/>
    </row>
    <row r="290" spans="1:4" ht="14.25">
      <c r="A290" s="235">
        <v>31507</v>
      </c>
      <c r="B290" s="235" t="s">
        <v>1269</v>
      </c>
      <c r="C290" s="228" t="s">
        <v>7</v>
      </c>
      <c r="D290" s="229">
        <v>214.91</v>
      </c>
    </row>
    <row r="291" spans="1:4" ht="14.25">
      <c r="A291" s="235">
        <v>31508</v>
      </c>
      <c r="B291" s="235" t="s">
        <v>1270</v>
      </c>
      <c r="C291" s="228" t="s">
        <v>7</v>
      </c>
      <c r="D291" s="229">
        <v>244.95</v>
      </c>
    </row>
    <row r="292" spans="1:4" ht="14.25">
      <c r="A292" s="235">
        <v>31511</v>
      </c>
      <c r="B292" s="235" t="s">
        <v>1271</v>
      </c>
      <c r="C292" s="228" t="s">
        <v>7</v>
      </c>
      <c r="D292" s="229">
        <v>5.7</v>
      </c>
    </row>
    <row r="293" spans="1:4" ht="14.25">
      <c r="A293" s="235">
        <v>31515</v>
      </c>
      <c r="B293" s="235" t="s">
        <v>1272</v>
      </c>
      <c r="C293" s="228" t="s">
        <v>7</v>
      </c>
      <c r="D293" s="229">
        <v>80.760000000000005</v>
      </c>
    </row>
    <row r="294" spans="1:4" ht="14.25">
      <c r="A294" s="235">
        <v>31516</v>
      </c>
      <c r="B294" s="235" t="s">
        <v>1273</v>
      </c>
      <c r="C294" s="228" t="s">
        <v>7</v>
      </c>
      <c r="D294" s="229">
        <v>4.5</v>
      </c>
    </row>
    <row r="295" spans="1:4" ht="14.25">
      <c r="A295" s="235">
        <v>31517</v>
      </c>
      <c r="B295" s="235" t="s">
        <v>1274</v>
      </c>
      <c r="C295" s="228" t="s">
        <v>7</v>
      </c>
      <c r="D295" s="229">
        <v>60.82</v>
      </c>
    </row>
    <row r="296" spans="1:4" ht="28.5">
      <c r="A296" s="235">
        <v>31518</v>
      </c>
      <c r="B296" s="235" t="s">
        <v>1275</v>
      </c>
      <c r="C296" s="228" t="s">
        <v>7</v>
      </c>
      <c r="D296" s="229">
        <v>73.290000000000006</v>
      </c>
    </row>
    <row r="297" spans="1:4" ht="14.25">
      <c r="A297" s="235">
        <v>31519</v>
      </c>
      <c r="B297" s="235" t="s">
        <v>1276</v>
      </c>
      <c r="C297" s="228" t="s">
        <v>7</v>
      </c>
      <c r="D297" s="229">
        <v>38.340000000000003</v>
      </c>
    </row>
    <row r="298" spans="1:4" ht="14.25">
      <c r="A298" s="235">
        <v>31548</v>
      </c>
      <c r="B298" s="235" t="s">
        <v>1277</v>
      </c>
      <c r="C298" s="228" t="s">
        <v>7</v>
      </c>
      <c r="D298" s="229">
        <v>25.25</v>
      </c>
    </row>
    <row r="299" spans="1:4" ht="14.25">
      <c r="A299" s="235">
        <v>31570</v>
      </c>
      <c r="B299" s="235" t="s">
        <v>1278</v>
      </c>
      <c r="C299" s="228" t="s">
        <v>7</v>
      </c>
      <c r="D299" s="229">
        <v>8.23</v>
      </c>
    </row>
    <row r="300" spans="1:4" ht="14.25">
      <c r="A300" s="235">
        <v>31571</v>
      </c>
      <c r="B300" s="235" t="s">
        <v>1279</v>
      </c>
      <c r="C300" s="228" t="s">
        <v>7</v>
      </c>
      <c r="D300" s="229">
        <v>10.89</v>
      </c>
    </row>
    <row r="301" spans="1:4" ht="14.25">
      <c r="A301" s="235">
        <v>31581</v>
      </c>
      <c r="B301" s="235" t="s">
        <v>1280</v>
      </c>
      <c r="C301" s="228" t="s">
        <v>7</v>
      </c>
      <c r="D301" s="229">
        <v>47.49</v>
      </c>
    </row>
    <row r="302" spans="1:4" ht="14.25">
      <c r="A302" s="235">
        <v>31584</v>
      </c>
      <c r="B302" s="235" t="s">
        <v>1281</v>
      </c>
      <c r="C302" s="228" t="s">
        <v>7</v>
      </c>
      <c r="D302" s="229">
        <v>12.8</v>
      </c>
    </row>
    <row r="303" spans="1:4" ht="15">
      <c r="A303" s="232">
        <v>316</v>
      </c>
      <c r="B303" s="233" t="s">
        <v>1282</v>
      </c>
      <c r="C303" s="234"/>
      <c r="D303" s="234"/>
    </row>
    <row r="304" spans="1:4" ht="28.5">
      <c r="A304" s="235">
        <v>31601</v>
      </c>
      <c r="B304" s="235" t="s">
        <v>1283</v>
      </c>
      <c r="C304" s="228" t="s">
        <v>7</v>
      </c>
      <c r="D304" s="229">
        <v>47.48</v>
      </c>
    </row>
    <row r="305" spans="1:4" ht="14.25">
      <c r="A305" s="235">
        <v>31647</v>
      </c>
      <c r="B305" s="235" t="s">
        <v>1284</v>
      </c>
      <c r="C305" s="228" t="s">
        <v>7</v>
      </c>
      <c r="D305" s="229">
        <v>47</v>
      </c>
    </row>
    <row r="306" spans="1:4" ht="15">
      <c r="A306" s="232">
        <v>317</v>
      </c>
      <c r="B306" s="233" t="s">
        <v>1264</v>
      </c>
      <c r="C306" s="234"/>
      <c r="D306" s="234"/>
    </row>
    <row r="307" spans="1:4" ht="14.25">
      <c r="A307" s="235">
        <v>31733</v>
      </c>
      <c r="B307" s="235" t="s">
        <v>1285</v>
      </c>
      <c r="C307" s="228" t="s">
        <v>9</v>
      </c>
      <c r="D307" s="229">
        <v>628.5</v>
      </c>
    </row>
    <row r="308" spans="1:4" ht="15">
      <c r="A308" s="232">
        <v>318</v>
      </c>
      <c r="B308" s="233" t="s">
        <v>1282</v>
      </c>
      <c r="C308" s="234"/>
      <c r="D308" s="234"/>
    </row>
    <row r="309" spans="1:4" ht="28.5">
      <c r="A309" s="235">
        <v>31811</v>
      </c>
      <c r="B309" s="235" t="s">
        <v>1286</v>
      </c>
      <c r="C309" s="228" t="s">
        <v>7</v>
      </c>
      <c r="D309" s="229">
        <v>138.12</v>
      </c>
    </row>
    <row r="310" spans="1:4" ht="28.5">
      <c r="A310" s="235">
        <v>31812</v>
      </c>
      <c r="B310" s="235" t="s">
        <v>1287</v>
      </c>
      <c r="C310" s="228" t="s">
        <v>7</v>
      </c>
      <c r="D310" s="229">
        <v>63.49</v>
      </c>
    </row>
    <row r="311" spans="1:4" ht="28.5">
      <c r="A311" s="235">
        <v>31813</v>
      </c>
      <c r="B311" s="235" t="s">
        <v>1288</v>
      </c>
      <c r="C311" s="228" t="s">
        <v>7</v>
      </c>
      <c r="D311" s="229">
        <v>50.17</v>
      </c>
    </row>
    <row r="312" spans="1:4" ht="15">
      <c r="A312" s="232">
        <v>320</v>
      </c>
      <c r="B312" s="233" t="s">
        <v>1289</v>
      </c>
      <c r="C312" s="234"/>
      <c r="D312" s="234"/>
    </row>
    <row r="313" spans="1:4" ht="14.25">
      <c r="A313" s="235">
        <v>32001</v>
      </c>
      <c r="B313" s="235" t="s">
        <v>1290</v>
      </c>
      <c r="C313" s="228" t="s">
        <v>9</v>
      </c>
      <c r="D313" s="229">
        <v>62.8</v>
      </c>
    </row>
    <row r="314" spans="1:4" ht="15">
      <c r="A314" s="232">
        <v>321</v>
      </c>
      <c r="B314" s="233" t="s">
        <v>1291</v>
      </c>
      <c r="C314" s="234"/>
      <c r="D314" s="234"/>
    </row>
    <row r="315" spans="1:4" ht="14.25">
      <c r="A315" s="235">
        <v>32147</v>
      </c>
      <c r="B315" s="235" t="s">
        <v>1292</v>
      </c>
      <c r="C315" s="228" t="s">
        <v>9</v>
      </c>
      <c r="D315" s="229">
        <v>55.27</v>
      </c>
    </row>
    <row r="316" spans="1:4" ht="15">
      <c r="A316" s="232">
        <v>322</v>
      </c>
      <c r="B316" s="233" t="s">
        <v>1291</v>
      </c>
      <c r="C316" s="234"/>
      <c r="D316" s="234"/>
    </row>
    <row r="317" spans="1:4" ht="14.25">
      <c r="A317" s="235">
        <v>32219</v>
      </c>
      <c r="B317" s="235" t="s">
        <v>1293</v>
      </c>
      <c r="C317" s="228" t="s">
        <v>9</v>
      </c>
      <c r="D317" s="229">
        <v>106.5</v>
      </c>
    </row>
    <row r="318" spans="1:4" ht="14.25">
      <c r="A318" s="235">
        <v>32223</v>
      </c>
      <c r="B318" s="235" t="s">
        <v>1294</v>
      </c>
      <c r="C318" s="228" t="s">
        <v>9</v>
      </c>
      <c r="D318" s="229">
        <v>55.27</v>
      </c>
    </row>
    <row r="319" spans="1:4" ht="15">
      <c r="A319" s="232">
        <v>325</v>
      </c>
      <c r="B319" s="233" t="s">
        <v>1295</v>
      </c>
      <c r="C319" s="234"/>
      <c r="D319" s="234"/>
    </row>
    <row r="320" spans="1:4" ht="14.25">
      <c r="A320" s="235">
        <v>32502</v>
      </c>
      <c r="B320" s="235" t="s">
        <v>1296</v>
      </c>
      <c r="C320" s="228" t="s">
        <v>9</v>
      </c>
      <c r="D320" s="229">
        <v>335.5</v>
      </c>
    </row>
    <row r="321" spans="1:4" ht="28.5">
      <c r="A321" s="235">
        <v>32505</v>
      </c>
      <c r="B321" s="235" t="s">
        <v>1297</v>
      </c>
      <c r="C321" s="228" t="s">
        <v>9</v>
      </c>
      <c r="D321" s="229">
        <v>251.63</v>
      </c>
    </row>
    <row r="322" spans="1:4" ht="15">
      <c r="A322" s="232">
        <v>335</v>
      </c>
      <c r="B322" s="233" t="s">
        <v>1298</v>
      </c>
      <c r="C322" s="234"/>
      <c r="D322" s="234"/>
    </row>
    <row r="323" spans="1:4" ht="28.5">
      <c r="A323" s="235">
        <v>33503</v>
      </c>
      <c r="B323" s="235" t="s">
        <v>1299</v>
      </c>
      <c r="C323" s="228" t="s">
        <v>6</v>
      </c>
      <c r="D323" s="229">
        <v>5.44</v>
      </c>
    </row>
    <row r="324" spans="1:4" ht="14.25">
      <c r="A324" s="235">
        <v>33506</v>
      </c>
      <c r="B324" s="235" t="s">
        <v>1300</v>
      </c>
      <c r="C324" s="228" t="s">
        <v>6</v>
      </c>
      <c r="D324" s="229">
        <v>84.33</v>
      </c>
    </row>
    <row r="325" spans="1:4" ht="28.5">
      <c r="A325" s="235">
        <v>33511</v>
      </c>
      <c r="B325" s="235" t="s">
        <v>1301</v>
      </c>
      <c r="C325" s="228" t="s">
        <v>6</v>
      </c>
      <c r="D325" s="229">
        <v>43.61</v>
      </c>
    </row>
    <row r="326" spans="1:4" ht="14.25">
      <c r="A326" s="235">
        <v>33518</v>
      </c>
      <c r="B326" s="235" t="s">
        <v>1302</v>
      </c>
      <c r="C326" s="228" t="s">
        <v>6</v>
      </c>
      <c r="D326" s="229">
        <v>89</v>
      </c>
    </row>
    <row r="327" spans="1:4" ht="28.5">
      <c r="A327" s="235">
        <v>33556</v>
      </c>
      <c r="B327" s="235" t="s">
        <v>26385</v>
      </c>
      <c r="C327" s="228" t="s">
        <v>6</v>
      </c>
      <c r="D327" s="229">
        <v>5.19</v>
      </c>
    </row>
    <row r="328" spans="1:4" ht="28.5">
      <c r="A328" s="235">
        <v>33599</v>
      </c>
      <c r="B328" s="235" t="s">
        <v>1303</v>
      </c>
      <c r="C328" s="228" t="s">
        <v>6</v>
      </c>
      <c r="D328" s="229">
        <v>25.99</v>
      </c>
    </row>
    <row r="329" spans="1:4" ht="15">
      <c r="A329" s="232">
        <v>340</v>
      </c>
      <c r="B329" s="233" t="s">
        <v>1304</v>
      </c>
      <c r="C329" s="234"/>
      <c r="D329" s="234"/>
    </row>
    <row r="330" spans="1:4" ht="28.5">
      <c r="A330" s="235">
        <v>34005</v>
      </c>
      <c r="B330" s="235" t="s">
        <v>1305</v>
      </c>
      <c r="C330" s="228" t="s">
        <v>9</v>
      </c>
      <c r="D330" s="229">
        <v>41.67</v>
      </c>
    </row>
    <row r="331" spans="1:4" ht="15">
      <c r="A331" s="232">
        <v>341</v>
      </c>
      <c r="B331" s="233" t="s">
        <v>1306</v>
      </c>
      <c r="C331" s="234"/>
      <c r="D331" s="234"/>
    </row>
    <row r="332" spans="1:4" ht="28.5">
      <c r="A332" s="235">
        <v>34114</v>
      </c>
      <c r="B332" s="235" t="s">
        <v>1307</v>
      </c>
      <c r="C332" s="228" t="s">
        <v>9</v>
      </c>
      <c r="D332" s="229">
        <v>91.18</v>
      </c>
    </row>
    <row r="333" spans="1:4" ht="15">
      <c r="A333" s="232">
        <v>343</v>
      </c>
      <c r="B333" s="233" t="s">
        <v>1308</v>
      </c>
      <c r="C333" s="234"/>
      <c r="D333" s="234"/>
    </row>
    <row r="334" spans="1:4" ht="28.5">
      <c r="A334" s="235">
        <v>34383</v>
      </c>
      <c r="B334" s="235" t="s">
        <v>1309</v>
      </c>
      <c r="C334" s="228" t="s">
        <v>7</v>
      </c>
      <c r="D334" s="229">
        <v>38.74</v>
      </c>
    </row>
    <row r="335" spans="1:4" ht="14.25">
      <c r="A335" s="235">
        <v>34384</v>
      </c>
      <c r="B335" s="235" t="s">
        <v>1310</v>
      </c>
      <c r="C335" s="228" t="s">
        <v>7</v>
      </c>
      <c r="D335" s="229">
        <v>53.93</v>
      </c>
    </row>
    <row r="336" spans="1:4" ht="15">
      <c r="A336" s="232">
        <v>345</v>
      </c>
      <c r="B336" s="233" t="s">
        <v>1311</v>
      </c>
      <c r="C336" s="234"/>
      <c r="D336" s="234"/>
    </row>
    <row r="337" spans="1:4" ht="14.25">
      <c r="A337" s="235">
        <v>34544</v>
      </c>
      <c r="B337" s="235" t="s">
        <v>1312</v>
      </c>
      <c r="C337" s="228" t="s">
        <v>8</v>
      </c>
      <c r="D337" s="229">
        <v>37.450000000000003</v>
      </c>
    </row>
    <row r="338" spans="1:4" ht="15">
      <c r="A338" s="232">
        <v>346</v>
      </c>
      <c r="B338" s="233" t="s">
        <v>1313</v>
      </c>
      <c r="C338" s="234"/>
      <c r="D338" s="234"/>
    </row>
    <row r="339" spans="1:4" ht="28.5">
      <c r="A339" s="235">
        <v>34656</v>
      </c>
      <c r="B339" s="235" t="s">
        <v>1314</v>
      </c>
      <c r="C339" s="228" t="s">
        <v>9</v>
      </c>
      <c r="D339" s="229">
        <v>50.83</v>
      </c>
    </row>
    <row r="340" spans="1:4" ht="28.5">
      <c r="A340" s="235">
        <v>34661</v>
      </c>
      <c r="B340" s="235" t="s">
        <v>1315</v>
      </c>
      <c r="C340" s="228" t="s">
        <v>9</v>
      </c>
      <c r="D340" s="229">
        <v>45.06</v>
      </c>
    </row>
    <row r="341" spans="1:4" ht="28.5">
      <c r="A341" s="235">
        <v>34666</v>
      </c>
      <c r="B341" s="235" t="s">
        <v>1316</v>
      </c>
      <c r="C341" s="228" t="s">
        <v>9</v>
      </c>
      <c r="D341" s="229">
        <v>50.83</v>
      </c>
    </row>
    <row r="342" spans="1:4" ht="15">
      <c r="A342" s="232">
        <v>347</v>
      </c>
      <c r="B342" s="233" t="s">
        <v>1313</v>
      </c>
      <c r="C342" s="234"/>
      <c r="D342" s="234"/>
    </row>
    <row r="343" spans="1:4" ht="28.5">
      <c r="A343" s="235">
        <v>34787</v>
      </c>
      <c r="B343" s="235" t="s">
        <v>1317</v>
      </c>
      <c r="C343" s="228" t="s">
        <v>9</v>
      </c>
      <c r="D343" s="229">
        <v>45.06</v>
      </c>
    </row>
    <row r="344" spans="1:4" ht="15">
      <c r="A344" s="232">
        <v>348</v>
      </c>
      <c r="B344" s="233" t="s">
        <v>1318</v>
      </c>
      <c r="C344" s="234"/>
      <c r="D344" s="234"/>
    </row>
    <row r="345" spans="1:4" ht="28.5">
      <c r="A345" s="235">
        <v>34850</v>
      </c>
      <c r="B345" s="235" t="s">
        <v>1319</v>
      </c>
      <c r="C345" s="228" t="s">
        <v>18</v>
      </c>
      <c r="D345" s="229">
        <v>88.34</v>
      </c>
    </row>
    <row r="346" spans="1:4" ht="15">
      <c r="A346" s="232">
        <v>351</v>
      </c>
      <c r="B346" s="233" t="s">
        <v>1320</v>
      </c>
      <c r="C346" s="234"/>
      <c r="D346" s="234"/>
    </row>
    <row r="347" spans="1:4" ht="14.25">
      <c r="A347" s="235">
        <v>35114</v>
      </c>
      <c r="B347" s="235" t="s">
        <v>1321</v>
      </c>
      <c r="C347" s="228" t="s">
        <v>6</v>
      </c>
      <c r="D347" s="229">
        <v>1.07</v>
      </c>
    </row>
    <row r="348" spans="1:4" ht="14.25">
      <c r="A348" s="235">
        <v>35144</v>
      </c>
      <c r="B348" s="235" t="s">
        <v>1322</v>
      </c>
      <c r="C348" s="228" t="s">
        <v>9</v>
      </c>
      <c r="D348" s="229">
        <v>101.29</v>
      </c>
    </row>
    <row r="349" spans="1:4" ht="28.5">
      <c r="A349" s="235">
        <v>35145</v>
      </c>
      <c r="B349" s="235" t="s">
        <v>1323</v>
      </c>
      <c r="C349" s="228" t="s">
        <v>9</v>
      </c>
      <c r="D349" s="229">
        <v>53.51</v>
      </c>
    </row>
    <row r="350" spans="1:4" ht="28.5">
      <c r="A350" s="235">
        <v>35155</v>
      </c>
      <c r="B350" s="235" t="s">
        <v>1324</v>
      </c>
      <c r="C350" s="228" t="s">
        <v>9</v>
      </c>
      <c r="D350" s="229">
        <v>94.3</v>
      </c>
    </row>
    <row r="351" spans="1:4" ht="15">
      <c r="A351" s="232">
        <v>352</v>
      </c>
      <c r="B351" s="233" t="s">
        <v>1325</v>
      </c>
      <c r="C351" s="234"/>
      <c r="D351" s="234"/>
    </row>
    <row r="352" spans="1:4" ht="28.5">
      <c r="A352" s="235">
        <v>35211</v>
      </c>
      <c r="B352" s="235" t="s">
        <v>1326</v>
      </c>
      <c r="C352" s="228" t="s">
        <v>23</v>
      </c>
      <c r="D352" s="229">
        <v>22.28</v>
      </c>
    </row>
    <row r="353" spans="1:4" ht="15">
      <c r="A353" s="232">
        <v>355</v>
      </c>
      <c r="B353" s="233" t="s">
        <v>1327</v>
      </c>
      <c r="C353" s="234"/>
      <c r="D353" s="234"/>
    </row>
    <row r="354" spans="1:4" ht="14.25">
      <c r="A354" s="235">
        <v>35504</v>
      </c>
      <c r="B354" s="235" t="s">
        <v>1328</v>
      </c>
      <c r="C354" s="228" t="s">
        <v>8</v>
      </c>
      <c r="D354" s="229">
        <v>0.7</v>
      </c>
    </row>
    <row r="355" spans="1:4" ht="28.5">
      <c r="A355" s="235">
        <v>35571</v>
      </c>
      <c r="B355" s="235" t="s">
        <v>1329</v>
      </c>
      <c r="C355" s="228" t="s">
        <v>9</v>
      </c>
      <c r="D355" s="229">
        <v>143.25</v>
      </c>
    </row>
    <row r="356" spans="1:4" ht="28.5">
      <c r="A356" s="235">
        <v>35579</v>
      </c>
      <c r="B356" s="235" t="s">
        <v>26386</v>
      </c>
      <c r="C356" s="228" t="s">
        <v>9</v>
      </c>
      <c r="D356" s="229">
        <v>231.67</v>
      </c>
    </row>
    <row r="357" spans="1:4" ht="15">
      <c r="A357" s="232">
        <v>356</v>
      </c>
      <c r="B357" s="233" t="s">
        <v>1330</v>
      </c>
      <c r="C357" s="234"/>
      <c r="D357" s="234"/>
    </row>
    <row r="358" spans="1:4" ht="28.5">
      <c r="A358" s="235">
        <v>35625</v>
      </c>
      <c r="B358" s="235" t="s">
        <v>1331</v>
      </c>
      <c r="C358" s="228" t="s">
        <v>9</v>
      </c>
      <c r="D358" s="229">
        <v>102.11</v>
      </c>
    </row>
    <row r="359" spans="1:4" ht="15">
      <c r="A359" s="232">
        <v>360</v>
      </c>
      <c r="B359" s="233" t="s">
        <v>1332</v>
      </c>
      <c r="C359" s="234"/>
      <c r="D359" s="234"/>
    </row>
    <row r="360" spans="1:4" ht="14.25">
      <c r="A360" s="235">
        <v>36002</v>
      </c>
      <c r="B360" s="235" t="s">
        <v>1333</v>
      </c>
      <c r="C360" s="228" t="s">
        <v>6</v>
      </c>
      <c r="D360" s="229">
        <v>14.27</v>
      </c>
    </row>
    <row r="361" spans="1:4" ht="28.5">
      <c r="A361" s="235">
        <v>36010</v>
      </c>
      <c r="B361" s="235" t="s">
        <v>1334</v>
      </c>
      <c r="C361" s="228" t="s">
        <v>6</v>
      </c>
      <c r="D361" s="229">
        <v>21.36</v>
      </c>
    </row>
    <row r="362" spans="1:4" ht="14.25">
      <c r="A362" s="235">
        <v>36012</v>
      </c>
      <c r="B362" s="235" t="s">
        <v>1335</v>
      </c>
      <c r="C362" s="228" t="s">
        <v>6</v>
      </c>
      <c r="D362" s="229">
        <v>3.45</v>
      </c>
    </row>
    <row r="363" spans="1:4" ht="14.25">
      <c r="A363" s="235">
        <v>36018</v>
      </c>
      <c r="B363" s="235" t="s">
        <v>1336</v>
      </c>
      <c r="C363" s="228" t="s">
        <v>6</v>
      </c>
      <c r="D363" s="229">
        <v>22.4</v>
      </c>
    </row>
    <row r="364" spans="1:4" ht="28.5">
      <c r="A364" s="235">
        <v>36034</v>
      </c>
      <c r="B364" s="235" t="s">
        <v>1337</v>
      </c>
      <c r="C364" s="228" t="s">
        <v>6</v>
      </c>
      <c r="D364" s="229">
        <v>31.1</v>
      </c>
    </row>
    <row r="365" spans="1:4" ht="14.25">
      <c r="A365" s="235">
        <v>36044</v>
      </c>
      <c r="B365" s="235" t="s">
        <v>1338</v>
      </c>
      <c r="C365" s="228" t="s">
        <v>6</v>
      </c>
      <c r="D365" s="229">
        <v>40.07</v>
      </c>
    </row>
    <row r="366" spans="1:4" ht="28.5">
      <c r="A366" s="235">
        <v>36091</v>
      </c>
      <c r="B366" s="235" t="s">
        <v>1339</v>
      </c>
      <c r="C366" s="228" t="s">
        <v>6</v>
      </c>
      <c r="D366" s="229">
        <v>18.829999999999998</v>
      </c>
    </row>
    <row r="367" spans="1:4" ht="15">
      <c r="A367" s="232">
        <v>362</v>
      </c>
      <c r="B367" s="233" t="s">
        <v>1340</v>
      </c>
      <c r="C367" s="234"/>
      <c r="D367" s="234"/>
    </row>
    <row r="368" spans="1:4" ht="14.25">
      <c r="A368" s="235">
        <v>36221</v>
      </c>
      <c r="B368" s="235" t="s">
        <v>1341</v>
      </c>
      <c r="C368" s="228" t="s">
        <v>6</v>
      </c>
      <c r="D368" s="229">
        <v>15.33</v>
      </c>
    </row>
    <row r="369" spans="1:4" ht="15">
      <c r="A369" s="232">
        <v>365</v>
      </c>
      <c r="B369" s="233" t="s">
        <v>1342</v>
      </c>
      <c r="C369" s="234"/>
      <c r="D369" s="234"/>
    </row>
    <row r="370" spans="1:4" ht="14.25">
      <c r="A370" s="235">
        <v>36506</v>
      </c>
      <c r="B370" s="235" t="s">
        <v>1343</v>
      </c>
      <c r="C370" s="228" t="s">
        <v>6</v>
      </c>
      <c r="D370" s="229">
        <v>24.55</v>
      </c>
    </row>
    <row r="371" spans="1:4" ht="28.5">
      <c r="A371" s="235">
        <v>36512</v>
      </c>
      <c r="B371" s="235" t="s">
        <v>1344</v>
      </c>
      <c r="C371" s="228" t="s">
        <v>7</v>
      </c>
      <c r="D371" s="229">
        <v>1.21</v>
      </c>
    </row>
    <row r="372" spans="1:4" ht="14.25">
      <c r="A372" s="235">
        <v>36514</v>
      </c>
      <c r="B372" s="235" t="s">
        <v>1345</v>
      </c>
      <c r="C372" s="228" t="s">
        <v>7</v>
      </c>
      <c r="D372" s="229">
        <v>1.59</v>
      </c>
    </row>
    <row r="373" spans="1:4" ht="28.5">
      <c r="A373" s="235">
        <v>36517</v>
      </c>
      <c r="B373" s="235" t="s">
        <v>1346</v>
      </c>
      <c r="C373" s="228" t="s">
        <v>7</v>
      </c>
      <c r="D373" s="229">
        <v>0.99</v>
      </c>
    </row>
    <row r="374" spans="1:4" ht="15">
      <c r="A374" s="232">
        <v>368</v>
      </c>
      <c r="B374" s="233" t="s">
        <v>1318</v>
      </c>
      <c r="C374" s="234"/>
      <c r="D374" s="234"/>
    </row>
    <row r="375" spans="1:4" ht="42.75">
      <c r="A375" s="235">
        <v>36825</v>
      </c>
      <c r="B375" s="235" t="s">
        <v>1347</v>
      </c>
      <c r="C375" s="228" t="s">
        <v>18</v>
      </c>
      <c r="D375" s="229">
        <v>95.21</v>
      </c>
    </row>
    <row r="376" spans="1:4" ht="15">
      <c r="A376" s="232">
        <v>370</v>
      </c>
      <c r="B376" s="233" t="s">
        <v>1348</v>
      </c>
      <c r="C376" s="234"/>
      <c r="D376" s="234"/>
    </row>
    <row r="377" spans="1:4" ht="14.25">
      <c r="A377" s="235">
        <v>37009</v>
      </c>
      <c r="B377" s="235" t="s">
        <v>1349</v>
      </c>
      <c r="C377" s="228" t="s">
        <v>9</v>
      </c>
      <c r="D377" s="229">
        <v>284.5</v>
      </c>
    </row>
    <row r="378" spans="1:4" ht="14.25">
      <c r="A378" s="235">
        <v>37013</v>
      </c>
      <c r="B378" s="235" t="s">
        <v>1350</v>
      </c>
      <c r="C378" s="228" t="s">
        <v>9</v>
      </c>
      <c r="D378" s="229">
        <v>321</v>
      </c>
    </row>
    <row r="379" spans="1:4" ht="14.25">
      <c r="A379" s="235">
        <v>37043</v>
      </c>
      <c r="B379" s="235" t="s">
        <v>27</v>
      </c>
      <c r="C379" s="228" t="s">
        <v>8</v>
      </c>
      <c r="D379" s="229">
        <v>14.46</v>
      </c>
    </row>
    <row r="380" spans="1:4" ht="14.25">
      <c r="A380" s="235">
        <v>37057</v>
      </c>
      <c r="B380" s="235" t="s">
        <v>1351</v>
      </c>
      <c r="C380" s="228" t="s">
        <v>9</v>
      </c>
      <c r="D380" s="229">
        <v>445</v>
      </c>
    </row>
    <row r="381" spans="1:4" ht="28.5">
      <c r="A381" s="235">
        <v>37090</v>
      </c>
      <c r="B381" s="235" t="s">
        <v>1352</v>
      </c>
      <c r="C381" s="228" t="s">
        <v>7</v>
      </c>
      <c r="D381" s="229">
        <v>3.81</v>
      </c>
    </row>
    <row r="382" spans="1:4" ht="15">
      <c r="A382" s="232">
        <v>371</v>
      </c>
      <c r="B382" s="233" t="s">
        <v>1353</v>
      </c>
      <c r="C382" s="234"/>
      <c r="D382" s="234"/>
    </row>
    <row r="383" spans="1:4" ht="14.25">
      <c r="A383" s="235">
        <v>37103</v>
      </c>
      <c r="B383" s="235" t="s">
        <v>1354</v>
      </c>
      <c r="C383" s="228" t="s">
        <v>9</v>
      </c>
      <c r="D383" s="231">
        <v>1084.5</v>
      </c>
    </row>
    <row r="384" spans="1:4" ht="15">
      <c r="A384" s="232">
        <v>375</v>
      </c>
      <c r="B384" s="233" t="s">
        <v>1355</v>
      </c>
      <c r="C384" s="234"/>
      <c r="D384" s="234"/>
    </row>
    <row r="385" spans="1:4" ht="14.25">
      <c r="A385" s="235">
        <v>37502</v>
      </c>
      <c r="B385" s="235" t="s">
        <v>1356</v>
      </c>
      <c r="C385" s="228" t="s">
        <v>18</v>
      </c>
      <c r="D385" s="229">
        <v>31.57</v>
      </c>
    </row>
    <row r="386" spans="1:4" ht="14.25">
      <c r="A386" s="235">
        <v>37509</v>
      </c>
      <c r="B386" s="235" t="s">
        <v>26387</v>
      </c>
      <c r="C386" s="228" t="s">
        <v>18</v>
      </c>
      <c r="D386" s="229">
        <v>94.82</v>
      </c>
    </row>
    <row r="387" spans="1:4" ht="14.25">
      <c r="A387" s="235">
        <v>37513</v>
      </c>
      <c r="B387" s="235" t="s">
        <v>1357</v>
      </c>
      <c r="C387" s="228" t="s">
        <v>18</v>
      </c>
      <c r="D387" s="229">
        <v>16.149999999999999</v>
      </c>
    </row>
    <row r="388" spans="1:4" ht="14.25">
      <c r="A388" s="235">
        <v>37514</v>
      </c>
      <c r="B388" s="235" t="s">
        <v>1358</v>
      </c>
      <c r="C388" s="228" t="s">
        <v>18</v>
      </c>
      <c r="D388" s="229">
        <v>17.66</v>
      </c>
    </row>
    <row r="389" spans="1:4" ht="14.25">
      <c r="A389" s="235">
        <v>37517</v>
      </c>
      <c r="B389" s="235" t="s">
        <v>1359</v>
      </c>
      <c r="C389" s="228" t="s">
        <v>18</v>
      </c>
      <c r="D389" s="229">
        <v>16.579999999999998</v>
      </c>
    </row>
    <row r="390" spans="1:4" ht="14.25">
      <c r="A390" s="235">
        <v>37519</v>
      </c>
      <c r="B390" s="235" t="s">
        <v>1360</v>
      </c>
      <c r="C390" s="228" t="s">
        <v>18</v>
      </c>
      <c r="D390" s="229">
        <v>5.25</v>
      </c>
    </row>
    <row r="391" spans="1:4" ht="14.25">
      <c r="A391" s="235">
        <v>37564</v>
      </c>
      <c r="B391" s="235" t="s">
        <v>1361</v>
      </c>
      <c r="C391" s="228" t="s">
        <v>18</v>
      </c>
      <c r="D391" s="229">
        <v>30.03</v>
      </c>
    </row>
    <row r="392" spans="1:4" ht="14.25">
      <c r="A392" s="235">
        <v>37566</v>
      </c>
      <c r="B392" s="235" t="s">
        <v>1362</v>
      </c>
      <c r="C392" s="228" t="s">
        <v>18</v>
      </c>
      <c r="D392" s="229">
        <v>13.55</v>
      </c>
    </row>
    <row r="393" spans="1:4" ht="15">
      <c r="A393" s="232">
        <v>377</v>
      </c>
      <c r="B393" s="233" t="s">
        <v>1355</v>
      </c>
      <c r="C393" s="234"/>
      <c r="D393" s="234"/>
    </row>
    <row r="394" spans="1:4" ht="14.25">
      <c r="A394" s="235">
        <v>37733</v>
      </c>
      <c r="B394" s="235" t="s">
        <v>1363</v>
      </c>
      <c r="C394" s="228" t="s">
        <v>18</v>
      </c>
      <c r="D394" s="229">
        <v>28.94</v>
      </c>
    </row>
    <row r="395" spans="1:4" ht="15">
      <c r="A395" s="232">
        <v>380</v>
      </c>
      <c r="B395" s="233" t="s">
        <v>1364</v>
      </c>
      <c r="C395" s="234"/>
      <c r="D395" s="234"/>
    </row>
    <row r="396" spans="1:4" ht="14.25">
      <c r="A396" s="235">
        <v>38001</v>
      </c>
      <c r="B396" s="235" t="s">
        <v>1365</v>
      </c>
      <c r="C396" s="228" t="s">
        <v>18</v>
      </c>
      <c r="D396" s="229">
        <v>14.17</v>
      </c>
    </row>
    <row r="397" spans="1:4" ht="14.25">
      <c r="A397" s="235">
        <v>38003</v>
      </c>
      <c r="B397" s="235" t="s">
        <v>1366</v>
      </c>
      <c r="C397" s="228" t="s">
        <v>8</v>
      </c>
      <c r="D397" s="229">
        <v>1.3</v>
      </c>
    </row>
    <row r="398" spans="1:4" ht="14.25">
      <c r="A398" s="235">
        <v>38006</v>
      </c>
      <c r="B398" s="235" t="s">
        <v>1367</v>
      </c>
      <c r="C398" s="228" t="s">
        <v>18</v>
      </c>
      <c r="D398" s="229">
        <v>26.13</v>
      </c>
    </row>
    <row r="399" spans="1:4" ht="14.25">
      <c r="A399" s="235">
        <v>38009</v>
      </c>
      <c r="B399" s="235" t="s">
        <v>1368</v>
      </c>
      <c r="C399" s="228" t="s">
        <v>18</v>
      </c>
      <c r="D399" s="229">
        <v>5.25</v>
      </c>
    </row>
    <row r="400" spans="1:4" ht="28.5">
      <c r="A400" s="235">
        <v>38012</v>
      </c>
      <c r="B400" s="235" t="s">
        <v>1369</v>
      </c>
      <c r="C400" s="228" t="s">
        <v>7</v>
      </c>
      <c r="D400" s="229">
        <v>3.13</v>
      </c>
    </row>
    <row r="401" spans="1:4" ht="14.25">
      <c r="A401" s="235">
        <v>38013</v>
      </c>
      <c r="B401" s="235" t="s">
        <v>1370</v>
      </c>
      <c r="C401" s="228" t="s">
        <v>7</v>
      </c>
      <c r="D401" s="229">
        <v>0.83</v>
      </c>
    </row>
    <row r="402" spans="1:4" ht="14.25">
      <c r="A402" s="235">
        <v>38014</v>
      </c>
      <c r="B402" s="235" t="s">
        <v>26</v>
      </c>
      <c r="C402" s="228" t="s">
        <v>8</v>
      </c>
      <c r="D402" s="229">
        <v>6.72</v>
      </c>
    </row>
    <row r="403" spans="1:4" ht="14.25">
      <c r="A403" s="235">
        <v>38016</v>
      </c>
      <c r="B403" s="235" t="s">
        <v>2345</v>
      </c>
      <c r="C403" s="228" t="s">
        <v>8</v>
      </c>
      <c r="D403" s="229">
        <v>15.45</v>
      </c>
    </row>
    <row r="404" spans="1:4" ht="14.25">
      <c r="A404" s="235">
        <v>38017</v>
      </c>
      <c r="B404" s="235" t="s">
        <v>1371</v>
      </c>
      <c r="C404" s="228" t="s">
        <v>8</v>
      </c>
      <c r="D404" s="229">
        <v>3.05</v>
      </c>
    </row>
    <row r="405" spans="1:4" ht="14.25">
      <c r="A405" s="235">
        <v>38018</v>
      </c>
      <c r="B405" s="235" t="s">
        <v>28</v>
      </c>
      <c r="C405" s="228" t="s">
        <v>8</v>
      </c>
      <c r="D405" s="229">
        <v>27.68</v>
      </c>
    </row>
    <row r="406" spans="1:4" ht="14.25">
      <c r="A406" s="235">
        <v>38021</v>
      </c>
      <c r="B406" s="235" t="s">
        <v>1372</v>
      </c>
      <c r="C406" s="228" t="s">
        <v>18</v>
      </c>
      <c r="D406" s="229">
        <v>84.65</v>
      </c>
    </row>
    <row r="407" spans="1:4" ht="14.25">
      <c r="A407" s="235">
        <v>38022</v>
      </c>
      <c r="B407" s="235" t="s">
        <v>1373</v>
      </c>
      <c r="C407" s="228" t="s">
        <v>18</v>
      </c>
      <c r="D407" s="229">
        <v>46.77</v>
      </c>
    </row>
    <row r="408" spans="1:4" ht="14.25">
      <c r="A408" s="235">
        <v>38024</v>
      </c>
      <c r="B408" s="235" t="s">
        <v>1374</v>
      </c>
      <c r="C408" s="228" t="s">
        <v>7</v>
      </c>
      <c r="D408" s="229">
        <v>6.24</v>
      </c>
    </row>
    <row r="409" spans="1:4" ht="14.25">
      <c r="A409" s="235">
        <v>38025</v>
      </c>
      <c r="B409" s="235" t="s">
        <v>1375</v>
      </c>
      <c r="C409" s="228" t="s">
        <v>18</v>
      </c>
      <c r="D409" s="229">
        <v>15.4</v>
      </c>
    </row>
    <row r="410" spans="1:4" ht="14.25">
      <c r="A410" s="235">
        <v>38028</v>
      </c>
      <c r="B410" s="235" t="s">
        <v>1376</v>
      </c>
      <c r="C410" s="228" t="s">
        <v>18</v>
      </c>
      <c r="D410" s="229">
        <v>21.76</v>
      </c>
    </row>
    <row r="411" spans="1:4" ht="14.25">
      <c r="A411" s="235">
        <v>38029</v>
      </c>
      <c r="B411" s="235" t="s">
        <v>1377</v>
      </c>
      <c r="C411" s="228" t="s">
        <v>18</v>
      </c>
      <c r="D411" s="229">
        <v>36.97</v>
      </c>
    </row>
    <row r="412" spans="1:4" ht="14.25">
      <c r="A412" s="235">
        <v>38030</v>
      </c>
      <c r="B412" s="235" t="s">
        <v>1378</v>
      </c>
      <c r="C412" s="228" t="s">
        <v>18</v>
      </c>
      <c r="D412" s="229">
        <v>33.020000000000003</v>
      </c>
    </row>
    <row r="413" spans="1:4" ht="14.25">
      <c r="A413" s="235">
        <v>38051</v>
      </c>
      <c r="B413" s="235" t="s">
        <v>1379</v>
      </c>
      <c r="C413" s="228" t="s">
        <v>18</v>
      </c>
      <c r="D413" s="229">
        <v>27.26</v>
      </c>
    </row>
    <row r="414" spans="1:4" ht="14.25">
      <c r="A414" s="235">
        <v>38088</v>
      </c>
      <c r="B414" s="235" t="s">
        <v>1380</v>
      </c>
      <c r="C414" s="228" t="s">
        <v>18</v>
      </c>
      <c r="D414" s="229">
        <v>57.68</v>
      </c>
    </row>
    <row r="415" spans="1:4" ht="15">
      <c r="A415" s="232">
        <v>385</v>
      </c>
      <c r="B415" s="233" t="s">
        <v>1381</v>
      </c>
      <c r="C415" s="234"/>
      <c r="D415" s="234"/>
    </row>
    <row r="416" spans="1:4" ht="14.25">
      <c r="A416" s="235">
        <v>38509</v>
      </c>
      <c r="B416" s="235" t="s">
        <v>1382</v>
      </c>
      <c r="C416" s="228" t="s">
        <v>9</v>
      </c>
      <c r="D416" s="229">
        <v>13.13</v>
      </c>
    </row>
    <row r="417" spans="1:4" ht="14.25">
      <c r="A417" s="235">
        <v>38511</v>
      </c>
      <c r="B417" s="235" t="s">
        <v>1383</v>
      </c>
      <c r="C417" s="228" t="s">
        <v>12</v>
      </c>
      <c r="D417" s="229">
        <v>149.63</v>
      </c>
    </row>
    <row r="418" spans="1:4" ht="15">
      <c r="A418" s="232">
        <v>390</v>
      </c>
      <c r="B418" s="233" t="s">
        <v>1221</v>
      </c>
      <c r="C418" s="234"/>
      <c r="D418" s="234"/>
    </row>
    <row r="419" spans="1:4" ht="28.5">
      <c r="A419" s="235">
        <v>39002</v>
      </c>
      <c r="B419" s="235" t="s">
        <v>1384</v>
      </c>
      <c r="C419" s="228" t="s">
        <v>9</v>
      </c>
      <c r="D419" s="229">
        <v>225.94</v>
      </c>
    </row>
    <row r="420" spans="1:4" ht="14.25">
      <c r="A420" s="235">
        <v>39013</v>
      </c>
      <c r="B420" s="235" t="s">
        <v>1385</v>
      </c>
      <c r="C420" s="228" t="s">
        <v>18</v>
      </c>
      <c r="D420" s="229">
        <v>8.17</v>
      </c>
    </row>
    <row r="421" spans="1:4" ht="14.25">
      <c r="A421" s="235">
        <v>39021</v>
      </c>
      <c r="B421" s="235" t="s">
        <v>1386</v>
      </c>
      <c r="C421" s="228" t="s">
        <v>8</v>
      </c>
      <c r="D421" s="229">
        <v>23.88</v>
      </c>
    </row>
    <row r="422" spans="1:4" ht="28.5">
      <c r="A422" s="235">
        <v>39075</v>
      </c>
      <c r="B422" s="235" t="s">
        <v>1387</v>
      </c>
      <c r="C422" s="228" t="s">
        <v>9</v>
      </c>
      <c r="D422" s="231">
        <v>1380.18</v>
      </c>
    </row>
    <row r="423" spans="1:4" ht="14.25">
      <c r="A423" s="235">
        <v>39089</v>
      </c>
      <c r="B423" s="235" t="s">
        <v>1388</v>
      </c>
      <c r="C423" s="228" t="s">
        <v>7</v>
      </c>
      <c r="D423" s="231">
        <v>1830.45</v>
      </c>
    </row>
    <row r="424" spans="1:4" ht="28.5">
      <c r="A424" s="235">
        <v>39090</v>
      </c>
      <c r="B424" s="235" t="s">
        <v>1389</v>
      </c>
      <c r="C424" s="228" t="s">
        <v>24</v>
      </c>
      <c r="D424" s="231">
        <v>1768.42</v>
      </c>
    </row>
    <row r="425" spans="1:4" ht="15">
      <c r="A425" s="232">
        <v>391</v>
      </c>
      <c r="B425" s="233" t="s">
        <v>1390</v>
      </c>
      <c r="C425" s="234"/>
      <c r="D425" s="234"/>
    </row>
    <row r="426" spans="1:4" ht="28.5">
      <c r="A426" s="235">
        <v>39113</v>
      </c>
      <c r="B426" s="235" t="s">
        <v>1391</v>
      </c>
      <c r="C426" s="228" t="s">
        <v>7</v>
      </c>
      <c r="D426" s="229">
        <v>225.78</v>
      </c>
    </row>
    <row r="427" spans="1:4" ht="14.25">
      <c r="A427" s="235">
        <v>39114</v>
      </c>
      <c r="B427" s="235" t="s">
        <v>1392</v>
      </c>
      <c r="C427" s="228" t="s">
        <v>7</v>
      </c>
      <c r="D427" s="229">
        <v>31.9</v>
      </c>
    </row>
    <row r="428" spans="1:4" ht="28.5">
      <c r="A428" s="235">
        <v>39115</v>
      </c>
      <c r="B428" s="235" t="s">
        <v>1393</v>
      </c>
      <c r="C428" s="228" t="s">
        <v>7</v>
      </c>
      <c r="D428" s="229">
        <v>178.33</v>
      </c>
    </row>
    <row r="429" spans="1:4" ht="28.5">
      <c r="A429" s="235">
        <v>39123</v>
      </c>
      <c r="B429" s="235" t="s">
        <v>1394</v>
      </c>
      <c r="C429" s="228" t="s">
        <v>6</v>
      </c>
      <c r="D429" s="229">
        <v>15.93</v>
      </c>
    </row>
    <row r="430" spans="1:4" ht="28.5">
      <c r="A430" s="235">
        <v>39125</v>
      </c>
      <c r="B430" s="235" t="s">
        <v>1395</v>
      </c>
      <c r="C430" s="228" t="s">
        <v>6</v>
      </c>
      <c r="D430" s="229">
        <v>40.61</v>
      </c>
    </row>
    <row r="431" spans="1:4" ht="28.5">
      <c r="A431" s="235">
        <v>39165</v>
      </c>
      <c r="B431" s="235" t="s">
        <v>1396</v>
      </c>
      <c r="C431" s="228" t="s">
        <v>7</v>
      </c>
      <c r="D431" s="229">
        <v>213.09</v>
      </c>
    </row>
    <row r="432" spans="1:4" ht="15">
      <c r="A432" s="232">
        <v>395</v>
      </c>
      <c r="B432" s="233" t="s">
        <v>1390</v>
      </c>
      <c r="C432" s="234"/>
      <c r="D432" s="234"/>
    </row>
    <row r="433" spans="1:4" ht="28.5">
      <c r="A433" s="235">
        <v>39515</v>
      </c>
      <c r="B433" s="235" t="s">
        <v>1397</v>
      </c>
      <c r="C433" s="228" t="s">
        <v>7</v>
      </c>
      <c r="D433" s="229">
        <v>13.63</v>
      </c>
    </row>
    <row r="434" spans="1:4" ht="15">
      <c r="A434" s="232">
        <v>398</v>
      </c>
      <c r="B434" s="233" t="s">
        <v>1398</v>
      </c>
      <c r="C434" s="234"/>
      <c r="D434" s="234"/>
    </row>
    <row r="435" spans="1:4" ht="28.5">
      <c r="A435" s="235">
        <v>39841</v>
      </c>
      <c r="B435" s="235" t="s">
        <v>1399</v>
      </c>
      <c r="C435" s="228" t="s">
        <v>9</v>
      </c>
      <c r="D435" s="229">
        <v>208.13</v>
      </c>
    </row>
    <row r="436" spans="1:4" ht="15">
      <c r="A436" s="232">
        <v>4</v>
      </c>
      <c r="B436" s="233" t="s">
        <v>1400</v>
      </c>
      <c r="C436" s="234"/>
      <c r="D436" s="234"/>
    </row>
    <row r="437" spans="1:4" ht="15">
      <c r="A437" s="232">
        <v>401</v>
      </c>
      <c r="B437" s="233" t="s">
        <v>1401</v>
      </c>
      <c r="C437" s="234"/>
      <c r="D437" s="234"/>
    </row>
    <row r="438" spans="1:4" ht="28.5">
      <c r="A438" s="235">
        <v>40102</v>
      </c>
      <c r="B438" s="235" t="s">
        <v>1402</v>
      </c>
      <c r="C438" s="228" t="s">
        <v>7</v>
      </c>
      <c r="D438" s="231">
        <v>1708.33</v>
      </c>
    </row>
    <row r="439" spans="1:4" ht="14.25">
      <c r="A439" s="235">
        <v>40140</v>
      </c>
      <c r="B439" s="235" t="s">
        <v>1403</v>
      </c>
      <c r="C439" s="228" t="s">
        <v>7</v>
      </c>
      <c r="D439" s="231">
        <v>2674.93</v>
      </c>
    </row>
    <row r="440" spans="1:4" ht="28.5">
      <c r="A440" s="235">
        <v>40144</v>
      </c>
      <c r="B440" s="235" t="s">
        <v>1404</v>
      </c>
      <c r="C440" s="228" t="s">
        <v>7</v>
      </c>
      <c r="D440" s="231">
        <v>2181.7399999999998</v>
      </c>
    </row>
    <row r="441" spans="1:4" ht="15">
      <c r="A441" s="232">
        <v>402</v>
      </c>
      <c r="B441" s="233" t="s">
        <v>1405</v>
      </c>
      <c r="C441" s="234"/>
      <c r="D441" s="234"/>
    </row>
    <row r="442" spans="1:4" ht="14.25">
      <c r="A442" s="235">
        <v>40211</v>
      </c>
      <c r="B442" s="235" t="s">
        <v>1406</v>
      </c>
      <c r="C442" s="228" t="s">
        <v>7</v>
      </c>
      <c r="D442" s="229">
        <v>43.39</v>
      </c>
    </row>
    <row r="443" spans="1:4" ht="15">
      <c r="A443" s="232">
        <v>403</v>
      </c>
      <c r="B443" s="233" t="s">
        <v>1221</v>
      </c>
      <c r="C443" s="234"/>
      <c r="D443" s="234"/>
    </row>
    <row r="444" spans="1:4" ht="28.5">
      <c r="A444" s="235">
        <v>40303</v>
      </c>
      <c r="B444" s="235" t="s">
        <v>1407</v>
      </c>
      <c r="C444" s="228" t="s">
        <v>7</v>
      </c>
      <c r="D444" s="229">
        <v>73.31</v>
      </c>
    </row>
    <row r="445" spans="1:4" ht="28.5">
      <c r="A445" s="235">
        <v>40304</v>
      </c>
      <c r="B445" s="235" t="s">
        <v>1408</v>
      </c>
      <c r="C445" s="228" t="s">
        <v>7</v>
      </c>
      <c r="D445" s="229">
        <v>93.43</v>
      </c>
    </row>
    <row r="446" spans="1:4" ht="28.5">
      <c r="A446" s="235">
        <v>40305</v>
      </c>
      <c r="B446" s="235" t="s">
        <v>1409</v>
      </c>
      <c r="C446" s="228" t="s">
        <v>7</v>
      </c>
      <c r="D446" s="229">
        <v>114.39</v>
      </c>
    </row>
    <row r="447" spans="1:4" ht="14.25">
      <c r="A447" s="235">
        <v>40306</v>
      </c>
      <c r="B447" s="235" t="s">
        <v>1410</v>
      </c>
      <c r="C447" s="228" t="s">
        <v>7</v>
      </c>
      <c r="D447" s="229">
        <v>19.71</v>
      </c>
    </row>
    <row r="448" spans="1:4" ht="15">
      <c r="A448" s="232">
        <v>404</v>
      </c>
      <c r="B448" s="233" t="s">
        <v>1411</v>
      </c>
      <c r="C448" s="234"/>
      <c r="D448" s="234"/>
    </row>
    <row r="449" spans="1:4" ht="28.5">
      <c r="A449" s="235">
        <v>40401</v>
      </c>
      <c r="B449" s="235" t="s">
        <v>1412</v>
      </c>
      <c r="C449" s="228" t="s">
        <v>7</v>
      </c>
      <c r="D449" s="229">
        <v>10.24</v>
      </c>
    </row>
    <row r="450" spans="1:4" ht="15">
      <c r="A450" s="232">
        <v>405</v>
      </c>
      <c r="B450" s="233" t="s">
        <v>1413</v>
      </c>
      <c r="C450" s="234"/>
      <c r="D450" s="234"/>
    </row>
    <row r="451" spans="1:4" ht="14.25">
      <c r="A451" s="235">
        <v>40504</v>
      </c>
      <c r="B451" s="235" t="s">
        <v>1414</v>
      </c>
      <c r="C451" s="228" t="s">
        <v>7</v>
      </c>
      <c r="D451" s="229">
        <v>43.8</v>
      </c>
    </row>
    <row r="452" spans="1:4" ht="14.25">
      <c r="A452" s="235">
        <v>40522</v>
      </c>
      <c r="B452" s="235" t="s">
        <v>1415</v>
      </c>
      <c r="C452" s="228" t="s">
        <v>7</v>
      </c>
      <c r="D452" s="229">
        <v>10.48</v>
      </c>
    </row>
    <row r="453" spans="1:4" ht="14.25">
      <c r="A453" s="235">
        <v>40523</v>
      </c>
      <c r="B453" s="235" t="s">
        <v>1416</v>
      </c>
      <c r="C453" s="228" t="s">
        <v>7</v>
      </c>
      <c r="D453" s="229">
        <v>6.6</v>
      </c>
    </row>
    <row r="454" spans="1:4" ht="14.25">
      <c r="A454" s="235">
        <v>40524</v>
      </c>
      <c r="B454" s="235" t="s">
        <v>1417</v>
      </c>
      <c r="C454" s="228" t="s">
        <v>7</v>
      </c>
      <c r="D454" s="229">
        <v>5.83</v>
      </c>
    </row>
    <row r="455" spans="1:4" ht="15">
      <c r="A455" s="232">
        <v>406</v>
      </c>
      <c r="B455" s="233" t="s">
        <v>26388</v>
      </c>
      <c r="C455" s="234"/>
      <c r="D455" s="234"/>
    </row>
    <row r="456" spans="1:4" ht="28.5">
      <c r="A456" s="235">
        <v>40612</v>
      </c>
      <c r="B456" s="235" t="s">
        <v>26389</v>
      </c>
      <c r="C456" s="228" t="s">
        <v>7</v>
      </c>
      <c r="D456" s="229">
        <v>18.13</v>
      </c>
    </row>
    <row r="457" spans="1:4" ht="15">
      <c r="A457" s="232">
        <v>407</v>
      </c>
      <c r="B457" s="233" t="s">
        <v>1418</v>
      </c>
      <c r="C457" s="234"/>
      <c r="D457" s="234"/>
    </row>
    <row r="458" spans="1:4" ht="28.5">
      <c r="A458" s="235">
        <v>40761</v>
      </c>
      <c r="B458" s="235" t="s">
        <v>1419</v>
      </c>
      <c r="C458" s="228" t="s">
        <v>7</v>
      </c>
      <c r="D458" s="229">
        <v>460</v>
      </c>
    </row>
    <row r="459" spans="1:4" ht="15">
      <c r="A459" s="232">
        <v>409</v>
      </c>
      <c r="B459" s="233" t="s">
        <v>1221</v>
      </c>
      <c r="C459" s="234"/>
      <c r="D459" s="234"/>
    </row>
    <row r="460" spans="1:4" ht="28.5">
      <c r="A460" s="235">
        <v>40974</v>
      </c>
      <c r="B460" s="235" t="s">
        <v>1420</v>
      </c>
      <c r="C460" s="228" t="s">
        <v>7</v>
      </c>
      <c r="D460" s="229">
        <v>47.1</v>
      </c>
    </row>
    <row r="461" spans="1:4" ht="15">
      <c r="A461" s="232">
        <v>410</v>
      </c>
      <c r="B461" s="233" t="s">
        <v>14</v>
      </c>
      <c r="C461" s="234"/>
      <c r="D461" s="234"/>
    </row>
    <row r="462" spans="1:4" ht="28.5">
      <c r="A462" s="235">
        <v>41054</v>
      </c>
      <c r="B462" s="235" t="s">
        <v>26390</v>
      </c>
      <c r="C462" s="228" t="s">
        <v>7</v>
      </c>
      <c r="D462" s="231">
        <v>24205</v>
      </c>
    </row>
    <row r="463" spans="1:4" ht="28.5">
      <c r="A463" s="235">
        <v>41055</v>
      </c>
      <c r="B463" s="235" t="s">
        <v>26391</v>
      </c>
      <c r="C463" s="228" t="s">
        <v>7</v>
      </c>
      <c r="D463" s="231">
        <v>10605</v>
      </c>
    </row>
    <row r="464" spans="1:4" ht="28.5">
      <c r="A464" s="235">
        <v>41056</v>
      </c>
      <c r="B464" s="235" t="s">
        <v>26392</v>
      </c>
      <c r="C464" s="228" t="s">
        <v>7</v>
      </c>
      <c r="D464" s="231">
        <v>18290.669999999998</v>
      </c>
    </row>
    <row r="465" spans="1:4" ht="28.5">
      <c r="A465" s="235">
        <v>41058</v>
      </c>
      <c r="B465" s="235" t="s">
        <v>26393</v>
      </c>
      <c r="C465" s="228" t="s">
        <v>7</v>
      </c>
      <c r="D465" s="231">
        <v>14061.67</v>
      </c>
    </row>
    <row r="466" spans="1:4" ht="15">
      <c r="A466" s="232">
        <v>411</v>
      </c>
      <c r="B466" s="233" t="s">
        <v>1421</v>
      </c>
      <c r="C466" s="234"/>
      <c r="D466" s="234"/>
    </row>
    <row r="467" spans="1:4" ht="14.25">
      <c r="A467" s="235">
        <v>41106</v>
      </c>
      <c r="B467" s="235" t="s">
        <v>26394</v>
      </c>
      <c r="C467" s="228" t="s">
        <v>6</v>
      </c>
      <c r="D467" s="229">
        <v>50.73</v>
      </c>
    </row>
    <row r="468" spans="1:4" ht="15">
      <c r="A468" s="232">
        <v>415</v>
      </c>
      <c r="B468" s="233" t="s">
        <v>1422</v>
      </c>
      <c r="C468" s="234"/>
      <c r="D468" s="234"/>
    </row>
    <row r="469" spans="1:4" ht="28.5">
      <c r="A469" s="235">
        <v>41520</v>
      </c>
      <c r="B469" s="235" t="s">
        <v>1423</v>
      </c>
      <c r="C469" s="228" t="s">
        <v>7</v>
      </c>
      <c r="D469" s="231">
        <v>1527.49</v>
      </c>
    </row>
    <row r="470" spans="1:4" ht="28.5">
      <c r="A470" s="235">
        <v>41528</v>
      </c>
      <c r="B470" s="235" t="s">
        <v>1424</v>
      </c>
      <c r="C470" s="228" t="s">
        <v>7</v>
      </c>
      <c r="D470" s="229">
        <v>556.76</v>
      </c>
    </row>
    <row r="471" spans="1:4" ht="28.5">
      <c r="A471" s="235">
        <v>41530</v>
      </c>
      <c r="B471" s="235" t="s">
        <v>1425</v>
      </c>
      <c r="C471" s="228" t="s">
        <v>7</v>
      </c>
      <c r="D471" s="229">
        <v>793.2</v>
      </c>
    </row>
    <row r="472" spans="1:4" ht="28.5">
      <c r="A472" s="235">
        <v>41533</v>
      </c>
      <c r="B472" s="235" t="s">
        <v>1426</v>
      </c>
      <c r="C472" s="228" t="s">
        <v>7</v>
      </c>
      <c r="D472" s="229">
        <v>604.70000000000005</v>
      </c>
    </row>
    <row r="473" spans="1:4" ht="28.5">
      <c r="A473" s="235">
        <v>41536</v>
      </c>
      <c r="B473" s="235" t="s">
        <v>1427</v>
      </c>
      <c r="C473" s="228" t="s">
        <v>7</v>
      </c>
      <c r="D473" s="229">
        <v>735.33</v>
      </c>
    </row>
    <row r="474" spans="1:4" ht="28.5">
      <c r="A474" s="235">
        <v>41537</v>
      </c>
      <c r="B474" s="235" t="s">
        <v>1428</v>
      </c>
      <c r="C474" s="228" t="s">
        <v>7</v>
      </c>
      <c r="D474" s="229">
        <v>27.59</v>
      </c>
    </row>
    <row r="475" spans="1:4" ht="28.5">
      <c r="A475" s="235">
        <v>41542</v>
      </c>
      <c r="B475" s="235" t="s">
        <v>1429</v>
      </c>
      <c r="C475" s="228" t="s">
        <v>7</v>
      </c>
      <c r="D475" s="229">
        <v>926.67</v>
      </c>
    </row>
    <row r="476" spans="1:4" ht="14.25">
      <c r="A476" s="235">
        <v>41543</v>
      </c>
      <c r="B476" s="235" t="s">
        <v>1430</v>
      </c>
      <c r="C476" s="228" t="s">
        <v>7</v>
      </c>
      <c r="D476" s="231">
        <v>3811.5</v>
      </c>
    </row>
    <row r="477" spans="1:4" ht="28.5">
      <c r="A477" s="235">
        <v>41569</v>
      </c>
      <c r="B477" s="235" t="s">
        <v>1431</v>
      </c>
      <c r="C477" s="228" t="s">
        <v>7</v>
      </c>
      <c r="D477" s="229">
        <v>150.19999999999999</v>
      </c>
    </row>
    <row r="478" spans="1:4" ht="28.5">
      <c r="A478" s="235">
        <v>41579</v>
      </c>
      <c r="B478" s="235" t="s">
        <v>26395</v>
      </c>
      <c r="C478" s="228" t="s">
        <v>7</v>
      </c>
      <c r="D478" s="231">
        <v>1415.76</v>
      </c>
    </row>
    <row r="479" spans="1:4" ht="14.25">
      <c r="A479" s="235">
        <v>41588</v>
      </c>
      <c r="B479" s="235" t="s">
        <v>26396</v>
      </c>
      <c r="C479" s="228" t="s">
        <v>7</v>
      </c>
      <c r="D479" s="229">
        <v>3.87</v>
      </c>
    </row>
    <row r="480" spans="1:4" ht="15">
      <c r="A480" s="232">
        <v>416</v>
      </c>
      <c r="B480" s="233" t="s">
        <v>1432</v>
      </c>
      <c r="C480" s="234"/>
      <c r="D480" s="234"/>
    </row>
    <row r="481" spans="1:4" ht="14.25">
      <c r="A481" s="235">
        <v>41667</v>
      </c>
      <c r="B481" s="235" t="s">
        <v>1433</v>
      </c>
      <c r="C481" s="228" t="s">
        <v>7</v>
      </c>
      <c r="D481" s="229">
        <v>4.8099999999999996</v>
      </c>
    </row>
    <row r="482" spans="1:4" ht="15">
      <c r="A482" s="232">
        <v>417</v>
      </c>
      <c r="B482" s="233" t="s">
        <v>1432</v>
      </c>
      <c r="C482" s="234"/>
      <c r="D482" s="234"/>
    </row>
    <row r="483" spans="1:4" ht="28.5">
      <c r="A483" s="235">
        <v>41724</v>
      </c>
      <c r="B483" s="235" t="s">
        <v>1434</v>
      </c>
      <c r="C483" s="228" t="s">
        <v>7</v>
      </c>
      <c r="D483" s="229">
        <v>527.52</v>
      </c>
    </row>
    <row r="484" spans="1:4" ht="28.5">
      <c r="A484" s="235">
        <v>41726</v>
      </c>
      <c r="B484" s="235" t="s">
        <v>1435</v>
      </c>
      <c r="C484" s="228" t="s">
        <v>7</v>
      </c>
      <c r="D484" s="229">
        <v>617.59</v>
      </c>
    </row>
    <row r="485" spans="1:4" ht="15">
      <c r="A485" s="232">
        <v>418</v>
      </c>
      <c r="B485" s="233" t="s">
        <v>1432</v>
      </c>
      <c r="C485" s="234"/>
      <c r="D485" s="234"/>
    </row>
    <row r="486" spans="1:4" ht="28.5">
      <c r="A486" s="235">
        <v>41815</v>
      </c>
      <c r="B486" s="235" t="s">
        <v>1436</v>
      </c>
      <c r="C486" s="228" t="s">
        <v>7</v>
      </c>
      <c r="D486" s="231">
        <v>1516.25</v>
      </c>
    </row>
    <row r="487" spans="1:4" ht="28.5">
      <c r="A487" s="235">
        <v>41817</v>
      </c>
      <c r="B487" s="235" t="s">
        <v>1437</v>
      </c>
      <c r="C487" s="228" t="s">
        <v>7</v>
      </c>
      <c r="D487" s="231">
        <v>1516.25</v>
      </c>
    </row>
    <row r="488" spans="1:4" ht="28.5">
      <c r="A488" s="235">
        <v>41821</v>
      </c>
      <c r="B488" s="235" t="s">
        <v>1438</v>
      </c>
      <c r="C488" s="228" t="s">
        <v>7</v>
      </c>
      <c r="D488" s="229">
        <v>805.7</v>
      </c>
    </row>
    <row r="489" spans="1:4" ht="14.25">
      <c r="A489" s="235">
        <v>41860</v>
      </c>
      <c r="B489" s="235" t="s">
        <v>1439</v>
      </c>
      <c r="C489" s="228" t="s">
        <v>7</v>
      </c>
      <c r="D489" s="231">
        <v>1696.94</v>
      </c>
    </row>
    <row r="490" spans="1:4" ht="28.5">
      <c r="A490" s="235">
        <v>41861</v>
      </c>
      <c r="B490" s="235" t="s">
        <v>1440</v>
      </c>
      <c r="C490" s="228" t="s">
        <v>7</v>
      </c>
      <c r="D490" s="229">
        <v>114.51</v>
      </c>
    </row>
    <row r="491" spans="1:4" ht="28.5">
      <c r="A491" s="235">
        <v>41866</v>
      </c>
      <c r="B491" s="235" t="s">
        <v>26397</v>
      </c>
      <c r="C491" s="228" t="s">
        <v>7</v>
      </c>
      <c r="D491" s="229">
        <v>268.01</v>
      </c>
    </row>
    <row r="492" spans="1:4" ht="15">
      <c r="A492" s="232">
        <v>419</v>
      </c>
      <c r="B492" s="233" t="s">
        <v>1432</v>
      </c>
      <c r="C492" s="234"/>
      <c r="D492" s="234"/>
    </row>
    <row r="493" spans="1:4" ht="28.5">
      <c r="A493" s="235">
        <v>41962</v>
      </c>
      <c r="B493" s="235" t="s">
        <v>1441</v>
      </c>
      <c r="C493" s="228" t="s">
        <v>7</v>
      </c>
      <c r="D493" s="229">
        <v>741.16</v>
      </c>
    </row>
    <row r="494" spans="1:4" ht="15">
      <c r="A494" s="232">
        <v>420</v>
      </c>
      <c r="B494" s="233" t="s">
        <v>1442</v>
      </c>
      <c r="C494" s="234"/>
      <c r="D494" s="234"/>
    </row>
    <row r="495" spans="1:4" ht="14.25">
      <c r="A495" s="235">
        <v>42047</v>
      </c>
      <c r="B495" s="235" t="s">
        <v>1443</v>
      </c>
      <c r="C495" s="228" t="s">
        <v>6</v>
      </c>
      <c r="D495" s="229">
        <v>606.08000000000004</v>
      </c>
    </row>
    <row r="496" spans="1:4" ht="14.25">
      <c r="A496" s="235">
        <v>42051</v>
      </c>
      <c r="B496" s="235" t="s">
        <v>1444</v>
      </c>
      <c r="C496" s="228" t="s">
        <v>6</v>
      </c>
      <c r="D496" s="229">
        <v>70.56</v>
      </c>
    </row>
    <row r="497" spans="1:4" ht="14.25">
      <c r="A497" s="235">
        <v>42052</v>
      </c>
      <c r="B497" s="235" t="s">
        <v>1445</v>
      </c>
      <c r="C497" s="228" t="s">
        <v>6</v>
      </c>
      <c r="D497" s="229">
        <v>128.58000000000001</v>
      </c>
    </row>
    <row r="498" spans="1:4" ht="14.25">
      <c r="A498" s="235">
        <v>42087</v>
      </c>
      <c r="B498" s="235" t="s">
        <v>1446</v>
      </c>
      <c r="C498" s="228" t="s">
        <v>7</v>
      </c>
      <c r="D498" s="229">
        <v>118.63</v>
      </c>
    </row>
    <row r="499" spans="1:4" ht="14.25">
      <c r="A499" s="235">
        <v>42090</v>
      </c>
      <c r="B499" s="235" t="s">
        <v>1447</v>
      </c>
      <c r="C499" s="228" t="s">
        <v>6</v>
      </c>
      <c r="D499" s="229">
        <v>101.4</v>
      </c>
    </row>
    <row r="500" spans="1:4" ht="28.5">
      <c r="A500" s="235">
        <v>42091</v>
      </c>
      <c r="B500" s="235" t="s">
        <v>1448</v>
      </c>
      <c r="C500" s="228" t="s">
        <v>7</v>
      </c>
      <c r="D500" s="229">
        <v>18.440000000000001</v>
      </c>
    </row>
    <row r="501" spans="1:4" ht="15">
      <c r="A501" s="232">
        <v>423</v>
      </c>
      <c r="B501" s="233" t="s">
        <v>1449</v>
      </c>
      <c r="C501" s="234"/>
      <c r="D501" s="234"/>
    </row>
    <row r="502" spans="1:4" ht="28.5">
      <c r="A502" s="235">
        <v>42301</v>
      </c>
      <c r="B502" s="235" t="s">
        <v>26511</v>
      </c>
      <c r="C502" s="228" t="s">
        <v>7</v>
      </c>
      <c r="D502" s="229">
        <v>14.83</v>
      </c>
    </row>
    <row r="503" spans="1:4" ht="28.5">
      <c r="A503" s="235">
        <v>42302</v>
      </c>
      <c r="B503" s="235" t="s">
        <v>26512</v>
      </c>
      <c r="C503" s="228" t="s">
        <v>7</v>
      </c>
      <c r="D503" s="229">
        <v>14.75</v>
      </c>
    </row>
    <row r="504" spans="1:4" ht="28.5">
      <c r="A504" s="235">
        <v>42303</v>
      </c>
      <c r="B504" s="235" t="s">
        <v>26513</v>
      </c>
      <c r="C504" s="228" t="s">
        <v>7</v>
      </c>
      <c r="D504" s="229">
        <v>16.690000000000001</v>
      </c>
    </row>
    <row r="505" spans="1:4" ht="15">
      <c r="A505" s="232">
        <v>425</v>
      </c>
      <c r="B505" s="233" t="s">
        <v>1450</v>
      </c>
      <c r="C505" s="234"/>
      <c r="D505" s="234"/>
    </row>
    <row r="506" spans="1:4" ht="28.5">
      <c r="A506" s="235">
        <v>42501</v>
      </c>
      <c r="B506" s="235" t="s">
        <v>1451</v>
      </c>
      <c r="C506" s="228" t="s">
        <v>6</v>
      </c>
      <c r="D506" s="229">
        <v>3.85</v>
      </c>
    </row>
    <row r="507" spans="1:4" ht="28.5">
      <c r="A507" s="235">
        <v>42502</v>
      </c>
      <c r="B507" s="235" t="s">
        <v>1452</v>
      </c>
      <c r="C507" s="228" t="s">
        <v>6</v>
      </c>
      <c r="D507" s="229">
        <v>5.0599999999999996</v>
      </c>
    </row>
    <row r="508" spans="1:4" ht="28.5">
      <c r="A508" s="235">
        <v>42503</v>
      </c>
      <c r="B508" s="235" t="s">
        <v>1453</v>
      </c>
      <c r="C508" s="228" t="s">
        <v>6</v>
      </c>
      <c r="D508" s="229">
        <v>7.62</v>
      </c>
    </row>
    <row r="509" spans="1:4" ht="28.5">
      <c r="A509" s="235">
        <v>42504</v>
      </c>
      <c r="B509" s="235" t="s">
        <v>1454</v>
      </c>
      <c r="C509" s="228" t="s">
        <v>6</v>
      </c>
      <c r="D509" s="229">
        <v>11.2</v>
      </c>
    </row>
    <row r="510" spans="1:4" ht="28.5">
      <c r="A510" s="235">
        <v>42505</v>
      </c>
      <c r="B510" s="235" t="s">
        <v>1455</v>
      </c>
      <c r="C510" s="228" t="s">
        <v>6</v>
      </c>
      <c r="D510" s="229">
        <v>13.26</v>
      </c>
    </row>
    <row r="511" spans="1:4" ht="28.5">
      <c r="A511" s="235">
        <v>42506</v>
      </c>
      <c r="B511" s="235" t="s">
        <v>1456</v>
      </c>
      <c r="C511" s="228" t="s">
        <v>6</v>
      </c>
      <c r="D511" s="229">
        <v>18.36</v>
      </c>
    </row>
    <row r="512" spans="1:4" ht="28.5">
      <c r="A512" s="235">
        <v>42508</v>
      </c>
      <c r="B512" s="235" t="s">
        <v>1457</v>
      </c>
      <c r="C512" s="228" t="s">
        <v>6</v>
      </c>
      <c r="D512" s="229">
        <v>41.29</v>
      </c>
    </row>
    <row r="513" spans="1:4" ht="28.5">
      <c r="A513" s="235">
        <v>42509</v>
      </c>
      <c r="B513" s="235" t="s">
        <v>1458</v>
      </c>
      <c r="C513" s="228" t="s">
        <v>6</v>
      </c>
      <c r="D513" s="229">
        <v>71.3</v>
      </c>
    </row>
    <row r="514" spans="1:4" ht="14.25">
      <c r="A514" s="235">
        <v>42511</v>
      </c>
      <c r="B514" s="235" t="s">
        <v>1459</v>
      </c>
      <c r="C514" s="228" t="s">
        <v>7</v>
      </c>
      <c r="D514" s="229">
        <v>5.29</v>
      </c>
    </row>
    <row r="515" spans="1:4" ht="14.25">
      <c r="A515" s="235">
        <v>42521</v>
      </c>
      <c r="B515" s="235" t="s">
        <v>1460</v>
      </c>
      <c r="C515" s="228" t="s">
        <v>7</v>
      </c>
      <c r="D515" s="229">
        <v>1.98</v>
      </c>
    </row>
    <row r="516" spans="1:4" ht="28.5">
      <c r="A516" s="235">
        <v>42529</v>
      </c>
      <c r="B516" s="235" t="s">
        <v>1461</v>
      </c>
      <c r="C516" s="228" t="s">
        <v>6</v>
      </c>
      <c r="D516" s="229">
        <v>7.31</v>
      </c>
    </row>
    <row r="517" spans="1:4" ht="14.25">
      <c r="A517" s="235">
        <v>42530</v>
      </c>
      <c r="B517" s="235" t="s">
        <v>1462</v>
      </c>
      <c r="C517" s="228" t="s">
        <v>7</v>
      </c>
      <c r="D517" s="229">
        <v>57.06</v>
      </c>
    </row>
    <row r="518" spans="1:4" ht="14.25">
      <c r="A518" s="235">
        <v>42535</v>
      </c>
      <c r="B518" s="235" t="s">
        <v>1463</v>
      </c>
      <c r="C518" s="228" t="s">
        <v>6</v>
      </c>
      <c r="D518" s="229">
        <v>4.09</v>
      </c>
    </row>
    <row r="519" spans="1:4" ht="28.5">
      <c r="A519" s="235">
        <v>42546</v>
      </c>
      <c r="B519" s="235" t="s">
        <v>1464</v>
      </c>
      <c r="C519" s="228" t="s">
        <v>6</v>
      </c>
      <c r="D519" s="229">
        <v>10.130000000000001</v>
      </c>
    </row>
    <row r="520" spans="1:4" ht="14.25">
      <c r="A520" s="235">
        <v>42548</v>
      </c>
      <c r="B520" s="235" t="s">
        <v>1465</v>
      </c>
      <c r="C520" s="228" t="s">
        <v>6</v>
      </c>
      <c r="D520" s="229">
        <v>206.29</v>
      </c>
    </row>
    <row r="521" spans="1:4" ht="14.25">
      <c r="A521" s="235">
        <v>42552</v>
      </c>
      <c r="B521" s="235" t="s">
        <v>1466</v>
      </c>
      <c r="C521" s="228" t="s">
        <v>7</v>
      </c>
      <c r="D521" s="229">
        <v>2.94</v>
      </c>
    </row>
    <row r="522" spans="1:4" ht="42.75">
      <c r="A522" s="235">
        <v>42558</v>
      </c>
      <c r="B522" s="235" t="s">
        <v>26398</v>
      </c>
      <c r="C522" s="228" t="s">
        <v>7</v>
      </c>
      <c r="D522" s="229">
        <v>8.18</v>
      </c>
    </row>
    <row r="523" spans="1:4" ht="28.5">
      <c r="A523" s="235">
        <v>42565</v>
      </c>
      <c r="B523" s="235" t="s">
        <v>1467</v>
      </c>
      <c r="C523" s="228" t="s">
        <v>6</v>
      </c>
      <c r="D523" s="229">
        <v>2.67</v>
      </c>
    </row>
    <row r="524" spans="1:4" ht="28.5">
      <c r="A524" s="235">
        <v>42588</v>
      </c>
      <c r="B524" s="235" t="s">
        <v>1468</v>
      </c>
      <c r="C524" s="228" t="s">
        <v>6</v>
      </c>
      <c r="D524" s="229">
        <v>3.99</v>
      </c>
    </row>
    <row r="525" spans="1:4" ht="15">
      <c r="A525" s="232">
        <v>426</v>
      </c>
      <c r="B525" s="233" t="s">
        <v>1469</v>
      </c>
      <c r="C525" s="234"/>
      <c r="D525" s="234"/>
    </row>
    <row r="526" spans="1:4" ht="14.25">
      <c r="A526" s="235">
        <v>42636</v>
      </c>
      <c r="B526" s="235" t="s">
        <v>1470</v>
      </c>
      <c r="C526" s="228" t="s">
        <v>6</v>
      </c>
      <c r="D526" s="229">
        <v>25.99</v>
      </c>
    </row>
    <row r="527" spans="1:4" ht="14.25">
      <c r="A527" s="235">
        <v>42673</v>
      </c>
      <c r="B527" s="235" t="s">
        <v>1471</v>
      </c>
      <c r="C527" s="228" t="s">
        <v>6</v>
      </c>
      <c r="D527" s="229">
        <v>4.3</v>
      </c>
    </row>
    <row r="528" spans="1:4" ht="14.25">
      <c r="A528" s="235">
        <v>42674</v>
      </c>
      <c r="B528" s="235" t="s">
        <v>1472</v>
      </c>
      <c r="C528" s="228" t="s">
        <v>6</v>
      </c>
      <c r="D528" s="229">
        <v>5.05</v>
      </c>
    </row>
    <row r="529" spans="1:4" ht="14.25">
      <c r="A529" s="235">
        <v>42690</v>
      </c>
      <c r="B529" s="235" t="s">
        <v>1473</v>
      </c>
      <c r="C529" s="228" t="s">
        <v>6</v>
      </c>
      <c r="D529" s="229">
        <v>11.94</v>
      </c>
    </row>
    <row r="530" spans="1:4" ht="15">
      <c r="A530" s="232">
        <v>427</v>
      </c>
      <c r="B530" s="233" t="s">
        <v>1474</v>
      </c>
      <c r="C530" s="234"/>
      <c r="D530" s="234"/>
    </row>
    <row r="531" spans="1:4" ht="14.25">
      <c r="A531" s="235">
        <v>42701</v>
      </c>
      <c r="B531" s="235" t="s">
        <v>1475</v>
      </c>
      <c r="C531" s="228" t="s">
        <v>6</v>
      </c>
      <c r="D531" s="229">
        <v>8.94</v>
      </c>
    </row>
    <row r="532" spans="1:4" ht="14.25">
      <c r="A532" s="235">
        <v>42717</v>
      </c>
      <c r="B532" s="235" t="s">
        <v>1476</v>
      </c>
      <c r="C532" s="228" t="s">
        <v>6</v>
      </c>
      <c r="D532" s="229">
        <v>3.09</v>
      </c>
    </row>
    <row r="533" spans="1:4" ht="15">
      <c r="A533" s="232">
        <v>429</v>
      </c>
      <c r="B533" s="233" t="s">
        <v>1584</v>
      </c>
      <c r="C533" s="234"/>
      <c r="D533" s="234"/>
    </row>
    <row r="534" spans="1:4" ht="28.5">
      <c r="A534" s="235">
        <v>42906</v>
      </c>
      <c r="B534" s="235" t="s">
        <v>26399</v>
      </c>
      <c r="C534" s="228" t="s">
        <v>7</v>
      </c>
      <c r="D534" s="229">
        <v>6.07</v>
      </c>
    </row>
    <row r="535" spans="1:4" ht="15">
      <c r="A535" s="232">
        <v>430</v>
      </c>
      <c r="B535" s="233" t="s">
        <v>1477</v>
      </c>
      <c r="C535" s="234"/>
      <c r="D535" s="234"/>
    </row>
    <row r="536" spans="1:4" ht="14.25">
      <c r="A536" s="235">
        <v>43004</v>
      </c>
      <c r="B536" s="235" t="s">
        <v>1478</v>
      </c>
      <c r="C536" s="228" t="s">
        <v>6</v>
      </c>
      <c r="D536" s="229">
        <v>1.77</v>
      </c>
    </row>
    <row r="537" spans="1:4" ht="14.25">
      <c r="A537" s="235">
        <v>43005</v>
      </c>
      <c r="B537" s="235" t="s">
        <v>1479</v>
      </c>
      <c r="C537" s="228" t="s">
        <v>6</v>
      </c>
      <c r="D537" s="229">
        <v>2.72</v>
      </c>
    </row>
    <row r="538" spans="1:4" ht="14.25">
      <c r="A538" s="235">
        <v>43006</v>
      </c>
      <c r="B538" s="235" t="s">
        <v>1480</v>
      </c>
      <c r="C538" s="228" t="s">
        <v>6</v>
      </c>
      <c r="D538" s="229">
        <v>4.84</v>
      </c>
    </row>
    <row r="539" spans="1:4" ht="14.25">
      <c r="A539" s="235">
        <v>43007</v>
      </c>
      <c r="B539" s="235" t="s">
        <v>1481</v>
      </c>
      <c r="C539" s="228" t="s">
        <v>6</v>
      </c>
      <c r="D539" s="229">
        <v>7.17</v>
      </c>
    </row>
    <row r="540" spans="1:4" ht="14.25">
      <c r="A540" s="235">
        <v>43009</v>
      </c>
      <c r="B540" s="235" t="s">
        <v>1482</v>
      </c>
      <c r="C540" s="228" t="s">
        <v>6</v>
      </c>
      <c r="D540" s="229">
        <v>115.54</v>
      </c>
    </row>
    <row r="541" spans="1:4" ht="14.25">
      <c r="A541" s="235">
        <v>43015</v>
      </c>
      <c r="B541" s="235" t="s">
        <v>1483</v>
      </c>
      <c r="C541" s="228" t="s">
        <v>6</v>
      </c>
      <c r="D541" s="229">
        <v>19.579999999999998</v>
      </c>
    </row>
    <row r="542" spans="1:4" ht="14.25">
      <c r="A542" s="235">
        <v>43016</v>
      </c>
      <c r="B542" s="235" t="s">
        <v>1484</v>
      </c>
      <c r="C542" s="228" t="s">
        <v>6</v>
      </c>
      <c r="D542" s="229">
        <v>29.1</v>
      </c>
    </row>
    <row r="543" spans="1:4" ht="14.25">
      <c r="A543" s="235">
        <v>43023</v>
      </c>
      <c r="B543" s="235" t="s">
        <v>1485</v>
      </c>
      <c r="C543" s="228" t="s">
        <v>6</v>
      </c>
      <c r="D543" s="229">
        <v>221.65</v>
      </c>
    </row>
    <row r="544" spans="1:4" ht="28.5">
      <c r="A544" s="235">
        <v>43036</v>
      </c>
      <c r="B544" s="235" t="s">
        <v>26400</v>
      </c>
      <c r="C544" s="228" t="s">
        <v>6</v>
      </c>
      <c r="D544" s="229">
        <v>12.03</v>
      </c>
    </row>
    <row r="545" spans="1:4" ht="28.5">
      <c r="A545" s="235">
        <v>43038</v>
      </c>
      <c r="B545" s="235" t="s">
        <v>26401</v>
      </c>
      <c r="C545" s="228" t="s">
        <v>6</v>
      </c>
      <c r="D545" s="229">
        <v>25.63</v>
      </c>
    </row>
    <row r="546" spans="1:4" ht="28.5">
      <c r="A546" s="235">
        <v>43039</v>
      </c>
      <c r="B546" s="235" t="s">
        <v>26402</v>
      </c>
      <c r="C546" s="228" t="s">
        <v>6</v>
      </c>
      <c r="D546" s="229">
        <v>13.66</v>
      </c>
    </row>
    <row r="547" spans="1:4" ht="28.5">
      <c r="A547" s="235">
        <v>43040</v>
      </c>
      <c r="B547" s="235" t="s">
        <v>26403</v>
      </c>
      <c r="C547" s="228" t="s">
        <v>6</v>
      </c>
      <c r="D547" s="229">
        <v>34.97</v>
      </c>
    </row>
    <row r="548" spans="1:4" ht="28.5">
      <c r="A548" s="235">
        <v>43041</v>
      </c>
      <c r="B548" s="235" t="s">
        <v>26404</v>
      </c>
      <c r="C548" s="228" t="s">
        <v>6</v>
      </c>
      <c r="D548" s="229">
        <v>47.51</v>
      </c>
    </row>
    <row r="549" spans="1:4" ht="28.5">
      <c r="A549" s="235">
        <v>43044</v>
      </c>
      <c r="B549" s="235" t="s">
        <v>26405</v>
      </c>
      <c r="C549" s="228" t="s">
        <v>6</v>
      </c>
      <c r="D549" s="229">
        <v>67.44</v>
      </c>
    </row>
    <row r="550" spans="1:4" ht="14.25">
      <c r="A550" s="235">
        <v>43055</v>
      </c>
      <c r="B550" s="235" t="s">
        <v>1486</v>
      </c>
      <c r="C550" s="228" t="s">
        <v>6</v>
      </c>
      <c r="D550" s="229">
        <v>24.52</v>
      </c>
    </row>
    <row r="551" spans="1:4" ht="14.25">
      <c r="A551" s="235">
        <v>43059</v>
      </c>
      <c r="B551" s="235" t="s">
        <v>1487</v>
      </c>
      <c r="C551" s="228" t="s">
        <v>6</v>
      </c>
      <c r="D551" s="229">
        <v>19.34</v>
      </c>
    </row>
    <row r="552" spans="1:4" ht="15">
      <c r="A552" s="232">
        <v>431</v>
      </c>
      <c r="B552" s="233" t="s">
        <v>1488</v>
      </c>
      <c r="C552" s="234"/>
      <c r="D552" s="234"/>
    </row>
    <row r="553" spans="1:4" ht="14.25">
      <c r="A553" s="235">
        <v>43113</v>
      </c>
      <c r="B553" s="235" t="s">
        <v>1489</v>
      </c>
      <c r="C553" s="228" t="s">
        <v>6</v>
      </c>
      <c r="D553" s="229">
        <v>80.010000000000005</v>
      </c>
    </row>
    <row r="554" spans="1:4" ht="14.25">
      <c r="A554" s="235">
        <v>43127</v>
      </c>
      <c r="B554" s="235" t="s">
        <v>1490</v>
      </c>
      <c r="C554" s="228" t="s">
        <v>6</v>
      </c>
      <c r="D554" s="229">
        <v>2.88</v>
      </c>
    </row>
    <row r="555" spans="1:4" ht="14.25">
      <c r="A555" s="235">
        <v>43137</v>
      </c>
      <c r="B555" s="235" t="s">
        <v>1491</v>
      </c>
      <c r="C555" s="228" t="s">
        <v>6</v>
      </c>
      <c r="D555" s="229">
        <v>85.53</v>
      </c>
    </row>
    <row r="556" spans="1:4" ht="14.25">
      <c r="A556" s="235">
        <v>43149</v>
      </c>
      <c r="B556" s="235" t="s">
        <v>1492</v>
      </c>
      <c r="C556" s="228" t="s">
        <v>6</v>
      </c>
      <c r="D556" s="229">
        <v>22.2</v>
      </c>
    </row>
    <row r="557" spans="1:4" ht="14.25">
      <c r="A557" s="235">
        <v>43150</v>
      </c>
      <c r="B557" s="235" t="s">
        <v>1493</v>
      </c>
      <c r="C557" s="228" t="s">
        <v>6</v>
      </c>
      <c r="D557" s="229">
        <v>83.87</v>
      </c>
    </row>
    <row r="558" spans="1:4" ht="14.25">
      <c r="A558" s="235">
        <v>43160</v>
      </c>
      <c r="B558" s="235" t="s">
        <v>1494</v>
      </c>
      <c r="C558" s="228" t="s">
        <v>6</v>
      </c>
      <c r="D558" s="229">
        <v>29.22</v>
      </c>
    </row>
    <row r="559" spans="1:4" ht="14.25">
      <c r="A559" s="235">
        <v>43174</v>
      </c>
      <c r="B559" s="235" t="s">
        <v>1495</v>
      </c>
      <c r="C559" s="228" t="s">
        <v>6</v>
      </c>
      <c r="D559" s="229">
        <v>43.43</v>
      </c>
    </row>
    <row r="560" spans="1:4" ht="14.25">
      <c r="A560" s="235">
        <v>43175</v>
      </c>
      <c r="B560" s="235" t="s">
        <v>1496</v>
      </c>
      <c r="C560" s="228" t="s">
        <v>6</v>
      </c>
      <c r="D560" s="229">
        <v>7.72</v>
      </c>
    </row>
    <row r="561" spans="1:4" ht="14.25">
      <c r="A561" s="235">
        <v>43180</v>
      </c>
      <c r="B561" s="235" t="s">
        <v>1497</v>
      </c>
      <c r="C561" s="228" t="s">
        <v>6</v>
      </c>
      <c r="D561" s="229">
        <v>12.44</v>
      </c>
    </row>
    <row r="562" spans="1:4" ht="28.5">
      <c r="A562" s="235">
        <v>43188</v>
      </c>
      <c r="B562" s="235" t="s">
        <v>26406</v>
      </c>
      <c r="C562" s="228" t="s">
        <v>6</v>
      </c>
      <c r="D562" s="229">
        <v>16.850000000000001</v>
      </c>
    </row>
    <row r="563" spans="1:4" ht="14.25">
      <c r="A563" s="235">
        <v>43190</v>
      </c>
      <c r="B563" s="235" t="s">
        <v>1498</v>
      </c>
      <c r="C563" s="228" t="s">
        <v>6</v>
      </c>
      <c r="D563" s="229">
        <v>59.97</v>
      </c>
    </row>
    <row r="564" spans="1:4" ht="14.25">
      <c r="A564" s="235">
        <v>43193</v>
      </c>
      <c r="B564" s="235" t="s">
        <v>1499</v>
      </c>
      <c r="C564" s="228" t="s">
        <v>6</v>
      </c>
      <c r="D564" s="229">
        <v>11.53</v>
      </c>
    </row>
    <row r="565" spans="1:4" ht="14.25">
      <c r="A565" s="235">
        <v>43194</v>
      </c>
      <c r="B565" s="235" t="s">
        <v>1500</v>
      </c>
      <c r="C565" s="228" t="s">
        <v>6</v>
      </c>
      <c r="D565" s="229">
        <v>291.52</v>
      </c>
    </row>
    <row r="566" spans="1:4" ht="14.25">
      <c r="A566" s="235">
        <v>43199</v>
      </c>
      <c r="B566" s="235" t="s">
        <v>1501</v>
      </c>
      <c r="C566" s="228" t="s">
        <v>6</v>
      </c>
      <c r="D566" s="229">
        <v>180.7</v>
      </c>
    </row>
    <row r="567" spans="1:4" ht="15">
      <c r="A567" s="232">
        <v>432</v>
      </c>
      <c r="B567" s="233" t="s">
        <v>1488</v>
      </c>
      <c r="C567" s="234"/>
      <c r="D567" s="234"/>
    </row>
    <row r="568" spans="1:4" ht="28.5">
      <c r="A568" s="235">
        <v>43204</v>
      </c>
      <c r="B568" s="235" t="s">
        <v>1502</v>
      </c>
      <c r="C568" s="228" t="s">
        <v>6</v>
      </c>
      <c r="D568" s="229">
        <v>93.26</v>
      </c>
    </row>
    <row r="569" spans="1:4" ht="14.25">
      <c r="A569" s="235">
        <v>43205</v>
      </c>
      <c r="B569" s="235" t="s">
        <v>1503</v>
      </c>
      <c r="C569" s="228" t="s">
        <v>6</v>
      </c>
      <c r="D569" s="229">
        <v>3.63</v>
      </c>
    </row>
    <row r="570" spans="1:4" ht="14.25">
      <c r="A570" s="235">
        <v>43206</v>
      </c>
      <c r="B570" s="235" t="s">
        <v>1504</v>
      </c>
      <c r="C570" s="228" t="s">
        <v>6</v>
      </c>
      <c r="D570" s="229">
        <v>5.62</v>
      </c>
    </row>
    <row r="571" spans="1:4" ht="14.25">
      <c r="A571" s="235">
        <v>43236</v>
      </c>
      <c r="B571" s="235" t="s">
        <v>1505</v>
      </c>
      <c r="C571" s="228" t="s">
        <v>6</v>
      </c>
      <c r="D571" s="229">
        <v>145.91</v>
      </c>
    </row>
    <row r="572" spans="1:4" ht="14.25">
      <c r="A572" s="235">
        <v>43243</v>
      </c>
      <c r="B572" s="235" t="s">
        <v>1506</v>
      </c>
      <c r="C572" s="228" t="s">
        <v>8</v>
      </c>
      <c r="D572" s="229">
        <v>115.4</v>
      </c>
    </row>
    <row r="573" spans="1:4" ht="14.25">
      <c r="A573" s="235">
        <v>43253</v>
      </c>
      <c r="B573" s="235" t="s">
        <v>1507</v>
      </c>
      <c r="C573" s="228" t="s">
        <v>6</v>
      </c>
      <c r="D573" s="229">
        <v>387.42</v>
      </c>
    </row>
    <row r="574" spans="1:4" ht="15">
      <c r="A574" s="232">
        <v>434</v>
      </c>
      <c r="B574" s="233" t="s">
        <v>1508</v>
      </c>
      <c r="C574" s="234"/>
      <c r="D574" s="234"/>
    </row>
    <row r="575" spans="1:4" ht="28.5">
      <c r="A575" s="235">
        <v>43406</v>
      </c>
      <c r="B575" s="235" t="s">
        <v>26407</v>
      </c>
      <c r="C575" s="228" t="s">
        <v>6</v>
      </c>
      <c r="D575" s="229">
        <v>8.06</v>
      </c>
    </row>
    <row r="576" spans="1:4" ht="14.25">
      <c r="A576" s="235">
        <v>43441</v>
      </c>
      <c r="B576" s="235" t="s">
        <v>1509</v>
      </c>
      <c r="C576" s="228" t="s">
        <v>6</v>
      </c>
      <c r="D576" s="229">
        <v>1.86</v>
      </c>
    </row>
    <row r="577" spans="1:4" ht="28.5">
      <c r="A577" s="235">
        <v>43496</v>
      </c>
      <c r="B577" s="235" t="s">
        <v>26408</v>
      </c>
      <c r="C577" s="228" t="s">
        <v>6</v>
      </c>
      <c r="D577" s="229">
        <v>11.14</v>
      </c>
    </row>
    <row r="578" spans="1:4" ht="15">
      <c r="A578" s="232">
        <v>435</v>
      </c>
      <c r="B578" s="233" t="s">
        <v>15</v>
      </c>
      <c r="C578" s="234"/>
      <c r="D578" s="234"/>
    </row>
    <row r="579" spans="1:4" ht="28.5">
      <c r="A579" s="235">
        <v>43540</v>
      </c>
      <c r="B579" s="235" t="s">
        <v>1510</v>
      </c>
      <c r="C579" s="228" t="s">
        <v>7</v>
      </c>
      <c r="D579" s="231">
        <v>3608.25</v>
      </c>
    </row>
    <row r="580" spans="1:4" ht="14.25">
      <c r="A580" s="235">
        <v>43585</v>
      </c>
      <c r="B580" s="235" t="s">
        <v>1511</v>
      </c>
      <c r="C580" s="228" t="s">
        <v>7</v>
      </c>
      <c r="D580" s="231">
        <v>3421.5</v>
      </c>
    </row>
    <row r="581" spans="1:4" ht="14.25">
      <c r="A581" s="235">
        <v>43587</v>
      </c>
      <c r="B581" s="235" t="s">
        <v>1512</v>
      </c>
      <c r="C581" s="228" t="s">
        <v>7</v>
      </c>
      <c r="D581" s="231">
        <v>4563.0600000000004</v>
      </c>
    </row>
    <row r="582" spans="1:4" ht="28.5">
      <c r="A582" s="235">
        <v>43591</v>
      </c>
      <c r="B582" s="235" t="s">
        <v>1513</v>
      </c>
      <c r="C582" s="228" t="s">
        <v>7</v>
      </c>
      <c r="D582" s="231">
        <v>4803.0600000000004</v>
      </c>
    </row>
    <row r="583" spans="1:4" ht="14.25">
      <c r="A583" s="235">
        <v>43593</v>
      </c>
      <c r="B583" s="235" t="s">
        <v>1514</v>
      </c>
      <c r="C583" s="228" t="s">
        <v>7</v>
      </c>
      <c r="D583" s="231">
        <v>4384.2</v>
      </c>
    </row>
    <row r="584" spans="1:4" ht="15">
      <c r="A584" s="232">
        <v>436</v>
      </c>
      <c r="B584" s="233" t="s">
        <v>1515</v>
      </c>
      <c r="C584" s="234"/>
      <c r="D584" s="234"/>
    </row>
    <row r="585" spans="1:4" ht="14.25">
      <c r="A585" s="235">
        <v>43620</v>
      </c>
      <c r="B585" s="235" t="s">
        <v>1516</v>
      </c>
      <c r="C585" s="228" t="s">
        <v>7</v>
      </c>
      <c r="D585" s="229">
        <v>288.87</v>
      </c>
    </row>
    <row r="586" spans="1:4" ht="14.25">
      <c r="A586" s="235">
        <v>43627</v>
      </c>
      <c r="B586" s="235" t="s">
        <v>1517</v>
      </c>
      <c r="C586" s="228" t="s">
        <v>7</v>
      </c>
      <c r="D586" s="231">
        <v>2299.87</v>
      </c>
    </row>
    <row r="587" spans="1:4" ht="28.5">
      <c r="A587" s="235">
        <v>43648</v>
      </c>
      <c r="B587" s="235" t="s">
        <v>1518</v>
      </c>
      <c r="C587" s="228" t="s">
        <v>7</v>
      </c>
      <c r="D587" s="231">
        <v>10041.65</v>
      </c>
    </row>
    <row r="588" spans="1:4" ht="14.25">
      <c r="A588" s="235">
        <v>43657</v>
      </c>
      <c r="B588" s="235" t="s">
        <v>1519</v>
      </c>
      <c r="C588" s="228" t="s">
        <v>7</v>
      </c>
      <c r="D588" s="231">
        <v>8751.65</v>
      </c>
    </row>
    <row r="589" spans="1:4" ht="15">
      <c r="A589" s="232">
        <v>437</v>
      </c>
      <c r="B589" s="233" t="s">
        <v>1230</v>
      </c>
      <c r="C589" s="234"/>
      <c r="D589" s="234"/>
    </row>
    <row r="590" spans="1:4" ht="14.25">
      <c r="A590" s="235">
        <v>43702</v>
      </c>
      <c r="B590" s="235" t="s">
        <v>1520</v>
      </c>
      <c r="C590" s="228" t="s">
        <v>7</v>
      </c>
      <c r="D590" s="229">
        <v>6.5</v>
      </c>
    </row>
    <row r="591" spans="1:4" ht="28.5">
      <c r="A591" s="235">
        <v>43792</v>
      </c>
      <c r="B591" s="235" t="s">
        <v>1521</v>
      </c>
      <c r="C591" s="228" t="s">
        <v>7</v>
      </c>
      <c r="D591" s="229">
        <v>10.26</v>
      </c>
    </row>
    <row r="592" spans="1:4" ht="28.5">
      <c r="A592" s="235">
        <v>43795</v>
      </c>
      <c r="B592" s="235" t="s">
        <v>1522</v>
      </c>
      <c r="C592" s="228" t="s">
        <v>7</v>
      </c>
      <c r="D592" s="229">
        <v>7.36</v>
      </c>
    </row>
    <row r="593" spans="1:4" ht="15">
      <c r="A593" s="232">
        <v>438</v>
      </c>
      <c r="B593" s="233" t="s">
        <v>1432</v>
      </c>
      <c r="C593" s="234"/>
      <c r="D593" s="234"/>
    </row>
    <row r="594" spans="1:4" ht="28.5">
      <c r="A594" s="235">
        <v>43807</v>
      </c>
      <c r="B594" s="235" t="s">
        <v>1523</v>
      </c>
      <c r="C594" s="228" t="s">
        <v>7</v>
      </c>
      <c r="D594" s="231">
        <v>1050.45</v>
      </c>
    </row>
    <row r="595" spans="1:4" ht="28.5">
      <c r="A595" s="235">
        <v>43835</v>
      </c>
      <c r="B595" s="235" t="s">
        <v>1524</v>
      </c>
      <c r="C595" s="228" t="s">
        <v>7</v>
      </c>
      <c r="D595" s="229">
        <v>56.1</v>
      </c>
    </row>
    <row r="596" spans="1:4" ht="28.5">
      <c r="A596" s="235">
        <v>43836</v>
      </c>
      <c r="B596" s="235" t="s">
        <v>1525</v>
      </c>
      <c r="C596" s="228" t="s">
        <v>7</v>
      </c>
      <c r="D596" s="229">
        <v>178</v>
      </c>
    </row>
    <row r="597" spans="1:4" ht="28.5">
      <c r="A597" s="235">
        <v>43837</v>
      </c>
      <c r="B597" s="235" t="s">
        <v>1526</v>
      </c>
      <c r="C597" s="228" t="s">
        <v>7</v>
      </c>
      <c r="D597" s="229">
        <v>753.52</v>
      </c>
    </row>
    <row r="598" spans="1:4" ht="28.5">
      <c r="A598" s="235">
        <v>43838</v>
      </c>
      <c r="B598" s="235" t="s">
        <v>1527</v>
      </c>
      <c r="C598" s="228" t="s">
        <v>7</v>
      </c>
      <c r="D598" s="229">
        <v>753.52</v>
      </c>
    </row>
    <row r="599" spans="1:4" ht="15">
      <c r="A599" s="232">
        <v>440</v>
      </c>
      <c r="B599" s="233" t="s">
        <v>1528</v>
      </c>
      <c r="C599" s="234"/>
      <c r="D599" s="234"/>
    </row>
    <row r="600" spans="1:4" ht="14.25">
      <c r="A600" s="235">
        <v>44014</v>
      </c>
      <c r="B600" s="235" t="s">
        <v>1529</v>
      </c>
      <c r="C600" s="228" t="s">
        <v>7</v>
      </c>
      <c r="D600" s="229">
        <v>44.19</v>
      </c>
    </row>
    <row r="601" spans="1:4" ht="14.25">
      <c r="A601" s="235">
        <v>44034</v>
      </c>
      <c r="B601" s="235" t="s">
        <v>1530</v>
      </c>
      <c r="C601" s="228" t="s">
        <v>7</v>
      </c>
      <c r="D601" s="229">
        <v>44.19</v>
      </c>
    </row>
    <row r="602" spans="1:4" ht="14.25">
      <c r="A602" s="235">
        <v>44059</v>
      </c>
      <c r="B602" s="235" t="s">
        <v>1531</v>
      </c>
      <c r="C602" s="228" t="s">
        <v>7</v>
      </c>
      <c r="D602" s="229">
        <v>44.19</v>
      </c>
    </row>
    <row r="603" spans="1:4" ht="14.25">
      <c r="A603" s="235">
        <v>44097</v>
      </c>
      <c r="B603" s="235" t="s">
        <v>1532</v>
      </c>
      <c r="C603" s="228" t="s">
        <v>7</v>
      </c>
      <c r="D603" s="229">
        <v>92</v>
      </c>
    </row>
    <row r="604" spans="1:4" ht="15">
      <c r="A604" s="232">
        <v>441</v>
      </c>
      <c r="B604" s="233" t="s">
        <v>1533</v>
      </c>
      <c r="C604" s="234"/>
      <c r="D604" s="234"/>
    </row>
    <row r="605" spans="1:4" ht="14.25">
      <c r="A605" s="235">
        <v>44112</v>
      </c>
      <c r="B605" s="235" t="s">
        <v>1534</v>
      </c>
      <c r="C605" s="228" t="s">
        <v>7</v>
      </c>
      <c r="D605" s="229">
        <v>92</v>
      </c>
    </row>
    <row r="606" spans="1:4" ht="14.25">
      <c r="A606" s="235">
        <v>44128</v>
      </c>
      <c r="B606" s="235" t="s">
        <v>1535</v>
      </c>
      <c r="C606" s="228" t="s">
        <v>7</v>
      </c>
      <c r="D606" s="229">
        <v>92</v>
      </c>
    </row>
    <row r="607" spans="1:4" ht="15">
      <c r="A607" s="232">
        <v>444</v>
      </c>
      <c r="B607" s="233" t="s">
        <v>1536</v>
      </c>
      <c r="C607" s="234"/>
      <c r="D607" s="234"/>
    </row>
    <row r="608" spans="1:4" ht="14.25">
      <c r="A608" s="235">
        <v>44481</v>
      </c>
      <c r="B608" s="235" t="s">
        <v>1537</v>
      </c>
      <c r="C608" s="228" t="s">
        <v>7</v>
      </c>
      <c r="D608" s="231">
        <v>1267.1300000000001</v>
      </c>
    </row>
    <row r="609" spans="1:4" ht="15">
      <c r="A609" s="232">
        <v>445</v>
      </c>
      <c r="B609" s="233" t="s">
        <v>13</v>
      </c>
      <c r="C609" s="234"/>
      <c r="D609" s="234"/>
    </row>
    <row r="610" spans="1:4" ht="14.25">
      <c r="A610" s="235">
        <v>44505</v>
      </c>
      <c r="B610" s="235" t="s">
        <v>1538</v>
      </c>
      <c r="C610" s="228" t="s">
        <v>7</v>
      </c>
      <c r="D610" s="229">
        <v>36.53</v>
      </c>
    </row>
    <row r="611" spans="1:4" ht="14.25">
      <c r="A611" s="235">
        <v>44508</v>
      </c>
      <c r="B611" s="235" t="s">
        <v>1539</v>
      </c>
      <c r="C611" s="228" t="s">
        <v>7</v>
      </c>
      <c r="D611" s="229">
        <v>36.53</v>
      </c>
    </row>
    <row r="612" spans="1:4" ht="14.25">
      <c r="A612" s="235">
        <v>44530</v>
      </c>
      <c r="B612" s="235" t="s">
        <v>1540</v>
      </c>
      <c r="C612" s="228" t="s">
        <v>7</v>
      </c>
      <c r="D612" s="229">
        <v>172.14</v>
      </c>
    </row>
    <row r="613" spans="1:4" ht="14.25">
      <c r="A613" s="235">
        <v>44552</v>
      </c>
      <c r="B613" s="235" t="s">
        <v>1541</v>
      </c>
      <c r="C613" s="228" t="s">
        <v>7</v>
      </c>
      <c r="D613" s="229">
        <v>36.53</v>
      </c>
    </row>
    <row r="614" spans="1:4" ht="28.5">
      <c r="A614" s="235">
        <v>44561</v>
      </c>
      <c r="B614" s="235" t="s">
        <v>1542</v>
      </c>
      <c r="C614" s="228" t="s">
        <v>7</v>
      </c>
      <c r="D614" s="229">
        <v>384.83</v>
      </c>
    </row>
    <row r="615" spans="1:4" ht="14.25">
      <c r="A615" s="235">
        <v>44562</v>
      </c>
      <c r="B615" s="235" t="s">
        <v>1543</v>
      </c>
      <c r="C615" s="228" t="s">
        <v>7</v>
      </c>
      <c r="D615" s="229">
        <v>140.4</v>
      </c>
    </row>
    <row r="616" spans="1:4" ht="14.25">
      <c r="A616" s="235">
        <v>44575</v>
      </c>
      <c r="B616" s="235" t="s">
        <v>1544</v>
      </c>
      <c r="C616" s="228" t="s">
        <v>7</v>
      </c>
      <c r="D616" s="229">
        <v>172.14</v>
      </c>
    </row>
    <row r="617" spans="1:4" ht="28.5">
      <c r="A617" s="235">
        <v>44582</v>
      </c>
      <c r="B617" s="235" t="s">
        <v>1545</v>
      </c>
      <c r="C617" s="228" t="s">
        <v>7</v>
      </c>
      <c r="D617" s="229">
        <v>400.07</v>
      </c>
    </row>
    <row r="618" spans="1:4" ht="15">
      <c r="A618" s="232">
        <v>446</v>
      </c>
      <c r="B618" s="233" t="s">
        <v>1536</v>
      </c>
      <c r="C618" s="234"/>
      <c r="D618" s="234"/>
    </row>
    <row r="619" spans="1:4" ht="14.25">
      <c r="A619" s="235">
        <v>44618</v>
      </c>
      <c r="B619" s="235" t="s">
        <v>1546</v>
      </c>
      <c r="C619" s="228" t="s">
        <v>7</v>
      </c>
      <c r="D619" s="229">
        <v>176.65</v>
      </c>
    </row>
    <row r="620" spans="1:4" ht="28.5">
      <c r="A620" s="235">
        <v>44659</v>
      </c>
      <c r="B620" s="235" t="s">
        <v>1547</v>
      </c>
      <c r="C620" s="228" t="s">
        <v>7</v>
      </c>
      <c r="D620" s="229">
        <v>10.62</v>
      </c>
    </row>
    <row r="621" spans="1:4" ht="28.5">
      <c r="A621" s="235">
        <v>44660</v>
      </c>
      <c r="B621" s="235" t="s">
        <v>1548</v>
      </c>
      <c r="C621" s="228" t="s">
        <v>7</v>
      </c>
      <c r="D621" s="229">
        <v>10.62</v>
      </c>
    </row>
    <row r="622" spans="1:4" ht="28.5">
      <c r="A622" s="235">
        <v>44661</v>
      </c>
      <c r="B622" s="235" t="s">
        <v>1549</v>
      </c>
      <c r="C622" s="228" t="s">
        <v>7</v>
      </c>
      <c r="D622" s="229">
        <v>10.62</v>
      </c>
    </row>
    <row r="623" spans="1:4" ht="28.5">
      <c r="A623" s="235">
        <v>44662</v>
      </c>
      <c r="B623" s="235" t="s">
        <v>1550</v>
      </c>
      <c r="C623" s="228" t="s">
        <v>7</v>
      </c>
      <c r="D623" s="229">
        <v>10.62</v>
      </c>
    </row>
    <row r="624" spans="1:4" ht="28.5">
      <c r="A624" s="235">
        <v>44663</v>
      </c>
      <c r="B624" s="235" t="s">
        <v>1551</v>
      </c>
      <c r="C624" s="228" t="s">
        <v>7</v>
      </c>
      <c r="D624" s="229">
        <v>13.04</v>
      </c>
    </row>
    <row r="625" spans="1:4" ht="14.25">
      <c r="A625" s="235">
        <v>44664</v>
      </c>
      <c r="B625" s="235" t="s">
        <v>1552</v>
      </c>
      <c r="C625" s="228" t="s">
        <v>7</v>
      </c>
      <c r="D625" s="229">
        <v>36.97</v>
      </c>
    </row>
    <row r="626" spans="1:4" ht="14.25">
      <c r="A626" s="235">
        <v>44665</v>
      </c>
      <c r="B626" s="235" t="s">
        <v>1553</v>
      </c>
      <c r="C626" s="228" t="s">
        <v>7</v>
      </c>
      <c r="D626" s="229">
        <v>36.97</v>
      </c>
    </row>
    <row r="627" spans="1:4" ht="14.25">
      <c r="A627" s="235">
        <v>44666</v>
      </c>
      <c r="B627" s="235" t="s">
        <v>1554</v>
      </c>
      <c r="C627" s="228" t="s">
        <v>7</v>
      </c>
      <c r="D627" s="229">
        <v>36.97</v>
      </c>
    </row>
    <row r="628" spans="1:4" ht="14.25">
      <c r="A628" s="235">
        <v>44667</v>
      </c>
      <c r="B628" s="235" t="s">
        <v>1555</v>
      </c>
      <c r="C628" s="228" t="s">
        <v>7</v>
      </c>
      <c r="D628" s="229">
        <v>36.97</v>
      </c>
    </row>
    <row r="629" spans="1:4" ht="14.25">
      <c r="A629" s="235">
        <v>44668</v>
      </c>
      <c r="B629" s="235" t="s">
        <v>1556</v>
      </c>
      <c r="C629" s="228" t="s">
        <v>7</v>
      </c>
      <c r="D629" s="229">
        <v>48.32</v>
      </c>
    </row>
    <row r="630" spans="1:4" ht="14.25">
      <c r="A630" s="235">
        <v>44669</v>
      </c>
      <c r="B630" s="235" t="s">
        <v>1557</v>
      </c>
      <c r="C630" s="228" t="s">
        <v>7</v>
      </c>
      <c r="D630" s="229">
        <v>49.22</v>
      </c>
    </row>
    <row r="631" spans="1:4" ht="14.25">
      <c r="A631" s="235">
        <v>44670</v>
      </c>
      <c r="B631" s="235" t="s">
        <v>1558</v>
      </c>
      <c r="C631" s="228" t="s">
        <v>7</v>
      </c>
      <c r="D631" s="229">
        <v>48.89</v>
      </c>
    </row>
    <row r="632" spans="1:4" ht="14.25">
      <c r="A632" s="235">
        <v>44671</v>
      </c>
      <c r="B632" s="235" t="s">
        <v>1559</v>
      </c>
      <c r="C632" s="228" t="s">
        <v>7</v>
      </c>
      <c r="D632" s="229">
        <v>48.89</v>
      </c>
    </row>
    <row r="633" spans="1:4" ht="14.25">
      <c r="A633" s="235">
        <v>44672</v>
      </c>
      <c r="B633" s="235" t="s">
        <v>1560</v>
      </c>
      <c r="C633" s="228" t="s">
        <v>7</v>
      </c>
      <c r="D633" s="229">
        <v>48.89</v>
      </c>
    </row>
    <row r="634" spans="1:4" ht="14.25">
      <c r="A634" s="235">
        <v>44673</v>
      </c>
      <c r="B634" s="235" t="s">
        <v>1561</v>
      </c>
      <c r="C634" s="228" t="s">
        <v>7</v>
      </c>
      <c r="D634" s="229">
        <v>48.89</v>
      </c>
    </row>
    <row r="635" spans="1:4" ht="14.25">
      <c r="A635" s="235">
        <v>44674</v>
      </c>
      <c r="B635" s="235" t="s">
        <v>1562</v>
      </c>
      <c r="C635" s="228" t="s">
        <v>7</v>
      </c>
      <c r="D635" s="229">
        <v>58.07</v>
      </c>
    </row>
    <row r="636" spans="1:4" ht="14.25">
      <c r="A636" s="235">
        <v>44675</v>
      </c>
      <c r="B636" s="235" t="s">
        <v>1563</v>
      </c>
      <c r="C636" s="228" t="s">
        <v>7</v>
      </c>
      <c r="D636" s="229">
        <v>58.36</v>
      </c>
    </row>
    <row r="637" spans="1:4" ht="14.25">
      <c r="A637" s="235">
        <v>44676</v>
      </c>
      <c r="B637" s="235" t="s">
        <v>1564</v>
      </c>
      <c r="C637" s="228" t="s">
        <v>7</v>
      </c>
      <c r="D637" s="229">
        <v>116.34</v>
      </c>
    </row>
    <row r="638" spans="1:4" ht="15">
      <c r="A638" s="232">
        <v>447</v>
      </c>
      <c r="B638" s="233" t="s">
        <v>1536</v>
      </c>
      <c r="C638" s="234"/>
      <c r="D638" s="234"/>
    </row>
    <row r="639" spans="1:4" ht="14.25">
      <c r="A639" s="235">
        <v>44711</v>
      </c>
      <c r="B639" s="235" t="s">
        <v>1565</v>
      </c>
      <c r="C639" s="228" t="s">
        <v>7</v>
      </c>
      <c r="D639" s="229">
        <v>140.4</v>
      </c>
    </row>
    <row r="640" spans="1:4" ht="14.25">
      <c r="A640" s="235">
        <v>44712</v>
      </c>
      <c r="B640" s="235" t="s">
        <v>1566</v>
      </c>
      <c r="C640" s="228" t="s">
        <v>7</v>
      </c>
      <c r="D640" s="229">
        <v>115.66</v>
      </c>
    </row>
    <row r="641" spans="1:4" ht="28.5">
      <c r="A641" s="235">
        <v>44715</v>
      </c>
      <c r="B641" s="235" t="s">
        <v>1567</v>
      </c>
      <c r="C641" s="228" t="s">
        <v>7</v>
      </c>
      <c r="D641" s="229">
        <v>10.62</v>
      </c>
    </row>
    <row r="642" spans="1:4" ht="28.5">
      <c r="A642" s="235">
        <v>44735</v>
      </c>
      <c r="B642" s="235" t="s">
        <v>1568</v>
      </c>
      <c r="C642" s="228" t="s">
        <v>7</v>
      </c>
      <c r="D642" s="229">
        <v>109.99</v>
      </c>
    </row>
    <row r="643" spans="1:4" ht="28.5">
      <c r="A643" s="235">
        <v>44736</v>
      </c>
      <c r="B643" s="235" t="s">
        <v>1569</v>
      </c>
      <c r="C643" s="228" t="s">
        <v>7</v>
      </c>
      <c r="D643" s="229">
        <v>122.68</v>
      </c>
    </row>
    <row r="644" spans="1:4" ht="28.5">
      <c r="A644" s="235">
        <v>44740</v>
      </c>
      <c r="B644" s="235" t="s">
        <v>1570</v>
      </c>
      <c r="C644" s="228" t="s">
        <v>7</v>
      </c>
      <c r="D644" s="229">
        <v>16.57</v>
      </c>
    </row>
    <row r="645" spans="1:4" ht="28.5">
      <c r="A645" s="235">
        <v>44760</v>
      </c>
      <c r="B645" s="235" t="s">
        <v>1571</v>
      </c>
      <c r="C645" s="228" t="s">
        <v>7</v>
      </c>
      <c r="D645" s="229">
        <v>35.99</v>
      </c>
    </row>
    <row r="646" spans="1:4" ht="28.5">
      <c r="A646" s="235">
        <v>44781</v>
      </c>
      <c r="B646" s="235" t="s">
        <v>1572</v>
      </c>
      <c r="C646" s="228" t="s">
        <v>7</v>
      </c>
      <c r="D646" s="229">
        <v>13.26</v>
      </c>
    </row>
    <row r="647" spans="1:4" ht="28.5">
      <c r="A647" s="235">
        <v>44783</v>
      </c>
      <c r="B647" s="235" t="s">
        <v>1573</v>
      </c>
      <c r="C647" s="228" t="s">
        <v>7</v>
      </c>
      <c r="D647" s="229">
        <v>435.32</v>
      </c>
    </row>
    <row r="648" spans="1:4" ht="28.5">
      <c r="A648" s="235">
        <v>44793</v>
      </c>
      <c r="B648" s="235" t="s">
        <v>1574</v>
      </c>
      <c r="C648" s="228" t="s">
        <v>7</v>
      </c>
      <c r="D648" s="229">
        <v>994.16</v>
      </c>
    </row>
    <row r="649" spans="1:4" ht="15">
      <c r="A649" s="232">
        <v>448</v>
      </c>
      <c r="B649" s="233" t="s">
        <v>1536</v>
      </c>
      <c r="C649" s="234"/>
      <c r="D649" s="234"/>
    </row>
    <row r="650" spans="1:4" ht="28.5">
      <c r="A650" s="235">
        <v>44805</v>
      </c>
      <c r="B650" s="235" t="s">
        <v>1575</v>
      </c>
      <c r="C650" s="228" t="s">
        <v>7</v>
      </c>
      <c r="D650" s="229">
        <v>422.9</v>
      </c>
    </row>
    <row r="651" spans="1:4" ht="28.5">
      <c r="A651" s="235">
        <v>44808</v>
      </c>
      <c r="B651" s="235" t="s">
        <v>1576</v>
      </c>
      <c r="C651" s="228" t="s">
        <v>7</v>
      </c>
      <c r="D651" s="229">
        <v>39.880000000000003</v>
      </c>
    </row>
    <row r="652" spans="1:4" ht="28.5">
      <c r="A652" s="235">
        <v>44833</v>
      </c>
      <c r="B652" s="235" t="s">
        <v>1577</v>
      </c>
      <c r="C652" s="228" t="s">
        <v>7</v>
      </c>
      <c r="D652" s="229">
        <v>16.57</v>
      </c>
    </row>
    <row r="653" spans="1:4" ht="28.5">
      <c r="A653" s="235">
        <v>44851</v>
      </c>
      <c r="B653" s="235" t="s">
        <v>1578</v>
      </c>
      <c r="C653" s="228" t="s">
        <v>7</v>
      </c>
      <c r="D653" s="229">
        <v>30.4</v>
      </c>
    </row>
    <row r="654" spans="1:4" ht="14.25">
      <c r="A654" s="235">
        <v>44852</v>
      </c>
      <c r="B654" s="235" t="s">
        <v>1579</v>
      </c>
      <c r="C654" s="228" t="s">
        <v>7</v>
      </c>
      <c r="D654" s="229">
        <v>69.42</v>
      </c>
    </row>
    <row r="655" spans="1:4" ht="14.25">
      <c r="A655" s="235">
        <v>44871</v>
      </c>
      <c r="B655" s="235" t="s">
        <v>1580</v>
      </c>
      <c r="C655" s="228" t="s">
        <v>7</v>
      </c>
      <c r="D655" s="229">
        <v>72.040000000000006</v>
      </c>
    </row>
    <row r="656" spans="1:4" ht="15">
      <c r="A656" s="232">
        <v>449</v>
      </c>
      <c r="B656" s="233" t="s">
        <v>1581</v>
      </c>
      <c r="C656" s="234"/>
      <c r="D656" s="234"/>
    </row>
    <row r="657" spans="1:4" ht="14.25">
      <c r="A657" s="235">
        <v>44905</v>
      </c>
      <c r="B657" s="235" t="s">
        <v>1582</v>
      </c>
      <c r="C657" s="228" t="s">
        <v>7</v>
      </c>
      <c r="D657" s="229">
        <v>128.22</v>
      </c>
    </row>
    <row r="658" spans="1:4" ht="28.5">
      <c r="A658" s="235">
        <v>44951</v>
      </c>
      <c r="B658" s="235" t="s">
        <v>1583</v>
      </c>
      <c r="C658" s="228" t="s">
        <v>7</v>
      </c>
      <c r="D658" s="229">
        <v>39.880000000000003</v>
      </c>
    </row>
    <row r="659" spans="1:4" ht="15">
      <c r="A659" s="232">
        <v>450</v>
      </c>
      <c r="B659" s="233" t="s">
        <v>1584</v>
      </c>
      <c r="C659" s="234"/>
      <c r="D659" s="234"/>
    </row>
    <row r="660" spans="1:4" ht="14.25">
      <c r="A660" s="235">
        <v>45001</v>
      </c>
      <c r="B660" s="235" t="s">
        <v>1585</v>
      </c>
      <c r="C660" s="228" t="s">
        <v>7</v>
      </c>
      <c r="D660" s="229">
        <v>38.04</v>
      </c>
    </row>
    <row r="661" spans="1:4" ht="14.25">
      <c r="A661" s="235">
        <v>45002</v>
      </c>
      <c r="B661" s="235" t="s">
        <v>1586</v>
      </c>
      <c r="C661" s="228" t="s">
        <v>7</v>
      </c>
      <c r="D661" s="229">
        <v>46.3</v>
      </c>
    </row>
    <row r="662" spans="1:4" ht="28.5">
      <c r="A662" s="235">
        <v>45003</v>
      </c>
      <c r="B662" s="235" t="s">
        <v>1587</v>
      </c>
      <c r="C662" s="228" t="s">
        <v>7</v>
      </c>
      <c r="D662" s="229">
        <v>57.07</v>
      </c>
    </row>
    <row r="663" spans="1:4" ht="28.5">
      <c r="A663" s="235">
        <v>45005</v>
      </c>
      <c r="B663" s="235" t="s">
        <v>1588</v>
      </c>
      <c r="C663" s="228" t="s">
        <v>7</v>
      </c>
      <c r="D663" s="229">
        <v>102.53</v>
      </c>
    </row>
    <row r="664" spans="1:4" ht="28.5">
      <c r="A664" s="235">
        <v>45035</v>
      </c>
      <c r="B664" s="235" t="s">
        <v>1589</v>
      </c>
      <c r="C664" s="228" t="s">
        <v>7</v>
      </c>
      <c r="D664" s="229">
        <v>96.31</v>
      </c>
    </row>
    <row r="665" spans="1:4" ht="28.5">
      <c r="A665" s="235">
        <v>45037</v>
      </c>
      <c r="B665" s="235" t="s">
        <v>1590</v>
      </c>
      <c r="C665" s="228" t="s">
        <v>7</v>
      </c>
      <c r="D665" s="229">
        <v>373.8</v>
      </c>
    </row>
    <row r="666" spans="1:4" ht="14.25">
      <c r="A666" s="235">
        <v>45044</v>
      </c>
      <c r="B666" s="235" t="s">
        <v>1591</v>
      </c>
      <c r="C666" s="228" t="s">
        <v>7</v>
      </c>
      <c r="D666" s="229">
        <v>31.41</v>
      </c>
    </row>
    <row r="667" spans="1:4" ht="14.25">
      <c r="A667" s="235">
        <v>45067</v>
      </c>
      <c r="B667" s="235" t="s">
        <v>26409</v>
      </c>
      <c r="C667" s="228" t="s">
        <v>7</v>
      </c>
      <c r="D667" s="229">
        <v>28.54</v>
      </c>
    </row>
    <row r="668" spans="1:4" ht="15">
      <c r="A668" s="232">
        <v>451</v>
      </c>
      <c r="B668" s="233" t="s">
        <v>1592</v>
      </c>
      <c r="C668" s="234"/>
      <c r="D668" s="234"/>
    </row>
    <row r="669" spans="1:4" ht="14.25">
      <c r="A669" s="235">
        <v>45104</v>
      </c>
      <c r="B669" s="235" t="s">
        <v>26410</v>
      </c>
      <c r="C669" s="228" t="s">
        <v>7</v>
      </c>
      <c r="D669" s="229">
        <v>3.32</v>
      </c>
    </row>
    <row r="670" spans="1:4" ht="15">
      <c r="A670" s="232">
        <v>452</v>
      </c>
      <c r="B670" s="233" t="s">
        <v>1592</v>
      </c>
      <c r="C670" s="234"/>
      <c r="D670" s="234"/>
    </row>
    <row r="671" spans="1:4" ht="28.5">
      <c r="A671" s="235">
        <v>45270</v>
      </c>
      <c r="B671" s="235" t="s">
        <v>26411</v>
      </c>
      <c r="C671" s="228" t="s">
        <v>7</v>
      </c>
      <c r="D671" s="229">
        <v>14.97</v>
      </c>
    </row>
    <row r="672" spans="1:4" ht="15">
      <c r="A672" s="232">
        <v>454</v>
      </c>
      <c r="B672" s="233" t="s">
        <v>1593</v>
      </c>
      <c r="C672" s="234"/>
      <c r="D672" s="234"/>
    </row>
    <row r="673" spans="1:4" ht="14.25">
      <c r="A673" s="235">
        <v>45442</v>
      </c>
      <c r="B673" s="235" t="s">
        <v>1594</v>
      </c>
      <c r="C673" s="228" t="s">
        <v>7</v>
      </c>
      <c r="D673" s="231">
        <v>3530.58</v>
      </c>
    </row>
    <row r="674" spans="1:4" ht="15">
      <c r="A674" s="232">
        <v>455</v>
      </c>
      <c r="B674" s="233" t="s">
        <v>1595</v>
      </c>
      <c r="C674" s="234"/>
      <c r="D674" s="234"/>
    </row>
    <row r="675" spans="1:4" ht="28.5">
      <c r="A675" s="235">
        <v>45501</v>
      </c>
      <c r="B675" s="235" t="s">
        <v>1596</v>
      </c>
      <c r="C675" s="228" t="s">
        <v>7</v>
      </c>
      <c r="D675" s="229">
        <v>18.25</v>
      </c>
    </row>
    <row r="676" spans="1:4" ht="28.5">
      <c r="A676" s="235">
        <v>45502</v>
      </c>
      <c r="B676" s="235" t="s">
        <v>1597</v>
      </c>
      <c r="C676" s="228" t="s">
        <v>7</v>
      </c>
      <c r="D676" s="229">
        <v>22.8</v>
      </c>
    </row>
    <row r="677" spans="1:4" ht="28.5">
      <c r="A677" s="235">
        <v>45505</v>
      </c>
      <c r="B677" s="235" t="s">
        <v>1598</v>
      </c>
      <c r="C677" s="228" t="s">
        <v>7</v>
      </c>
      <c r="D677" s="229">
        <v>17.41</v>
      </c>
    </row>
    <row r="678" spans="1:4" ht="28.5">
      <c r="A678" s="235">
        <v>45519</v>
      </c>
      <c r="B678" s="235" t="s">
        <v>1599</v>
      </c>
      <c r="C678" s="228" t="s">
        <v>7</v>
      </c>
      <c r="D678" s="229">
        <v>26.49</v>
      </c>
    </row>
    <row r="679" spans="1:4" ht="28.5">
      <c r="A679" s="235">
        <v>45520</v>
      </c>
      <c r="B679" s="235" t="s">
        <v>1600</v>
      </c>
      <c r="C679" s="228" t="s">
        <v>7</v>
      </c>
      <c r="D679" s="229">
        <v>22.61</v>
      </c>
    </row>
    <row r="680" spans="1:4" ht="14.25">
      <c r="A680" s="235">
        <v>45523</v>
      </c>
      <c r="B680" s="235" t="s">
        <v>1601</v>
      </c>
      <c r="C680" s="228" t="s">
        <v>7</v>
      </c>
      <c r="D680" s="229">
        <v>26.19</v>
      </c>
    </row>
    <row r="681" spans="1:4" ht="14.25">
      <c r="A681" s="235">
        <v>45525</v>
      </c>
      <c r="B681" s="235" t="s">
        <v>1602</v>
      </c>
      <c r="C681" s="228" t="s">
        <v>7</v>
      </c>
      <c r="D681" s="229">
        <v>6.45</v>
      </c>
    </row>
    <row r="682" spans="1:4" ht="14.25">
      <c r="A682" s="235">
        <v>45526</v>
      </c>
      <c r="B682" s="235" t="s">
        <v>1603</v>
      </c>
      <c r="C682" s="228" t="s">
        <v>7</v>
      </c>
      <c r="D682" s="229">
        <v>17.89</v>
      </c>
    </row>
    <row r="683" spans="1:4" ht="15">
      <c r="A683" s="232">
        <v>460</v>
      </c>
      <c r="B683" s="233" t="s">
        <v>1604</v>
      </c>
      <c r="C683" s="234"/>
      <c r="D683" s="234"/>
    </row>
    <row r="684" spans="1:4" ht="42.75">
      <c r="A684" s="235">
        <v>46001</v>
      </c>
      <c r="B684" s="235" t="s">
        <v>1605</v>
      </c>
      <c r="C684" s="228" t="s">
        <v>7</v>
      </c>
      <c r="D684" s="229">
        <v>119.72</v>
      </c>
    </row>
    <row r="685" spans="1:4" ht="42.75">
      <c r="A685" s="235">
        <v>46002</v>
      </c>
      <c r="B685" s="235" t="s">
        <v>1606</v>
      </c>
      <c r="C685" s="228" t="s">
        <v>7</v>
      </c>
      <c r="D685" s="229">
        <v>141.68</v>
      </c>
    </row>
    <row r="686" spans="1:4" ht="42.75">
      <c r="A686" s="235">
        <v>46009</v>
      </c>
      <c r="B686" s="235" t="s">
        <v>1607</v>
      </c>
      <c r="C686" s="228" t="s">
        <v>7</v>
      </c>
      <c r="D686" s="229">
        <v>90.47</v>
      </c>
    </row>
    <row r="687" spans="1:4" ht="14.25">
      <c r="A687" s="235">
        <v>46027</v>
      </c>
      <c r="B687" s="235" t="s">
        <v>1608</v>
      </c>
      <c r="C687" s="228" t="s">
        <v>7</v>
      </c>
      <c r="D687" s="229">
        <v>31.93</v>
      </c>
    </row>
    <row r="688" spans="1:4" ht="14.25">
      <c r="A688" s="235">
        <v>46028</v>
      </c>
      <c r="B688" s="235" t="s">
        <v>1609</v>
      </c>
      <c r="C688" s="228" t="s">
        <v>7</v>
      </c>
      <c r="D688" s="229">
        <v>58.35</v>
      </c>
    </row>
    <row r="689" spans="1:4" ht="42.75">
      <c r="A689" s="235">
        <v>46036</v>
      </c>
      <c r="B689" s="235" t="s">
        <v>1610</v>
      </c>
      <c r="C689" s="228" t="s">
        <v>7</v>
      </c>
      <c r="D689" s="229">
        <v>98</v>
      </c>
    </row>
    <row r="690" spans="1:4" ht="14.25">
      <c r="A690" s="235">
        <v>46058</v>
      </c>
      <c r="B690" s="235" t="s">
        <v>1611</v>
      </c>
      <c r="C690" s="228" t="s">
        <v>7</v>
      </c>
      <c r="D690" s="229">
        <v>180</v>
      </c>
    </row>
    <row r="691" spans="1:4" ht="15">
      <c r="A691" s="232">
        <v>465</v>
      </c>
      <c r="B691" s="233" t="s">
        <v>1612</v>
      </c>
      <c r="C691" s="234"/>
      <c r="D691" s="234"/>
    </row>
    <row r="692" spans="1:4" ht="28.5">
      <c r="A692" s="235">
        <v>46501</v>
      </c>
      <c r="B692" s="235" t="s">
        <v>1613</v>
      </c>
      <c r="C692" s="228" t="s">
        <v>7</v>
      </c>
      <c r="D692" s="229">
        <v>67</v>
      </c>
    </row>
    <row r="693" spans="1:4" ht="14.25">
      <c r="A693" s="235">
        <v>46504</v>
      </c>
      <c r="B693" s="235" t="s">
        <v>1614</v>
      </c>
      <c r="C693" s="228" t="s">
        <v>7</v>
      </c>
      <c r="D693" s="229">
        <v>7.38</v>
      </c>
    </row>
    <row r="694" spans="1:4" ht="14.25">
      <c r="A694" s="235">
        <v>46506</v>
      </c>
      <c r="B694" s="235" t="s">
        <v>1615</v>
      </c>
      <c r="C694" s="228" t="s">
        <v>7</v>
      </c>
      <c r="D694" s="229">
        <v>45.17</v>
      </c>
    </row>
    <row r="695" spans="1:4" ht="14.25">
      <c r="A695" s="235">
        <v>46509</v>
      </c>
      <c r="B695" s="235" t="s">
        <v>1616</v>
      </c>
      <c r="C695" s="228" t="s">
        <v>7</v>
      </c>
      <c r="D695" s="229">
        <v>9.1999999999999993</v>
      </c>
    </row>
    <row r="696" spans="1:4" ht="28.5">
      <c r="A696" s="235">
        <v>46513</v>
      </c>
      <c r="B696" s="235" t="s">
        <v>1617</v>
      </c>
      <c r="C696" s="228" t="s">
        <v>7</v>
      </c>
      <c r="D696" s="229">
        <v>83.18</v>
      </c>
    </row>
    <row r="697" spans="1:4" ht="14.25">
      <c r="A697" s="235">
        <v>46524</v>
      </c>
      <c r="B697" s="235" t="s">
        <v>1618</v>
      </c>
      <c r="C697" s="228" t="s">
        <v>7</v>
      </c>
      <c r="D697" s="229">
        <v>17.579999999999998</v>
      </c>
    </row>
    <row r="698" spans="1:4" ht="14.25">
      <c r="A698" s="235">
        <v>46525</v>
      </c>
      <c r="B698" s="235" t="s">
        <v>1619</v>
      </c>
      <c r="C698" s="228" t="s">
        <v>7</v>
      </c>
      <c r="D698" s="229">
        <v>17.579999999999998</v>
      </c>
    </row>
    <row r="699" spans="1:4" ht="15">
      <c r="A699" s="232">
        <v>466</v>
      </c>
      <c r="B699" s="233" t="s">
        <v>1620</v>
      </c>
      <c r="C699" s="234"/>
      <c r="D699" s="234"/>
    </row>
    <row r="700" spans="1:4" ht="28.5">
      <c r="A700" s="235">
        <v>46636</v>
      </c>
      <c r="B700" s="235" t="s">
        <v>1621</v>
      </c>
      <c r="C700" s="228" t="s">
        <v>7</v>
      </c>
      <c r="D700" s="229">
        <v>38.96</v>
      </c>
    </row>
    <row r="701" spans="1:4" ht="14.25">
      <c r="A701" s="235">
        <v>46656</v>
      </c>
      <c r="B701" s="235" t="s">
        <v>1622</v>
      </c>
      <c r="C701" s="228" t="s">
        <v>7</v>
      </c>
      <c r="D701" s="229">
        <v>34.49</v>
      </c>
    </row>
    <row r="702" spans="1:4" ht="14.25">
      <c r="A702" s="235">
        <v>46689</v>
      </c>
      <c r="B702" s="235" t="s">
        <v>1623</v>
      </c>
      <c r="C702" s="228" t="s">
        <v>7</v>
      </c>
      <c r="D702" s="229">
        <v>110</v>
      </c>
    </row>
    <row r="703" spans="1:4" ht="15">
      <c r="A703" s="232">
        <v>469</v>
      </c>
      <c r="B703" s="233" t="s">
        <v>1624</v>
      </c>
      <c r="C703" s="234"/>
      <c r="D703" s="234"/>
    </row>
    <row r="704" spans="1:4" ht="42.75">
      <c r="A704" s="235">
        <v>46947</v>
      </c>
      <c r="B704" s="235" t="s">
        <v>26412</v>
      </c>
      <c r="C704" s="228" t="s">
        <v>7</v>
      </c>
      <c r="D704" s="229">
        <v>83.11</v>
      </c>
    </row>
    <row r="705" spans="1:4" ht="42.75">
      <c r="A705" s="235">
        <v>46986</v>
      </c>
      <c r="B705" s="235" t="s">
        <v>26413</v>
      </c>
      <c r="C705" s="228" t="s">
        <v>7</v>
      </c>
      <c r="D705" s="229">
        <v>123.28</v>
      </c>
    </row>
    <row r="706" spans="1:4" ht="15">
      <c r="A706" s="232">
        <v>471</v>
      </c>
      <c r="B706" s="233" t="s">
        <v>1624</v>
      </c>
      <c r="C706" s="234"/>
      <c r="D706" s="234"/>
    </row>
    <row r="707" spans="1:4" ht="57">
      <c r="A707" s="235">
        <v>47160</v>
      </c>
      <c r="B707" s="235" t="s">
        <v>26414</v>
      </c>
      <c r="C707" s="228" t="s">
        <v>7</v>
      </c>
      <c r="D707" s="229">
        <v>122.18</v>
      </c>
    </row>
    <row r="708" spans="1:4" ht="15">
      <c r="A708" s="232">
        <v>472</v>
      </c>
      <c r="B708" s="233" t="s">
        <v>1625</v>
      </c>
      <c r="C708" s="234"/>
      <c r="D708" s="234"/>
    </row>
    <row r="709" spans="1:4" ht="42.75">
      <c r="A709" s="235">
        <v>47239</v>
      </c>
      <c r="B709" s="235" t="s">
        <v>1626</v>
      </c>
      <c r="C709" s="228" t="s">
        <v>7</v>
      </c>
      <c r="D709" s="229">
        <v>520.23</v>
      </c>
    </row>
    <row r="710" spans="1:4" ht="42.75">
      <c r="A710" s="235">
        <v>47270</v>
      </c>
      <c r="B710" s="235" t="s">
        <v>26415</v>
      </c>
      <c r="C710" s="228" t="s">
        <v>7</v>
      </c>
      <c r="D710" s="229">
        <v>167.53</v>
      </c>
    </row>
    <row r="711" spans="1:4" ht="57">
      <c r="A711" s="235">
        <v>47271</v>
      </c>
      <c r="B711" s="235" t="s">
        <v>26416</v>
      </c>
      <c r="C711" s="228" t="s">
        <v>7</v>
      </c>
      <c r="D711" s="229">
        <v>82.89</v>
      </c>
    </row>
    <row r="712" spans="1:4" ht="15">
      <c r="A712" s="232">
        <v>475</v>
      </c>
      <c r="B712" s="233" t="s">
        <v>1627</v>
      </c>
      <c r="C712" s="234"/>
      <c r="D712" s="234"/>
    </row>
    <row r="713" spans="1:4" ht="14.25">
      <c r="A713" s="235">
        <v>47526</v>
      </c>
      <c r="B713" s="235" t="s">
        <v>1628</v>
      </c>
      <c r="C713" s="228" t="s">
        <v>7</v>
      </c>
      <c r="D713" s="229">
        <v>153.85</v>
      </c>
    </row>
    <row r="714" spans="1:4" ht="14.25">
      <c r="A714" s="235">
        <v>47527</v>
      </c>
      <c r="B714" s="235" t="s">
        <v>1629</v>
      </c>
      <c r="C714" s="228" t="s">
        <v>7</v>
      </c>
      <c r="D714" s="229">
        <v>919.62</v>
      </c>
    </row>
    <row r="715" spans="1:4" ht="28.5">
      <c r="A715" s="235">
        <v>47530</v>
      </c>
      <c r="B715" s="235" t="s">
        <v>1630</v>
      </c>
      <c r="C715" s="228" t="s">
        <v>7</v>
      </c>
      <c r="D715" s="229">
        <v>958.55</v>
      </c>
    </row>
    <row r="716" spans="1:4" ht="14.25">
      <c r="A716" s="235">
        <v>47561</v>
      </c>
      <c r="B716" s="235" t="s">
        <v>1631</v>
      </c>
      <c r="C716" s="228" t="s">
        <v>7</v>
      </c>
      <c r="D716" s="229">
        <v>86.46</v>
      </c>
    </row>
    <row r="717" spans="1:4" ht="14.25">
      <c r="A717" s="235">
        <v>47566</v>
      </c>
      <c r="B717" s="235" t="s">
        <v>1632</v>
      </c>
      <c r="C717" s="228" t="s">
        <v>7</v>
      </c>
      <c r="D717" s="231">
        <v>1550.29</v>
      </c>
    </row>
    <row r="718" spans="1:4" ht="28.5">
      <c r="A718" s="235">
        <v>47574</v>
      </c>
      <c r="B718" s="235" t="s">
        <v>1633</v>
      </c>
      <c r="C718" s="228" t="s">
        <v>7</v>
      </c>
      <c r="D718" s="231">
        <v>3987.56</v>
      </c>
    </row>
    <row r="719" spans="1:4" ht="15">
      <c r="A719" s="232">
        <v>476</v>
      </c>
      <c r="B719" s="233" t="s">
        <v>1634</v>
      </c>
      <c r="C719" s="234"/>
      <c r="D719" s="234"/>
    </row>
    <row r="720" spans="1:4" ht="28.5">
      <c r="A720" s="235">
        <v>47633</v>
      </c>
      <c r="B720" s="235" t="s">
        <v>1635</v>
      </c>
      <c r="C720" s="228" t="s">
        <v>7</v>
      </c>
      <c r="D720" s="231">
        <v>1572.93</v>
      </c>
    </row>
    <row r="721" spans="1:4" ht="28.5">
      <c r="A721" s="235">
        <v>47634</v>
      </c>
      <c r="B721" s="235" t="s">
        <v>1636</v>
      </c>
      <c r="C721" s="228" t="s">
        <v>7</v>
      </c>
      <c r="D721" s="231">
        <v>1393.22</v>
      </c>
    </row>
    <row r="722" spans="1:4" ht="15">
      <c r="A722" s="232">
        <v>477</v>
      </c>
      <c r="B722" s="233" t="s">
        <v>1634</v>
      </c>
      <c r="C722" s="234"/>
      <c r="D722" s="234"/>
    </row>
    <row r="723" spans="1:4" ht="14.25">
      <c r="A723" s="235">
        <v>47795</v>
      </c>
      <c r="B723" s="235" t="s">
        <v>1637</v>
      </c>
      <c r="C723" s="228" t="s">
        <v>7</v>
      </c>
      <c r="D723" s="229">
        <v>794.27</v>
      </c>
    </row>
    <row r="724" spans="1:4" ht="15">
      <c r="A724" s="232">
        <v>478</v>
      </c>
      <c r="B724" s="233" t="s">
        <v>1638</v>
      </c>
      <c r="C724" s="234"/>
      <c r="D724" s="234"/>
    </row>
    <row r="725" spans="1:4" ht="28.5">
      <c r="A725" s="235">
        <v>47855</v>
      </c>
      <c r="B725" s="235" t="s">
        <v>1639</v>
      </c>
      <c r="C725" s="228" t="s">
        <v>7</v>
      </c>
      <c r="D725" s="229">
        <v>114.61</v>
      </c>
    </row>
    <row r="726" spans="1:4" ht="14.25">
      <c r="A726" s="235">
        <v>47862</v>
      </c>
      <c r="B726" s="235" t="s">
        <v>1640</v>
      </c>
      <c r="C726" s="228" t="s">
        <v>7</v>
      </c>
      <c r="D726" s="229">
        <v>191.77</v>
      </c>
    </row>
    <row r="727" spans="1:4" ht="15">
      <c r="A727" s="232">
        <v>480</v>
      </c>
      <c r="B727" s="233" t="s">
        <v>1641</v>
      </c>
      <c r="C727" s="234"/>
      <c r="D727" s="234"/>
    </row>
    <row r="728" spans="1:4" ht="28.5">
      <c r="A728" s="235">
        <v>48002</v>
      </c>
      <c r="B728" s="235" t="s">
        <v>1642</v>
      </c>
      <c r="C728" s="228" t="s">
        <v>7</v>
      </c>
      <c r="D728" s="229">
        <v>76.58</v>
      </c>
    </row>
    <row r="729" spans="1:4" ht="28.5">
      <c r="A729" s="235">
        <v>48004</v>
      </c>
      <c r="B729" s="235" t="s">
        <v>1643</v>
      </c>
      <c r="C729" s="228" t="s">
        <v>7</v>
      </c>
      <c r="D729" s="229">
        <v>171.46</v>
      </c>
    </row>
    <row r="730" spans="1:4" ht="28.5">
      <c r="A730" s="235">
        <v>48015</v>
      </c>
      <c r="B730" s="235" t="s">
        <v>1644</v>
      </c>
      <c r="C730" s="228" t="s">
        <v>7</v>
      </c>
      <c r="D730" s="229">
        <v>93.78</v>
      </c>
    </row>
    <row r="731" spans="1:4" ht="14.25">
      <c r="A731" s="235">
        <v>48020</v>
      </c>
      <c r="B731" s="235" t="s">
        <v>1645</v>
      </c>
      <c r="C731" s="228" t="s">
        <v>7</v>
      </c>
      <c r="D731" s="229">
        <v>12.34</v>
      </c>
    </row>
    <row r="732" spans="1:4" ht="28.5">
      <c r="A732" s="235">
        <v>48035</v>
      </c>
      <c r="B732" s="235" t="s">
        <v>26417</v>
      </c>
      <c r="C732" s="228" t="s">
        <v>7</v>
      </c>
      <c r="D732" s="229">
        <v>156.30000000000001</v>
      </c>
    </row>
    <row r="733" spans="1:4" ht="14.25">
      <c r="A733" s="235">
        <v>48036</v>
      </c>
      <c r="B733" s="235" t="s">
        <v>1646</v>
      </c>
      <c r="C733" s="228" t="s">
        <v>7</v>
      </c>
      <c r="D733" s="229">
        <v>271.14</v>
      </c>
    </row>
    <row r="734" spans="1:4" ht="28.5">
      <c r="A734" s="235">
        <v>48038</v>
      </c>
      <c r="B734" s="235" t="s">
        <v>1647</v>
      </c>
      <c r="C734" s="228" t="s">
        <v>7</v>
      </c>
      <c r="D734" s="229">
        <v>18.010000000000002</v>
      </c>
    </row>
    <row r="735" spans="1:4" ht="14.25">
      <c r="A735" s="235">
        <v>48041</v>
      </c>
      <c r="B735" s="235" t="s">
        <v>1648</v>
      </c>
      <c r="C735" s="228" t="s">
        <v>7</v>
      </c>
      <c r="D735" s="229">
        <v>185.15</v>
      </c>
    </row>
    <row r="736" spans="1:4" ht="28.5">
      <c r="A736" s="235">
        <v>48051</v>
      </c>
      <c r="B736" s="235" t="s">
        <v>1649</v>
      </c>
      <c r="C736" s="228" t="s">
        <v>7</v>
      </c>
      <c r="D736" s="229">
        <v>16.16</v>
      </c>
    </row>
    <row r="737" spans="1:4" ht="14.25">
      <c r="A737" s="235">
        <v>48052</v>
      </c>
      <c r="B737" s="235" t="s">
        <v>1650</v>
      </c>
      <c r="C737" s="228" t="s">
        <v>7</v>
      </c>
      <c r="D737" s="229">
        <v>7.4</v>
      </c>
    </row>
    <row r="738" spans="1:4" ht="28.5">
      <c r="A738" s="235">
        <v>48053</v>
      </c>
      <c r="B738" s="235" t="s">
        <v>1651</v>
      </c>
      <c r="C738" s="228" t="s">
        <v>7</v>
      </c>
      <c r="D738" s="229">
        <v>43.95</v>
      </c>
    </row>
    <row r="739" spans="1:4" ht="28.5">
      <c r="A739" s="235">
        <v>48054</v>
      </c>
      <c r="B739" s="235" t="s">
        <v>1652</v>
      </c>
      <c r="C739" s="228" t="s">
        <v>7</v>
      </c>
      <c r="D739" s="229">
        <v>8.1</v>
      </c>
    </row>
    <row r="740" spans="1:4" ht="28.5">
      <c r="A740" s="235">
        <v>48055</v>
      </c>
      <c r="B740" s="235" t="s">
        <v>1653</v>
      </c>
      <c r="C740" s="228" t="s">
        <v>7</v>
      </c>
      <c r="D740" s="229">
        <v>26.69</v>
      </c>
    </row>
    <row r="741" spans="1:4" ht="28.5">
      <c r="A741" s="235">
        <v>48056</v>
      </c>
      <c r="B741" s="235" t="s">
        <v>1654</v>
      </c>
      <c r="C741" s="228" t="s">
        <v>7</v>
      </c>
      <c r="D741" s="229">
        <v>9.7799999999999994</v>
      </c>
    </row>
    <row r="742" spans="1:4" ht="28.5">
      <c r="A742" s="235">
        <v>48057</v>
      </c>
      <c r="B742" s="235" t="s">
        <v>1655</v>
      </c>
      <c r="C742" s="228" t="s">
        <v>7</v>
      </c>
      <c r="D742" s="229">
        <v>12.31</v>
      </c>
    </row>
    <row r="743" spans="1:4" ht="28.5">
      <c r="A743" s="235">
        <v>48064</v>
      </c>
      <c r="B743" s="235" t="s">
        <v>1656</v>
      </c>
      <c r="C743" s="228" t="s">
        <v>7</v>
      </c>
      <c r="D743" s="229">
        <v>21.2</v>
      </c>
    </row>
    <row r="744" spans="1:4" ht="28.5">
      <c r="A744" s="235">
        <v>48067</v>
      </c>
      <c r="B744" s="235" t="s">
        <v>1657</v>
      </c>
      <c r="C744" s="228" t="s">
        <v>7</v>
      </c>
      <c r="D744" s="229">
        <v>2.19</v>
      </c>
    </row>
    <row r="745" spans="1:4" ht="28.5">
      <c r="A745" s="235">
        <v>48070</v>
      </c>
      <c r="B745" s="235" t="s">
        <v>26418</v>
      </c>
      <c r="C745" s="228" t="s">
        <v>7</v>
      </c>
      <c r="D745" s="229">
        <v>1.1200000000000001</v>
      </c>
    </row>
    <row r="746" spans="1:4" ht="28.5">
      <c r="A746" s="235">
        <v>48085</v>
      </c>
      <c r="B746" s="235" t="s">
        <v>1658</v>
      </c>
      <c r="C746" s="228" t="s">
        <v>7</v>
      </c>
      <c r="D746" s="229">
        <v>73.08</v>
      </c>
    </row>
    <row r="747" spans="1:4" ht="15">
      <c r="A747" s="232">
        <v>481</v>
      </c>
      <c r="B747" s="233" t="s">
        <v>1659</v>
      </c>
      <c r="C747" s="234"/>
      <c r="D747" s="234"/>
    </row>
    <row r="748" spans="1:4" ht="28.5">
      <c r="A748" s="235">
        <v>48120</v>
      </c>
      <c r="B748" s="235" t="s">
        <v>1660</v>
      </c>
      <c r="C748" s="228" t="s">
        <v>7</v>
      </c>
      <c r="D748" s="229">
        <v>16.16</v>
      </c>
    </row>
    <row r="749" spans="1:4" ht="14.25">
      <c r="A749" s="235">
        <v>48145</v>
      </c>
      <c r="B749" s="235" t="s">
        <v>1661</v>
      </c>
      <c r="C749" s="228" t="s">
        <v>7</v>
      </c>
      <c r="D749" s="229">
        <v>10</v>
      </c>
    </row>
    <row r="750" spans="1:4" ht="28.5">
      <c r="A750" s="235">
        <v>48146</v>
      </c>
      <c r="B750" s="235" t="s">
        <v>1662</v>
      </c>
      <c r="C750" s="228" t="s">
        <v>7</v>
      </c>
      <c r="D750" s="229">
        <v>8.01</v>
      </c>
    </row>
    <row r="751" spans="1:4" ht="28.5">
      <c r="A751" s="235">
        <v>48149</v>
      </c>
      <c r="B751" s="235" t="s">
        <v>1663</v>
      </c>
      <c r="C751" s="228" t="s">
        <v>7</v>
      </c>
      <c r="D751" s="229">
        <v>61.96</v>
      </c>
    </row>
    <row r="752" spans="1:4" ht="14.25">
      <c r="A752" s="235">
        <v>48150</v>
      </c>
      <c r="B752" s="235" t="s">
        <v>1664</v>
      </c>
      <c r="C752" s="228" t="s">
        <v>6</v>
      </c>
      <c r="D752" s="229">
        <v>103</v>
      </c>
    </row>
    <row r="753" spans="1:4" ht="14.25">
      <c r="A753" s="235">
        <v>48151</v>
      </c>
      <c r="B753" s="235" t="s">
        <v>1665</v>
      </c>
      <c r="C753" s="228" t="s">
        <v>6</v>
      </c>
      <c r="D753" s="229">
        <v>79.03</v>
      </c>
    </row>
    <row r="754" spans="1:4" ht="14.25">
      <c r="A754" s="235">
        <v>48152</v>
      </c>
      <c r="B754" s="235" t="s">
        <v>1666</v>
      </c>
      <c r="C754" s="228" t="s">
        <v>6</v>
      </c>
      <c r="D754" s="229">
        <v>42.51</v>
      </c>
    </row>
    <row r="755" spans="1:4" ht="15">
      <c r="A755" s="232">
        <v>482</v>
      </c>
      <c r="B755" s="233" t="s">
        <v>1221</v>
      </c>
      <c r="C755" s="234"/>
      <c r="D755" s="234"/>
    </row>
    <row r="756" spans="1:4" ht="14.25">
      <c r="A756" s="235">
        <v>48220</v>
      </c>
      <c r="B756" s="235" t="s">
        <v>26419</v>
      </c>
      <c r="C756" s="228" t="s">
        <v>7</v>
      </c>
      <c r="D756" s="229">
        <v>18.239999999999998</v>
      </c>
    </row>
    <row r="757" spans="1:4" ht="15">
      <c r="A757" s="232">
        <v>483</v>
      </c>
      <c r="B757" s="233" t="s">
        <v>1390</v>
      </c>
      <c r="C757" s="234"/>
      <c r="D757" s="234"/>
    </row>
    <row r="758" spans="1:4" ht="14.25">
      <c r="A758" s="235">
        <v>48316</v>
      </c>
      <c r="B758" s="235" t="s">
        <v>1667</v>
      </c>
      <c r="C758" s="228" t="s">
        <v>7</v>
      </c>
      <c r="D758" s="229">
        <v>395.63</v>
      </c>
    </row>
    <row r="759" spans="1:4" ht="14.25">
      <c r="A759" s="235">
        <v>48340</v>
      </c>
      <c r="B759" s="235" t="s">
        <v>1668</v>
      </c>
      <c r="C759" s="228" t="s">
        <v>7</v>
      </c>
      <c r="D759" s="229">
        <v>36.65</v>
      </c>
    </row>
    <row r="760" spans="1:4" ht="14.25">
      <c r="A760" s="235">
        <v>48341</v>
      </c>
      <c r="B760" s="235" t="s">
        <v>1669</v>
      </c>
      <c r="C760" s="228" t="s">
        <v>7</v>
      </c>
      <c r="D760" s="229">
        <v>78.27</v>
      </c>
    </row>
    <row r="761" spans="1:4" ht="28.5">
      <c r="A761" s="235">
        <v>48342</v>
      </c>
      <c r="B761" s="235" t="s">
        <v>1670</v>
      </c>
      <c r="C761" s="228" t="s">
        <v>7</v>
      </c>
      <c r="D761" s="229">
        <v>14.6</v>
      </c>
    </row>
    <row r="762" spans="1:4" ht="14.25">
      <c r="A762" s="235">
        <v>48365</v>
      </c>
      <c r="B762" s="235" t="s">
        <v>1671</v>
      </c>
      <c r="C762" s="228" t="s">
        <v>7</v>
      </c>
      <c r="D762" s="229">
        <v>9.7899999999999991</v>
      </c>
    </row>
    <row r="763" spans="1:4" ht="28.5">
      <c r="A763" s="235">
        <v>48390</v>
      </c>
      <c r="B763" s="235" t="s">
        <v>1672</v>
      </c>
      <c r="C763" s="228" t="s">
        <v>6</v>
      </c>
      <c r="D763" s="229">
        <v>77.45</v>
      </c>
    </row>
    <row r="764" spans="1:4" ht="15">
      <c r="A764" s="232">
        <v>484</v>
      </c>
      <c r="B764" s="233" t="s">
        <v>1673</v>
      </c>
      <c r="C764" s="234"/>
      <c r="D764" s="234"/>
    </row>
    <row r="765" spans="1:4" ht="14.25">
      <c r="A765" s="235">
        <v>48444</v>
      </c>
      <c r="B765" s="235" t="s">
        <v>1674</v>
      </c>
      <c r="C765" s="228" t="s">
        <v>7</v>
      </c>
      <c r="D765" s="229">
        <v>47.71</v>
      </c>
    </row>
    <row r="766" spans="1:4" ht="28.5">
      <c r="A766" s="235">
        <v>48458</v>
      </c>
      <c r="B766" s="235" t="s">
        <v>1675</v>
      </c>
      <c r="C766" s="228" t="s">
        <v>7</v>
      </c>
      <c r="D766" s="229">
        <v>1.52</v>
      </c>
    </row>
    <row r="767" spans="1:4" ht="14.25">
      <c r="A767" s="235">
        <v>48474</v>
      </c>
      <c r="B767" s="235" t="s">
        <v>1676</v>
      </c>
      <c r="C767" s="228" t="s">
        <v>7</v>
      </c>
      <c r="D767" s="229">
        <v>249.26</v>
      </c>
    </row>
    <row r="768" spans="1:4" ht="15">
      <c r="A768" s="232">
        <v>485</v>
      </c>
      <c r="B768" s="233" t="s">
        <v>1673</v>
      </c>
      <c r="C768" s="234"/>
      <c r="D768" s="234"/>
    </row>
    <row r="769" spans="1:4" ht="28.5">
      <c r="A769" s="235">
        <v>48502</v>
      </c>
      <c r="B769" s="235" t="s">
        <v>26420</v>
      </c>
      <c r="C769" s="228" t="s">
        <v>7</v>
      </c>
      <c r="D769" s="229">
        <v>1.1200000000000001</v>
      </c>
    </row>
    <row r="770" spans="1:4" ht="28.5">
      <c r="A770" s="235">
        <v>48503</v>
      </c>
      <c r="B770" s="235" t="s">
        <v>26421</v>
      </c>
      <c r="C770" s="228" t="s">
        <v>7</v>
      </c>
      <c r="D770" s="229">
        <v>1.48</v>
      </c>
    </row>
    <row r="771" spans="1:4" ht="28.5">
      <c r="A771" s="235">
        <v>48505</v>
      </c>
      <c r="B771" s="235" t="s">
        <v>26422</v>
      </c>
      <c r="C771" s="228" t="s">
        <v>7</v>
      </c>
      <c r="D771" s="229">
        <v>2.67</v>
      </c>
    </row>
    <row r="772" spans="1:4" ht="28.5">
      <c r="A772" s="235">
        <v>48506</v>
      </c>
      <c r="B772" s="235" t="s">
        <v>26423</v>
      </c>
      <c r="C772" s="228" t="s">
        <v>7</v>
      </c>
      <c r="D772" s="229">
        <v>5.22</v>
      </c>
    </row>
    <row r="773" spans="1:4" ht="28.5">
      <c r="A773" s="235">
        <v>48508</v>
      </c>
      <c r="B773" s="235" t="s">
        <v>26424</v>
      </c>
      <c r="C773" s="228" t="s">
        <v>7</v>
      </c>
      <c r="D773" s="229">
        <v>8.0500000000000007</v>
      </c>
    </row>
    <row r="774" spans="1:4" ht="28.5">
      <c r="A774" s="235">
        <v>48510</v>
      </c>
      <c r="B774" s="235" t="s">
        <v>26425</v>
      </c>
      <c r="C774" s="228" t="s">
        <v>7</v>
      </c>
      <c r="D774" s="229">
        <v>10.89</v>
      </c>
    </row>
    <row r="775" spans="1:4" ht="28.5">
      <c r="A775" s="235">
        <v>48512</v>
      </c>
      <c r="B775" s="235" t="s">
        <v>26426</v>
      </c>
      <c r="C775" s="228" t="s">
        <v>7</v>
      </c>
      <c r="D775" s="229">
        <v>46.1</v>
      </c>
    </row>
    <row r="776" spans="1:4" ht="28.5">
      <c r="A776" s="235">
        <v>48516</v>
      </c>
      <c r="B776" s="235" t="s">
        <v>26427</v>
      </c>
      <c r="C776" s="228" t="s">
        <v>7</v>
      </c>
      <c r="D776" s="229">
        <v>0.63</v>
      </c>
    </row>
    <row r="777" spans="1:4" ht="28.5">
      <c r="A777" s="235">
        <v>48517</v>
      </c>
      <c r="B777" s="235" t="s">
        <v>26428</v>
      </c>
      <c r="C777" s="228" t="s">
        <v>7</v>
      </c>
      <c r="D777" s="229">
        <v>1.39</v>
      </c>
    </row>
    <row r="778" spans="1:4" ht="28.5">
      <c r="A778" s="235">
        <v>48519</v>
      </c>
      <c r="B778" s="235" t="s">
        <v>26429</v>
      </c>
      <c r="C778" s="228" t="s">
        <v>7</v>
      </c>
      <c r="D778" s="229">
        <v>2.46</v>
      </c>
    </row>
    <row r="779" spans="1:4" ht="28.5">
      <c r="A779" s="235">
        <v>48520</v>
      </c>
      <c r="B779" s="235" t="s">
        <v>26430</v>
      </c>
      <c r="C779" s="228" t="s">
        <v>7</v>
      </c>
      <c r="D779" s="229">
        <v>2.92</v>
      </c>
    </row>
    <row r="780" spans="1:4" ht="28.5">
      <c r="A780" s="235">
        <v>48522</v>
      </c>
      <c r="B780" s="235" t="s">
        <v>26431</v>
      </c>
      <c r="C780" s="228" t="s">
        <v>7</v>
      </c>
      <c r="D780" s="229">
        <v>7.7</v>
      </c>
    </row>
    <row r="781" spans="1:4" ht="28.5">
      <c r="A781" s="235">
        <v>48524</v>
      </c>
      <c r="B781" s="235" t="s">
        <v>26432</v>
      </c>
      <c r="C781" s="228" t="s">
        <v>7</v>
      </c>
      <c r="D781" s="229">
        <v>10.29</v>
      </c>
    </row>
    <row r="782" spans="1:4" ht="28.5">
      <c r="A782" s="235">
        <v>48525</v>
      </c>
      <c r="B782" s="235" t="s">
        <v>26433</v>
      </c>
      <c r="C782" s="228" t="s">
        <v>7</v>
      </c>
      <c r="D782" s="229">
        <v>24.9</v>
      </c>
    </row>
    <row r="783" spans="1:4" ht="14.25">
      <c r="A783" s="235">
        <v>48534</v>
      </c>
      <c r="B783" s="235" t="s">
        <v>1677</v>
      </c>
      <c r="C783" s="228" t="s">
        <v>7</v>
      </c>
      <c r="D783" s="229">
        <v>0.54</v>
      </c>
    </row>
    <row r="784" spans="1:4" ht="14.25">
      <c r="A784" s="235">
        <v>48538</v>
      </c>
      <c r="B784" s="235" t="s">
        <v>1678</v>
      </c>
      <c r="C784" s="228" t="s">
        <v>7</v>
      </c>
      <c r="D784" s="229">
        <v>1.49</v>
      </c>
    </row>
    <row r="785" spans="1:4" ht="14.25">
      <c r="A785" s="235">
        <v>48553</v>
      </c>
      <c r="B785" s="235" t="s">
        <v>1679</v>
      </c>
      <c r="C785" s="228" t="s">
        <v>7</v>
      </c>
      <c r="D785" s="229">
        <v>6.56</v>
      </c>
    </row>
    <row r="786" spans="1:4" ht="14.25">
      <c r="A786" s="235">
        <v>48556</v>
      </c>
      <c r="B786" s="235" t="s">
        <v>1680</v>
      </c>
      <c r="C786" s="228" t="s">
        <v>7</v>
      </c>
      <c r="D786" s="229">
        <v>3.1</v>
      </c>
    </row>
    <row r="787" spans="1:4" ht="15">
      <c r="A787" s="232">
        <v>486</v>
      </c>
      <c r="B787" s="233" t="s">
        <v>1673</v>
      </c>
      <c r="C787" s="234"/>
      <c r="D787" s="234"/>
    </row>
    <row r="788" spans="1:4" ht="14.25">
      <c r="A788" s="235">
        <v>48604</v>
      </c>
      <c r="B788" s="235" t="s">
        <v>1681</v>
      </c>
      <c r="C788" s="228" t="s">
        <v>7</v>
      </c>
      <c r="D788" s="229">
        <v>3.09</v>
      </c>
    </row>
    <row r="789" spans="1:4" ht="14.25">
      <c r="A789" s="235">
        <v>48605</v>
      </c>
      <c r="B789" s="235" t="s">
        <v>1682</v>
      </c>
      <c r="C789" s="228" t="s">
        <v>7</v>
      </c>
      <c r="D789" s="229">
        <v>8.1999999999999993</v>
      </c>
    </row>
    <row r="790" spans="1:4" ht="28.5">
      <c r="A790" s="235">
        <v>48606</v>
      </c>
      <c r="B790" s="235" t="s">
        <v>1683</v>
      </c>
      <c r="C790" s="228" t="s">
        <v>7</v>
      </c>
      <c r="D790" s="229">
        <v>12.29</v>
      </c>
    </row>
    <row r="791" spans="1:4" ht="28.5">
      <c r="A791" s="235">
        <v>48607</v>
      </c>
      <c r="B791" s="235" t="s">
        <v>1684</v>
      </c>
      <c r="C791" s="228" t="s">
        <v>7</v>
      </c>
      <c r="D791" s="229">
        <v>15.17</v>
      </c>
    </row>
    <row r="792" spans="1:4" ht="14.25">
      <c r="A792" s="235">
        <v>48634</v>
      </c>
      <c r="B792" s="235" t="s">
        <v>1685</v>
      </c>
      <c r="C792" s="228" t="s">
        <v>6</v>
      </c>
      <c r="D792" s="229">
        <v>55.5</v>
      </c>
    </row>
    <row r="793" spans="1:4" ht="15">
      <c r="A793" s="232">
        <v>487</v>
      </c>
      <c r="B793" s="233" t="s">
        <v>1686</v>
      </c>
      <c r="C793" s="234"/>
      <c r="D793" s="234"/>
    </row>
    <row r="794" spans="1:4" ht="28.5">
      <c r="A794" s="235">
        <v>48701</v>
      </c>
      <c r="B794" s="235" t="s">
        <v>26434</v>
      </c>
      <c r="C794" s="228" t="s">
        <v>6</v>
      </c>
      <c r="D794" s="229">
        <v>13.66</v>
      </c>
    </row>
    <row r="795" spans="1:4" ht="14.25">
      <c r="A795" s="235">
        <v>48730</v>
      </c>
      <c r="B795" s="235" t="s">
        <v>1687</v>
      </c>
      <c r="C795" s="228" t="s">
        <v>7</v>
      </c>
      <c r="D795" s="229">
        <v>113.66</v>
      </c>
    </row>
    <row r="796" spans="1:4" ht="28.5">
      <c r="A796" s="235">
        <v>48744</v>
      </c>
      <c r="B796" s="235" t="s">
        <v>1688</v>
      </c>
      <c r="C796" s="228" t="s">
        <v>7</v>
      </c>
      <c r="D796" s="229">
        <v>123.88</v>
      </c>
    </row>
    <row r="797" spans="1:4" ht="14.25">
      <c r="A797" s="235">
        <v>48747</v>
      </c>
      <c r="B797" s="235" t="s">
        <v>1689</v>
      </c>
      <c r="C797" s="228" t="s">
        <v>7</v>
      </c>
      <c r="D797" s="229">
        <v>1.7</v>
      </c>
    </row>
    <row r="798" spans="1:4" ht="28.5">
      <c r="A798" s="235">
        <v>48763</v>
      </c>
      <c r="B798" s="235" t="s">
        <v>1690</v>
      </c>
      <c r="C798" s="228" t="s">
        <v>7</v>
      </c>
      <c r="D798" s="229">
        <v>27.28</v>
      </c>
    </row>
    <row r="799" spans="1:4" ht="14.25">
      <c r="A799" s="235">
        <v>48772</v>
      </c>
      <c r="B799" s="235" t="s">
        <v>1691</v>
      </c>
      <c r="C799" s="228" t="s">
        <v>7</v>
      </c>
      <c r="D799" s="229">
        <v>126.43</v>
      </c>
    </row>
    <row r="800" spans="1:4" ht="28.5">
      <c r="A800" s="235">
        <v>48782</v>
      </c>
      <c r="B800" s="235" t="s">
        <v>26435</v>
      </c>
      <c r="C800" s="228" t="s">
        <v>7</v>
      </c>
      <c r="D800" s="229">
        <v>93.43</v>
      </c>
    </row>
    <row r="801" spans="1:4" ht="28.5">
      <c r="A801" s="235">
        <v>48784</v>
      </c>
      <c r="B801" s="235" t="s">
        <v>1692</v>
      </c>
      <c r="C801" s="228" t="s">
        <v>7</v>
      </c>
      <c r="D801" s="229">
        <v>195.02</v>
      </c>
    </row>
    <row r="802" spans="1:4" ht="14.25">
      <c r="A802" s="235">
        <v>48790</v>
      </c>
      <c r="B802" s="235" t="s">
        <v>1693</v>
      </c>
      <c r="C802" s="228" t="s">
        <v>7</v>
      </c>
      <c r="D802" s="229">
        <v>564.11</v>
      </c>
    </row>
    <row r="803" spans="1:4" ht="14.25">
      <c r="A803" s="235">
        <v>48794</v>
      </c>
      <c r="B803" s="235" t="s">
        <v>1694</v>
      </c>
      <c r="C803" s="228" t="s">
        <v>7</v>
      </c>
      <c r="D803" s="229">
        <v>42.06</v>
      </c>
    </row>
    <row r="804" spans="1:4" ht="15">
      <c r="A804" s="232">
        <v>488</v>
      </c>
      <c r="B804" s="233" t="s">
        <v>1230</v>
      </c>
      <c r="C804" s="234"/>
      <c r="D804" s="234"/>
    </row>
    <row r="805" spans="1:4" ht="14.25">
      <c r="A805" s="235">
        <v>48860</v>
      </c>
      <c r="B805" s="235" t="s">
        <v>1695</v>
      </c>
      <c r="C805" s="228" t="s">
        <v>7</v>
      </c>
      <c r="D805" s="229">
        <v>28.23</v>
      </c>
    </row>
    <row r="806" spans="1:4" ht="15">
      <c r="A806" s="232">
        <v>489</v>
      </c>
      <c r="B806" s="233" t="s">
        <v>1390</v>
      </c>
      <c r="C806" s="234"/>
      <c r="D806" s="234"/>
    </row>
    <row r="807" spans="1:4" ht="14.25">
      <c r="A807" s="235">
        <v>48917</v>
      </c>
      <c r="B807" s="235" t="s">
        <v>1696</v>
      </c>
      <c r="C807" s="228" t="s">
        <v>6</v>
      </c>
      <c r="D807" s="229">
        <v>5.8</v>
      </c>
    </row>
    <row r="808" spans="1:4" ht="28.5">
      <c r="A808" s="235">
        <v>48986</v>
      </c>
      <c r="B808" s="235" t="s">
        <v>1697</v>
      </c>
      <c r="C808" s="228" t="s">
        <v>6</v>
      </c>
      <c r="D808" s="229">
        <v>122.01</v>
      </c>
    </row>
    <row r="809" spans="1:4" ht="28.5">
      <c r="A809" s="235">
        <v>48987</v>
      </c>
      <c r="B809" s="235" t="s">
        <v>1698</v>
      </c>
      <c r="C809" s="228" t="s">
        <v>7</v>
      </c>
      <c r="D809" s="229">
        <v>52.49</v>
      </c>
    </row>
    <row r="810" spans="1:4" ht="28.5">
      <c r="A810" s="235">
        <v>48988</v>
      </c>
      <c r="B810" s="235" t="s">
        <v>1699</v>
      </c>
      <c r="C810" s="228" t="s">
        <v>6</v>
      </c>
      <c r="D810" s="229">
        <v>185.01</v>
      </c>
    </row>
    <row r="811" spans="1:4" ht="15">
      <c r="A811" s="232">
        <v>490</v>
      </c>
      <c r="B811" s="233" t="s">
        <v>1700</v>
      </c>
      <c r="C811" s="234"/>
      <c r="D811" s="234"/>
    </row>
    <row r="812" spans="1:4" ht="28.5">
      <c r="A812" s="235">
        <v>49002</v>
      </c>
      <c r="B812" s="235" t="s">
        <v>1701</v>
      </c>
      <c r="C812" s="228" t="s">
        <v>7</v>
      </c>
      <c r="D812" s="229">
        <v>28.94</v>
      </c>
    </row>
    <row r="813" spans="1:4" ht="14.25">
      <c r="A813" s="235">
        <v>49064</v>
      </c>
      <c r="B813" s="235" t="s">
        <v>1702</v>
      </c>
      <c r="C813" s="228" t="s">
        <v>7</v>
      </c>
      <c r="D813" s="229">
        <v>4.7699999999999996</v>
      </c>
    </row>
    <row r="814" spans="1:4" ht="14.25">
      <c r="A814" s="235">
        <v>49072</v>
      </c>
      <c r="B814" s="235" t="s">
        <v>1703</v>
      </c>
      <c r="C814" s="228" t="s">
        <v>7</v>
      </c>
      <c r="D814" s="229">
        <v>45.83</v>
      </c>
    </row>
    <row r="815" spans="1:4" ht="15">
      <c r="A815" s="232">
        <v>491</v>
      </c>
      <c r="B815" s="233" t="s">
        <v>1700</v>
      </c>
      <c r="C815" s="234"/>
      <c r="D815" s="234"/>
    </row>
    <row r="816" spans="1:4" ht="14.25">
      <c r="A816" s="235">
        <v>49101</v>
      </c>
      <c r="B816" s="235" t="s">
        <v>1704</v>
      </c>
      <c r="C816" s="228" t="s">
        <v>7</v>
      </c>
      <c r="D816" s="229">
        <v>453.74</v>
      </c>
    </row>
    <row r="817" spans="1:4" ht="14.25">
      <c r="A817" s="235">
        <v>49104</v>
      </c>
      <c r="B817" s="235" t="s">
        <v>1705</v>
      </c>
      <c r="C817" s="228" t="s">
        <v>7</v>
      </c>
      <c r="D817" s="229">
        <v>2.95</v>
      </c>
    </row>
    <row r="818" spans="1:4" ht="14.25">
      <c r="A818" s="235">
        <v>49112</v>
      </c>
      <c r="B818" s="235" t="s">
        <v>1706</v>
      </c>
      <c r="C818" s="228" t="s">
        <v>7</v>
      </c>
      <c r="D818" s="229">
        <v>48.03</v>
      </c>
    </row>
    <row r="819" spans="1:4" ht="28.5">
      <c r="A819" s="235">
        <v>49123</v>
      </c>
      <c r="B819" s="235" t="s">
        <v>1707</v>
      </c>
      <c r="C819" s="228" t="s">
        <v>7</v>
      </c>
      <c r="D819" s="229">
        <v>3.99</v>
      </c>
    </row>
    <row r="820" spans="1:4" ht="14.25">
      <c r="A820" s="235">
        <v>49143</v>
      </c>
      <c r="B820" s="235" t="s">
        <v>1708</v>
      </c>
      <c r="C820" s="228" t="s">
        <v>7</v>
      </c>
      <c r="D820" s="229">
        <v>176.9</v>
      </c>
    </row>
    <row r="821" spans="1:4" ht="28.5">
      <c r="A821" s="235">
        <v>49165</v>
      </c>
      <c r="B821" s="235" t="s">
        <v>1709</v>
      </c>
      <c r="C821" s="228" t="s">
        <v>7</v>
      </c>
      <c r="D821" s="229">
        <v>248.78</v>
      </c>
    </row>
    <row r="822" spans="1:4" ht="28.5">
      <c r="A822" s="235">
        <v>49170</v>
      </c>
      <c r="B822" s="235" t="s">
        <v>1710</v>
      </c>
      <c r="C822" s="228" t="s">
        <v>7</v>
      </c>
      <c r="D822" s="231">
        <v>1948.94</v>
      </c>
    </row>
    <row r="823" spans="1:4" ht="15">
      <c r="A823" s="232">
        <v>492</v>
      </c>
      <c r="B823" s="233" t="s">
        <v>1711</v>
      </c>
      <c r="C823" s="234"/>
      <c r="D823" s="234"/>
    </row>
    <row r="824" spans="1:4" ht="14.25">
      <c r="A824" s="235">
        <v>49227</v>
      </c>
      <c r="B824" s="235" t="s">
        <v>1712</v>
      </c>
      <c r="C824" s="228" t="s">
        <v>7</v>
      </c>
      <c r="D824" s="229">
        <v>5.0199999999999996</v>
      </c>
    </row>
    <row r="825" spans="1:4" ht="14.25">
      <c r="A825" s="235">
        <v>49228</v>
      </c>
      <c r="B825" s="235" t="s">
        <v>1713</v>
      </c>
      <c r="C825" s="228" t="s">
        <v>7</v>
      </c>
      <c r="D825" s="229">
        <v>6.73</v>
      </c>
    </row>
    <row r="826" spans="1:4" ht="14.25">
      <c r="A826" s="235">
        <v>49241</v>
      </c>
      <c r="B826" s="235" t="s">
        <v>1714</v>
      </c>
      <c r="C826" s="228" t="s">
        <v>7</v>
      </c>
      <c r="D826" s="229">
        <v>7.21</v>
      </c>
    </row>
    <row r="827" spans="1:4" ht="14.25">
      <c r="A827" s="235">
        <v>49242</v>
      </c>
      <c r="B827" s="235" t="s">
        <v>1715</v>
      </c>
      <c r="C827" s="228" t="s">
        <v>7</v>
      </c>
      <c r="D827" s="229">
        <v>4.5999999999999996</v>
      </c>
    </row>
    <row r="828" spans="1:4" ht="28.5">
      <c r="A828" s="235">
        <v>49243</v>
      </c>
      <c r="B828" s="235" t="s">
        <v>26436</v>
      </c>
      <c r="C828" s="228" t="s">
        <v>7</v>
      </c>
      <c r="D828" s="229">
        <v>6.81</v>
      </c>
    </row>
    <row r="829" spans="1:4" ht="28.5">
      <c r="A829" s="235">
        <v>49249</v>
      </c>
      <c r="B829" s="235" t="s">
        <v>1716</v>
      </c>
      <c r="C829" s="228" t="s">
        <v>7</v>
      </c>
      <c r="D829" s="229">
        <v>14.19</v>
      </c>
    </row>
    <row r="830" spans="1:4" ht="28.5">
      <c r="A830" s="235">
        <v>49274</v>
      </c>
      <c r="B830" s="235" t="s">
        <v>1717</v>
      </c>
      <c r="C830" s="228" t="s">
        <v>7</v>
      </c>
      <c r="D830" s="229">
        <v>139.27000000000001</v>
      </c>
    </row>
    <row r="831" spans="1:4" ht="28.5">
      <c r="A831" s="235">
        <v>49275</v>
      </c>
      <c r="B831" s="235" t="s">
        <v>1718</v>
      </c>
      <c r="C831" s="228" t="s">
        <v>7</v>
      </c>
      <c r="D831" s="229">
        <v>186.7</v>
      </c>
    </row>
    <row r="832" spans="1:4" ht="14.25">
      <c r="A832" s="235">
        <v>49289</v>
      </c>
      <c r="B832" s="235" t="s">
        <v>1719</v>
      </c>
      <c r="C832" s="228" t="s">
        <v>7</v>
      </c>
      <c r="D832" s="229">
        <v>15.13</v>
      </c>
    </row>
    <row r="833" spans="1:4" ht="15">
      <c r="A833" s="232">
        <v>494</v>
      </c>
      <c r="B833" s="233" t="s">
        <v>1720</v>
      </c>
      <c r="C833" s="234"/>
      <c r="D833" s="234"/>
    </row>
    <row r="834" spans="1:4" ht="28.5">
      <c r="A834" s="235">
        <v>49424</v>
      </c>
      <c r="B834" s="235" t="s">
        <v>1721</v>
      </c>
      <c r="C834" s="228" t="s">
        <v>7</v>
      </c>
      <c r="D834" s="229">
        <v>12.84</v>
      </c>
    </row>
    <row r="835" spans="1:4" ht="14.25">
      <c r="A835" s="235">
        <v>49428</v>
      </c>
      <c r="B835" s="235" t="s">
        <v>1722</v>
      </c>
      <c r="C835" s="228" t="s">
        <v>7</v>
      </c>
      <c r="D835" s="229">
        <v>5.18</v>
      </c>
    </row>
    <row r="836" spans="1:4" ht="28.5">
      <c r="A836" s="235">
        <v>49459</v>
      </c>
      <c r="B836" s="235" t="s">
        <v>1723</v>
      </c>
      <c r="C836" s="228" t="s">
        <v>7</v>
      </c>
      <c r="D836" s="229">
        <v>564.82000000000005</v>
      </c>
    </row>
    <row r="837" spans="1:4" ht="28.5">
      <c r="A837" s="235">
        <v>49463</v>
      </c>
      <c r="B837" s="235" t="s">
        <v>1724</v>
      </c>
      <c r="C837" s="228" t="s">
        <v>7</v>
      </c>
      <c r="D837" s="229">
        <v>109.18</v>
      </c>
    </row>
    <row r="838" spans="1:4" ht="28.5">
      <c r="A838" s="235">
        <v>49464</v>
      </c>
      <c r="B838" s="235" t="s">
        <v>1725</v>
      </c>
      <c r="C838" s="228" t="s">
        <v>7</v>
      </c>
      <c r="D838" s="229">
        <v>161.41</v>
      </c>
    </row>
    <row r="839" spans="1:4" ht="14.25">
      <c r="A839" s="235">
        <v>49488</v>
      </c>
      <c r="B839" s="235" t="s">
        <v>1726</v>
      </c>
      <c r="C839" s="228" t="s">
        <v>7</v>
      </c>
      <c r="D839" s="229">
        <v>1.59</v>
      </c>
    </row>
    <row r="840" spans="1:4" ht="14.25">
      <c r="A840" s="235">
        <v>49492</v>
      </c>
      <c r="B840" s="235" t="s">
        <v>1727</v>
      </c>
      <c r="C840" s="228" t="s">
        <v>7</v>
      </c>
      <c r="D840" s="229">
        <v>6.09</v>
      </c>
    </row>
    <row r="841" spans="1:4" ht="28.5">
      <c r="A841" s="235">
        <v>49493</v>
      </c>
      <c r="B841" s="235" t="s">
        <v>1728</v>
      </c>
      <c r="C841" s="228" t="s">
        <v>7</v>
      </c>
      <c r="D841" s="229">
        <v>12.67</v>
      </c>
    </row>
    <row r="842" spans="1:4" ht="15">
      <c r="A842" s="232">
        <v>495</v>
      </c>
      <c r="B842" s="233" t="s">
        <v>1221</v>
      </c>
      <c r="C842" s="234"/>
      <c r="D842" s="234"/>
    </row>
    <row r="843" spans="1:4" ht="14.25">
      <c r="A843" s="235">
        <v>49502</v>
      </c>
      <c r="B843" s="235" t="s">
        <v>1729</v>
      </c>
      <c r="C843" s="228" t="s">
        <v>7</v>
      </c>
      <c r="D843" s="229">
        <v>2.95</v>
      </c>
    </row>
    <row r="844" spans="1:4" ht="14.25">
      <c r="A844" s="235">
        <v>49503</v>
      </c>
      <c r="B844" s="235" t="s">
        <v>1730</v>
      </c>
      <c r="C844" s="228" t="s">
        <v>7</v>
      </c>
      <c r="D844" s="229">
        <v>25.2</v>
      </c>
    </row>
    <row r="845" spans="1:4" ht="28.5">
      <c r="A845" s="235">
        <v>49505</v>
      </c>
      <c r="B845" s="235" t="s">
        <v>1731</v>
      </c>
      <c r="C845" s="228" t="s">
        <v>7</v>
      </c>
      <c r="D845" s="229">
        <v>4.54</v>
      </c>
    </row>
    <row r="846" spans="1:4" ht="14.25">
      <c r="A846" s="235">
        <v>49507</v>
      </c>
      <c r="B846" s="235" t="s">
        <v>1732</v>
      </c>
      <c r="C846" s="228" t="s">
        <v>7</v>
      </c>
      <c r="D846" s="229">
        <v>3.93</v>
      </c>
    </row>
    <row r="847" spans="1:4" ht="28.5">
      <c r="A847" s="235">
        <v>49510</v>
      </c>
      <c r="B847" s="235" t="s">
        <v>1733</v>
      </c>
      <c r="C847" s="228" t="s">
        <v>7</v>
      </c>
      <c r="D847" s="229">
        <v>690.86</v>
      </c>
    </row>
    <row r="848" spans="1:4" ht="14.25">
      <c r="A848" s="235">
        <v>49512</v>
      </c>
      <c r="B848" s="235" t="s">
        <v>1734</v>
      </c>
      <c r="C848" s="228" t="s">
        <v>7</v>
      </c>
      <c r="D848" s="229">
        <v>31.54</v>
      </c>
    </row>
    <row r="849" spans="1:4" ht="14.25">
      <c r="A849" s="235">
        <v>49514</v>
      </c>
      <c r="B849" s="235" t="s">
        <v>1735</v>
      </c>
      <c r="C849" s="228" t="s">
        <v>7</v>
      </c>
      <c r="D849" s="229">
        <v>26.05</v>
      </c>
    </row>
    <row r="850" spans="1:4" ht="28.5">
      <c r="A850" s="235">
        <v>49521</v>
      </c>
      <c r="B850" s="235" t="s">
        <v>26437</v>
      </c>
      <c r="C850" s="228" t="s">
        <v>7</v>
      </c>
      <c r="D850" s="229">
        <v>12.64</v>
      </c>
    </row>
    <row r="851" spans="1:4" ht="28.5">
      <c r="A851" s="235">
        <v>49524</v>
      </c>
      <c r="B851" s="235" t="s">
        <v>1736</v>
      </c>
      <c r="C851" s="228" t="s">
        <v>6</v>
      </c>
      <c r="D851" s="229">
        <v>33.31</v>
      </c>
    </row>
    <row r="852" spans="1:4" ht="14.25">
      <c r="A852" s="235">
        <v>49537</v>
      </c>
      <c r="B852" s="235" t="s">
        <v>26438</v>
      </c>
      <c r="C852" s="228" t="s">
        <v>7</v>
      </c>
      <c r="D852" s="229">
        <v>13.47</v>
      </c>
    </row>
    <row r="853" spans="1:4" ht="14.25">
      <c r="A853" s="235">
        <v>49565</v>
      </c>
      <c r="B853" s="235" t="s">
        <v>26439</v>
      </c>
      <c r="C853" s="228" t="s">
        <v>7</v>
      </c>
      <c r="D853" s="229">
        <v>25.79</v>
      </c>
    </row>
    <row r="854" spans="1:4" ht="14.25">
      <c r="A854" s="235">
        <v>49566</v>
      </c>
      <c r="B854" s="235" t="s">
        <v>1737</v>
      </c>
      <c r="C854" s="228" t="s">
        <v>7</v>
      </c>
      <c r="D854" s="229">
        <v>3.76</v>
      </c>
    </row>
    <row r="855" spans="1:4" ht="14.25">
      <c r="A855" s="235">
        <v>49567</v>
      </c>
      <c r="B855" s="235" t="s">
        <v>1738</v>
      </c>
      <c r="C855" s="228" t="s">
        <v>7</v>
      </c>
      <c r="D855" s="229">
        <v>60.55</v>
      </c>
    </row>
    <row r="856" spans="1:4" ht="14.25">
      <c r="A856" s="235">
        <v>49568</v>
      </c>
      <c r="B856" s="235" t="s">
        <v>1739</v>
      </c>
      <c r="C856" s="228" t="s">
        <v>7</v>
      </c>
      <c r="D856" s="229">
        <v>11.04</v>
      </c>
    </row>
    <row r="857" spans="1:4" ht="14.25">
      <c r="A857" s="235">
        <v>49570</v>
      </c>
      <c r="B857" s="235" t="s">
        <v>1740</v>
      </c>
      <c r="C857" s="228" t="s">
        <v>7</v>
      </c>
      <c r="D857" s="229">
        <v>9.25</v>
      </c>
    </row>
    <row r="858" spans="1:4" ht="28.5">
      <c r="A858" s="235">
        <v>49582</v>
      </c>
      <c r="B858" s="235" t="s">
        <v>26440</v>
      </c>
      <c r="C858" s="228" t="s">
        <v>7</v>
      </c>
      <c r="D858" s="229">
        <v>145.16</v>
      </c>
    </row>
    <row r="859" spans="1:4" ht="15">
      <c r="A859" s="232">
        <v>496</v>
      </c>
      <c r="B859" s="233" t="s">
        <v>1230</v>
      </c>
      <c r="C859" s="234"/>
      <c r="D859" s="234"/>
    </row>
    <row r="860" spans="1:4" ht="28.5">
      <c r="A860" s="235">
        <v>49606</v>
      </c>
      <c r="B860" s="235" t="s">
        <v>1741</v>
      </c>
      <c r="C860" s="228" t="s">
        <v>6</v>
      </c>
      <c r="D860" s="229">
        <v>17.77</v>
      </c>
    </row>
    <row r="861" spans="1:4" ht="28.5">
      <c r="A861" s="235">
        <v>49626</v>
      </c>
      <c r="B861" s="235" t="s">
        <v>1742</v>
      </c>
      <c r="C861" s="228" t="s">
        <v>7</v>
      </c>
      <c r="D861" s="229">
        <v>4.08</v>
      </c>
    </row>
    <row r="862" spans="1:4" ht="14.25">
      <c r="A862" s="235">
        <v>49633</v>
      </c>
      <c r="B862" s="235" t="s">
        <v>1743</v>
      </c>
      <c r="C862" s="228" t="s">
        <v>7</v>
      </c>
      <c r="D862" s="229">
        <v>1.55</v>
      </c>
    </row>
    <row r="863" spans="1:4" ht="14.25">
      <c r="A863" s="235">
        <v>49645</v>
      </c>
      <c r="B863" s="235" t="s">
        <v>1744</v>
      </c>
      <c r="C863" s="228" t="s">
        <v>7</v>
      </c>
      <c r="D863" s="229">
        <v>267.72000000000003</v>
      </c>
    </row>
    <row r="864" spans="1:4" ht="28.5">
      <c r="A864" s="235">
        <v>49654</v>
      </c>
      <c r="B864" s="235" t="s">
        <v>1745</v>
      </c>
      <c r="C864" s="228" t="s">
        <v>7</v>
      </c>
      <c r="D864" s="229">
        <v>28.24</v>
      </c>
    </row>
    <row r="865" spans="1:4" ht="28.5">
      <c r="A865" s="235">
        <v>49666</v>
      </c>
      <c r="B865" s="235" t="s">
        <v>1746</v>
      </c>
      <c r="C865" s="228" t="s">
        <v>6</v>
      </c>
      <c r="D865" s="229">
        <v>26.98</v>
      </c>
    </row>
    <row r="866" spans="1:4" ht="14.25">
      <c r="A866" s="235">
        <v>49674</v>
      </c>
      <c r="B866" s="235" t="s">
        <v>26441</v>
      </c>
      <c r="C866" s="228" t="s">
        <v>7</v>
      </c>
      <c r="D866" s="229">
        <v>32.46</v>
      </c>
    </row>
    <row r="867" spans="1:4" ht="14.25">
      <c r="A867" s="235">
        <v>49681</v>
      </c>
      <c r="B867" s="235" t="s">
        <v>1747</v>
      </c>
      <c r="C867" s="228" t="s">
        <v>7</v>
      </c>
      <c r="D867" s="229">
        <v>5.31</v>
      </c>
    </row>
    <row r="868" spans="1:4" ht="14.25">
      <c r="A868" s="235">
        <v>49686</v>
      </c>
      <c r="B868" s="235" t="s">
        <v>1748</v>
      </c>
      <c r="C868" s="228" t="s">
        <v>7</v>
      </c>
      <c r="D868" s="229">
        <v>68.47</v>
      </c>
    </row>
    <row r="869" spans="1:4" ht="28.5">
      <c r="A869" s="235">
        <v>49694</v>
      </c>
      <c r="B869" s="235" t="s">
        <v>1749</v>
      </c>
      <c r="C869" s="228" t="s">
        <v>7</v>
      </c>
      <c r="D869" s="229">
        <v>25.66</v>
      </c>
    </row>
    <row r="870" spans="1:4" ht="14.25">
      <c r="A870" s="235">
        <v>49695</v>
      </c>
      <c r="B870" s="235" t="s">
        <v>1750</v>
      </c>
      <c r="C870" s="228" t="s">
        <v>7</v>
      </c>
      <c r="D870" s="229">
        <v>62.02</v>
      </c>
    </row>
    <row r="871" spans="1:4" ht="14.25">
      <c r="A871" s="235">
        <v>49696</v>
      </c>
      <c r="B871" s="235" t="s">
        <v>1751</v>
      </c>
      <c r="C871" s="228" t="s">
        <v>7</v>
      </c>
      <c r="D871" s="229">
        <v>168.6</v>
      </c>
    </row>
    <row r="872" spans="1:4" ht="15">
      <c r="A872" s="232">
        <v>497</v>
      </c>
      <c r="B872" s="233" t="s">
        <v>1221</v>
      </c>
      <c r="C872" s="234"/>
      <c r="D872" s="234"/>
    </row>
    <row r="873" spans="1:4" ht="14.25">
      <c r="A873" s="235">
        <v>49709</v>
      </c>
      <c r="B873" s="235" t="s">
        <v>26442</v>
      </c>
      <c r="C873" s="228" t="s">
        <v>7</v>
      </c>
      <c r="D873" s="229">
        <v>6.2</v>
      </c>
    </row>
    <row r="874" spans="1:4" ht="14.25">
      <c r="A874" s="235">
        <v>49729</v>
      </c>
      <c r="B874" s="235" t="s">
        <v>1752</v>
      </c>
      <c r="C874" s="228" t="s">
        <v>6</v>
      </c>
      <c r="D874" s="229">
        <v>154.01</v>
      </c>
    </row>
    <row r="875" spans="1:4" ht="28.5">
      <c r="A875" s="235">
        <v>49774</v>
      </c>
      <c r="B875" s="235" t="s">
        <v>1753</v>
      </c>
      <c r="C875" s="228" t="s">
        <v>7</v>
      </c>
      <c r="D875" s="229">
        <v>35.19</v>
      </c>
    </row>
    <row r="876" spans="1:4" ht="28.5">
      <c r="A876" s="235">
        <v>49791</v>
      </c>
      <c r="B876" s="235" t="s">
        <v>1754</v>
      </c>
      <c r="C876" s="228" t="s">
        <v>7</v>
      </c>
      <c r="D876" s="229">
        <v>15.77</v>
      </c>
    </row>
    <row r="877" spans="1:4" ht="15">
      <c r="A877" s="232">
        <v>498</v>
      </c>
      <c r="B877" s="233" t="s">
        <v>1390</v>
      </c>
      <c r="C877" s="234"/>
      <c r="D877" s="234"/>
    </row>
    <row r="878" spans="1:4" ht="14.25">
      <c r="A878" s="235">
        <v>49803</v>
      </c>
      <c r="B878" s="235" t="s">
        <v>1755</v>
      </c>
      <c r="C878" s="228" t="s">
        <v>7</v>
      </c>
      <c r="D878" s="229">
        <v>4.9000000000000004</v>
      </c>
    </row>
    <row r="879" spans="1:4" ht="14.25">
      <c r="A879" s="235">
        <v>49804</v>
      </c>
      <c r="B879" s="235" t="s">
        <v>1756</v>
      </c>
      <c r="C879" s="228" t="s">
        <v>7</v>
      </c>
      <c r="D879" s="229">
        <v>5.31</v>
      </c>
    </row>
    <row r="880" spans="1:4" ht="14.25">
      <c r="A880" s="235">
        <v>49805</v>
      </c>
      <c r="B880" s="235" t="s">
        <v>1757</v>
      </c>
      <c r="C880" s="228" t="s">
        <v>7</v>
      </c>
      <c r="D880" s="229">
        <v>9.64</v>
      </c>
    </row>
    <row r="881" spans="1:4" ht="14.25">
      <c r="A881" s="235">
        <v>49806</v>
      </c>
      <c r="B881" s="235" t="s">
        <v>1758</v>
      </c>
      <c r="C881" s="228" t="s">
        <v>7</v>
      </c>
      <c r="D881" s="229">
        <v>10.130000000000001</v>
      </c>
    </row>
    <row r="882" spans="1:4" ht="14.25">
      <c r="A882" s="235">
        <v>49807</v>
      </c>
      <c r="B882" s="235" t="s">
        <v>1759</v>
      </c>
      <c r="C882" s="228" t="s">
        <v>7</v>
      </c>
      <c r="D882" s="229">
        <v>17.91</v>
      </c>
    </row>
    <row r="883" spans="1:4" ht="14.25">
      <c r="A883" s="235">
        <v>49809</v>
      </c>
      <c r="B883" s="235" t="s">
        <v>1760</v>
      </c>
      <c r="C883" s="228" t="s">
        <v>7</v>
      </c>
      <c r="D883" s="229">
        <v>25.19</v>
      </c>
    </row>
    <row r="884" spans="1:4" ht="14.25">
      <c r="A884" s="235">
        <v>49811</v>
      </c>
      <c r="B884" s="235" t="s">
        <v>1761</v>
      </c>
      <c r="C884" s="228" t="s">
        <v>7</v>
      </c>
      <c r="D884" s="229">
        <v>39.590000000000003</v>
      </c>
    </row>
    <row r="885" spans="1:4" ht="14.25">
      <c r="A885" s="235">
        <v>49812</v>
      </c>
      <c r="B885" s="235" t="s">
        <v>1762</v>
      </c>
      <c r="C885" s="228" t="s">
        <v>7</v>
      </c>
      <c r="D885" s="229">
        <v>227.25</v>
      </c>
    </row>
    <row r="886" spans="1:4" ht="14.25">
      <c r="A886" s="235">
        <v>49818</v>
      </c>
      <c r="B886" s="235" t="s">
        <v>1763</v>
      </c>
      <c r="C886" s="228" t="s">
        <v>7</v>
      </c>
      <c r="D886" s="229">
        <v>1.23</v>
      </c>
    </row>
    <row r="887" spans="1:4" ht="28.5">
      <c r="A887" s="235">
        <v>49860</v>
      </c>
      <c r="B887" s="235" t="s">
        <v>1764</v>
      </c>
      <c r="C887" s="228" t="s">
        <v>7</v>
      </c>
      <c r="D887" s="229">
        <v>97.76</v>
      </c>
    </row>
    <row r="888" spans="1:4" ht="14.25">
      <c r="A888" s="235">
        <v>49861</v>
      </c>
      <c r="B888" s="235" t="s">
        <v>1765</v>
      </c>
      <c r="C888" s="228" t="s">
        <v>7</v>
      </c>
      <c r="D888" s="229">
        <v>7.34</v>
      </c>
    </row>
    <row r="889" spans="1:4" ht="14.25">
      <c r="A889" s="235">
        <v>49897</v>
      </c>
      <c r="B889" s="235" t="s">
        <v>1766</v>
      </c>
      <c r="C889" s="228" t="s">
        <v>7</v>
      </c>
      <c r="D889" s="229">
        <v>56.59</v>
      </c>
    </row>
    <row r="890" spans="1:4" ht="15">
      <c r="A890" s="232">
        <v>499</v>
      </c>
      <c r="B890" s="233" t="s">
        <v>1767</v>
      </c>
      <c r="C890" s="234"/>
      <c r="D890" s="234"/>
    </row>
    <row r="891" spans="1:4" ht="28.5">
      <c r="A891" s="235">
        <v>49905</v>
      </c>
      <c r="B891" s="235" t="s">
        <v>1768</v>
      </c>
      <c r="C891" s="228" t="s">
        <v>7</v>
      </c>
      <c r="D891" s="229">
        <v>214.72</v>
      </c>
    </row>
    <row r="892" spans="1:4" ht="14.25">
      <c r="A892" s="235">
        <v>49959</v>
      </c>
      <c r="B892" s="235" t="s">
        <v>1769</v>
      </c>
      <c r="C892" s="228" t="s">
        <v>7</v>
      </c>
      <c r="D892" s="229">
        <v>295.29000000000002</v>
      </c>
    </row>
    <row r="893" spans="1:4" ht="15">
      <c r="A893" s="232">
        <v>5</v>
      </c>
      <c r="B893" s="233" t="s">
        <v>1770</v>
      </c>
      <c r="C893" s="234"/>
      <c r="D893" s="234"/>
    </row>
    <row r="894" spans="1:4" ht="15">
      <c r="A894" s="232">
        <v>501</v>
      </c>
      <c r="B894" s="233" t="s">
        <v>1771</v>
      </c>
      <c r="C894" s="234"/>
      <c r="D894" s="234"/>
    </row>
    <row r="895" spans="1:4" ht="14.25">
      <c r="A895" s="235">
        <v>50128</v>
      </c>
      <c r="B895" s="235" t="s">
        <v>1772</v>
      </c>
      <c r="C895" s="228" t="s">
        <v>7</v>
      </c>
      <c r="D895" s="229">
        <v>0.95</v>
      </c>
    </row>
    <row r="896" spans="1:4" ht="14.25">
      <c r="A896" s="235">
        <v>50163</v>
      </c>
      <c r="B896" s="235" t="s">
        <v>1773</v>
      </c>
      <c r="C896" s="228" t="s">
        <v>7</v>
      </c>
      <c r="D896" s="229">
        <v>4.51</v>
      </c>
    </row>
    <row r="897" spans="1:4" ht="14.25">
      <c r="A897" s="235">
        <v>50164</v>
      </c>
      <c r="B897" s="235" t="s">
        <v>1774</v>
      </c>
      <c r="C897" s="228" t="s">
        <v>7</v>
      </c>
      <c r="D897" s="229">
        <v>12.31</v>
      </c>
    </row>
    <row r="898" spans="1:4" ht="15">
      <c r="A898" s="232">
        <v>510</v>
      </c>
      <c r="B898" s="233" t="s">
        <v>1775</v>
      </c>
      <c r="C898" s="234"/>
      <c r="D898" s="234"/>
    </row>
    <row r="899" spans="1:4" ht="14.25">
      <c r="A899" s="235">
        <v>51008</v>
      </c>
      <c r="B899" s="235" t="s">
        <v>1776</v>
      </c>
      <c r="C899" s="228" t="s">
        <v>7</v>
      </c>
      <c r="D899" s="229">
        <v>28.95</v>
      </c>
    </row>
    <row r="900" spans="1:4" ht="14.25">
      <c r="A900" s="235">
        <v>51015</v>
      </c>
      <c r="B900" s="235" t="s">
        <v>1777</v>
      </c>
      <c r="C900" s="228" t="s">
        <v>7</v>
      </c>
      <c r="D900" s="229">
        <v>30.06</v>
      </c>
    </row>
    <row r="901" spans="1:4" ht="14.25">
      <c r="A901" s="235">
        <v>51016</v>
      </c>
      <c r="B901" s="235" t="s">
        <v>1778</v>
      </c>
      <c r="C901" s="228" t="s">
        <v>7</v>
      </c>
      <c r="D901" s="229">
        <v>30.34</v>
      </c>
    </row>
    <row r="902" spans="1:4" ht="15">
      <c r="A902" s="232">
        <v>540</v>
      </c>
      <c r="B902" s="233" t="s">
        <v>1221</v>
      </c>
      <c r="C902" s="234"/>
      <c r="D902" s="234"/>
    </row>
    <row r="903" spans="1:4" ht="28.5">
      <c r="A903" s="235">
        <v>54003</v>
      </c>
      <c r="B903" s="235" t="s">
        <v>1779</v>
      </c>
      <c r="C903" s="228" t="s">
        <v>7</v>
      </c>
      <c r="D903" s="229">
        <v>4.24</v>
      </c>
    </row>
    <row r="904" spans="1:4" ht="28.5">
      <c r="A904" s="235">
        <v>54010</v>
      </c>
      <c r="B904" s="235" t="s">
        <v>1780</v>
      </c>
      <c r="C904" s="228" t="s">
        <v>7</v>
      </c>
      <c r="D904" s="229">
        <v>24.37</v>
      </c>
    </row>
    <row r="905" spans="1:4" ht="15">
      <c r="A905" s="232">
        <v>6</v>
      </c>
      <c r="B905" s="233" t="s">
        <v>1781</v>
      </c>
      <c r="C905" s="234"/>
      <c r="D905" s="234"/>
    </row>
    <row r="906" spans="1:4" ht="15">
      <c r="A906" s="232">
        <v>601</v>
      </c>
      <c r="B906" s="233" t="s">
        <v>1782</v>
      </c>
      <c r="C906" s="234"/>
      <c r="D906" s="234"/>
    </row>
    <row r="907" spans="1:4" ht="14.25">
      <c r="A907" s="235">
        <v>60101</v>
      </c>
      <c r="B907" s="235" t="s">
        <v>1783</v>
      </c>
      <c r="C907" s="228" t="s">
        <v>6</v>
      </c>
      <c r="D907" s="229">
        <v>63.51</v>
      </c>
    </row>
    <row r="908" spans="1:4" ht="14.25">
      <c r="A908" s="235">
        <v>60104</v>
      </c>
      <c r="B908" s="235" t="s">
        <v>1784</v>
      </c>
      <c r="C908" s="228" t="s">
        <v>6</v>
      </c>
      <c r="D908" s="229">
        <v>49.83</v>
      </c>
    </row>
    <row r="909" spans="1:4" ht="15">
      <c r="A909" s="232">
        <v>602</v>
      </c>
      <c r="B909" s="233" t="s">
        <v>1785</v>
      </c>
      <c r="C909" s="234"/>
      <c r="D909" s="234"/>
    </row>
    <row r="910" spans="1:4" ht="14.25">
      <c r="A910" s="235">
        <v>60241</v>
      </c>
      <c r="B910" s="235" t="s">
        <v>1786</v>
      </c>
      <c r="C910" s="228" t="s">
        <v>7</v>
      </c>
      <c r="D910" s="229">
        <v>25.38</v>
      </c>
    </row>
    <row r="911" spans="1:4" ht="14.25">
      <c r="A911" s="235">
        <v>60242</v>
      </c>
      <c r="B911" s="235" t="s">
        <v>1787</v>
      </c>
      <c r="C911" s="228" t="s">
        <v>7</v>
      </c>
      <c r="D911" s="229">
        <v>45.2</v>
      </c>
    </row>
    <row r="912" spans="1:4" ht="14.25">
      <c r="A912" s="235">
        <v>60243</v>
      </c>
      <c r="B912" s="235" t="s">
        <v>1788</v>
      </c>
      <c r="C912" s="228" t="s">
        <v>7</v>
      </c>
      <c r="D912" s="229">
        <v>69.2</v>
      </c>
    </row>
    <row r="913" spans="1:4" ht="15">
      <c r="A913" s="232">
        <v>604</v>
      </c>
      <c r="B913" s="233" t="s">
        <v>1789</v>
      </c>
      <c r="C913" s="234"/>
      <c r="D913" s="234"/>
    </row>
    <row r="914" spans="1:4" ht="14.25">
      <c r="A914" s="235">
        <v>60406</v>
      </c>
      <c r="B914" s="235" t="s">
        <v>1790</v>
      </c>
      <c r="C914" s="228" t="s">
        <v>7</v>
      </c>
      <c r="D914" s="229">
        <v>138.86000000000001</v>
      </c>
    </row>
    <row r="915" spans="1:4" ht="14.25">
      <c r="A915" s="235">
        <v>60443</v>
      </c>
      <c r="B915" s="235" t="s">
        <v>1791</v>
      </c>
      <c r="C915" s="228" t="s">
        <v>7</v>
      </c>
      <c r="D915" s="229">
        <v>31.47</v>
      </c>
    </row>
    <row r="916" spans="1:4" ht="15">
      <c r="A916" s="232">
        <v>605</v>
      </c>
      <c r="B916" s="233" t="s">
        <v>1789</v>
      </c>
      <c r="C916" s="234"/>
      <c r="D916" s="234"/>
    </row>
    <row r="917" spans="1:4" ht="28.5">
      <c r="A917" s="235">
        <v>60501</v>
      </c>
      <c r="B917" s="235" t="s">
        <v>1792</v>
      </c>
      <c r="C917" s="228" t="s">
        <v>6</v>
      </c>
      <c r="D917" s="229">
        <v>23.88</v>
      </c>
    </row>
    <row r="918" spans="1:4" ht="28.5">
      <c r="A918" s="235">
        <v>60502</v>
      </c>
      <c r="B918" s="235" t="s">
        <v>1793</v>
      </c>
      <c r="C918" s="228" t="s">
        <v>6</v>
      </c>
      <c r="D918" s="229">
        <v>28.68</v>
      </c>
    </row>
    <row r="919" spans="1:4" ht="14.25">
      <c r="A919" s="235">
        <v>60503</v>
      </c>
      <c r="B919" s="235" t="s">
        <v>1794</v>
      </c>
      <c r="C919" s="228" t="s">
        <v>6</v>
      </c>
      <c r="D919" s="229">
        <v>41.08</v>
      </c>
    </row>
    <row r="920" spans="1:4" ht="28.5">
      <c r="A920" s="235">
        <v>60504</v>
      </c>
      <c r="B920" s="235" t="s">
        <v>1795</v>
      </c>
      <c r="C920" s="228" t="s">
        <v>6</v>
      </c>
      <c r="D920" s="229">
        <v>52.86</v>
      </c>
    </row>
    <row r="921" spans="1:4" ht="28.5">
      <c r="A921" s="235">
        <v>60505</v>
      </c>
      <c r="B921" s="235" t="s">
        <v>1796</v>
      </c>
      <c r="C921" s="228" t="s">
        <v>6</v>
      </c>
      <c r="D921" s="229">
        <v>66.790000000000006</v>
      </c>
    </row>
    <row r="922" spans="1:4" ht="14.25">
      <c r="A922" s="235">
        <v>60506</v>
      </c>
      <c r="B922" s="235" t="s">
        <v>1797</v>
      </c>
      <c r="C922" s="228" t="s">
        <v>6</v>
      </c>
      <c r="D922" s="229">
        <v>85.05</v>
      </c>
    </row>
    <row r="923" spans="1:4" ht="28.5">
      <c r="A923" s="235">
        <v>60507</v>
      </c>
      <c r="B923" s="235" t="s">
        <v>1798</v>
      </c>
      <c r="C923" s="228" t="s">
        <v>6</v>
      </c>
      <c r="D923" s="229">
        <v>125.4</v>
      </c>
    </row>
    <row r="924" spans="1:4" ht="14.25">
      <c r="A924" s="235">
        <v>60508</v>
      </c>
      <c r="B924" s="235" t="s">
        <v>1799</v>
      </c>
      <c r="C924" s="228" t="s">
        <v>6</v>
      </c>
      <c r="D924" s="229">
        <v>142.06</v>
      </c>
    </row>
    <row r="925" spans="1:4" ht="14.25">
      <c r="A925" s="235">
        <v>60509</v>
      </c>
      <c r="B925" s="235" t="s">
        <v>1800</v>
      </c>
      <c r="C925" s="228" t="s">
        <v>6</v>
      </c>
      <c r="D925" s="229">
        <v>215.96</v>
      </c>
    </row>
    <row r="926" spans="1:4" ht="15">
      <c r="A926" s="232">
        <v>610</v>
      </c>
      <c r="B926" s="233" t="s">
        <v>1801</v>
      </c>
      <c r="C926" s="234"/>
      <c r="D926" s="234"/>
    </row>
    <row r="927" spans="1:4" ht="14.25">
      <c r="A927" s="235">
        <v>61004</v>
      </c>
      <c r="B927" s="235" t="s">
        <v>1802</v>
      </c>
      <c r="C927" s="228" t="s">
        <v>6</v>
      </c>
      <c r="D927" s="229">
        <v>614.30999999999995</v>
      </c>
    </row>
    <row r="928" spans="1:4" ht="15">
      <c r="A928" s="232">
        <v>621</v>
      </c>
      <c r="B928" s="233" t="s">
        <v>1803</v>
      </c>
      <c r="C928" s="234"/>
      <c r="D928" s="234"/>
    </row>
    <row r="929" spans="1:4" ht="28.5">
      <c r="A929" s="235">
        <v>62101</v>
      </c>
      <c r="B929" s="235" t="s">
        <v>1804</v>
      </c>
      <c r="C929" s="228" t="s">
        <v>7</v>
      </c>
      <c r="D929" s="229">
        <v>13.59</v>
      </c>
    </row>
    <row r="930" spans="1:4" ht="28.5">
      <c r="A930" s="235">
        <v>62102</v>
      </c>
      <c r="B930" s="235" t="s">
        <v>1805</v>
      </c>
      <c r="C930" s="228" t="s">
        <v>7</v>
      </c>
      <c r="D930" s="229">
        <v>15.02</v>
      </c>
    </row>
    <row r="931" spans="1:4" ht="28.5">
      <c r="A931" s="235">
        <v>62103</v>
      </c>
      <c r="B931" s="235" t="s">
        <v>1806</v>
      </c>
      <c r="C931" s="228" t="s">
        <v>7</v>
      </c>
      <c r="D931" s="229">
        <v>20.92</v>
      </c>
    </row>
    <row r="932" spans="1:4" ht="28.5">
      <c r="A932" s="235">
        <v>62104</v>
      </c>
      <c r="B932" s="235" t="s">
        <v>1807</v>
      </c>
      <c r="C932" s="228" t="s">
        <v>7</v>
      </c>
      <c r="D932" s="229">
        <v>26.25</v>
      </c>
    </row>
    <row r="933" spans="1:4" ht="28.5">
      <c r="A933" s="235">
        <v>62105</v>
      </c>
      <c r="B933" s="235" t="s">
        <v>1808</v>
      </c>
      <c r="C933" s="228" t="s">
        <v>7</v>
      </c>
      <c r="D933" s="229">
        <v>32.29</v>
      </c>
    </row>
    <row r="934" spans="1:4" ht="28.5">
      <c r="A934" s="235">
        <v>62106</v>
      </c>
      <c r="B934" s="235" t="s">
        <v>1809</v>
      </c>
      <c r="C934" s="228" t="s">
        <v>7</v>
      </c>
      <c r="D934" s="229">
        <v>53.84</v>
      </c>
    </row>
    <row r="935" spans="1:4" ht="28.5">
      <c r="A935" s="235">
        <v>62107</v>
      </c>
      <c r="B935" s="235" t="s">
        <v>1810</v>
      </c>
      <c r="C935" s="228" t="s">
        <v>7</v>
      </c>
      <c r="D935" s="229">
        <v>248.86</v>
      </c>
    </row>
    <row r="936" spans="1:4" ht="28.5">
      <c r="A936" s="235">
        <v>62111</v>
      </c>
      <c r="B936" s="235" t="s">
        <v>1811</v>
      </c>
      <c r="C936" s="228" t="s">
        <v>7</v>
      </c>
      <c r="D936" s="229">
        <v>1.29</v>
      </c>
    </row>
    <row r="937" spans="1:4" ht="28.5">
      <c r="A937" s="235">
        <v>62112</v>
      </c>
      <c r="B937" s="235" t="s">
        <v>1812</v>
      </c>
      <c r="C937" s="228" t="s">
        <v>7</v>
      </c>
      <c r="D937" s="229">
        <v>2.37</v>
      </c>
    </row>
    <row r="938" spans="1:4" ht="28.5">
      <c r="A938" s="235">
        <v>62116</v>
      </c>
      <c r="B938" s="235" t="s">
        <v>1813</v>
      </c>
      <c r="C938" s="228" t="s">
        <v>7</v>
      </c>
      <c r="D938" s="229">
        <v>5.81</v>
      </c>
    </row>
    <row r="939" spans="1:4" ht="28.5">
      <c r="A939" s="235">
        <v>62122</v>
      </c>
      <c r="B939" s="235" t="s">
        <v>1814</v>
      </c>
      <c r="C939" s="228" t="s">
        <v>7</v>
      </c>
      <c r="D939" s="229">
        <v>1.36</v>
      </c>
    </row>
    <row r="940" spans="1:4" ht="28.5">
      <c r="A940" s="235">
        <v>62129</v>
      </c>
      <c r="B940" s="235" t="s">
        <v>1815</v>
      </c>
      <c r="C940" s="228" t="s">
        <v>7</v>
      </c>
      <c r="D940" s="229">
        <v>6.46</v>
      </c>
    </row>
    <row r="941" spans="1:4" ht="28.5">
      <c r="A941" s="235">
        <v>62187</v>
      </c>
      <c r="B941" s="235" t="s">
        <v>1816</v>
      </c>
      <c r="C941" s="228" t="s">
        <v>7</v>
      </c>
      <c r="D941" s="229">
        <v>5.98</v>
      </c>
    </row>
    <row r="942" spans="1:4" ht="15">
      <c r="A942" s="232">
        <v>623</v>
      </c>
      <c r="B942" s="233" t="s">
        <v>1817</v>
      </c>
      <c r="C942" s="234"/>
      <c r="D942" s="234"/>
    </row>
    <row r="943" spans="1:4" ht="14.25">
      <c r="A943" s="235">
        <v>62319</v>
      </c>
      <c r="B943" s="235" t="s">
        <v>1818</v>
      </c>
      <c r="C943" s="228" t="s">
        <v>7</v>
      </c>
      <c r="D943" s="229">
        <v>3.96</v>
      </c>
    </row>
    <row r="944" spans="1:4" ht="28.5">
      <c r="A944" s="235">
        <v>62321</v>
      </c>
      <c r="B944" s="235" t="s">
        <v>1819</v>
      </c>
      <c r="C944" s="228" t="s">
        <v>7</v>
      </c>
      <c r="D944" s="229">
        <v>3.91</v>
      </c>
    </row>
    <row r="945" spans="1:4" ht="14.25">
      <c r="A945" s="235">
        <v>62324</v>
      </c>
      <c r="B945" s="235" t="s">
        <v>1820</v>
      </c>
      <c r="C945" s="228" t="s">
        <v>7</v>
      </c>
      <c r="D945" s="229">
        <v>2.98</v>
      </c>
    </row>
    <row r="946" spans="1:4" ht="28.5">
      <c r="A946" s="235">
        <v>62375</v>
      </c>
      <c r="B946" s="235" t="s">
        <v>26443</v>
      </c>
      <c r="C946" s="228" t="s">
        <v>6</v>
      </c>
      <c r="D946" s="229">
        <v>82.44</v>
      </c>
    </row>
    <row r="947" spans="1:4" ht="15">
      <c r="A947" s="232">
        <v>624</v>
      </c>
      <c r="B947" s="233" t="s">
        <v>1821</v>
      </c>
      <c r="C947" s="234"/>
      <c r="D947" s="234"/>
    </row>
    <row r="948" spans="1:4" ht="14.25">
      <c r="A948" s="235">
        <v>62419</v>
      </c>
      <c r="B948" s="235" t="s">
        <v>1822</v>
      </c>
      <c r="C948" s="228" t="s">
        <v>6</v>
      </c>
      <c r="D948" s="229">
        <v>71.41</v>
      </c>
    </row>
    <row r="949" spans="1:4" ht="14.25">
      <c r="A949" s="235">
        <v>62420</v>
      </c>
      <c r="B949" s="235" t="s">
        <v>1823</v>
      </c>
      <c r="C949" s="228" t="s">
        <v>7</v>
      </c>
      <c r="D949" s="229">
        <v>4.99</v>
      </c>
    </row>
    <row r="950" spans="1:4" ht="14.25">
      <c r="A950" s="235">
        <v>62423</v>
      </c>
      <c r="B950" s="235" t="s">
        <v>1824</v>
      </c>
      <c r="C950" s="228" t="s">
        <v>7</v>
      </c>
      <c r="D950" s="229">
        <v>22.49</v>
      </c>
    </row>
    <row r="951" spans="1:4" ht="14.25">
      <c r="A951" s="235">
        <v>62430</v>
      </c>
      <c r="B951" s="235" t="s">
        <v>1825</v>
      </c>
      <c r="C951" s="228" t="s">
        <v>7</v>
      </c>
      <c r="D951" s="229">
        <v>45.27</v>
      </c>
    </row>
    <row r="952" spans="1:4" ht="14.25">
      <c r="A952" s="235">
        <v>62440</v>
      </c>
      <c r="B952" s="235" t="s">
        <v>1826</v>
      </c>
      <c r="C952" s="228" t="s">
        <v>7</v>
      </c>
      <c r="D952" s="229">
        <v>30.7</v>
      </c>
    </row>
    <row r="953" spans="1:4" ht="14.25">
      <c r="A953" s="235">
        <v>62472</v>
      </c>
      <c r="B953" s="235" t="s">
        <v>1827</v>
      </c>
      <c r="C953" s="228" t="s">
        <v>7</v>
      </c>
      <c r="D953" s="229">
        <v>14</v>
      </c>
    </row>
    <row r="954" spans="1:4" ht="14.25">
      <c r="A954" s="235">
        <v>62482</v>
      </c>
      <c r="B954" s="235" t="s">
        <v>1828</v>
      </c>
      <c r="C954" s="228" t="s">
        <v>7</v>
      </c>
      <c r="D954" s="229">
        <v>65.86</v>
      </c>
    </row>
    <row r="955" spans="1:4" ht="15">
      <c r="A955" s="232">
        <v>625</v>
      </c>
      <c r="B955" s="233" t="s">
        <v>1829</v>
      </c>
      <c r="C955" s="234"/>
      <c r="D955" s="234"/>
    </row>
    <row r="956" spans="1:4" ht="28.5">
      <c r="A956" s="235">
        <v>62501</v>
      </c>
      <c r="B956" s="235" t="s">
        <v>26444</v>
      </c>
      <c r="C956" s="228" t="s">
        <v>6</v>
      </c>
      <c r="D956" s="229">
        <v>4.4400000000000004</v>
      </c>
    </row>
    <row r="957" spans="1:4" ht="28.5">
      <c r="A957" s="235">
        <v>62502</v>
      </c>
      <c r="B957" s="235" t="s">
        <v>26445</v>
      </c>
      <c r="C957" s="228" t="s">
        <v>6</v>
      </c>
      <c r="D957" s="229">
        <v>5.82</v>
      </c>
    </row>
    <row r="958" spans="1:4" ht="28.5">
      <c r="A958" s="235">
        <v>62503</v>
      </c>
      <c r="B958" s="235" t="s">
        <v>26446</v>
      </c>
      <c r="C958" s="228" t="s">
        <v>6</v>
      </c>
      <c r="D958" s="229">
        <v>11.68</v>
      </c>
    </row>
    <row r="959" spans="1:4" ht="28.5">
      <c r="A959" s="235">
        <v>62504</v>
      </c>
      <c r="B959" s="235" t="s">
        <v>26447</v>
      </c>
      <c r="C959" s="228" t="s">
        <v>6</v>
      </c>
      <c r="D959" s="229">
        <v>19.07</v>
      </c>
    </row>
    <row r="960" spans="1:4" ht="28.5">
      <c r="A960" s="235">
        <v>62505</v>
      </c>
      <c r="B960" s="235" t="s">
        <v>26448</v>
      </c>
      <c r="C960" s="228" t="s">
        <v>6</v>
      </c>
      <c r="D960" s="229">
        <v>22.64</v>
      </c>
    </row>
    <row r="961" spans="1:4" ht="28.5">
      <c r="A961" s="235">
        <v>62506</v>
      </c>
      <c r="B961" s="235" t="s">
        <v>26449</v>
      </c>
      <c r="C961" s="228" t="s">
        <v>6</v>
      </c>
      <c r="D961" s="229">
        <v>37.67</v>
      </c>
    </row>
    <row r="962" spans="1:4" ht="28.5">
      <c r="A962" s="235">
        <v>62507</v>
      </c>
      <c r="B962" s="235" t="s">
        <v>26450</v>
      </c>
      <c r="C962" s="228" t="s">
        <v>6</v>
      </c>
      <c r="D962" s="229">
        <v>56.46</v>
      </c>
    </row>
    <row r="963" spans="1:4" ht="28.5">
      <c r="A963" s="235">
        <v>62508</v>
      </c>
      <c r="B963" s="235" t="s">
        <v>26451</v>
      </c>
      <c r="C963" s="228" t="s">
        <v>6</v>
      </c>
      <c r="D963" s="229">
        <v>76.069999999999993</v>
      </c>
    </row>
    <row r="964" spans="1:4" ht="14.25">
      <c r="A964" s="235">
        <v>62511</v>
      </c>
      <c r="B964" s="235" t="s">
        <v>1830</v>
      </c>
      <c r="C964" s="228" t="s">
        <v>7</v>
      </c>
      <c r="D964" s="229">
        <v>1.1000000000000001</v>
      </c>
    </row>
    <row r="965" spans="1:4" ht="14.25">
      <c r="A965" s="235">
        <v>62512</v>
      </c>
      <c r="B965" s="235" t="s">
        <v>1831</v>
      </c>
      <c r="C965" s="228" t="s">
        <v>7</v>
      </c>
      <c r="D965" s="229">
        <v>3.06</v>
      </c>
    </row>
    <row r="966" spans="1:4" ht="14.25">
      <c r="A966" s="235">
        <v>62514</v>
      </c>
      <c r="B966" s="235" t="s">
        <v>1832</v>
      </c>
      <c r="C966" s="228" t="s">
        <v>7</v>
      </c>
      <c r="D966" s="229">
        <v>7.32</v>
      </c>
    </row>
    <row r="967" spans="1:4" ht="14.25">
      <c r="A967" s="235">
        <v>62520</v>
      </c>
      <c r="B967" s="235" t="s">
        <v>1833</v>
      </c>
      <c r="C967" s="228" t="s">
        <v>7</v>
      </c>
      <c r="D967" s="229">
        <v>1.72</v>
      </c>
    </row>
    <row r="968" spans="1:4" ht="14.25">
      <c r="A968" s="235">
        <v>62521</v>
      </c>
      <c r="B968" s="235" t="s">
        <v>1834</v>
      </c>
      <c r="C968" s="228" t="s">
        <v>7</v>
      </c>
      <c r="D968" s="229">
        <v>5.16</v>
      </c>
    </row>
    <row r="969" spans="1:4" ht="42.75">
      <c r="A969" s="235">
        <v>62530</v>
      </c>
      <c r="B969" s="235" t="s">
        <v>26452</v>
      </c>
      <c r="C969" s="228" t="s">
        <v>6</v>
      </c>
      <c r="D969" s="229">
        <v>7.44</v>
      </c>
    </row>
    <row r="970" spans="1:4" ht="42.75">
      <c r="A970" s="235">
        <v>62531</v>
      </c>
      <c r="B970" s="235" t="s">
        <v>26453</v>
      </c>
      <c r="C970" s="228" t="s">
        <v>6</v>
      </c>
      <c r="D970" s="229">
        <v>12.02</v>
      </c>
    </row>
    <row r="971" spans="1:4" ht="42.75">
      <c r="A971" s="235">
        <v>62532</v>
      </c>
      <c r="B971" s="235" t="s">
        <v>26454</v>
      </c>
      <c r="C971" s="228" t="s">
        <v>6</v>
      </c>
      <c r="D971" s="229">
        <v>17.98</v>
      </c>
    </row>
    <row r="972" spans="1:4" ht="42.75">
      <c r="A972" s="235">
        <v>62533</v>
      </c>
      <c r="B972" s="235" t="s">
        <v>26455</v>
      </c>
      <c r="C972" s="228" t="s">
        <v>6</v>
      </c>
      <c r="D972" s="229">
        <v>18.63</v>
      </c>
    </row>
    <row r="973" spans="1:4" ht="42.75">
      <c r="A973" s="235">
        <v>62534</v>
      </c>
      <c r="B973" s="235" t="s">
        <v>26456</v>
      </c>
      <c r="C973" s="228" t="s">
        <v>6</v>
      </c>
      <c r="D973" s="229">
        <v>43.35</v>
      </c>
    </row>
    <row r="974" spans="1:4" ht="42.75">
      <c r="A974" s="235">
        <v>62535</v>
      </c>
      <c r="B974" s="235" t="s">
        <v>26457</v>
      </c>
      <c r="C974" s="228" t="s">
        <v>6</v>
      </c>
      <c r="D974" s="229">
        <v>94.04</v>
      </c>
    </row>
    <row r="975" spans="1:4" ht="14.25">
      <c r="A975" s="235">
        <v>62536</v>
      </c>
      <c r="B975" s="235" t="s">
        <v>1835</v>
      </c>
      <c r="C975" s="228" t="s">
        <v>7</v>
      </c>
      <c r="D975" s="229">
        <v>2.76</v>
      </c>
    </row>
    <row r="976" spans="1:4" ht="14.25">
      <c r="A976" s="235">
        <v>62540</v>
      </c>
      <c r="B976" s="235" t="s">
        <v>1836</v>
      </c>
      <c r="C976" s="228" t="s">
        <v>7</v>
      </c>
      <c r="D976" s="229">
        <v>2.17</v>
      </c>
    </row>
    <row r="977" spans="1:4" ht="14.25">
      <c r="A977" s="235">
        <v>62542</v>
      </c>
      <c r="B977" s="235" t="s">
        <v>1837</v>
      </c>
      <c r="C977" s="228" t="s">
        <v>7</v>
      </c>
      <c r="D977" s="229">
        <v>7.37</v>
      </c>
    </row>
    <row r="978" spans="1:4" ht="14.25">
      <c r="A978" s="235">
        <v>62543</v>
      </c>
      <c r="B978" s="235" t="s">
        <v>1838</v>
      </c>
      <c r="C978" s="228" t="s">
        <v>7</v>
      </c>
      <c r="D978" s="229">
        <v>8.3699999999999992</v>
      </c>
    </row>
    <row r="979" spans="1:4" ht="14.25">
      <c r="A979" s="235">
        <v>62544</v>
      </c>
      <c r="B979" s="235" t="s">
        <v>1839</v>
      </c>
      <c r="C979" s="228" t="s">
        <v>7</v>
      </c>
      <c r="D979" s="229">
        <v>5.16</v>
      </c>
    </row>
    <row r="980" spans="1:4" ht="14.25">
      <c r="A980" s="235">
        <v>62547</v>
      </c>
      <c r="B980" s="235" t="s">
        <v>1840</v>
      </c>
      <c r="C980" s="228" t="s">
        <v>7</v>
      </c>
      <c r="D980" s="229">
        <v>18.260000000000002</v>
      </c>
    </row>
    <row r="981" spans="1:4" ht="14.25">
      <c r="A981" s="235">
        <v>62549</v>
      </c>
      <c r="B981" s="235" t="s">
        <v>1841</v>
      </c>
      <c r="C981" s="228" t="s">
        <v>7</v>
      </c>
      <c r="D981" s="229">
        <v>14.87</v>
      </c>
    </row>
    <row r="982" spans="1:4" ht="14.25">
      <c r="A982" s="235">
        <v>62570</v>
      </c>
      <c r="B982" s="235" t="s">
        <v>1842</v>
      </c>
      <c r="C982" s="228" t="s">
        <v>7</v>
      </c>
      <c r="D982" s="229">
        <v>1.29</v>
      </c>
    </row>
    <row r="983" spans="1:4" ht="14.25">
      <c r="A983" s="235">
        <v>62577</v>
      </c>
      <c r="B983" s="235" t="s">
        <v>1843</v>
      </c>
      <c r="C983" s="228" t="s">
        <v>7</v>
      </c>
      <c r="D983" s="229">
        <v>63.65</v>
      </c>
    </row>
    <row r="984" spans="1:4" ht="14.25">
      <c r="A984" s="235">
        <v>62588</v>
      </c>
      <c r="B984" s="235" t="s">
        <v>1844</v>
      </c>
      <c r="C984" s="228" t="s">
        <v>7</v>
      </c>
      <c r="D984" s="229">
        <v>8.59</v>
      </c>
    </row>
    <row r="985" spans="1:4" ht="14.25">
      <c r="A985" s="235">
        <v>62594</v>
      </c>
      <c r="B985" s="235" t="s">
        <v>1845</v>
      </c>
      <c r="C985" s="228" t="s">
        <v>7</v>
      </c>
      <c r="D985" s="229">
        <v>2.23</v>
      </c>
    </row>
    <row r="986" spans="1:4" ht="15">
      <c r="A986" s="232">
        <v>626</v>
      </c>
      <c r="B986" s="233" t="s">
        <v>1846</v>
      </c>
      <c r="C986" s="234"/>
      <c r="D986" s="234"/>
    </row>
    <row r="987" spans="1:4" ht="14.25">
      <c r="A987" s="235">
        <v>62674</v>
      </c>
      <c r="B987" s="235" t="s">
        <v>1847</v>
      </c>
      <c r="C987" s="228" t="s">
        <v>7</v>
      </c>
      <c r="D987" s="229">
        <v>12.32</v>
      </c>
    </row>
    <row r="988" spans="1:4" ht="15">
      <c r="A988" s="232">
        <v>627</v>
      </c>
      <c r="B988" s="233" t="s">
        <v>1848</v>
      </c>
      <c r="C988" s="234"/>
      <c r="D988" s="234"/>
    </row>
    <row r="989" spans="1:4" ht="14.25">
      <c r="A989" s="235">
        <v>62702</v>
      </c>
      <c r="B989" s="235" t="s">
        <v>1849</v>
      </c>
      <c r="C989" s="228" t="s">
        <v>6</v>
      </c>
      <c r="D989" s="229">
        <v>18.13</v>
      </c>
    </row>
    <row r="990" spans="1:4" ht="14.25">
      <c r="A990" s="235">
        <v>62703</v>
      </c>
      <c r="B990" s="235" t="s">
        <v>1850</v>
      </c>
      <c r="C990" s="228" t="s">
        <v>6</v>
      </c>
      <c r="D990" s="229">
        <v>30.98</v>
      </c>
    </row>
    <row r="991" spans="1:4" ht="15">
      <c r="A991" s="232">
        <v>628</v>
      </c>
      <c r="B991" s="233" t="s">
        <v>1848</v>
      </c>
      <c r="C991" s="234"/>
      <c r="D991" s="234"/>
    </row>
    <row r="992" spans="1:4" ht="14.25">
      <c r="A992" s="235">
        <v>62813</v>
      </c>
      <c r="B992" s="235" t="s">
        <v>1851</v>
      </c>
      <c r="C992" s="228" t="s">
        <v>7</v>
      </c>
      <c r="D992" s="229">
        <v>3.71</v>
      </c>
    </row>
    <row r="993" spans="1:4" ht="14.25">
      <c r="A993" s="235">
        <v>62814</v>
      </c>
      <c r="B993" s="235" t="s">
        <v>1852</v>
      </c>
      <c r="C993" s="228" t="s">
        <v>7</v>
      </c>
      <c r="D993" s="229">
        <v>6.16</v>
      </c>
    </row>
    <row r="994" spans="1:4" ht="14.25">
      <c r="A994" s="235">
        <v>62890</v>
      </c>
      <c r="B994" s="235" t="s">
        <v>1853</v>
      </c>
      <c r="C994" s="228" t="s">
        <v>7</v>
      </c>
      <c r="D994" s="229">
        <v>10.47</v>
      </c>
    </row>
    <row r="995" spans="1:4" ht="15">
      <c r="A995" s="232">
        <v>634</v>
      </c>
      <c r="B995" s="233" t="s">
        <v>1854</v>
      </c>
      <c r="C995" s="234"/>
      <c r="D995" s="234"/>
    </row>
    <row r="996" spans="1:4" ht="14.25">
      <c r="A996" s="235">
        <v>63480</v>
      </c>
      <c r="B996" s="235" t="s">
        <v>1855</v>
      </c>
      <c r="C996" s="228" t="s">
        <v>7</v>
      </c>
      <c r="D996" s="229">
        <v>299.14</v>
      </c>
    </row>
    <row r="997" spans="1:4" ht="15">
      <c r="A997" s="232">
        <v>635</v>
      </c>
      <c r="B997" s="233" t="s">
        <v>1856</v>
      </c>
      <c r="C997" s="234"/>
      <c r="D997" s="234"/>
    </row>
    <row r="998" spans="1:4" ht="14.25">
      <c r="A998" s="235">
        <v>63501</v>
      </c>
      <c r="B998" s="235" t="s">
        <v>1857</v>
      </c>
      <c r="C998" s="228" t="s">
        <v>7</v>
      </c>
      <c r="D998" s="229">
        <v>32.340000000000003</v>
      </c>
    </row>
    <row r="999" spans="1:4" ht="14.25">
      <c r="A999" s="235">
        <v>63502</v>
      </c>
      <c r="B999" s="235" t="s">
        <v>1858</v>
      </c>
      <c r="C999" s="228" t="s">
        <v>7</v>
      </c>
      <c r="D999" s="229">
        <v>40.65</v>
      </c>
    </row>
    <row r="1000" spans="1:4" ht="14.25">
      <c r="A1000" s="235">
        <v>63503</v>
      </c>
      <c r="B1000" s="235" t="s">
        <v>1859</v>
      </c>
      <c r="C1000" s="228" t="s">
        <v>7</v>
      </c>
      <c r="D1000" s="229">
        <v>56.8</v>
      </c>
    </row>
    <row r="1001" spans="1:4" ht="14.25">
      <c r="A1001" s="235">
        <v>63504</v>
      </c>
      <c r="B1001" s="235" t="s">
        <v>1860</v>
      </c>
      <c r="C1001" s="228" t="s">
        <v>7</v>
      </c>
      <c r="D1001" s="229">
        <v>67.459999999999994</v>
      </c>
    </row>
    <row r="1002" spans="1:4" ht="14.25">
      <c r="A1002" s="235">
        <v>63505</v>
      </c>
      <c r="B1002" s="235" t="s">
        <v>1861</v>
      </c>
      <c r="C1002" s="228" t="s">
        <v>7</v>
      </c>
      <c r="D1002" s="229">
        <v>88.96</v>
      </c>
    </row>
    <row r="1003" spans="1:4" ht="14.25">
      <c r="A1003" s="235">
        <v>63506</v>
      </c>
      <c r="B1003" s="235" t="s">
        <v>1862</v>
      </c>
      <c r="C1003" s="228" t="s">
        <v>7</v>
      </c>
      <c r="D1003" s="229">
        <v>153.93</v>
      </c>
    </row>
    <row r="1004" spans="1:4" ht="14.25">
      <c r="A1004" s="235">
        <v>63507</v>
      </c>
      <c r="B1004" s="235" t="s">
        <v>1863</v>
      </c>
      <c r="C1004" s="228" t="s">
        <v>7</v>
      </c>
      <c r="D1004" s="229">
        <v>365.9</v>
      </c>
    </row>
    <row r="1005" spans="1:4" ht="14.25">
      <c r="A1005" s="235">
        <v>63508</v>
      </c>
      <c r="B1005" s="235" t="s">
        <v>1864</v>
      </c>
      <c r="C1005" s="228" t="s">
        <v>7</v>
      </c>
      <c r="D1005" s="229">
        <v>455.48</v>
      </c>
    </row>
    <row r="1006" spans="1:4" ht="14.25">
      <c r="A1006" s="235">
        <v>63515</v>
      </c>
      <c r="B1006" s="235" t="s">
        <v>1865</v>
      </c>
      <c r="C1006" s="228" t="s">
        <v>7</v>
      </c>
      <c r="D1006" s="229">
        <v>102.4</v>
      </c>
    </row>
    <row r="1007" spans="1:4" ht="14.25">
      <c r="A1007" s="235">
        <v>63516</v>
      </c>
      <c r="B1007" s="235" t="s">
        <v>1866</v>
      </c>
      <c r="C1007" s="228" t="s">
        <v>7</v>
      </c>
      <c r="D1007" s="229">
        <v>103.22</v>
      </c>
    </row>
    <row r="1008" spans="1:4" ht="14.25">
      <c r="A1008" s="235">
        <v>63517</v>
      </c>
      <c r="B1008" s="235" t="s">
        <v>1867</v>
      </c>
      <c r="C1008" s="228" t="s">
        <v>7</v>
      </c>
      <c r="D1008" s="229">
        <v>144.6</v>
      </c>
    </row>
    <row r="1009" spans="1:4" ht="28.5">
      <c r="A1009" s="235">
        <v>63518</v>
      </c>
      <c r="B1009" s="235" t="s">
        <v>1868</v>
      </c>
      <c r="C1009" s="228" t="s">
        <v>7</v>
      </c>
      <c r="D1009" s="229">
        <v>203.48</v>
      </c>
    </row>
    <row r="1010" spans="1:4" ht="14.25">
      <c r="A1010" s="235">
        <v>63520</v>
      </c>
      <c r="B1010" s="235" t="s">
        <v>1869</v>
      </c>
      <c r="C1010" s="228" t="s">
        <v>7</v>
      </c>
      <c r="D1010" s="229">
        <v>90.57</v>
      </c>
    </row>
    <row r="1011" spans="1:4" ht="14.25">
      <c r="A1011" s="235">
        <v>63521</v>
      </c>
      <c r="B1011" s="235" t="s">
        <v>1870</v>
      </c>
      <c r="C1011" s="228" t="s">
        <v>7</v>
      </c>
      <c r="D1011" s="229">
        <v>94.68</v>
      </c>
    </row>
    <row r="1012" spans="1:4" ht="28.5">
      <c r="A1012" s="235">
        <v>63523</v>
      </c>
      <c r="B1012" s="235" t="s">
        <v>1871</v>
      </c>
      <c r="C1012" s="228" t="s">
        <v>7</v>
      </c>
      <c r="D1012" s="229">
        <v>191.59</v>
      </c>
    </row>
    <row r="1013" spans="1:4" ht="14.25">
      <c r="A1013" s="235">
        <v>63530</v>
      </c>
      <c r="B1013" s="235" t="s">
        <v>1872</v>
      </c>
      <c r="C1013" s="228" t="s">
        <v>7</v>
      </c>
      <c r="D1013" s="229">
        <v>52.2</v>
      </c>
    </row>
    <row r="1014" spans="1:4" ht="28.5">
      <c r="A1014" s="235">
        <v>63533</v>
      </c>
      <c r="B1014" s="235" t="s">
        <v>1873</v>
      </c>
      <c r="C1014" s="228" t="s">
        <v>7</v>
      </c>
      <c r="D1014" s="229">
        <v>38.47</v>
      </c>
    </row>
    <row r="1015" spans="1:4" ht="14.25">
      <c r="A1015" s="235">
        <v>63536</v>
      </c>
      <c r="B1015" s="235" t="s">
        <v>1874</v>
      </c>
      <c r="C1015" s="228" t="s">
        <v>7</v>
      </c>
      <c r="D1015" s="229">
        <v>48.83</v>
      </c>
    </row>
    <row r="1016" spans="1:4" ht="15">
      <c r="A1016" s="232">
        <v>640</v>
      </c>
      <c r="B1016" s="233" t="s">
        <v>1875</v>
      </c>
      <c r="C1016" s="234"/>
      <c r="D1016" s="234"/>
    </row>
    <row r="1017" spans="1:4" ht="28.5">
      <c r="A1017" s="235">
        <v>64001</v>
      </c>
      <c r="B1017" s="235" t="s">
        <v>26514</v>
      </c>
      <c r="C1017" s="228" t="s">
        <v>7</v>
      </c>
      <c r="D1017" s="229">
        <v>49.37</v>
      </c>
    </row>
    <row r="1018" spans="1:4" ht="14.25">
      <c r="A1018" s="235">
        <v>64002</v>
      </c>
      <c r="B1018" s="235" t="s">
        <v>1876</v>
      </c>
      <c r="C1018" s="228" t="s">
        <v>7</v>
      </c>
      <c r="D1018" s="229">
        <v>46.24</v>
      </c>
    </row>
    <row r="1019" spans="1:4" ht="28.5">
      <c r="A1019" s="235">
        <v>64003</v>
      </c>
      <c r="B1019" s="235" t="s">
        <v>1877</v>
      </c>
      <c r="C1019" s="228" t="s">
        <v>7</v>
      </c>
      <c r="D1019" s="229">
        <v>62.75</v>
      </c>
    </row>
    <row r="1020" spans="1:4" ht="14.25">
      <c r="A1020" s="235">
        <v>64004</v>
      </c>
      <c r="B1020" s="235" t="s">
        <v>1878</v>
      </c>
      <c r="C1020" s="228" t="s">
        <v>7</v>
      </c>
      <c r="D1020" s="229">
        <v>292.52</v>
      </c>
    </row>
    <row r="1021" spans="1:4" ht="14.25">
      <c r="A1021" s="235">
        <v>64005</v>
      </c>
      <c r="B1021" s="235" t="s">
        <v>1879</v>
      </c>
      <c r="C1021" s="228" t="s">
        <v>7</v>
      </c>
      <c r="D1021" s="229">
        <v>7.68</v>
      </c>
    </row>
    <row r="1022" spans="1:4" ht="14.25">
      <c r="A1022" s="235">
        <v>64006</v>
      </c>
      <c r="B1022" s="235" t="s">
        <v>1880</v>
      </c>
      <c r="C1022" s="228" t="s">
        <v>7</v>
      </c>
      <c r="D1022" s="229">
        <v>6.02</v>
      </c>
    </row>
    <row r="1023" spans="1:4" ht="28.5">
      <c r="A1023" s="235">
        <v>64010</v>
      </c>
      <c r="B1023" s="235" t="s">
        <v>1881</v>
      </c>
      <c r="C1023" s="228" t="s">
        <v>7</v>
      </c>
      <c r="D1023" s="229">
        <v>273.35000000000002</v>
      </c>
    </row>
    <row r="1024" spans="1:4" ht="28.5">
      <c r="A1024" s="235">
        <v>64011</v>
      </c>
      <c r="B1024" s="235" t="s">
        <v>1882</v>
      </c>
      <c r="C1024" s="228" t="s">
        <v>7</v>
      </c>
      <c r="D1024" s="229">
        <v>150.19</v>
      </c>
    </row>
    <row r="1025" spans="1:4" ht="28.5">
      <c r="A1025" s="235">
        <v>64015</v>
      </c>
      <c r="B1025" s="235" t="s">
        <v>26515</v>
      </c>
      <c r="C1025" s="228" t="s">
        <v>7</v>
      </c>
      <c r="D1025" s="229">
        <v>80.48</v>
      </c>
    </row>
    <row r="1026" spans="1:4" ht="28.5">
      <c r="A1026" s="235">
        <v>64016</v>
      </c>
      <c r="B1026" s="235" t="s">
        <v>26516</v>
      </c>
      <c r="C1026" s="228" t="s">
        <v>7</v>
      </c>
      <c r="D1026" s="229">
        <v>97</v>
      </c>
    </row>
    <row r="1027" spans="1:4" ht="14.25">
      <c r="A1027" s="235">
        <v>64017</v>
      </c>
      <c r="B1027" s="235" t="s">
        <v>26517</v>
      </c>
      <c r="C1027" s="228" t="s">
        <v>7</v>
      </c>
      <c r="D1027" s="229">
        <v>115.74</v>
      </c>
    </row>
    <row r="1028" spans="1:4" ht="28.5">
      <c r="A1028" s="235">
        <v>64018</v>
      </c>
      <c r="B1028" s="235" t="s">
        <v>26518</v>
      </c>
      <c r="C1028" s="228" t="s">
        <v>7</v>
      </c>
      <c r="D1028" s="229">
        <v>138.16999999999999</v>
      </c>
    </row>
    <row r="1029" spans="1:4" ht="28.5">
      <c r="A1029" s="235">
        <v>64019</v>
      </c>
      <c r="B1029" s="235" t="s">
        <v>26519</v>
      </c>
      <c r="C1029" s="228" t="s">
        <v>7</v>
      </c>
      <c r="D1029" s="229">
        <v>154.58000000000001</v>
      </c>
    </row>
    <row r="1030" spans="1:4" ht="14.25">
      <c r="A1030" s="235">
        <v>64020</v>
      </c>
      <c r="B1030" s="235" t="s">
        <v>26520</v>
      </c>
      <c r="C1030" s="228" t="s">
        <v>7</v>
      </c>
      <c r="D1030" s="229">
        <v>318.42</v>
      </c>
    </row>
    <row r="1031" spans="1:4" ht="28.5">
      <c r="A1031" s="235">
        <v>64021</v>
      </c>
      <c r="B1031" s="235" t="s">
        <v>26521</v>
      </c>
      <c r="C1031" s="228" t="s">
        <v>7</v>
      </c>
      <c r="D1031" s="229">
        <v>539.79999999999995</v>
      </c>
    </row>
    <row r="1032" spans="1:4" ht="14.25">
      <c r="A1032" s="235">
        <v>64022</v>
      </c>
      <c r="B1032" s="235" t="s">
        <v>1883</v>
      </c>
      <c r="C1032" s="228" t="s">
        <v>7</v>
      </c>
      <c r="D1032" s="229">
        <v>721.22</v>
      </c>
    </row>
    <row r="1033" spans="1:4" ht="28.5">
      <c r="A1033" s="235">
        <v>64034</v>
      </c>
      <c r="B1033" s="235" t="s">
        <v>1884</v>
      </c>
      <c r="C1033" s="228" t="s">
        <v>7</v>
      </c>
      <c r="D1033" s="229">
        <v>111.5</v>
      </c>
    </row>
    <row r="1034" spans="1:4" ht="14.25">
      <c r="A1034" s="235">
        <v>64035</v>
      </c>
      <c r="B1034" s="235" t="s">
        <v>1885</v>
      </c>
      <c r="C1034" s="228" t="s">
        <v>7</v>
      </c>
      <c r="D1034" s="229">
        <v>59.15</v>
      </c>
    </row>
    <row r="1035" spans="1:4" ht="14.25">
      <c r="A1035" s="235">
        <v>64040</v>
      </c>
      <c r="B1035" s="235" t="s">
        <v>1886</v>
      </c>
      <c r="C1035" s="228" t="s">
        <v>7</v>
      </c>
      <c r="D1035" s="229">
        <v>47.48</v>
      </c>
    </row>
    <row r="1036" spans="1:4" ht="14.25">
      <c r="A1036" s="235">
        <v>64041</v>
      </c>
      <c r="B1036" s="235" t="s">
        <v>1887</v>
      </c>
      <c r="C1036" s="228" t="s">
        <v>7</v>
      </c>
      <c r="D1036" s="229">
        <v>133.72</v>
      </c>
    </row>
    <row r="1037" spans="1:4" ht="14.25">
      <c r="A1037" s="235">
        <v>64042</v>
      </c>
      <c r="B1037" s="235" t="s">
        <v>1888</v>
      </c>
      <c r="C1037" s="228" t="s">
        <v>7</v>
      </c>
      <c r="D1037" s="229">
        <v>181.27</v>
      </c>
    </row>
    <row r="1038" spans="1:4" ht="14.25">
      <c r="A1038" s="235">
        <v>64043</v>
      </c>
      <c r="B1038" s="235" t="s">
        <v>1889</v>
      </c>
      <c r="C1038" s="228" t="s">
        <v>7</v>
      </c>
      <c r="D1038" s="229">
        <v>320.72000000000003</v>
      </c>
    </row>
    <row r="1039" spans="1:4" ht="14.25">
      <c r="A1039" s="235">
        <v>64044</v>
      </c>
      <c r="B1039" s="235" t="s">
        <v>1890</v>
      </c>
      <c r="C1039" s="228" t="s">
        <v>7</v>
      </c>
      <c r="D1039" s="229">
        <v>419.08</v>
      </c>
    </row>
    <row r="1040" spans="1:4" ht="28.5">
      <c r="A1040" s="235">
        <v>64045</v>
      </c>
      <c r="B1040" s="235" t="s">
        <v>26522</v>
      </c>
      <c r="C1040" s="228" t="s">
        <v>7</v>
      </c>
      <c r="D1040" s="229">
        <v>49.37</v>
      </c>
    </row>
    <row r="1041" spans="1:4" ht="28.5">
      <c r="A1041" s="235">
        <v>64066</v>
      </c>
      <c r="B1041" s="235" t="s">
        <v>1891</v>
      </c>
      <c r="C1041" s="228" t="s">
        <v>7</v>
      </c>
      <c r="D1041" s="229">
        <v>67.14</v>
      </c>
    </row>
    <row r="1042" spans="1:4" ht="28.5">
      <c r="A1042" s="235">
        <v>64077</v>
      </c>
      <c r="B1042" s="235" t="s">
        <v>1892</v>
      </c>
      <c r="C1042" s="228" t="s">
        <v>7</v>
      </c>
      <c r="D1042" s="229">
        <v>6.02</v>
      </c>
    </row>
    <row r="1043" spans="1:4" ht="28.5">
      <c r="A1043" s="235">
        <v>64094</v>
      </c>
      <c r="B1043" s="235" t="s">
        <v>1893</v>
      </c>
      <c r="C1043" s="228" t="s">
        <v>7</v>
      </c>
      <c r="D1043" s="229">
        <v>244.39</v>
      </c>
    </row>
    <row r="1044" spans="1:4" ht="14.25">
      <c r="A1044" s="235">
        <v>64097</v>
      </c>
      <c r="B1044" s="235" t="s">
        <v>26458</v>
      </c>
      <c r="C1044" s="228" t="s">
        <v>7</v>
      </c>
      <c r="D1044" s="229">
        <v>292.52</v>
      </c>
    </row>
    <row r="1045" spans="1:4" ht="15">
      <c r="A1045" s="232">
        <v>641</v>
      </c>
      <c r="B1045" s="233" t="s">
        <v>1894</v>
      </c>
      <c r="C1045" s="234"/>
      <c r="D1045" s="234"/>
    </row>
    <row r="1046" spans="1:4" ht="14.25">
      <c r="A1046" s="235">
        <v>64149</v>
      </c>
      <c r="B1046" s="235" t="s">
        <v>1895</v>
      </c>
      <c r="C1046" s="228" t="s">
        <v>7</v>
      </c>
      <c r="D1046" s="229">
        <v>71.56</v>
      </c>
    </row>
    <row r="1047" spans="1:4" ht="15">
      <c r="A1047" s="232">
        <v>645</v>
      </c>
      <c r="B1047" s="233" t="s">
        <v>1896</v>
      </c>
      <c r="C1047" s="234"/>
      <c r="D1047" s="234"/>
    </row>
    <row r="1048" spans="1:4" ht="14.25">
      <c r="A1048" s="235">
        <v>64503</v>
      </c>
      <c r="B1048" s="235" t="s">
        <v>1897</v>
      </c>
      <c r="C1048" s="228" t="s">
        <v>7</v>
      </c>
      <c r="D1048" s="229">
        <v>134.56</v>
      </c>
    </row>
    <row r="1049" spans="1:4" ht="14.25">
      <c r="A1049" s="235">
        <v>64504</v>
      </c>
      <c r="B1049" s="235" t="s">
        <v>1898</v>
      </c>
      <c r="C1049" s="228" t="s">
        <v>7</v>
      </c>
      <c r="D1049" s="229">
        <v>178.48</v>
      </c>
    </row>
    <row r="1050" spans="1:4" ht="14.25">
      <c r="A1050" s="235">
        <v>64506</v>
      </c>
      <c r="B1050" s="235" t="s">
        <v>1899</v>
      </c>
      <c r="C1050" s="228" t="s">
        <v>7</v>
      </c>
      <c r="D1050" s="229">
        <v>168.48</v>
      </c>
    </row>
    <row r="1051" spans="1:4" ht="14.25">
      <c r="A1051" s="235">
        <v>64507</v>
      </c>
      <c r="B1051" s="235" t="s">
        <v>1900</v>
      </c>
      <c r="C1051" s="228" t="s">
        <v>7</v>
      </c>
      <c r="D1051" s="229">
        <v>24.35</v>
      </c>
    </row>
    <row r="1052" spans="1:4" ht="14.25">
      <c r="A1052" s="235">
        <v>64511</v>
      </c>
      <c r="B1052" s="235" t="s">
        <v>1901</v>
      </c>
      <c r="C1052" s="228" t="s">
        <v>7</v>
      </c>
      <c r="D1052" s="229">
        <v>175.15</v>
      </c>
    </row>
    <row r="1053" spans="1:4" ht="14.25">
      <c r="A1053" s="235">
        <v>64515</v>
      </c>
      <c r="B1053" s="235" t="s">
        <v>1902</v>
      </c>
      <c r="C1053" s="228" t="s">
        <v>7</v>
      </c>
      <c r="D1053" s="229">
        <v>24.35</v>
      </c>
    </row>
    <row r="1054" spans="1:4" ht="14.25">
      <c r="A1054" s="235">
        <v>64519</v>
      </c>
      <c r="B1054" s="235" t="s">
        <v>1903</v>
      </c>
      <c r="C1054" s="228" t="s">
        <v>7</v>
      </c>
      <c r="D1054" s="229">
        <v>18.670000000000002</v>
      </c>
    </row>
    <row r="1055" spans="1:4" ht="14.25">
      <c r="A1055" s="235">
        <v>64527</v>
      </c>
      <c r="B1055" s="235" t="s">
        <v>1904</v>
      </c>
      <c r="C1055" s="228" t="s">
        <v>7</v>
      </c>
      <c r="D1055" s="229">
        <v>43.4</v>
      </c>
    </row>
    <row r="1056" spans="1:4" ht="15">
      <c r="A1056" s="232">
        <v>647</v>
      </c>
      <c r="B1056" s="233" t="s">
        <v>1221</v>
      </c>
      <c r="C1056" s="234"/>
      <c r="D1056" s="234"/>
    </row>
    <row r="1057" spans="1:4" ht="28.5">
      <c r="A1057" s="235">
        <v>64701</v>
      </c>
      <c r="B1057" s="235" t="s">
        <v>1905</v>
      </c>
      <c r="C1057" s="228" t="s">
        <v>6</v>
      </c>
      <c r="D1057" s="229">
        <v>40.22</v>
      </c>
    </row>
    <row r="1058" spans="1:4" ht="14.25">
      <c r="A1058" s="235">
        <v>64702</v>
      </c>
      <c r="B1058" s="235" t="s">
        <v>1906</v>
      </c>
      <c r="C1058" s="228" t="s">
        <v>7</v>
      </c>
      <c r="D1058" s="229">
        <v>24.46</v>
      </c>
    </row>
    <row r="1059" spans="1:4" ht="14.25">
      <c r="A1059" s="235">
        <v>64703</v>
      </c>
      <c r="B1059" s="235" t="s">
        <v>1907</v>
      </c>
      <c r="C1059" s="228" t="s">
        <v>7</v>
      </c>
      <c r="D1059" s="229">
        <v>16.29</v>
      </c>
    </row>
    <row r="1060" spans="1:4" ht="14.25">
      <c r="A1060" s="235">
        <v>64704</v>
      </c>
      <c r="B1060" s="235" t="s">
        <v>1908</v>
      </c>
      <c r="C1060" s="228" t="s">
        <v>7</v>
      </c>
      <c r="D1060" s="229">
        <v>34</v>
      </c>
    </row>
    <row r="1061" spans="1:4" ht="14.25">
      <c r="A1061" s="235">
        <v>64706</v>
      </c>
      <c r="B1061" s="235" t="s">
        <v>1909</v>
      </c>
      <c r="C1061" s="228" t="s">
        <v>7</v>
      </c>
      <c r="D1061" s="229">
        <v>42.65</v>
      </c>
    </row>
    <row r="1062" spans="1:4" ht="28.5">
      <c r="A1062" s="235">
        <v>64707</v>
      </c>
      <c r="B1062" s="235" t="s">
        <v>1910</v>
      </c>
      <c r="C1062" s="228" t="s">
        <v>7</v>
      </c>
      <c r="D1062" s="229">
        <v>598.29</v>
      </c>
    </row>
    <row r="1063" spans="1:4" ht="14.25">
      <c r="A1063" s="235">
        <v>64709</v>
      </c>
      <c r="B1063" s="235" t="s">
        <v>1911</v>
      </c>
      <c r="C1063" s="228" t="s">
        <v>7</v>
      </c>
      <c r="D1063" s="229">
        <v>15.42</v>
      </c>
    </row>
    <row r="1064" spans="1:4" ht="15">
      <c r="A1064" s="232">
        <v>650</v>
      </c>
      <c r="B1064" s="233" t="s">
        <v>1912</v>
      </c>
      <c r="C1064" s="234"/>
      <c r="D1064" s="234"/>
    </row>
    <row r="1065" spans="1:4" ht="28.5">
      <c r="A1065" s="235">
        <v>65002</v>
      </c>
      <c r="B1065" s="235" t="s">
        <v>1913</v>
      </c>
      <c r="C1065" s="228" t="s">
        <v>7</v>
      </c>
      <c r="D1065" s="229">
        <v>57.86</v>
      </c>
    </row>
    <row r="1066" spans="1:4" ht="14.25">
      <c r="A1066" s="235">
        <v>65004</v>
      </c>
      <c r="B1066" s="235" t="s">
        <v>1914</v>
      </c>
      <c r="C1066" s="228" t="s">
        <v>7</v>
      </c>
      <c r="D1066" s="229">
        <v>449.8</v>
      </c>
    </row>
    <row r="1067" spans="1:4" ht="14.25">
      <c r="A1067" s="235">
        <v>65005</v>
      </c>
      <c r="B1067" s="235" t="s">
        <v>1915</v>
      </c>
      <c r="C1067" s="228" t="s">
        <v>7</v>
      </c>
      <c r="D1067" s="231">
        <v>3448.03</v>
      </c>
    </row>
    <row r="1068" spans="1:4" ht="14.25">
      <c r="A1068" s="235">
        <v>65023</v>
      </c>
      <c r="B1068" s="235" t="s">
        <v>1916</v>
      </c>
      <c r="C1068" s="228" t="s">
        <v>7</v>
      </c>
      <c r="D1068" s="231">
        <v>1123.1300000000001</v>
      </c>
    </row>
    <row r="1069" spans="1:4" ht="14.25">
      <c r="A1069" s="235">
        <v>65024</v>
      </c>
      <c r="B1069" s="235" t="s">
        <v>1917</v>
      </c>
      <c r="C1069" s="228" t="s">
        <v>7</v>
      </c>
      <c r="D1069" s="229">
        <v>272.93</v>
      </c>
    </row>
    <row r="1070" spans="1:4" ht="14.25">
      <c r="A1070" s="235">
        <v>65031</v>
      </c>
      <c r="B1070" s="235" t="s">
        <v>1918</v>
      </c>
      <c r="C1070" s="228" t="s">
        <v>7</v>
      </c>
      <c r="D1070" s="229">
        <v>256.93</v>
      </c>
    </row>
    <row r="1071" spans="1:4" ht="14.25">
      <c r="A1071" s="235">
        <v>65032</v>
      </c>
      <c r="B1071" s="235" t="s">
        <v>1919</v>
      </c>
      <c r="C1071" s="228" t="s">
        <v>7</v>
      </c>
      <c r="D1071" s="231">
        <v>2068.0500000000002</v>
      </c>
    </row>
    <row r="1072" spans="1:4" ht="14.25">
      <c r="A1072" s="235">
        <v>65033</v>
      </c>
      <c r="B1072" s="235" t="s">
        <v>1920</v>
      </c>
      <c r="C1072" s="228" t="s">
        <v>7</v>
      </c>
      <c r="D1072" s="231">
        <v>1196.3</v>
      </c>
    </row>
    <row r="1073" spans="1:4" ht="14.25">
      <c r="A1073" s="235">
        <v>65076</v>
      </c>
      <c r="B1073" s="235" t="s">
        <v>1921</v>
      </c>
      <c r="C1073" s="228" t="s">
        <v>7</v>
      </c>
      <c r="D1073" s="231">
        <v>11926.38</v>
      </c>
    </row>
    <row r="1074" spans="1:4" ht="15">
      <c r="A1074" s="232">
        <v>652</v>
      </c>
      <c r="B1074" s="233" t="s">
        <v>1922</v>
      </c>
      <c r="C1074" s="234"/>
      <c r="D1074" s="234"/>
    </row>
    <row r="1075" spans="1:4" ht="14.25">
      <c r="A1075" s="235">
        <v>65204</v>
      </c>
      <c r="B1075" s="235" t="s">
        <v>1923</v>
      </c>
      <c r="C1075" s="228" t="s">
        <v>7</v>
      </c>
      <c r="D1075" s="229">
        <v>823.3</v>
      </c>
    </row>
    <row r="1076" spans="1:4" ht="42.75">
      <c r="A1076" s="235">
        <v>65256</v>
      </c>
      <c r="B1076" s="235" t="s">
        <v>26459</v>
      </c>
      <c r="C1076" s="228" t="s">
        <v>7</v>
      </c>
      <c r="D1076" s="229">
        <v>245.2</v>
      </c>
    </row>
    <row r="1077" spans="1:4" ht="14.25">
      <c r="A1077" s="235">
        <v>65257</v>
      </c>
      <c r="B1077" s="235" t="s">
        <v>1924</v>
      </c>
      <c r="C1077" s="228" t="s">
        <v>7</v>
      </c>
      <c r="D1077" s="229">
        <v>503.61</v>
      </c>
    </row>
    <row r="1078" spans="1:4" ht="15">
      <c r="A1078" s="232">
        <v>655</v>
      </c>
      <c r="B1078" s="233" t="s">
        <v>1922</v>
      </c>
      <c r="C1078" s="234"/>
      <c r="D1078" s="234"/>
    </row>
    <row r="1079" spans="1:4" ht="14.25">
      <c r="A1079" s="235">
        <v>65502</v>
      </c>
      <c r="B1079" s="235" t="s">
        <v>1925</v>
      </c>
      <c r="C1079" s="228" t="s">
        <v>7</v>
      </c>
      <c r="D1079" s="229">
        <v>153.83000000000001</v>
      </c>
    </row>
    <row r="1080" spans="1:4" ht="14.25">
      <c r="A1080" s="235">
        <v>65503</v>
      </c>
      <c r="B1080" s="235" t="s">
        <v>1926</v>
      </c>
      <c r="C1080" s="228" t="s">
        <v>7</v>
      </c>
      <c r="D1080" s="229">
        <v>363.01</v>
      </c>
    </row>
    <row r="1081" spans="1:4" ht="14.25">
      <c r="A1081" s="235">
        <v>65507</v>
      </c>
      <c r="B1081" s="235" t="s">
        <v>1927</v>
      </c>
      <c r="C1081" s="228" t="s">
        <v>7</v>
      </c>
      <c r="D1081" s="229">
        <v>33.43</v>
      </c>
    </row>
    <row r="1082" spans="1:4" ht="14.25">
      <c r="A1082" s="235">
        <v>65508</v>
      </c>
      <c r="B1082" s="235" t="s">
        <v>1928</v>
      </c>
      <c r="C1082" s="228" t="s">
        <v>7</v>
      </c>
      <c r="D1082" s="229">
        <v>163.96</v>
      </c>
    </row>
    <row r="1083" spans="1:4" ht="14.25">
      <c r="A1083" s="235">
        <v>65509</v>
      </c>
      <c r="B1083" s="235" t="s">
        <v>1929</v>
      </c>
      <c r="C1083" s="228" t="s">
        <v>7</v>
      </c>
      <c r="D1083" s="229">
        <v>111.06</v>
      </c>
    </row>
    <row r="1084" spans="1:4" ht="14.25">
      <c r="A1084" s="235">
        <v>65510</v>
      </c>
      <c r="B1084" s="235" t="s">
        <v>1930</v>
      </c>
      <c r="C1084" s="228" t="s">
        <v>6</v>
      </c>
      <c r="D1084" s="231">
        <v>1093.5899999999999</v>
      </c>
    </row>
    <row r="1085" spans="1:4" ht="14.25">
      <c r="A1085" s="235">
        <v>65511</v>
      </c>
      <c r="B1085" s="235" t="s">
        <v>1931</v>
      </c>
      <c r="C1085" s="228" t="s">
        <v>7</v>
      </c>
      <c r="D1085" s="229">
        <v>443.14</v>
      </c>
    </row>
    <row r="1086" spans="1:4" ht="28.5">
      <c r="A1086" s="235">
        <v>65513</v>
      </c>
      <c r="B1086" s="235" t="s">
        <v>1932</v>
      </c>
      <c r="C1086" s="228" t="s">
        <v>7</v>
      </c>
      <c r="D1086" s="231">
        <v>1526.14</v>
      </c>
    </row>
    <row r="1087" spans="1:4" ht="14.25">
      <c r="A1087" s="235">
        <v>65521</v>
      </c>
      <c r="B1087" s="235" t="s">
        <v>1933</v>
      </c>
      <c r="C1087" s="228" t="s">
        <v>7</v>
      </c>
      <c r="D1087" s="231">
        <v>1790.94</v>
      </c>
    </row>
    <row r="1088" spans="1:4" ht="14.25">
      <c r="A1088" s="235">
        <v>65523</v>
      </c>
      <c r="B1088" s="235" t="s">
        <v>1934</v>
      </c>
      <c r="C1088" s="228" t="s">
        <v>7</v>
      </c>
      <c r="D1088" s="231">
        <v>1278.6199999999999</v>
      </c>
    </row>
    <row r="1089" spans="1:4" ht="14.25">
      <c r="A1089" s="235">
        <v>65524</v>
      </c>
      <c r="B1089" s="235" t="s">
        <v>1935</v>
      </c>
      <c r="C1089" s="228" t="s">
        <v>7</v>
      </c>
      <c r="D1089" s="229">
        <v>21.42</v>
      </c>
    </row>
    <row r="1090" spans="1:4" ht="14.25">
      <c r="A1090" s="235">
        <v>65526</v>
      </c>
      <c r="B1090" s="235" t="s">
        <v>1936</v>
      </c>
      <c r="C1090" s="228" t="s">
        <v>7</v>
      </c>
      <c r="D1090" s="229">
        <v>24</v>
      </c>
    </row>
    <row r="1091" spans="1:4" ht="14.25">
      <c r="A1091" s="235">
        <v>65528</v>
      </c>
      <c r="B1091" s="235" t="s">
        <v>1937</v>
      </c>
      <c r="C1091" s="228" t="s">
        <v>7</v>
      </c>
      <c r="D1091" s="229">
        <v>404.85</v>
      </c>
    </row>
    <row r="1092" spans="1:4" ht="28.5">
      <c r="A1092" s="235">
        <v>65544</v>
      </c>
      <c r="B1092" s="235" t="s">
        <v>1938</v>
      </c>
      <c r="C1092" s="228" t="s">
        <v>7</v>
      </c>
      <c r="D1092" s="229">
        <v>91.57</v>
      </c>
    </row>
    <row r="1093" spans="1:4" ht="14.25">
      <c r="A1093" s="235">
        <v>65555</v>
      </c>
      <c r="B1093" s="235" t="s">
        <v>1939</v>
      </c>
      <c r="C1093" s="228" t="s">
        <v>6</v>
      </c>
      <c r="D1093" s="231">
        <v>1079.3699999999999</v>
      </c>
    </row>
    <row r="1094" spans="1:4" ht="14.25">
      <c r="A1094" s="235">
        <v>65556</v>
      </c>
      <c r="B1094" s="235" t="s">
        <v>1940</v>
      </c>
      <c r="C1094" s="228" t="s">
        <v>6</v>
      </c>
      <c r="D1094" s="231">
        <v>1079.3699999999999</v>
      </c>
    </row>
    <row r="1095" spans="1:4" ht="14.25">
      <c r="A1095" s="235">
        <v>65563</v>
      </c>
      <c r="B1095" s="235" t="s">
        <v>1941</v>
      </c>
      <c r="C1095" s="228" t="s">
        <v>6</v>
      </c>
      <c r="D1095" s="231">
        <v>1093.5899999999999</v>
      </c>
    </row>
    <row r="1096" spans="1:4" ht="14.25">
      <c r="A1096" s="235">
        <v>65565</v>
      </c>
      <c r="B1096" s="235" t="s">
        <v>1942</v>
      </c>
      <c r="C1096" s="228" t="s">
        <v>7</v>
      </c>
      <c r="D1096" s="231">
        <v>2407.21</v>
      </c>
    </row>
    <row r="1097" spans="1:4" ht="28.5">
      <c r="A1097" s="235">
        <v>65566</v>
      </c>
      <c r="B1097" s="235" t="s">
        <v>1943</v>
      </c>
      <c r="C1097" s="228" t="s">
        <v>7</v>
      </c>
      <c r="D1097" s="231">
        <v>3053.31</v>
      </c>
    </row>
    <row r="1098" spans="1:4" ht="14.25">
      <c r="A1098" s="235">
        <v>65567</v>
      </c>
      <c r="B1098" s="235" t="s">
        <v>1944</v>
      </c>
      <c r="C1098" s="228" t="s">
        <v>7</v>
      </c>
      <c r="D1098" s="231">
        <v>1625.14</v>
      </c>
    </row>
    <row r="1099" spans="1:4" ht="14.25">
      <c r="A1099" s="235">
        <v>65572</v>
      </c>
      <c r="B1099" s="235" t="s">
        <v>1945</v>
      </c>
      <c r="C1099" s="228" t="s">
        <v>7</v>
      </c>
      <c r="D1099" s="231">
        <v>2687.21</v>
      </c>
    </row>
    <row r="1100" spans="1:4" ht="14.25">
      <c r="A1100" s="235">
        <v>65594</v>
      </c>
      <c r="B1100" s="235" t="s">
        <v>1946</v>
      </c>
      <c r="C1100" s="228" t="s">
        <v>6</v>
      </c>
      <c r="D1100" s="231">
        <v>1079.3699999999999</v>
      </c>
    </row>
    <row r="1101" spans="1:4" ht="14.25">
      <c r="A1101" s="235">
        <v>65596</v>
      </c>
      <c r="B1101" s="235" t="s">
        <v>1947</v>
      </c>
      <c r="C1101" s="228" t="s">
        <v>7</v>
      </c>
      <c r="D1101" s="229">
        <v>277.47000000000003</v>
      </c>
    </row>
    <row r="1102" spans="1:4" ht="14.25">
      <c r="A1102" s="235">
        <v>65598</v>
      </c>
      <c r="B1102" s="235" t="s">
        <v>1948</v>
      </c>
      <c r="C1102" s="228" t="s">
        <v>7</v>
      </c>
      <c r="D1102" s="229">
        <v>277.47000000000003</v>
      </c>
    </row>
    <row r="1103" spans="1:4" ht="15">
      <c r="A1103" s="232">
        <v>656</v>
      </c>
      <c r="B1103" s="233" t="s">
        <v>1922</v>
      </c>
      <c r="C1103" s="234"/>
      <c r="D1103" s="234"/>
    </row>
    <row r="1104" spans="1:4" ht="14.25">
      <c r="A1104" s="235">
        <v>65604</v>
      </c>
      <c r="B1104" s="235" t="s">
        <v>1949</v>
      </c>
      <c r="C1104" s="228" t="s">
        <v>7</v>
      </c>
      <c r="D1104" s="229">
        <v>35.08</v>
      </c>
    </row>
    <row r="1105" spans="1:4" ht="14.25">
      <c r="A1105" s="235">
        <v>65611</v>
      </c>
      <c r="B1105" s="235" t="s">
        <v>1950</v>
      </c>
      <c r="C1105" s="228" t="s">
        <v>7</v>
      </c>
      <c r="D1105" s="229">
        <v>92.5</v>
      </c>
    </row>
    <row r="1106" spans="1:4" ht="14.25">
      <c r="A1106" s="235">
        <v>65670</v>
      </c>
      <c r="B1106" s="235" t="s">
        <v>1951</v>
      </c>
      <c r="C1106" s="228" t="s">
        <v>7</v>
      </c>
      <c r="D1106" s="229">
        <v>100.63</v>
      </c>
    </row>
    <row r="1107" spans="1:4" ht="14.25">
      <c r="A1107" s="235">
        <v>65697</v>
      </c>
      <c r="B1107" s="235" t="s">
        <v>1952</v>
      </c>
      <c r="C1107" s="228" t="s">
        <v>7</v>
      </c>
      <c r="D1107" s="229">
        <v>154.88</v>
      </c>
    </row>
    <row r="1108" spans="1:4" ht="14.25">
      <c r="A1108" s="235">
        <v>65698</v>
      </c>
      <c r="B1108" s="235" t="s">
        <v>1953</v>
      </c>
      <c r="C1108" s="228" t="s">
        <v>7</v>
      </c>
      <c r="D1108" s="229">
        <v>111.66</v>
      </c>
    </row>
    <row r="1109" spans="1:4" ht="15">
      <c r="A1109" s="232">
        <v>657</v>
      </c>
      <c r="B1109" s="233" t="s">
        <v>1922</v>
      </c>
      <c r="C1109" s="234"/>
      <c r="D1109" s="234"/>
    </row>
    <row r="1110" spans="1:4" ht="14.25">
      <c r="A1110" s="235">
        <v>65717</v>
      </c>
      <c r="B1110" s="235" t="s">
        <v>1954</v>
      </c>
      <c r="C1110" s="228" t="s">
        <v>7</v>
      </c>
      <c r="D1110" s="229">
        <v>192.94</v>
      </c>
    </row>
    <row r="1111" spans="1:4" ht="15">
      <c r="A1111" s="232">
        <v>658</v>
      </c>
      <c r="B1111" s="233" t="s">
        <v>1922</v>
      </c>
      <c r="C1111" s="234"/>
      <c r="D1111" s="234"/>
    </row>
    <row r="1112" spans="1:4" ht="28.5">
      <c r="A1112" s="235">
        <v>65812</v>
      </c>
      <c r="B1112" s="235" t="s">
        <v>1955</v>
      </c>
      <c r="C1112" s="228" t="s">
        <v>7</v>
      </c>
      <c r="D1112" s="229">
        <v>389.68</v>
      </c>
    </row>
    <row r="1113" spans="1:4" ht="14.25">
      <c r="A1113" s="235">
        <v>65829</v>
      </c>
      <c r="B1113" s="235" t="s">
        <v>1956</v>
      </c>
      <c r="C1113" s="228" t="s">
        <v>7</v>
      </c>
      <c r="D1113" s="231">
        <v>1730.51</v>
      </c>
    </row>
    <row r="1114" spans="1:4" ht="14.25">
      <c r="A1114" s="235">
        <v>65830</v>
      </c>
      <c r="B1114" s="235" t="s">
        <v>1957</v>
      </c>
      <c r="C1114" s="228" t="s">
        <v>7</v>
      </c>
      <c r="D1114" s="231">
        <v>2293.06</v>
      </c>
    </row>
    <row r="1115" spans="1:4" ht="28.5">
      <c r="A1115" s="235">
        <v>65831</v>
      </c>
      <c r="B1115" s="235" t="s">
        <v>1958</v>
      </c>
      <c r="C1115" s="228" t="s">
        <v>7</v>
      </c>
      <c r="D1115" s="229">
        <v>163.96</v>
      </c>
    </row>
    <row r="1116" spans="1:4" ht="14.25">
      <c r="A1116" s="235">
        <v>65847</v>
      </c>
      <c r="B1116" s="235" t="s">
        <v>1959</v>
      </c>
      <c r="C1116" s="228" t="s">
        <v>7</v>
      </c>
      <c r="D1116" s="229">
        <v>180.62</v>
      </c>
    </row>
    <row r="1117" spans="1:4" ht="28.5">
      <c r="A1117" s="235">
        <v>65861</v>
      </c>
      <c r="B1117" s="235" t="s">
        <v>1960</v>
      </c>
      <c r="C1117" s="228" t="s">
        <v>7</v>
      </c>
      <c r="D1117" s="229">
        <v>308.37</v>
      </c>
    </row>
    <row r="1118" spans="1:4" ht="28.5">
      <c r="A1118" s="235">
        <v>65881</v>
      </c>
      <c r="B1118" s="235" t="s">
        <v>1961</v>
      </c>
      <c r="C1118" s="228" t="s">
        <v>7</v>
      </c>
      <c r="D1118" s="231">
        <v>1287.5899999999999</v>
      </c>
    </row>
    <row r="1119" spans="1:4" ht="15">
      <c r="A1119" s="232">
        <v>659</v>
      </c>
      <c r="B1119" s="233" t="s">
        <v>1922</v>
      </c>
      <c r="C1119" s="234"/>
      <c r="D1119" s="234"/>
    </row>
    <row r="1120" spans="1:4" ht="28.5">
      <c r="A1120" s="235">
        <v>65943</v>
      </c>
      <c r="B1120" s="235" t="s">
        <v>1962</v>
      </c>
      <c r="C1120" s="228" t="s">
        <v>7</v>
      </c>
      <c r="D1120" s="229">
        <v>323.12</v>
      </c>
    </row>
    <row r="1121" spans="1:4" ht="28.5">
      <c r="A1121" s="235">
        <v>65973</v>
      </c>
      <c r="B1121" s="235" t="s">
        <v>1963</v>
      </c>
      <c r="C1121" s="228" t="s">
        <v>7</v>
      </c>
      <c r="D1121" s="229">
        <v>830.24</v>
      </c>
    </row>
    <row r="1122" spans="1:4" ht="15">
      <c r="A1122" s="232">
        <v>660</v>
      </c>
      <c r="B1122" s="233" t="s">
        <v>1964</v>
      </c>
      <c r="C1122" s="234"/>
      <c r="D1122" s="234"/>
    </row>
    <row r="1123" spans="1:4" ht="14.25">
      <c r="A1123" s="235">
        <v>66008</v>
      </c>
      <c r="B1123" s="235" t="s">
        <v>1965</v>
      </c>
      <c r="C1123" s="228" t="s">
        <v>7</v>
      </c>
      <c r="D1123" s="229">
        <v>108.77</v>
      </c>
    </row>
    <row r="1124" spans="1:4" ht="28.5">
      <c r="A1124" s="235">
        <v>66009</v>
      </c>
      <c r="B1124" s="235" t="s">
        <v>26523</v>
      </c>
      <c r="C1124" s="228" t="s">
        <v>7</v>
      </c>
      <c r="D1124" s="229">
        <v>129.66</v>
      </c>
    </row>
    <row r="1125" spans="1:4" ht="14.25">
      <c r="A1125" s="235">
        <v>66012</v>
      </c>
      <c r="B1125" s="235" t="s">
        <v>1966</v>
      </c>
      <c r="C1125" s="228" t="s">
        <v>7</v>
      </c>
      <c r="D1125" s="229">
        <v>167.94</v>
      </c>
    </row>
    <row r="1126" spans="1:4" ht="14.25">
      <c r="A1126" s="235">
        <v>66013</v>
      </c>
      <c r="B1126" s="235" t="s">
        <v>1967</v>
      </c>
      <c r="C1126" s="228" t="s">
        <v>7</v>
      </c>
      <c r="D1126" s="229">
        <v>67.97</v>
      </c>
    </row>
    <row r="1127" spans="1:4" ht="14.25">
      <c r="A1127" s="235">
        <v>66022</v>
      </c>
      <c r="B1127" s="235" t="s">
        <v>1968</v>
      </c>
      <c r="C1127" s="228" t="s">
        <v>7</v>
      </c>
      <c r="D1127" s="229">
        <v>80.849999999999994</v>
      </c>
    </row>
    <row r="1128" spans="1:4" ht="14.25">
      <c r="A1128" s="235">
        <v>66024</v>
      </c>
      <c r="B1128" s="235" t="s">
        <v>1969</v>
      </c>
      <c r="C1128" s="228" t="s">
        <v>7</v>
      </c>
      <c r="D1128" s="229">
        <v>34.090000000000003</v>
      </c>
    </row>
    <row r="1129" spans="1:4" ht="28.5">
      <c r="A1129" s="235">
        <v>66027</v>
      </c>
      <c r="B1129" s="235" t="s">
        <v>1970</v>
      </c>
      <c r="C1129" s="228" t="s">
        <v>7</v>
      </c>
      <c r="D1129" s="229">
        <v>277.79000000000002</v>
      </c>
    </row>
    <row r="1130" spans="1:4" ht="28.5">
      <c r="A1130" s="235">
        <v>66045</v>
      </c>
      <c r="B1130" s="235" t="s">
        <v>1971</v>
      </c>
      <c r="C1130" s="228" t="s">
        <v>7</v>
      </c>
      <c r="D1130" s="229">
        <v>177.27</v>
      </c>
    </row>
    <row r="1131" spans="1:4" ht="28.5">
      <c r="A1131" s="235">
        <v>66048</v>
      </c>
      <c r="B1131" s="235" t="s">
        <v>1972</v>
      </c>
      <c r="C1131" s="228" t="s">
        <v>7</v>
      </c>
      <c r="D1131" s="229">
        <v>82.33</v>
      </c>
    </row>
    <row r="1132" spans="1:4" ht="14.25">
      <c r="A1132" s="235">
        <v>66049</v>
      </c>
      <c r="B1132" s="235" t="s">
        <v>1973</v>
      </c>
      <c r="C1132" s="228" t="s">
        <v>7</v>
      </c>
      <c r="D1132" s="229">
        <v>17.22</v>
      </c>
    </row>
    <row r="1133" spans="1:4" ht="28.5">
      <c r="A1133" s="235">
        <v>66058</v>
      </c>
      <c r="B1133" s="235" t="s">
        <v>1974</v>
      </c>
      <c r="C1133" s="228" t="s">
        <v>7</v>
      </c>
      <c r="D1133" s="229">
        <v>108.77</v>
      </c>
    </row>
    <row r="1134" spans="1:4" ht="28.5">
      <c r="A1134" s="235">
        <v>66074</v>
      </c>
      <c r="B1134" s="235" t="s">
        <v>1975</v>
      </c>
      <c r="C1134" s="228" t="s">
        <v>7</v>
      </c>
      <c r="D1134" s="229">
        <v>298.02999999999997</v>
      </c>
    </row>
    <row r="1135" spans="1:4" ht="15">
      <c r="A1135" s="232">
        <v>661</v>
      </c>
      <c r="B1135" s="233" t="s">
        <v>1964</v>
      </c>
      <c r="C1135" s="234"/>
      <c r="D1135" s="234"/>
    </row>
    <row r="1136" spans="1:4" ht="14.25">
      <c r="A1136" s="235">
        <v>66124</v>
      </c>
      <c r="B1136" s="235" t="s">
        <v>1976</v>
      </c>
      <c r="C1136" s="228" t="s">
        <v>7</v>
      </c>
      <c r="D1136" s="229">
        <v>129.66</v>
      </c>
    </row>
    <row r="1137" spans="1:4" ht="28.5">
      <c r="A1137" s="235">
        <v>66125</v>
      </c>
      <c r="B1137" s="235" t="s">
        <v>1977</v>
      </c>
      <c r="C1137" s="228" t="s">
        <v>7</v>
      </c>
      <c r="D1137" s="229">
        <v>128.80000000000001</v>
      </c>
    </row>
    <row r="1138" spans="1:4" ht="28.5">
      <c r="A1138" s="235">
        <v>66178</v>
      </c>
      <c r="B1138" s="235" t="s">
        <v>1978</v>
      </c>
      <c r="C1138" s="228" t="s">
        <v>7</v>
      </c>
      <c r="D1138" s="229">
        <v>828.74</v>
      </c>
    </row>
    <row r="1139" spans="1:4" ht="15">
      <c r="A1139" s="232">
        <v>662</v>
      </c>
      <c r="B1139" s="233" t="s">
        <v>1922</v>
      </c>
      <c r="C1139" s="234"/>
      <c r="D1139" s="234"/>
    </row>
    <row r="1140" spans="1:4" ht="28.5">
      <c r="A1140" s="235">
        <v>66207</v>
      </c>
      <c r="B1140" s="235" t="s">
        <v>1979</v>
      </c>
      <c r="C1140" s="228" t="s">
        <v>7</v>
      </c>
      <c r="D1140" s="229">
        <v>565.41999999999996</v>
      </c>
    </row>
    <row r="1141" spans="1:4" ht="15">
      <c r="A1141" s="232">
        <v>663</v>
      </c>
      <c r="B1141" s="233" t="s">
        <v>1964</v>
      </c>
      <c r="C1141" s="234"/>
      <c r="D1141" s="234"/>
    </row>
    <row r="1142" spans="1:4" ht="42.75">
      <c r="A1142" s="235">
        <v>66301</v>
      </c>
      <c r="B1142" s="235" t="s">
        <v>26460</v>
      </c>
      <c r="C1142" s="228" t="s">
        <v>7</v>
      </c>
      <c r="D1142" s="229">
        <v>833.97</v>
      </c>
    </row>
    <row r="1143" spans="1:4" ht="28.5">
      <c r="A1143" s="235">
        <v>66335</v>
      </c>
      <c r="B1143" s="235" t="s">
        <v>1980</v>
      </c>
      <c r="C1143" s="228" t="s">
        <v>7</v>
      </c>
      <c r="D1143" s="229">
        <v>138.24</v>
      </c>
    </row>
    <row r="1144" spans="1:4" ht="28.5">
      <c r="A1144" s="235">
        <v>66368</v>
      </c>
      <c r="B1144" s="235" t="s">
        <v>1981</v>
      </c>
      <c r="C1144" s="228" t="s">
        <v>7</v>
      </c>
      <c r="D1144" s="229">
        <v>810.89</v>
      </c>
    </row>
    <row r="1145" spans="1:4" ht="15">
      <c r="A1145" s="232">
        <v>666</v>
      </c>
      <c r="B1145" s="233" t="s">
        <v>1982</v>
      </c>
      <c r="C1145" s="234"/>
      <c r="D1145" s="234"/>
    </row>
    <row r="1146" spans="1:4" ht="28.5">
      <c r="A1146" s="235">
        <v>66608</v>
      </c>
      <c r="B1146" s="235" t="s">
        <v>1983</v>
      </c>
      <c r="C1146" s="228" t="s">
        <v>7</v>
      </c>
      <c r="D1146" s="229">
        <v>866.32</v>
      </c>
    </row>
    <row r="1147" spans="1:4" ht="15">
      <c r="A1147" s="232">
        <v>670</v>
      </c>
      <c r="B1147" s="233" t="s">
        <v>1984</v>
      </c>
      <c r="C1147" s="234"/>
      <c r="D1147" s="234"/>
    </row>
    <row r="1148" spans="1:4" ht="28.5">
      <c r="A1148" s="235">
        <v>67001</v>
      </c>
      <c r="B1148" s="235" t="s">
        <v>1985</v>
      </c>
      <c r="C1148" s="228" t="s">
        <v>7</v>
      </c>
      <c r="D1148" s="229">
        <v>425.93</v>
      </c>
    </row>
    <row r="1149" spans="1:4" ht="14.25">
      <c r="A1149" s="235">
        <v>67004</v>
      </c>
      <c r="B1149" s="235" t="s">
        <v>1986</v>
      </c>
      <c r="C1149" s="228" t="s">
        <v>7</v>
      </c>
      <c r="D1149" s="229">
        <v>570.11</v>
      </c>
    </row>
    <row r="1150" spans="1:4" ht="28.5">
      <c r="A1150" s="235">
        <v>67007</v>
      </c>
      <c r="B1150" s="235" t="s">
        <v>1987</v>
      </c>
      <c r="C1150" s="228" t="s">
        <v>7</v>
      </c>
      <c r="D1150" s="229">
        <v>363.85</v>
      </c>
    </row>
    <row r="1151" spans="1:4" ht="28.5">
      <c r="A1151" s="235">
        <v>67008</v>
      </c>
      <c r="B1151" s="235" t="s">
        <v>1988</v>
      </c>
      <c r="C1151" s="228" t="s">
        <v>7</v>
      </c>
      <c r="D1151" s="229">
        <v>82.79</v>
      </c>
    </row>
    <row r="1152" spans="1:4" ht="14.25">
      <c r="A1152" s="235">
        <v>67035</v>
      </c>
      <c r="B1152" s="235" t="s">
        <v>1989</v>
      </c>
      <c r="C1152" s="228" t="s">
        <v>7</v>
      </c>
      <c r="D1152" s="229">
        <v>8.9</v>
      </c>
    </row>
    <row r="1153" spans="1:4" ht="14.25">
      <c r="A1153" s="235">
        <v>67040</v>
      </c>
      <c r="B1153" s="235" t="s">
        <v>1990</v>
      </c>
      <c r="C1153" s="228" t="s">
        <v>7</v>
      </c>
      <c r="D1153" s="229">
        <v>202.85</v>
      </c>
    </row>
    <row r="1154" spans="1:4" ht="14.25">
      <c r="A1154" s="235">
        <v>67042</v>
      </c>
      <c r="B1154" s="235" t="s">
        <v>1991</v>
      </c>
      <c r="C1154" s="228" t="s">
        <v>7</v>
      </c>
      <c r="D1154" s="229">
        <v>198.29</v>
      </c>
    </row>
    <row r="1155" spans="1:4" ht="14.25">
      <c r="A1155" s="235">
        <v>67043</v>
      </c>
      <c r="B1155" s="235" t="s">
        <v>1992</v>
      </c>
      <c r="C1155" s="228" t="s">
        <v>7</v>
      </c>
      <c r="D1155" s="229">
        <v>226.48</v>
      </c>
    </row>
    <row r="1156" spans="1:4" ht="14.25">
      <c r="A1156" s="235">
        <v>67046</v>
      </c>
      <c r="B1156" s="235" t="s">
        <v>1993</v>
      </c>
      <c r="C1156" s="228" t="s">
        <v>7</v>
      </c>
      <c r="D1156" s="229">
        <v>150.74</v>
      </c>
    </row>
    <row r="1157" spans="1:4" ht="14.25">
      <c r="A1157" s="235">
        <v>67047</v>
      </c>
      <c r="B1157" s="235" t="s">
        <v>1994</v>
      </c>
      <c r="C1157" s="228" t="s">
        <v>7</v>
      </c>
      <c r="D1157" s="229">
        <v>687.36</v>
      </c>
    </row>
    <row r="1158" spans="1:4" ht="14.25">
      <c r="A1158" s="235">
        <v>67050</v>
      </c>
      <c r="B1158" s="235" t="s">
        <v>1995</v>
      </c>
      <c r="C1158" s="228" t="s">
        <v>7</v>
      </c>
      <c r="D1158" s="229">
        <v>311.87</v>
      </c>
    </row>
    <row r="1159" spans="1:4" ht="28.5">
      <c r="A1159" s="235">
        <v>67051</v>
      </c>
      <c r="B1159" s="235" t="s">
        <v>1996</v>
      </c>
      <c r="C1159" s="228" t="s">
        <v>7</v>
      </c>
      <c r="D1159" s="229">
        <v>80.25</v>
      </c>
    </row>
    <row r="1160" spans="1:4" ht="28.5">
      <c r="A1160" s="235">
        <v>67054</v>
      </c>
      <c r="B1160" s="235" t="s">
        <v>1997</v>
      </c>
      <c r="C1160" s="228" t="s">
        <v>7</v>
      </c>
      <c r="D1160" s="229">
        <v>563.49</v>
      </c>
    </row>
    <row r="1161" spans="1:4" ht="14.25">
      <c r="A1161" s="235">
        <v>67061</v>
      </c>
      <c r="B1161" s="235" t="s">
        <v>1998</v>
      </c>
      <c r="C1161" s="228" t="s">
        <v>7</v>
      </c>
      <c r="D1161" s="229">
        <v>16.16</v>
      </c>
    </row>
    <row r="1162" spans="1:4" ht="28.5">
      <c r="A1162" s="235">
        <v>67066</v>
      </c>
      <c r="B1162" s="235" t="s">
        <v>1999</v>
      </c>
      <c r="C1162" s="228" t="s">
        <v>7</v>
      </c>
      <c r="D1162" s="229">
        <v>538.22</v>
      </c>
    </row>
    <row r="1163" spans="1:4" ht="14.25">
      <c r="A1163" s="235">
        <v>67067</v>
      </c>
      <c r="B1163" s="235" t="s">
        <v>2000</v>
      </c>
      <c r="C1163" s="228" t="s">
        <v>7</v>
      </c>
      <c r="D1163" s="229">
        <v>135.46</v>
      </c>
    </row>
    <row r="1164" spans="1:4" ht="42.75">
      <c r="A1164" s="235">
        <v>67090</v>
      </c>
      <c r="B1164" s="235" t="s">
        <v>2001</v>
      </c>
      <c r="C1164" s="228" t="s">
        <v>7</v>
      </c>
      <c r="D1164" s="229">
        <v>14.17</v>
      </c>
    </row>
    <row r="1165" spans="1:4" ht="14.25">
      <c r="A1165" s="235">
        <v>67094</v>
      </c>
      <c r="B1165" s="235" t="s">
        <v>2002</v>
      </c>
      <c r="C1165" s="228" t="s">
        <v>7</v>
      </c>
      <c r="D1165" s="229">
        <v>141.06</v>
      </c>
    </row>
    <row r="1166" spans="1:4" ht="15">
      <c r="A1166" s="232">
        <v>675</v>
      </c>
      <c r="B1166" s="233" t="s">
        <v>2003</v>
      </c>
      <c r="C1166" s="234"/>
      <c r="D1166" s="234"/>
    </row>
    <row r="1167" spans="1:4" ht="28.5">
      <c r="A1167" s="235">
        <v>67507</v>
      </c>
      <c r="B1167" s="235" t="s">
        <v>2004</v>
      </c>
      <c r="C1167" s="228" t="s">
        <v>7</v>
      </c>
      <c r="D1167" s="229">
        <v>14.72</v>
      </c>
    </row>
    <row r="1168" spans="1:4" ht="14.25">
      <c r="A1168" s="235">
        <v>67510</v>
      </c>
      <c r="B1168" s="235" t="s">
        <v>2005</v>
      </c>
      <c r="C1168" s="228" t="s">
        <v>7</v>
      </c>
      <c r="D1168" s="229">
        <v>17.22</v>
      </c>
    </row>
    <row r="1169" spans="1:4" ht="28.5">
      <c r="A1169" s="235">
        <v>67512</v>
      </c>
      <c r="B1169" s="235" t="s">
        <v>2006</v>
      </c>
      <c r="C1169" s="228" t="s">
        <v>7</v>
      </c>
      <c r="D1169" s="229">
        <v>44.63</v>
      </c>
    </row>
    <row r="1170" spans="1:4" ht="14.25">
      <c r="A1170" s="235">
        <v>67522</v>
      </c>
      <c r="B1170" s="235" t="s">
        <v>2007</v>
      </c>
      <c r="C1170" s="228" t="s">
        <v>7</v>
      </c>
      <c r="D1170" s="229">
        <v>14.68</v>
      </c>
    </row>
    <row r="1171" spans="1:4" ht="28.5">
      <c r="A1171" s="235">
        <v>67552</v>
      </c>
      <c r="B1171" s="235" t="s">
        <v>2008</v>
      </c>
      <c r="C1171" s="228" t="s">
        <v>7</v>
      </c>
      <c r="D1171" s="229">
        <v>19.82</v>
      </c>
    </row>
    <row r="1172" spans="1:4" ht="28.5">
      <c r="A1172" s="235">
        <v>67560</v>
      </c>
      <c r="B1172" s="235" t="s">
        <v>2009</v>
      </c>
      <c r="C1172" s="228" t="s">
        <v>7</v>
      </c>
      <c r="D1172" s="229">
        <v>26.79</v>
      </c>
    </row>
    <row r="1173" spans="1:4" ht="14.25">
      <c r="A1173" s="235">
        <v>67561</v>
      </c>
      <c r="B1173" s="235" t="s">
        <v>2010</v>
      </c>
      <c r="C1173" s="228" t="s">
        <v>7</v>
      </c>
      <c r="D1173" s="229">
        <v>27.96</v>
      </c>
    </row>
    <row r="1174" spans="1:4" ht="28.5">
      <c r="A1174" s="235">
        <v>67578</v>
      </c>
      <c r="B1174" s="235" t="s">
        <v>2011</v>
      </c>
      <c r="C1174" s="228" t="s">
        <v>7</v>
      </c>
      <c r="D1174" s="229">
        <v>14.72</v>
      </c>
    </row>
    <row r="1175" spans="1:4" ht="15">
      <c r="A1175" s="232">
        <v>676</v>
      </c>
      <c r="B1175" s="233" t="s">
        <v>2012</v>
      </c>
      <c r="C1175" s="234"/>
      <c r="D1175" s="234"/>
    </row>
    <row r="1176" spans="1:4" ht="28.5">
      <c r="A1176" s="235">
        <v>67650</v>
      </c>
      <c r="B1176" s="235" t="s">
        <v>2013</v>
      </c>
      <c r="C1176" s="228" t="s">
        <v>7</v>
      </c>
      <c r="D1176" s="229">
        <v>46.12</v>
      </c>
    </row>
    <row r="1177" spans="1:4" ht="14.25">
      <c r="A1177" s="235">
        <v>67651</v>
      </c>
      <c r="B1177" s="235" t="s">
        <v>2014</v>
      </c>
      <c r="C1177" s="228" t="s">
        <v>7</v>
      </c>
      <c r="D1177" s="229">
        <v>29.85</v>
      </c>
    </row>
    <row r="1178" spans="1:4" ht="14.25">
      <c r="A1178" s="235">
        <v>67652</v>
      </c>
      <c r="B1178" s="235" t="s">
        <v>2015</v>
      </c>
      <c r="C1178" s="228" t="s">
        <v>7</v>
      </c>
      <c r="D1178" s="229">
        <v>9.1999999999999993</v>
      </c>
    </row>
    <row r="1179" spans="1:4" ht="15">
      <c r="A1179" s="232">
        <v>680</v>
      </c>
      <c r="B1179" s="233" t="s">
        <v>2016</v>
      </c>
      <c r="C1179" s="234"/>
      <c r="D1179" s="234"/>
    </row>
    <row r="1180" spans="1:4" ht="14.25">
      <c r="A1180" s="235">
        <v>68001</v>
      </c>
      <c r="B1180" s="235" t="s">
        <v>2017</v>
      </c>
      <c r="C1180" s="228" t="s">
        <v>6</v>
      </c>
      <c r="D1180" s="229">
        <v>25.51</v>
      </c>
    </row>
    <row r="1181" spans="1:4" ht="14.25">
      <c r="A1181" s="235">
        <v>68017</v>
      </c>
      <c r="B1181" s="235" t="s">
        <v>2018</v>
      </c>
      <c r="C1181" s="228" t="s">
        <v>7</v>
      </c>
      <c r="D1181" s="229">
        <v>20.79</v>
      </c>
    </row>
    <row r="1182" spans="1:4" ht="14.25">
      <c r="A1182" s="235">
        <v>68020</v>
      </c>
      <c r="B1182" s="235" t="s">
        <v>2019</v>
      </c>
      <c r="C1182" s="228" t="s">
        <v>9</v>
      </c>
      <c r="D1182" s="229">
        <v>234.42</v>
      </c>
    </row>
    <row r="1183" spans="1:4" ht="28.5">
      <c r="A1183" s="235">
        <v>68023</v>
      </c>
      <c r="B1183" s="235" t="s">
        <v>2020</v>
      </c>
      <c r="C1183" s="228" t="s">
        <v>6</v>
      </c>
      <c r="D1183" s="229">
        <v>91.04</v>
      </c>
    </row>
    <row r="1184" spans="1:4" ht="14.25">
      <c r="A1184" s="235">
        <v>68047</v>
      </c>
      <c r="B1184" s="235" t="s">
        <v>2021</v>
      </c>
      <c r="C1184" s="228" t="s">
        <v>9</v>
      </c>
      <c r="D1184" s="229">
        <v>295.94</v>
      </c>
    </row>
    <row r="1185" spans="1:4" ht="15">
      <c r="A1185" s="232">
        <v>681</v>
      </c>
      <c r="B1185" s="233" t="s">
        <v>2022</v>
      </c>
      <c r="C1185" s="234"/>
      <c r="D1185" s="234"/>
    </row>
    <row r="1186" spans="1:4" ht="14.25">
      <c r="A1186" s="235">
        <v>68138</v>
      </c>
      <c r="B1186" s="235" t="s">
        <v>2023</v>
      </c>
      <c r="C1186" s="228" t="s">
        <v>7</v>
      </c>
      <c r="D1186" s="229">
        <v>310.27</v>
      </c>
    </row>
    <row r="1187" spans="1:4" ht="15">
      <c r="A1187" s="232">
        <v>691</v>
      </c>
      <c r="B1187" s="233" t="s">
        <v>1230</v>
      </c>
      <c r="C1187" s="234"/>
      <c r="D1187" s="234"/>
    </row>
    <row r="1188" spans="1:4" ht="14.25">
      <c r="A1188" s="235">
        <v>69172</v>
      </c>
      <c r="B1188" s="235" t="s">
        <v>2024</v>
      </c>
      <c r="C1188" s="228" t="s">
        <v>7</v>
      </c>
      <c r="D1188" s="229">
        <v>53.3</v>
      </c>
    </row>
    <row r="1189" spans="1:4" ht="28.5">
      <c r="A1189" s="235">
        <v>69191</v>
      </c>
      <c r="B1189" s="235" t="s">
        <v>2025</v>
      </c>
      <c r="C1189" s="228" t="s">
        <v>7</v>
      </c>
      <c r="D1189" s="229">
        <v>237.56</v>
      </c>
    </row>
    <row r="1190" spans="1:4" ht="15">
      <c r="A1190" s="232">
        <v>692</v>
      </c>
      <c r="B1190" s="233" t="s">
        <v>2026</v>
      </c>
      <c r="C1190" s="234"/>
      <c r="D1190" s="234"/>
    </row>
    <row r="1191" spans="1:4" ht="28.5">
      <c r="A1191" s="235">
        <v>69291</v>
      </c>
      <c r="B1191" s="235" t="s">
        <v>26461</v>
      </c>
      <c r="C1191" s="228" t="s">
        <v>7</v>
      </c>
      <c r="D1191" s="231">
        <v>1080.92</v>
      </c>
    </row>
    <row r="1192" spans="1:4" ht="15">
      <c r="A1192" s="232">
        <v>694</v>
      </c>
      <c r="B1192" s="233" t="s">
        <v>1390</v>
      </c>
      <c r="C1192" s="234"/>
      <c r="D1192" s="234"/>
    </row>
    <row r="1193" spans="1:4" ht="14.25">
      <c r="A1193" s="235">
        <v>69404</v>
      </c>
      <c r="B1193" s="235" t="s">
        <v>2027</v>
      </c>
      <c r="C1193" s="228" t="s">
        <v>7</v>
      </c>
      <c r="D1193" s="231">
        <v>1387.33</v>
      </c>
    </row>
    <row r="1194" spans="1:4" ht="28.5">
      <c r="A1194" s="235">
        <v>69409</v>
      </c>
      <c r="B1194" s="235" t="s">
        <v>2028</v>
      </c>
      <c r="C1194" s="228" t="s">
        <v>7</v>
      </c>
      <c r="D1194" s="229">
        <v>87.69</v>
      </c>
    </row>
    <row r="1195" spans="1:4" ht="28.5">
      <c r="A1195" s="235">
        <v>69421</v>
      </c>
      <c r="B1195" s="235" t="s">
        <v>2029</v>
      </c>
      <c r="C1195" s="228" t="s">
        <v>7</v>
      </c>
      <c r="D1195" s="229">
        <v>257.22000000000003</v>
      </c>
    </row>
    <row r="1196" spans="1:4" ht="28.5">
      <c r="A1196" s="235">
        <v>69445</v>
      </c>
      <c r="B1196" s="235" t="s">
        <v>26462</v>
      </c>
      <c r="C1196" s="228" t="s">
        <v>7</v>
      </c>
      <c r="D1196" s="231">
        <v>1147.29</v>
      </c>
    </row>
    <row r="1197" spans="1:4" ht="15">
      <c r="A1197" s="232">
        <v>695</v>
      </c>
      <c r="B1197" s="233" t="s">
        <v>1221</v>
      </c>
      <c r="C1197" s="234"/>
      <c r="D1197" s="234"/>
    </row>
    <row r="1198" spans="1:4" ht="14.25">
      <c r="A1198" s="235">
        <v>69503</v>
      </c>
      <c r="B1198" s="235" t="s">
        <v>2030</v>
      </c>
      <c r="C1198" s="228" t="s">
        <v>7</v>
      </c>
      <c r="D1198" s="229">
        <v>11.1</v>
      </c>
    </row>
    <row r="1199" spans="1:4" ht="14.25">
      <c r="A1199" s="235">
        <v>69505</v>
      </c>
      <c r="B1199" s="235" t="s">
        <v>2031</v>
      </c>
      <c r="C1199" s="228" t="s">
        <v>7</v>
      </c>
      <c r="D1199" s="229">
        <v>6.32</v>
      </c>
    </row>
    <row r="1200" spans="1:4" ht="14.25">
      <c r="A1200" s="235">
        <v>69506</v>
      </c>
      <c r="B1200" s="235" t="s">
        <v>2032</v>
      </c>
      <c r="C1200" s="228" t="s">
        <v>7</v>
      </c>
      <c r="D1200" s="229">
        <v>35.68</v>
      </c>
    </row>
    <row r="1201" spans="1:4" ht="14.25">
      <c r="A1201" s="235">
        <v>69509</v>
      </c>
      <c r="B1201" s="235" t="s">
        <v>2033</v>
      </c>
      <c r="C1201" s="228" t="s">
        <v>7</v>
      </c>
      <c r="D1201" s="229">
        <v>34.24</v>
      </c>
    </row>
    <row r="1202" spans="1:4" ht="14.25">
      <c r="A1202" s="235">
        <v>69512</v>
      </c>
      <c r="B1202" s="235" t="s">
        <v>2034</v>
      </c>
      <c r="C1202" s="228" t="s">
        <v>6</v>
      </c>
      <c r="D1202" s="229">
        <v>0.13</v>
      </c>
    </row>
    <row r="1203" spans="1:4" ht="14.25">
      <c r="A1203" s="235">
        <v>69513</v>
      </c>
      <c r="B1203" s="235" t="s">
        <v>2035</v>
      </c>
      <c r="C1203" s="228" t="s">
        <v>8</v>
      </c>
      <c r="D1203" s="229">
        <v>80.680000000000007</v>
      </c>
    </row>
    <row r="1204" spans="1:4" ht="14.25">
      <c r="A1204" s="235">
        <v>69514</v>
      </c>
      <c r="B1204" s="235" t="s">
        <v>2036</v>
      </c>
      <c r="C1204" s="228" t="s">
        <v>18</v>
      </c>
      <c r="D1204" s="229">
        <v>71.63</v>
      </c>
    </row>
    <row r="1205" spans="1:4" ht="28.5">
      <c r="A1205" s="235">
        <v>69515</v>
      </c>
      <c r="B1205" s="235" t="s">
        <v>2037</v>
      </c>
      <c r="C1205" s="228" t="s">
        <v>7</v>
      </c>
      <c r="D1205" s="229">
        <v>73.56</v>
      </c>
    </row>
    <row r="1206" spans="1:4" ht="14.25">
      <c r="A1206" s="235">
        <v>69516</v>
      </c>
      <c r="B1206" s="235" t="s">
        <v>26524</v>
      </c>
      <c r="C1206" s="228" t="s">
        <v>7</v>
      </c>
      <c r="D1206" s="229">
        <v>91.47</v>
      </c>
    </row>
    <row r="1207" spans="1:4" ht="28.5">
      <c r="A1207" s="235">
        <v>69521</v>
      </c>
      <c r="B1207" s="235" t="s">
        <v>2038</v>
      </c>
      <c r="C1207" s="228" t="s">
        <v>7</v>
      </c>
      <c r="D1207" s="229">
        <v>73.56</v>
      </c>
    </row>
    <row r="1208" spans="1:4" ht="14.25">
      <c r="A1208" s="235">
        <v>69522</v>
      </c>
      <c r="B1208" s="235" t="s">
        <v>26525</v>
      </c>
      <c r="C1208" s="228" t="s">
        <v>7</v>
      </c>
      <c r="D1208" s="229">
        <v>183.2</v>
      </c>
    </row>
    <row r="1209" spans="1:4" ht="28.5">
      <c r="A1209" s="235">
        <v>69525</v>
      </c>
      <c r="B1209" s="235" t="s">
        <v>2039</v>
      </c>
      <c r="C1209" s="228" t="s">
        <v>7</v>
      </c>
      <c r="D1209" s="231">
        <v>1660.67</v>
      </c>
    </row>
    <row r="1210" spans="1:4" ht="28.5">
      <c r="A1210" s="235">
        <v>69526</v>
      </c>
      <c r="B1210" s="235" t="s">
        <v>2040</v>
      </c>
      <c r="C1210" s="228" t="s">
        <v>7</v>
      </c>
      <c r="D1210" s="231">
        <v>3706.67</v>
      </c>
    </row>
    <row r="1211" spans="1:4" ht="28.5">
      <c r="A1211" s="235">
        <v>69527</v>
      </c>
      <c r="B1211" s="235" t="s">
        <v>2041</v>
      </c>
      <c r="C1211" s="228" t="s">
        <v>7</v>
      </c>
      <c r="D1211" s="231">
        <v>4066.67</v>
      </c>
    </row>
    <row r="1212" spans="1:4" ht="14.25">
      <c r="A1212" s="235">
        <v>69545</v>
      </c>
      <c r="B1212" s="235" t="s">
        <v>2042</v>
      </c>
      <c r="C1212" s="228" t="s">
        <v>7</v>
      </c>
      <c r="D1212" s="229">
        <v>140</v>
      </c>
    </row>
    <row r="1213" spans="1:4" ht="14.25">
      <c r="A1213" s="235">
        <v>69547</v>
      </c>
      <c r="B1213" s="235" t="s">
        <v>2043</v>
      </c>
      <c r="C1213" s="228" t="s">
        <v>7</v>
      </c>
      <c r="D1213" s="229">
        <v>7.23</v>
      </c>
    </row>
    <row r="1214" spans="1:4" ht="14.25">
      <c r="A1214" s="235">
        <v>69567</v>
      </c>
      <c r="B1214" s="235" t="s">
        <v>2044</v>
      </c>
      <c r="C1214" s="228" t="s">
        <v>7</v>
      </c>
      <c r="D1214" s="229">
        <v>6.32</v>
      </c>
    </row>
    <row r="1215" spans="1:4" ht="28.5">
      <c r="A1215" s="235">
        <v>69572</v>
      </c>
      <c r="B1215" s="235" t="s">
        <v>2045</v>
      </c>
      <c r="C1215" s="228" t="s">
        <v>8</v>
      </c>
      <c r="D1215" s="229">
        <v>61.91</v>
      </c>
    </row>
    <row r="1216" spans="1:4" ht="15">
      <c r="A1216" s="232">
        <v>696</v>
      </c>
      <c r="B1216" s="233" t="s">
        <v>1767</v>
      </c>
      <c r="C1216" s="234"/>
      <c r="D1216" s="234"/>
    </row>
    <row r="1217" spans="1:4" ht="14.25">
      <c r="A1217" s="235">
        <v>69606</v>
      </c>
      <c r="B1217" s="235" t="s">
        <v>2046</v>
      </c>
      <c r="C1217" s="228" t="s">
        <v>7</v>
      </c>
      <c r="D1217" s="231">
        <v>1567.33</v>
      </c>
    </row>
    <row r="1218" spans="1:4" ht="14.25">
      <c r="A1218" s="235">
        <v>69616</v>
      </c>
      <c r="B1218" s="235" t="s">
        <v>2047</v>
      </c>
      <c r="C1218" s="228" t="s">
        <v>7</v>
      </c>
      <c r="D1218" s="229">
        <v>59.78</v>
      </c>
    </row>
    <row r="1219" spans="1:4" ht="14.25">
      <c r="A1219" s="235">
        <v>69626</v>
      </c>
      <c r="B1219" s="235" t="s">
        <v>2048</v>
      </c>
      <c r="C1219" s="228" t="s">
        <v>7</v>
      </c>
      <c r="D1219" s="229">
        <v>72.72</v>
      </c>
    </row>
    <row r="1220" spans="1:4" ht="28.5">
      <c r="A1220" s="235">
        <v>69681</v>
      </c>
      <c r="B1220" s="235" t="s">
        <v>2049</v>
      </c>
      <c r="C1220" s="228" t="s">
        <v>7</v>
      </c>
      <c r="D1220" s="229">
        <v>527.66999999999996</v>
      </c>
    </row>
    <row r="1221" spans="1:4" ht="14.25">
      <c r="A1221" s="235">
        <v>69682</v>
      </c>
      <c r="B1221" s="235" t="s">
        <v>2050</v>
      </c>
      <c r="C1221" s="228" t="s">
        <v>7</v>
      </c>
      <c r="D1221" s="229">
        <v>551</v>
      </c>
    </row>
    <row r="1222" spans="1:4" ht="15">
      <c r="A1222" s="232">
        <v>697</v>
      </c>
      <c r="B1222" s="233" t="s">
        <v>2051</v>
      </c>
      <c r="C1222" s="234"/>
      <c r="D1222" s="234"/>
    </row>
    <row r="1223" spans="1:4" ht="14.25">
      <c r="A1223" s="235">
        <v>69753</v>
      </c>
      <c r="B1223" s="235" t="s">
        <v>2052</v>
      </c>
      <c r="C1223" s="228" t="s">
        <v>7</v>
      </c>
      <c r="D1223" s="229">
        <v>43.5</v>
      </c>
    </row>
    <row r="1224" spans="1:4" ht="15">
      <c r="A1224" s="232">
        <v>7</v>
      </c>
      <c r="B1224" s="233" t="s">
        <v>1221</v>
      </c>
      <c r="C1224" s="234"/>
      <c r="D1224" s="234"/>
    </row>
    <row r="1225" spans="1:4" ht="15">
      <c r="A1225" s="232">
        <v>701</v>
      </c>
      <c r="B1225" s="233" t="s">
        <v>1221</v>
      </c>
      <c r="C1225" s="234"/>
      <c r="D1225" s="234"/>
    </row>
    <row r="1226" spans="1:4" ht="28.5">
      <c r="A1226" s="235">
        <v>70114</v>
      </c>
      <c r="B1226" s="235" t="s">
        <v>2053</v>
      </c>
      <c r="C1226" s="228" t="s">
        <v>12</v>
      </c>
      <c r="D1226" s="229">
        <v>52</v>
      </c>
    </row>
    <row r="1227" spans="1:4" ht="15">
      <c r="A1227" s="232">
        <v>702</v>
      </c>
      <c r="B1227" s="233" t="s">
        <v>1700</v>
      </c>
      <c r="C1227" s="234"/>
      <c r="D1227" s="234"/>
    </row>
    <row r="1228" spans="1:4" ht="14.25">
      <c r="A1228" s="235">
        <v>70276</v>
      </c>
      <c r="B1228" s="235" t="s">
        <v>2054</v>
      </c>
      <c r="C1228" s="228" t="s">
        <v>6</v>
      </c>
      <c r="D1228" s="229">
        <v>18.77</v>
      </c>
    </row>
    <row r="1229" spans="1:4" ht="15">
      <c r="A1229" s="232">
        <v>703</v>
      </c>
      <c r="B1229" s="233" t="s">
        <v>1700</v>
      </c>
      <c r="C1229" s="234"/>
      <c r="D1229" s="234"/>
    </row>
    <row r="1230" spans="1:4" ht="14.25">
      <c r="A1230" s="235">
        <v>70328</v>
      </c>
      <c r="B1230" s="235" t="s">
        <v>2055</v>
      </c>
      <c r="C1230" s="228" t="s">
        <v>6</v>
      </c>
      <c r="D1230" s="229">
        <v>94.18</v>
      </c>
    </row>
    <row r="1231" spans="1:4" ht="14.25">
      <c r="A1231" s="235">
        <v>70350</v>
      </c>
      <c r="B1231" s="235" t="s">
        <v>2056</v>
      </c>
      <c r="C1231" s="228" t="s">
        <v>6</v>
      </c>
      <c r="D1231" s="229">
        <v>44.37</v>
      </c>
    </row>
    <row r="1232" spans="1:4" ht="15">
      <c r="A1232" s="232">
        <v>706</v>
      </c>
      <c r="B1232" s="233" t="s">
        <v>1700</v>
      </c>
      <c r="C1232" s="234"/>
      <c r="D1232" s="234"/>
    </row>
    <row r="1233" spans="1:4" ht="14.25">
      <c r="A1233" s="235">
        <v>70674</v>
      </c>
      <c r="B1233" s="235" t="s">
        <v>2057</v>
      </c>
      <c r="C1233" s="228" t="s">
        <v>7</v>
      </c>
      <c r="D1233" s="229">
        <v>490</v>
      </c>
    </row>
    <row r="1234" spans="1:4" ht="15">
      <c r="A1234" s="232">
        <v>710</v>
      </c>
      <c r="B1234" s="233" t="s">
        <v>1700</v>
      </c>
      <c r="C1234" s="234"/>
      <c r="D1234" s="234"/>
    </row>
    <row r="1235" spans="1:4" ht="14.25">
      <c r="A1235" s="235">
        <v>71096</v>
      </c>
      <c r="B1235" s="235" t="s">
        <v>2058</v>
      </c>
      <c r="C1235" s="228" t="s">
        <v>9</v>
      </c>
      <c r="D1235" s="229">
        <v>40</v>
      </c>
    </row>
    <row r="1236" spans="1:4" ht="15">
      <c r="A1236" s="232">
        <v>712</v>
      </c>
      <c r="B1236" s="233" t="s">
        <v>1700</v>
      </c>
      <c r="C1236" s="234"/>
      <c r="D1236" s="234"/>
    </row>
    <row r="1237" spans="1:4" ht="14.25">
      <c r="A1237" s="235">
        <v>71268</v>
      </c>
      <c r="B1237" s="235" t="s">
        <v>2059</v>
      </c>
      <c r="C1237" s="228" t="s">
        <v>6</v>
      </c>
      <c r="D1237" s="229">
        <v>31.79</v>
      </c>
    </row>
    <row r="1238" spans="1:4" ht="28.5">
      <c r="A1238" s="235">
        <v>71270</v>
      </c>
      <c r="B1238" s="235" t="s">
        <v>2060</v>
      </c>
      <c r="C1238" s="228" t="s">
        <v>6</v>
      </c>
      <c r="D1238" s="229">
        <v>136.88</v>
      </c>
    </row>
    <row r="1239" spans="1:4" ht="15">
      <c r="A1239" s="232">
        <v>717</v>
      </c>
      <c r="B1239" s="233" t="s">
        <v>1700</v>
      </c>
      <c r="C1239" s="234"/>
      <c r="D1239" s="234"/>
    </row>
    <row r="1240" spans="1:4" ht="28.5">
      <c r="A1240" s="235">
        <v>71707</v>
      </c>
      <c r="B1240" s="235" t="s">
        <v>2061</v>
      </c>
      <c r="C1240" s="228" t="s">
        <v>956</v>
      </c>
      <c r="D1240" s="229">
        <v>710</v>
      </c>
    </row>
    <row r="1241" spans="1:4" ht="28.5">
      <c r="A1241" s="235">
        <v>71711</v>
      </c>
      <c r="B1241" s="235" t="s">
        <v>2062</v>
      </c>
      <c r="C1241" s="228" t="s">
        <v>9</v>
      </c>
      <c r="D1241" s="229">
        <v>8.42</v>
      </c>
    </row>
    <row r="1242" spans="1:4" ht="15">
      <c r="A1242" s="232">
        <v>718</v>
      </c>
      <c r="B1242" s="233" t="s">
        <v>1700</v>
      </c>
      <c r="C1242" s="234"/>
      <c r="D1242" s="234"/>
    </row>
    <row r="1243" spans="1:4" ht="28.5">
      <c r="A1243" s="235">
        <v>71820</v>
      </c>
      <c r="B1243" s="235" t="s">
        <v>2063</v>
      </c>
      <c r="C1243" s="228" t="s">
        <v>7</v>
      </c>
      <c r="D1243" s="231">
        <v>1400</v>
      </c>
    </row>
    <row r="1244" spans="1:4" ht="28.5">
      <c r="A1244" s="235">
        <v>71874</v>
      </c>
      <c r="B1244" s="235" t="s">
        <v>2064</v>
      </c>
      <c r="C1244" s="228" t="s">
        <v>6</v>
      </c>
      <c r="D1244" s="229">
        <v>67.03</v>
      </c>
    </row>
    <row r="1245" spans="1:4" ht="28.5">
      <c r="A1245" s="235">
        <v>71894</v>
      </c>
      <c r="B1245" s="235" t="s">
        <v>2065</v>
      </c>
      <c r="C1245" s="228" t="s">
        <v>7</v>
      </c>
      <c r="D1245" s="229">
        <v>174.33</v>
      </c>
    </row>
    <row r="1246" spans="1:4" ht="15">
      <c r="A1246" s="232">
        <v>719</v>
      </c>
      <c r="B1246" s="233" t="s">
        <v>1700</v>
      </c>
      <c r="C1246" s="234"/>
      <c r="D1246" s="234"/>
    </row>
    <row r="1247" spans="1:4" ht="14.25">
      <c r="A1247" s="235">
        <v>71911</v>
      </c>
      <c r="B1247" s="235" t="s">
        <v>2066</v>
      </c>
      <c r="C1247" s="228" t="s">
        <v>2067</v>
      </c>
      <c r="D1247" s="229">
        <v>336.06</v>
      </c>
    </row>
    <row r="1248" spans="1:4" ht="28.5">
      <c r="A1248" s="235">
        <v>71963</v>
      </c>
      <c r="B1248" s="235" t="s">
        <v>2068</v>
      </c>
      <c r="C1248" s="228" t="s">
        <v>7</v>
      </c>
      <c r="D1248" s="229">
        <v>19.670000000000002</v>
      </c>
    </row>
    <row r="1249" spans="1:4" ht="15">
      <c r="A1249" s="232">
        <v>720</v>
      </c>
      <c r="B1249" s="233" t="s">
        <v>1700</v>
      </c>
      <c r="C1249" s="234"/>
      <c r="D1249" s="234"/>
    </row>
    <row r="1250" spans="1:4" ht="28.5">
      <c r="A1250" s="235">
        <v>72054</v>
      </c>
      <c r="B1250" s="235" t="s">
        <v>2069</v>
      </c>
      <c r="C1250" s="228" t="s">
        <v>956</v>
      </c>
      <c r="D1250" s="229">
        <v>710</v>
      </c>
    </row>
    <row r="1251" spans="1:4" ht="15">
      <c r="A1251" s="232">
        <v>722</v>
      </c>
      <c r="B1251" s="233" t="s">
        <v>1700</v>
      </c>
      <c r="C1251" s="234"/>
      <c r="D1251" s="234"/>
    </row>
    <row r="1252" spans="1:4" ht="14.25">
      <c r="A1252" s="235">
        <v>72280</v>
      </c>
      <c r="B1252" s="235" t="s">
        <v>2070</v>
      </c>
      <c r="C1252" s="228" t="s">
        <v>956</v>
      </c>
      <c r="D1252" s="231">
        <v>1000</v>
      </c>
    </row>
    <row r="1253" spans="1:4" ht="14.25">
      <c r="A1253" s="235">
        <v>72282</v>
      </c>
      <c r="B1253" s="235" t="s">
        <v>2071</v>
      </c>
      <c r="C1253" s="228" t="s">
        <v>956</v>
      </c>
      <c r="D1253" s="231">
        <v>1033.33</v>
      </c>
    </row>
    <row r="1254" spans="1:4" ht="15">
      <c r="A1254" s="232">
        <v>724</v>
      </c>
      <c r="B1254" s="233" t="s">
        <v>1700</v>
      </c>
      <c r="C1254" s="234"/>
      <c r="D1254" s="234"/>
    </row>
    <row r="1255" spans="1:4" ht="28.5">
      <c r="A1255" s="235">
        <v>72455</v>
      </c>
      <c r="B1255" s="235" t="s">
        <v>2072</v>
      </c>
      <c r="C1255" s="228" t="s">
        <v>7</v>
      </c>
      <c r="D1255" s="229">
        <v>83.42</v>
      </c>
    </row>
    <row r="1256" spans="1:4" ht="15">
      <c r="A1256" s="232">
        <v>727</v>
      </c>
      <c r="B1256" s="233" t="s">
        <v>1700</v>
      </c>
      <c r="C1256" s="234"/>
      <c r="D1256" s="234"/>
    </row>
    <row r="1257" spans="1:4" ht="14.25">
      <c r="A1257" s="235">
        <v>72708</v>
      </c>
      <c r="B1257" s="235" t="s">
        <v>2073</v>
      </c>
      <c r="C1257" s="228" t="s">
        <v>7</v>
      </c>
      <c r="D1257" s="229">
        <v>23.15</v>
      </c>
    </row>
    <row r="1258" spans="1:4" ht="15">
      <c r="A1258" s="232">
        <v>781</v>
      </c>
      <c r="B1258" s="233" t="s">
        <v>1230</v>
      </c>
      <c r="C1258" s="234"/>
      <c r="D1258" s="234"/>
    </row>
    <row r="1259" spans="1:4" ht="28.5">
      <c r="A1259" s="235">
        <v>78133</v>
      </c>
      <c r="B1259" s="235" t="s">
        <v>2074</v>
      </c>
      <c r="C1259" s="228" t="s">
        <v>956</v>
      </c>
      <c r="D1259" s="231">
        <v>1050</v>
      </c>
    </row>
    <row r="1260" spans="1:4" ht="15">
      <c r="A1260" s="232">
        <v>782</v>
      </c>
      <c r="B1260" s="233" t="s">
        <v>1221</v>
      </c>
      <c r="C1260" s="234"/>
      <c r="D1260" s="234"/>
    </row>
    <row r="1261" spans="1:4" ht="28.5">
      <c r="A1261" s="235">
        <v>78203</v>
      </c>
      <c r="B1261" s="235" t="s">
        <v>2075</v>
      </c>
      <c r="C1261" s="228" t="s">
        <v>7</v>
      </c>
      <c r="D1261" s="229">
        <v>750</v>
      </c>
    </row>
    <row r="1262" spans="1:4" ht="28.5">
      <c r="A1262" s="235">
        <v>78226</v>
      </c>
      <c r="B1262" s="235" t="s">
        <v>2076</v>
      </c>
      <c r="C1262" s="228" t="s">
        <v>7</v>
      </c>
      <c r="D1262" s="229">
        <v>4.13</v>
      </c>
    </row>
    <row r="1263" spans="1:4" ht="15">
      <c r="A1263" s="232">
        <v>783</v>
      </c>
      <c r="B1263" s="233" t="s">
        <v>2077</v>
      </c>
      <c r="C1263" s="234"/>
      <c r="D1263" s="234"/>
    </row>
    <row r="1264" spans="1:4" ht="28.5">
      <c r="A1264" s="235">
        <v>78373</v>
      </c>
      <c r="B1264" s="235" t="s">
        <v>2078</v>
      </c>
      <c r="C1264" s="228" t="s">
        <v>956</v>
      </c>
      <c r="D1264" s="229">
        <v>978.33</v>
      </c>
    </row>
    <row r="1265" spans="1:4" ht="15">
      <c r="A1265" s="232">
        <v>786</v>
      </c>
      <c r="B1265" s="233" t="s">
        <v>1390</v>
      </c>
      <c r="C1265" s="234"/>
      <c r="D1265" s="234"/>
    </row>
    <row r="1266" spans="1:4" ht="14.25">
      <c r="A1266" s="235">
        <v>78627</v>
      </c>
      <c r="B1266" s="235" t="s">
        <v>2079</v>
      </c>
      <c r="C1266" s="228" t="s">
        <v>7</v>
      </c>
      <c r="D1266" s="229">
        <v>154.26</v>
      </c>
    </row>
    <row r="1267" spans="1:4" ht="15">
      <c r="A1267" s="232">
        <v>787</v>
      </c>
      <c r="B1267" s="233" t="s">
        <v>2077</v>
      </c>
      <c r="C1267" s="234"/>
      <c r="D1267" s="234"/>
    </row>
    <row r="1268" spans="1:4" ht="14.25">
      <c r="A1268" s="235">
        <v>78735</v>
      </c>
      <c r="B1268" s="235" t="s">
        <v>2080</v>
      </c>
      <c r="C1268" s="228" t="s">
        <v>7</v>
      </c>
      <c r="D1268" s="229">
        <v>25.88</v>
      </c>
    </row>
    <row r="1269" spans="1:4" ht="14.25">
      <c r="A1269" s="235">
        <v>78749</v>
      </c>
      <c r="B1269" s="235" t="s">
        <v>2081</v>
      </c>
      <c r="C1269" s="228" t="s">
        <v>7</v>
      </c>
      <c r="D1269" s="229">
        <v>130.37</v>
      </c>
    </row>
    <row r="1270" spans="1:4" ht="15">
      <c r="A1270" s="232">
        <v>793</v>
      </c>
      <c r="B1270" s="233" t="s">
        <v>1700</v>
      </c>
      <c r="C1270" s="234"/>
      <c r="D1270" s="234"/>
    </row>
    <row r="1271" spans="1:4" ht="28.5">
      <c r="A1271" s="235">
        <v>79372</v>
      </c>
      <c r="B1271" s="235" t="s">
        <v>2082</v>
      </c>
      <c r="C1271" s="228" t="s">
        <v>6</v>
      </c>
      <c r="D1271" s="229">
        <v>223.06</v>
      </c>
    </row>
    <row r="1272" spans="1:4" ht="28.5">
      <c r="A1272" s="235">
        <v>79374</v>
      </c>
      <c r="B1272" s="235" t="s">
        <v>2083</v>
      </c>
      <c r="C1272" s="228" t="s">
        <v>7</v>
      </c>
      <c r="D1272" s="229">
        <v>24.78</v>
      </c>
    </row>
    <row r="1273" spans="1:4" ht="14.25">
      <c r="A1273" s="235">
        <v>79375</v>
      </c>
      <c r="B1273" s="235" t="s">
        <v>2084</v>
      </c>
      <c r="C1273" s="228" t="s">
        <v>8</v>
      </c>
      <c r="D1273" s="229">
        <v>2.5299999999999998</v>
      </c>
    </row>
    <row r="1274" spans="1:4" ht="15">
      <c r="A1274" s="232">
        <v>10</v>
      </c>
      <c r="B1274" s="233" t="s">
        <v>2085</v>
      </c>
      <c r="C1274" s="234"/>
      <c r="D1274" s="234"/>
    </row>
    <row r="1275" spans="1:4" ht="15">
      <c r="A1275" s="232">
        <v>1001</v>
      </c>
      <c r="B1275" s="233" t="s">
        <v>2085</v>
      </c>
      <c r="C1275" s="234"/>
      <c r="D1275" s="234"/>
    </row>
    <row r="1276" spans="1:4" ht="14.25">
      <c r="A1276" s="235">
        <v>100189</v>
      </c>
      <c r="B1276" s="235" t="s">
        <v>2086</v>
      </c>
      <c r="C1276" s="228" t="s">
        <v>6</v>
      </c>
      <c r="D1276" s="229">
        <v>5.66</v>
      </c>
    </row>
    <row r="1277" spans="1:4" ht="14.25">
      <c r="A1277" s="235">
        <v>100190</v>
      </c>
      <c r="B1277" s="235" t="s">
        <v>2087</v>
      </c>
      <c r="C1277" s="228" t="s">
        <v>6</v>
      </c>
      <c r="D1277" s="229">
        <v>23.59</v>
      </c>
    </row>
    <row r="1278" spans="1:4" ht="28.5">
      <c r="A1278" s="235">
        <v>100192</v>
      </c>
      <c r="B1278" s="235" t="s">
        <v>2088</v>
      </c>
      <c r="C1278" s="228" t="s">
        <v>6</v>
      </c>
      <c r="D1278" s="229">
        <v>35.869999999999997</v>
      </c>
    </row>
    <row r="1279" spans="1:4" ht="14.25">
      <c r="A1279" s="235">
        <v>100194</v>
      </c>
      <c r="B1279" s="235" t="s">
        <v>2089</v>
      </c>
      <c r="C1279" s="228" t="s">
        <v>6</v>
      </c>
      <c r="D1279" s="229">
        <v>10.56</v>
      </c>
    </row>
    <row r="1280" spans="1:4" ht="14.25">
      <c r="A1280" s="235">
        <v>100195</v>
      </c>
      <c r="B1280" s="235" t="s">
        <v>2090</v>
      </c>
      <c r="C1280" s="228" t="s">
        <v>8</v>
      </c>
      <c r="D1280" s="229">
        <v>11.49</v>
      </c>
    </row>
    <row r="1281" spans="1:4" ht="14.25">
      <c r="A1281" s="235">
        <v>100196</v>
      </c>
      <c r="B1281" s="235" t="s">
        <v>2091</v>
      </c>
      <c r="C1281" s="228" t="s">
        <v>8</v>
      </c>
      <c r="D1281" s="229">
        <v>10.130000000000001</v>
      </c>
    </row>
    <row r="1282" spans="1:4" ht="14.25">
      <c r="A1282" s="235">
        <v>100197</v>
      </c>
      <c r="B1282" s="235" t="s">
        <v>2092</v>
      </c>
      <c r="C1282" s="228" t="s">
        <v>8</v>
      </c>
      <c r="D1282" s="229">
        <v>9.33</v>
      </c>
    </row>
    <row r="1283" spans="1:4" ht="14.25">
      <c r="A1283" s="235">
        <v>100198</v>
      </c>
      <c r="B1283" s="235" t="s">
        <v>2093</v>
      </c>
      <c r="C1283" s="228" t="s">
        <v>6</v>
      </c>
      <c r="D1283" s="229">
        <v>12.44</v>
      </c>
    </row>
    <row r="1284" spans="1:4" ht="15">
      <c r="A1284" s="232">
        <v>1002</v>
      </c>
      <c r="B1284" s="233" t="s">
        <v>2094</v>
      </c>
      <c r="C1284" s="234"/>
      <c r="D1284" s="234"/>
    </row>
    <row r="1285" spans="1:4" ht="14.25">
      <c r="A1285" s="235">
        <v>100202</v>
      </c>
      <c r="B1285" s="235" t="s">
        <v>2095</v>
      </c>
      <c r="C1285" s="228" t="s">
        <v>8</v>
      </c>
      <c r="D1285" s="229">
        <v>16.07</v>
      </c>
    </row>
    <row r="1286" spans="1:4" ht="14.25">
      <c r="A1286" s="235">
        <v>100203</v>
      </c>
      <c r="B1286" s="235" t="s">
        <v>2096</v>
      </c>
      <c r="C1286" s="228" t="s">
        <v>8</v>
      </c>
      <c r="D1286" s="229">
        <v>16.07</v>
      </c>
    </row>
    <row r="1287" spans="1:4" ht="14.25">
      <c r="A1287" s="235">
        <v>100208</v>
      </c>
      <c r="B1287" s="235" t="s">
        <v>2097</v>
      </c>
      <c r="C1287" s="228" t="s">
        <v>6</v>
      </c>
      <c r="D1287" s="229">
        <v>167.4</v>
      </c>
    </row>
    <row r="1288" spans="1:4" ht="28.5">
      <c r="A1288" s="235">
        <v>100209</v>
      </c>
      <c r="B1288" s="235" t="s">
        <v>2098</v>
      </c>
      <c r="C1288" s="228" t="s">
        <v>8</v>
      </c>
      <c r="D1288" s="229">
        <v>16.07</v>
      </c>
    </row>
    <row r="1289" spans="1:4" ht="15">
      <c r="A1289" s="232">
        <v>13</v>
      </c>
      <c r="B1289" s="233" t="s">
        <v>2099</v>
      </c>
      <c r="C1289" s="234"/>
      <c r="D1289" s="234"/>
    </row>
    <row r="1290" spans="1:4" ht="15">
      <c r="A1290" s="232">
        <v>1304</v>
      </c>
      <c r="B1290" s="233" t="s">
        <v>2100</v>
      </c>
      <c r="C1290" s="234"/>
      <c r="D1290" s="234"/>
    </row>
    <row r="1291" spans="1:4" ht="14.25">
      <c r="A1291" s="235">
        <v>130401</v>
      </c>
      <c r="B1291" s="235" t="s">
        <v>2101</v>
      </c>
      <c r="C1291" s="228" t="s">
        <v>7</v>
      </c>
      <c r="D1291" s="229">
        <v>192.36</v>
      </c>
    </row>
    <row r="1292" spans="1:4" ht="15">
      <c r="A1292" s="232">
        <v>1305</v>
      </c>
      <c r="B1292" s="233" t="s">
        <v>1624</v>
      </c>
      <c r="C1292" s="234"/>
      <c r="D1292" s="234"/>
    </row>
    <row r="1293" spans="1:4" ht="42.75">
      <c r="A1293" s="235">
        <v>130561</v>
      </c>
      <c r="B1293" s="235" t="s">
        <v>26463</v>
      </c>
      <c r="C1293" s="228" t="s">
        <v>7</v>
      </c>
      <c r="D1293" s="229">
        <v>154.19999999999999</v>
      </c>
    </row>
    <row r="1294" spans="1:4" ht="15">
      <c r="A1294" s="232">
        <v>1306</v>
      </c>
      <c r="B1294" s="233" t="s">
        <v>1432</v>
      </c>
      <c r="C1294" s="234"/>
      <c r="D1294" s="234"/>
    </row>
    <row r="1295" spans="1:4" ht="28.5">
      <c r="A1295" s="235">
        <v>130627</v>
      </c>
      <c r="B1295" s="235" t="s">
        <v>26464</v>
      </c>
      <c r="C1295" s="228" t="s">
        <v>7</v>
      </c>
      <c r="D1295" s="229">
        <v>118.16</v>
      </c>
    </row>
    <row r="1296" spans="1:4" ht="28.5">
      <c r="A1296" s="235">
        <v>130628</v>
      </c>
      <c r="B1296" s="235" t="s">
        <v>26465</v>
      </c>
      <c r="C1296" s="228" t="s">
        <v>7</v>
      </c>
      <c r="D1296" s="229">
        <v>72.03</v>
      </c>
    </row>
    <row r="1297" spans="1:4" ht="15">
      <c r="A1297" s="232">
        <v>1307</v>
      </c>
      <c r="B1297" s="233" t="s">
        <v>26388</v>
      </c>
      <c r="C1297" s="234"/>
      <c r="D1297" s="234"/>
    </row>
    <row r="1298" spans="1:4" ht="28.5">
      <c r="A1298" s="235">
        <v>130701</v>
      </c>
      <c r="B1298" s="235" t="s">
        <v>26466</v>
      </c>
      <c r="C1298" s="228" t="s">
        <v>7</v>
      </c>
      <c r="D1298" s="229">
        <v>20.190000000000001</v>
      </c>
    </row>
    <row r="1299" spans="1:4" ht="15">
      <c r="A1299" s="232">
        <v>15</v>
      </c>
      <c r="B1299" s="233" t="s">
        <v>2102</v>
      </c>
      <c r="C1299" s="234"/>
      <c r="D1299" s="234"/>
    </row>
    <row r="1300" spans="1:4" ht="15">
      <c r="A1300" s="232">
        <v>1502</v>
      </c>
      <c r="B1300" s="233" t="s">
        <v>2103</v>
      </c>
      <c r="C1300" s="234"/>
      <c r="D1300" s="234"/>
    </row>
    <row r="1301" spans="1:4" ht="28.5">
      <c r="A1301" s="235">
        <v>150266</v>
      </c>
      <c r="B1301" s="235" t="s">
        <v>2104</v>
      </c>
      <c r="C1301" s="228" t="s">
        <v>9</v>
      </c>
      <c r="D1301" s="229">
        <v>42.73</v>
      </c>
    </row>
    <row r="1302" spans="1:4" ht="15">
      <c r="A1302" s="232">
        <v>1507</v>
      </c>
      <c r="B1302" s="233" t="s">
        <v>2105</v>
      </c>
      <c r="C1302" s="234"/>
      <c r="D1302" s="234"/>
    </row>
    <row r="1303" spans="1:4" ht="28.5">
      <c r="A1303" s="235">
        <v>150706</v>
      </c>
      <c r="B1303" s="235" t="s">
        <v>2106</v>
      </c>
      <c r="C1303" s="228" t="s">
        <v>7</v>
      </c>
      <c r="D1303" s="231">
        <v>2146.48</v>
      </c>
    </row>
    <row r="1304" spans="1:4" ht="15">
      <c r="A1304" s="232">
        <v>60</v>
      </c>
      <c r="B1304" s="233" t="s">
        <v>2107</v>
      </c>
      <c r="C1304" s="234"/>
      <c r="D1304" s="234"/>
    </row>
    <row r="1305" spans="1:4" ht="15">
      <c r="A1305" s="232">
        <v>6003</v>
      </c>
      <c r="B1305" s="233" t="s">
        <v>2108</v>
      </c>
      <c r="C1305" s="234"/>
      <c r="D1305" s="234"/>
    </row>
    <row r="1306" spans="1:4" ht="14.25">
      <c r="A1306" s="235">
        <v>600327</v>
      </c>
      <c r="B1306" s="235" t="s">
        <v>2109</v>
      </c>
      <c r="C1306" s="228" t="s">
        <v>12</v>
      </c>
      <c r="D1306" s="229">
        <v>90.69</v>
      </c>
    </row>
    <row r="1307" spans="1:4" ht="15">
      <c r="A1307" s="232">
        <v>80</v>
      </c>
      <c r="B1307" s="233" t="s">
        <v>2110</v>
      </c>
      <c r="C1307" s="234"/>
      <c r="D1307" s="234"/>
    </row>
    <row r="1308" spans="1:4" ht="15">
      <c r="A1308" s="232">
        <v>8001</v>
      </c>
      <c r="B1308" s="233" t="s">
        <v>2111</v>
      </c>
      <c r="C1308" s="234"/>
      <c r="D1308" s="234"/>
    </row>
    <row r="1309" spans="1:4" ht="14.25">
      <c r="A1309" s="235">
        <v>800102</v>
      </c>
      <c r="B1309" s="235" t="s">
        <v>25</v>
      </c>
      <c r="C1309" s="228" t="s">
        <v>18</v>
      </c>
      <c r="D1309" s="229">
        <v>6.89</v>
      </c>
    </row>
    <row r="1310" spans="1:4" ht="15">
      <c r="A1310" s="232">
        <v>8005</v>
      </c>
      <c r="B1310" s="233" t="s">
        <v>2112</v>
      </c>
      <c r="C1310" s="234"/>
      <c r="D1310" s="234"/>
    </row>
    <row r="1311" spans="1:4" ht="14.25">
      <c r="A1311" s="235">
        <v>800502</v>
      </c>
      <c r="B1311" s="235" t="s">
        <v>2113</v>
      </c>
      <c r="C1311" s="228" t="s">
        <v>8</v>
      </c>
      <c r="D1311" s="229">
        <v>14.41</v>
      </c>
    </row>
    <row r="1312" spans="1:4" ht="15">
      <c r="A1312" s="232">
        <v>82</v>
      </c>
      <c r="B1312" s="233" t="s">
        <v>26526</v>
      </c>
      <c r="C1312" s="234"/>
      <c r="D1312" s="234"/>
    </row>
    <row r="1313" spans="1:4" ht="15">
      <c r="A1313" s="232">
        <v>8201</v>
      </c>
      <c r="B1313" s="233" t="s">
        <v>26527</v>
      </c>
      <c r="C1313" s="234"/>
      <c r="D1313" s="234"/>
    </row>
    <row r="1314" spans="1:4" ht="14.25">
      <c r="A1314" s="235">
        <v>820101</v>
      </c>
      <c r="B1314" s="235" t="s">
        <v>2114</v>
      </c>
      <c r="C1314" s="228" t="s">
        <v>7</v>
      </c>
      <c r="D1314" s="229">
        <v>124.13</v>
      </c>
    </row>
    <row r="1315" spans="1:4" ht="14.25">
      <c r="A1315" s="235">
        <v>820104</v>
      </c>
      <c r="B1315" s="235" t="s">
        <v>2115</v>
      </c>
      <c r="C1315" s="228" t="s">
        <v>7</v>
      </c>
      <c r="D1315" s="229">
        <v>109.6</v>
      </c>
    </row>
    <row r="1316" spans="1:4" ht="14.25">
      <c r="A1316" s="235">
        <v>820106</v>
      </c>
      <c r="B1316" s="235" t="s">
        <v>2116</v>
      </c>
      <c r="C1316" s="228" t="s">
        <v>7</v>
      </c>
      <c r="D1316" s="229">
        <v>20.51</v>
      </c>
    </row>
    <row r="1317" spans="1:4" ht="14.25">
      <c r="A1317" s="235">
        <v>820113</v>
      </c>
      <c r="B1317" s="235" t="s">
        <v>2117</v>
      </c>
      <c r="C1317" s="228" t="s">
        <v>7</v>
      </c>
      <c r="D1317" s="229">
        <v>30.37</v>
      </c>
    </row>
    <row r="1318" spans="1:4" ht="14.25">
      <c r="A1318" s="235">
        <v>820114</v>
      </c>
      <c r="B1318" s="235" t="s">
        <v>2118</v>
      </c>
      <c r="C1318" s="228" t="s">
        <v>7</v>
      </c>
      <c r="D1318" s="229">
        <v>14.28</v>
      </c>
    </row>
    <row r="1319" spans="1:4" ht="14.25">
      <c r="A1319" s="235">
        <v>820115</v>
      </c>
      <c r="B1319" s="235" t="s">
        <v>2119</v>
      </c>
      <c r="C1319" s="228" t="s">
        <v>7</v>
      </c>
      <c r="D1319" s="229">
        <v>62.07</v>
      </c>
    </row>
    <row r="1320" spans="1:4" ht="14.25">
      <c r="A1320" s="235">
        <v>820116</v>
      </c>
      <c r="B1320" s="235" t="s">
        <v>2120</v>
      </c>
      <c r="C1320" s="228" t="s">
        <v>7</v>
      </c>
      <c r="D1320" s="229">
        <v>3.92</v>
      </c>
    </row>
    <row r="1321" spans="1:4" ht="14.25">
      <c r="A1321" s="235">
        <v>820117</v>
      </c>
      <c r="B1321" s="235" t="s">
        <v>2121</v>
      </c>
      <c r="C1321" s="228" t="s">
        <v>7</v>
      </c>
      <c r="D1321" s="229">
        <v>11.39</v>
      </c>
    </row>
    <row r="1322" spans="1:4" ht="14.25">
      <c r="A1322" s="235">
        <v>820118</v>
      </c>
      <c r="B1322" s="235" t="s">
        <v>2122</v>
      </c>
      <c r="C1322" s="228" t="s">
        <v>7</v>
      </c>
      <c r="D1322" s="229">
        <v>2.93</v>
      </c>
    </row>
    <row r="1323" spans="1:4" ht="15">
      <c r="A1323" s="232">
        <v>83</v>
      </c>
      <c r="B1323" s="233" t="s">
        <v>2123</v>
      </c>
      <c r="C1323" s="234"/>
      <c r="D1323" s="234"/>
    </row>
    <row r="1324" spans="1:4" ht="15">
      <c r="A1324" s="232">
        <v>8301</v>
      </c>
      <c r="B1324" s="233" t="s">
        <v>2124</v>
      </c>
      <c r="C1324" s="234"/>
      <c r="D1324" s="234"/>
    </row>
    <row r="1325" spans="1:4" ht="14.25">
      <c r="A1325" s="235">
        <v>830101</v>
      </c>
      <c r="B1325" s="235" t="s">
        <v>2125</v>
      </c>
      <c r="C1325" s="228" t="s">
        <v>7</v>
      </c>
      <c r="D1325" s="229">
        <v>88.62</v>
      </c>
    </row>
    <row r="1326" spans="1:4" ht="14.25">
      <c r="A1326" s="235">
        <v>830102</v>
      </c>
      <c r="B1326" s="235" t="s">
        <v>2126</v>
      </c>
      <c r="C1326" s="228" t="s">
        <v>7</v>
      </c>
      <c r="D1326" s="229">
        <v>40.72</v>
      </c>
    </row>
    <row r="1327" spans="1:4" ht="14.25">
      <c r="A1327" s="235">
        <v>830103</v>
      </c>
      <c r="B1327" s="235" t="s">
        <v>2127</v>
      </c>
      <c r="C1327" s="228" t="s">
        <v>7</v>
      </c>
      <c r="D1327" s="229">
        <v>49.09</v>
      </c>
    </row>
    <row r="1328" spans="1:4" ht="14.25">
      <c r="A1328" s="235">
        <v>830104</v>
      </c>
      <c r="B1328" s="235" t="s">
        <v>2128</v>
      </c>
      <c r="C1328" s="228" t="s">
        <v>7</v>
      </c>
      <c r="D1328" s="229">
        <v>64.63</v>
      </c>
    </row>
    <row r="1329" spans="1:4" ht="14.25">
      <c r="A1329" s="235">
        <v>830105</v>
      </c>
      <c r="B1329" s="235" t="s">
        <v>2129</v>
      </c>
      <c r="C1329" s="228" t="s">
        <v>7</v>
      </c>
      <c r="D1329" s="229">
        <v>30.28</v>
      </c>
    </row>
    <row r="1330" spans="1:4" ht="14.25">
      <c r="A1330" s="235">
        <v>830106</v>
      </c>
      <c r="B1330" s="235" t="s">
        <v>2130</v>
      </c>
      <c r="C1330" s="228" t="s">
        <v>7</v>
      </c>
      <c r="D1330" s="229">
        <v>24.08</v>
      </c>
    </row>
    <row r="1331" spans="1:4" ht="14.25">
      <c r="A1331" s="235">
        <v>830107</v>
      </c>
      <c r="B1331" s="235" t="s">
        <v>2131</v>
      </c>
      <c r="C1331" s="228" t="s">
        <v>7</v>
      </c>
      <c r="D1331" s="229">
        <v>29.78</v>
      </c>
    </row>
    <row r="1332" spans="1:4" ht="14.25">
      <c r="A1332" s="235">
        <v>830108</v>
      </c>
      <c r="B1332" s="235" t="s">
        <v>2132</v>
      </c>
      <c r="C1332" s="228" t="s">
        <v>7</v>
      </c>
      <c r="D1332" s="229">
        <v>130.77000000000001</v>
      </c>
    </row>
    <row r="1333" spans="1:4" ht="14.25">
      <c r="A1333" s="235">
        <v>830109</v>
      </c>
      <c r="B1333" s="235" t="s">
        <v>2133</v>
      </c>
      <c r="C1333" s="228" t="s">
        <v>7</v>
      </c>
      <c r="D1333" s="229">
        <v>44.77</v>
      </c>
    </row>
    <row r="1334" spans="1:4" ht="14.25">
      <c r="A1334" s="235">
        <v>830110</v>
      </c>
      <c r="B1334" s="235" t="s">
        <v>2134</v>
      </c>
      <c r="C1334" s="228" t="s">
        <v>7</v>
      </c>
      <c r="D1334" s="229">
        <v>48.95</v>
      </c>
    </row>
    <row r="1335" spans="1:4" ht="14.25">
      <c r="A1335" s="235">
        <v>830111</v>
      </c>
      <c r="B1335" s="235" t="s">
        <v>2135</v>
      </c>
      <c r="C1335" s="228" t="s">
        <v>7</v>
      </c>
      <c r="D1335" s="229">
        <v>46.9</v>
      </c>
    </row>
    <row r="1336" spans="1:4" ht="14.25">
      <c r="A1336" s="235">
        <v>830112</v>
      </c>
      <c r="B1336" s="235" t="s">
        <v>2136</v>
      </c>
      <c r="C1336" s="228" t="s">
        <v>7</v>
      </c>
      <c r="D1336" s="229">
        <v>460.71</v>
      </c>
    </row>
    <row r="1337" spans="1:4" ht="14.25">
      <c r="A1337" s="235">
        <v>830113</v>
      </c>
      <c r="B1337" s="235" t="s">
        <v>2137</v>
      </c>
      <c r="C1337" s="228" t="s">
        <v>7</v>
      </c>
      <c r="D1337" s="229">
        <v>654.73</v>
      </c>
    </row>
    <row r="1338" spans="1:4" ht="14.25">
      <c r="A1338" s="235">
        <v>830114</v>
      </c>
      <c r="B1338" s="235" t="s">
        <v>2138</v>
      </c>
      <c r="C1338" s="228" t="s">
        <v>7</v>
      </c>
      <c r="D1338" s="229">
        <v>276.82</v>
      </c>
    </row>
    <row r="1339" spans="1:4" ht="15">
      <c r="A1339" s="232">
        <v>92</v>
      </c>
      <c r="B1339" s="233" t="s">
        <v>2139</v>
      </c>
      <c r="C1339" s="234"/>
      <c r="D1339" s="234"/>
    </row>
    <row r="1340" spans="1:4" ht="15">
      <c r="A1340" s="232">
        <v>9201</v>
      </c>
      <c r="B1340" s="233" t="s">
        <v>2140</v>
      </c>
      <c r="C1340" s="234"/>
      <c r="D1340" s="234"/>
    </row>
    <row r="1341" spans="1:4" ht="14.25">
      <c r="A1341" s="235">
        <v>920110</v>
      </c>
      <c r="B1341" s="235" t="s">
        <v>2141</v>
      </c>
      <c r="C1341" s="228" t="s">
        <v>956</v>
      </c>
      <c r="D1341" s="231">
        <v>1155</v>
      </c>
    </row>
    <row r="1342" spans="1:4" ht="15">
      <c r="A1342" s="232">
        <v>9203</v>
      </c>
      <c r="B1342" s="233" t="s">
        <v>2142</v>
      </c>
      <c r="C1342" s="234"/>
      <c r="D1342" s="234"/>
    </row>
    <row r="1343" spans="1:4" ht="28.5">
      <c r="A1343" s="235">
        <v>920396</v>
      </c>
      <c r="B1343" s="235" t="s">
        <v>26467</v>
      </c>
      <c r="C1343" s="228" t="s">
        <v>956</v>
      </c>
      <c r="D1343" s="231">
        <v>5495.45</v>
      </c>
    </row>
    <row r="1344" spans="1:4" ht="14.25">
      <c r="A1344" s="235">
        <v>920397</v>
      </c>
      <c r="B1344" s="235" t="s">
        <v>26468</v>
      </c>
      <c r="C1344" s="228" t="s">
        <v>956</v>
      </c>
      <c r="D1344" s="231">
        <v>20666.650000000001</v>
      </c>
    </row>
    <row r="1345" spans="1:4" ht="14.25">
      <c r="A1345" s="235">
        <v>920398</v>
      </c>
      <c r="B1345" s="235" t="s">
        <v>26469</v>
      </c>
      <c r="C1345" s="228" t="s">
        <v>956</v>
      </c>
      <c r="D1345" s="231">
        <v>8603.65</v>
      </c>
    </row>
    <row r="1346" spans="1:4" ht="14.25">
      <c r="A1346" s="235">
        <v>920399</v>
      </c>
      <c r="B1346" s="235" t="s">
        <v>26470</v>
      </c>
      <c r="C1346" s="228" t="s">
        <v>956</v>
      </c>
      <c r="D1346" s="231">
        <v>2633.28</v>
      </c>
    </row>
    <row r="1347" spans="1:4" ht="15">
      <c r="A1347" s="232">
        <v>9205</v>
      </c>
      <c r="B1347" s="233" t="s">
        <v>26471</v>
      </c>
      <c r="C1347" s="234"/>
      <c r="D1347" s="234"/>
    </row>
    <row r="1348" spans="1:4" ht="14.25">
      <c r="A1348" s="235">
        <v>920501</v>
      </c>
      <c r="B1348" s="235" t="s">
        <v>26472</v>
      </c>
      <c r="C1348" s="228" t="s">
        <v>956</v>
      </c>
      <c r="D1348" s="231">
        <v>14761.89</v>
      </c>
    </row>
    <row r="1349" spans="1:4" ht="28.5">
      <c r="A1349" s="235">
        <v>920502</v>
      </c>
      <c r="B1349" s="235" t="s">
        <v>26473</v>
      </c>
      <c r="C1349" s="228" t="s">
        <v>956</v>
      </c>
      <c r="D1349" s="231">
        <v>4391.29</v>
      </c>
    </row>
    <row r="1350" spans="1:4" ht="28.5">
      <c r="A1350" s="235">
        <v>920503</v>
      </c>
      <c r="B1350" s="235" t="s">
        <v>26474</v>
      </c>
      <c r="C1350" s="228" t="s">
        <v>956</v>
      </c>
      <c r="D1350" s="231">
        <v>3976.76</v>
      </c>
    </row>
    <row r="1351" spans="1:4" ht="14.25">
      <c r="A1351" s="235">
        <v>920504</v>
      </c>
      <c r="B1351" s="235" t="s">
        <v>26475</v>
      </c>
      <c r="C1351" s="228" t="s">
        <v>956</v>
      </c>
      <c r="D1351" s="231">
        <v>11779.69</v>
      </c>
    </row>
    <row r="1352" spans="1:4" ht="14.25">
      <c r="A1352" s="235">
        <v>920505</v>
      </c>
      <c r="B1352" s="235" t="s">
        <v>26476</v>
      </c>
      <c r="C1352" s="228" t="s">
        <v>956</v>
      </c>
      <c r="D1352" s="231">
        <v>9781.6200000000008</v>
      </c>
    </row>
    <row r="1353" spans="1:4" ht="28.5">
      <c r="A1353" s="235">
        <v>920506</v>
      </c>
      <c r="B1353" s="235" t="s">
        <v>26477</v>
      </c>
      <c r="C1353" s="228" t="s">
        <v>956</v>
      </c>
      <c r="D1353" s="231">
        <v>9781.6200000000008</v>
      </c>
    </row>
    <row r="1354" spans="1:4" ht="28.5">
      <c r="A1354" s="235">
        <v>920507</v>
      </c>
      <c r="B1354" s="235" t="s">
        <v>26478</v>
      </c>
      <c r="C1354" s="228" t="s">
        <v>956</v>
      </c>
      <c r="D1354" s="231">
        <v>9990.3700000000008</v>
      </c>
    </row>
    <row r="1355" spans="1:4" ht="14.25">
      <c r="A1355" s="235">
        <v>920508</v>
      </c>
      <c r="B1355" s="235" t="s">
        <v>26479</v>
      </c>
      <c r="C1355" s="228" t="s">
        <v>956</v>
      </c>
      <c r="D1355" s="231">
        <v>9155.35</v>
      </c>
    </row>
    <row r="1356" spans="1:4" ht="28.5">
      <c r="A1356" s="235">
        <v>920509</v>
      </c>
      <c r="B1356" s="235" t="s">
        <v>26480</v>
      </c>
      <c r="C1356" s="228" t="s">
        <v>956</v>
      </c>
      <c r="D1356" s="231">
        <v>9785.34</v>
      </c>
    </row>
    <row r="1357" spans="1:4" ht="28.5">
      <c r="A1357" s="235">
        <v>920510</v>
      </c>
      <c r="B1357" s="235" t="s">
        <v>26481</v>
      </c>
      <c r="C1357" s="228" t="s">
        <v>956</v>
      </c>
      <c r="D1357" s="231">
        <v>21173.62</v>
      </c>
    </row>
    <row r="1358" spans="1:4" ht="14.25">
      <c r="A1358" s="235">
        <v>920511</v>
      </c>
      <c r="B1358" s="235" t="s">
        <v>26482</v>
      </c>
      <c r="C1358" s="228" t="s">
        <v>956</v>
      </c>
      <c r="D1358" s="231">
        <v>5487.25</v>
      </c>
    </row>
    <row r="1359" spans="1:4" ht="14.25">
      <c r="A1359" s="235">
        <v>920512</v>
      </c>
      <c r="B1359" s="235" t="s">
        <v>26483</v>
      </c>
      <c r="C1359" s="228" t="s">
        <v>956</v>
      </c>
      <c r="D1359" s="231">
        <v>11846.79</v>
      </c>
    </row>
    <row r="1360" spans="1:4" ht="14.25">
      <c r="A1360" s="235">
        <v>920513</v>
      </c>
      <c r="B1360" s="235" t="s">
        <v>26484</v>
      </c>
      <c r="C1360" s="228" t="s">
        <v>956</v>
      </c>
      <c r="D1360" s="231">
        <v>17714.27</v>
      </c>
    </row>
    <row r="1361" spans="1:4" ht="14.25">
      <c r="A1361" s="235">
        <v>920514</v>
      </c>
      <c r="B1361" s="235" t="s">
        <v>26485</v>
      </c>
      <c r="C1361" s="228" t="s">
        <v>956</v>
      </c>
      <c r="D1361" s="231">
        <v>2450.77</v>
      </c>
    </row>
    <row r="1362" spans="1:4" ht="14.25">
      <c r="A1362" s="235">
        <v>920515</v>
      </c>
      <c r="B1362" s="235" t="s">
        <v>26486</v>
      </c>
      <c r="C1362" s="228" t="s">
        <v>956</v>
      </c>
      <c r="D1362" s="231">
        <v>4409.62</v>
      </c>
    </row>
    <row r="1363" spans="1:4" ht="14.25">
      <c r="A1363" s="235">
        <v>920516</v>
      </c>
      <c r="B1363" s="235" t="s">
        <v>26487</v>
      </c>
      <c r="C1363" s="228" t="s">
        <v>956</v>
      </c>
      <c r="D1363" s="231">
        <v>1791.11</v>
      </c>
    </row>
    <row r="1364" spans="1:4" ht="14.25">
      <c r="A1364" s="235">
        <v>920518</v>
      </c>
      <c r="B1364" s="235" t="s">
        <v>26488</v>
      </c>
      <c r="C1364" s="228" t="s">
        <v>956</v>
      </c>
      <c r="D1364" s="231">
        <v>3391.95</v>
      </c>
    </row>
    <row r="1365" spans="1:4" ht="28.5">
      <c r="A1365" s="235">
        <v>920519</v>
      </c>
      <c r="B1365" s="235" t="s">
        <v>26489</v>
      </c>
      <c r="C1365" s="228" t="s">
        <v>956</v>
      </c>
      <c r="D1365" s="231">
        <v>6364.12</v>
      </c>
    </row>
    <row r="1366" spans="1:4" ht="14.25">
      <c r="A1366" s="235">
        <v>920520</v>
      </c>
      <c r="B1366" s="235" t="s">
        <v>26490</v>
      </c>
      <c r="C1366" s="228" t="s">
        <v>956</v>
      </c>
      <c r="D1366" s="231">
        <v>23933.45</v>
      </c>
    </row>
    <row r="1367" spans="1:4" ht="14.25">
      <c r="A1367" s="235">
        <v>920521</v>
      </c>
      <c r="B1367" s="235" t="s">
        <v>26491</v>
      </c>
      <c r="C1367" s="228" t="s">
        <v>956</v>
      </c>
      <c r="D1367" s="231">
        <v>9963.64</v>
      </c>
    </row>
    <row r="1368" spans="1:4" ht="14.25">
      <c r="A1368" s="235">
        <v>920522</v>
      </c>
      <c r="B1368" s="235" t="s">
        <v>26492</v>
      </c>
      <c r="C1368" s="228" t="s">
        <v>956</v>
      </c>
      <c r="D1368" s="231">
        <v>3049.53</v>
      </c>
    </row>
    <row r="1369" spans="1:4" ht="14.25">
      <c r="A1369" s="235">
        <v>920523</v>
      </c>
      <c r="B1369" s="235" t="s">
        <v>26493</v>
      </c>
      <c r="C1369" s="228" t="s">
        <v>956</v>
      </c>
      <c r="D1369" s="231">
        <v>17095.32</v>
      </c>
    </row>
    <row r="1370" spans="1:4" ht="28.5">
      <c r="A1370" s="235">
        <v>920524</v>
      </c>
      <c r="B1370" s="235" t="s">
        <v>26494</v>
      </c>
      <c r="C1370" s="228" t="s">
        <v>956</v>
      </c>
      <c r="D1370" s="231">
        <v>5085.43</v>
      </c>
    </row>
    <row r="1371" spans="1:4" ht="28.5">
      <c r="A1371" s="235">
        <v>920525</v>
      </c>
      <c r="B1371" s="235" t="s">
        <v>26495</v>
      </c>
      <c r="C1371" s="228" t="s">
        <v>956</v>
      </c>
      <c r="D1371" s="231">
        <v>4605.38</v>
      </c>
    </row>
    <row r="1372" spans="1:4" ht="14.25">
      <c r="A1372" s="235">
        <v>920526</v>
      </c>
      <c r="B1372" s="235" t="s">
        <v>26496</v>
      </c>
      <c r="C1372" s="228" t="s">
        <v>956</v>
      </c>
      <c r="D1372" s="231">
        <v>13641.72</v>
      </c>
    </row>
    <row r="1373" spans="1:4" ht="14.25">
      <c r="A1373" s="235">
        <v>920527</v>
      </c>
      <c r="B1373" s="235" t="s">
        <v>26497</v>
      </c>
      <c r="C1373" s="228" t="s">
        <v>956</v>
      </c>
      <c r="D1373" s="231">
        <v>11327.81</v>
      </c>
    </row>
    <row r="1374" spans="1:4" ht="28.5">
      <c r="A1374" s="235">
        <v>920528</v>
      </c>
      <c r="B1374" s="235" t="s">
        <v>26498</v>
      </c>
      <c r="C1374" s="228" t="s">
        <v>956</v>
      </c>
      <c r="D1374" s="231">
        <v>11327.81</v>
      </c>
    </row>
    <row r="1375" spans="1:4" ht="28.5">
      <c r="A1375" s="235">
        <v>920529</v>
      </c>
      <c r="B1375" s="235" t="s">
        <v>26499</v>
      </c>
      <c r="C1375" s="228" t="s">
        <v>956</v>
      </c>
      <c r="D1375" s="231">
        <v>11569.56</v>
      </c>
    </row>
    <row r="1376" spans="1:4" ht="14.25">
      <c r="A1376" s="235">
        <v>920530</v>
      </c>
      <c r="B1376" s="235" t="s">
        <v>26500</v>
      </c>
      <c r="C1376" s="228" t="s">
        <v>956</v>
      </c>
      <c r="D1376" s="231">
        <v>10602.55</v>
      </c>
    </row>
    <row r="1377" spans="1:4" ht="28.5">
      <c r="A1377" s="235">
        <v>920531</v>
      </c>
      <c r="B1377" s="235" t="s">
        <v>26501</v>
      </c>
      <c r="C1377" s="228" t="s">
        <v>956</v>
      </c>
      <c r="D1377" s="231">
        <v>11332.13</v>
      </c>
    </row>
    <row r="1378" spans="1:4" ht="28.5">
      <c r="A1378" s="235">
        <v>920532</v>
      </c>
      <c r="B1378" s="235" t="s">
        <v>26502</v>
      </c>
      <c r="C1378" s="228" t="s">
        <v>956</v>
      </c>
      <c r="D1378" s="231">
        <v>24520.560000000001</v>
      </c>
    </row>
    <row r="1379" spans="1:4" ht="14.25">
      <c r="A1379" s="235">
        <v>920533</v>
      </c>
      <c r="B1379" s="235" t="s">
        <v>26503</v>
      </c>
      <c r="C1379" s="228" t="s">
        <v>956</v>
      </c>
      <c r="D1379" s="231">
        <v>6354.62</v>
      </c>
    </row>
    <row r="1380" spans="1:4" ht="14.25">
      <c r="A1380" s="235">
        <v>920534</v>
      </c>
      <c r="B1380" s="235" t="s">
        <v>26504</v>
      </c>
      <c r="C1380" s="228" t="s">
        <v>956</v>
      </c>
      <c r="D1380" s="231">
        <v>13719.43</v>
      </c>
    </row>
    <row r="1381" spans="1:4" ht="14.25">
      <c r="A1381" s="235">
        <v>920535</v>
      </c>
      <c r="B1381" s="235" t="s">
        <v>26505</v>
      </c>
      <c r="C1381" s="228" t="s">
        <v>956</v>
      </c>
      <c r="D1381" s="231">
        <v>20514.38</v>
      </c>
    </row>
    <row r="1382" spans="1:4" ht="14.25">
      <c r="A1382" s="235">
        <v>920536</v>
      </c>
      <c r="B1382" s="235" t="s">
        <v>26506</v>
      </c>
      <c r="C1382" s="228" t="s">
        <v>956</v>
      </c>
      <c r="D1382" s="231">
        <v>2838.17</v>
      </c>
    </row>
    <row r="1383" spans="1:4" ht="14.25">
      <c r="A1383" s="235">
        <v>920537</v>
      </c>
      <c r="B1383" s="235" t="s">
        <v>26507</v>
      </c>
      <c r="C1383" s="228" t="s">
        <v>956</v>
      </c>
      <c r="D1383" s="231">
        <v>5106.6499999999996</v>
      </c>
    </row>
    <row r="1384" spans="1:4" ht="14.25">
      <c r="A1384" s="235">
        <v>920538</v>
      </c>
      <c r="B1384" s="235" t="s">
        <v>26508</v>
      </c>
      <c r="C1384" s="228" t="s">
        <v>956</v>
      </c>
      <c r="D1384" s="231">
        <v>2074.23</v>
      </c>
    </row>
    <row r="1385" spans="1:4" ht="14.25">
      <c r="A1385" s="235">
        <v>920539</v>
      </c>
      <c r="B1385" s="235" t="s">
        <v>26509</v>
      </c>
      <c r="C1385" s="228" t="s">
        <v>956</v>
      </c>
      <c r="D1385" s="231">
        <v>2074.23</v>
      </c>
    </row>
    <row r="1386" spans="1:4" ht="14.25">
      <c r="A1386" s="235">
        <v>920540</v>
      </c>
      <c r="B1386" s="235" t="s">
        <v>26510</v>
      </c>
      <c r="C1386" s="228" t="s">
        <v>956</v>
      </c>
      <c r="D1386" s="231">
        <v>3928.12</v>
      </c>
    </row>
    <row r="1387" spans="1:4" ht="28.5">
      <c r="A1387" s="235">
        <v>920542</v>
      </c>
      <c r="B1387" s="235" t="s">
        <v>28402</v>
      </c>
      <c r="C1387" s="228" t="s">
        <v>956</v>
      </c>
      <c r="D1387" s="231">
        <v>5485.5</v>
      </c>
    </row>
    <row r="1388" spans="1:4" ht="14.25">
      <c r="A1388" s="235">
        <v>920543</v>
      </c>
      <c r="B1388" s="235" t="s">
        <v>28403</v>
      </c>
      <c r="C1388" s="228" t="s">
        <v>956</v>
      </c>
      <c r="D1388" s="231">
        <v>20629.22</v>
      </c>
    </row>
    <row r="1389" spans="1:4" ht="14.25">
      <c r="A1389" s="235">
        <v>920544</v>
      </c>
      <c r="B1389" s="235" t="s">
        <v>28404</v>
      </c>
      <c r="C1389" s="228" t="s">
        <v>956</v>
      </c>
      <c r="D1389" s="231">
        <v>8588.07</v>
      </c>
    </row>
    <row r="1390" spans="1:4" ht="14.25">
      <c r="A1390" s="235">
        <v>920545</v>
      </c>
      <c r="B1390" s="235" t="s">
        <v>28405</v>
      </c>
      <c r="C1390" s="228" t="s">
        <v>956</v>
      </c>
      <c r="D1390" s="231">
        <v>2628.51</v>
      </c>
    </row>
    <row r="1391" spans="1:4" ht="14.25">
      <c r="A1391" s="235">
        <v>920546</v>
      </c>
      <c r="B1391" s="235" t="s">
        <v>28406</v>
      </c>
      <c r="C1391" s="228" t="s">
        <v>956</v>
      </c>
      <c r="D1391" s="231">
        <v>14735.16</v>
      </c>
    </row>
    <row r="1392" spans="1:4" ht="28.5">
      <c r="A1392" s="235">
        <v>920547</v>
      </c>
      <c r="B1392" s="235" t="s">
        <v>28407</v>
      </c>
      <c r="C1392" s="228" t="s">
        <v>956</v>
      </c>
      <c r="D1392" s="231">
        <v>4383.34</v>
      </c>
    </row>
    <row r="1393" spans="1:4" ht="28.5">
      <c r="A1393" s="235">
        <v>920548</v>
      </c>
      <c r="B1393" s="235" t="s">
        <v>28408</v>
      </c>
      <c r="C1393" s="228" t="s">
        <v>956</v>
      </c>
      <c r="D1393" s="231">
        <v>3969.56</v>
      </c>
    </row>
    <row r="1394" spans="1:4" ht="14.25">
      <c r="A1394" s="235">
        <v>920549</v>
      </c>
      <c r="B1394" s="235" t="s">
        <v>28409</v>
      </c>
      <c r="C1394" s="228" t="s">
        <v>956</v>
      </c>
      <c r="D1394" s="231">
        <v>11758.36</v>
      </c>
    </row>
    <row r="1395" spans="1:4" ht="14.25">
      <c r="A1395" s="235">
        <v>920550</v>
      </c>
      <c r="B1395" s="235" t="s">
        <v>28410</v>
      </c>
      <c r="C1395" s="228" t="s">
        <v>956</v>
      </c>
      <c r="D1395" s="231">
        <v>9763.9</v>
      </c>
    </row>
    <row r="1396" spans="1:4" ht="28.5">
      <c r="A1396" s="235">
        <v>920551</v>
      </c>
      <c r="B1396" s="235" t="s">
        <v>28411</v>
      </c>
      <c r="C1396" s="228" t="s">
        <v>956</v>
      </c>
      <c r="D1396" s="231">
        <v>9763.9</v>
      </c>
    </row>
    <row r="1397" spans="1:4" ht="28.5">
      <c r="A1397" s="235">
        <v>920552</v>
      </c>
      <c r="B1397" s="235" t="s">
        <v>28412</v>
      </c>
      <c r="C1397" s="228" t="s">
        <v>956</v>
      </c>
      <c r="D1397" s="231">
        <v>9972.2800000000007</v>
      </c>
    </row>
    <row r="1398" spans="1:4" ht="14.25">
      <c r="A1398" s="235">
        <v>920553</v>
      </c>
      <c r="B1398" s="235" t="s">
        <v>28413</v>
      </c>
      <c r="C1398" s="228" t="s">
        <v>956</v>
      </c>
      <c r="D1398" s="231">
        <v>9138.7800000000007</v>
      </c>
    </row>
    <row r="1399" spans="1:4" ht="28.5">
      <c r="A1399" s="235">
        <v>920554</v>
      </c>
      <c r="B1399" s="235" t="s">
        <v>28414</v>
      </c>
      <c r="C1399" s="228" t="s">
        <v>956</v>
      </c>
      <c r="D1399" s="231">
        <v>9767.6299999999992</v>
      </c>
    </row>
    <row r="1400" spans="1:4" ht="28.5">
      <c r="A1400" s="235">
        <v>920555</v>
      </c>
      <c r="B1400" s="235" t="s">
        <v>28415</v>
      </c>
      <c r="C1400" s="228" t="s">
        <v>956</v>
      </c>
      <c r="D1400" s="231">
        <v>21135.279999999999</v>
      </c>
    </row>
    <row r="1401" spans="1:4" ht="14.25">
      <c r="A1401" s="235">
        <v>920556</v>
      </c>
      <c r="B1401" s="235" t="s">
        <v>28416</v>
      </c>
      <c r="C1401" s="228" t="s">
        <v>956</v>
      </c>
      <c r="D1401" s="231">
        <v>5477.31</v>
      </c>
    </row>
    <row r="1402" spans="1:4" ht="14.25">
      <c r="A1402" s="235">
        <v>920557</v>
      </c>
      <c r="B1402" s="235" t="s">
        <v>28417</v>
      </c>
      <c r="C1402" s="228" t="s">
        <v>956</v>
      </c>
      <c r="D1402" s="231">
        <v>11825.34</v>
      </c>
    </row>
    <row r="1403" spans="1:4" ht="14.25">
      <c r="A1403" s="235">
        <v>920558</v>
      </c>
      <c r="B1403" s="235" t="s">
        <v>28418</v>
      </c>
      <c r="C1403" s="228" t="s">
        <v>956</v>
      </c>
      <c r="D1403" s="231">
        <v>17682.189999999999</v>
      </c>
    </row>
    <row r="1404" spans="1:4" ht="14.25">
      <c r="A1404" s="235">
        <v>920559</v>
      </c>
      <c r="B1404" s="235" t="s">
        <v>28419</v>
      </c>
      <c r="C1404" s="228" t="s">
        <v>956</v>
      </c>
      <c r="D1404" s="231">
        <v>2446.33</v>
      </c>
    </row>
    <row r="1405" spans="1:4" ht="14.25">
      <c r="A1405" s="235">
        <v>920560</v>
      </c>
      <c r="B1405" s="235" t="s">
        <v>28420</v>
      </c>
      <c r="C1405" s="228" t="s">
        <v>956</v>
      </c>
      <c r="D1405" s="231">
        <v>4401.63</v>
      </c>
    </row>
    <row r="1406" spans="1:4" ht="14.25">
      <c r="A1406" s="235">
        <v>920561</v>
      </c>
      <c r="B1406" s="235" t="s">
        <v>28421</v>
      </c>
      <c r="C1406" s="228" t="s">
        <v>956</v>
      </c>
      <c r="D1406" s="231">
        <v>1787.87</v>
      </c>
    </row>
    <row r="1407" spans="1:4" ht="14.25">
      <c r="A1407" s="235">
        <v>920562</v>
      </c>
      <c r="B1407" s="235" t="s">
        <v>28422</v>
      </c>
      <c r="C1407" s="228" t="s">
        <v>956</v>
      </c>
      <c r="D1407" s="231">
        <v>1787.87</v>
      </c>
    </row>
    <row r="1408" spans="1:4" ht="14.25">
      <c r="A1408" s="235">
        <v>920563</v>
      </c>
      <c r="B1408" s="235" t="s">
        <v>28423</v>
      </c>
      <c r="C1408" s="228" t="s">
        <v>956</v>
      </c>
      <c r="D1408" s="231">
        <v>3385.81</v>
      </c>
    </row>
    <row r="1409" spans="1:4" ht="28.5">
      <c r="A1409" s="235">
        <v>920564</v>
      </c>
      <c r="B1409" s="235" t="s">
        <v>28424</v>
      </c>
      <c r="C1409" s="228" t="s">
        <v>956</v>
      </c>
      <c r="D1409" s="231">
        <v>6352.33</v>
      </c>
    </row>
    <row r="1410" spans="1:4" ht="14.25">
      <c r="A1410" s="235">
        <v>920565</v>
      </c>
      <c r="B1410" s="235" t="s">
        <v>28425</v>
      </c>
      <c r="C1410" s="228" t="s">
        <v>956</v>
      </c>
      <c r="D1410" s="231">
        <v>23889.1</v>
      </c>
    </row>
    <row r="1411" spans="1:4" ht="14.25">
      <c r="A1411" s="235">
        <v>920566</v>
      </c>
      <c r="B1411" s="235" t="s">
        <v>28426</v>
      </c>
      <c r="C1411" s="228" t="s">
        <v>956</v>
      </c>
      <c r="D1411" s="231">
        <v>9945.17</v>
      </c>
    </row>
    <row r="1412" spans="1:4" ht="14.25">
      <c r="A1412" s="235">
        <v>920567</v>
      </c>
      <c r="B1412" s="235" t="s">
        <v>28427</v>
      </c>
      <c r="C1412" s="228" t="s">
        <v>956</v>
      </c>
      <c r="D1412" s="231">
        <v>3043.88</v>
      </c>
    </row>
    <row r="1413" spans="1:4" ht="14.25">
      <c r="A1413" s="235">
        <v>920568</v>
      </c>
      <c r="B1413" s="235" t="s">
        <v>28428</v>
      </c>
      <c r="C1413" s="228" t="s">
        <v>956</v>
      </c>
      <c r="D1413" s="231">
        <v>17063.64</v>
      </c>
    </row>
    <row r="1414" spans="1:4" ht="28.5">
      <c r="A1414" s="235">
        <v>920569</v>
      </c>
      <c r="B1414" s="235" t="s">
        <v>28429</v>
      </c>
      <c r="C1414" s="228" t="s">
        <v>956</v>
      </c>
      <c r="D1414" s="231">
        <v>5076</v>
      </c>
    </row>
    <row r="1415" spans="1:4" ht="28.5">
      <c r="A1415" s="235">
        <v>920570</v>
      </c>
      <c r="B1415" s="235" t="s">
        <v>28430</v>
      </c>
      <c r="C1415" s="228" t="s">
        <v>956</v>
      </c>
      <c r="D1415" s="231">
        <v>4596.84</v>
      </c>
    </row>
    <row r="1416" spans="1:4" ht="14.25">
      <c r="A1416" s="235">
        <v>920571</v>
      </c>
      <c r="B1416" s="235" t="s">
        <v>28431</v>
      </c>
      <c r="C1416" s="228" t="s">
        <v>956</v>
      </c>
      <c r="D1416" s="231">
        <v>13616.44</v>
      </c>
    </row>
    <row r="1417" spans="1:4" ht="14.25">
      <c r="A1417" s="235">
        <v>920572</v>
      </c>
      <c r="B1417" s="235" t="s">
        <v>28432</v>
      </c>
      <c r="C1417" s="228" t="s">
        <v>956</v>
      </c>
      <c r="D1417" s="231">
        <v>11306.82</v>
      </c>
    </row>
    <row r="1418" spans="1:4" ht="28.5">
      <c r="A1418" s="235">
        <v>920573</v>
      </c>
      <c r="B1418" s="235" t="s">
        <v>28433</v>
      </c>
      <c r="C1418" s="228" t="s">
        <v>956</v>
      </c>
      <c r="D1418" s="231">
        <v>11306.82</v>
      </c>
    </row>
    <row r="1419" spans="1:4" ht="28.5">
      <c r="A1419" s="235">
        <v>920574</v>
      </c>
      <c r="B1419" s="235" t="s">
        <v>28434</v>
      </c>
      <c r="C1419" s="228" t="s">
        <v>956</v>
      </c>
      <c r="D1419" s="231">
        <v>11548.12</v>
      </c>
    </row>
    <row r="1420" spans="1:4" ht="14.25">
      <c r="A1420" s="235">
        <v>920575</v>
      </c>
      <c r="B1420" s="235" t="s">
        <v>28435</v>
      </c>
      <c r="C1420" s="228" t="s">
        <v>956</v>
      </c>
      <c r="D1420" s="231">
        <v>10582.9</v>
      </c>
    </row>
    <row r="1421" spans="1:4" ht="28.5">
      <c r="A1421" s="235">
        <v>920576</v>
      </c>
      <c r="B1421" s="235" t="s">
        <v>28436</v>
      </c>
      <c r="C1421" s="228" t="s">
        <v>956</v>
      </c>
      <c r="D1421" s="231">
        <v>11311.13</v>
      </c>
    </row>
    <row r="1422" spans="1:4" ht="28.5">
      <c r="A1422" s="235">
        <v>920577</v>
      </c>
      <c r="B1422" s="235" t="s">
        <v>28437</v>
      </c>
      <c r="C1422" s="228" t="s">
        <v>956</v>
      </c>
      <c r="D1422" s="231">
        <v>24475.119999999999</v>
      </c>
    </row>
    <row r="1423" spans="1:4" ht="14.25">
      <c r="A1423" s="235">
        <v>920578</v>
      </c>
      <c r="B1423" s="235" t="s">
        <v>28438</v>
      </c>
      <c r="C1423" s="228" t="s">
        <v>956</v>
      </c>
      <c r="D1423" s="231">
        <v>6342.85</v>
      </c>
    </row>
    <row r="1424" spans="1:4" ht="14.25">
      <c r="A1424" s="235">
        <v>920579</v>
      </c>
      <c r="B1424" s="235" t="s">
        <v>28439</v>
      </c>
      <c r="C1424" s="228" t="s">
        <v>956</v>
      </c>
      <c r="D1424" s="231">
        <v>13694</v>
      </c>
    </row>
    <row r="1425" spans="1:4" ht="14.25">
      <c r="A1425" s="235">
        <v>920580</v>
      </c>
      <c r="B1425" s="235" t="s">
        <v>28440</v>
      </c>
      <c r="C1425" s="228" t="s">
        <v>956</v>
      </c>
      <c r="D1425" s="231">
        <v>20476.37</v>
      </c>
    </row>
    <row r="1426" spans="1:4" ht="14.25">
      <c r="A1426" s="235">
        <v>920581</v>
      </c>
      <c r="B1426" s="235" t="s">
        <v>28441</v>
      </c>
      <c r="C1426" s="228" t="s">
        <v>956</v>
      </c>
      <c r="D1426" s="231">
        <v>2832.91</v>
      </c>
    </row>
    <row r="1427" spans="1:4" ht="14.25">
      <c r="A1427" s="235">
        <v>920582</v>
      </c>
      <c r="B1427" s="235" t="s">
        <v>28442</v>
      </c>
      <c r="C1427" s="228" t="s">
        <v>956</v>
      </c>
      <c r="D1427" s="231">
        <v>5097.1899999999996</v>
      </c>
    </row>
    <row r="1428" spans="1:4" ht="14.25">
      <c r="A1428" s="235">
        <v>920583</v>
      </c>
      <c r="B1428" s="235" t="s">
        <v>28443</v>
      </c>
      <c r="C1428" s="228" t="s">
        <v>956</v>
      </c>
      <c r="D1428" s="231">
        <v>2070.39</v>
      </c>
    </row>
    <row r="1429" spans="1:4" ht="14.25">
      <c r="A1429" s="235">
        <v>920584</v>
      </c>
      <c r="B1429" s="235" t="s">
        <v>28444</v>
      </c>
      <c r="C1429" s="228" t="s">
        <v>956</v>
      </c>
      <c r="D1429" s="231">
        <v>2070.39</v>
      </c>
    </row>
    <row r="1430" spans="1:4" ht="28.5">
      <c r="A1430" s="235">
        <v>920585</v>
      </c>
      <c r="B1430" s="235" t="s">
        <v>28445</v>
      </c>
      <c r="C1430" s="228" t="s">
        <v>956</v>
      </c>
      <c r="D1430" s="231">
        <v>3920.85</v>
      </c>
    </row>
    <row r="1431" spans="1:4" ht="15">
      <c r="A1431" s="232">
        <v>93</v>
      </c>
      <c r="B1431" s="233" t="s">
        <v>2143</v>
      </c>
      <c r="C1431" s="234"/>
      <c r="D1431" s="234"/>
    </row>
    <row r="1432" spans="1:4" ht="15">
      <c r="A1432" s="232">
        <v>9302</v>
      </c>
      <c r="B1432" s="233" t="s">
        <v>2144</v>
      </c>
      <c r="C1432" s="234"/>
      <c r="D1432" s="234"/>
    </row>
    <row r="1433" spans="1:4" ht="14.25">
      <c r="A1433" s="235">
        <v>930213</v>
      </c>
      <c r="B1433" s="235" t="s">
        <v>2145</v>
      </c>
      <c r="C1433" s="228" t="s">
        <v>7</v>
      </c>
      <c r="D1433" s="229">
        <v>804.83</v>
      </c>
    </row>
    <row r="1434" spans="1:4" ht="14.25">
      <c r="A1434" s="235">
        <v>930214</v>
      </c>
      <c r="B1434" s="235" t="s">
        <v>2146</v>
      </c>
      <c r="C1434" s="228" t="s">
        <v>7</v>
      </c>
      <c r="D1434" s="231">
        <v>1651.5</v>
      </c>
    </row>
    <row r="1435" spans="1:4" ht="14.25">
      <c r="A1435" s="235">
        <v>930218</v>
      </c>
      <c r="B1435" s="235" t="s">
        <v>2147</v>
      </c>
      <c r="C1435" s="228" t="s">
        <v>7</v>
      </c>
      <c r="D1435" s="229">
        <v>621</v>
      </c>
    </row>
    <row r="1436" spans="1:4" ht="14.25">
      <c r="A1436" s="235">
        <v>930219</v>
      </c>
      <c r="B1436" s="235" t="s">
        <v>2148</v>
      </c>
      <c r="C1436" s="228" t="s">
        <v>7</v>
      </c>
      <c r="D1436" s="229">
        <v>694.72</v>
      </c>
    </row>
    <row r="1437" spans="1:4" ht="14.25">
      <c r="A1437" s="235">
        <v>930220</v>
      </c>
      <c r="B1437" s="235" t="s">
        <v>2149</v>
      </c>
      <c r="C1437" s="228" t="s">
        <v>7</v>
      </c>
      <c r="D1437" s="229">
        <v>866.13</v>
      </c>
    </row>
    <row r="1438" spans="1:4" ht="28.5">
      <c r="A1438" s="235">
        <v>930226</v>
      </c>
      <c r="B1438" s="235" t="s">
        <v>28446</v>
      </c>
      <c r="C1438" s="228" t="s">
        <v>7</v>
      </c>
      <c r="D1438" s="231">
        <v>3818.33</v>
      </c>
    </row>
    <row r="1439" spans="1:4" ht="15">
      <c r="A1439" s="232">
        <v>95</v>
      </c>
      <c r="B1439" s="233" t="s">
        <v>2150</v>
      </c>
      <c r="C1439" s="234"/>
      <c r="D1439" s="234"/>
    </row>
    <row r="1440" spans="1:4" ht="15">
      <c r="A1440" s="232">
        <v>9501</v>
      </c>
      <c r="B1440" s="233" t="s">
        <v>2151</v>
      </c>
      <c r="C1440" s="234"/>
      <c r="D1440" s="234"/>
    </row>
    <row r="1441" spans="1:4" ht="28.5">
      <c r="A1441" s="235">
        <v>950101</v>
      </c>
      <c r="B1441" s="235" t="s">
        <v>2152</v>
      </c>
      <c r="C1441" s="228" t="s">
        <v>10</v>
      </c>
      <c r="D1441" s="229">
        <v>3.18</v>
      </c>
    </row>
    <row r="1442" spans="1:4" ht="28.5">
      <c r="A1442" s="235">
        <v>950102</v>
      </c>
      <c r="B1442" s="235" t="s">
        <v>2153</v>
      </c>
      <c r="C1442" s="228" t="s">
        <v>10</v>
      </c>
      <c r="D1442" s="229">
        <v>25.44</v>
      </c>
    </row>
    <row r="1443" spans="1:4" ht="14.25">
      <c r="A1443" s="236"/>
      <c r="B1443" s="237"/>
      <c r="C1443" s="237"/>
      <c r="D1443" s="237"/>
    </row>
    <row r="1444" spans="1:4" ht="60">
      <c r="A1444" s="233" t="s">
        <v>2154</v>
      </c>
      <c r="B1444" s="234"/>
      <c r="C1444" s="234"/>
      <c r="D1444" s="234"/>
    </row>
    <row r="1445" spans="1:4" ht="14.25">
      <c r="A1445" s="236"/>
      <c r="B1445" s="237"/>
      <c r="C1445" s="237"/>
      <c r="D1445" s="237"/>
    </row>
    <row r="1446" spans="1:4" ht="30">
      <c r="A1446" s="238" t="s">
        <v>1028</v>
      </c>
      <c r="B1446" s="238" t="s">
        <v>1029</v>
      </c>
      <c r="C1446" s="239" t="s">
        <v>1030</v>
      </c>
      <c r="D1446" s="239" t="s">
        <v>2155</v>
      </c>
    </row>
    <row r="1447" spans="1:4" ht="15">
      <c r="A1447" s="232">
        <v>8</v>
      </c>
      <c r="B1447" s="233" t="s">
        <v>2156</v>
      </c>
      <c r="C1447" s="234"/>
      <c r="D1447" s="234"/>
    </row>
    <row r="1448" spans="1:4" ht="15">
      <c r="A1448" s="232">
        <v>801</v>
      </c>
      <c r="B1448" s="233" t="s">
        <v>2157</v>
      </c>
      <c r="C1448" s="234"/>
      <c r="D1448" s="234"/>
    </row>
    <row r="1449" spans="1:4" ht="28.5">
      <c r="A1449" s="235">
        <v>80124</v>
      </c>
      <c r="B1449" s="235" t="s">
        <v>2158</v>
      </c>
      <c r="C1449" s="228" t="s">
        <v>10</v>
      </c>
      <c r="D1449" s="229">
        <v>83.36</v>
      </c>
    </row>
    <row r="1450" spans="1:4" ht="14.25">
      <c r="A1450" s="235">
        <v>80125</v>
      </c>
      <c r="B1450" s="235" t="s">
        <v>2159</v>
      </c>
      <c r="C1450" s="228" t="s">
        <v>10</v>
      </c>
      <c r="D1450" s="229">
        <v>35.11</v>
      </c>
    </row>
    <row r="1451" spans="1:4" ht="14.25">
      <c r="A1451" s="235">
        <v>80144</v>
      </c>
      <c r="B1451" s="235" t="s">
        <v>2160</v>
      </c>
      <c r="C1451" s="228" t="s">
        <v>10</v>
      </c>
      <c r="D1451" s="229">
        <v>21.63</v>
      </c>
    </row>
    <row r="1452" spans="1:4" ht="28.5">
      <c r="A1452" s="235">
        <v>80170</v>
      </c>
      <c r="B1452" s="235" t="s">
        <v>2161</v>
      </c>
      <c r="C1452" s="228" t="s">
        <v>10</v>
      </c>
      <c r="D1452" s="229">
        <v>180.07</v>
      </c>
    </row>
    <row r="1453" spans="1:4" ht="14.25">
      <c r="A1453" s="235">
        <v>80178</v>
      </c>
      <c r="B1453" s="235" t="s">
        <v>2162</v>
      </c>
      <c r="C1453" s="228" t="s">
        <v>10</v>
      </c>
      <c r="D1453" s="229">
        <v>129.35</v>
      </c>
    </row>
    <row r="1454" spans="1:4" ht="15">
      <c r="A1454" s="232">
        <v>802</v>
      </c>
      <c r="B1454" s="233" t="s">
        <v>2163</v>
      </c>
      <c r="C1454" s="234"/>
      <c r="D1454" s="234"/>
    </row>
    <row r="1455" spans="1:4" ht="28.5">
      <c r="A1455" s="235">
        <v>80201</v>
      </c>
      <c r="B1455" s="235" t="s">
        <v>2164</v>
      </c>
      <c r="C1455" s="228" t="s">
        <v>10</v>
      </c>
      <c r="D1455" s="229">
        <v>2.25</v>
      </c>
    </row>
    <row r="1456" spans="1:4" ht="14.25">
      <c r="A1456" s="235">
        <v>80202</v>
      </c>
      <c r="B1456" s="235" t="s">
        <v>2165</v>
      </c>
      <c r="C1456" s="228" t="s">
        <v>10</v>
      </c>
      <c r="D1456" s="229">
        <v>2.25</v>
      </c>
    </row>
    <row r="1457" spans="1:4" ht="14.25">
      <c r="A1457" s="235">
        <v>80276</v>
      </c>
      <c r="B1457" s="235" t="s">
        <v>2166</v>
      </c>
      <c r="C1457" s="228" t="s">
        <v>7</v>
      </c>
      <c r="D1457" s="231">
        <v>45076</v>
      </c>
    </row>
    <row r="1458" spans="1:4" ht="15">
      <c r="A1458" s="232">
        <v>807</v>
      </c>
      <c r="B1458" s="233" t="s">
        <v>2167</v>
      </c>
      <c r="C1458" s="234"/>
      <c r="D1458" s="234"/>
    </row>
    <row r="1459" spans="1:4" ht="28.5">
      <c r="A1459" s="235">
        <v>80716</v>
      </c>
      <c r="B1459" s="235" t="s">
        <v>2168</v>
      </c>
      <c r="C1459" s="228" t="s">
        <v>7</v>
      </c>
      <c r="D1459" s="231">
        <v>32863</v>
      </c>
    </row>
    <row r="1460" spans="1:4" ht="15">
      <c r="A1460" s="232">
        <v>860</v>
      </c>
      <c r="B1460" s="233" t="s">
        <v>2169</v>
      </c>
      <c r="C1460" s="234"/>
      <c r="D1460" s="234"/>
    </row>
    <row r="1461" spans="1:4" ht="14.25">
      <c r="A1461" s="235">
        <v>86030</v>
      </c>
      <c r="B1461" s="235" t="s">
        <v>2170</v>
      </c>
      <c r="C1461" s="228" t="s">
        <v>10</v>
      </c>
      <c r="D1461" s="229">
        <v>106.84</v>
      </c>
    </row>
    <row r="1462" spans="1:4" ht="14.25">
      <c r="A1462" s="235">
        <v>86049</v>
      </c>
      <c r="B1462" s="235" t="s">
        <v>2171</v>
      </c>
      <c r="C1462" s="228" t="s">
        <v>10</v>
      </c>
      <c r="D1462" s="229">
        <v>128.38999999999999</v>
      </c>
    </row>
    <row r="1463" spans="1:4" ht="28.5">
      <c r="A1463" s="235">
        <v>86096</v>
      </c>
      <c r="B1463" s="235" t="s">
        <v>2172</v>
      </c>
      <c r="C1463" s="228" t="s">
        <v>10</v>
      </c>
      <c r="D1463" s="229">
        <v>18.190000000000001</v>
      </c>
    </row>
    <row r="1464" spans="1:4" ht="14.25">
      <c r="A1464" s="37">
        <v>38855</v>
      </c>
      <c r="B1464" s="37" t="s">
        <v>22276</v>
      </c>
      <c r="C1464" s="37" t="s">
        <v>2348</v>
      </c>
      <c r="D1464" s="37" t="s">
        <v>2351</v>
      </c>
    </row>
    <row r="1465" spans="1:4" ht="14.25">
      <c r="A1465" s="37">
        <v>38856</v>
      </c>
      <c r="B1465" s="37" t="s">
        <v>22277</v>
      </c>
      <c r="C1465" s="37" t="s">
        <v>2348</v>
      </c>
      <c r="D1465" s="37" t="s">
        <v>2351</v>
      </c>
    </row>
    <row r="1466" spans="1:4" ht="14.25">
      <c r="A1466" s="37">
        <v>38857</v>
      </c>
      <c r="B1466" s="37" t="s">
        <v>22278</v>
      </c>
      <c r="C1466" s="37" t="s">
        <v>2348</v>
      </c>
      <c r="D1466" s="37" t="s">
        <v>2351</v>
      </c>
    </row>
    <row r="1467" spans="1:4" ht="14.25">
      <c r="A1467" s="37">
        <v>38858</v>
      </c>
      <c r="B1467" s="37" t="s">
        <v>22279</v>
      </c>
      <c r="C1467" s="37" t="s">
        <v>2348</v>
      </c>
      <c r="D1467" s="37" t="s">
        <v>2351</v>
      </c>
    </row>
    <row r="1468" spans="1:4" ht="14.25">
      <c r="A1468" s="37">
        <v>38859</v>
      </c>
      <c r="B1468" s="37" t="s">
        <v>22280</v>
      </c>
      <c r="C1468" s="37" t="s">
        <v>2348</v>
      </c>
      <c r="D1468" s="37" t="s">
        <v>2351</v>
      </c>
    </row>
    <row r="1469" spans="1:4" ht="14.25">
      <c r="A1469" s="37">
        <v>3104</v>
      </c>
      <c r="B1469" s="37" t="s">
        <v>22281</v>
      </c>
      <c r="C1469" s="37" t="s">
        <v>2440</v>
      </c>
      <c r="D1469" s="37" t="s">
        <v>2349</v>
      </c>
    </row>
    <row r="1470" spans="1:4" ht="14.25">
      <c r="A1470" s="37">
        <v>1607</v>
      </c>
      <c r="B1470" s="37" t="s">
        <v>22282</v>
      </c>
      <c r="C1470" s="37" t="s">
        <v>2440</v>
      </c>
      <c r="D1470" s="37" t="s">
        <v>2349</v>
      </c>
    </row>
    <row r="1471" spans="1:4" ht="14.25">
      <c r="A1471" s="37">
        <v>38169</v>
      </c>
      <c r="B1471" s="37" t="s">
        <v>22283</v>
      </c>
      <c r="C1471" s="37" t="s">
        <v>2440</v>
      </c>
      <c r="D1471" s="37" t="s">
        <v>2349</v>
      </c>
    </row>
    <row r="1472" spans="1:4" ht="14.25">
      <c r="A1472" s="37">
        <v>6142</v>
      </c>
      <c r="B1472" s="37" t="s">
        <v>22284</v>
      </c>
      <c r="C1472" s="37" t="s">
        <v>2348</v>
      </c>
      <c r="D1472" s="37" t="s">
        <v>2349</v>
      </c>
    </row>
    <row r="1473" spans="1:4" ht="14.25">
      <c r="A1473" s="37">
        <v>11686</v>
      </c>
      <c r="B1473" s="37" t="s">
        <v>22285</v>
      </c>
      <c r="C1473" s="37" t="s">
        <v>2348</v>
      </c>
      <c r="D1473" s="37" t="s">
        <v>2349</v>
      </c>
    </row>
    <row r="1474" spans="1:4" ht="14.25">
      <c r="A1474" s="37">
        <v>37598</v>
      </c>
      <c r="B1474" s="37" t="s">
        <v>22286</v>
      </c>
      <c r="C1474" s="37" t="s">
        <v>2348</v>
      </c>
      <c r="D1474" s="37" t="s">
        <v>2351</v>
      </c>
    </row>
    <row r="1475" spans="1:4" ht="14.25">
      <c r="A1475" s="37">
        <v>25398</v>
      </c>
      <c r="B1475" s="37" t="s">
        <v>22287</v>
      </c>
      <c r="C1475" s="37" t="s">
        <v>2348</v>
      </c>
      <c r="D1475" s="37" t="s">
        <v>2351</v>
      </c>
    </row>
    <row r="1476" spans="1:4" ht="14.25">
      <c r="A1476" s="37">
        <v>25399</v>
      </c>
      <c r="B1476" s="37" t="s">
        <v>22288</v>
      </c>
      <c r="C1476" s="37" t="s">
        <v>2348</v>
      </c>
      <c r="D1476" s="37" t="s">
        <v>2351</v>
      </c>
    </row>
    <row r="1477" spans="1:4" ht="14.25">
      <c r="A1477" s="37">
        <v>43440</v>
      </c>
      <c r="B1477" s="37" t="s">
        <v>22289</v>
      </c>
      <c r="C1477" s="37" t="s">
        <v>2348</v>
      </c>
      <c r="D1477" s="37" t="s">
        <v>2349</v>
      </c>
    </row>
    <row r="1478" spans="1:4" ht="14.25">
      <c r="A1478" s="37">
        <v>10667</v>
      </c>
      <c r="B1478" s="37" t="s">
        <v>22290</v>
      </c>
      <c r="C1478" s="37" t="s">
        <v>2348</v>
      </c>
      <c r="D1478" s="37" t="s">
        <v>2351</v>
      </c>
    </row>
    <row r="1479" spans="1:4" ht="14.25">
      <c r="A1479" s="37">
        <v>1613</v>
      </c>
      <c r="B1479" s="37" t="s">
        <v>22291</v>
      </c>
      <c r="C1479" s="37" t="s">
        <v>2348</v>
      </c>
      <c r="D1479" s="37" t="s">
        <v>2349</v>
      </c>
    </row>
    <row r="1480" spans="1:4" ht="14.25">
      <c r="A1480" s="37">
        <v>1626</v>
      </c>
      <c r="B1480" s="37" t="s">
        <v>22292</v>
      </c>
      <c r="C1480" s="37" t="s">
        <v>2348</v>
      </c>
      <c r="D1480" s="37" t="s">
        <v>2349</v>
      </c>
    </row>
    <row r="1481" spans="1:4" ht="14.25">
      <c r="A1481" s="37">
        <v>1625</v>
      </c>
      <c r="B1481" s="37" t="s">
        <v>22293</v>
      </c>
      <c r="C1481" s="37" t="s">
        <v>2348</v>
      </c>
      <c r="D1481" s="37" t="s">
        <v>2349</v>
      </c>
    </row>
    <row r="1482" spans="1:4" ht="14.25">
      <c r="A1482" s="37">
        <v>1622</v>
      </c>
      <c r="B1482" s="37" t="s">
        <v>22294</v>
      </c>
      <c r="C1482" s="37" t="s">
        <v>2348</v>
      </c>
      <c r="D1482" s="37" t="s">
        <v>2349</v>
      </c>
    </row>
    <row r="1483" spans="1:4" ht="14.25">
      <c r="A1483" s="37">
        <v>1620</v>
      </c>
      <c r="B1483" s="37" t="s">
        <v>22295</v>
      </c>
      <c r="C1483" s="37" t="s">
        <v>2348</v>
      </c>
      <c r="D1483" s="37" t="s">
        <v>2349</v>
      </c>
    </row>
    <row r="1484" spans="1:4" ht="14.25">
      <c r="A1484" s="37">
        <v>1629</v>
      </c>
      <c r="B1484" s="37" t="s">
        <v>22296</v>
      </c>
      <c r="C1484" s="37" t="s">
        <v>2348</v>
      </c>
      <c r="D1484" s="37" t="s">
        <v>2349</v>
      </c>
    </row>
    <row r="1485" spans="1:4" ht="14.25">
      <c r="A1485" s="37">
        <v>1627</v>
      </c>
      <c r="B1485" s="37" t="s">
        <v>22297</v>
      </c>
      <c r="C1485" s="37" t="s">
        <v>2348</v>
      </c>
      <c r="D1485" s="37" t="s">
        <v>2349</v>
      </c>
    </row>
    <row r="1486" spans="1:4" ht="14.25">
      <c r="A1486" s="37">
        <v>1623</v>
      </c>
      <c r="B1486" s="37" t="s">
        <v>22298</v>
      </c>
      <c r="C1486" s="37" t="s">
        <v>2348</v>
      </c>
      <c r="D1486" s="37" t="s">
        <v>2349</v>
      </c>
    </row>
    <row r="1487" spans="1:4" ht="14.25">
      <c r="A1487" s="37">
        <v>1619</v>
      </c>
      <c r="B1487" s="37" t="s">
        <v>22299</v>
      </c>
      <c r="C1487" s="37" t="s">
        <v>2348</v>
      </c>
      <c r="D1487" s="37" t="s">
        <v>2349</v>
      </c>
    </row>
    <row r="1488" spans="1:4" ht="14.25">
      <c r="A1488" s="37">
        <v>1630</v>
      </c>
      <c r="B1488" s="37" t="s">
        <v>22300</v>
      </c>
      <c r="C1488" s="37" t="s">
        <v>2348</v>
      </c>
      <c r="D1488" s="37" t="s">
        <v>2349</v>
      </c>
    </row>
    <row r="1489" spans="1:4" ht="14.25">
      <c r="A1489" s="37">
        <v>1616</v>
      </c>
      <c r="B1489" s="37" t="s">
        <v>22301</v>
      </c>
      <c r="C1489" s="37" t="s">
        <v>2348</v>
      </c>
      <c r="D1489" s="37" t="s">
        <v>2349</v>
      </c>
    </row>
    <row r="1490" spans="1:4" ht="14.25">
      <c r="A1490" s="37">
        <v>1614</v>
      </c>
      <c r="B1490" s="37" t="s">
        <v>22302</v>
      </c>
      <c r="C1490" s="37" t="s">
        <v>2348</v>
      </c>
      <c r="D1490" s="37" t="s">
        <v>2349</v>
      </c>
    </row>
    <row r="1491" spans="1:4" ht="14.25">
      <c r="A1491" s="37">
        <v>1617</v>
      </c>
      <c r="B1491" s="37" t="s">
        <v>22303</v>
      </c>
      <c r="C1491" s="37" t="s">
        <v>2348</v>
      </c>
      <c r="D1491" s="37" t="s">
        <v>2349</v>
      </c>
    </row>
    <row r="1492" spans="1:4" ht="14.25">
      <c r="A1492" s="37">
        <v>1621</v>
      </c>
      <c r="B1492" s="37" t="s">
        <v>22304</v>
      </c>
      <c r="C1492" s="37" t="s">
        <v>2348</v>
      </c>
      <c r="D1492" s="37" t="s">
        <v>2349</v>
      </c>
    </row>
    <row r="1493" spans="1:4" ht="14.25">
      <c r="A1493" s="37">
        <v>1624</v>
      </c>
      <c r="B1493" s="37" t="s">
        <v>22305</v>
      </c>
      <c r="C1493" s="37" t="s">
        <v>2348</v>
      </c>
      <c r="D1493" s="37" t="s">
        <v>2349</v>
      </c>
    </row>
    <row r="1494" spans="1:4" ht="14.25">
      <c r="A1494" s="37">
        <v>1615</v>
      </c>
      <c r="B1494" s="37" t="s">
        <v>22306</v>
      </c>
      <c r="C1494" s="37" t="s">
        <v>2348</v>
      </c>
      <c r="D1494" s="37" t="s">
        <v>2349</v>
      </c>
    </row>
    <row r="1495" spans="1:4" ht="14.25">
      <c r="A1495" s="37">
        <v>1612</v>
      </c>
      <c r="B1495" s="37" t="s">
        <v>22307</v>
      </c>
      <c r="C1495" s="37" t="s">
        <v>2348</v>
      </c>
      <c r="D1495" s="37" t="s">
        <v>2353</v>
      </c>
    </row>
    <row r="1496" spans="1:4" ht="14.25">
      <c r="A1496" s="37">
        <v>1618</v>
      </c>
      <c r="B1496" s="37" t="s">
        <v>22308</v>
      </c>
      <c r="C1496" s="37" t="s">
        <v>2348</v>
      </c>
      <c r="D1496" s="37" t="s">
        <v>2349</v>
      </c>
    </row>
    <row r="1497" spans="1:4" ht="14.25">
      <c r="A1497" s="37">
        <v>14211</v>
      </c>
      <c r="B1497" s="37" t="s">
        <v>22309</v>
      </c>
      <c r="C1497" s="37" t="s">
        <v>2348</v>
      </c>
      <c r="D1497" s="37" t="s">
        <v>2351</v>
      </c>
    </row>
    <row r="1498" spans="1:4" ht="14.25">
      <c r="A1498" s="37">
        <v>43657</v>
      </c>
      <c r="B1498" s="37" t="s">
        <v>27968</v>
      </c>
      <c r="C1498" s="37" t="s">
        <v>2355</v>
      </c>
      <c r="D1498" s="37" t="s">
        <v>2349</v>
      </c>
    </row>
    <row r="1499" spans="1:4" ht="14.25">
      <c r="A1499" s="37">
        <v>34500</v>
      </c>
      <c r="B1499" s="37" t="s">
        <v>22310</v>
      </c>
      <c r="C1499" s="37" t="s">
        <v>2352</v>
      </c>
      <c r="D1499" s="37" t="s">
        <v>2349</v>
      </c>
    </row>
    <row r="1500" spans="1:4" ht="14.25">
      <c r="A1500" s="37">
        <v>40934</v>
      </c>
      <c r="B1500" s="37" t="s">
        <v>22311</v>
      </c>
      <c r="C1500" s="37" t="s">
        <v>2369</v>
      </c>
      <c r="D1500" s="37" t="s">
        <v>2349</v>
      </c>
    </row>
    <row r="1501" spans="1:4" ht="14.25">
      <c r="A1501" s="37">
        <v>38200</v>
      </c>
      <c r="B1501" s="37" t="s">
        <v>22312</v>
      </c>
      <c r="C1501" s="37" t="s">
        <v>2442</v>
      </c>
      <c r="D1501" s="37" t="s">
        <v>2349</v>
      </c>
    </row>
    <row r="1502" spans="1:4" ht="14.25">
      <c r="A1502" s="37">
        <v>39269</v>
      </c>
      <c r="B1502" s="37" t="s">
        <v>22313</v>
      </c>
      <c r="C1502" s="37" t="s">
        <v>2355</v>
      </c>
      <c r="D1502" s="37" t="s">
        <v>2349</v>
      </c>
    </row>
    <row r="1503" spans="1:4" ht="14.25">
      <c r="A1503" s="37">
        <v>11889</v>
      </c>
      <c r="B1503" s="37" t="s">
        <v>22314</v>
      </c>
      <c r="C1503" s="37" t="s">
        <v>2355</v>
      </c>
      <c r="D1503" s="37" t="s">
        <v>2349</v>
      </c>
    </row>
    <row r="1504" spans="1:4" ht="14.25">
      <c r="A1504" s="37">
        <v>39270</v>
      </c>
      <c r="B1504" s="37" t="s">
        <v>22315</v>
      </c>
      <c r="C1504" s="37" t="s">
        <v>2355</v>
      </c>
      <c r="D1504" s="37" t="s">
        <v>2349</v>
      </c>
    </row>
    <row r="1505" spans="1:4" ht="14.25">
      <c r="A1505" s="37">
        <v>11890</v>
      </c>
      <c r="B1505" s="37" t="s">
        <v>22316</v>
      </c>
      <c r="C1505" s="37" t="s">
        <v>2355</v>
      </c>
      <c r="D1505" s="37" t="s">
        <v>2349</v>
      </c>
    </row>
    <row r="1506" spans="1:4" ht="14.25">
      <c r="A1506" s="37">
        <v>11891</v>
      </c>
      <c r="B1506" s="37" t="s">
        <v>22317</v>
      </c>
      <c r="C1506" s="37" t="s">
        <v>2355</v>
      </c>
      <c r="D1506" s="37" t="s">
        <v>2349</v>
      </c>
    </row>
    <row r="1507" spans="1:4" ht="14.25">
      <c r="A1507" s="37">
        <v>11892</v>
      </c>
      <c r="B1507" s="37" t="s">
        <v>22318</v>
      </c>
      <c r="C1507" s="37" t="s">
        <v>2355</v>
      </c>
      <c r="D1507" s="37" t="s">
        <v>2349</v>
      </c>
    </row>
    <row r="1508" spans="1:4" ht="14.25">
      <c r="A1508" s="37">
        <v>37601</v>
      </c>
      <c r="B1508" s="37" t="s">
        <v>22319</v>
      </c>
      <c r="C1508" s="37" t="s">
        <v>2355</v>
      </c>
      <c r="D1508" s="37" t="s">
        <v>2351</v>
      </c>
    </row>
    <row r="1509" spans="1:4" ht="14.25">
      <c r="A1509" s="37">
        <v>1634</v>
      </c>
      <c r="B1509" s="37" t="s">
        <v>22320</v>
      </c>
      <c r="C1509" s="37" t="s">
        <v>2355</v>
      </c>
      <c r="D1509" s="37" t="s">
        <v>2351</v>
      </c>
    </row>
    <row r="1510" spans="1:4" ht="14.25">
      <c r="A1510" s="37">
        <v>5086</v>
      </c>
      <c r="B1510" s="37" t="s">
        <v>22321</v>
      </c>
      <c r="C1510" s="37" t="s">
        <v>2356</v>
      </c>
      <c r="D1510" s="37" t="s">
        <v>2349</v>
      </c>
    </row>
    <row r="1511" spans="1:4" ht="14.25">
      <c r="A1511" s="37">
        <v>11280</v>
      </c>
      <c r="B1511" s="37" t="s">
        <v>22322</v>
      </c>
      <c r="C1511" s="37" t="s">
        <v>2348</v>
      </c>
      <c r="D1511" s="37" t="s">
        <v>2349</v>
      </c>
    </row>
    <row r="1512" spans="1:4" ht="14.25">
      <c r="A1512" s="37">
        <v>40519</v>
      </c>
      <c r="B1512" s="37" t="s">
        <v>22323</v>
      </c>
      <c r="C1512" s="37" t="s">
        <v>2348</v>
      </c>
      <c r="D1512" s="37" t="s">
        <v>2349</v>
      </c>
    </row>
    <row r="1513" spans="1:4" ht="14.25">
      <c r="A1513" s="37">
        <v>39869</v>
      </c>
      <c r="B1513" s="37" t="s">
        <v>22324</v>
      </c>
      <c r="C1513" s="37" t="s">
        <v>2348</v>
      </c>
      <c r="D1513" s="37" t="s">
        <v>2351</v>
      </c>
    </row>
    <row r="1514" spans="1:4" ht="14.25">
      <c r="A1514" s="37">
        <v>39870</v>
      </c>
      <c r="B1514" s="37" t="s">
        <v>22325</v>
      </c>
      <c r="C1514" s="37" t="s">
        <v>2348</v>
      </c>
      <c r="D1514" s="37" t="s">
        <v>2351</v>
      </c>
    </row>
    <row r="1515" spans="1:4" ht="14.25">
      <c r="A1515" s="37">
        <v>39871</v>
      </c>
      <c r="B1515" s="37" t="s">
        <v>22326</v>
      </c>
      <c r="C1515" s="37" t="s">
        <v>2348</v>
      </c>
      <c r="D1515" s="37" t="s">
        <v>2351</v>
      </c>
    </row>
    <row r="1516" spans="1:4" ht="14.25">
      <c r="A1516" s="37">
        <v>12722</v>
      </c>
      <c r="B1516" s="37" t="s">
        <v>22327</v>
      </c>
      <c r="C1516" s="37" t="s">
        <v>2348</v>
      </c>
      <c r="D1516" s="37" t="s">
        <v>2351</v>
      </c>
    </row>
    <row r="1517" spans="1:4" ht="14.25">
      <c r="A1517" s="37">
        <v>12714</v>
      </c>
      <c r="B1517" s="37" t="s">
        <v>22328</v>
      </c>
      <c r="C1517" s="37" t="s">
        <v>2348</v>
      </c>
      <c r="D1517" s="37" t="s">
        <v>2351</v>
      </c>
    </row>
    <row r="1518" spans="1:4" ht="14.25">
      <c r="A1518" s="37">
        <v>12715</v>
      </c>
      <c r="B1518" s="37" t="s">
        <v>22329</v>
      </c>
      <c r="C1518" s="37" t="s">
        <v>2348</v>
      </c>
      <c r="D1518" s="37" t="s">
        <v>2351</v>
      </c>
    </row>
    <row r="1519" spans="1:4" ht="14.25">
      <c r="A1519" s="37">
        <v>12716</v>
      </c>
      <c r="B1519" s="37" t="s">
        <v>22330</v>
      </c>
      <c r="C1519" s="37" t="s">
        <v>2348</v>
      </c>
      <c r="D1519" s="37" t="s">
        <v>2351</v>
      </c>
    </row>
    <row r="1520" spans="1:4" ht="14.25">
      <c r="A1520" s="37">
        <v>12717</v>
      </c>
      <c r="B1520" s="37" t="s">
        <v>22331</v>
      </c>
      <c r="C1520" s="37" t="s">
        <v>2348</v>
      </c>
      <c r="D1520" s="37" t="s">
        <v>2351</v>
      </c>
    </row>
    <row r="1521" spans="1:4" ht="14.25">
      <c r="A1521" s="37">
        <v>12718</v>
      </c>
      <c r="B1521" s="37" t="s">
        <v>22332</v>
      </c>
      <c r="C1521" s="37" t="s">
        <v>2348</v>
      </c>
      <c r="D1521" s="37" t="s">
        <v>2351</v>
      </c>
    </row>
    <row r="1522" spans="1:4" ht="14.25">
      <c r="A1522" s="37">
        <v>12719</v>
      </c>
      <c r="B1522" s="37" t="s">
        <v>22333</v>
      </c>
      <c r="C1522" s="37" t="s">
        <v>2348</v>
      </c>
      <c r="D1522" s="37" t="s">
        <v>2351</v>
      </c>
    </row>
    <row r="1523" spans="1:4" ht="14.25">
      <c r="A1523" s="37">
        <v>12720</v>
      </c>
      <c r="B1523" s="37" t="s">
        <v>22334</v>
      </c>
      <c r="C1523" s="37" t="s">
        <v>2348</v>
      </c>
      <c r="D1523" s="37" t="s">
        <v>2351</v>
      </c>
    </row>
    <row r="1524" spans="1:4" ht="14.25">
      <c r="A1524" s="37">
        <v>12721</v>
      </c>
      <c r="B1524" s="37" t="s">
        <v>22335</v>
      </c>
      <c r="C1524" s="37" t="s">
        <v>2348</v>
      </c>
      <c r="D1524" s="37" t="s">
        <v>2351</v>
      </c>
    </row>
    <row r="1525" spans="1:4" ht="14.25">
      <c r="A1525" s="37">
        <v>3468</v>
      </c>
      <c r="B1525" s="37" t="s">
        <v>22336</v>
      </c>
      <c r="C1525" s="37" t="s">
        <v>2348</v>
      </c>
      <c r="D1525" s="37" t="s">
        <v>2351</v>
      </c>
    </row>
    <row r="1526" spans="1:4" ht="14.25">
      <c r="A1526" s="37">
        <v>3465</v>
      </c>
      <c r="B1526" s="37" t="s">
        <v>22337</v>
      </c>
      <c r="C1526" s="37" t="s">
        <v>2348</v>
      </c>
      <c r="D1526" s="37" t="s">
        <v>2351</v>
      </c>
    </row>
    <row r="1527" spans="1:4" ht="14.25">
      <c r="A1527" s="37">
        <v>12403</v>
      </c>
      <c r="B1527" s="37" t="s">
        <v>22338</v>
      </c>
      <c r="C1527" s="37" t="s">
        <v>2348</v>
      </c>
      <c r="D1527" s="37" t="s">
        <v>2351</v>
      </c>
    </row>
    <row r="1528" spans="1:4" ht="14.25">
      <c r="A1528" s="37">
        <v>3463</v>
      </c>
      <c r="B1528" s="37" t="s">
        <v>22339</v>
      </c>
      <c r="C1528" s="37" t="s">
        <v>2348</v>
      </c>
      <c r="D1528" s="37" t="s">
        <v>2351</v>
      </c>
    </row>
    <row r="1529" spans="1:4" ht="14.25">
      <c r="A1529" s="37">
        <v>3464</v>
      </c>
      <c r="B1529" s="37" t="s">
        <v>22340</v>
      </c>
      <c r="C1529" s="37" t="s">
        <v>2348</v>
      </c>
      <c r="D1529" s="37" t="s">
        <v>2351</v>
      </c>
    </row>
    <row r="1530" spans="1:4" ht="14.25">
      <c r="A1530" s="37">
        <v>3466</v>
      </c>
      <c r="B1530" s="37" t="s">
        <v>22341</v>
      </c>
      <c r="C1530" s="37" t="s">
        <v>2348</v>
      </c>
      <c r="D1530" s="37" t="s">
        <v>2351</v>
      </c>
    </row>
    <row r="1531" spans="1:4" ht="14.25">
      <c r="A1531" s="37">
        <v>3467</v>
      </c>
      <c r="B1531" s="37" t="s">
        <v>22342</v>
      </c>
      <c r="C1531" s="37" t="s">
        <v>2348</v>
      </c>
      <c r="D1531" s="37" t="s">
        <v>2351</v>
      </c>
    </row>
    <row r="1532" spans="1:4" ht="14.25">
      <c r="A1532" s="37">
        <v>3462</v>
      </c>
      <c r="B1532" s="37" t="s">
        <v>22343</v>
      </c>
      <c r="C1532" s="37" t="s">
        <v>2348</v>
      </c>
      <c r="D1532" s="37" t="s">
        <v>2351</v>
      </c>
    </row>
    <row r="1533" spans="1:4" ht="14.25">
      <c r="A1533" s="37">
        <v>3446</v>
      </c>
      <c r="B1533" s="37" t="s">
        <v>22344</v>
      </c>
      <c r="C1533" s="37" t="s">
        <v>2348</v>
      </c>
      <c r="D1533" s="37" t="s">
        <v>2351</v>
      </c>
    </row>
    <row r="1534" spans="1:4" ht="14.25">
      <c r="A1534" s="37">
        <v>3445</v>
      </c>
      <c r="B1534" s="37" t="s">
        <v>22345</v>
      </c>
      <c r="C1534" s="37" t="s">
        <v>2348</v>
      </c>
      <c r="D1534" s="37" t="s">
        <v>2351</v>
      </c>
    </row>
    <row r="1535" spans="1:4" ht="14.25">
      <c r="A1535" s="37">
        <v>3441</v>
      </c>
      <c r="B1535" s="37" t="s">
        <v>22346</v>
      </c>
      <c r="C1535" s="37" t="s">
        <v>2348</v>
      </c>
      <c r="D1535" s="37" t="s">
        <v>2351</v>
      </c>
    </row>
    <row r="1536" spans="1:4" ht="14.25">
      <c r="A1536" s="37">
        <v>3444</v>
      </c>
      <c r="B1536" s="37" t="s">
        <v>22347</v>
      </c>
      <c r="C1536" s="37" t="s">
        <v>2348</v>
      </c>
      <c r="D1536" s="37" t="s">
        <v>2351</v>
      </c>
    </row>
    <row r="1537" spans="1:4" ht="14.25">
      <c r="A1537" s="37">
        <v>12402</v>
      </c>
      <c r="B1537" s="37" t="s">
        <v>22348</v>
      </c>
      <c r="C1537" s="37" t="s">
        <v>2348</v>
      </c>
      <c r="D1537" s="37" t="s">
        <v>2351</v>
      </c>
    </row>
    <row r="1538" spans="1:4" ht="14.25">
      <c r="A1538" s="37">
        <v>3447</v>
      </c>
      <c r="B1538" s="37" t="s">
        <v>22349</v>
      </c>
      <c r="C1538" s="37" t="s">
        <v>2348</v>
      </c>
      <c r="D1538" s="37" t="s">
        <v>2351</v>
      </c>
    </row>
    <row r="1539" spans="1:4" ht="14.25">
      <c r="A1539" s="37">
        <v>3442</v>
      </c>
      <c r="B1539" s="37" t="s">
        <v>22350</v>
      </c>
      <c r="C1539" s="37" t="s">
        <v>2348</v>
      </c>
      <c r="D1539" s="37" t="s">
        <v>2351</v>
      </c>
    </row>
    <row r="1540" spans="1:4" ht="14.25">
      <c r="A1540" s="37">
        <v>3448</v>
      </c>
      <c r="B1540" s="37" t="s">
        <v>22351</v>
      </c>
      <c r="C1540" s="37" t="s">
        <v>2348</v>
      </c>
      <c r="D1540" s="37" t="s">
        <v>2351</v>
      </c>
    </row>
    <row r="1541" spans="1:4" ht="14.25">
      <c r="A1541" s="37">
        <v>3449</v>
      </c>
      <c r="B1541" s="37" t="s">
        <v>22352</v>
      </c>
      <c r="C1541" s="37" t="s">
        <v>2348</v>
      </c>
      <c r="D1541" s="37" t="s">
        <v>2351</v>
      </c>
    </row>
    <row r="1542" spans="1:4" ht="14.25">
      <c r="A1542" s="37">
        <v>37438</v>
      </c>
      <c r="B1542" s="37" t="s">
        <v>22353</v>
      </c>
      <c r="C1542" s="37" t="s">
        <v>2348</v>
      </c>
      <c r="D1542" s="37" t="s">
        <v>2351</v>
      </c>
    </row>
    <row r="1543" spans="1:4" ht="14.25">
      <c r="A1543" s="37">
        <v>37439</v>
      </c>
      <c r="B1543" s="37" t="s">
        <v>22354</v>
      </c>
      <c r="C1543" s="37" t="s">
        <v>2348</v>
      </c>
      <c r="D1543" s="37" t="s">
        <v>2351</v>
      </c>
    </row>
    <row r="1544" spans="1:4" ht="14.25">
      <c r="A1544" s="37">
        <v>37435</v>
      </c>
      <c r="B1544" s="37" t="s">
        <v>22355</v>
      </c>
      <c r="C1544" s="37" t="s">
        <v>2348</v>
      </c>
      <c r="D1544" s="37" t="s">
        <v>2351</v>
      </c>
    </row>
    <row r="1545" spans="1:4" ht="14.25">
      <c r="A1545" s="37">
        <v>37436</v>
      </c>
      <c r="B1545" s="37" t="s">
        <v>22356</v>
      </c>
      <c r="C1545" s="37" t="s">
        <v>2348</v>
      </c>
      <c r="D1545" s="37" t="s">
        <v>2351</v>
      </c>
    </row>
    <row r="1546" spans="1:4" ht="14.25">
      <c r="A1546" s="37">
        <v>37437</v>
      </c>
      <c r="B1546" s="37" t="s">
        <v>22357</v>
      </c>
      <c r="C1546" s="37" t="s">
        <v>2348</v>
      </c>
      <c r="D1546" s="37" t="s">
        <v>2351</v>
      </c>
    </row>
    <row r="1547" spans="1:4" ht="14.25">
      <c r="A1547" s="37">
        <v>3473</v>
      </c>
      <c r="B1547" s="37" t="s">
        <v>22358</v>
      </c>
      <c r="C1547" s="37" t="s">
        <v>2348</v>
      </c>
      <c r="D1547" s="37" t="s">
        <v>2351</v>
      </c>
    </row>
    <row r="1548" spans="1:4" ht="14.25">
      <c r="A1548" s="37">
        <v>3474</v>
      </c>
      <c r="B1548" s="37" t="s">
        <v>22359</v>
      </c>
      <c r="C1548" s="37" t="s">
        <v>2348</v>
      </c>
      <c r="D1548" s="37" t="s">
        <v>2351</v>
      </c>
    </row>
    <row r="1549" spans="1:4" ht="14.25">
      <c r="A1549" s="37">
        <v>3450</v>
      </c>
      <c r="B1549" s="37" t="s">
        <v>22360</v>
      </c>
      <c r="C1549" s="37" t="s">
        <v>2348</v>
      </c>
      <c r="D1549" s="37" t="s">
        <v>2351</v>
      </c>
    </row>
    <row r="1550" spans="1:4" ht="14.25">
      <c r="A1550" s="37">
        <v>3443</v>
      </c>
      <c r="B1550" s="37" t="s">
        <v>22361</v>
      </c>
      <c r="C1550" s="37" t="s">
        <v>2348</v>
      </c>
      <c r="D1550" s="37" t="s">
        <v>2351</v>
      </c>
    </row>
    <row r="1551" spans="1:4" ht="14.25">
      <c r="A1551" s="37">
        <v>3453</v>
      </c>
      <c r="B1551" s="37" t="s">
        <v>22362</v>
      </c>
      <c r="C1551" s="37" t="s">
        <v>2348</v>
      </c>
      <c r="D1551" s="37" t="s">
        <v>2351</v>
      </c>
    </row>
    <row r="1552" spans="1:4" ht="14.25">
      <c r="A1552" s="37">
        <v>3452</v>
      </c>
      <c r="B1552" s="37" t="s">
        <v>22363</v>
      </c>
      <c r="C1552" s="37" t="s">
        <v>2348</v>
      </c>
      <c r="D1552" s="37" t="s">
        <v>2351</v>
      </c>
    </row>
    <row r="1553" spans="1:4" ht="14.25">
      <c r="A1553" s="37">
        <v>3451</v>
      </c>
      <c r="B1553" s="37" t="s">
        <v>22364</v>
      </c>
      <c r="C1553" s="37" t="s">
        <v>2348</v>
      </c>
      <c r="D1553" s="37" t="s">
        <v>2351</v>
      </c>
    </row>
    <row r="1554" spans="1:4" ht="14.25">
      <c r="A1554" s="37">
        <v>3454</v>
      </c>
      <c r="B1554" s="37" t="s">
        <v>22365</v>
      </c>
      <c r="C1554" s="37" t="s">
        <v>2348</v>
      </c>
      <c r="D1554" s="37" t="s">
        <v>2351</v>
      </c>
    </row>
    <row r="1555" spans="1:4" ht="14.25">
      <c r="A1555" s="37">
        <v>3458</v>
      </c>
      <c r="B1555" s="37" t="s">
        <v>22366</v>
      </c>
      <c r="C1555" s="37" t="s">
        <v>2348</v>
      </c>
      <c r="D1555" s="37" t="s">
        <v>2351</v>
      </c>
    </row>
    <row r="1556" spans="1:4" ht="14.25">
      <c r="A1556" s="37">
        <v>3457</v>
      </c>
      <c r="B1556" s="37" t="s">
        <v>22367</v>
      </c>
      <c r="C1556" s="37" t="s">
        <v>2348</v>
      </c>
      <c r="D1556" s="37" t="s">
        <v>2351</v>
      </c>
    </row>
    <row r="1557" spans="1:4" ht="14.25">
      <c r="A1557" s="37">
        <v>3455</v>
      </c>
      <c r="B1557" s="37" t="s">
        <v>22368</v>
      </c>
      <c r="C1557" s="37" t="s">
        <v>2348</v>
      </c>
      <c r="D1557" s="37" t="s">
        <v>2351</v>
      </c>
    </row>
    <row r="1558" spans="1:4" ht="14.25">
      <c r="A1558" s="37">
        <v>3472</v>
      </c>
      <c r="B1558" s="37" t="s">
        <v>22369</v>
      </c>
      <c r="C1558" s="37" t="s">
        <v>2348</v>
      </c>
      <c r="D1558" s="37" t="s">
        <v>2351</v>
      </c>
    </row>
    <row r="1559" spans="1:4" ht="14.25">
      <c r="A1559" s="37">
        <v>3470</v>
      </c>
      <c r="B1559" s="37" t="s">
        <v>22370</v>
      </c>
      <c r="C1559" s="37" t="s">
        <v>2348</v>
      </c>
      <c r="D1559" s="37" t="s">
        <v>2351</v>
      </c>
    </row>
    <row r="1560" spans="1:4" ht="14.25">
      <c r="A1560" s="37">
        <v>3471</v>
      </c>
      <c r="B1560" s="37" t="s">
        <v>22371</v>
      </c>
      <c r="C1560" s="37" t="s">
        <v>2348</v>
      </c>
      <c r="D1560" s="37" t="s">
        <v>2351</v>
      </c>
    </row>
    <row r="1561" spans="1:4" ht="14.25">
      <c r="A1561" s="37">
        <v>3456</v>
      </c>
      <c r="B1561" s="37" t="s">
        <v>22372</v>
      </c>
      <c r="C1561" s="37" t="s">
        <v>2348</v>
      </c>
      <c r="D1561" s="37" t="s">
        <v>2351</v>
      </c>
    </row>
    <row r="1562" spans="1:4" ht="14.25">
      <c r="A1562" s="37">
        <v>3459</v>
      </c>
      <c r="B1562" s="37" t="s">
        <v>22373</v>
      </c>
      <c r="C1562" s="37" t="s">
        <v>2348</v>
      </c>
      <c r="D1562" s="37" t="s">
        <v>2351</v>
      </c>
    </row>
    <row r="1563" spans="1:4" ht="14.25">
      <c r="A1563" s="37">
        <v>3469</v>
      </c>
      <c r="B1563" s="37" t="s">
        <v>22374</v>
      </c>
      <c r="C1563" s="37" t="s">
        <v>2348</v>
      </c>
      <c r="D1563" s="37" t="s">
        <v>2351</v>
      </c>
    </row>
    <row r="1564" spans="1:4" ht="14.25">
      <c r="A1564" s="37">
        <v>3460</v>
      </c>
      <c r="B1564" s="37" t="s">
        <v>22375</v>
      </c>
      <c r="C1564" s="37" t="s">
        <v>2348</v>
      </c>
      <c r="D1564" s="37" t="s">
        <v>2351</v>
      </c>
    </row>
    <row r="1565" spans="1:4" ht="14.25">
      <c r="A1565" s="37">
        <v>3461</v>
      </c>
      <c r="B1565" s="37" t="s">
        <v>22376</v>
      </c>
      <c r="C1565" s="37" t="s">
        <v>2348</v>
      </c>
      <c r="D1565" s="37" t="s">
        <v>2351</v>
      </c>
    </row>
    <row r="1566" spans="1:4" ht="14.25">
      <c r="A1566" s="37">
        <v>37433</v>
      </c>
      <c r="B1566" s="37" t="s">
        <v>22377</v>
      </c>
      <c r="C1566" s="37" t="s">
        <v>2348</v>
      </c>
      <c r="D1566" s="37" t="s">
        <v>2351</v>
      </c>
    </row>
    <row r="1567" spans="1:4" ht="14.25">
      <c r="A1567" s="37">
        <v>37430</v>
      </c>
      <c r="B1567" s="37" t="s">
        <v>22378</v>
      </c>
      <c r="C1567" s="37" t="s">
        <v>2348</v>
      </c>
      <c r="D1567" s="37" t="s">
        <v>2351</v>
      </c>
    </row>
    <row r="1568" spans="1:4" ht="14.25">
      <c r="A1568" s="37">
        <v>37434</v>
      </c>
      <c r="B1568" s="37" t="s">
        <v>22379</v>
      </c>
      <c r="C1568" s="37" t="s">
        <v>2348</v>
      </c>
      <c r="D1568" s="37" t="s">
        <v>2351</v>
      </c>
    </row>
    <row r="1569" spans="1:4" ht="14.25">
      <c r="A1569" s="37">
        <v>37431</v>
      </c>
      <c r="B1569" s="37" t="s">
        <v>22380</v>
      </c>
      <c r="C1569" s="37" t="s">
        <v>2348</v>
      </c>
      <c r="D1569" s="37" t="s">
        <v>2351</v>
      </c>
    </row>
    <row r="1570" spans="1:4" ht="14.25">
      <c r="A1570" s="37">
        <v>37432</v>
      </c>
      <c r="B1570" s="37" t="s">
        <v>22381</v>
      </c>
      <c r="C1570" s="37" t="s">
        <v>2348</v>
      </c>
      <c r="D1570" s="37" t="s">
        <v>2351</v>
      </c>
    </row>
    <row r="1571" spans="1:4" ht="14.25">
      <c r="A1571" s="37">
        <v>37413</v>
      </c>
      <c r="B1571" s="37" t="s">
        <v>22382</v>
      </c>
      <c r="C1571" s="37" t="s">
        <v>2348</v>
      </c>
      <c r="D1571" s="37" t="s">
        <v>2351</v>
      </c>
    </row>
    <row r="1572" spans="1:4" ht="14.25">
      <c r="A1572" s="37">
        <v>37414</v>
      </c>
      <c r="B1572" s="37" t="s">
        <v>22383</v>
      </c>
      <c r="C1572" s="37" t="s">
        <v>2348</v>
      </c>
      <c r="D1572" s="37" t="s">
        <v>2351</v>
      </c>
    </row>
    <row r="1573" spans="1:4" ht="14.25">
      <c r="A1573" s="37">
        <v>37415</v>
      </c>
      <c r="B1573" s="37" t="s">
        <v>22384</v>
      </c>
      <c r="C1573" s="37" t="s">
        <v>2348</v>
      </c>
      <c r="D1573" s="37" t="s">
        <v>2351</v>
      </c>
    </row>
    <row r="1574" spans="1:4" ht="14.25">
      <c r="A1574" s="37">
        <v>37416</v>
      </c>
      <c r="B1574" s="37" t="s">
        <v>22385</v>
      </c>
      <c r="C1574" s="37" t="s">
        <v>2348</v>
      </c>
      <c r="D1574" s="37" t="s">
        <v>2351</v>
      </c>
    </row>
    <row r="1575" spans="1:4" ht="14.25">
      <c r="A1575" s="37">
        <v>37417</v>
      </c>
      <c r="B1575" s="37" t="s">
        <v>22386</v>
      </c>
      <c r="C1575" s="37" t="s">
        <v>2348</v>
      </c>
      <c r="D1575" s="37" t="s">
        <v>2351</v>
      </c>
    </row>
    <row r="1576" spans="1:4" ht="14.25">
      <c r="A1576" s="37">
        <v>43590</v>
      </c>
      <c r="B1576" s="37" t="s">
        <v>22387</v>
      </c>
      <c r="C1576" s="37" t="s">
        <v>2348</v>
      </c>
      <c r="D1576" s="37" t="s">
        <v>2349</v>
      </c>
    </row>
    <row r="1577" spans="1:4" ht="14.25">
      <c r="A1577" s="37">
        <v>43589</v>
      </c>
      <c r="B1577" s="37" t="s">
        <v>22388</v>
      </c>
      <c r="C1577" s="37" t="s">
        <v>2348</v>
      </c>
      <c r="D1577" s="37" t="s">
        <v>2349</v>
      </c>
    </row>
    <row r="1578" spans="1:4" ht="14.25">
      <c r="A1578" s="37">
        <v>34519</v>
      </c>
      <c r="B1578" s="37" t="s">
        <v>22389</v>
      </c>
      <c r="C1578" s="37" t="s">
        <v>2348</v>
      </c>
      <c r="D1578" s="37" t="s">
        <v>2351</v>
      </c>
    </row>
    <row r="1579" spans="1:4" ht="14.25">
      <c r="A1579" s="37">
        <v>1649</v>
      </c>
      <c r="B1579" s="37" t="s">
        <v>22390</v>
      </c>
      <c r="C1579" s="37" t="s">
        <v>2348</v>
      </c>
      <c r="D1579" s="37" t="s">
        <v>2351</v>
      </c>
    </row>
    <row r="1580" spans="1:4" ht="14.25">
      <c r="A1580" s="37">
        <v>1653</v>
      </c>
      <c r="B1580" s="37" t="s">
        <v>22391</v>
      </c>
      <c r="C1580" s="37" t="s">
        <v>2348</v>
      </c>
      <c r="D1580" s="37" t="s">
        <v>2351</v>
      </c>
    </row>
    <row r="1581" spans="1:4" ht="14.25">
      <c r="A1581" s="37">
        <v>1647</v>
      </c>
      <c r="B1581" s="37" t="s">
        <v>22392</v>
      </c>
      <c r="C1581" s="37" t="s">
        <v>2348</v>
      </c>
      <c r="D1581" s="37" t="s">
        <v>2351</v>
      </c>
    </row>
    <row r="1582" spans="1:4" ht="14.25">
      <c r="A1582" s="37">
        <v>1648</v>
      </c>
      <c r="B1582" s="37" t="s">
        <v>22393</v>
      </c>
      <c r="C1582" s="37" t="s">
        <v>2348</v>
      </c>
      <c r="D1582" s="37" t="s">
        <v>2351</v>
      </c>
    </row>
    <row r="1583" spans="1:4" ht="14.25">
      <c r="A1583" s="37">
        <v>1651</v>
      </c>
      <c r="B1583" s="37" t="s">
        <v>22394</v>
      </c>
      <c r="C1583" s="37" t="s">
        <v>2348</v>
      </c>
      <c r="D1583" s="37" t="s">
        <v>2351</v>
      </c>
    </row>
    <row r="1584" spans="1:4" ht="14.25">
      <c r="A1584" s="37">
        <v>1650</v>
      </c>
      <c r="B1584" s="37" t="s">
        <v>22395</v>
      </c>
      <c r="C1584" s="37" t="s">
        <v>2348</v>
      </c>
      <c r="D1584" s="37" t="s">
        <v>2351</v>
      </c>
    </row>
    <row r="1585" spans="1:4" ht="14.25">
      <c r="A1585" s="37">
        <v>1654</v>
      </c>
      <c r="B1585" s="37" t="s">
        <v>22396</v>
      </c>
      <c r="C1585" s="37" t="s">
        <v>2348</v>
      </c>
      <c r="D1585" s="37" t="s">
        <v>2351</v>
      </c>
    </row>
    <row r="1586" spans="1:4" ht="14.25">
      <c r="A1586" s="37">
        <v>1652</v>
      </c>
      <c r="B1586" s="37" t="s">
        <v>22397</v>
      </c>
      <c r="C1586" s="37" t="s">
        <v>2348</v>
      </c>
      <c r="D1586" s="37" t="s">
        <v>2351</v>
      </c>
    </row>
    <row r="1587" spans="1:4" ht="14.25">
      <c r="A1587" s="37">
        <v>10510</v>
      </c>
      <c r="B1587" s="37" t="s">
        <v>22398</v>
      </c>
      <c r="C1587" s="37" t="s">
        <v>2348</v>
      </c>
      <c r="D1587" s="37" t="s">
        <v>2351</v>
      </c>
    </row>
    <row r="1588" spans="1:4" ht="14.25">
      <c r="A1588" s="37">
        <v>1747</v>
      </c>
      <c r="B1588" s="37" t="s">
        <v>22399</v>
      </c>
      <c r="C1588" s="37" t="s">
        <v>2348</v>
      </c>
      <c r="D1588" s="37" t="s">
        <v>2349</v>
      </c>
    </row>
    <row r="1589" spans="1:4" ht="14.25">
      <c r="A1589" s="37">
        <v>1744</v>
      </c>
      <c r="B1589" s="37" t="s">
        <v>22400</v>
      </c>
      <c r="C1589" s="37" t="s">
        <v>2348</v>
      </c>
      <c r="D1589" s="37" t="s">
        <v>2349</v>
      </c>
    </row>
    <row r="1590" spans="1:4" ht="14.25">
      <c r="A1590" s="37">
        <v>1743</v>
      </c>
      <c r="B1590" s="37" t="s">
        <v>22401</v>
      </c>
      <c r="C1590" s="37" t="s">
        <v>2348</v>
      </c>
      <c r="D1590" s="37" t="s">
        <v>2349</v>
      </c>
    </row>
    <row r="1591" spans="1:4" ht="14.25">
      <c r="A1591" s="37">
        <v>39640</v>
      </c>
      <c r="B1591" s="37" t="s">
        <v>22402</v>
      </c>
      <c r="C1591" s="37" t="s">
        <v>2348</v>
      </c>
      <c r="D1591" s="37" t="s">
        <v>2349</v>
      </c>
    </row>
    <row r="1592" spans="1:4" ht="14.25">
      <c r="A1592" s="37">
        <v>7216</v>
      </c>
      <c r="B1592" s="37" t="s">
        <v>22403</v>
      </c>
      <c r="C1592" s="37" t="s">
        <v>2348</v>
      </c>
      <c r="D1592" s="37" t="s">
        <v>2349</v>
      </c>
    </row>
    <row r="1593" spans="1:4" ht="14.25">
      <c r="A1593" s="37">
        <v>20235</v>
      </c>
      <c r="B1593" s="37" t="s">
        <v>22404</v>
      </c>
      <c r="C1593" s="37" t="s">
        <v>2348</v>
      </c>
      <c r="D1593" s="37" t="s">
        <v>2349</v>
      </c>
    </row>
    <row r="1594" spans="1:4" ht="14.25">
      <c r="A1594" s="37">
        <v>7181</v>
      </c>
      <c r="B1594" s="37" t="s">
        <v>22405</v>
      </c>
      <c r="C1594" s="37" t="s">
        <v>2348</v>
      </c>
      <c r="D1594" s="37" t="s">
        <v>2349</v>
      </c>
    </row>
    <row r="1595" spans="1:4" ht="14.25">
      <c r="A1595" s="37">
        <v>40742</v>
      </c>
      <c r="B1595" s="37" t="s">
        <v>22406</v>
      </c>
      <c r="C1595" s="37" t="s">
        <v>2348</v>
      </c>
      <c r="D1595" s="37" t="s">
        <v>2349</v>
      </c>
    </row>
    <row r="1596" spans="1:4" ht="14.25">
      <c r="A1596" s="37">
        <v>7214</v>
      </c>
      <c r="B1596" s="37" t="s">
        <v>22407</v>
      </c>
      <c r="C1596" s="37" t="s">
        <v>2348</v>
      </c>
      <c r="D1596" s="37" t="s">
        <v>2349</v>
      </c>
    </row>
    <row r="1597" spans="1:4" ht="14.25">
      <c r="A1597" s="37">
        <v>7219</v>
      </c>
      <c r="B1597" s="37" t="s">
        <v>22408</v>
      </c>
      <c r="C1597" s="37" t="s">
        <v>2348</v>
      </c>
      <c r="D1597" s="37" t="s">
        <v>2349</v>
      </c>
    </row>
    <row r="1598" spans="1:4" ht="14.25">
      <c r="A1598" s="37">
        <v>37972</v>
      </c>
      <c r="B1598" s="37" t="s">
        <v>22409</v>
      </c>
      <c r="C1598" s="37" t="s">
        <v>2348</v>
      </c>
      <c r="D1598" s="37" t="s">
        <v>2349</v>
      </c>
    </row>
    <row r="1599" spans="1:4" ht="14.25">
      <c r="A1599" s="37">
        <v>37973</v>
      </c>
      <c r="B1599" s="37" t="s">
        <v>22410</v>
      </c>
      <c r="C1599" s="37" t="s">
        <v>2348</v>
      </c>
      <c r="D1599" s="37" t="s">
        <v>2349</v>
      </c>
    </row>
    <row r="1600" spans="1:4" ht="14.25">
      <c r="A1600" s="37">
        <v>37971</v>
      </c>
      <c r="B1600" s="37" t="s">
        <v>22411</v>
      </c>
      <c r="C1600" s="37" t="s">
        <v>2348</v>
      </c>
      <c r="D1600" s="37" t="s">
        <v>2349</v>
      </c>
    </row>
    <row r="1601" spans="1:4" ht="14.25">
      <c r="A1601" s="37">
        <v>20094</v>
      </c>
      <c r="B1601" s="37" t="s">
        <v>22412</v>
      </c>
      <c r="C1601" s="37" t="s">
        <v>2348</v>
      </c>
      <c r="D1601" s="37" t="s">
        <v>2351</v>
      </c>
    </row>
    <row r="1602" spans="1:4" ht="14.25">
      <c r="A1602" s="37">
        <v>20095</v>
      </c>
      <c r="B1602" s="37" t="s">
        <v>22413</v>
      </c>
      <c r="C1602" s="37" t="s">
        <v>2348</v>
      </c>
      <c r="D1602" s="37" t="s">
        <v>2351</v>
      </c>
    </row>
    <row r="1603" spans="1:4" ht="14.25">
      <c r="A1603" s="37">
        <v>1954</v>
      </c>
      <c r="B1603" s="37" t="s">
        <v>22414</v>
      </c>
      <c r="C1603" s="37" t="s">
        <v>2348</v>
      </c>
      <c r="D1603" s="37" t="s">
        <v>2349</v>
      </c>
    </row>
    <row r="1604" spans="1:4" ht="14.25">
      <c r="A1604" s="37">
        <v>1926</v>
      </c>
      <c r="B1604" s="37" t="s">
        <v>22415</v>
      </c>
      <c r="C1604" s="37" t="s">
        <v>2348</v>
      </c>
      <c r="D1604" s="37" t="s">
        <v>2349</v>
      </c>
    </row>
    <row r="1605" spans="1:4" ht="14.25">
      <c r="A1605" s="37">
        <v>1927</v>
      </c>
      <c r="B1605" s="37" t="s">
        <v>22416</v>
      </c>
      <c r="C1605" s="37" t="s">
        <v>2348</v>
      </c>
      <c r="D1605" s="37" t="s">
        <v>2349</v>
      </c>
    </row>
    <row r="1606" spans="1:4" ht="14.25">
      <c r="A1606" s="37">
        <v>1923</v>
      </c>
      <c r="B1606" s="37" t="s">
        <v>22417</v>
      </c>
      <c r="C1606" s="37" t="s">
        <v>2348</v>
      </c>
      <c r="D1606" s="37" t="s">
        <v>2349</v>
      </c>
    </row>
    <row r="1607" spans="1:4" ht="14.25">
      <c r="A1607" s="37">
        <v>1929</v>
      </c>
      <c r="B1607" s="37" t="s">
        <v>22418</v>
      </c>
      <c r="C1607" s="37" t="s">
        <v>2348</v>
      </c>
      <c r="D1607" s="37" t="s">
        <v>2349</v>
      </c>
    </row>
    <row r="1608" spans="1:4" ht="14.25">
      <c r="A1608" s="37">
        <v>1930</v>
      </c>
      <c r="B1608" s="37" t="s">
        <v>22419</v>
      </c>
      <c r="C1608" s="37" t="s">
        <v>2348</v>
      </c>
      <c r="D1608" s="37" t="s">
        <v>2349</v>
      </c>
    </row>
    <row r="1609" spans="1:4" ht="14.25">
      <c r="A1609" s="37">
        <v>1924</v>
      </c>
      <c r="B1609" s="37" t="s">
        <v>22420</v>
      </c>
      <c r="C1609" s="37" t="s">
        <v>2348</v>
      </c>
      <c r="D1609" s="37" t="s">
        <v>2349</v>
      </c>
    </row>
    <row r="1610" spans="1:4" ht="14.25">
      <c r="A1610" s="37">
        <v>1922</v>
      </c>
      <c r="B1610" s="37" t="s">
        <v>22421</v>
      </c>
      <c r="C1610" s="37" t="s">
        <v>2348</v>
      </c>
      <c r="D1610" s="37" t="s">
        <v>2349</v>
      </c>
    </row>
    <row r="1611" spans="1:4" ht="14.25">
      <c r="A1611" s="37">
        <v>1953</v>
      </c>
      <c r="B1611" s="37" t="s">
        <v>22422</v>
      </c>
      <c r="C1611" s="37" t="s">
        <v>2348</v>
      </c>
      <c r="D1611" s="37" t="s">
        <v>2349</v>
      </c>
    </row>
    <row r="1612" spans="1:4" ht="14.25">
      <c r="A1612" s="37">
        <v>1962</v>
      </c>
      <c r="B1612" s="37" t="s">
        <v>22423</v>
      </c>
      <c r="C1612" s="37" t="s">
        <v>2348</v>
      </c>
      <c r="D1612" s="37" t="s">
        <v>2349</v>
      </c>
    </row>
    <row r="1613" spans="1:4" ht="14.25">
      <c r="A1613" s="37">
        <v>1955</v>
      </c>
      <c r="B1613" s="37" t="s">
        <v>22424</v>
      </c>
      <c r="C1613" s="37" t="s">
        <v>2348</v>
      </c>
      <c r="D1613" s="37" t="s">
        <v>2349</v>
      </c>
    </row>
    <row r="1614" spans="1:4" ht="14.25">
      <c r="A1614" s="37">
        <v>1956</v>
      </c>
      <c r="B1614" s="37" t="s">
        <v>22425</v>
      </c>
      <c r="C1614" s="37" t="s">
        <v>2348</v>
      </c>
      <c r="D1614" s="37" t="s">
        <v>2349</v>
      </c>
    </row>
    <row r="1615" spans="1:4" ht="14.25">
      <c r="A1615" s="37">
        <v>1957</v>
      </c>
      <c r="B1615" s="37" t="s">
        <v>22426</v>
      </c>
      <c r="C1615" s="37" t="s">
        <v>2348</v>
      </c>
      <c r="D1615" s="37" t="s">
        <v>2349</v>
      </c>
    </row>
    <row r="1616" spans="1:4" ht="14.25">
      <c r="A1616" s="37">
        <v>1958</v>
      </c>
      <c r="B1616" s="37" t="s">
        <v>22427</v>
      </c>
      <c r="C1616" s="37" t="s">
        <v>2348</v>
      </c>
      <c r="D1616" s="37" t="s">
        <v>2349</v>
      </c>
    </row>
    <row r="1617" spans="1:4" ht="14.25">
      <c r="A1617" s="37">
        <v>1959</v>
      </c>
      <c r="B1617" s="37" t="s">
        <v>22428</v>
      </c>
      <c r="C1617" s="37" t="s">
        <v>2348</v>
      </c>
      <c r="D1617" s="37" t="s">
        <v>2349</v>
      </c>
    </row>
    <row r="1618" spans="1:4" ht="14.25">
      <c r="A1618" s="37">
        <v>1925</v>
      </c>
      <c r="B1618" s="37" t="s">
        <v>22429</v>
      </c>
      <c r="C1618" s="37" t="s">
        <v>2348</v>
      </c>
      <c r="D1618" s="37" t="s">
        <v>2349</v>
      </c>
    </row>
    <row r="1619" spans="1:4" ht="14.25">
      <c r="A1619" s="37">
        <v>1960</v>
      </c>
      <c r="B1619" s="37" t="s">
        <v>22430</v>
      </c>
      <c r="C1619" s="37" t="s">
        <v>2348</v>
      </c>
      <c r="D1619" s="37" t="s">
        <v>2349</v>
      </c>
    </row>
    <row r="1620" spans="1:4" ht="14.25">
      <c r="A1620" s="37">
        <v>1961</v>
      </c>
      <c r="B1620" s="37" t="s">
        <v>22431</v>
      </c>
      <c r="C1620" s="37" t="s">
        <v>2348</v>
      </c>
      <c r="D1620" s="37" t="s">
        <v>2349</v>
      </c>
    </row>
    <row r="1621" spans="1:4" ht="14.25">
      <c r="A1621" s="37">
        <v>38426</v>
      </c>
      <c r="B1621" s="37" t="s">
        <v>22432</v>
      </c>
      <c r="C1621" s="37" t="s">
        <v>2348</v>
      </c>
      <c r="D1621" s="37" t="s">
        <v>2349</v>
      </c>
    </row>
    <row r="1622" spans="1:4" ht="14.25">
      <c r="A1622" s="37">
        <v>38423</v>
      </c>
      <c r="B1622" s="37" t="s">
        <v>22433</v>
      </c>
      <c r="C1622" s="37" t="s">
        <v>2348</v>
      </c>
      <c r="D1622" s="37" t="s">
        <v>2349</v>
      </c>
    </row>
    <row r="1623" spans="1:4" ht="14.25">
      <c r="A1623" s="37">
        <v>38421</v>
      </c>
      <c r="B1623" s="37" t="s">
        <v>22434</v>
      </c>
      <c r="C1623" s="37" t="s">
        <v>2348</v>
      </c>
      <c r="D1623" s="37" t="s">
        <v>2349</v>
      </c>
    </row>
    <row r="1624" spans="1:4" ht="14.25">
      <c r="A1624" s="37">
        <v>38422</v>
      </c>
      <c r="B1624" s="37" t="s">
        <v>22435</v>
      </c>
      <c r="C1624" s="37" t="s">
        <v>2348</v>
      </c>
      <c r="D1624" s="37" t="s">
        <v>2349</v>
      </c>
    </row>
    <row r="1625" spans="1:4" ht="14.25">
      <c r="A1625" s="37">
        <v>39866</v>
      </c>
      <c r="B1625" s="37" t="s">
        <v>22436</v>
      </c>
      <c r="C1625" s="37" t="s">
        <v>2348</v>
      </c>
      <c r="D1625" s="37" t="s">
        <v>2351</v>
      </c>
    </row>
    <row r="1626" spans="1:4" ht="14.25">
      <c r="A1626" s="37">
        <v>39867</v>
      </c>
      <c r="B1626" s="37" t="s">
        <v>22437</v>
      </c>
      <c r="C1626" s="37" t="s">
        <v>2348</v>
      </c>
      <c r="D1626" s="37" t="s">
        <v>2351</v>
      </c>
    </row>
    <row r="1627" spans="1:4" ht="14.25">
      <c r="A1627" s="37">
        <v>39868</v>
      </c>
      <c r="B1627" s="37" t="s">
        <v>22438</v>
      </c>
      <c r="C1627" s="37" t="s">
        <v>2348</v>
      </c>
      <c r="D1627" s="37" t="s">
        <v>2351</v>
      </c>
    </row>
    <row r="1628" spans="1:4" ht="14.25">
      <c r="A1628" s="37">
        <v>37999</v>
      </c>
      <c r="B1628" s="37" t="s">
        <v>22439</v>
      </c>
      <c r="C1628" s="37" t="s">
        <v>2348</v>
      </c>
      <c r="D1628" s="37" t="s">
        <v>2349</v>
      </c>
    </row>
    <row r="1629" spans="1:4" ht="14.25">
      <c r="A1629" s="37">
        <v>38000</v>
      </c>
      <c r="B1629" s="37" t="s">
        <v>22440</v>
      </c>
      <c r="C1629" s="37" t="s">
        <v>2348</v>
      </c>
      <c r="D1629" s="37" t="s">
        <v>2349</v>
      </c>
    </row>
    <row r="1630" spans="1:4" ht="14.25">
      <c r="A1630" s="37">
        <v>38129</v>
      </c>
      <c r="B1630" s="37" t="s">
        <v>22441</v>
      </c>
      <c r="C1630" s="37" t="s">
        <v>2348</v>
      </c>
      <c r="D1630" s="37" t="s">
        <v>2349</v>
      </c>
    </row>
    <row r="1631" spans="1:4" ht="14.25">
      <c r="A1631" s="37">
        <v>38025</v>
      </c>
      <c r="B1631" s="37" t="s">
        <v>22442</v>
      </c>
      <c r="C1631" s="37" t="s">
        <v>2348</v>
      </c>
      <c r="D1631" s="37" t="s">
        <v>2349</v>
      </c>
    </row>
    <row r="1632" spans="1:4" ht="14.25">
      <c r="A1632" s="37">
        <v>38026</v>
      </c>
      <c r="B1632" s="37" t="s">
        <v>22443</v>
      </c>
      <c r="C1632" s="37" t="s">
        <v>2348</v>
      </c>
      <c r="D1632" s="37" t="s">
        <v>2349</v>
      </c>
    </row>
    <row r="1633" spans="1:4" ht="14.25">
      <c r="A1633" s="37">
        <v>1858</v>
      </c>
      <c r="B1633" s="37" t="s">
        <v>22444</v>
      </c>
      <c r="C1633" s="37" t="s">
        <v>2348</v>
      </c>
      <c r="D1633" s="37" t="s">
        <v>2351</v>
      </c>
    </row>
    <row r="1634" spans="1:4" ht="14.25">
      <c r="A1634" s="37">
        <v>1844</v>
      </c>
      <c r="B1634" s="37" t="s">
        <v>22445</v>
      </c>
      <c r="C1634" s="37" t="s">
        <v>2348</v>
      </c>
      <c r="D1634" s="37" t="s">
        <v>2351</v>
      </c>
    </row>
    <row r="1635" spans="1:4" ht="14.25">
      <c r="A1635" s="37">
        <v>1863</v>
      </c>
      <c r="B1635" s="37" t="s">
        <v>22446</v>
      </c>
      <c r="C1635" s="37" t="s">
        <v>2348</v>
      </c>
      <c r="D1635" s="37" t="s">
        <v>2351</v>
      </c>
    </row>
    <row r="1636" spans="1:4" ht="14.25">
      <c r="A1636" s="37">
        <v>1865</v>
      </c>
      <c r="B1636" s="37" t="s">
        <v>22447</v>
      </c>
      <c r="C1636" s="37" t="s">
        <v>2348</v>
      </c>
      <c r="D1636" s="37" t="s">
        <v>2351</v>
      </c>
    </row>
    <row r="1637" spans="1:4" ht="14.25">
      <c r="A1637" s="37">
        <v>36355</v>
      </c>
      <c r="B1637" s="37" t="s">
        <v>22448</v>
      </c>
      <c r="C1637" s="37" t="s">
        <v>2348</v>
      </c>
      <c r="D1637" s="37" t="s">
        <v>2351</v>
      </c>
    </row>
    <row r="1638" spans="1:4" ht="14.25">
      <c r="A1638" s="37">
        <v>36356</v>
      </c>
      <c r="B1638" s="37" t="s">
        <v>22449</v>
      </c>
      <c r="C1638" s="37" t="s">
        <v>2348</v>
      </c>
      <c r="D1638" s="37" t="s">
        <v>2351</v>
      </c>
    </row>
    <row r="1639" spans="1:4" ht="14.25">
      <c r="A1639" s="37">
        <v>1932</v>
      </c>
      <c r="B1639" s="37" t="s">
        <v>22450</v>
      </c>
      <c r="C1639" s="37" t="s">
        <v>2348</v>
      </c>
      <c r="D1639" s="37" t="s">
        <v>2349</v>
      </c>
    </row>
    <row r="1640" spans="1:4" ht="14.25">
      <c r="A1640" s="37">
        <v>1933</v>
      </c>
      <c r="B1640" s="37" t="s">
        <v>22451</v>
      </c>
      <c r="C1640" s="37" t="s">
        <v>2348</v>
      </c>
      <c r="D1640" s="37" t="s">
        <v>2349</v>
      </c>
    </row>
    <row r="1641" spans="1:4" ht="14.25">
      <c r="A1641" s="37">
        <v>1951</v>
      </c>
      <c r="B1641" s="37" t="s">
        <v>22452</v>
      </c>
      <c r="C1641" s="37" t="s">
        <v>2348</v>
      </c>
      <c r="D1641" s="37" t="s">
        <v>2349</v>
      </c>
    </row>
    <row r="1642" spans="1:4" ht="14.25">
      <c r="A1642" s="37">
        <v>1966</v>
      </c>
      <c r="B1642" s="37" t="s">
        <v>22453</v>
      </c>
      <c r="C1642" s="37" t="s">
        <v>2348</v>
      </c>
      <c r="D1642" s="37" t="s">
        <v>2349</v>
      </c>
    </row>
    <row r="1643" spans="1:4" ht="14.25">
      <c r="A1643" s="37">
        <v>1952</v>
      </c>
      <c r="B1643" s="37" t="s">
        <v>22454</v>
      </c>
      <c r="C1643" s="37" t="s">
        <v>2348</v>
      </c>
      <c r="D1643" s="37" t="s">
        <v>2349</v>
      </c>
    </row>
    <row r="1644" spans="1:4" ht="14.25">
      <c r="A1644" s="37">
        <v>20104</v>
      </c>
      <c r="B1644" s="37" t="s">
        <v>22455</v>
      </c>
      <c r="C1644" s="37" t="s">
        <v>2348</v>
      </c>
      <c r="D1644" s="37" t="s">
        <v>2349</v>
      </c>
    </row>
    <row r="1645" spans="1:4" ht="14.25">
      <c r="A1645" s="37">
        <v>20105</v>
      </c>
      <c r="B1645" s="37" t="s">
        <v>22456</v>
      </c>
      <c r="C1645" s="37" t="s">
        <v>2348</v>
      </c>
      <c r="D1645" s="37" t="s">
        <v>2349</v>
      </c>
    </row>
    <row r="1646" spans="1:4" ht="14.25">
      <c r="A1646" s="37">
        <v>1965</v>
      </c>
      <c r="B1646" s="37" t="s">
        <v>22457</v>
      </c>
      <c r="C1646" s="37" t="s">
        <v>2348</v>
      </c>
      <c r="D1646" s="37" t="s">
        <v>2349</v>
      </c>
    </row>
    <row r="1647" spans="1:4" ht="14.25">
      <c r="A1647" s="37">
        <v>10765</v>
      </c>
      <c r="B1647" s="37" t="s">
        <v>22458</v>
      </c>
      <c r="C1647" s="37" t="s">
        <v>2348</v>
      </c>
      <c r="D1647" s="37" t="s">
        <v>2349</v>
      </c>
    </row>
    <row r="1648" spans="1:4" ht="14.25">
      <c r="A1648" s="37">
        <v>10767</v>
      </c>
      <c r="B1648" s="37" t="s">
        <v>22459</v>
      </c>
      <c r="C1648" s="37" t="s">
        <v>2348</v>
      </c>
      <c r="D1648" s="37" t="s">
        <v>2349</v>
      </c>
    </row>
    <row r="1649" spans="1:4" ht="14.25">
      <c r="A1649" s="37">
        <v>1970</v>
      </c>
      <c r="B1649" s="37" t="s">
        <v>22460</v>
      </c>
      <c r="C1649" s="37" t="s">
        <v>2348</v>
      </c>
      <c r="D1649" s="37" t="s">
        <v>2349</v>
      </c>
    </row>
    <row r="1650" spans="1:4" ht="14.25">
      <c r="A1650" s="37">
        <v>1967</v>
      </c>
      <c r="B1650" s="37" t="s">
        <v>22461</v>
      </c>
      <c r="C1650" s="37" t="s">
        <v>2348</v>
      </c>
      <c r="D1650" s="37" t="s">
        <v>2349</v>
      </c>
    </row>
    <row r="1651" spans="1:4" ht="14.25">
      <c r="A1651" s="37">
        <v>1968</v>
      </c>
      <c r="B1651" s="37" t="s">
        <v>22462</v>
      </c>
      <c r="C1651" s="37" t="s">
        <v>2348</v>
      </c>
      <c r="D1651" s="37" t="s">
        <v>2349</v>
      </c>
    </row>
    <row r="1652" spans="1:4" ht="14.25">
      <c r="A1652" s="37">
        <v>1969</v>
      </c>
      <c r="B1652" s="37" t="s">
        <v>22463</v>
      </c>
      <c r="C1652" s="37" t="s">
        <v>2348</v>
      </c>
      <c r="D1652" s="37" t="s">
        <v>2349</v>
      </c>
    </row>
    <row r="1653" spans="1:4" ht="14.25">
      <c r="A1653" s="37">
        <v>1839</v>
      </c>
      <c r="B1653" s="37" t="s">
        <v>22464</v>
      </c>
      <c r="C1653" s="37" t="s">
        <v>2348</v>
      </c>
      <c r="D1653" s="37" t="s">
        <v>2351</v>
      </c>
    </row>
    <row r="1654" spans="1:4" ht="14.25">
      <c r="A1654" s="37">
        <v>1835</v>
      </c>
      <c r="B1654" s="37" t="s">
        <v>22465</v>
      </c>
      <c r="C1654" s="37" t="s">
        <v>2348</v>
      </c>
      <c r="D1654" s="37" t="s">
        <v>2351</v>
      </c>
    </row>
    <row r="1655" spans="1:4" ht="14.25">
      <c r="A1655" s="37">
        <v>1823</v>
      </c>
      <c r="B1655" s="37" t="s">
        <v>22466</v>
      </c>
      <c r="C1655" s="37" t="s">
        <v>2348</v>
      </c>
      <c r="D1655" s="37" t="s">
        <v>2351</v>
      </c>
    </row>
    <row r="1656" spans="1:4" ht="14.25">
      <c r="A1656" s="37">
        <v>1827</v>
      </c>
      <c r="B1656" s="37" t="s">
        <v>22467</v>
      </c>
      <c r="C1656" s="37" t="s">
        <v>2348</v>
      </c>
      <c r="D1656" s="37" t="s">
        <v>2351</v>
      </c>
    </row>
    <row r="1657" spans="1:4" ht="14.25">
      <c r="A1657" s="37">
        <v>1831</v>
      </c>
      <c r="B1657" s="37" t="s">
        <v>22468</v>
      </c>
      <c r="C1657" s="37" t="s">
        <v>2348</v>
      </c>
      <c r="D1657" s="37" t="s">
        <v>2351</v>
      </c>
    </row>
    <row r="1658" spans="1:4" ht="14.25">
      <c r="A1658" s="37">
        <v>1825</v>
      </c>
      <c r="B1658" s="37" t="s">
        <v>22469</v>
      </c>
      <c r="C1658" s="37" t="s">
        <v>2348</v>
      </c>
      <c r="D1658" s="37" t="s">
        <v>2351</v>
      </c>
    </row>
    <row r="1659" spans="1:4" ht="14.25">
      <c r="A1659" s="37">
        <v>1828</v>
      </c>
      <c r="B1659" s="37" t="s">
        <v>22470</v>
      </c>
      <c r="C1659" s="37" t="s">
        <v>2348</v>
      </c>
      <c r="D1659" s="37" t="s">
        <v>2351</v>
      </c>
    </row>
    <row r="1660" spans="1:4" ht="14.25">
      <c r="A1660" s="37">
        <v>1845</v>
      </c>
      <c r="B1660" s="37" t="s">
        <v>22471</v>
      </c>
      <c r="C1660" s="37" t="s">
        <v>2348</v>
      </c>
      <c r="D1660" s="37" t="s">
        <v>2351</v>
      </c>
    </row>
    <row r="1661" spans="1:4" ht="14.25">
      <c r="A1661" s="37">
        <v>1824</v>
      </c>
      <c r="B1661" s="37" t="s">
        <v>22472</v>
      </c>
      <c r="C1661" s="37" t="s">
        <v>2348</v>
      </c>
      <c r="D1661" s="37" t="s">
        <v>2351</v>
      </c>
    </row>
    <row r="1662" spans="1:4" ht="14.25">
      <c r="A1662" s="37">
        <v>1941</v>
      </c>
      <c r="B1662" s="37" t="s">
        <v>22473</v>
      </c>
      <c r="C1662" s="37" t="s">
        <v>2348</v>
      </c>
      <c r="D1662" s="37" t="s">
        <v>2349</v>
      </c>
    </row>
    <row r="1663" spans="1:4" ht="14.25">
      <c r="A1663" s="37">
        <v>1940</v>
      </c>
      <c r="B1663" s="37" t="s">
        <v>22474</v>
      </c>
      <c r="C1663" s="37" t="s">
        <v>2348</v>
      </c>
      <c r="D1663" s="37" t="s">
        <v>2349</v>
      </c>
    </row>
    <row r="1664" spans="1:4" ht="14.25">
      <c r="A1664" s="37">
        <v>1937</v>
      </c>
      <c r="B1664" s="37" t="s">
        <v>22475</v>
      </c>
      <c r="C1664" s="37" t="s">
        <v>2348</v>
      </c>
      <c r="D1664" s="37" t="s">
        <v>2349</v>
      </c>
    </row>
    <row r="1665" spans="1:4" ht="14.25">
      <c r="A1665" s="37">
        <v>1939</v>
      </c>
      <c r="B1665" s="37" t="s">
        <v>22476</v>
      </c>
      <c r="C1665" s="37" t="s">
        <v>2348</v>
      </c>
      <c r="D1665" s="37" t="s">
        <v>2349</v>
      </c>
    </row>
    <row r="1666" spans="1:4" ht="14.25">
      <c r="A1666" s="37">
        <v>1942</v>
      </c>
      <c r="B1666" s="37" t="s">
        <v>22477</v>
      </c>
      <c r="C1666" s="37" t="s">
        <v>2348</v>
      </c>
      <c r="D1666" s="37" t="s">
        <v>2349</v>
      </c>
    </row>
    <row r="1667" spans="1:4" ht="14.25">
      <c r="A1667" s="37">
        <v>1938</v>
      </c>
      <c r="B1667" s="37" t="s">
        <v>22478</v>
      </c>
      <c r="C1667" s="37" t="s">
        <v>2348</v>
      </c>
      <c r="D1667" s="37" t="s">
        <v>2349</v>
      </c>
    </row>
    <row r="1668" spans="1:4" ht="14.25">
      <c r="A1668" s="37">
        <v>42692</v>
      </c>
      <c r="B1668" s="37" t="s">
        <v>22479</v>
      </c>
      <c r="C1668" s="37" t="s">
        <v>2348</v>
      </c>
      <c r="D1668" s="37" t="s">
        <v>2351</v>
      </c>
    </row>
    <row r="1669" spans="1:4" ht="14.25">
      <c r="A1669" s="37">
        <v>42693</v>
      </c>
      <c r="B1669" s="37" t="s">
        <v>22480</v>
      </c>
      <c r="C1669" s="37" t="s">
        <v>2348</v>
      </c>
      <c r="D1669" s="37" t="s">
        <v>2351</v>
      </c>
    </row>
    <row r="1670" spans="1:4" ht="14.25">
      <c r="A1670" s="37">
        <v>42695</v>
      </c>
      <c r="B1670" s="37" t="s">
        <v>22481</v>
      </c>
      <c r="C1670" s="37" t="s">
        <v>2348</v>
      </c>
      <c r="D1670" s="37" t="s">
        <v>2351</v>
      </c>
    </row>
    <row r="1671" spans="1:4" ht="14.25">
      <c r="A1671" s="37">
        <v>42694</v>
      </c>
      <c r="B1671" s="37" t="s">
        <v>22482</v>
      </c>
      <c r="C1671" s="37" t="s">
        <v>2348</v>
      </c>
      <c r="D1671" s="37" t="s">
        <v>2351</v>
      </c>
    </row>
    <row r="1672" spans="1:4" ht="14.25">
      <c r="A1672" s="37">
        <v>20097</v>
      </c>
      <c r="B1672" s="37" t="s">
        <v>22483</v>
      </c>
      <c r="C1672" s="37" t="s">
        <v>2348</v>
      </c>
      <c r="D1672" s="37" t="s">
        <v>2349</v>
      </c>
    </row>
    <row r="1673" spans="1:4" ht="14.25">
      <c r="A1673" s="37">
        <v>20098</v>
      </c>
      <c r="B1673" s="37" t="s">
        <v>22484</v>
      </c>
      <c r="C1673" s="37" t="s">
        <v>2348</v>
      </c>
      <c r="D1673" s="37" t="s">
        <v>2349</v>
      </c>
    </row>
    <row r="1674" spans="1:4" ht="14.25">
      <c r="A1674" s="37">
        <v>20096</v>
      </c>
      <c r="B1674" s="37" t="s">
        <v>22485</v>
      </c>
      <c r="C1674" s="37" t="s">
        <v>2348</v>
      </c>
      <c r="D1674" s="37" t="s">
        <v>2349</v>
      </c>
    </row>
    <row r="1675" spans="1:4" ht="14.25">
      <c r="A1675" s="37">
        <v>1964</v>
      </c>
      <c r="B1675" s="37" t="s">
        <v>22486</v>
      </c>
      <c r="C1675" s="37" t="s">
        <v>2348</v>
      </c>
      <c r="D1675" s="37" t="s">
        <v>2349</v>
      </c>
    </row>
    <row r="1676" spans="1:4" ht="14.25">
      <c r="A1676" s="37">
        <v>1880</v>
      </c>
      <c r="B1676" s="37" t="s">
        <v>22487</v>
      </c>
      <c r="C1676" s="37" t="s">
        <v>2348</v>
      </c>
      <c r="D1676" s="37" t="s">
        <v>2349</v>
      </c>
    </row>
    <row r="1677" spans="1:4" ht="14.25">
      <c r="A1677" s="37">
        <v>39274</v>
      </c>
      <c r="B1677" s="37" t="s">
        <v>22488</v>
      </c>
      <c r="C1677" s="37" t="s">
        <v>2348</v>
      </c>
      <c r="D1677" s="37" t="s">
        <v>2349</v>
      </c>
    </row>
    <row r="1678" spans="1:4" ht="14.25">
      <c r="A1678" s="37">
        <v>2628</v>
      </c>
      <c r="B1678" s="37" t="s">
        <v>22489</v>
      </c>
      <c r="C1678" s="37" t="s">
        <v>2348</v>
      </c>
      <c r="D1678" s="37" t="s">
        <v>2351</v>
      </c>
    </row>
    <row r="1679" spans="1:4" ht="14.25">
      <c r="A1679" s="37">
        <v>2622</v>
      </c>
      <c r="B1679" s="37" t="s">
        <v>22490</v>
      </c>
      <c r="C1679" s="37" t="s">
        <v>2348</v>
      </c>
      <c r="D1679" s="37" t="s">
        <v>2351</v>
      </c>
    </row>
    <row r="1680" spans="1:4" ht="14.25">
      <c r="A1680" s="37">
        <v>2623</v>
      </c>
      <c r="B1680" s="37" t="s">
        <v>22491</v>
      </c>
      <c r="C1680" s="37" t="s">
        <v>2348</v>
      </c>
      <c r="D1680" s="37" t="s">
        <v>2351</v>
      </c>
    </row>
    <row r="1681" spans="1:4" ht="14.25">
      <c r="A1681" s="37">
        <v>2624</v>
      </c>
      <c r="B1681" s="37" t="s">
        <v>22492</v>
      </c>
      <c r="C1681" s="37" t="s">
        <v>2348</v>
      </c>
      <c r="D1681" s="37" t="s">
        <v>2351</v>
      </c>
    </row>
    <row r="1682" spans="1:4" ht="14.25">
      <c r="A1682" s="37">
        <v>2625</v>
      </c>
      <c r="B1682" s="37" t="s">
        <v>22493</v>
      </c>
      <c r="C1682" s="37" t="s">
        <v>2348</v>
      </c>
      <c r="D1682" s="37" t="s">
        <v>2351</v>
      </c>
    </row>
    <row r="1683" spans="1:4" ht="14.25">
      <c r="A1683" s="37">
        <v>2626</v>
      </c>
      <c r="B1683" s="37" t="s">
        <v>22494</v>
      </c>
      <c r="C1683" s="37" t="s">
        <v>2348</v>
      </c>
      <c r="D1683" s="37" t="s">
        <v>2351</v>
      </c>
    </row>
    <row r="1684" spans="1:4" ht="14.25">
      <c r="A1684" s="37">
        <v>2630</v>
      </c>
      <c r="B1684" s="37" t="s">
        <v>22495</v>
      </c>
      <c r="C1684" s="37" t="s">
        <v>2348</v>
      </c>
      <c r="D1684" s="37" t="s">
        <v>2351</v>
      </c>
    </row>
    <row r="1685" spans="1:4" ht="14.25">
      <c r="A1685" s="37">
        <v>2627</v>
      </c>
      <c r="B1685" s="37" t="s">
        <v>22496</v>
      </c>
      <c r="C1685" s="37" t="s">
        <v>2348</v>
      </c>
      <c r="D1685" s="37" t="s">
        <v>2351</v>
      </c>
    </row>
    <row r="1686" spans="1:4" ht="14.25">
      <c r="A1686" s="37">
        <v>2629</v>
      </c>
      <c r="B1686" s="37" t="s">
        <v>22497</v>
      </c>
      <c r="C1686" s="37" t="s">
        <v>2348</v>
      </c>
      <c r="D1686" s="37" t="s">
        <v>2351</v>
      </c>
    </row>
    <row r="1687" spans="1:4" ht="14.25">
      <c r="A1687" s="37">
        <v>12033</v>
      </c>
      <c r="B1687" s="37" t="s">
        <v>22498</v>
      </c>
      <c r="C1687" s="37" t="s">
        <v>2348</v>
      </c>
      <c r="D1687" s="37" t="s">
        <v>2349</v>
      </c>
    </row>
    <row r="1688" spans="1:4" ht="14.25">
      <c r="A1688" s="37">
        <v>40408</v>
      </c>
      <c r="B1688" s="37" t="s">
        <v>22499</v>
      </c>
      <c r="C1688" s="37" t="s">
        <v>2348</v>
      </c>
      <c r="D1688" s="37" t="s">
        <v>2349</v>
      </c>
    </row>
    <row r="1689" spans="1:4" ht="14.25">
      <c r="A1689" s="37">
        <v>40409</v>
      </c>
      <c r="B1689" s="37" t="s">
        <v>22500</v>
      </c>
      <c r="C1689" s="37" t="s">
        <v>2348</v>
      </c>
      <c r="D1689" s="37" t="s">
        <v>2349</v>
      </c>
    </row>
    <row r="1690" spans="1:4" ht="14.25">
      <c r="A1690" s="37">
        <v>39276</v>
      </c>
      <c r="B1690" s="37" t="s">
        <v>22501</v>
      </c>
      <c r="C1690" s="37" t="s">
        <v>2348</v>
      </c>
      <c r="D1690" s="37" t="s">
        <v>2349</v>
      </c>
    </row>
    <row r="1691" spans="1:4" ht="14.25">
      <c r="A1691" s="37">
        <v>39277</v>
      </c>
      <c r="B1691" s="37" t="s">
        <v>22502</v>
      </c>
      <c r="C1691" s="37" t="s">
        <v>2348</v>
      </c>
      <c r="D1691" s="37" t="s">
        <v>2349</v>
      </c>
    </row>
    <row r="1692" spans="1:4" ht="14.25">
      <c r="A1692" s="37">
        <v>12034</v>
      </c>
      <c r="B1692" s="37" t="s">
        <v>22503</v>
      </c>
      <c r="C1692" s="37" t="s">
        <v>2348</v>
      </c>
      <c r="D1692" s="37" t="s">
        <v>2349</v>
      </c>
    </row>
    <row r="1693" spans="1:4" ht="14.25">
      <c r="A1693" s="37">
        <v>39879</v>
      </c>
      <c r="B1693" s="37" t="s">
        <v>22504</v>
      </c>
      <c r="C1693" s="37" t="s">
        <v>2348</v>
      </c>
      <c r="D1693" s="37" t="s">
        <v>2351</v>
      </c>
    </row>
    <row r="1694" spans="1:4" ht="14.25">
      <c r="A1694" s="37">
        <v>39880</v>
      </c>
      <c r="B1694" s="37" t="s">
        <v>22505</v>
      </c>
      <c r="C1694" s="37" t="s">
        <v>2348</v>
      </c>
      <c r="D1694" s="37" t="s">
        <v>2351</v>
      </c>
    </row>
    <row r="1695" spans="1:4" ht="14.25">
      <c r="A1695" s="37">
        <v>39881</v>
      </c>
      <c r="B1695" s="37" t="s">
        <v>22506</v>
      </c>
      <c r="C1695" s="37" t="s">
        <v>2348</v>
      </c>
      <c r="D1695" s="37" t="s">
        <v>2351</v>
      </c>
    </row>
    <row r="1696" spans="1:4" ht="14.25">
      <c r="A1696" s="37">
        <v>39882</v>
      </c>
      <c r="B1696" s="37" t="s">
        <v>22507</v>
      </c>
      <c r="C1696" s="37" t="s">
        <v>2348</v>
      </c>
      <c r="D1696" s="37" t="s">
        <v>2351</v>
      </c>
    </row>
    <row r="1697" spans="1:4" ht="14.25">
      <c r="A1697" s="37">
        <v>39883</v>
      </c>
      <c r="B1697" s="37" t="s">
        <v>22508</v>
      </c>
      <c r="C1697" s="37" t="s">
        <v>2348</v>
      </c>
      <c r="D1697" s="37" t="s">
        <v>2351</v>
      </c>
    </row>
    <row r="1698" spans="1:4" ht="14.25">
      <c r="A1698" s="37">
        <v>39884</v>
      </c>
      <c r="B1698" s="37" t="s">
        <v>22509</v>
      </c>
      <c r="C1698" s="37" t="s">
        <v>2348</v>
      </c>
      <c r="D1698" s="37" t="s">
        <v>2351</v>
      </c>
    </row>
    <row r="1699" spans="1:4" ht="14.25">
      <c r="A1699" s="37">
        <v>39885</v>
      </c>
      <c r="B1699" s="37" t="s">
        <v>22510</v>
      </c>
      <c r="C1699" s="37" t="s">
        <v>2348</v>
      </c>
      <c r="D1699" s="37" t="s">
        <v>2351</v>
      </c>
    </row>
    <row r="1700" spans="1:4" ht="14.25">
      <c r="A1700" s="37">
        <v>1777</v>
      </c>
      <c r="B1700" s="37" t="s">
        <v>22511</v>
      </c>
      <c r="C1700" s="37" t="s">
        <v>2348</v>
      </c>
      <c r="D1700" s="37" t="s">
        <v>2351</v>
      </c>
    </row>
    <row r="1701" spans="1:4" ht="14.25">
      <c r="A1701" s="37">
        <v>1819</v>
      </c>
      <c r="B1701" s="37" t="s">
        <v>22512</v>
      </c>
      <c r="C1701" s="37" t="s">
        <v>2348</v>
      </c>
      <c r="D1701" s="37" t="s">
        <v>2351</v>
      </c>
    </row>
    <row r="1702" spans="1:4" ht="14.25">
      <c r="A1702" s="37">
        <v>1775</v>
      </c>
      <c r="B1702" s="37" t="s">
        <v>22513</v>
      </c>
      <c r="C1702" s="37" t="s">
        <v>2348</v>
      </c>
      <c r="D1702" s="37" t="s">
        <v>2351</v>
      </c>
    </row>
    <row r="1703" spans="1:4" ht="14.25">
      <c r="A1703" s="37">
        <v>1776</v>
      </c>
      <c r="B1703" s="37" t="s">
        <v>22514</v>
      </c>
      <c r="C1703" s="37" t="s">
        <v>2348</v>
      </c>
      <c r="D1703" s="37" t="s">
        <v>2351</v>
      </c>
    </row>
    <row r="1704" spans="1:4" ht="14.25">
      <c r="A1704" s="37">
        <v>1778</v>
      </c>
      <c r="B1704" s="37" t="s">
        <v>22515</v>
      </c>
      <c r="C1704" s="37" t="s">
        <v>2348</v>
      </c>
      <c r="D1704" s="37" t="s">
        <v>2351</v>
      </c>
    </row>
    <row r="1705" spans="1:4" ht="14.25">
      <c r="A1705" s="37">
        <v>1818</v>
      </c>
      <c r="B1705" s="37" t="s">
        <v>22516</v>
      </c>
      <c r="C1705" s="37" t="s">
        <v>2348</v>
      </c>
      <c r="D1705" s="37" t="s">
        <v>2351</v>
      </c>
    </row>
    <row r="1706" spans="1:4" ht="14.25">
      <c r="A1706" s="37">
        <v>1820</v>
      </c>
      <c r="B1706" s="37" t="s">
        <v>22517</v>
      </c>
      <c r="C1706" s="37" t="s">
        <v>2348</v>
      </c>
      <c r="D1706" s="37" t="s">
        <v>2351</v>
      </c>
    </row>
    <row r="1707" spans="1:4" ht="14.25">
      <c r="A1707" s="37">
        <v>1779</v>
      </c>
      <c r="B1707" s="37" t="s">
        <v>22518</v>
      </c>
      <c r="C1707" s="37" t="s">
        <v>2348</v>
      </c>
      <c r="D1707" s="37" t="s">
        <v>2351</v>
      </c>
    </row>
    <row r="1708" spans="1:4" ht="14.25">
      <c r="A1708" s="37">
        <v>1780</v>
      </c>
      <c r="B1708" s="37" t="s">
        <v>22519</v>
      </c>
      <c r="C1708" s="37" t="s">
        <v>2348</v>
      </c>
      <c r="D1708" s="37" t="s">
        <v>2351</v>
      </c>
    </row>
    <row r="1709" spans="1:4" ht="14.25">
      <c r="A1709" s="37">
        <v>1783</v>
      </c>
      <c r="B1709" s="37" t="s">
        <v>22520</v>
      </c>
      <c r="C1709" s="37" t="s">
        <v>2348</v>
      </c>
      <c r="D1709" s="37" t="s">
        <v>2351</v>
      </c>
    </row>
    <row r="1710" spans="1:4" ht="14.25">
      <c r="A1710" s="37">
        <v>1782</v>
      </c>
      <c r="B1710" s="37" t="s">
        <v>22521</v>
      </c>
      <c r="C1710" s="37" t="s">
        <v>2348</v>
      </c>
      <c r="D1710" s="37" t="s">
        <v>2351</v>
      </c>
    </row>
    <row r="1711" spans="1:4" ht="14.25">
      <c r="A1711" s="37">
        <v>1817</v>
      </c>
      <c r="B1711" s="37" t="s">
        <v>22522</v>
      </c>
      <c r="C1711" s="37" t="s">
        <v>2348</v>
      </c>
      <c r="D1711" s="37" t="s">
        <v>2351</v>
      </c>
    </row>
    <row r="1712" spans="1:4" ht="14.25">
      <c r="A1712" s="37">
        <v>1781</v>
      </c>
      <c r="B1712" s="37" t="s">
        <v>22523</v>
      </c>
      <c r="C1712" s="37" t="s">
        <v>2348</v>
      </c>
      <c r="D1712" s="37" t="s">
        <v>2351</v>
      </c>
    </row>
    <row r="1713" spans="1:4" ht="14.25">
      <c r="A1713" s="37">
        <v>1784</v>
      </c>
      <c r="B1713" s="37" t="s">
        <v>22524</v>
      </c>
      <c r="C1713" s="37" t="s">
        <v>2348</v>
      </c>
      <c r="D1713" s="37" t="s">
        <v>2351</v>
      </c>
    </row>
    <row r="1714" spans="1:4" ht="14.25">
      <c r="A1714" s="37">
        <v>1810</v>
      </c>
      <c r="B1714" s="37" t="s">
        <v>22525</v>
      </c>
      <c r="C1714" s="37" t="s">
        <v>2348</v>
      </c>
      <c r="D1714" s="37" t="s">
        <v>2351</v>
      </c>
    </row>
    <row r="1715" spans="1:4" ht="14.25">
      <c r="A1715" s="37">
        <v>1811</v>
      </c>
      <c r="B1715" s="37" t="s">
        <v>22526</v>
      </c>
      <c r="C1715" s="37" t="s">
        <v>2348</v>
      </c>
      <c r="D1715" s="37" t="s">
        <v>2351</v>
      </c>
    </row>
    <row r="1716" spans="1:4" ht="14.25">
      <c r="A1716" s="37">
        <v>1812</v>
      </c>
      <c r="B1716" s="37" t="s">
        <v>22527</v>
      </c>
      <c r="C1716" s="37" t="s">
        <v>2348</v>
      </c>
      <c r="D1716" s="37" t="s">
        <v>2351</v>
      </c>
    </row>
    <row r="1717" spans="1:4" ht="14.25">
      <c r="A1717" s="37">
        <v>40386</v>
      </c>
      <c r="B1717" s="37" t="s">
        <v>22528</v>
      </c>
      <c r="C1717" s="37" t="s">
        <v>2348</v>
      </c>
      <c r="D1717" s="37" t="s">
        <v>2349</v>
      </c>
    </row>
    <row r="1718" spans="1:4" ht="14.25">
      <c r="A1718" s="37">
        <v>40384</v>
      </c>
      <c r="B1718" s="37" t="s">
        <v>22529</v>
      </c>
      <c r="C1718" s="37" t="s">
        <v>2348</v>
      </c>
      <c r="D1718" s="37" t="s">
        <v>2349</v>
      </c>
    </row>
    <row r="1719" spans="1:4" ht="14.25">
      <c r="A1719" s="37">
        <v>40379</v>
      </c>
      <c r="B1719" s="37" t="s">
        <v>22530</v>
      </c>
      <c r="C1719" s="37" t="s">
        <v>2348</v>
      </c>
      <c r="D1719" s="37" t="s">
        <v>2349</v>
      </c>
    </row>
    <row r="1720" spans="1:4" ht="14.25">
      <c r="A1720" s="37">
        <v>40423</v>
      </c>
      <c r="B1720" s="37" t="s">
        <v>22531</v>
      </c>
      <c r="C1720" s="37" t="s">
        <v>2348</v>
      </c>
      <c r="D1720" s="37" t="s">
        <v>2349</v>
      </c>
    </row>
    <row r="1721" spans="1:4" ht="14.25">
      <c r="A1721" s="37">
        <v>40389</v>
      </c>
      <c r="B1721" s="37" t="s">
        <v>22532</v>
      </c>
      <c r="C1721" s="37" t="s">
        <v>2348</v>
      </c>
      <c r="D1721" s="37" t="s">
        <v>2349</v>
      </c>
    </row>
    <row r="1722" spans="1:4" ht="14.25">
      <c r="A1722" s="37">
        <v>40388</v>
      </c>
      <c r="B1722" s="37" t="s">
        <v>22533</v>
      </c>
      <c r="C1722" s="37" t="s">
        <v>2348</v>
      </c>
      <c r="D1722" s="37" t="s">
        <v>2349</v>
      </c>
    </row>
    <row r="1723" spans="1:4" ht="14.25">
      <c r="A1723" s="37">
        <v>40381</v>
      </c>
      <c r="B1723" s="37" t="s">
        <v>22534</v>
      </c>
      <c r="C1723" s="37" t="s">
        <v>2348</v>
      </c>
      <c r="D1723" s="37" t="s">
        <v>2349</v>
      </c>
    </row>
    <row r="1724" spans="1:4" ht="14.25">
      <c r="A1724" s="37">
        <v>40391</v>
      </c>
      <c r="B1724" s="37" t="s">
        <v>22535</v>
      </c>
      <c r="C1724" s="37" t="s">
        <v>2348</v>
      </c>
      <c r="D1724" s="37" t="s">
        <v>2349</v>
      </c>
    </row>
    <row r="1725" spans="1:4" ht="14.25">
      <c r="A1725" s="37">
        <v>40414</v>
      </c>
      <c r="B1725" s="37" t="s">
        <v>22536</v>
      </c>
      <c r="C1725" s="37" t="s">
        <v>2348</v>
      </c>
      <c r="D1725" s="37" t="s">
        <v>2351</v>
      </c>
    </row>
    <row r="1726" spans="1:4" ht="14.25">
      <c r="A1726" s="37">
        <v>40416</v>
      </c>
      <c r="B1726" s="37" t="s">
        <v>22537</v>
      </c>
      <c r="C1726" s="37" t="s">
        <v>2348</v>
      </c>
      <c r="D1726" s="37" t="s">
        <v>2351</v>
      </c>
    </row>
    <row r="1727" spans="1:4" ht="14.25">
      <c r="A1727" s="37">
        <v>40418</v>
      </c>
      <c r="B1727" s="37" t="s">
        <v>22538</v>
      </c>
      <c r="C1727" s="37" t="s">
        <v>2348</v>
      </c>
      <c r="D1727" s="37" t="s">
        <v>2351</v>
      </c>
    </row>
    <row r="1728" spans="1:4" ht="14.25">
      <c r="A1728" s="37">
        <v>2609</v>
      </c>
      <c r="B1728" s="37" t="s">
        <v>22539</v>
      </c>
      <c r="C1728" s="37" t="s">
        <v>2348</v>
      </c>
      <c r="D1728" s="37" t="s">
        <v>2351</v>
      </c>
    </row>
    <row r="1729" spans="1:4" ht="14.25">
      <c r="A1729" s="37">
        <v>2634</v>
      </c>
      <c r="B1729" s="37" t="s">
        <v>22540</v>
      </c>
      <c r="C1729" s="37" t="s">
        <v>2348</v>
      </c>
      <c r="D1729" s="37" t="s">
        <v>2351</v>
      </c>
    </row>
    <row r="1730" spans="1:4" ht="14.25">
      <c r="A1730" s="37">
        <v>2611</v>
      </c>
      <c r="B1730" s="37" t="s">
        <v>22541</v>
      </c>
      <c r="C1730" s="37" t="s">
        <v>2348</v>
      </c>
      <c r="D1730" s="37" t="s">
        <v>2351</v>
      </c>
    </row>
    <row r="1731" spans="1:4" ht="14.25">
      <c r="A1731" s="37">
        <v>34359</v>
      </c>
      <c r="B1731" s="37" t="s">
        <v>22542</v>
      </c>
      <c r="C1731" s="37" t="s">
        <v>2348</v>
      </c>
      <c r="D1731" s="37" t="s">
        <v>2351</v>
      </c>
    </row>
    <row r="1732" spans="1:4" ht="14.25">
      <c r="A1732" s="37">
        <v>1789</v>
      </c>
      <c r="B1732" s="37" t="s">
        <v>22543</v>
      </c>
      <c r="C1732" s="37" t="s">
        <v>2348</v>
      </c>
      <c r="D1732" s="37" t="s">
        <v>2351</v>
      </c>
    </row>
    <row r="1733" spans="1:4" ht="14.25">
      <c r="A1733" s="37">
        <v>1788</v>
      </c>
      <c r="B1733" s="37" t="s">
        <v>22544</v>
      </c>
      <c r="C1733" s="37" t="s">
        <v>2348</v>
      </c>
      <c r="D1733" s="37" t="s">
        <v>2351</v>
      </c>
    </row>
    <row r="1734" spans="1:4" ht="14.25">
      <c r="A1734" s="37">
        <v>1786</v>
      </c>
      <c r="B1734" s="37" t="s">
        <v>22545</v>
      </c>
      <c r="C1734" s="37" t="s">
        <v>2348</v>
      </c>
      <c r="D1734" s="37" t="s">
        <v>2351</v>
      </c>
    </row>
    <row r="1735" spans="1:4" ht="14.25">
      <c r="A1735" s="37">
        <v>1787</v>
      </c>
      <c r="B1735" s="37" t="s">
        <v>22546</v>
      </c>
      <c r="C1735" s="37" t="s">
        <v>2348</v>
      </c>
      <c r="D1735" s="37" t="s">
        <v>2351</v>
      </c>
    </row>
    <row r="1736" spans="1:4" ht="14.25">
      <c r="A1736" s="37">
        <v>1791</v>
      </c>
      <c r="B1736" s="37" t="s">
        <v>22547</v>
      </c>
      <c r="C1736" s="37" t="s">
        <v>2348</v>
      </c>
      <c r="D1736" s="37" t="s">
        <v>2351</v>
      </c>
    </row>
    <row r="1737" spans="1:4" ht="14.25">
      <c r="A1737" s="37">
        <v>1790</v>
      </c>
      <c r="B1737" s="37" t="s">
        <v>22548</v>
      </c>
      <c r="C1737" s="37" t="s">
        <v>2348</v>
      </c>
      <c r="D1737" s="37" t="s">
        <v>2351</v>
      </c>
    </row>
    <row r="1738" spans="1:4" ht="14.25">
      <c r="A1738" s="37">
        <v>1813</v>
      </c>
      <c r="B1738" s="37" t="s">
        <v>22549</v>
      </c>
      <c r="C1738" s="37" t="s">
        <v>2348</v>
      </c>
      <c r="D1738" s="37" t="s">
        <v>2351</v>
      </c>
    </row>
    <row r="1739" spans="1:4" ht="14.25">
      <c r="A1739" s="37">
        <v>1792</v>
      </c>
      <c r="B1739" s="37" t="s">
        <v>22550</v>
      </c>
      <c r="C1739" s="37" t="s">
        <v>2348</v>
      </c>
      <c r="D1739" s="37" t="s">
        <v>2351</v>
      </c>
    </row>
    <row r="1740" spans="1:4" ht="14.25">
      <c r="A1740" s="37">
        <v>1793</v>
      </c>
      <c r="B1740" s="37" t="s">
        <v>22551</v>
      </c>
      <c r="C1740" s="37" t="s">
        <v>2348</v>
      </c>
      <c r="D1740" s="37" t="s">
        <v>2351</v>
      </c>
    </row>
    <row r="1741" spans="1:4" ht="14.25">
      <c r="A1741" s="37">
        <v>1809</v>
      </c>
      <c r="B1741" s="37" t="s">
        <v>22552</v>
      </c>
      <c r="C1741" s="37" t="s">
        <v>2348</v>
      </c>
      <c r="D1741" s="37" t="s">
        <v>2351</v>
      </c>
    </row>
    <row r="1742" spans="1:4" ht="14.25">
      <c r="A1742" s="37">
        <v>1814</v>
      </c>
      <c r="B1742" s="37" t="s">
        <v>22553</v>
      </c>
      <c r="C1742" s="37" t="s">
        <v>2348</v>
      </c>
      <c r="D1742" s="37" t="s">
        <v>2351</v>
      </c>
    </row>
    <row r="1743" spans="1:4" ht="14.25">
      <c r="A1743" s="37">
        <v>1803</v>
      </c>
      <c r="B1743" s="37" t="s">
        <v>22554</v>
      </c>
      <c r="C1743" s="37" t="s">
        <v>2348</v>
      </c>
      <c r="D1743" s="37" t="s">
        <v>2351</v>
      </c>
    </row>
    <row r="1744" spans="1:4" ht="14.25">
      <c r="A1744" s="37">
        <v>1805</v>
      </c>
      <c r="B1744" s="37" t="s">
        <v>22555</v>
      </c>
      <c r="C1744" s="37" t="s">
        <v>2348</v>
      </c>
      <c r="D1744" s="37" t="s">
        <v>2351</v>
      </c>
    </row>
    <row r="1745" spans="1:4" ht="14.25">
      <c r="A1745" s="37">
        <v>1821</v>
      </c>
      <c r="B1745" s="37" t="s">
        <v>22556</v>
      </c>
      <c r="C1745" s="37" t="s">
        <v>2348</v>
      </c>
      <c r="D1745" s="37" t="s">
        <v>2351</v>
      </c>
    </row>
    <row r="1746" spans="1:4" ht="14.25">
      <c r="A1746" s="37">
        <v>1806</v>
      </c>
      <c r="B1746" s="37" t="s">
        <v>22557</v>
      </c>
      <c r="C1746" s="37" t="s">
        <v>2348</v>
      </c>
      <c r="D1746" s="37" t="s">
        <v>2351</v>
      </c>
    </row>
    <row r="1747" spans="1:4" ht="14.25">
      <c r="A1747" s="37">
        <v>1804</v>
      </c>
      <c r="B1747" s="37" t="s">
        <v>22558</v>
      </c>
      <c r="C1747" s="37" t="s">
        <v>2348</v>
      </c>
      <c r="D1747" s="37" t="s">
        <v>2351</v>
      </c>
    </row>
    <row r="1748" spans="1:4" ht="14.25">
      <c r="A1748" s="37">
        <v>1807</v>
      </c>
      <c r="B1748" s="37" t="s">
        <v>22559</v>
      </c>
      <c r="C1748" s="37" t="s">
        <v>2348</v>
      </c>
      <c r="D1748" s="37" t="s">
        <v>2351</v>
      </c>
    </row>
    <row r="1749" spans="1:4" ht="14.25">
      <c r="A1749" s="37">
        <v>1808</v>
      </c>
      <c r="B1749" s="37" t="s">
        <v>22560</v>
      </c>
      <c r="C1749" s="37" t="s">
        <v>2348</v>
      </c>
      <c r="D1749" s="37" t="s">
        <v>2351</v>
      </c>
    </row>
    <row r="1750" spans="1:4" ht="14.25">
      <c r="A1750" s="37">
        <v>1797</v>
      </c>
      <c r="B1750" s="37" t="s">
        <v>22561</v>
      </c>
      <c r="C1750" s="37" t="s">
        <v>2348</v>
      </c>
      <c r="D1750" s="37" t="s">
        <v>2351</v>
      </c>
    </row>
    <row r="1751" spans="1:4" ht="14.25">
      <c r="A1751" s="37">
        <v>1796</v>
      </c>
      <c r="B1751" s="37" t="s">
        <v>22562</v>
      </c>
      <c r="C1751" s="37" t="s">
        <v>2348</v>
      </c>
      <c r="D1751" s="37" t="s">
        <v>2351</v>
      </c>
    </row>
    <row r="1752" spans="1:4" ht="14.25">
      <c r="A1752" s="37">
        <v>1794</v>
      </c>
      <c r="B1752" s="37" t="s">
        <v>22563</v>
      </c>
      <c r="C1752" s="37" t="s">
        <v>2348</v>
      </c>
      <c r="D1752" s="37" t="s">
        <v>2351</v>
      </c>
    </row>
    <row r="1753" spans="1:4" ht="14.25">
      <c r="A1753" s="37">
        <v>1816</v>
      </c>
      <c r="B1753" s="37" t="s">
        <v>22564</v>
      </c>
      <c r="C1753" s="37" t="s">
        <v>2348</v>
      </c>
      <c r="D1753" s="37" t="s">
        <v>2351</v>
      </c>
    </row>
    <row r="1754" spans="1:4" ht="14.25">
      <c r="A1754" s="37">
        <v>1815</v>
      </c>
      <c r="B1754" s="37" t="s">
        <v>22565</v>
      </c>
      <c r="C1754" s="37" t="s">
        <v>2348</v>
      </c>
      <c r="D1754" s="37" t="s">
        <v>2351</v>
      </c>
    </row>
    <row r="1755" spans="1:4" ht="14.25">
      <c r="A1755" s="37">
        <v>1798</v>
      </c>
      <c r="B1755" s="37" t="s">
        <v>22566</v>
      </c>
      <c r="C1755" s="37" t="s">
        <v>2348</v>
      </c>
      <c r="D1755" s="37" t="s">
        <v>2351</v>
      </c>
    </row>
    <row r="1756" spans="1:4" ht="14.25">
      <c r="A1756" s="37">
        <v>1795</v>
      </c>
      <c r="B1756" s="37" t="s">
        <v>22567</v>
      </c>
      <c r="C1756" s="37" t="s">
        <v>2348</v>
      </c>
      <c r="D1756" s="37" t="s">
        <v>2351</v>
      </c>
    </row>
    <row r="1757" spans="1:4" ht="14.25">
      <c r="A1757" s="37">
        <v>1799</v>
      </c>
      <c r="B1757" s="37" t="s">
        <v>22568</v>
      </c>
      <c r="C1757" s="37" t="s">
        <v>2348</v>
      </c>
      <c r="D1757" s="37" t="s">
        <v>2351</v>
      </c>
    </row>
    <row r="1758" spans="1:4" ht="14.25">
      <c r="A1758" s="37">
        <v>1800</v>
      </c>
      <c r="B1758" s="37" t="s">
        <v>22569</v>
      </c>
      <c r="C1758" s="37" t="s">
        <v>2348</v>
      </c>
      <c r="D1758" s="37" t="s">
        <v>2351</v>
      </c>
    </row>
    <row r="1759" spans="1:4" ht="14.25">
      <c r="A1759" s="37">
        <v>1802</v>
      </c>
      <c r="B1759" s="37" t="s">
        <v>22570</v>
      </c>
      <c r="C1759" s="37" t="s">
        <v>2348</v>
      </c>
      <c r="D1759" s="37" t="s">
        <v>2351</v>
      </c>
    </row>
    <row r="1760" spans="1:4" ht="14.25">
      <c r="A1760" s="37">
        <v>40385</v>
      </c>
      <c r="B1760" s="37" t="s">
        <v>22571</v>
      </c>
      <c r="C1760" s="37" t="s">
        <v>2348</v>
      </c>
      <c r="D1760" s="37" t="s">
        <v>2349</v>
      </c>
    </row>
    <row r="1761" spans="1:4" ht="14.25">
      <c r="A1761" s="37">
        <v>40383</v>
      </c>
      <c r="B1761" s="37" t="s">
        <v>22572</v>
      </c>
      <c r="C1761" s="37" t="s">
        <v>2348</v>
      </c>
      <c r="D1761" s="37" t="s">
        <v>2349</v>
      </c>
    </row>
    <row r="1762" spans="1:4" ht="14.25">
      <c r="A1762" s="37">
        <v>40378</v>
      </c>
      <c r="B1762" s="37" t="s">
        <v>22573</v>
      </c>
      <c r="C1762" s="37" t="s">
        <v>2348</v>
      </c>
      <c r="D1762" s="37" t="s">
        <v>2349</v>
      </c>
    </row>
    <row r="1763" spans="1:4" ht="14.25">
      <c r="A1763" s="37">
        <v>40382</v>
      </c>
      <c r="B1763" s="37" t="s">
        <v>22574</v>
      </c>
      <c r="C1763" s="37" t="s">
        <v>2348</v>
      </c>
      <c r="D1763" s="37" t="s">
        <v>2349</v>
      </c>
    </row>
    <row r="1764" spans="1:4" ht="14.25">
      <c r="A1764" s="37">
        <v>40422</v>
      </c>
      <c r="B1764" s="37" t="s">
        <v>22575</v>
      </c>
      <c r="C1764" s="37" t="s">
        <v>2348</v>
      </c>
      <c r="D1764" s="37" t="s">
        <v>2349</v>
      </c>
    </row>
    <row r="1765" spans="1:4" ht="14.25">
      <c r="A1765" s="37">
        <v>40387</v>
      </c>
      <c r="B1765" s="37" t="s">
        <v>22576</v>
      </c>
      <c r="C1765" s="37" t="s">
        <v>2348</v>
      </c>
      <c r="D1765" s="37" t="s">
        <v>2349</v>
      </c>
    </row>
    <row r="1766" spans="1:4" ht="14.25">
      <c r="A1766" s="37">
        <v>40380</v>
      </c>
      <c r="B1766" s="37" t="s">
        <v>22577</v>
      </c>
      <c r="C1766" s="37" t="s">
        <v>2348</v>
      </c>
      <c r="D1766" s="37" t="s">
        <v>2349</v>
      </c>
    </row>
    <row r="1767" spans="1:4" ht="14.25">
      <c r="A1767" s="37">
        <v>40390</v>
      </c>
      <c r="B1767" s="37" t="s">
        <v>22578</v>
      </c>
      <c r="C1767" s="37" t="s">
        <v>2348</v>
      </c>
      <c r="D1767" s="37" t="s">
        <v>2349</v>
      </c>
    </row>
    <row r="1768" spans="1:4" ht="14.25">
      <c r="A1768" s="37">
        <v>40413</v>
      </c>
      <c r="B1768" s="37" t="s">
        <v>22579</v>
      </c>
      <c r="C1768" s="37" t="s">
        <v>2348</v>
      </c>
      <c r="D1768" s="37" t="s">
        <v>2351</v>
      </c>
    </row>
    <row r="1769" spans="1:4" ht="14.25">
      <c r="A1769" s="37">
        <v>40415</v>
      </c>
      <c r="B1769" s="37" t="s">
        <v>22580</v>
      </c>
      <c r="C1769" s="37" t="s">
        <v>2348</v>
      </c>
      <c r="D1769" s="37" t="s">
        <v>2351</v>
      </c>
    </row>
    <row r="1770" spans="1:4" ht="14.25">
      <c r="A1770" s="37">
        <v>40417</v>
      </c>
      <c r="B1770" s="37" t="s">
        <v>22581</v>
      </c>
      <c r="C1770" s="37" t="s">
        <v>2348</v>
      </c>
      <c r="D1770" s="37" t="s">
        <v>2351</v>
      </c>
    </row>
    <row r="1771" spans="1:4" ht="14.25">
      <c r="A1771" s="37">
        <v>39271</v>
      </c>
      <c r="B1771" s="37" t="s">
        <v>22582</v>
      </c>
      <c r="C1771" s="37" t="s">
        <v>2348</v>
      </c>
      <c r="D1771" s="37" t="s">
        <v>2349</v>
      </c>
    </row>
    <row r="1772" spans="1:4" ht="14.25">
      <c r="A1772" s="37">
        <v>39273</v>
      </c>
      <c r="B1772" s="37" t="s">
        <v>22583</v>
      </c>
      <c r="C1772" s="37" t="s">
        <v>2348</v>
      </c>
      <c r="D1772" s="37" t="s">
        <v>2349</v>
      </c>
    </row>
    <row r="1773" spans="1:4" ht="14.25">
      <c r="A1773" s="37">
        <v>39272</v>
      </c>
      <c r="B1773" s="37" t="s">
        <v>22584</v>
      </c>
      <c r="C1773" s="37" t="s">
        <v>2348</v>
      </c>
      <c r="D1773" s="37" t="s">
        <v>2349</v>
      </c>
    </row>
    <row r="1774" spans="1:4" ht="14.25">
      <c r="A1774" s="37">
        <v>1875</v>
      </c>
      <c r="B1774" s="37" t="s">
        <v>22585</v>
      </c>
      <c r="C1774" s="37" t="s">
        <v>2348</v>
      </c>
      <c r="D1774" s="37" t="s">
        <v>2349</v>
      </c>
    </row>
    <row r="1775" spans="1:4" ht="14.25">
      <c r="A1775" s="37">
        <v>1874</v>
      </c>
      <c r="B1775" s="37" t="s">
        <v>22586</v>
      </c>
      <c r="C1775" s="37" t="s">
        <v>2348</v>
      </c>
      <c r="D1775" s="37" t="s">
        <v>2349</v>
      </c>
    </row>
    <row r="1776" spans="1:4" ht="14.25">
      <c r="A1776" s="37">
        <v>1870</v>
      </c>
      <c r="B1776" s="37" t="s">
        <v>22587</v>
      </c>
      <c r="C1776" s="37" t="s">
        <v>2348</v>
      </c>
      <c r="D1776" s="37" t="s">
        <v>2353</v>
      </c>
    </row>
    <row r="1777" spans="1:4" ht="14.25">
      <c r="A1777" s="37">
        <v>1884</v>
      </c>
      <c r="B1777" s="37" t="s">
        <v>22588</v>
      </c>
      <c r="C1777" s="37" t="s">
        <v>2348</v>
      </c>
      <c r="D1777" s="37" t="s">
        <v>2349</v>
      </c>
    </row>
    <row r="1778" spans="1:4" ht="14.25">
      <c r="A1778" s="37">
        <v>1887</v>
      </c>
      <c r="B1778" s="37" t="s">
        <v>22589</v>
      </c>
      <c r="C1778" s="37" t="s">
        <v>2348</v>
      </c>
      <c r="D1778" s="37" t="s">
        <v>2349</v>
      </c>
    </row>
    <row r="1779" spans="1:4" ht="14.25">
      <c r="A1779" s="37">
        <v>1876</v>
      </c>
      <c r="B1779" s="37" t="s">
        <v>22590</v>
      </c>
      <c r="C1779" s="37" t="s">
        <v>2348</v>
      </c>
      <c r="D1779" s="37" t="s">
        <v>2349</v>
      </c>
    </row>
    <row r="1780" spans="1:4" ht="14.25">
      <c r="A1780" s="37">
        <v>1879</v>
      </c>
      <c r="B1780" s="37" t="s">
        <v>22591</v>
      </c>
      <c r="C1780" s="37" t="s">
        <v>2348</v>
      </c>
      <c r="D1780" s="37" t="s">
        <v>2349</v>
      </c>
    </row>
    <row r="1781" spans="1:4" ht="14.25">
      <c r="A1781" s="37">
        <v>1877</v>
      </c>
      <c r="B1781" s="37" t="s">
        <v>22592</v>
      </c>
      <c r="C1781" s="37" t="s">
        <v>2348</v>
      </c>
      <c r="D1781" s="37" t="s">
        <v>2349</v>
      </c>
    </row>
    <row r="1782" spans="1:4" ht="14.25">
      <c r="A1782" s="37">
        <v>1878</v>
      </c>
      <c r="B1782" s="37" t="s">
        <v>22593</v>
      </c>
      <c r="C1782" s="37" t="s">
        <v>2348</v>
      </c>
      <c r="D1782" s="37" t="s">
        <v>2349</v>
      </c>
    </row>
    <row r="1783" spans="1:4" ht="14.25">
      <c r="A1783" s="37">
        <v>2621</v>
      </c>
      <c r="B1783" s="37" t="s">
        <v>22594</v>
      </c>
      <c r="C1783" s="37" t="s">
        <v>2348</v>
      </c>
      <c r="D1783" s="37" t="s">
        <v>2351</v>
      </c>
    </row>
    <row r="1784" spans="1:4" ht="14.25">
      <c r="A1784" s="37">
        <v>2616</v>
      </c>
      <c r="B1784" s="37" t="s">
        <v>22595</v>
      </c>
      <c r="C1784" s="37" t="s">
        <v>2348</v>
      </c>
      <c r="D1784" s="37" t="s">
        <v>2351</v>
      </c>
    </row>
    <row r="1785" spans="1:4" ht="14.25">
      <c r="A1785" s="37">
        <v>2633</v>
      </c>
      <c r="B1785" s="37" t="s">
        <v>22596</v>
      </c>
      <c r="C1785" s="37" t="s">
        <v>2348</v>
      </c>
      <c r="D1785" s="37" t="s">
        <v>2351</v>
      </c>
    </row>
    <row r="1786" spans="1:4" ht="14.25">
      <c r="A1786" s="37">
        <v>2617</v>
      </c>
      <c r="B1786" s="37" t="s">
        <v>22597</v>
      </c>
      <c r="C1786" s="37" t="s">
        <v>2348</v>
      </c>
      <c r="D1786" s="37" t="s">
        <v>2351</v>
      </c>
    </row>
    <row r="1787" spans="1:4" ht="14.25">
      <c r="A1787" s="37">
        <v>2618</v>
      </c>
      <c r="B1787" s="37" t="s">
        <v>22598</v>
      </c>
      <c r="C1787" s="37" t="s">
        <v>2348</v>
      </c>
      <c r="D1787" s="37" t="s">
        <v>2351</v>
      </c>
    </row>
    <row r="1788" spans="1:4" ht="14.25">
      <c r="A1788" s="37">
        <v>2632</v>
      </c>
      <c r="B1788" s="37" t="s">
        <v>22599</v>
      </c>
      <c r="C1788" s="37" t="s">
        <v>2348</v>
      </c>
      <c r="D1788" s="37" t="s">
        <v>2351</v>
      </c>
    </row>
    <row r="1789" spans="1:4" ht="14.25">
      <c r="A1789" s="37">
        <v>2631</v>
      </c>
      <c r="B1789" s="37" t="s">
        <v>22600</v>
      </c>
      <c r="C1789" s="37" t="s">
        <v>2348</v>
      </c>
      <c r="D1789" s="37" t="s">
        <v>2351</v>
      </c>
    </row>
    <row r="1790" spans="1:4" ht="14.25">
      <c r="A1790" s="37">
        <v>2619</v>
      </c>
      <c r="B1790" s="37" t="s">
        <v>22601</v>
      </c>
      <c r="C1790" s="37" t="s">
        <v>2348</v>
      </c>
      <c r="D1790" s="37" t="s">
        <v>2351</v>
      </c>
    </row>
    <row r="1791" spans="1:4" ht="14.25">
      <c r="A1791" s="37">
        <v>2620</v>
      </c>
      <c r="B1791" s="37" t="s">
        <v>22602</v>
      </c>
      <c r="C1791" s="37" t="s">
        <v>2348</v>
      </c>
      <c r="D1791" s="37" t="s">
        <v>2351</v>
      </c>
    </row>
    <row r="1792" spans="1:4" ht="14.25">
      <c r="A1792" s="37">
        <v>44472</v>
      </c>
      <c r="B1792" s="37" t="s">
        <v>27969</v>
      </c>
      <c r="C1792" s="37" t="s">
        <v>2348</v>
      </c>
      <c r="D1792" s="37" t="s">
        <v>2351</v>
      </c>
    </row>
    <row r="1793" spans="1:4" ht="14.25">
      <c r="A1793" s="37">
        <v>38369</v>
      </c>
      <c r="B1793" s="37" t="s">
        <v>22603</v>
      </c>
      <c r="C1793" s="37" t="s">
        <v>2348</v>
      </c>
      <c r="D1793" s="37" t="s">
        <v>2349</v>
      </c>
    </row>
    <row r="1794" spans="1:4" ht="14.25">
      <c r="A1794" s="37">
        <v>38370</v>
      </c>
      <c r="B1794" s="37" t="s">
        <v>22604</v>
      </c>
      <c r="C1794" s="37" t="s">
        <v>2348</v>
      </c>
      <c r="D1794" s="37" t="s">
        <v>2349</v>
      </c>
    </row>
    <row r="1795" spans="1:4" ht="14.25">
      <c r="A1795" s="37">
        <v>38372</v>
      </c>
      <c r="B1795" s="37" t="s">
        <v>22605</v>
      </c>
      <c r="C1795" s="37" t="s">
        <v>2348</v>
      </c>
      <c r="D1795" s="37" t="s">
        <v>2349</v>
      </c>
    </row>
    <row r="1796" spans="1:4" ht="14.25">
      <c r="A1796" s="37">
        <v>2357</v>
      </c>
      <c r="B1796" s="37" t="s">
        <v>22606</v>
      </c>
      <c r="C1796" s="37" t="s">
        <v>2352</v>
      </c>
      <c r="D1796" s="37" t="s">
        <v>2349</v>
      </c>
    </row>
    <row r="1797" spans="1:4" ht="14.25">
      <c r="A1797" s="37">
        <v>40806</v>
      </c>
      <c r="B1797" s="37" t="s">
        <v>22607</v>
      </c>
      <c r="C1797" s="37" t="s">
        <v>2369</v>
      </c>
      <c r="D1797" s="37" t="s">
        <v>2349</v>
      </c>
    </row>
    <row r="1798" spans="1:4" ht="14.25">
      <c r="A1798" s="37">
        <v>2355</v>
      </c>
      <c r="B1798" s="37" t="s">
        <v>22608</v>
      </c>
      <c r="C1798" s="37" t="s">
        <v>2352</v>
      </c>
      <c r="D1798" s="37" t="s">
        <v>2349</v>
      </c>
    </row>
    <row r="1799" spans="1:4" ht="14.25">
      <c r="A1799" s="37">
        <v>40805</v>
      </c>
      <c r="B1799" s="37" t="s">
        <v>22609</v>
      </c>
      <c r="C1799" s="37" t="s">
        <v>2369</v>
      </c>
      <c r="D1799" s="37" t="s">
        <v>2349</v>
      </c>
    </row>
    <row r="1800" spans="1:4" ht="14.25">
      <c r="A1800" s="37">
        <v>2358</v>
      </c>
      <c r="B1800" s="37" t="s">
        <v>22610</v>
      </c>
      <c r="C1800" s="37" t="s">
        <v>2352</v>
      </c>
      <c r="D1800" s="37" t="s">
        <v>2349</v>
      </c>
    </row>
    <row r="1801" spans="1:4" ht="14.25">
      <c r="A1801" s="37">
        <v>40807</v>
      </c>
      <c r="B1801" s="37" t="s">
        <v>22611</v>
      </c>
      <c r="C1801" s="37" t="s">
        <v>2369</v>
      </c>
      <c r="D1801" s="37" t="s">
        <v>2349</v>
      </c>
    </row>
    <row r="1802" spans="1:4" ht="14.25">
      <c r="A1802" s="37">
        <v>2359</v>
      </c>
      <c r="B1802" s="37" t="s">
        <v>22612</v>
      </c>
      <c r="C1802" s="37" t="s">
        <v>2352</v>
      </c>
      <c r="D1802" s="37" t="s">
        <v>2349</v>
      </c>
    </row>
    <row r="1803" spans="1:4" ht="14.25">
      <c r="A1803" s="37">
        <v>40808</v>
      </c>
      <c r="B1803" s="37" t="s">
        <v>22613</v>
      </c>
      <c r="C1803" s="37" t="s">
        <v>2369</v>
      </c>
      <c r="D1803" s="37" t="s">
        <v>2349</v>
      </c>
    </row>
    <row r="1804" spans="1:4" ht="14.25">
      <c r="A1804" s="37">
        <v>44330</v>
      </c>
      <c r="B1804" s="37" t="s">
        <v>27970</v>
      </c>
      <c r="C1804" s="37" t="s">
        <v>2363</v>
      </c>
      <c r="D1804" s="37" t="s">
        <v>2349</v>
      </c>
    </row>
    <row r="1805" spans="1:4" ht="14.25">
      <c r="A1805" s="37">
        <v>43144</v>
      </c>
      <c r="B1805" s="37" t="s">
        <v>22614</v>
      </c>
      <c r="C1805" s="37" t="s">
        <v>2356</v>
      </c>
      <c r="D1805" s="37" t="s">
        <v>2349</v>
      </c>
    </row>
    <row r="1806" spans="1:4" ht="14.25">
      <c r="A1806" s="37">
        <v>39397</v>
      </c>
      <c r="B1806" s="37" t="s">
        <v>22615</v>
      </c>
      <c r="C1806" s="37" t="s">
        <v>2363</v>
      </c>
      <c r="D1806" s="37" t="s">
        <v>2349</v>
      </c>
    </row>
    <row r="1807" spans="1:4" ht="14.25">
      <c r="A1807" s="37">
        <v>2692</v>
      </c>
      <c r="B1807" s="37" t="s">
        <v>22616</v>
      </c>
      <c r="C1807" s="37" t="s">
        <v>2363</v>
      </c>
      <c r="D1807" s="37" t="s">
        <v>2349</v>
      </c>
    </row>
    <row r="1808" spans="1:4" ht="14.25">
      <c r="A1808" s="37">
        <v>44329</v>
      </c>
      <c r="B1808" s="37" t="s">
        <v>27971</v>
      </c>
      <c r="C1808" s="37" t="s">
        <v>2363</v>
      </c>
      <c r="D1808" s="37" t="s">
        <v>2349</v>
      </c>
    </row>
    <row r="1809" spans="1:4" ht="14.25">
      <c r="A1809" s="37">
        <v>5318</v>
      </c>
      <c r="B1809" s="37" t="s">
        <v>27972</v>
      </c>
      <c r="C1809" s="37" t="s">
        <v>2363</v>
      </c>
      <c r="D1809" s="37" t="s">
        <v>2353</v>
      </c>
    </row>
    <row r="1810" spans="1:4" ht="14.25">
      <c r="A1810" s="37">
        <v>5330</v>
      </c>
      <c r="B1810" s="37" t="s">
        <v>22617</v>
      </c>
      <c r="C1810" s="37" t="s">
        <v>2363</v>
      </c>
      <c r="D1810" s="37" t="s">
        <v>2349</v>
      </c>
    </row>
    <row r="1811" spans="1:4" ht="14.25">
      <c r="A1811" s="37">
        <v>44532</v>
      </c>
      <c r="B1811" s="37" t="s">
        <v>27973</v>
      </c>
      <c r="C1811" s="37" t="s">
        <v>2348</v>
      </c>
      <c r="D1811" s="37" t="s">
        <v>2349</v>
      </c>
    </row>
    <row r="1812" spans="1:4" ht="14.25">
      <c r="A1812" s="37">
        <v>44531</v>
      </c>
      <c r="B1812" s="37" t="s">
        <v>27974</v>
      </c>
      <c r="C1812" s="37" t="s">
        <v>2348</v>
      </c>
      <c r="D1812" s="37" t="s">
        <v>2349</v>
      </c>
    </row>
    <row r="1813" spans="1:4" ht="14.25">
      <c r="A1813" s="37">
        <v>38140</v>
      </c>
      <c r="B1813" s="37" t="s">
        <v>22618</v>
      </c>
      <c r="C1813" s="37" t="s">
        <v>2348</v>
      </c>
      <c r="D1813" s="37" t="s">
        <v>2353</v>
      </c>
    </row>
    <row r="1814" spans="1:4" ht="14.25">
      <c r="A1814" s="37">
        <v>13887</v>
      </c>
      <c r="B1814" s="37" t="s">
        <v>22619</v>
      </c>
      <c r="C1814" s="37" t="s">
        <v>2348</v>
      </c>
      <c r="D1814" s="37" t="s">
        <v>2349</v>
      </c>
    </row>
    <row r="1815" spans="1:4" ht="14.25">
      <c r="A1815" s="37">
        <v>44495</v>
      </c>
      <c r="B1815" s="37" t="s">
        <v>27975</v>
      </c>
      <c r="C1815" s="37" t="s">
        <v>2348</v>
      </c>
      <c r="D1815" s="37" t="s">
        <v>2349</v>
      </c>
    </row>
    <row r="1816" spans="1:4" ht="14.25">
      <c r="A1816" s="37">
        <v>44533</v>
      </c>
      <c r="B1816" s="37" t="s">
        <v>27976</v>
      </c>
      <c r="C1816" s="37" t="s">
        <v>2348</v>
      </c>
      <c r="D1816" s="37" t="s">
        <v>2349</v>
      </c>
    </row>
    <row r="1817" spans="1:4" ht="14.25">
      <c r="A1817" s="37">
        <v>44534</v>
      </c>
      <c r="B1817" s="37" t="s">
        <v>27977</v>
      </c>
      <c r="C1817" s="37" t="s">
        <v>2348</v>
      </c>
      <c r="D1817" s="37" t="s">
        <v>2349</v>
      </c>
    </row>
    <row r="1818" spans="1:4" ht="14.25">
      <c r="A1818" s="37">
        <v>34544</v>
      </c>
      <c r="B1818" s="37" t="s">
        <v>22620</v>
      </c>
      <c r="C1818" s="37" t="s">
        <v>2348</v>
      </c>
      <c r="D1818" s="37" t="s">
        <v>2349</v>
      </c>
    </row>
    <row r="1819" spans="1:4" ht="14.25">
      <c r="A1819" s="37">
        <v>34729</v>
      </c>
      <c r="B1819" s="37" t="s">
        <v>22621</v>
      </c>
      <c r="C1819" s="37" t="s">
        <v>2348</v>
      </c>
      <c r="D1819" s="37" t="s">
        <v>2349</v>
      </c>
    </row>
    <row r="1820" spans="1:4" ht="14.25">
      <c r="A1820" s="37">
        <v>34734</v>
      </c>
      <c r="B1820" s="37" t="s">
        <v>22622</v>
      </c>
      <c r="C1820" s="37" t="s">
        <v>2348</v>
      </c>
      <c r="D1820" s="37" t="s">
        <v>2349</v>
      </c>
    </row>
    <row r="1821" spans="1:4" ht="14.25">
      <c r="A1821" s="37">
        <v>34738</v>
      </c>
      <c r="B1821" s="37" t="s">
        <v>22623</v>
      </c>
      <c r="C1821" s="37" t="s">
        <v>2348</v>
      </c>
      <c r="D1821" s="37" t="s">
        <v>2349</v>
      </c>
    </row>
    <row r="1822" spans="1:4" ht="14.25">
      <c r="A1822" s="37">
        <v>2391</v>
      </c>
      <c r="B1822" s="37" t="s">
        <v>22624</v>
      </c>
      <c r="C1822" s="37" t="s">
        <v>2348</v>
      </c>
      <c r="D1822" s="37" t="s">
        <v>2349</v>
      </c>
    </row>
    <row r="1823" spans="1:4" ht="14.25">
      <c r="A1823" s="37">
        <v>2374</v>
      </c>
      <c r="B1823" s="37" t="s">
        <v>22625</v>
      </c>
      <c r="C1823" s="37" t="s">
        <v>2348</v>
      </c>
      <c r="D1823" s="37" t="s">
        <v>2349</v>
      </c>
    </row>
    <row r="1824" spans="1:4" ht="14.25">
      <c r="A1824" s="37">
        <v>2377</v>
      </c>
      <c r="B1824" s="37" t="s">
        <v>22626</v>
      </c>
      <c r="C1824" s="37" t="s">
        <v>2348</v>
      </c>
      <c r="D1824" s="37" t="s">
        <v>2349</v>
      </c>
    </row>
    <row r="1825" spans="1:4" ht="14.25">
      <c r="A1825" s="37">
        <v>2393</v>
      </c>
      <c r="B1825" s="37" t="s">
        <v>22627</v>
      </c>
      <c r="C1825" s="37" t="s">
        <v>2348</v>
      </c>
      <c r="D1825" s="37" t="s">
        <v>2349</v>
      </c>
    </row>
    <row r="1826" spans="1:4" ht="14.25">
      <c r="A1826" s="37">
        <v>34705</v>
      </c>
      <c r="B1826" s="37" t="s">
        <v>22628</v>
      </c>
      <c r="C1826" s="37" t="s">
        <v>2348</v>
      </c>
      <c r="D1826" s="37" t="s">
        <v>2349</v>
      </c>
    </row>
    <row r="1827" spans="1:4" ht="14.25">
      <c r="A1827" s="37">
        <v>34707</v>
      </c>
      <c r="B1827" s="37" t="s">
        <v>22629</v>
      </c>
      <c r="C1827" s="37" t="s">
        <v>2348</v>
      </c>
      <c r="D1827" s="37" t="s">
        <v>2349</v>
      </c>
    </row>
    <row r="1828" spans="1:4" ht="14.25">
      <c r="A1828" s="37">
        <v>2378</v>
      </c>
      <c r="B1828" s="37" t="s">
        <v>22630</v>
      </c>
      <c r="C1828" s="37" t="s">
        <v>2348</v>
      </c>
      <c r="D1828" s="37" t="s">
        <v>2349</v>
      </c>
    </row>
    <row r="1829" spans="1:4" ht="14.25">
      <c r="A1829" s="37">
        <v>2379</v>
      </c>
      <c r="B1829" s="37" t="s">
        <v>22631</v>
      </c>
      <c r="C1829" s="37" t="s">
        <v>2348</v>
      </c>
      <c r="D1829" s="37" t="s">
        <v>2349</v>
      </c>
    </row>
    <row r="1830" spans="1:4" ht="14.25">
      <c r="A1830" s="37">
        <v>2376</v>
      </c>
      <c r="B1830" s="37" t="s">
        <v>22632</v>
      </c>
      <c r="C1830" s="37" t="s">
        <v>2348</v>
      </c>
      <c r="D1830" s="37" t="s">
        <v>2349</v>
      </c>
    </row>
    <row r="1831" spans="1:4" ht="14.25">
      <c r="A1831" s="37">
        <v>2394</v>
      </c>
      <c r="B1831" s="37" t="s">
        <v>22633</v>
      </c>
      <c r="C1831" s="37" t="s">
        <v>2348</v>
      </c>
      <c r="D1831" s="37" t="s">
        <v>2349</v>
      </c>
    </row>
    <row r="1832" spans="1:4" ht="14.25">
      <c r="A1832" s="37">
        <v>34686</v>
      </c>
      <c r="B1832" s="37" t="s">
        <v>22634</v>
      </c>
      <c r="C1832" s="37" t="s">
        <v>2348</v>
      </c>
      <c r="D1832" s="37" t="s">
        <v>2349</v>
      </c>
    </row>
    <row r="1833" spans="1:4" ht="14.25">
      <c r="A1833" s="37">
        <v>34616</v>
      </c>
      <c r="B1833" s="37" t="s">
        <v>22635</v>
      </c>
      <c r="C1833" s="37" t="s">
        <v>2348</v>
      </c>
      <c r="D1833" s="37" t="s">
        <v>2349</v>
      </c>
    </row>
    <row r="1834" spans="1:4" ht="14.25">
      <c r="A1834" s="37">
        <v>34623</v>
      </c>
      <c r="B1834" s="37" t="s">
        <v>22636</v>
      </c>
      <c r="C1834" s="37" t="s">
        <v>2348</v>
      </c>
      <c r="D1834" s="37" t="s">
        <v>2349</v>
      </c>
    </row>
    <row r="1835" spans="1:4" ht="14.25">
      <c r="A1835" s="37">
        <v>34628</v>
      </c>
      <c r="B1835" s="37" t="s">
        <v>22637</v>
      </c>
      <c r="C1835" s="37" t="s">
        <v>2348</v>
      </c>
      <c r="D1835" s="37" t="s">
        <v>2349</v>
      </c>
    </row>
    <row r="1836" spans="1:4" ht="14.25">
      <c r="A1836" s="37">
        <v>34653</v>
      </c>
      <c r="B1836" s="37" t="s">
        <v>22638</v>
      </c>
      <c r="C1836" s="37" t="s">
        <v>2348</v>
      </c>
      <c r="D1836" s="37" t="s">
        <v>2349</v>
      </c>
    </row>
    <row r="1837" spans="1:4" ht="14.25">
      <c r="A1837" s="37">
        <v>34688</v>
      </c>
      <c r="B1837" s="37" t="s">
        <v>22639</v>
      </c>
      <c r="C1837" s="37" t="s">
        <v>2348</v>
      </c>
      <c r="D1837" s="37" t="s">
        <v>2349</v>
      </c>
    </row>
    <row r="1838" spans="1:4" ht="14.25">
      <c r="A1838" s="37">
        <v>34709</v>
      </c>
      <c r="B1838" s="37" t="s">
        <v>22640</v>
      </c>
      <c r="C1838" s="37" t="s">
        <v>2348</v>
      </c>
      <c r="D1838" s="37" t="s">
        <v>2349</v>
      </c>
    </row>
    <row r="1839" spans="1:4" ht="14.25">
      <c r="A1839" s="37">
        <v>34714</v>
      </c>
      <c r="B1839" s="37" t="s">
        <v>22641</v>
      </c>
      <c r="C1839" s="37" t="s">
        <v>2348</v>
      </c>
      <c r="D1839" s="37" t="s">
        <v>2349</v>
      </c>
    </row>
    <row r="1840" spans="1:4" ht="14.25">
      <c r="A1840" s="37">
        <v>2388</v>
      </c>
      <c r="B1840" s="37" t="s">
        <v>22642</v>
      </c>
      <c r="C1840" s="37" t="s">
        <v>2348</v>
      </c>
      <c r="D1840" s="37" t="s">
        <v>2349</v>
      </c>
    </row>
    <row r="1841" spans="1:4" ht="14.25">
      <c r="A1841" s="37">
        <v>34606</v>
      </c>
      <c r="B1841" s="37" t="s">
        <v>22643</v>
      </c>
      <c r="C1841" s="37" t="s">
        <v>2348</v>
      </c>
      <c r="D1841" s="37" t="s">
        <v>2349</v>
      </c>
    </row>
    <row r="1842" spans="1:4" ht="14.25">
      <c r="A1842" s="37">
        <v>34689</v>
      </c>
      <c r="B1842" s="37" t="s">
        <v>22644</v>
      </c>
      <c r="C1842" s="37" t="s">
        <v>2348</v>
      </c>
      <c r="D1842" s="37" t="s">
        <v>2349</v>
      </c>
    </row>
    <row r="1843" spans="1:4" ht="14.25">
      <c r="A1843" s="37">
        <v>2370</v>
      </c>
      <c r="B1843" s="37" t="s">
        <v>22645</v>
      </c>
      <c r="C1843" s="37" t="s">
        <v>2348</v>
      </c>
      <c r="D1843" s="37" t="s">
        <v>2353</v>
      </c>
    </row>
    <row r="1844" spans="1:4" ht="14.25">
      <c r="A1844" s="37">
        <v>2386</v>
      </c>
      <c r="B1844" s="37" t="s">
        <v>22646</v>
      </c>
      <c r="C1844" s="37" t="s">
        <v>2348</v>
      </c>
      <c r="D1844" s="37" t="s">
        <v>2349</v>
      </c>
    </row>
    <row r="1845" spans="1:4" ht="14.25">
      <c r="A1845" s="37">
        <v>2392</v>
      </c>
      <c r="B1845" s="37" t="s">
        <v>22647</v>
      </c>
      <c r="C1845" s="37" t="s">
        <v>2348</v>
      </c>
      <c r="D1845" s="37" t="s">
        <v>2349</v>
      </c>
    </row>
    <row r="1846" spans="1:4" ht="14.25">
      <c r="A1846" s="37">
        <v>2373</v>
      </c>
      <c r="B1846" s="37" t="s">
        <v>22648</v>
      </c>
      <c r="C1846" s="37" t="s">
        <v>2348</v>
      </c>
      <c r="D1846" s="37" t="s">
        <v>2349</v>
      </c>
    </row>
    <row r="1847" spans="1:4" ht="14.25">
      <c r="A1847" s="37">
        <v>39465</v>
      </c>
      <c r="B1847" s="37" t="s">
        <v>22649</v>
      </c>
      <c r="C1847" s="37" t="s">
        <v>2348</v>
      </c>
      <c r="D1847" s="37" t="s">
        <v>2349</v>
      </c>
    </row>
    <row r="1848" spans="1:4" ht="14.25">
      <c r="A1848" s="37">
        <v>39466</v>
      </c>
      <c r="B1848" s="37" t="s">
        <v>22650</v>
      </c>
      <c r="C1848" s="37" t="s">
        <v>2348</v>
      </c>
      <c r="D1848" s="37" t="s">
        <v>2349</v>
      </c>
    </row>
    <row r="1849" spans="1:4" ht="14.25">
      <c r="A1849" s="37">
        <v>39467</v>
      </c>
      <c r="B1849" s="37" t="s">
        <v>22651</v>
      </c>
      <c r="C1849" s="37" t="s">
        <v>2348</v>
      </c>
      <c r="D1849" s="37" t="s">
        <v>2349</v>
      </c>
    </row>
    <row r="1850" spans="1:4" ht="14.25">
      <c r="A1850" s="37">
        <v>39468</v>
      </c>
      <c r="B1850" s="37" t="s">
        <v>22652</v>
      </c>
      <c r="C1850" s="37" t="s">
        <v>2348</v>
      </c>
      <c r="D1850" s="37" t="s">
        <v>2349</v>
      </c>
    </row>
    <row r="1851" spans="1:4" ht="14.25">
      <c r="A1851" s="37">
        <v>39469</v>
      </c>
      <c r="B1851" s="37" t="s">
        <v>22653</v>
      </c>
      <c r="C1851" s="37" t="s">
        <v>2348</v>
      </c>
      <c r="D1851" s="37" t="s">
        <v>2349</v>
      </c>
    </row>
    <row r="1852" spans="1:4" ht="14.25">
      <c r="A1852" s="37">
        <v>39470</v>
      </c>
      <c r="B1852" s="37" t="s">
        <v>22654</v>
      </c>
      <c r="C1852" s="37" t="s">
        <v>2348</v>
      </c>
      <c r="D1852" s="37" t="s">
        <v>2349</v>
      </c>
    </row>
    <row r="1853" spans="1:4" ht="14.25">
      <c r="A1853" s="37">
        <v>39471</v>
      </c>
      <c r="B1853" s="37" t="s">
        <v>22655</v>
      </c>
      <c r="C1853" s="37" t="s">
        <v>2348</v>
      </c>
      <c r="D1853" s="37" t="s">
        <v>2349</v>
      </c>
    </row>
    <row r="1854" spans="1:4" ht="14.25">
      <c r="A1854" s="37">
        <v>39472</v>
      </c>
      <c r="B1854" s="37" t="s">
        <v>22656</v>
      </c>
      <c r="C1854" s="37" t="s">
        <v>2348</v>
      </c>
      <c r="D1854" s="37" t="s">
        <v>2349</v>
      </c>
    </row>
    <row r="1855" spans="1:4" ht="14.25">
      <c r="A1855" s="37">
        <v>39473</v>
      </c>
      <c r="B1855" s="37" t="s">
        <v>22657</v>
      </c>
      <c r="C1855" s="37" t="s">
        <v>2348</v>
      </c>
      <c r="D1855" s="37" t="s">
        <v>2349</v>
      </c>
    </row>
    <row r="1856" spans="1:4" ht="14.25">
      <c r="A1856" s="37">
        <v>39474</v>
      </c>
      <c r="B1856" s="37" t="s">
        <v>22658</v>
      </c>
      <c r="C1856" s="37" t="s">
        <v>2348</v>
      </c>
      <c r="D1856" s="37" t="s">
        <v>2349</v>
      </c>
    </row>
    <row r="1857" spans="1:4" ht="14.25">
      <c r="A1857" s="37">
        <v>39475</v>
      </c>
      <c r="B1857" s="37" t="s">
        <v>22659</v>
      </c>
      <c r="C1857" s="37" t="s">
        <v>2348</v>
      </c>
      <c r="D1857" s="37" t="s">
        <v>2349</v>
      </c>
    </row>
    <row r="1858" spans="1:4" ht="14.25">
      <c r="A1858" s="37">
        <v>39476</v>
      </c>
      <c r="B1858" s="37" t="s">
        <v>22660</v>
      </c>
      <c r="C1858" s="37" t="s">
        <v>2348</v>
      </c>
      <c r="D1858" s="37" t="s">
        <v>2349</v>
      </c>
    </row>
    <row r="1859" spans="1:4" ht="14.25">
      <c r="A1859" s="37">
        <v>39477</v>
      </c>
      <c r="B1859" s="37" t="s">
        <v>22661</v>
      </c>
      <c r="C1859" s="37" t="s">
        <v>2348</v>
      </c>
      <c r="D1859" s="37" t="s">
        <v>2349</v>
      </c>
    </row>
    <row r="1860" spans="1:4" ht="14.25">
      <c r="A1860" s="37">
        <v>39478</v>
      </c>
      <c r="B1860" s="37" t="s">
        <v>22662</v>
      </c>
      <c r="C1860" s="37" t="s">
        <v>2348</v>
      </c>
      <c r="D1860" s="37" t="s">
        <v>2349</v>
      </c>
    </row>
    <row r="1861" spans="1:4" ht="14.25">
      <c r="A1861" s="37">
        <v>39479</v>
      </c>
      <c r="B1861" s="37" t="s">
        <v>22663</v>
      </c>
      <c r="C1861" s="37" t="s">
        <v>2348</v>
      </c>
      <c r="D1861" s="37" t="s">
        <v>2349</v>
      </c>
    </row>
    <row r="1862" spans="1:4" ht="14.25">
      <c r="A1862" s="37">
        <v>39480</v>
      </c>
      <c r="B1862" s="37" t="s">
        <v>22664</v>
      </c>
      <c r="C1862" s="37" t="s">
        <v>2348</v>
      </c>
      <c r="D1862" s="37" t="s">
        <v>2349</v>
      </c>
    </row>
    <row r="1863" spans="1:4" ht="14.25">
      <c r="A1863" s="37">
        <v>39459</v>
      </c>
      <c r="B1863" s="37" t="s">
        <v>22665</v>
      </c>
      <c r="C1863" s="37" t="s">
        <v>2348</v>
      </c>
      <c r="D1863" s="37" t="s">
        <v>2349</v>
      </c>
    </row>
    <row r="1864" spans="1:4" ht="14.25">
      <c r="A1864" s="37">
        <v>39445</v>
      </c>
      <c r="B1864" s="37" t="s">
        <v>22666</v>
      </c>
      <c r="C1864" s="37" t="s">
        <v>2348</v>
      </c>
      <c r="D1864" s="37" t="s">
        <v>2349</v>
      </c>
    </row>
    <row r="1865" spans="1:4" ht="14.25">
      <c r="A1865" s="37">
        <v>39446</v>
      </c>
      <c r="B1865" s="37" t="s">
        <v>22667</v>
      </c>
      <c r="C1865" s="37" t="s">
        <v>2348</v>
      </c>
      <c r="D1865" s="37" t="s">
        <v>2349</v>
      </c>
    </row>
    <row r="1866" spans="1:4" ht="14.25">
      <c r="A1866" s="37">
        <v>39447</v>
      </c>
      <c r="B1866" s="37" t="s">
        <v>22668</v>
      </c>
      <c r="C1866" s="37" t="s">
        <v>2348</v>
      </c>
      <c r="D1866" s="37" t="s">
        <v>2349</v>
      </c>
    </row>
    <row r="1867" spans="1:4" ht="14.25">
      <c r="A1867" s="37">
        <v>39448</v>
      </c>
      <c r="B1867" s="37" t="s">
        <v>22669</v>
      </c>
      <c r="C1867" s="37" t="s">
        <v>2348</v>
      </c>
      <c r="D1867" s="37" t="s">
        <v>2349</v>
      </c>
    </row>
    <row r="1868" spans="1:4" ht="14.25">
      <c r="A1868" s="37">
        <v>39450</v>
      </c>
      <c r="B1868" s="37" t="s">
        <v>22670</v>
      </c>
      <c r="C1868" s="37" t="s">
        <v>2348</v>
      </c>
      <c r="D1868" s="37" t="s">
        <v>2349</v>
      </c>
    </row>
    <row r="1869" spans="1:4" ht="14.25">
      <c r="A1869" s="37">
        <v>39451</v>
      </c>
      <c r="B1869" s="37" t="s">
        <v>22671</v>
      </c>
      <c r="C1869" s="37" t="s">
        <v>2348</v>
      </c>
      <c r="D1869" s="37" t="s">
        <v>2349</v>
      </c>
    </row>
    <row r="1870" spans="1:4" ht="14.25">
      <c r="A1870" s="37">
        <v>39452</v>
      </c>
      <c r="B1870" s="37" t="s">
        <v>22672</v>
      </c>
      <c r="C1870" s="37" t="s">
        <v>2348</v>
      </c>
      <c r="D1870" s="37" t="s">
        <v>2349</v>
      </c>
    </row>
    <row r="1871" spans="1:4" ht="14.25">
      <c r="A1871" s="37">
        <v>39523</v>
      </c>
      <c r="B1871" s="37" t="s">
        <v>22673</v>
      </c>
      <c r="C1871" s="37" t="s">
        <v>2348</v>
      </c>
      <c r="D1871" s="37" t="s">
        <v>2349</v>
      </c>
    </row>
    <row r="1872" spans="1:4" ht="14.25">
      <c r="A1872" s="37">
        <v>39449</v>
      </c>
      <c r="B1872" s="37" t="s">
        <v>22674</v>
      </c>
      <c r="C1872" s="37" t="s">
        <v>2348</v>
      </c>
      <c r="D1872" s="37" t="s">
        <v>2349</v>
      </c>
    </row>
    <row r="1873" spans="1:4" ht="14.25">
      <c r="A1873" s="37">
        <v>39455</v>
      </c>
      <c r="B1873" s="37" t="s">
        <v>22675</v>
      </c>
      <c r="C1873" s="37" t="s">
        <v>2348</v>
      </c>
      <c r="D1873" s="37" t="s">
        <v>2349</v>
      </c>
    </row>
    <row r="1874" spans="1:4" ht="14.25">
      <c r="A1874" s="37">
        <v>39456</v>
      </c>
      <c r="B1874" s="37" t="s">
        <v>22676</v>
      </c>
      <c r="C1874" s="37" t="s">
        <v>2348</v>
      </c>
      <c r="D1874" s="37" t="s">
        <v>2349</v>
      </c>
    </row>
    <row r="1875" spans="1:4" ht="14.25">
      <c r="A1875" s="37">
        <v>39457</v>
      </c>
      <c r="B1875" s="37" t="s">
        <v>22677</v>
      </c>
      <c r="C1875" s="37" t="s">
        <v>2348</v>
      </c>
      <c r="D1875" s="37" t="s">
        <v>2349</v>
      </c>
    </row>
    <row r="1876" spans="1:4" ht="14.25">
      <c r="A1876" s="37">
        <v>39458</v>
      </c>
      <c r="B1876" s="37" t="s">
        <v>22678</v>
      </c>
      <c r="C1876" s="37" t="s">
        <v>2348</v>
      </c>
      <c r="D1876" s="37" t="s">
        <v>2349</v>
      </c>
    </row>
    <row r="1877" spans="1:4" ht="14.25">
      <c r="A1877" s="37">
        <v>39464</v>
      </c>
      <c r="B1877" s="37" t="s">
        <v>22679</v>
      </c>
      <c r="C1877" s="37" t="s">
        <v>2348</v>
      </c>
      <c r="D1877" s="37" t="s">
        <v>2349</v>
      </c>
    </row>
    <row r="1878" spans="1:4" ht="14.25">
      <c r="A1878" s="37">
        <v>39460</v>
      </c>
      <c r="B1878" s="37" t="s">
        <v>22680</v>
      </c>
      <c r="C1878" s="37" t="s">
        <v>2348</v>
      </c>
      <c r="D1878" s="37" t="s">
        <v>2349</v>
      </c>
    </row>
    <row r="1879" spans="1:4" ht="14.25">
      <c r="A1879" s="37">
        <v>39461</v>
      </c>
      <c r="B1879" s="37" t="s">
        <v>22681</v>
      </c>
      <c r="C1879" s="37" t="s">
        <v>2348</v>
      </c>
      <c r="D1879" s="37" t="s">
        <v>2349</v>
      </c>
    </row>
    <row r="1880" spans="1:4" ht="14.25">
      <c r="A1880" s="37">
        <v>39462</v>
      </c>
      <c r="B1880" s="37" t="s">
        <v>22682</v>
      </c>
      <c r="C1880" s="37" t="s">
        <v>2348</v>
      </c>
      <c r="D1880" s="37" t="s">
        <v>2349</v>
      </c>
    </row>
    <row r="1881" spans="1:4" ht="14.25">
      <c r="A1881" s="37">
        <v>39463</v>
      </c>
      <c r="B1881" s="37" t="s">
        <v>22683</v>
      </c>
      <c r="C1881" s="37" t="s">
        <v>2348</v>
      </c>
      <c r="D1881" s="37" t="s">
        <v>2349</v>
      </c>
    </row>
    <row r="1882" spans="1:4" ht="14.25">
      <c r="A1882" s="37">
        <v>26039</v>
      </c>
      <c r="B1882" s="37" t="s">
        <v>22684</v>
      </c>
      <c r="C1882" s="37" t="s">
        <v>2348</v>
      </c>
      <c r="D1882" s="37" t="s">
        <v>2351</v>
      </c>
    </row>
    <row r="1883" spans="1:4" ht="14.25">
      <c r="A1883" s="37">
        <v>2401</v>
      </c>
      <c r="B1883" s="37" t="s">
        <v>22685</v>
      </c>
      <c r="C1883" s="37" t="s">
        <v>2348</v>
      </c>
      <c r="D1883" s="37" t="s">
        <v>2351</v>
      </c>
    </row>
    <row r="1884" spans="1:4" ht="14.25">
      <c r="A1884" s="37">
        <v>38870</v>
      </c>
      <c r="B1884" s="37" t="s">
        <v>22686</v>
      </c>
      <c r="C1884" s="37" t="s">
        <v>2348</v>
      </c>
      <c r="D1884" s="37" t="s">
        <v>2351</v>
      </c>
    </row>
    <row r="1885" spans="1:4" ht="14.25">
      <c r="A1885" s="37">
        <v>38869</v>
      </c>
      <c r="B1885" s="37" t="s">
        <v>22687</v>
      </c>
      <c r="C1885" s="37" t="s">
        <v>2348</v>
      </c>
      <c r="D1885" s="37" t="s">
        <v>2351</v>
      </c>
    </row>
    <row r="1886" spans="1:4" ht="14.25">
      <c r="A1886" s="37">
        <v>38872</v>
      </c>
      <c r="B1886" s="37" t="s">
        <v>22688</v>
      </c>
      <c r="C1886" s="37" t="s">
        <v>2348</v>
      </c>
      <c r="D1886" s="37" t="s">
        <v>2351</v>
      </c>
    </row>
    <row r="1887" spans="1:4" ht="14.25">
      <c r="A1887" s="37">
        <v>38871</v>
      </c>
      <c r="B1887" s="37" t="s">
        <v>22689</v>
      </c>
      <c r="C1887" s="37" t="s">
        <v>2348</v>
      </c>
      <c r="D1887" s="37" t="s">
        <v>2351</v>
      </c>
    </row>
    <row r="1888" spans="1:4" ht="14.25">
      <c r="A1888" s="37">
        <v>39283</v>
      </c>
      <c r="B1888" s="37" t="s">
        <v>22690</v>
      </c>
      <c r="C1888" s="37" t="s">
        <v>2348</v>
      </c>
      <c r="D1888" s="37" t="s">
        <v>2351</v>
      </c>
    </row>
    <row r="1889" spans="1:4" ht="14.25">
      <c r="A1889" s="37">
        <v>39284</v>
      </c>
      <c r="B1889" s="37" t="s">
        <v>22691</v>
      </c>
      <c r="C1889" s="37" t="s">
        <v>2348</v>
      </c>
      <c r="D1889" s="37" t="s">
        <v>2351</v>
      </c>
    </row>
    <row r="1890" spans="1:4" ht="14.25">
      <c r="A1890" s="37">
        <v>39285</v>
      </c>
      <c r="B1890" s="37" t="s">
        <v>22692</v>
      </c>
      <c r="C1890" s="37" t="s">
        <v>2348</v>
      </c>
      <c r="D1890" s="37" t="s">
        <v>2351</v>
      </c>
    </row>
    <row r="1891" spans="1:4" ht="14.25">
      <c r="A1891" s="37">
        <v>39286</v>
      </c>
      <c r="B1891" s="37" t="s">
        <v>22693</v>
      </c>
      <c r="C1891" s="37" t="s">
        <v>2348</v>
      </c>
      <c r="D1891" s="37" t="s">
        <v>2351</v>
      </c>
    </row>
    <row r="1892" spans="1:4" ht="14.25">
      <c r="A1892" s="37">
        <v>39287</v>
      </c>
      <c r="B1892" s="37" t="s">
        <v>22694</v>
      </c>
      <c r="C1892" s="37" t="s">
        <v>2348</v>
      </c>
      <c r="D1892" s="37" t="s">
        <v>2351</v>
      </c>
    </row>
    <row r="1893" spans="1:4" ht="14.25">
      <c r="A1893" s="37">
        <v>39288</v>
      </c>
      <c r="B1893" s="37" t="s">
        <v>22695</v>
      </c>
      <c r="C1893" s="37" t="s">
        <v>2348</v>
      </c>
      <c r="D1893" s="37" t="s">
        <v>2351</v>
      </c>
    </row>
    <row r="1894" spans="1:4" ht="14.25">
      <c r="A1894" s="37">
        <v>44476</v>
      </c>
      <c r="B1894" s="37" t="s">
        <v>27978</v>
      </c>
      <c r="C1894" s="37" t="s">
        <v>2350</v>
      </c>
      <c r="D1894" s="37" t="s">
        <v>2349</v>
      </c>
    </row>
    <row r="1895" spans="1:4" ht="14.25">
      <c r="A1895" s="37">
        <v>10629</v>
      </c>
      <c r="B1895" s="37" t="s">
        <v>22696</v>
      </c>
      <c r="C1895" s="37" t="s">
        <v>2350</v>
      </c>
      <c r="D1895" s="37" t="s">
        <v>2349</v>
      </c>
    </row>
    <row r="1896" spans="1:4" ht="14.25">
      <c r="A1896" s="37">
        <v>10698</v>
      </c>
      <c r="B1896" s="37" t="s">
        <v>22697</v>
      </c>
      <c r="C1896" s="37" t="s">
        <v>2350</v>
      </c>
      <c r="D1896" s="37" t="s">
        <v>2351</v>
      </c>
    </row>
    <row r="1897" spans="1:4" ht="14.25">
      <c r="A1897" s="37">
        <v>40521</v>
      </c>
      <c r="B1897" s="37" t="s">
        <v>22698</v>
      </c>
      <c r="C1897" s="37" t="s">
        <v>2348</v>
      </c>
      <c r="D1897" s="37" t="s">
        <v>2349</v>
      </c>
    </row>
    <row r="1898" spans="1:4" ht="14.25">
      <c r="A1898" s="37">
        <v>2432</v>
      </c>
      <c r="B1898" s="37" t="s">
        <v>22699</v>
      </c>
      <c r="C1898" s="37" t="s">
        <v>2348</v>
      </c>
      <c r="D1898" s="37" t="s">
        <v>2349</v>
      </c>
    </row>
    <row r="1899" spans="1:4" ht="14.25">
      <c r="A1899" s="37">
        <v>2433</v>
      </c>
      <c r="B1899" s="37" t="s">
        <v>22700</v>
      </c>
      <c r="C1899" s="37" t="s">
        <v>2348</v>
      </c>
      <c r="D1899" s="37" t="s">
        <v>2349</v>
      </c>
    </row>
    <row r="1900" spans="1:4" ht="14.25">
      <c r="A1900" s="37">
        <v>2420</v>
      </c>
      <c r="B1900" s="37" t="s">
        <v>22701</v>
      </c>
      <c r="C1900" s="37" t="s">
        <v>2348</v>
      </c>
      <c r="D1900" s="37" t="s">
        <v>2349</v>
      </c>
    </row>
    <row r="1901" spans="1:4" ht="14.25">
      <c r="A1901" s="37">
        <v>11447</v>
      </c>
      <c r="B1901" s="37" t="s">
        <v>22702</v>
      </c>
      <c r="C1901" s="37" t="s">
        <v>2348</v>
      </c>
      <c r="D1901" s="37" t="s">
        <v>2349</v>
      </c>
    </row>
    <row r="1902" spans="1:4" ht="14.25">
      <c r="A1902" s="37">
        <v>11451</v>
      </c>
      <c r="B1902" s="37" t="s">
        <v>22703</v>
      </c>
      <c r="C1902" s="37" t="s">
        <v>2348</v>
      </c>
      <c r="D1902" s="37" t="s">
        <v>2349</v>
      </c>
    </row>
    <row r="1903" spans="1:4" ht="14.25">
      <c r="A1903" s="37">
        <v>11116</v>
      </c>
      <c r="B1903" s="37" t="s">
        <v>22704</v>
      </c>
      <c r="C1903" s="37" t="s">
        <v>2348</v>
      </c>
      <c r="D1903" s="37" t="s">
        <v>2351</v>
      </c>
    </row>
    <row r="1904" spans="1:4" ht="14.25">
      <c r="A1904" s="37">
        <v>38411</v>
      </c>
      <c r="B1904" s="37" t="s">
        <v>22705</v>
      </c>
      <c r="C1904" s="37" t="s">
        <v>2348</v>
      </c>
      <c r="D1904" s="37" t="s">
        <v>2351</v>
      </c>
    </row>
    <row r="1905" spans="1:4" ht="14.25">
      <c r="A1905" s="37">
        <v>38189</v>
      </c>
      <c r="B1905" s="37" t="s">
        <v>27979</v>
      </c>
      <c r="C1905" s="37" t="s">
        <v>2348</v>
      </c>
      <c r="D1905" s="37" t="s">
        <v>2349</v>
      </c>
    </row>
    <row r="1906" spans="1:4" ht="14.25">
      <c r="A1906" s="37">
        <v>38190</v>
      </c>
      <c r="B1906" s="37" t="s">
        <v>27980</v>
      </c>
      <c r="C1906" s="37" t="s">
        <v>2348</v>
      </c>
      <c r="D1906" s="37" t="s">
        <v>2349</v>
      </c>
    </row>
    <row r="1907" spans="1:4" ht="14.25">
      <c r="A1907" s="37">
        <v>7608</v>
      </c>
      <c r="B1907" s="37" t="s">
        <v>22706</v>
      </c>
      <c r="C1907" s="37" t="s">
        <v>2348</v>
      </c>
      <c r="D1907" s="37" t="s">
        <v>2349</v>
      </c>
    </row>
    <row r="1908" spans="1:4" ht="14.25">
      <c r="A1908" s="37">
        <v>1370</v>
      </c>
      <c r="B1908" s="37" t="s">
        <v>22707</v>
      </c>
      <c r="C1908" s="37" t="s">
        <v>2348</v>
      </c>
      <c r="D1908" s="37" t="s">
        <v>2349</v>
      </c>
    </row>
    <row r="1909" spans="1:4" ht="14.25">
      <c r="A1909" s="37">
        <v>36516</v>
      </c>
      <c r="B1909" s="37" t="s">
        <v>22708</v>
      </c>
      <c r="C1909" s="37" t="s">
        <v>2348</v>
      </c>
      <c r="D1909" s="37" t="s">
        <v>2351</v>
      </c>
    </row>
    <row r="1910" spans="1:4" ht="14.25">
      <c r="A1910" s="37">
        <v>34777</v>
      </c>
      <c r="B1910" s="37" t="s">
        <v>22709</v>
      </c>
      <c r="C1910" s="37" t="s">
        <v>2348</v>
      </c>
      <c r="D1910" s="37" t="s">
        <v>2349</v>
      </c>
    </row>
    <row r="1911" spans="1:4" ht="14.25">
      <c r="A1911" s="37">
        <v>7272</v>
      </c>
      <c r="B1911" s="37" t="s">
        <v>27981</v>
      </c>
      <c r="C1911" s="37" t="s">
        <v>2348</v>
      </c>
      <c r="D1911" s="37" t="s">
        <v>2349</v>
      </c>
    </row>
    <row r="1912" spans="1:4" ht="14.25">
      <c r="A1912" s="37">
        <v>10605</v>
      </c>
      <c r="B1912" s="37" t="s">
        <v>22710</v>
      </c>
      <c r="C1912" s="37" t="s">
        <v>2348</v>
      </c>
      <c r="D1912" s="37" t="s">
        <v>2349</v>
      </c>
    </row>
    <row r="1913" spans="1:4" ht="14.25">
      <c r="A1913" s="37">
        <v>10604</v>
      </c>
      <c r="B1913" s="37" t="s">
        <v>22711</v>
      </c>
      <c r="C1913" s="37" t="s">
        <v>2348</v>
      </c>
      <c r="D1913" s="37" t="s">
        <v>2349</v>
      </c>
    </row>
    <row r="1914" spans="1:4" ht="14.25">
      <c r="A1914" s="37">
        <v>672</v>
      </c>
      <c r="B1914" s="37" t="s">
        <v>22712</v>
      </c>
      <c r="C1914" s="37" t="s">
        <v>2348</v>
      </c>
      <c r="D1914" s="37" t="s">
        <v>2349</v>
      </c>
    </row>
    <row r="1915" spans="1:4" ht="14.25">
      <c r="A1915" s="37">
        <v>668</v>
      </c>
      <c r="B1915" s="37" t="s">
        <v>22713</v>
      </c>
      <c r="C1915" s="37" t="s">
        <v>2348</v>
      </c>
      <c r="D1915" s="37" t="s">
        <v>2349</v>
      </c>
    </row>
    <row r="1916" spans="1:4" ht="14.25">
      <c r="A1916" s="37">
        <v>10578</v>
      </c>
      <c r="B1916" s="37" t="s">
        <v>22714</v>
      </c>
      <c r="C1916" s="37" t="s">
        <v>2348</v>
      </c>
      <c r="D1916" s="37" t="s">
        <v>2349</v>
      </c>
    </row>
    <row r="1917" spans="1:4" ht="14.25">
      <c r="A1917" s="37">
        <v>666</v>
      </c>
      <c r="B1917" s="37" t="s">
        <v>22715</v>
      </c>
      <c r="C1917" s="37" t="s">
        <v>2348</v>
      </c>
      <c r="D1917" s="37" t="s">
        <v>2349</v>
      </c>
    </row>
    <row r="1918" spans="1:4" ht="14.25">
      <c r="A1918" s="37">
        <v>665</v>
      </c>
      <c r="B1918" s="37" t="s">
        <v>22716</v>
      </c>
      <c r="C1918" s="37" t="s">
        <v>2348</v>
      </c>
      <c r="D1918" s="37" t="s">
        <v>2349</v>
      </c>
    </row>
    <row r="1919" spans="1:4" ht="14.25">
      <c r="A1919" s="37">
        <v>10577</v>
      </c>
      <c r="B1919" s="37" t="s">
        <v>22717</v>
      </c>
      <c r="C1919" s="37" t="s">
        <v>2348</v>
      </c>
      <c r="D1919" s="37" t="s">
        <v>2349</v>
      </c>
    </row>
    <row r="1920" spans="1:4" ht="14.25">
      <c r="A1920" s="37">
        <v>10583</v>
      </c>
      <c r="B1920" s="37" t="s">
        <v>22718</v>
      </c>
      <c r="C1920" s="37" t="s">
        <v>2348</v>
      </c>
      <c r="D1920" s="37" t="s">
        <v>2349</v>
      </c>
    </row>
    <row r="1921" spans="1:4" ht="14.25">
      <c r="A1921" s="37">
        <v>10579</v>
      </c>
      <c r="B1921" s="37" t="s">
        <v>22719</v>
      </c>
      <c r="C1921" s="37" t="s">
        <v>2348</v>
      </c>
      <c r="D1921" s="37" t="s">
        <v>2349</v>
      </c>
    </row>
    <row r="1922" spans="1:4" ht="14.25">
      <c r="A1922" s="37">
        <v>10582</v>
      </c>
      <c r="B1922" s="37" t="s">
        <v>22720</v>
      </c>
      <c r="C1922" s="37" t="s">
        <v>2348</v>
      </c>
      <c r="D1922" s="37" t="s">
        <v>2349</v>
      </c>
    </row>
    <row r="1923" spans="1:4" ht="14.25">
      <c r="A1923" s="37">
        <v>2436</v>
      </c>
      <c r="B1923" s="37" t="s">
        <v>22721</v>
      </c>
      <c r="C1923" s="37" t="s">
        <v>2352</v>
      </c>
      <c r="D1923" s="37" t="s">
        <v>2353</v>
      </c>
    </row>
    <row r="1924" spans="1:4" ht="14.25">
      <c r="A1924" s="37">
        <v>40918</v>
      </c>
      <c r="B1924" s="37" t="s">
        <v>22722</v>
      </c>
      <c r="C1924" s="37" t="s">
        <v>2369</v>
      </c>
      <c r="D1924" s="37" t="s">
        <v>2349</v>
      </c>
    </row>
    <row r="1925" spans="1:4" ht="14.25">
      <c r="A1925" s="37">
        <v>2439</v>
      </c>
      <c r="B1925" s="37" t="s">
        <v>22723</v>
      </c>
      <c r="C1925" s="37" t="s">
        <v>2352</v>
      </c>
      <c r="D1925" s="37" t="s">
        <v>2349</v>
      </c>
    </row>
    <row r="1926" spans="1:4" ht="14.25">
      <c r="A1926" s="37">
        <v>40923</v>
      </c>
      <c r="B1926" s="37" t="s">
        <v>22724</v>
      </c>
      <c r="C1926" s="37" t="s">
        <v>2369</v>
      </c>
      <c r="D1926" s="37" t="s">
        <v>2349</v>
      </c>
    </row>
    <row r="1927" spans="1:4" ht="14.25">
      <c r="A1927" s="37">
        <v>10998</v>
      </c>
      <c r="B1927" s="37" t="s">
        <v>22725</v>
      </c>
      <c r="C1927" s="37" t="s">
        <v>2356</v>
      </c>
      <c r="D1927" s="37" t="s">
        <v>2349</v>
      </c>
    </row>
    <row r="1928" spans="1:4" ht="14.25">
      <c r="A1928" s="37">
        <v>11002</v>
      </c>
      <c r="B1928" s="37" t="s">
        <v>22726</v>
      </c>
      <c r="C1928" s="37" t="s">
        <v>2356</v>
      </c>
      <c r="D1928" s="37" t="s">
        <v>2349</v>
      </c>
    </row>
    <row r="1929" spans="1:4" ht="14.25">
      <c r="A1929" s="37">
        <v>10999</v>
      </c>
      <c r="B1929" s="37" t="s">
        <v>22727</v>
      </c>
      <c r="C1929" s="37" t="s">
        <v>2356</v>
      </c>
      <c r="D1929" s="37" t="s">
        <v>2349</v>
      </c>
    </row>
    <row r="1930" spans="1:4" ht="14.25">
      <c r="A1930" s="37">
        <v>10997</v>
      </c>
      <c r="B1930" s="37" t="s">
        <v>22728</v>
      </c>
      <c r="C1930" s="37" t="s">
        <v>2356</v>
      </c>
      <c r="D1930" s="37" t="s">
        <v>2353</v>
      </c>
    </row>
    <row r="1931" spans="1:4" ht="14.25">
      <c r="A1931" s="37">
        <v>2685</v>
      </c>
      <c r="B1931" s="37" t="s">
        <v>22729</v>
      </c>
      <c r="C1931" s="37" t="s">
        <v>2355</v>
      </c>
      <c r="D1931" s="37" t="s">
        <v>2349</v>
      </c>
    </row>
    <row r="1932" spans="1:4" ht="14.25">
      <c r="A1932" s="37">
        <v>2680</v>
      </c>
      <c r="B1932" s="37" t="s">
        <v>22730</v>
      </c>
      <c r="C1932" s="37" t="s">
        <v>2355</v>
      </c>
      <c r="D1932" s="37" t="s">
        <v>2349</v>
      </c>
    </row>
    <row r="1933" spans="1:4" ht="14.25">
      <c r="A1933" s="37">
        <v>2684</v>
      </c>
      <c r="B1933" s="37" t="s">
        <v>22731</v>
      </c>
      <c r="C1933" s="37" t="s">
        <v>2355</v>
      </c>
      <c r="D1933" s="37" t="s">
        <v>2349</v>
      </c>
    </row>
    <row r="1934" spans="1:4" ht="14.25">
      <c r="A1934" s="37">
        <v>2673</v>
      </c>
      <c r="B1934" s="37" t="s">
        <v>22732</v>
      </c>
      <c r="C1934" s="37" t="s">
        <v>2355</v>
      </c>
      <c r="D1934" s="37" t="s">
        <v>2353</v>
      </c>
    </row>
    <row r="1935" spans="1:4" ht="14.25">
      <c r="A1935" s="37">
        <v>2681</v>
      </c>
      <c r="B1935" s="37" t="s">
        <v>22733</v>
      </c>
      <c r="C1935" s="37" t="s">
        <v>2355</v>
      </c>
      <c r="D1935" s="37" t="s">
        <v>2349</v>
      </c>
    </row>
    <row r="1936" spans="1:4" ht="14.25">
      <c r="A1936" s="37">
        <v>2682</v>
      </c>
      <c r="B1936" s="37" t="s">
        <v>22734</v>
      </c>
      <c r="C1936" s="37" t="s">
        <v>2355</v>
      </c>
      <c r="D1936" s="37" t="s">
        <v>2349</v>
      </c>
    </row>
    <row r="1937" spans="1:4" ht="14.25">
      <c r="A1937" s="37">
        <v>2686</v>
      </c>
      <c r="B1937" s="37" t="s">
        <v>22735</v>
      </c>
      <c r="C1937" s="37" t="s">
        <v>2355</v>
      </c>
      <c r="D1937" s="37" t="s">
        <v>2349</v>
      </c>
    </row>
    <row r="1938" spans="1:4" ht="14.25">
      <c r="A1938" s="37">
        <v>2674</v>
      </c>
      <c r="B1938" s="37" t="s">
        <v>22736</v>
      </c>
      <c r="C1938" s="37" t="s">
        <v>2355</v>
      </c>
      <c r="D1938" s="37" t="s">
        <v>2349</v>
      </c>
    </row>
    <row r="1939" spans="1:4" ht="14.25">
      <c r="A1939" s="37">
        <v>2683</v>
      </c>
      <c r="B1939" s="37" t="s">
        <v>22737</v>
      </c>
      <c r="C1939" s="37" t="s">
        <v>2355</v>
      </c>
      <c r="D1939" s="37" t="s">
        <v>2349</v>
      </c>
    </row>
    <row r="1940" spans="1:4" ht="14.25">
      <c r="A1940" s="37">
        <v>2676</v>
      </c>
      <c r="B1940" s="37" t="s">
        <v>22738</v>
      </c>
      <c r="C1940" s="37" t="s">
        <v>2355</v>
      </c>
      <c r="D1940" s="37" t="s">
        <v>2349</v>
      </c>
    </row>
    <row r="1941" spans="1:4" ht="14.25">
      <c r="A1941" s="37">
        <v>2678</v>
      </c>
      <c r="B1941" s="37" t="s">
        <v>22739</v>
      </c>
      <c r="C1941" s="37" t="s">
        <v>2355</v>
      </c>
      <c r="D1941" s="37" t="s">
        <v>2349</v>
      </c>
    </row>
    <row r="1942" spans="1:4" ht="14.25">
      <c r="A1942" s="37">
        <v>2679</v>
      </c>
      <c r="B1942" s="37" t="s">
        <v>22740</v>
      </c>
      <c r="C1942" s="37" t="s">
        <v>2355</v>
      </c>
      <c r="D1942" s="37" t="s">
        <v>2349</v>
      </c>
    </row>
    <row r="1943" spans="1:4" ht="14.25">
      <c r="A1943" s="37">
        <v>12070</v>
      </c>
      <c r="B1943" s="37" t="s">
        <v>22741</v>
      </c>
      <c r="C1943" s="37" t="s">
        <v>2355</v>
      </c>
      <c r="D1943" s="37" t="s">
        <v>2349</v>
      </c>
    </row>
    <row r="1944" spans="1:4" ht="14.25">
      <c r="A1944" s="37">
        <v>2675</v>
      </c>
      <c r="B1944" s="37" t="s">
        <v>22742</v>
      </c>
      <c r="C1944" s="37" t="s">
        <v>2355</v>
      </c>
      <c r="D1944" s="37" t="s">
        <v>2349</v>
      </c>
    </row>
    <row r="1945" spans="1:4" ht="14.25">
      <c r="A1945" s="37">
        <v>12067</v>
      </c>
      <c r="B1945" s="37" t="s">
        <v>22743</v>
      </c>
      <c r="C1945" s="37" t="s">
        <v>2355</v>
      </c>
      <c r="D1945" s="37" t="s">
        <v>2349</v>
      </c>
    </row>
    <row r="1946" spans="1:4" ht="14.25">
      <c r="A1946" s="37">
        <v>40401</v>
      </c>
      <c r="B1946" s="37" t="s">
        <v>22744</v>
      </c>
      <c r="C1946" s="37" t="s">
        <v>2355</v>
      </c>
      <c r="D1946" s="37" t="s">
        <v>2349</v>
      </c>
    </row>
    <row r="1947" spans="1:4" ht="14.25">
      <c r="A1947" s="37">
        <v>40402</v>
      </c>
      <c r="B1947" s="37" t="s">
        <v>22745</v>
      </c>
      <c r="C1947" s="37" t="s">
        <v>2355</v>
      </c>
      <c r="D1947" s="37" t="s">
        <v>2349</v>
      </c>
    </row>
    <row r="1948" spans="1:4" ht="14.25">
      <c r="A1948" s="37">
        <v>40400</v>
      </c>
      <c r="B1948" s="37" t="s">
        <v>22746</v>
      </c>
      <c r="C1948" s="37" t="s">
        <v>2355</v>
      </c>
      <c r="D1948" s="37" t="s">
        <v>2349</v>
      </c>
    </row>
    <row r="1949" spans="1:4" ht="14.25">
      <c r="A1949" s="37">
        <v>2504</v>
      </c>
      <c r="B1949" s="37" t="s">
        <v>22747</v>
      </c>
      <c r="C1949" s="37" t="s">
        <v>2355</v>
      </c>
      <c r="D1949" s="37" t="s">
        <v>2351</v>
      </c>
    </row>
    <row r="1950" spans="1:4" ht="14.25">
      <c r="A1950" s="37">
        <v>2501</v>
      </c>
      <c r="B1950" s="37" t="s">
        <v>22748</v>
      </c>
      <c r="C1950" s="37" t="s">
        <v>2355</v>
      </c>
      <c r="D1950" s="37" t="s">
        <v>2351</v>
      </c>
    </row>
    <row r="1951" spans="1:4" ht="14.25">
      <c r="A1951" s="37">
        <v>2502</v>
      </c>
      <c r="B1951" s="37" t="s">
        <v>22749</v>
      </c>
      <c r="C1951" s="37" t="s">
        <v>2355</v>
      </c>
      <c r="D1951" s="37" t="s">
        <v>2351</v>
      </c>
    </row>
    <row r="1952" spans="1:4" ht="14.25">
      <c r="A1952" s="37">
        <v>2503</v>
      </c>
      <c r="B1952" s="37" t="s">
        <v>22750</v>
      </c>
      <c r="C1952" s="37" t="s">
        <v>2355</v>
      </c>
      <c r="D1952" s="37" t="s">
        <v>2351</v>
      </c>
    </row>
    <row r="1953" spans="1:4" ht="14.25">
      <c r="A1953" s="37">
        <v>2500</v>
      </c>
      <c r="B1953" s="37" t="s">
        <v>22751</v>
      </c>
      <c r="C1953" s="37" t="s">
        <v>2355</v>
      </c>
      <c r="D1953" s="37" t="s">
        <v>2351</v>
      </c>
    </row>
    <row r="1954" spans="1:4" ht="14.25">
      <c r="A1954" s="37">
        <v>2505</v>
      </c>
      <c r="B1954" s="37" t="s">
        <v>22752</v>
      </c>
      <c r="C1954" s="37" t="s">
        <v>2355</v>
      </c>
      <c r="D1954" s="37" t="s">
        <v>2351</v>
      </c>
    </row>
    <row r="1955" spans="1:4" ht="14.25">
      <c r="A1955" s="37">
        <v>12056</v>
      </c>
      <c r="B1955" s="37" t="s">
        <v>22753</v>
      </c>
      <c r="C1955" s="37" t="s">
        <v>2355</v>
      </c>
      <c r="D1955" s="37" t="s">
        <v>2351</v>
      </c>
    </row>
    <row r="1956" spans="1:4" ht="14.25">
      <c r="A1956" s="37">
        <v>12057</v>
      </c>
      <c r="B1956" s="37" t="s">
        <v>22754</v>
      </c>
      <c r="C1956" s="37" t="s">
        <v>2355</v>
      </c>
      <c r="D1956" s="37" t="s">
        <v>2351</v>
      </c>
    </row>
    <row r="1957" spans="1:4" ht="14.25">
      <c r="A1957" s="37">
        <v>12059</v>
      </c>
      <c r="B1957" s="37" t="s">
        <v>22755</v>
      </c>
      <c r="C1957" s="37" t="s">
        <v>2355</v>
      </c>
      <c r="D1957" s="37" t="s">
        <v>2351</v>
      </c>
    </row>
    <row r="1958" spans="1:4" ht="14.25">
      <c r="A1958" s="37">
        <v>12058</v>
      </c>
      <c r="B1958" s="37" t="s">
        <v>22756</v>
      </c>
      <c r="C1958" s="37" t="s">
        <v>2355</v>
      </c>
      <c r="D1958" s="37" t="s">
        <v>2351</v>
      </c>
    </row>
    <row r="1959" spans="1:4" ht="14.25">
      <c r="A1959" s="37">
        <v>12060</v>
      </c>
      <c r="B1959" s="37" t="s">
        <v>22757</v>
      </c>
      <c r="C1959" s="37" t="s">
        <v>2355</v>
      </c>
      <c r="D1959" s="37" t="s">
        <v>2351</v>
      </c>
    </row>
    <row r="1960" spans="1:4" ht="14.25">
      <c r="A1960" s="37">
        <v>12061</v>
      </c>
      <c r="B1960" s="37" t="s">
        <v>22758</v>
      </c>
      <c r="C1960" s="37" t="s">
        <v>2355</v>
      </c>
      <c r="D1960" s="37" t="s">
        <v>2351</v>
      </c>
    </row>
    <row r="1961" spans="1:4" ht="14.25">
      <c r="A1961" s="37">
        <v>12062</v>
      </c>
      <c r="B1961" s="37" t="s">
        <v>22759</v>
      </c>
      <c r="C1961" s="37" t="s">
        <v>2355</v>
      </c>
      <c r="D1961" s="37" t="s">
        <v>2351</v>
      </c>
    </row>
    <row r="1962" spans="1:4" ht="14.25">
      <c r="A1962" s="37">
        <v>21137</v>
      </c>
      <c r="B1962" s="37" t="s">
        <v>22760</v>
      </c>
      <c r="C1962" s="37" t="s">
        <v>2355</v>
      </c>
      <c r="D1962" s="37" t="s">
        <v>2351</v>
      </c>
    </row>
    <row r="1963" spans="1:4" ht="14.25">
      <c r="A1963" s="37">
        <v>2687</v>
      </c>
      <c r="B1963" s="37" t="s">
        <v>22761</v>
      </c>
      <c r="C1963" s="37" t="s">
        <v>2355</v>
      </c>
      <c r="D1963" s="37" t="s">
        <v>2349</v>
      </c>
    </row>
    <row r="1964" spans="1:4" ht="14.25">
      <c r="A1964" s="37">
        <v>2689</v>
      </c>
      <c r="B1964" s="37" t="s">
        <v>22762</v>
      </c>
      <c r="C1964" s="37" t="s">
        <v>2355</v>
      </c>
      <c r="D1964" s="37" t="s">
        <v>2349</v>
      </c>
    </row>
    <row r="1965" spans="1:4" ht="14.25">
      <c r="A1965" s="37">
        <v>2688</v>
      </c>
      <c r="B1965" s="37" t="s">
        <v>22763</v>
      </c>
      <c r="C1965" s="37" t="s">
        <v>2355</v>
      </c>
      <c r="D1965" s="37" t="s">
        <v>2349</v>
      </c>
    </row>
    <row r="1966" spans="1:4" ht="14.25">
      <c r="A1966" s="37">
        <v>2690</v>
      </c>
      <c r="B1966" s="37" t="s">
        <v>22764</v>
      </c>
      <c r="C1966" s="37" t="s">
        <v>2355</v>
      </c>
      <c r="D1966" s="37" t="s">
        <v>2349</v>
      </c>
    </row>
    <row r="1967" spans="1:4" ht="14.25">
      <c r="A1967" s="37">
        <v>39243</v>
      </c>
      <c r="B1967" s="37" t="s">
        <v>22765</v>
      </c>
      <c r="C1967" s="37" t="s">
        <v>2355</v>
      </c>
      <c r="D1967" s="37" t="s">
        <v>2349</v>
      </c>
    </row>
    <row r="1968" spans="1:4" ht="14.25">
      <c r="A1968" s="37">
        <v>39244</v>
      </c>
      <c r="B1968" s="37" t="s">
        <v>22766</v>
      </c>
      <c r="C1968" s="37" t="s">
        <v>2355</v>
      </c>
      <c r="D1968" s="37" t="s">
        <v>2349</v>
      </c>
    </row>
    <row r="1969" spans="1:4" ht="14.25">
      <c r="A1969" s="37">
        <v>39245</v>
      </c>
      <c r="B1969" s="37" t="s">
        <v>22767</v>
      </c>
      <c r="C1969" s="37" t="s">
        <v>2355</v>
      </c>
      <c r="D1969" s="37" t="s">
        <v>2349</v>
      </c>
    </row>
    <row r="1970" spans="1:4" ht="14.25">
      <c r="A1970" s="37">
        <v>39254</v>
      </c>
      <c r="B1970" s="37" t="s">
        <v>22768</v>
      </c>
      <c r="C1970" s="37" t="s">
        <v>2355</v>
      </c>
      <c r="D1970" s="37" t="s">
        <v>2349</v>
      </c>
    </row>
    <row r="1971" spans="1:4" ht="14.25">
      <c r="A1971" s="37">
        <v>39255</v>
      </c>
      <c r="B1971" s="37" t="s">
        <v>22769</v>
      </c>
      <c r="C1971" s="37" t="s">
        <v>2355</v>
      </c>
      <c r="D1971" s="37" t="s">
        <v>2349</v>
      </c>
    </row>
    <row r="1972" spans="1:4" ht="14.25">
      <c r="A1972" s="37">
        <v>39253</v>
      </c>
      <c r="B1972" s="37" t="s">
        <v>22770</v>
      </c>
      <c r="C1972" s="37" t="s">
        <v>2355</v>
      </c>
      <c r="D1972" s="37" t="s">
        <v>2349</v>
      </c>
    </row>
    <row r="1973" spans="1:4" ht="14.25">
      <c r="A1973" s="37">
        <v>39246</v>
      </c>
      <c r="B1973" s="37" t="s">
        <v>27982</v>
      </c>
      <c r="C1973" s="37" t="s">
        <v>2355</v>
      </c>
      <c r="D1973" s="37" t="s">
        <v>2349</v>
      </c>
    </row>
    <row r="1974" spans="1:4" ht="14.25">
      <c r="A1974" s="37">
        <v>39247</v>
      </c>
      <c r="B1974" s="37" t="s">
        <v>27983</v>
      </c>
      <c r="C1974" s="37" t="s">
        <v>2355</v>
      </c>
      <c r="D1974" s="37" t="s">
        <v>2349</v>
      </c>
    </row>
    <row r="1975" spans="1:4" ht="14.25">
      <c r="A1975" s="37">
        <v>2446</v>
      </c>
      <c r="B1975" s="37" t="s">
        <v>22771</v>
      </c>
      <c r="C1975" s="37" t="s">
        <v>2355</v>
      </c>
      <c r="D1975" s="37" t="s">
        <v>2353</v>
      </c>
    </row>
    <row r="1976" spans="1:4" ht="14.25">
      <c r="A1976" s="37">
        <v>2442</v>
      </c>
      <c r="B1976" s="37" t="s">
        <v>22772</v>
      </c>
      <c r="C1976" s="37" t="s">
        <v>2355</v>
      </c>
      <c r="D1976" s="37" t="s">
        <v>2349</v>
      </c>
    </row>
    <row r="1977" spans="1:4" ht="14.25">
      <c r="A1977" s="37">
        <v>39248</v>
      </c>
      <c r="B1977" s="37" t="s">
        <v>27984</v>
      </c>
      <c r="C1977" s="37" t="s">
        <v>2355</v>
      </c>
      <c r="D1977" s="37" t="s">
        <v>2349</v>
      </c>
    </row>
    <row r="1978" spans="1:4" ht="14.25">
      <c r="A1978" s="37">
        <v>2438</v>
      </c>
      <c r="B1978" s="37" t="s">
        <v>22773</v>
      </c>
      <c r="C1978" s="37" t="s">
        <v>2352</v>
      </c>
      <c r="D1978" s="37" t="s">
        <v>2349</v>
      </c>
    </row>
    <row r="1979" spans="1:4" ht="14.25">
      <c r="A1979" s="37">
        <v>40922</v>
      </c>
      <c r="B1979" s="37" t="s">
        <v>22774</v>
      </c>
      <c r="C1979" s="37" t="s">
        <v>2369</v>
      </c>
      <c r="D1979" s="37" t="s">
        <v>2349</v>
      </c>
    </row>
    <row r="1980" spans="1:4" ht="14.25">
      <c r="A1980" s="37">
        <v>36486</v>
      </c>
      <c r="B1980" s="37" t="s">
        <v>22775</v>
      </c>
      <c r="C1980" s="37" t="s">
        <v>2348</v>
      </c>
      <c r="D1980" s="37" t="s">
        <v>2351</v>
      </c>
    </row>
    <row r="1981" spans="1:4" ht="14.25">
      <c r="A1981" s="37">
        <v>37777</v>
      </c>
      <c r="B1981" s="37" t="s">
        <v>22776</v>
      </c>
      <c r="C1981" s="37" t="s">
        <v>2348</v>
      </c>
      <c r="D1981" s="37" t="s">
        <v>2351</v>
      </c>
    </row>
    <row r="1982" spans="1:4" ht="14.25">
      <c r="A1982" s="37">
        <v>12624</v>
      </c>
      <c r="B1982" s="37" t="s">
        <v>22777</v>
      </c>
      <c r="C1982" s="37" t="s">
        <v>2348</v>
      </c>
      <c r="D1982" s="37" t="s">
        <v>2351</v>
      </c>
    </row>
    <row r="1983" spans="1:4" ht="14.25">
      <c r="A1983" s="37">
        <v>517</v>
      </c>
      <c r="B1983" s="37" t="s">
        <v>22778</v>
      </c>
      <c r="C1983" s="37" t="s">
        <v>2363</v>
      </c>
      <c r="D1983" s="37" t="s">
        <v>2349</v>
      </c>
    </row>
    <row r="1984" spans="1:4" ht="14.25">
      <c r="A1984" s="37">
        <v>41904</v>
      </c>
      <c r="B1984" s="37" t="s">
        <v>22779</v>
      </c>
      <c r="C1984" s="37" t="s">
        <v>2415</v>
      </c>
      <c r="D1984" s="37" t="s">
        <v>2351</v>
      </c>
    </row>
    <row r="1985" spans="1:4" ht="14.25">
      <c r="A1985" s="37">
        <v>41903</v>
      </c>
      <c r="B1985" s="37" t="s">
        <v>22780</v>
      </c>
      <c r="C1985" s="37" t="s">
        <v>2356</v>
      </c>
      <c r="D1985" s="37" t="s">
        <v>2351</v>
      </c>
    </row>
    <row r="1986" spans="1:4" ht="14.25">
      <c r="A1986" s="37">
        <v>37534</v>
      </c>
      <c r="B1986" s="37" t="s">
        <v>22781</v>
      </c>
      <c r="C1986" s="37" t="s">
        <v>2356</v>
      </c>
      <c r="D1986" s="37" t="s">
        <v>2351</v>
      </c>
    </row>
    <row r="1987" spans="1:4" ht="14.25">
      <c r="A1987" s="37">
        <v>37535</v>
      </c>
      <c r="B1987" s="37" t="s">
        <v>22782</v>
      </c>
      <c r="C1987" s="37" t="s">
        <v>2356</v>
      </c>
      <c r="D1987" s="37" t="s">
        <v>2351</v>
      </c>
    </row>
    <row r="1988" spans="1:4" ht="14.25">
      <c r="A1988" s="37">
        <v>37533</v>
      </c>
      <c r="B1988" s="37" t="s">
        <v>22783</v>
      </c>
      <c r="C1988" s="37" t="s">
        <v>2356</v>
      </c>
      <c r="D1988" s="37" t="s">
        <v>2351</v>
      </c>
    </row>
    <row r="1989" spans="1:4" ht="14.25">
      <c r="A1989" s="37">
        <v>37537</v>
      </c>
      <c r="B1989" s="37" t="s">
        <v>22784</v>
      </c>
      <c r="C1989" s="37" t="s">
        <v>2356</v>
      </c>
      <c r="D1989" s="37" t="s">
        <v>2351</v>
      </c>
    </row>
    <row r="1990" spans="1:4" ht="14.25">
      <c r="A1990" s="37">
        <v>37536</v>
      </c>
      <c r="B1990" s="37" t="s">
        <v>22785</v>
      </c>
      <c r="C1990" s="37" t="s">
        <v>2356</v>
      </c>
      <c r="D1990" s="37" t="s">
        <v>2351</v>
      </c>
    </row>
    <row r="1991" spans="1:4" ht="14.25">
      <c r="A1991" s="37">
        <v>37532</v>
      </c>
      <c r="B1991" s="37" t="s">
        <v>22786</v>
      </c>
      <c r="C1991" s="37" t="s">
        <v>2356</v>
      </c>
      <c r="D1991" s="37" t="s">
        <v>2351</v>
      </c>
    </row>
    <row r="1992" spans="1:4" ht="14.25">
      <c r="A1992" s="37">
        <v>2696</v>
      </c>
      <c r="B1992" s="37" t="s">
        <v>22787</v>
      </c>
      <c r="C1992" s="37" t="s">
        <v>2352</v>
      </c>
      <c r="D1992" s="37" t="s">
        <v>2353</v>
      </c>
    </row>
    <row r="1993" spans="1:4" ht="14.25">
      <c r="A1993" s="37">
        <v>40928</v>
      </c>
      <c r="B1993" s="37" t="s">
        <v>22788</v>
      </c>
      <c r="C1993" s="37" t="s">
        <v>2369</v>
      </c>
      <c r="D1993" s="37" t="s">
        <v>2349</v>
      </c>
    </row>
    <row r="1994" spans="1:4" ht="14.25">
      <c r="A1994" s="37">
        <v>4083</v>
      </c>
      <c r="B1994" s="37" t="s">
        <v>22789</v>
      </c>
      <c r="C1994" s="37" t="s">
        <v>2352</v>
      </c>
      <c r="D1994" s="37" t="s">
        <v>2353</v>
      </c>
    </row>
    <row r="1995" spans="1:4" ht="14.25">
      <c r="A1995" s="37">
        <v>40818</v>
      </c>
      <c r="B1995" s="37" t="s">
        <v>22790</v>
      </c>
      <c r="C1995" s="37" t="s">
        <v>2369</v>
      </c>
      <c r="D1995" s="37" t="s">
        <v>2349</v>
      </c>
    </row>
    <row r="1996" spans="1:4" ht="14.25">
      <c r="A1996" s="37">
        <v>43146</v>
      </c>
      <c r="B1996" s="37" t="s">
        <v>22791</v>
      </c>
      <c r="C1996" s="37" t="s">
        <v>2356</v>
      </c>
      <c r="D1996" s="37" t="s">
        <v>2349</v>
      </c>
    </row>
    <row r="1997" spans="1:4" ht="14.25">
      <c r="A1997" s="37">
        <v>2705</v>
      </c>
      <c r="B1997" s="37" t="s">
        <v>22792</v>
      </c>
      <c r="C1997" s="37" t="s">
        <v>2460</v>
      </c>
      <c r="D1997" s="37" t="s">
        <v>2349</v>
      </c>
    </row>
    <row r="1998" spans="1:4" ht="14.25">
      <c r="A1998" s="37">
        <v>14250</v>
      </c>
      <c r="B1998" s="37" t="s">
        <v>22793</v>
      </c>
      <c r="C1998" s="37" t="s">
        <v>2460</v>
      </c>
      <c r="D1998" s="37" t="s">
        <v>2353</v>
      </c>
    </row>
    <row r="1999" spans="1:4" ht="14.25">
      <c r="A1999" s="37">
        <v>11683</v>
      </c>
      <c r="B1999" s="37" t="s">
        <v>22794</v>
      </c>
      <c r="C1999" s="37" t="s">
        <v>2348</v>
      </c>
      <c r="D1999" s="37" t="s">
        <v>2349</v>
      </c>
    </row>
    <row r="2000" spans="1:4" ht="14.25">
      <c r="A2000" s="37">
        <v>11684</v>
      </c>
      <c r="B2000" s="37" t="s">
        <v>22795</v>
      </c>
      <c r="C2000" s="37" t="s">
        <v>2348</v>
      </c>
      <c r="D2000" s="37" t="s">
        <v>2349</v>
      </c>
    </row>
    <row r="2001" spans="1:4" ht="14.25">
      <c r="A2001" s="37">
        <v>6141</v>
      </c>
      <c r="B2001" s="37" t="s">
        <v>22796</v>
      </c>
      <c r="C2001" s="37" t="s">
        <v>2348</v>
      </c>
      <c r="D2001" s="37" t="s">
        <v>2349</v>
      </c>
    </row>
    <row r="2002" spans="1:4" ht="14.25">
      <c r="A2002" s="37">
        <v>11681</v>
      </c>
      <c r="B2002" s="37" t="s">
        <v>22797</v>
      </c>
      <c r="C2002" s="37" t="s">
        <v>2348</v>
      </c>
      <c r="D2002" s="37" t="s">
        <v>2349</v>
      </c>
    </row>
    <row r="2003" spans="1:4" ht="14.25">
      <c r="A2003" s="37">
        <v>2706</v>
      </c>
      <c r="B2003" s="37" t="s">
        <v>22798</v>
      </c>
      <c r="C2003" s="37" t="s">
        <v>2352</v>
      </c>
      <c r="D2003" s="37" t="s">
        <v>2353</v>
      </c>
    </row>
    <row r="2004" spans="1:4" ht="14.25">
      <c r="A2004" s="37">
        <v>40811</v>
      </c>
      <c r="B2004" s="37" t="s">
        <v>22799</v>
      </c>
      <c r="C2004" s="37" t="s">
        <v>2369</v>
      </c>
      <c r="D2004" s="37" t="s">
        <v>2349</v>
      </c>
    </row>
    <row r="2005" spans="1:4" ht="14.25">
      <c r="A2005" s="37">
        <v>2707</v>
      </c>
      <c r="B2005" s="37" t="s">
        <v>22800</v>
      </c>
      <c r="C2005" s="37" t="s">
        <v>2352</v>
      </c>
      <c r="D2005" s="37" t="s">
        <v>2349</v>
      </c>
    </row>
    <row r="2006" spans="1:4" ht="14.25">
      <c r="A2006" s="37">
        <v>40813</v>
      </c>
      <c r="B2006" s="37" t="s">
        <v>22801</v>
      </c>
      <c r="C2006" s="37" t="s">
        <v>2369</v>
      </c>
      <c r="D2006" s="37" t="s">
        <v>2349</v>
      </c>
    </row>
    <row r="2007" spans="1:4" ht="14.25">
      <c r="A2007" s="37">
        <v>2708</v>
      </c>
      <c r="B2007" s="37" t="s">
        <v>22802</v>
      </c>
      <c r="C2007" s="37" t="s">
        <v>2352</v>
      </c>
      <c r="D2007" s="37" t="s">
        <v>2349</v>
      </c>
    </row>
    <row r="2008" spans="1:4" ht="14.25">
      <c r="A2008" s="37">
        <v>40814</v>
      </c>
      <c r="B2008" s="37" t="s">
        <v>22803</v>
      </c>
      <c r="C2008" s="37" t="s">
        <v>2369</v>
      </c>
      <c r="D2008" s="37" t="s">
        <v>2349</v>
      </c>
    </row>
    <row r="2009" spans="1:4" ht="14.25">
      <c r="A2009" s="37">
        <v>34779</v>
      </c>
      <c r="B2009" s="37" t="s">
        <v>22804</v>
      </c>
      <c r="C2009" s="37" t="s">
        <v>2352</v>
      </c>
      <c r="D2009" s="37" t="s">
        <v>2349</v>
      </c>
    </row>
    <row r="2010" spans="1:4" ht="14.25">
      <c r="A2010" s="37">
        <v>40936</v>
      </c>
      <c r="B2010" s="37" t="s">
        <v>22805</v>
      </c>
      <c r="C2010" s="37" t="s">
        <v>2369</v>
      </c>
      <c r="D2010" s="37" t="s">
        <v>2349</v>
      </c>
    </row>
    <row r="2011" spans="1:4" ht="14.25">
      <c r="A2011" s="37">
        <v>34780</v>
      </c>
      <c r="B2011" s="37" t="s">
        <v>22806</v>
      </c>
      <c r="C2011" s="37" t="s">
        <v>2352</v>
      </c>
      <c r="D2011" s="37" t="s">
        <v>2349</v>
      </c>
    </row>
    <row r="2012" spans="1:4" ht="14.25">
      <c r="A2012" s="37">
        <v>40937</v>
      </c>
      <c r="B2012" s="37" t="s">
        <v>22807</v>
      </c>
      <c r="C2012" s="37" t="s">
        <v>2369</v>
      </c>
      <c r="D2012" s="37" t="s">
        <v>2349</v>
      </c>
    </row>
    <row r="2013" spans="1:4" ht="14.25">
      <c r="A2013" s="37">
        <v>34782</v>
      </c>
      <c r="B2013" s="37" t="s">
        <v>22808</v>
      </c>
      <c r="C2013" s="37" t="s">
        <v>2352</v>
      </c>
      <c r="D2013" s="37" t="s">
        <v>2349</v>
      </c>
    </row>
    <row r="2014" spans="1:4" ht="14.25">
      <c r="A2014" s="37">
        <v>40938</v>
      </c>
      <c r="B2014" s="37" t="s">
        <v>22809</v>
      </c>
      <c r="C2014" s="37" t="s">
        <v>2369</v>
      </c>
      <c r="D2014" s="37" t="s">
        <v>2349</v>
      </c>
    </row>
    <row r="2015" spans="1:4" ht="14.25">
      <c r="A2015" s="37">
        <v>34783</v>
      </c>
      <c r="B2015" s="37" t="s">
        <v>22810</v>
      </c>
      <c r="C2015" s="37" t="s">
        <v>2352</v>
      </c>
      <c r="D2015" s="37" t="s">
        <v>2349</v>
      </c>
    </row>
    <row r="2016" spans="1:4" ht="14.25">
      <c r="A2016" s="37">
        <v>40939</v>
      </c>
      <c r="B2016" s="37" t="s">
        <v>22811</v>
      </c>
      <c r="C2016" s="37" t="s">
        <v>2369</v>
      </c>
      <c r="D2016" s="37" t="s">
        <v>2349</v>
      </c>
    </row>
    <row r="2017" spans="1:4" ht="14.25">
      <c r="A2017" s="37">
        <v>34785</v>
      </c>
      <c r="B2017" s="37" t="s">
        <v>22812</v>
      </c>
      <c r="C2017" s="37" t="s">
        <v>2352</v>
      </c>
      <c r="D2017" s="37" t="s">
        <v>2349</v>
      </c>
    </row>
    <row r="2018" spans="1:4" ht="14.25">
      <c r="A2018" s="37">
        <v>40940</v>
      </c>
      <c r="B2018" s="37" t="s">
        <v>22813</v>
      </c>
      <c r="C2018" s="37" t="s">
        <v>2369</v>
      </c>
      <c r="D2018" s="37" t="s">
        <v>2349</v>
      </c>
    </row>
    <row r="2019" spans="1:4" ht="14.25">
      <c r="A2019" s="37">
        <v>38403</v>
      </c>
      <c r="B2019" s="37" t="s">
        <v>22814</v>
      </c>
      <c r="C2019" s="37" t="s">
        <v>2348</v>
      </c>
      <c r="D2019" s="37" t="s">
        <v>2349</v>
      </c>
    </row>
    <row r="2020" spans="1:4" ht="14.25">
      <c r="A2020" s="37">
        <v>43482</v>
      </c>
      <c r="B2020" s="37" t="s">
        <v>22815</v>
      </c>
      <c r="C2020" s="37" t="s">
        <v>2352</v>
      </c>
      <c r="D2020" s="37" t="s">
        <v>2353</v>
      </c>
    </row>
    <row r="2021" spans="1:4" ht="14.25">
      <c r="A2021" s="37">
        <v>43494</v>
      </c>
      <c r="B2021" s="37" t="s">
        <v>22816</v>
      </c>
      <c r="C2021" s="37" t="s">
        <v>2369</v>
      </c>
      <c r="D2021" s="37" t="s">
        <v>2353</v>
      </c>
    </row>
    <row r="2022" spans="1:4" ht="14.25">
      <c r="A2022" s="37">
        <v>43483</v>
      </c>
      <c r="B2022" s="37" t="s">
        <v>22817</v>
      </c>
      <c r="C2022" s="37" t="s">
        <v>2352</v>
      </c>
      <c r="D2022" s="37" t="s">
        <v>2353</v>
      </c>
    </row>
    <row r="2023" spans="1:4" ht="14.25">
      <c r="A2023" s="37">
        <v>43495</v>
      </c>
      <c r="B2023" s="37" t="s">
        <v>22818</v>
      </c>
      <c r="C2023" s="37" t="s">
        <v>2369</v>
      </c>
      <c r="D2023" s="37" t="s">
        <v>2353</v>
      </c>
    </row>
    <row r="2024" spans="1:4" ht="14.25">
      <c r="A2024" s="37">
        <v>43484</v>
      </c>
      <c r="B2024" s="37" t="s">
        <v>22819</v>
      </c>
      <c r="C2024" s="37" t="s">
        <v>2352</v>
      </c>
      <c r="D2024" s="37" t="s">
        <v>2353</v>
      </c>
    </row>
    <row r="2025" spans="1:4" ht="14.25">
      <c r="A2025" s="37">
        <v>43496</v>
      </c>
      <c r="B2025" s="37" t="s">
        <v>22820</v>
      </c>
      <c r="C2025" s="37" t="s">
        <v>2369</v>
      </c>
      <c r="D2025" s="37" t="s">
        <v>2353</v>
      </c>
    </row>
    <row r="2026" spans="1:4" ht="14.25">
      <c r="A2026" s="37">
        <v>43485</v>
      </c>
      <c r="B2026" s="37" t="s">
        <v>22821</v>
      </c>
      <c r="C2026" s="37" t="s">
        <v>2352</v>
      </c>
      <c r="D2026" s="37" t="s">
        <v>2353</v>
      </c>
    </row>
    <row r="2027" spans="1:4" ht="14.25">
      <c r="A2027" s="37">
        <v>43497</v>
      </c>
      <c r="B2027" s="37" t="s">
        <v>22822</v>
      </c>
      <c r="C2027" s="37" t="s">
        <v>2369</v>
      </c>
      <c r="D2027" s="37" t="s">
        <v>2353</v>
      </c>
    </row>
    <row r="2028" spans="1:4" ht="14.25">
      <c r="A2028" s="37">
        <v>43487</v>
      </c>
      <c r="B2028" s="37" t="s">
        <v>22823</v>
      </c>
      <c r="C2028" s="37" t="s">
        <v>2352</v>
      </c>
      <c r="D2028" s="37" t="s">
        <v>2353</v>
      </c>
    </row>
    <row r="2029" spans="1:4" ht="14.25">
      <c r="A2029" s="37">
        <v>43499</v>
      </c>
      <c r="B2029" s="37" t="s">
        <v>22824</v>
      </c>
      <c r="C2029" s="37" t="s">
        <v>2369</v>
      </c>
      <c r="D2029" s="37" t="s">
        <v>2353</v>
      </c>
    </row>
    <row r="2030" spans="1:4" ht="14.25">
      <c r="A2030" s="37">
        <v>43486</v>
      </c>
      <c r="B2030" s="37" t="s">
        <v>22825</v>
      </c>
      <c r="C2030" s="37" t="s">
        <v>2352</v>
      </c>
      <c r="D2030" s="37" t="s">
        <v>2353</v>
      </c>
    </row>
    <row r="2031" spans="1:4" ht="14.25">
      <c r="A2031" s="37">
        <v>43498</v>
      </c>
      <c r="B2031" s="37" t="s">
        <v>22826</v>
      </c>
      <c r="C2031" s="37" t="s">
        <v>2369</v>
      </c>
      <c r="D2031" s="37" t="s">
        <v>2353</v>
      </c>
    </row>
    <row r="2032" spans="1:4" ht="14.25">
      <c r="A2032" s="37">
        <v>43488</v>
      </c>
      <c r="B2032" s="37" t="s">
        <v>22827</v>
      </c>
      <c r="C2032" s="37" t="s">
        <v>2352</v>
      </c>
      <c r="D2032" s="37" t="s">
        <v>2353</v>
      </c>
    </row>
    <row r="2033" spans="1:4" ht="14.25">
      <c r="A2033" s="37">
        <v>43500</v>
      </c>
      <c r="B2033" s="37" t="s">
        <v>22828</v>
      </c>
      <c r="C2033" s="37" t="s">
        <v>2369</v>
      </c>
      <c r="D2033" s="37" t="s">
        <v>2353</v>
      </c>
    </row>
    <row r="2034" spans="1:4" ht="14.25">
      <c r="A2034" s="37">
        <v>43489</v>
      </c>
      <c r="B2034" s="37" t="s">
        <v>22829</v>
      </c>
      <c r="C2034" s="37" t="s">
        <v>2352</v>
      </c>
      <c r="D2034" s="37" t="s">
        <v>2353</v>
      </c>
    </row>
    <row r="2035" spans="1:4" ht="14.25">
      <c r="A2035" s="37">
        <v>43501</v>
      </c>
      <c r="B2035" s="37" t="s">
        <v>22830</v>
      </c>
      <c r="C2035" s="37" t="s">
        <v>2369</v>
      </c>
      <c r="D2035" s="37" t="s">
        <v>2353</v>
      </c>
    </row>
    <row r="2036" spans="1:4" ht="14.25">
      <c r="A2036" s="37">
        <v>43490</v>
      </c>
      <c r="B2036" s="37" t="s">
        <v>22831</v>
      </c>
      <c r="C2036" s="37" t="s">
        <v>2352</v>
      </c>
      <c r="D2036" s="37" t="s">
        <v>2353</v>
      </c>
    </row>
    <row r="2037" spans="1:4" ht="14.25">
      <c r="A2037" s="37">
        <v>43502</v>
      </c>
      <c r="B2037" s="37" t="s">
        <v>22832</v>
      </c>
      <c r="C2037" s="37" t="s">
        <v>2369</v>
      </c>
      <c r="D2037" s="37" t="s">
        <v>2353</v>
      </c>
    </row>
    <row r="2038" spans="1:4" ht="14.25">
      <c r="A2038" s="37">
        <v>43491</v>
      </c>
      <c r="B2038" s="37" t="s">
        <v>22833</v>
      </c>
      <c r="C2038" s="37" t="s">
        <v>2352</v>
      </c>
      <c r="D2038" s="37" t="s">
        <v>2353</v>
      </c>
    </row>
    <row r="2039" spans="1:4" ht="14.25">
      <c r="A2039" s="37">
        <v>43503</v>
      </c>
      <c r="B2039" s="37" t="s">
        <v>22834</v>
      </c>
      <c r="C2039" s="37" t="s">
        <v>2369</v>
      </c>
      <c r="D2039" s="37" t="s">
        <v>2353</v>
      </c>
    </row>
    <row r="2040" spans="1:4" ht="14.25">
      <c r="A2040" s="37">
        <v>43492</v>
      </c>
      <c r="B2040" s="37" t="s">
        <v>22835</v>
      </c>
      <c r="C2040" s="37" t="s">
        <v>2352</v>
      </c>
      <c r="D2040" s="37" t="s">
        <v>2353</v>
      </c>
    </row>
    <row r="2041" spans="1:4" ht="14.25">
      <c r="A2041" s="37">
        <v>43504</v>
      </c>
      <c r="B2041" s="37" t="s">
        <v>22836</v>
      </c>
      <c r="C2041" s="37" t="s">
        <v>2369</v>
      </c>
      <c r="D2041" s="37" t="s">
        <v>2353</v>
      </c>
    </row>
    <row r="2042" spans="1:4" ht="14.25">
      <c r="A2042" s="37">
        <v>43493</v>
      </c>
      <c r="B2042" s="37" t="s">
        <v>22837</v>
      </c>
      <c r="C2042" s="37" t="s">
        <v>2352</v>
      </c>
      <c r="D2042" s="37" t="s">
        <v>2353</v>
      </c>
    </row>
    <row r="2043" spans="1:4" ht="14.25">
      <c r="A2043" s="37">
        <v>43505</v>
      </c>
      <c r="B2043" s="37" t="s">
        <v>22838</v>
      </c>
      <c r="C2043" s="37" t="s">
        <v>2369</v>
      </c>
      <c r="D2043" s="37" t="s">
        <v>2353</v>
      </c>
    </row>
    <row r="2044" spans="1:4" ht="14.25">
      <c r="A2044" s="37">
        <v>37774</v>
      </c>
      <c r="B2044" s="37" t="s">
        <v>22839</v>
      </c>
      <c r="C2044" s="37" t="s">
        <v>2348</v>
      </c>
      <c r="D2044" s="37" t="s">
        <v>2351</v>
      </c>
    </row>
    <row r="2045" spans="1:4" ht="14.25">
      <c r="A2045" s="37">
        <v>38630</v>
      </c>
      <c r="B2045" s="37" t="s">
        <v>22840</v>
      </c>
      <c r="C2045" s="37" t="s">
        <v>2348</v>
      </c>
      <c r="D2045" s="37" t="s">
        <v>2351</v>
      </c>
    </row>
    <row r="2046" spans="1:4" ht="14.25">
      <c r="A2046" s="37">
        <v>38629</v>
      </c>
      <c r="B2046" s="37" t="s">
        <v>22841</v>
      </c>
      <c r="C2046" s="37" t="s">
        <v>2348</v>
      </c>
      <c r="D2046" s="37" t="s">
        <v>2351</v>
      </c>
    </row>
    <row r="2047" spans="1:4" ht="14.25">
      <c r="A2047" s="37">
        <v>38476</v>
      </c>
      <c r="B2047" s="37" t="s">
        <v>22842</v>
      </c>
      <c r="C2047" s="37" t="s">
        <v>2348</v>
      </c>
      <c r="D2047" s="37" t="s">
        <v>2349</v>
      </c>
    </row>
    <row r="2048" spans="1:4" ht="14.25">
      <c r="A2048" s="37">
        <v>38477</v>
      </c>
      <c r="B2048" s="37" t="s">
        <v>22843</v>
      </c>
      <c r="C2048" s="37" t="s">
        <v>2348</v>
      </c>
      <c r="D2048" s="37" t="s">
        <v>2349</v>
      </c>
    </row>
    <row r="2049" spans="1:4" ht="14.25">
      <c r="A2049" s="37">
        <v>40635</v>
      </c>
      <c r="B2049" s="37" t="s">
        <v>22844</v>
      </c>
      <c r="C2049" s="37" t="s">
        <v>2348</v>
      </c>
      <c r="D2049" s="37" t="s">
        <v>2349</v>
      </c>
    </row>
    <row r="2050" spans="1:4" ht="14.25">
      <c r="A2050" s="37">
        <v>36483</v>
      </c>
      <c r="B2050" s="37" t="s">
        <v>22845</v>
      </c>
      <c r="C2050" s="37" t="s">
        <v>2348</v>
      </c>
      <c r="D2050" s="37" t="s">
        <v>2349</v>
      </c>
    </row>
    <row r="2051" spans="1:4" ht="14.25">
      <c r="A2051" s="37">
        <v>14525</v>
      </c>
      <c r="B2051" s="37" t="s">
        <v>22846</v>
      </c>
      <c r="C2051" s="37" t="s">
        <v>2348</v>
      </c>
      <c r="D2051" s="37" t="s">
        <v>2349</v>
      </c>
    </row>
    <row r="2052" spans="1:4" ht="14.25">
      <c r="A2052" s="37">
        <v>36482</v>
      </c>
      <c r="B2052" s="37" t="s">
        <v>22847</v>
      </c>
      <c r="C2052" s="37" t="s">
        <v>2348</v>
      </c>
      <c r="D2052" s="37" t="s">
        <v>2349</v>
      </c>
    </row>
    <row r="2053" spans="1:4" ht="14.25">
      <c r="A2053" s="37">
        <v>36408</v>
      </c>
      <c r="B2053" s="37" t="s">
        <v>22848</v>
      </c>
      <c r="C2053" s="37" t="s">
        <v>2348</v>
      </c>
      <c r="D2053" s="37" t="s">
        <v>2349</v>
      </c>
    </row>
    <row r="2054" spans="1:4" ht="14.25">
      <c r="A2054" s="37">
        <v>2723</v>
      </c>
      <c r="B2054" s="37" t="s">
        <v>22849</v>
      </c>
      <c r="C2054" s="37" t="s">
        <v>2348</v>
      </c>
      <c r="D2054" s="37" t="s">
        <v>2349</v>
      </c>
    </row>
    <row r="2055" spans="1:4" ht="14.25">
      <c r="A2055" s="37">
        <v>36481</v>
      </c>
      <c r="B2055" s="37" t="s">
        <v>22850</v>
      </c>
      <c r="C2055" s="37" t="s">
        <v>2348</v>
      </c>
      <c r="D2055" s="37" t="s">
        <v>2349</v>
      </c>
    </row>
    <row r="2056" spans="1:4" ht="14.25">
      <c r="A2056" s="37">
        <v>10685</v>
      </c>
      <c r="B2056" s="37" t="s">
        <v>22851</v>
      </c>
      <c r="C2056" s="37" t="s">
        <v>2348</v>
      </c>
      <c r="D2056" s="37" t="s">
        <v>2353</v>
      </c>
    </row>
    <row r="2057" spans="1:4" ht="14.25">
      <c r="A2057" s="37">
        <v>40636</v>
      </c>
      <c r="B2057" s="37" t="s">
        <v>22852</v>
      </c>
      <c r="C2057" s="37" t="s">
        <v>2348</v>
      </c>
      <c r="D2057" s="37" t="s">
        <v>2349</v>
      </c>
    </row>
    <row r="2058" spans="1:4" ht="14.25">
      <c r="A2058" s="37">
        <v>4111</v>
      </c>
      <c r="B2058" s="37" t="s">
        <v>22853</v>
      </c>
      <c r="C2058" s="37" t="s">
        <v>2348</v>
      </c>
      <c r="D2058" s="37" t="s">
        <v>2349</v>
      </c>
    </row>
    <row r="2059" spans="1:4" ht="14.25">
      <c r="A2059" s="37">
        <v>44538</v>
      </c>
      <c r="B2059" s="37" t="s">
        <v>27985</v>
      </c>
      <c r="C2059" s="37" t="s">
        <v>2348</v>
      </c>
      <c r="D2059" s="37" t="s">
        <v>2349</v>
      </c>
    </row>
    <row r="2060" spans="1:4" ht="14.25">
      <c r="A2060" s="37">
        <v>12</v>
      </c>
      <c r="B2060" s="37" t="s">
        <v>22854</v>
      </c>
      <c r="C2060" s="37" t="s">
        <v>2348</v>
      </c>
      <c r="D2060" s="37" t="s">
        <v>2353</v>
      </c>
    </row>
    <row r="2061" spans="1:4" ht="14.25">
      <c r="A2061" s="37">
        <v>37554</v>
      </c>
      <c r="B2061" s="37" t="s">
        <v>22855</v>
      </c>
      <c r="C2061" s="37" t="s">
        <v>2348</v>
      </c>
      <c r="D2061" s="37" t="s">
        <v>2349</v>
      </c>
    </row>
    <row r="2062" spans="1:4" ht="14.25">
      <c r="A2062" s="37">
        <v>37555</v>
      </c>
      <c r="B2062" s="37" t="s">
        <v>22856</v>
      </c>
      <c r="C2062" s="37" t="s">
        <v>2348</v>
      </c>
      <c r="D2062" s="37" t="s">
        <v>2349</v>
      </c>
    </row>
    <row r="2063" spans="1:4" ht="14.25">
      <c r="A2063" s="37">
        <v>10902</v>
      </c>
      <c r="B2063" s="37" t="s">
        <v>22857</v>
      </c>
      <c r="C2063" s="37" t="s">
        <v>2348</v>
      </c>
      <c r="D2063" s="37" t="s">
        <v>2349</v>
      </c>
    </row>
    <row r="2064" spans="1:4" ht="14.25">
      <c r="A2064" s="37">
        <v>20965</v>
      </c>
      <c r="B2064" s="37" t="s">
        <v>22858</v>
      </c>
      <c r="C2064" s="37" t="s">
        <v>2348</v>
      </c>
      <c r="D2064" s="37" t="s">
        <v>2349</v>
      </c>
    </row>
    <row r="2065" spans="1:4" ht="14.25">
      <c r="A2065" s="37">
        <v>20966</v>
      </c>
      <c r="B2065" s="37" t="s">
        <v>22859</v>
      </c>
      <c r="C2065" s="37" t="s">
        <v>2348</v>
      </c>
      <c r="D2065" s="37" t="s">
        <v>2349</v>
      </c>
    </row>
    <row r="2066" spans="1:4" ht="14.25">
      <c r="A2066" s="37">
        <v>10903</v>
      </c>
      <c r="B2066" s="37" t="s">
        <v>22860</v>
      </c>
      <c r="C2066" s="37" t="s">
        <v>2348</v>
      </c>
      <c r="D2066" s="37" t="s">
        <v>2349</v>
      </c>
    </row>
    <row r="2067" spans="1:4" ht="14.25">
      <c r="A2067" s="37">
        <v>20967</v>
      </c>
      <c r="B2067" s="37" t="s">
        <v>22861</v>
      </c>
      <c r="C2067" s="37" t="s">
        <v>2348</v>
      </c>
      <c r="D2067" s="37" t="s">
        <v>2349</v>
      </c>
    </row>
    <row r="2068" spans="1:4" ht="14.25">
      <c r="A2068" s="37">
        <v>20968</v>
      </c>
      <c r="B2068" s="37" t="s">
        <v>22862</v>
      </c>
      <c r="C2068" s="37" t="s">
        <v>2348</v>
      </c>
      <c r="D2068" s="37" t="s">
        <v>2349</v>
      </c>
    </row>
    <row r="2069" spans="1:4" ht="14.25">
      <c r="A2069" s="37">
        <v>11359</v>
      </c>
      <c r="B2069" s="37" t="s">
        <v>22863</v>
      </c>
      <c r="C2069" s="37" t="s">
        <v>2348</v>
      </c>
      <c r="D2069" s="37" t="s">
        <v>2353</v>
      </c>
    </row>
    <row r="2070" spans="1:4" ht="14.25">
      <c r="A2070" s="37">
        <v>39017</v>
      </c>
      <c r="B2070" s="37" t="s">
        <v>22864</v>
      </c>
      <c r="C2070" s="37" t="s">
        <v>2348</v>
      </c>
      <c r="D2070" s="37" t="s">
        <v>2349</v>
      </c>
    </row>
    <row r="2071" spans="1:4" ht="14.25">
      <c r="A2071" s="37">
        <v>39315</v>
      </c>
      <c r="B2071" s="37" t="s">
        <v>22865</v>
      </c>
      <c r="C2071" s="37" t="s">
        <v>2348</v>
      </c>
      <c r="D2071" s="37" t="s">
        <v>2349</v>
      </c>
    </row>
    <row r="2072" spans="1:4" ht="14.25">
      <c r="A2072" s="37">
        <v>39016</v>
      </c>
      <c r="B2072" s="37" t="s">
        <v>22866</v>
      </c>
      <c r="C2072" s="37" t="s">
        <v>2348</v>
      </c>
      <c r="D2072" s="37" t="s">
        <v>2349</v>
      </c>
    </row>
    <row r="2073" spans="1:4" ht="14.25">
      <c r="A2073" s="37">
        <v>40432</v>
      </c>
      <c r="B2073" s="37" t="s">
        <v>22867</v>
      </c>
      <c r="C2073" s="37" t="s">
        <v>2348</v>
      </c>
      <c r="D2073" s="37" t="s">
        <v>2349</v>
      </c>
    </row>
    <row r="2074" spans="1:4" ht="14.25">
      <c r="A2074" s="37">
        <v>39481</v>
      </c>
      <c r="B2074" s="37" t="s">
        <v>22868</v>
      </c>
      <c r="C2074" s="37" t="s">
        <v>2348</v>
      </c>
      <c r="D2074" s="37" t="s">
        <v>2349</v>
      </c>
    </row>
    <row r="2075" spans="1:4" ht="14.25">
      <c r="A2075" s="37">
        <v>40433</v>
      </c>
      <c r="B2075" s="37" t="s">
        <v>22869</v>
      </c>
      <c r="C2075" s="37" t="s">
        <v>2348</v>
      </c>
      <c r="D2075" s="37" t="s">
        <v>2349</v>
      </c>
    </row>
    <row r="2076" spans="1:4" ht="14.25">
      <c r="A2076" s="37">
        <v>20219</v>
      </c>
      <c r="B2076" s="37" t="s">
        <v>22870</v>
      </c>
      <c r="C2076" s="37" t="s">
        <v>2348</v>
      </c>
      <c r="D2076" s="37" t="s">
        <v>2351</v>
      </c>
    </row>
    <row r="2077" spans="1:4" ht="14.25">
      <c r="A2077" s="37">
        <v>36484</v>
      </c>
      <c r="B2077" s="37" t="s">
        <v>22871</v>
      </c>
      <c r="C2077" s="37" t="s">
        <v>2348</v>
      </c>
      <c r="D2077" s="37" t="s">
        <v>2351</v>
      </c>
    </row>
    <row r="2078" spans="1:4" ht="14.25">
      <c r="A2078" s="37">
        <v>38367</v>
      </c>
      <c r="B2078" s="37" t="s">
        <v>22872</v>
      </c>
      <c r="C2078" s="37" t="s">
        <v>2348</v>
      </c>
      <c r="D2078" s="37" t="s">
        <v>2349</v>
      </c>
    </row>
    <row r="2079" spans="1:4" ht="14.25">
      <c r="A2079" s="37">
        <v>38368</v>
      </c>
      <c r="B2079" s="37" t="s">
        <v>22873</v>
      </c>
      <c r="C2079" s="37" t="s">
        <v>2348</v>
      </c>
      <c r="D2079" s="37" t="s">
        <v>2349</v>
      </c>
    </row>
    <row r="2080" spans="1:4" ht="14.25">
      <c r="A2080" s="37">
        <v>38091</v>
      </c>
      <c r="B2080" s="37" t="s">
        <v>22874</v>
      </c>
      <c r="C2080" s="37" t="s">
        <v>2348</v>
      </c>
      <c r="D2080" s="37" t="s">
        <v>2349</v>
      </c>
    </row>
    <row r="2081" spans="1:4" ht="14.25">
      <c r="A2081" s="37">
        <v>38095</v>
      </c>
      <c r="B2081" s="37" t="s">
        <v>22875</v>
      </c>
      <c r="C2081" s="37" t="s">
        <v>2348</v>
      </c>
      <c r="D2081" s="37" t="s">
        <v>2349</v>
      </c>
    </row>
    <row r="2082" spans="1:4" ht="14.25">
      <c r="A2082" s="37">
        <v>38092</v>
      </c>
      <c r="B2082" s="37" t="s">
        <v>22876</v>
      </c>
      <c r="C2082" s="37" t="s">
        <v>2348</v>
      </c>
      <c r="D2082" s="37" t="s">
        <v>2349</v>
      </c>
    </row>
    <row r="2083" spans="1:4" ht="14.25">
      <c r="A2083" s="37">
        <v>38093</v>
      </c>
      <c r="B2083" s="37" t="s">
        <v>22877</v>
      </c>
      <c r="C2083" s="37" t="s">
        <v>2348</v>
      </c>
      <c r="D2083" s="37" t="s">
        <v>2349</v>
      </c>
    </row>
    <row r="2084" spans="1:4" ht="14.25">
      <c r="A2084" s="37">
        <v>38096</v>
      </c>
      <c r="B2084" s="37" t="s">
        <v>22878</v>
      </c>
      <c r="C2084" s="37" t="s">
        <v>2348</v>
      </c>
      <c r="D2084" s="37" t="s">
        <v>2349</v>
      </c>
    </row>
    <row r="2085" spans="1:4" ht="14.25">
      <c r="A2085" s="37">
        <v>38094</v>
      </c>
      <c r="B2085" s="37" t="s">
        <v>22879</v>
      </c>
      <c r="C2085" s="37" t="s">
        <v>2348</v>
      </c>
      <c r="D2085" s="37" t="s">
        <v>2349</v>
      </c>
    </row>
    <row r="2086" spans="1:4" ht="14.25">
      <c r="A2086" s="37">
        <v>38097</v>
      </c>
      <c r="B2086" s="37" t="s">
        <v>22880</v>
      </c>
      <c r="C2086" s="37" t="s">
        <v>2348</v>
      </c>
      <c r="D2086" s="37" t="s">
        <v>2349</v>
      </c>
    </row>
    <row r="2087" spans="1:4" ht="14.25">
      <c r="A2087" s="37">
        <v>38098</v>
      </c>
      <c r="B2087" s="37" t="s">
        <v>22881</v>
      </c>
      <c r="C2087" s="37" t="s">
        <v>2348</v>
      </c>
      <c r="D2087" s="37" t="s">
        <v>2349</v>
      </c>
    </row>
    <row r="2088" spans="1:4" ht="14.25">
      <c r="A2088" s="37">
        <v>11186</v>
      </c>
      <c r="B2088" s="37" t="s">
        <v>22882</v>
      </c>
      <c r="C2088" s="37" t="s">
        <v>2350</v>
      </c>
      <c r="D2088" s="37" t="s">
        <v>2349</v>
      </c>
    </row>
    <row r="2089" spans="1:4" ht="14.25">
      <c r="A2089" s="37">
        <v>11558</v>
      </c>
      <c r="B2089" s="37" t="s">
        <v>22883</v>
      </c>
      <c r="C2089" s="37" t="s">
        <v>2382</v>
      </c>
      <c r="D2089" s="37" t="s">
        <v>2349</v>
      </c>
    </row>
    <row r="2090" spans="1:4" ht="14.25">
      <c r="A2090" s="37">
        <v>11557</v>
      </c>
      <c r="B2090" s="37" t="s">
        <v>22884</v>
      </c>
      <c r="C2090" s="37" t="s">
        <v>2382</v>
      </c>
      <c r="D2090" s="37" t="s">
        <v>2349</v>
      </c>
    </row>
    <row r="2091" spans="1:4" ht="14.25">
      <c r="A2091" s="37">
        <v>2759</v>
      </c>
      <c r="B2091" s="37" t="s">
        <v>22885</v>
      </c>
      <c r="C2091" s="37" t="s">
        <v>2348</v>
      </c>
      <c r="D2091" s="37" t="s">
        <v>2351</v>
      </c>
    </row>
    <row r="2092" spans="1:4" ht="14.25">
      <c r="A2092" s="37">
        <v>38124</v>
      </c>
      <c r="B2092" s="37" t="s">
        <v>22886</v>
      </c>
      <c r="C2092" s="37" t="s">
        <v>2348</v>
      </c>
      <c r="D2092" s="37" t="s">
        <v>2353</v>
      </c>
    </row>
    <row r="2093" spans="1:4" ht="14.25">
      <c r="A2093" s="37">
        <v>38380</v>
      </c>
      <c r="B2093" s="37" t="s">
        <v>22887</v>
      </c>
      <c r="C2093" s="37" t="s">
        <v>2348</v>
      </c>
      <c r="D2093" s="37" t="s">
        <v>2349</v>
      </c>
    </row>
    <row r="2094" spans="1:4" ht="14.25">
      <c r="A2094" s="37">
        <v>20059</v>
      </c>
      <c r="B2094" s="37" t="s">
        <v>22888</v>
      </c>
      <c r="C2094" s="37" t="s">
        <v>2348</v>
      </c>
      <c r="D2094" s="37" t="s">
        <v>2351</v>
      </c>
    </row>
    <row r="2095" spans="1:4" ht="14.25">
      <c r="A2095" s="37">
        <v>42429</v>
      </c>
      <c r="B2095" s="37" t="s">
        <v>22889</v>
      </c>
      <c r="C2095" s="37" t="s">
        <v>2348</v>
      </c>
      <c r="D2095" s="37" t="s">
        <v>2351</v>
      </c>
    </row>
    <row r="2096" spans="1:4" ht="14.25">
      <c r="A2096" s="37">
        <v>39616</v>
      </c>
      <c r="B2096" s="37" t="s">
        <v>22890</v>
      </c>
      <c r="C2096" s="37" t="s">
        <v>2348</v>
      </c>
      <c r="D2096" s="37" t="s">
        <v>2351</v>
      </c>
    </row>
    <row r="2097" spans="1:4" ht="14.25">
      <c r="A2097" s="37">
        <v>39618</v>
      </c>
      <c r="B2097" s="37" t="s">
        <v>22891</v>
      </c>
      <c r="C2097" s="37" t="s">
        <v>2348</v>
      </c>
      <c r="D2097" s="37" t="s">
        <v>2351</v>
      </c>
    </row>
    <row r="2098" spans="1:4" ht="14.25">
      <c r="A2098" s="37">
        <v>39619</v>
      </c>
      <c r="B2098" s="37" t="s">
        <v>22892</v>
      </c>
      <c r="C2098" s="37" t="s">
        <v>2348</v>
      </c>
      <c r="D2098" s="37" t="s">
        <v>2351</v>
      </c>
    </row>
    <row r="2099" spans="1:4" ht="14.25">
      <c r="A2099" s="37">
        <v>39613</v>
      </c>
      <c r="B2099" s="37" t="s">
        <v>22893</v>
      </c>
      <c r="C2099" s="37" t="s">
        <v>2348</v>
      </c>
      <c r="D2099" s="37" t="s">
        <v>2351</v>
      </c>
    </row>
    <row r="2100" spans="1:4" ht="14.25">
      <c r="A2100" s="37">
        <v>39614</v>
      </c>
      <c r="B2100" s="37" t="s">
        <v>22894</v>
      </c>
      <c r="C2100" s="37" t="s">
        <v>2348</v>
      </c>
      <c r="D2100" s="37" t="s">
        <v>2351</v>
      </c>
    </row>
    <row r="2101" spans="1:4" ht="14.25">
      <c r="A2101" s="37">
        <v>38538</v>
      </c>
      <c r="B2101" s="37" t="s">
        <v>22895</v>
      </c>
      <c r="C2101" s="37" t="s">
        <v>2355</v>
      </c>
      <c r="D2101" s="37" t="s">
        <v>2351</v>
      </c>
    </row>
    <row r="2102" spans="1:4" ht="14.25">
      <c r="A2102" s="37">
        <v>38539</v>
      </c>
      <c r="B2102" s="37" t="s">
        <v>22896</v>
      </c>
      <c r="C2102" s="37" t="s">
        <v>2355</v>
      </c>
      <c r="D2102" s="37" t="s">
        <v>2351</v>
      </c>
    </row>
    <row r="2103" spans="1:4" ht="14.25">
      <c r="A2103" s="37">
        <v>38540</v>
      </c>
      <c r="B2103" s="37" t="s">
        <v>22897</v>
      </c>
      <c r="C2103" s="37" t="s">
        <v>2355</v>
      </c>
      <c r="D2103" s="37" t="s">
        <v>2351</v>
      </c>
    </row>
    <row r="2104" spans="1:4" ht="14.25">
      <c r="A2104" s="37">
        <v>38384</v>
      </c>
      <c r="B2104" s="37" t="s">
        <v>22898</v>
      </c>
      <c r="C2104" s="37" t="s">
        <v>2348</v>
      </c>
      <c r="D2104" s="37" t="s">
        <v>2349</v>
      </c>
    </row>
    <row r="2105" spans="1:4" ht="14.25">
      <c r="A2105" s="37">
        <v>13</v>
      </c>
      <c r="B2105" s="37" t="s">
        <v>22899</v>
      </c>
      <c r="C2105" s="37" t="s">
        <v>2356</v>
      </c>
      <c r="D2105" s="37" t="s">
        <v>2349</v>
      </c>
    </row>
    <row r="2106" spans="1:4" ht="14.25">
      <c r="A2106" s="37">
        <v>2762</v>
      </c>
      <c r="B2106" s="37" t="s">
        <v>22900</v>
      </c>
      <c r="C2106" s="37" t="s">
        <v>2355</v>
      </c>
      <c r="D2106" s="37" t="s">
        <v>2351</v>
      </c>
    </row>
    <row r="2107" spans="1:4" ht="14.25">
      <c r="A2107" s="37">
        <v>21142</v>
      </c>
      <c r="B2107" s="37" t="s">
        <v>22901</v>
      </c>
      <c r="C2107" s="37" t="s">
        <v>2348</v>
      </c>
      <c r="D2107" s="37" t="s">
        <v>2349</v>
      </c>
    </row>
    <row r="2108" spans="1:4" ht="14.25">
      <c r="A2108" s="37">
        <v>4223</v>
      </c>
      <c r="B2108" s="37" t="s">
        <v>22902</v>
      </c>
      <c r="C2108" s="37" t="s">
        <v>2363</v>
      </c>
      <c r="D2108" s="37" t="s">
        <v>2353</v>
      </c>
    </row>
    <row r="2109" spans="1:4" ht="14.25">
      <c r="A2109" s="37">
        <v>37372</v>
      </c>
      <c r="B2109" s="37" t="s">
        <v>22903</v>
      </c>
      <c r="C2109" s="37" t="s">
        <v>2352</v>
      </c>
      <c r="D2109" s="37" t="s">
        <v>2353</v>
      </c>
    </row>
    <row r="2110" spans="1:4" ht="14.25">
      <c r="A2110" s="37">
        <v>40863</v>
      </c>
      <c r="B2110" s="37" t="s">
        <v>22904</v>
      </c>
      <c r="C2110" s="37" t="s">
        <v>2369</v>
      </c>
      <c r="D2110" s="37" t="s">
        <v>2353</v>
      </c>
    </row>
    <row r="2111" spans="1:4" ht="14.25">
      <c r="A2111" s="37">
        <v>38475</v>
      </c>
      <c r="B2111" s="37" t="s">
        <v>22905</v>
      </c>
      <c r="C2111" s="37" t="s">
        <v>2348</v>
      </c>
      <c r="D2111" s="37" t="s">
        <v>2349</v>
      </c>
    </row>
    <row r="2112" spans="1:4" ht="14.25">
      <c r="A2112" s="37">
        <v>38474</v>
      </c>
      <c r="B2112" s="37" t="s">
        <v>22906</v>
      </c>
      <c r="C2112" s="37" t="s">
        <v>2348</v>
      </c>
      <c r="D2112" s="37" t="s">
        <v>2349</v>
      </c>
    </row>
    <row r="2113" spans="1:4" ht="14.25">
      <c r="A2113" s="37">
        <v>10886</v>
      </c>
      <c r="B2113" s="37" t="s">
        <v>22907</v>
      </c>
      <c r="C2113" s="37" t="s">
        <v>2348</v>
      </c>
      <c r="D2113" s="37" t="s">
        <v>2349</v>
      </c>
    </row>
    <row r="2114" spans="1:4" ht="14.25">
      <c r="A2114" s="37">
        <v>10888</v>
      </c>
      <c r="B2114" s="37" t="s">
        <v>22908</v>
      </c>
      <c r="C2114" s="37" t="s">
        <v>2348</v>
      </c>
      <c r="D2114" s="37" t="s">
        <v>2349</v>
      </c>
    </row>
    <row r="2115" spans="1:4" ht="14.25">
      <c r="A2115" s="37">
        <v>10889</v>
      </c>
      <c r="B2115" s="37" t="s">
        <v>22909</v>
      </c>
      <c r="C2115" s="37" t="s">
        <v>2348</v>
      </c>
      <c r="D2115" s="37" t="s">
        <v>2349</v>
      </c>
    </row>
    <row r="2116" spans="1:4" ht="14.25">
      <c r="A2116" s="37">
        <v>10890</v>
      </c>
      <c r="B2116" s="37" t="s">
        <v>22910</v>
      </c>
      <c r="C2116" s="37" t="s">
        <v>2348</v>
      </c>
      <c r="D2116" s="37" t="s">
        <v>2349</v>
      </c>
    </row>
    <row r="2117" spans="1:4" ht="14.25">
      <c r="A2117" s="37">
        <v>10891</v>
      </c>
      <c r="B2117" s="37" t="s">
        <v>22911</v>
      </c>
      <c r="C2117" s="37" t="s">
        <v>2348</v>
      </c>
      <c r="D2117" s="37" t="s">
        <v>2349</v>
      </c>
    </row>
    <row r="2118" spans="1:4" ht="14.25">
      <c r="A2118" s="37">
        <v>10892</v>
      </c>
      <c r="B2118" s="37" t="s">
        <v>22912</v>
      </c>
      <c r="C2118" s="37" t="s">
        <v>2348</v>
      </c>
      <c r="D2118" s="37" t="s">
        <v>2353</v>
      </c>
    </row>
    <row r="2119" spans="1:4" ht="14.25">
      <c r="A2119" s="37">
        <v>20977</v>
      </c>
      <c r="B2119" s="37" t="s">
        <v>22913</v>
      </c>
      <c r="C2119" s="37" t="s">
        <v>2348</v>
      </c>
      <c r="D2119" s="37" t="s">
        <v>2349</v>
      </c>
    </row>
    <row r="2120" spans="1:4" ht="14.25">
      <c r="A2120" s="37">
        <v>3073</v>
      </c>
      <c r="B2120" s="37" t="s">
        <v>22914</v>
      </c>
      <c r="C2120" s="37" t="s">
        <v>2348</v>
      </c>
      <c r="D2120" s="37" t="s">
        <v>2351</v>
      </c>
    </row>
    <row r="2121" spans="1:4" ht="14.25">
      <c r="A2121" s="37">
        <v>3068</v>
      </c>
      <c r="B2121" s="37" t="s">
        <v>22915</v>
      </c>
      <c r="C2121" s="37" t="s">
        <v>2348</v>
      </c>
      <c r="D2121" s="37" t="s">
        <v>2351</v>
      </c>
    </row>
    <row r="2122" spans="1:4" ht="14.25">
      <c r="A2122" s="37">
        <v>3074</v>
      </c>
      <c r="B2122" s="37" t="s">
        <v>22916</v>
      </c>
      <c r="C2122" s="37" t="s">
        <v>2348</v>
      </c>
      <c r="D2122" s="37" t="s">
        <v>2351</v>
      </c>
    </row>
    <row r="2123" spans="1:4" ht="14.25">
      <c r="A2123" s="37">
        <v>3076</v>
      </c>
      <c r="B2123" s="37" t="s">
        <v>22917</v>
      </c>
      <c r="C2123" s="37" t="s">
        <v>2348</v>
      </c>
      <c r="D2123" s="37" t="s">
        <v>2351</v>
      </c>
    </row>
    <row r="2124" spans="1:4" ht="14.25">
      <c r="A2124" s="37">
        <v>3072</v>
      </c>
      <c r="B2124" s="37" t="s">
        <v>22918</v>
      </c>
      <c r="C2124" s="37" t="s">
        <v>2348</v>
      </c>
      <c r="D2124" s="37" t="s">
        <v>2351</v>
      </c>
    </row>
    <row r="2125" spans="1:4" ht="14.25">
      <c r="A2125" s="37">
        <v>3075</v>
      </c>
      <c r="B2125" s="37" t="s">
        <v>22919</v>
      </c>
      <c r="C2125" s="37" t="s">
        <v>2348</v>
      </c>
      <c r="D2125" s="37" t="s">
        <v>2351</v>
      </c>
    </row>
    <row r="2126" spans="1:4" ht="14.25">
      <c r="A2126" s="37">
        <v>10780</v>
      </c>
      <c r="B2126" s="37" t="s">
        <v>22920</v>
      </c>
      <c r="C2126" s="37" t="s">
        <v>2348</v>
      </c>
      <c r="D2126" s="37" t="s">
        <v>2351</v>
      </c>
    </row>
    <row r="2127" spans="1:4" ht="14.25">
      <c r="A2127" s="37">
        <v>10781</v>
      </c>
      <c r="B2127" s="37" t="s">
        <v>22921</v>
      </c>
      <c r="C2127" s="37" t="s">
        <v>2348</v>
      </c>
      <c r="D2127" s="37" t="s">
        <v>2351</v>
      </c>
    </row>
    <row r="2128" spans="1:4" ht="14.25">
      <c r="A2128" s="37">
        <v>20106</v>
      </c>
      <c r="B2128" s="37" t="s">
        <v>22922</v>
      </c>
      <c r="C2128" s="37" t="s">
        <v>2348</v>
      </c>
      <c r="D2128" s="37" t="s">
        <v>2351</v>
      </c>
    </row>
    <row r="2129" spans="1:4" ht="14.25">
      <c r="A2129" s="37">
        <v>20107</v>
      </c>
      <c r="B2129" s="37" t="s">
        <v>22923</v>
      </c>
      <c r="C2129" s="37" t="s">
        <v>2348</v>
      </c>
      <c r="D2129" s="37" t="s">
        <v>2351</v>
      </c>
    </row>
    <row r="2130" spans="1:4" ht="14.25">
      <c r="A2130" s="37">
        <v>20108</v>
      </c>
      <c r="B2130" s="37" t="s">
        <v>22924</v>
      </c>
      <c r="C2130" s="37" t="s">
        <v>2348</v>
      </c>
      <c r="D2130" s="37" t="s">
        <v>2351</v>
      </c>
    </row>
    <row r="2131" spans="1:4" ht="14.25">
      <c r="A2131" s="37">
        <v>20109</v>
      </c>
      <c r="B2131" s="37" t="s">
        <v>22925</v>
      </c>
      <c r="C2131" s="37" t="s">
        <v>2348</v>
      </c>
      <c r="D2131" s="37" t="s">
        <v>2351</v>
      </c>
    </row>
    <row r="2132" spans="1:4" ht="14.25">
      <c r="A2132" s="37">
        <v>43612</v>
      </c>
      <c r="B2132" s="37" t="s">
        <v>22926</v>
      </c>
      <c r="C2132" s="37" t="s">
        <v>2440</v>
      </c>
      <c r="D2132" s="37" t="s">
        <v>2349</v>
      </c>
    </row>
    <row r="2133" spans="1:4" ht="14.25">
      <c r="A2133" s="37">
        <v>43613</v>
      </c>
      <c r="B2133" s="37" t="s">
        <v>22927</v>
      </c>
      <c r="C2133" s="37" t="s">
        <v>2440</v>
      </c>
      <c r="D2133" s="37" t="s">
        <v>2349</v>
      </c>
    </row>
    <row r="2134" spans="1:4" ht="14.25">
      <c r="A2134" s="37">
        <v>11480</v>
      </c>
      <c r="B2134" s="37" t="s">
        <v>22928</v>
      </c>
      <c r="C2134" s="37" t="s">
        <v>2440</v>
      </c>
      <c r="D2134" s="37" t="s">
        <v>2349</v>
      </c>
    </row>
    <row r="2135" spans="1:4" ht="14.25">
      <c r="A2135" s="37">
        <v>11469</v>
      </c>
      <c r="B2135" s="37" t="s">
        <v>22929</v>
      </c>
      <c r="C2135" s="37" t="s">
        <v>2348</v>
      </c>
      <c r="D2135" s="37" t="s">
        <v>2349</v>
      </c>
    </row>
    <row r="2136" spans="1:4" ht="14.25">
      <c r="A2136" s="37">
        <v>11468</v>
      </c>
      <c r="B2136" s="37" t="s">
        <v>22930</v>
      </c>
      <c r="C2136" s="37" t="s">
        <v>2348</v>
      </c>
      <c r="D2136" s="37" t="s">
        <v>2349</v>
      </c>
    </row>
    <row r="2137" spans="1:4" ht="14.25">
      <c r="A2137" s="37">
        <v>11484</v>
      </c>
      <c r="B2137" s="37" t="s">
        <v>22931</v>
      </c>
      <c r="C2137" s="37" t="s">
        <v>2348</v>
      </c>
      <c r="D2137" s="37" t="s">
        <v>2349</v>
      </c>
    </row>
    <row r="2138" spans="1:4" ht="14.25">
      <c r="A2138" s="37">
        <v>38155</v>
      </c>
      <c r="B2138" s="37" t="s">
        <v>22932</v>
      </c>
      <c r="C2138" s="37" t="s">
        <v>2348</v>
      </c>
      <c r="D2138" s="37" t="s">
        <v>2349</v>
      </c>
    </row>
    <row r="2139" spans="1:4" ht="14.25">
      <c r="A2139" s="37">
        <v>11467</v>
      </c>
      <c r="B2139" s="37" t="s">
        <v>22933</v>
      </c>
      <c r="C2139" s="37" t="s">
        <v>2348</v>
      </c>
      <c r="D2139" s="37" t="s">
        <v>2349</v>
      </c>
    </row>
    <row r="2140" spans="1:4" ht="14.25">
      <c r="A2140" s="37">
        <v>38153</v>
      </c>
      <c r="B2140" s="37" t="s">
        <v>22934</v>
      </c>
      <c r="C2140" s="37" t="s">
        <v>2440</v>
      </c>
      <c r="D2140" s="37" t="s">
        <v>2349</v>
      </c>
    </row>
    <row r="2141" spans="1:4" ht="14.25">
      <c r="A2141" s="37">
        <v>43607</v>
      </c>
      <c r="B2141" s="37" t="s">
        <v>22935</v>
      </c>
      <c r="C2141" s="37" t="s">
        <v>2440</v>
      </c>
      <c r="D2141" s="37" t="s">
        <v>2349</v>
      </c>
    </row>
    <row r="2142" spans="1:4" ht="14.25">
      <c r="A2142" s="37">
        <v>3080</v>
      </c>
      <c r="B2142" s="37" t="s">
        <v>22936</v>
      </c>
      <c r="C2142" s="37" t="s">
        <v>2440</v>
      </c>
      <c r="D2142" s="37" t="s">
        <v>2353</v>
      </c>
    </row>
    <row r="2143" spans="1:4" ht="14.25">
      <c r="A2143" s="37">
        <v>3081</v>
      </c>
      <c r="B2143" s="37" t="s">
        <v>22937</v>
      </c>
      <c r="C2143" s="37" t="s">
        <v>2440</v>
      </c>
      <c r="D2143" s="37" t="s">
        <v>2349</v>
      </c>
    </row>
    <row r="2144" spans="1:4" ht="14.25">
      <c r="A2144" s="37">
        <v>3090</v>
      </c>
      <c r="B2144" s="37" t="s">
        <v>22938</v>
      </c>
      <c r="C2144" s="37" t="s">
        <v>2440</v>
      </c>
      <c r="D2144" s="37" t="s">
        <v>2349</v>
      </c>
    </row>
    <row r="2145" spans="1:4" ht="14.25">
      <c r="A2145" s="37">
        <v>43611</v>
      </c>
      <c r="B2145" s="37" t="s">
        <v>22939</v>
      </c>
      <c r="C2145" s="37" t="s">
        <v>2440</v>
      </c>
      <c r="D2145" s="37" t="s">
        <v>2349</v>
      </c>
    </row>
    <row r="2146" spans="1:4" ht="14.25">
      <c r="A2146" s="37">
        <v>3103</v>
      </c>
      <c r="B2146" s="37" t="s">
        <v>22940</v>
      </c>
      <c r="C2146" s="37" t="s">
        <v>2348</v>
      </c>
      <c r="D2146" s="37" t="s">
        <v>2349</v>
      </c>
    </row>
    <row r="2147" spans="1:4" ht="14.25">
      <c r="A2147" s="37">
        <v>3097</v>
      </c>
      <c r="B2147" s="37" t="s">
        <v>22941</v>
      </c>
      <c r="C2147" s="37" t="s">
        <v>2440</v>
      </c>
      <c r="D2147" s="37" t="s">
        <v>2349</v>
      </c>
    </row>
    <row r="2148" spans="1:4" ht="14.25">
      <c r="A2148" s="37">
        <v>3099</v>
      </c>
      <c r="B2148" s="37" t="s">
        <v>22942</v>
      </c>
      <c r="C2148" s="37" t="s">
        <v>2440</v>
      </c>
      <c r="D2148" s="37" t="s">
        <v>2349</v>
      </c>
    </row>
    <row r="2149" spans="1:4" ht="14.25">
      <c r="A2149" s="37">
        <v>38151</v>
      </c>
      <c r="B2149" s="37" t="s">
        <v>22943</v>
      </c>
      <c r="C2149" s="37" t="s">
        <v>2440</v>
      </c>
      <c r="D2149" s="37" t="s">
        <v>2349</v>
      </c>
    </row>
    <row r="2150" spans="1:4" ht="14.25">
      <c r="A2150" s="37">
        <v>38152</v>
      </c>
      <c r="B2150" s="37" t="s">
        <v>22944</v>
      </c>
      <c r="C2150" s="37" t="s">
        <v>2440</v>
      </c>
      <c r="D2150" s="37" t="s">
        <v>2349</v>
      </c>
    </row>
    <row r="2151" spans="1:4" ht="14.25">
      <c r="A2151" s="37">
        <v>43610</v>
      </c>
      <c r="B2151" s="37" t="s">
        <v>22945</v>
      </c>
      <c r="C2151" s="37" t="s">
        <v>2440</v>
      </c>
      <c r="D2151" s="37" t="s">
        <v>2349</v>
      </c>
    </row>
    <row r="2152" spans="1:4" ht="14.25">
      <c r="A2152" s="37">
        <v>3093</v>
      </c>
      <c r="B2152" s="37" t="s">
        <v>22946</v>
      </c>
      <c r="C2152" s="37" t="s">
        <v>2440</v>
      </c>
      <c r="D2152" s="37" t="s">
        <v>2349</v>
      </c>
    </row>
    <row r="2153" spans="1:4" ht="14.25">
      <c r="A2153" s="37">
        <v>38165</v>
      </c>
      <c r="B2153" s="37" t="s">
        <v>22947</v>
      </c>
      <c r="C2153" s="37" t="s">
        <v>2440</v>
      </c>
      <c r="D2153" s="37" t="s">
        <v>2349</v>
      </c>
    </row>
    <row r="2154" spans="1:4" ht="14.25">
      <c r="A2154" s="37">
        <v>38177</v>
      </c>
      <c r="B2154" s="37" t="s">
        <v>22948</v>
      </c>
      <c r="C2154" s="37" t="s">
        <v>2348</v>
      </c>
      <c r="D2154" s="37" t="s">
        <v>2349</v>
      </c>
    </row>
    <row r="2155" spans="1:4" ht="14.25">
      <c r="A2155" s="37">
        <v>11458</v>
      </c>
      <c r="B2155" s="37" t="s">
        <v>22949</v>
      </c>
      <c r="C2155" s="37" t="s">
        <v>2348</v>
      </c>
      <c r="D2155" s="37" t="s">
        <v>2349</v>
      </c>
    </row>
    <row r="2156" spans="1:4" ht="14.25">
      <c r="A2156" s="37">
        <v>3108</v>
      </c>
      <c r="B2156" s="37" t="s">
        <v>22950</v>
      </c>
      <c r="C2156" s="37" t="s">
        <v>2348</v>
      </c>
      <c r="D2156" s="37" t="s">
        <v>2349</v>
      </c>
    </row>
    <row r="2157" spans="1:4" ht="14.25">
      <c r="A2157" s="37">
        <v>3105</v>
      </c>
      <c r="B2157" s="37" t="s">
        <v>22951</v>
      </c>
      <c r="C2157" s="37" t="s">
        <v>2348</v>
      </c>
      <c r="D2157" s="37" t="s">
        <v>2349</v>
      </c>
    </row>
    <row r="2158" spans="1:4" ht="14.25">
      <c r="A2158" s="37">
        <v>38178</v>
      </c>
      <c r="B2158" s="37" t="s">
        <v>22952</v>
      </c>
      <c r="C2158" s="37" t="s">
        <v>2348</v>
      </c>
      <c r="D2158" s="37" t="s">
        <v>2349</v>
      </c>
    </row>
    <row r="2159" spans="1:4" ht="14.25">
      <c r="A2159" s="37">
        <v>43575</v>
      </c>
      <c r="B2159" s="37" t="s">
        <v>22953</v>
      </c>
      <c r="C2159" s="37" t="s">
        <v>2348</v>
      </c>
      <c r="D2159" s="37" t="s">
        <v>2349</v>
      </c>
    </row>
    <row r="2160" spans="1:4" ht="14.25">
      <c r="A2160" s="37">
        <v>43577</v>
      </c>
      <c r="B2160" s="37" t="s">
        <v>22954</v>
      </c>
      <c r="C2160" s="37" t="s">
        <v>2348</v>
      </c>
      <c r="D2160" s="37" t="s">
        <v>2349</v>
      </c>
    </row>
    <row r="2161" spans="1:4" ht="14.25">
      <c r="A2161" s="37">
        <v>43458</v>
      </c>
      <c r="B2161" s="37" t="s">
        <v>22955</v>
      </c>
      <c r="C2161" s="37" t="s">
        <v>2352</v>
      </c>
      <c r="D2161" s="37" t="s">
        <v>2353</v>
      </c>
    </row>
    <row r="2162" spans="1:4" ht="14.25">
      <c r="A2162" s="37">
        <v>43470</v>
      </c>
      <c r="B2162" s="37" t="s">
        <v>22956</v>
      </c>
      <c r="C2162" s="37" t="s">
        <v>2369</v>
      </c>
      <c r="D2162" s="37" t="s">
        <v>2353</v>
      </c>
    </row>
    <row r="2163" spans="1:4" ht="14.25">
      <c r="A2163" s="37">
        <v>43459</v>
      </c>
      <c r="B2163" s="37" t="s">
        <v>22957</v>
      </c>
      <c r="C2163" s="37" t="s">
        <v>2352</v>
      </c>
      <c r="D2163" s="37" t="s">
        <v>2353</v>
      </c>
    </row>
    <row r="2164" spans="1:4" ht="14.25">
      <c r="A2164" s="37">
        <v>43471</v>
      </c>
      <c r="B2164" s="37" t="s">
        <v>22958</v>
      </c>
      <c r="C2164" s="37" t="s">
        <v>2369</v>
      </c>
      <c r="D2164" s="37" t="s">
        <v>2353</v>
      </c>
    </row>
    <row r="2165" spans="1:4" ht="14.25">
      <c r="A2165" s="37">
        <v>43460</v>
      </c>
      <c r="B2165" s="37" t="s">
        <v>22959</v>
      </c>
      <c r="C2165" s="37" t="s">
        <v>2352</v>
      </c>
      <c r="D2165" s="37" t="s">
        <v>2353</v>
      </c>
    </row>
    <row r="2166" spans="1:4" ht="14.25">
      <c r="A2166" s="37">
        <v>43472</v>
      </c>
      <c r="B2166" s="37" t="s">
        <v>22960</v>
      </c>
      <c r="C2166" s="37" t="s">
        <v>2369</v>
      </c>
      <c r="D2166" s="37" t="s">
        <v>2353</v>
      </c>
    </row>
    <row r="2167" spans="1:4" ht="14.25">
      <c r="A2167" s="37">
        <v>43461</v>
      </c>
      <c r="B2167" s="37" t="s">
        <v>22961</v>
      </c>
      <c r="C2167" s="37" t="s">
        <v>2352</v>
      </c>
      <c r="D2167" s="37" t="s">
        <v>2353</v>
      </c>
    </row>
    <row r="2168" spans="1:4" ht="14.25">
      <c r="A2168" s="37">
        <v>43473</v>
      </c>
      <c r="B2168" s="37" t="s">
        <v>22962</v>
      </c>
      <c r="C2168" s="37" t="s">
        <v>2369</v>
      </c>
      <c r="D2168" s="37" t="s">
        <v>2353</v>
      </c>
    </row>
    <row r="2169" spans="1:4" ht="14.25">
      <c r="A2169" s="37">
        <v>43463</v>
      </c>
      <c r="B2169" s="37" t="s">
        <v>22963</v>
      </c>
      <c r="C2169" s="37" t="s">
        <v>2352</v>
      </c>
      <c r="D2169" s="37" t="s">
        <v>2353</v>
      </c>
    </row>
    <row r="2170" spans="1:4" ht="14.25">
      <c r="A2170" s="37">
        <v>43475</v>
      </c>
      <c r="B2170" s="37" t="s">
        <v>22964</v>
      </c>
      <c r="C2170" s="37" t="s">
        <v>2369</v>
      </c>
      <c r="D2170" s="37" t="s">
        <v>2353</v>
      </c>
    </row>
    <row r="2171" spans="1:4" ht="14.25">
      <c r="A2171" s="37">
        <v>43462</v>
      </c>
      <c r="B2171" s="37" t="s">
        <v>22965</v>
      </c>
      <c r="C2171" s="37" t="s">
        <v>2352</v>
      </c>
      <c r="D2171" s="37" t="s">
        <v>2353</v>
      </c>
    </row>
    <row r="2172" spans="1:4" ht="14.25">
      <c r="A2172" s="37">
        <v>43474</v>
      </c>
      <c r="B2172" s="37" t="s">
        <v>22966</v>
      </c>
      <c r="C2172" s="37" t="s">
        <v>2369</v>
      </c>
      <c r="D2172" s="37" t="s">
        <v>2353</v>
      </c>
    </row>
    <row r="2173" spans="1:4" ht="14.25">
      <c r="A2173" s="37">
        <v>43464</v>
      </c>
      <c r="B2173" s="37" t="s">
        <v>22967</v>
      </c>
      <c r="C2173" s="37" t="s">
        <v>2352</v>
      </c>
      <c r="D2173" s="37" t="s">
        <v>2353</v>
      </c>
    </row>
    <row r="2174" spans="1:4" ht="14.25">
      <c r="A2174" s="37">
        <v>43476</v>
      </c>
      <c r="B2174" s="37" t="s">
        <v>22968</v>
      </c>
      <c r="C2174" s="37" t="s">
        <v>2369</v>
      </c>
      <c r="D2174" s="37" t="s">
        <v>2353</v>
      </c>
    </row>
    <row r="2175" spans="1:4" ht="14.25">
      <c r="A2175" s="37">
        <v>43465</v>
      </c>
      <c r="B2175" s="37" t="s">
        <v>22969</v>
      </c>
      <c r="C2175" s="37" t="s">
        <v>2352</v>
      </c>
      <c r="D2175" s="37" t="s">
        <v>2353</v>
      </c>
    </row>
    <row r="2176" spans="1:4" ht="14.25">
      <c r="A2176" s="37">
        <v>43477</v>
      </c>
      <c r="B2176" s="37" t="s">
        <v>22970</v>
      </c>
      <c r="C2176" s="37" t="s">
        <v>2369</v>
      </c>
      <c r="D2176" s="37" t="s">
        <v>2353</v>
      </c>
    </row>
    <row r="2177" spans="1:4" ht="14.25">
      <c r="A2177" s="37">
        <v>43466</v>
      </c>
      <c r="B2177" s="37" t="s">
        <v>22971</v>
      </c>
      <c r="C2177" s="37" t="s">
        <v>2352</v>
      </c>
      <c r="D2177" s="37" t="s">
        <v>2353</v>
      </c>
    </row>
    <row r="2178" spans="1:4" ht="14.25">
      <c r="A2178" s="37">
        <v>43478</v>
      </c>
      <c r="B2178" s="37" t="s">
        <v>22972</v>
      </c>
      <c r="C2178" s="37" t="s">
        <v>2369</v>
      </c>
      <c r="D2178" s="37" t="s">
        <v>2353</v>
      </c>
    </row>
    <row r="2179" spans="1:4" ht="14.25">
      <c r="A2179" s="37">
        <v>43467</v>
      </c>
      <c r="B2179" s="37" t="s">
        <v>22973</v>
      </c>
      <c r="C2179" s="37" t="s">
        <v>2352</v>
      </c>
      <c r="D2179" s="37" t="s">
        <v>2353</v>
      </c>
    </row>
    <row r="2180" spans="1:4" ht="14.25">
      <c r="A2180" s="37">
        <v>43479</v>
      </c>
      <c r="B2180" s="37" t="s">
        <v>22974</v>
      </c>
      <c r="C2180" s="37" t="s">
        <v>2369</v>
      </c>
      <c r="D2180" s="37" t="s">
        <v>2353</v>
      </c>
    </row>
    <row r="2181" spans="1:4" ht="14.25">
      <c r="A2181" s="37">
        <v>43468</v>
      </c>
      <c r="B2181" s="37" t="s">
        <v>22975</v>
      </c>
      <c r="C2181" s="37" t="s">
        <v>2352</v>
      </c>
      <c r="D2181" s="37" t="s">
        <v>2353</v>
      </c>
    </row>
    <row r="2182" spans="1:4" ht="14.25">
      <c r="A2182" s="37">
        <v>43480</v>
      </c>
      <c r="B2182" s="37" t="s">
        <v>22976</v>
      </c>
      <c r="C2182" s="37" t="s">
        <v>2369</v>
      </c>
      <c r="D2182" s="37" t="s">
        <v>2353</v>
      </c>
    </row>
    <row r="2183" spans="1:4" ht="14.25">
      <c r="A2183" s="37">
        <v>43469</v>
      </c>
      <c r="B2183" s="37" t="s">
        <v>22977</v>
      </c>
      <c r="C2183" s="37" t="s">
        <v>2352</v>
      </c>
      <c r="D2183" s="37" t="s">
        <v>2353</v>
      </c>
    </row>
    <row r="2184" spans="1:4" ht="14.25">
      <c r="A2184" s="37">
        <v>43481</v>
      </c>
      <c r="B2184" s="37" t="s">
        <v>22978</v>
      </c>
      <c r="C2184" s="37" t="s">
        <v>2369</v>
      </c>
      <c r="D2184" s="37" t="s">
        <v>2353</v>
      </c>
    </row>
    <row r="2185" spans="1:4" ht="14.25">
      <c r="A2185" s="37">
        <v>3119</v>
      </c>
      <c r="B2185" s="37" t="s">
        <v>22979</v>
      </c>
      <c r="C2185" s="37" t="s">
        <v>2348</v>
      </c>
      <c r="D2185" s="37" t="s">
        <v>2349</v>
      </c>
    </row>
    <row r="2186" spans="1:4" ht="14.25">
      <c r="A2186" s="37">
        <v>3122</v>
      </c>
      <c r="B2186" s="37" t="s">
        <v>22980</v>
      </c>
      <c r="C2186" s="37" t="s">
        <v>2348</v>
      </c>
      <c r="D2186" s="37" t="s">
        <v>2349</v>
      </c>
    </row>
    <row r="2187" spans="1:4" ht="14.25">
      <c r="A2187" s="37">
        <v>3121</v>
      </c>
      <c r="B2187" s="37" t="s">
        <v>22981</v>
      </c>
      <c r="C2187" s="37" t="s">
        <v>2348</v>
      </c>
      <c r="D2187" s="37" t="s">
        <v>2349</v>
      </c>
    </row>
    <row r="2188" spans="1:4" ht="14.25">
      <c r="A2188" s="37">
        <v>3120</v>
      </c>
      <c r="B2188" s="37" t="s">
        <v>22982</v>
      </c>
      <c r="C2188" s="37" t="s">
        <v>2348</v>
      </c>
      <c r="D2188" s="37" t="s">
        <v>2349</v>
      </c>
    </row>
    <row r="2189" spans="1:4" ht="14.25">
      <c r="A2189" s="37">
        <v>11455</v>
      </c>
      <c r="B2189" s="37" t="s">
        <v>22983</v>
      </c>
      <c r="C2189" s="37" t="s">
        <v>2348</v>
      </c>
      <c r="D2189" s="37" t="s">
        <v>2349</v>
      </c>
    </row>
    <row r="2190" spans="1:4" ht="14.25">
      <c r="A2190" s="37">
        <v>11456</v>
      </c>
      <c r="B2190" s="37" t="s">
        <v>22984</v>
      </c>
      <c r="C2190" s="37" t="s">
        <v>2348</v>
      </c>
      <c r="D2190" s="37" t="s">
        <v>2349</v>
      </c>
    </row>
    <row r="2191" spans="1:4" ht="14.25">
      <c r="A2191" s="37">
        <v>3107</v>
      </c>
      <c r="B2191" s="37" t="s">
        <v>22985</v>
      </c>
      <c r="C2191" s="37" t="s">
        <v>2348</v>
      </c>
      <c r="D2191" s="37" t="s">
        <v>2349</v>
      </c>
    </row>
    <row r="2192" spans="1:4" ht="14.25">
      <c r="A2192" s="37">
        <v>43583</v>
      </c>
      <c r="B2192" s="37" t="s">
        <v>22986</v>
      </c>
      <c r="C2192" s="37" t="s">
        <v>2348</v>
      </c>
      <c r="D2192" s="37" t="s">
        <v>2349</v>
      </c>
    </row>
    <row r="2193" spans="1:4" ht="14.25">
      <c r="A2193" s="37">
        <v>43586</v>
      </c>
      <c r="B2193" s="37" t="s">
        <v>22987</v>
      </c>
      <c r="C2193" s="37" t="s">
        <v>2348</v>
      </c>
      <c r="D2193" s="37" t="s">
        <v>2349</v>
      </c>
    </row>
    <row r="2194" spans="1:4" ht="14.25">
      <c r="A2194" s="37">
        <v>11461</v>
      </c>
      <c r="B2194" s="37" t="s">
        <v>22988</v>
      </c>
      <c r="C2194" s="37" t="s">
        <v>2348</v>
      </c>
      <c r="D2194" s="37" t="s">
        <v>2349</v>
      </c>
    </row>
    <row r="2195" spans="1:4" ht="14.25">
      <c r="A2195" s="37">
        <v>43587</v>
      </c>
      <c r="B2195" s="37" t="s">
        <v>22989</v>
      </c>
      <c r="C2195" s="37" t="s">
        <v>2348</v>
      </c>
      <c r="D2195" s="37" t="s">
        <v>2349</v>
      </c>
    </row>
    <row r="2196" spans="1:4" ht="14.25">
      <c r="A2196" s="37">
        <v>3106</v>
      </c>
      <c r="B2196" s="37" t="s">
        <v>22990</v>
      </c>
      <c r="C2196" s="37" t="s">
        <v>2348</v>
      </c>
      <c r="D2196" s="37" t="s">
        <v>2349</v>
      </c>
    </row>
    <row r="2197" spans="1:4" ht="14.25">
      <c r="A2197" s="37">
        <v>44539</v>
      </c>
      <c r="B2197" s="37" t="s">
        <v>27986</v>
      </c>
      <c r="C2197" s="37" t="s">
        <v>2356</v>
      </c>
      <c r="D2197" s="37" t="s">
        <v>2349</v>
      </c>
    </row>
    <row r="2198" spans="1:4" ht="14.25">
      <c r="A2198" s="37">
        <v>3123</v>
      </c>
      <c r="B2198" s="37" t="s">
        <v>22991</v>
      </c>
      <c r="C2198" s="37" t="s">
        <v>2356</v>
      </c>
      <c r="D2198" s="37" t="s">
        <v>2353</v>
      </c>
    </row>
    <row r="2199" spans="1:4" ht="14.25">
      <c r="A2199" s="37">
        <v>38125</v>
      </c>
      <c r="B2199" s="37" t="s">
        <v>22992</v>
      </c>
      <c r="C2199" s="37" t="s">
        <v>2356</v>
      </c>
      <c r="D2199" s="37" t="s">
        <v>2349</v>
      </c>
    </row>
    <row r="2200" spans="1:4" ht="14.25">
      <c r="A2200" s="37">
        <v>39014</v>
      </c>
      <c r="B2200" s="37" t="s">
        <v>22993</v>
      </c>
      <c r="C2200" s="37" t="s">
        <v>2356</v>
      </c>
      <c r="D2200" s="37" t="s">
        <v>2351</v>
      </c>
    </row>
    <row r="2201" spans="1:4" ht="14.25">
      <c r="A2201" s="37">
        <v>39365</v>
      </c>
      <c r="B2201" s="37" t="s">
        <v>22994</v>
      </c>
      <c r="C2201" s="37" t="s">
        <v>2348</v>
      </c>
      <c r="D2201" s="37" t="s">
        <v>2349</v>
      </c>
    </row>
    <row r="2202" spans="1:4" ht="14.25">
      <c r="A2202" s="37">
        <v>39366</v>
      </c>
      <c r="B2202" s="37" t="s">
        <v>22995</v>
      </c>
      <c r="C2202" s="37" t="s">
        <v>2348</v>
      </c>
      <c r="D2202" s="37" t="s">
        <v>2349</v>
      </c>
    </row>
    <row r="2203" spans="1:4" ht="14.25">
      <c r="A2203" s="37">
        <v>39367</v>
      </c>
      <c r="B2203" s="37" t="s">
        <v>22996</v>
      </c>
      <c r="C2203" s="37" t="s">
        <v>2348</v>
      </c>
      <c r="D2203" s="37" t="s">
        <v>2349</v>
      </c>
    </row>
    <row r="2204" spans="1:4" ht="14.25">
      <c r="A2204" s="37">
        <v>37394</v>
      </c>
      <c r="B2204" s="37" t="s">
        <v>22997</v>
      </c>
      <c r="C2204" s="37" t="s">
        <v>2465</v>
      </c>
      <c r="D2204" s="37" t="s">
        <v>2351</v>
      </c>
    </row>
    <row r="2205" spans="1:4" ht="14.25">
      <c r="A2205" s="37">
        <v>14146</v>
      </c>
      <c r="B2205" s="37" t="s">
        <v>22998</v>
      </c>
      <c r="C2205" s="37" t="s">
        <v>2465</v>
      </c>
      <c r="D2205" s="37" t="s">
        <v>2351</v>
      </c>
    </row>
    <row r="2206" spans="1:4" ht="14.25">
      <c r="A2206" s="37">
        <v>38134</v>
      </c>
      <c r="B2206" s="37" t="s">
        <v>22999</v>
      </c>
      <c r="C2206" s="37" t="s">
        <v>2356</v>
      </c>
      <c r="D2206" s="37" t="s">
        <v>2349</v>
      </c>
    </row>
    <row r="2207" spans="1:4" ht="14.25">
      <c r="A2207" s="37">
        <v>38132</v>
      </c>
      <c r="B2207" s="37" t="s">
        <v>23000</v>
      </c>
      <c r="C2207" s="37" t="s">
        <v>2356</v>
      </c>
      <c r="D2207" s="37" t="s">
        <v>2349</v>
      </c>
    </row>
    <row r="2208" spans="1:4" ht="14.25">
      <c r="A2208" s="37">
        <v>38133</v>
      </c>
      <c r="B2208" s="37" t="s">
        <v>23001</v>
      </c>
      <c r="C2208" s="37" t="s">
        <v>2356</v>
      </c>
      <c r="D2208" s="37" t="s">
        <v>2349</v>
      </c>
    </row>
    <row r="2209" spans="1:4" ht="14.25">
      <c r="A2209" s="37">
        <v>938</v>
      </c>
      <c r="B2209" s="37" t="s">
        <v>23002</v>
      </c>
      <c r="C2209" s="37" t="s">
        <v>2355</v>
      </c>
      <c r="D2209" s="37" t="s">
        <v>2349</v>
      </c>
    </row>
    <row r="2210" spans="1:4" ht="14.25">
      <c r="A2210" s="37">
        <v>937</v>
      </c>
      <c r="B2210" s="37" t="s">
        <v>23003</v>
      </c>
      <c r="C2210" s="37" t="s">
        <v>2355</v>
      </c>
      <c r="D2210" s="37" t="s">
        <v>2349</v>
      </c>
    </row>
    <row r="2211" spans="1:4" ht="14.25">
      <c r="A2211" s="37">
        <v>939</v>
      </c>
      <c r="B2211" s="37" t="s">
        <v>23004</v>
      </c>
      <c r="C2211" s="37" t="s">
        <v>2355</v>
      </c>
      <c r="D2211" s="37" t="s">
        <v>2349</v>
      </c>
    </row>
    <row r="2212" spans="1:4" ht="14.25">
      <c r="A2212" s="37">
        <v>944</v>
      </c>
      <c r="B2212" s="37" t="s">
        <v>23005</v>
      </c>
      <c r="C2212" s="37" t="s">
        <v>2355</v>
      </c>
      <c r="D2212" s="37" t="s">
        <v>2349</v>
      </c>
    </row>
    <row r="2213" spans="1:4" ht="14.25">
      <c r="A2213" s="37">
        <v>940</v>
      </c>
      <c r="B2213" s="37" t="s">
        <v>23006</v>
      </c>
      <c r="C2213" s="37" t="s">
        <v>2355</v>
      </c>
      <c r="D2213" s="37" t="s">
        <v>2349</v>
      </c>
    </row>
    <row r="2214" spans="1:4" ht="14.25">
      <c r="A2214" s="37">
        <v>936</v>
      </c>
      <c r="B2214" s="37" t="s">
        <v>23007</v>
      </c>
      <c r="C2214" s="37" t="s">
        <v>2355</v>
      </c>
      <c r="D2214" s="37" t="s">
        <v>2349</v>
      </c>
    </row>
    <row r="2215" spans="1:4" ht="14.25">
      <c r="A2215" s="37">
        <v>935</v>
      </c>
      <c r="B2215" s="37" t="s">
        <v>23008</v>
      </c>
      <c r="C2215" s="37" t="s">
        <v>2355</v>
      </c>
      <c r="D2215" s="37" t="s">
        <v>2349</v>
      </c>
    </row>
    <row r="2216" spans="1:4" ht="14.25">
      <c r="A2216" s="37">
        <v>44397</v>
      </c>
      <c r="B2216" s="37" t="s">
        <v>23009</v>
      </c>
      <c r="C2216" s="37" t="s">
        <v>2355</v>
      </c>
      <c r="D2216" s="37" t="s">
        <v>2349</v>
      </c>
    </row>
    <row r="2217" spans="1:4" ht="14.25">
      <c r="A2217" s="37">
        <v>406</v>
      </c>
      <c r="B2217" s="37" t="s">
        <v>23010</v>
      </c>
      <c r="C2217" s="37" t="s">
        <v>2348</v>
      </c>
      <c r="D2217" s="37" t="s">
        <v>2349</v>
      </c>
    </row>
    <row r="2218" spans="1:4" ht="14.25">
      <c r="A2218" s="37">
        <v>42529</v>
      </c>
      <c r="B2218" s="37" t="s">
        <v>23011</v>
      </c>
      <c r="C2218" s="37" t="s">
        <v>2355</v>
      </c>
      <c r="D2218" s="37" t="s">
        <v>2349</v>
      </c>
    </row>
    <row r="2219" spans="1:4" ht="14.25">
      <c r="A2219" s="37">
        <v>39634</v>
      </c>
      <c r="B2219" s="37" t="s">
        <v>23012</v>
      </c>
      <c r="C2219" s="37" t="s">
        <v>2355</v>
      </c>
      <c r="D2219" s="37" t="s">
        <v>2349</v>
      </c>
    </row>
    <row r="2220" spans="1:4" ht="14.25">
      <c r="A2220" s="37">
        <v>39701</v>
      </c>
      <c r="B2220" s="37" t="s">
        <v>23013</v>
      </c>
      <c r="C2220" s="37" t="s">
        <v>2348</v>
      </c>
      <c r="D2220" s="37" t="s">
        <v>2349</v>
      </c>
    </row>
    <row r="2221" spans="1:4" ht="14.25">
      <c r="A2221" s="37">
        <v>12815</v>
      </c>
      <c r="B2221" s="37" t="s">
        <v>23014</v>
      </c>
      <c r="C2221" s="37" t="s">
        <v>2348</v>
      </c>
      <c r="D2221" s="37" t="s">
        <v>2349</v>
      </c>
    </row>
    <row r="2222" spans="1:4" ht="14.25">
      <c r="A2222" s="37">
        <v>407</v>
      </c>
      <c r="B2222" s="37" t="s">
        <v>23015</v>
      </c>
      <c r="C2222" s="37" t="s">
        <v>2356</v>
      </c>
      <c r="D2222" s="37" t="s">
        <v>2351</v>
      </c>
    </row>
    <row r="2223" spans="1:4" ht="14.25">
      <c r="A2223" s="37">
        <v>39431</v>
      </c>
      <c r="B2223" s="37" t="s">
        <v>23016</v>
      </c>
      <c r="C2223" s="37" t="s">
        <v>2355</v>
      </c>
      <c r="D2223" s="37" t="s">
        <v>2349</v>
      </c>
    </row>
    <row r="2224" spans="1:4" ht="14.25">
      <c r="A2224" s="37">
        <v>39432</v>
      </c>
      <c r="B2224" s="37" t="s">
        <v>23017</v>
      </c>
      <c r="C2224" s="37" t="s">
        <v>2355</v>
      </c>
      <c r="D2224" s="37" t="s">
        <v>2349</v>
      </c>
    </row>
    <row r="2225" spans="1:4" ht="14.25">
      <c r="A2225" s="37">
        <v>20111</v>
      </c>
      <c r="B2225" s="37" t="s">
        <v>23018</v>
      </c>
      <c r="C2225" s="37" t="s">
        <v>2348</v>
      </c>
      <c r="D2225" s="37" t="s">
        <v>2353</v>
      </c>
    </row>
    <row r="2226" spans="1:4" ht="14.25">
      <c r="A2226" s="37">
        <v>21127</v>
      </c>
      <c r="B2226" s="37" t="s">
        <v>23019</v>
      </c>
      <c r="C2226" s="37" t="s">
        <v>2348</v>
      </c>
      <c r="D2226" s="37" t="s">
        <v>2349</v>
      </c>
    </row>
    <row r="2227" spans="1:4" ht="14.25">
      <c r="A2227" s="37">
        <v>404</v>
      </c>
      <c r="B2227" s="37" t="s">
        <v>23020</v>
      </c>
      <c r="C2227" s="37" t="s">
        <v>2355</v>
      </c>
      <c r="D2227" s="37" t="s">
        <v>2349</v>
      </c>
    </row>
    <row r="2228" spans="1:4" ht="14.25">
      <c r="A2228" s="37">
        <v>14151</v>
      </c>
      <c r="B2228" s="37" t="s">
        <v>23021</v>
      </c>
      <c r="C2228" s="37" t="s">
        <v>2348</v>
      </c>
      <c r="D2228" s="37" t="s">
        <v>2351</v>
      </c>
    </row>
    <row r="2229" spans="1:4" ht="14.25">
      <c r="A2229" s="37">
        <v>14153</v>
      </c>
      <c r="B2229" s="37" t="s">
        <v>23022</v>
      </c>
      <c r="C2229" s="37" t="s">
        <v>2348</v>
      </c>
      <c r="D2229" s="37" t="s">
        <v>2351</v>
      </c>
    </row>
    <row r="2230" spans="1:4" ht="14.25">
      <c r="A2230" s="37">
        <v>14152</v>
      </c>
      <c r="B2230" s="37" t="s">
        <v>23023</v>
      </c>
      <c r="C2230" s="37" t="s">
        <v>2348</v>
      </c>
      <c r="D2230" s="37" t="s">
        <v>2351</v>
      </c>
    </row>
    <row r="2231" spans="1:4" ht="14.25">
      <c r="A2231" s="37">
        <v>14154</v>
      </c>
      <c r="B2231" s="37" t="s">
        <v>23024</v>
      </c>
      <c r="C2231" s="37" t="s">
        <v>2348</v>
      </c>
      <c r="D2231" s="37" t="s">
        <v>2351</v>
      </c>
    </row>
    <row r="2232" spans="1:4" ht="14.25">
      <c r="A2232" s="37">
        <v>3146</v>
      </c>
      <c r="B2232" s="37" t="s">
        <v>23025</v>
      </c>
      <c r="C2232" s="37" t="s">
        <v>2348</v>
      </c>
      <c r="D2232" s="37" t="s">
        <v>2353</v>
      </c>
    </row>
    <row r="2233" spans="1:4" ht="14.25">
      <c r="A2233" s="37">
        <v>3143</v>
      </c>
      <c r="B2233" s="37" t="s">
        <v>23026</v>
      </c>
      <c r="C2233" s="37" t="s">
        <v>2348</v>
      </c>
      <c r="D2233" s="37" t="s">
        <v>2349</v>
      </c>
    </row>
    <row r="2234" spans="1:4" ht="14.25">
      <c r="A2234" s="37">
        <v>3148</v>
      </c>
      <c r="B2234" s="37" t="s">
        <v>23027</v>
      </c>
      <c r="C2234" s="37" t="s">
        <v>2348</v>
      </c>
      <c r="D2234" s="37" t="s">
        <v>2349</v>
      </c>
    </row>
    <row r="2235" spans="1:4" ht="14.25">
      <c r="A2235" s="37">
        <v>4310</v>
      </c>
      <c r="B2235" s="37" t="s">
        <v>23028</v>
      </c>
      <c r="C2235" s="37" t="s">
        <v>2348</v>
      </c>
      <c r="D2235" s="37" t="s">
        <v>2349</v>
      </c>
    </row>
    <row r="2236" spans="1:4" ht="14.25">
      <c r="A2236" s="37">
        <v>4311</v>
      </c>
      <c r="B2236" s="37" t="s">
        <v>23029</v>
      </c>
      <c r="C2236" s="37" t="s">
        <v>2348</v>
      </c>
      <c r="D2236" s="37" t="s">
        <v>2349</v>
      </c>
    </row>
    <row r="2237" spans="1:4" ht="14.25">
      <c r="A2237" s="37">
        <v>4312</v>
      </c>
      <c r="B2237" s="37" t="s">
        <v>23030</v>
      </c>
      <c r="C2237" s="37" t="s">
        <v>2348</v>
      </c>
      <c r="D2237" s="37" t="s">
        <v>2349</v>
      </c>
    </row>
    <row r="2238" spans="1:4" ht="14.25">
      <c r="A2238" s="37">
        <v>13261</v>
      </c>
      <c r="B2238" s="37" t="s">
        <v>23031</v>
      </c>
      <c r="C2238" s="37" t="s">
        <v>2348</v>
      </c>
      <c r="D2238" s="37" t="s">
        <v>2349</v>
      </c>
    </row>
    <row r="2239" spans="1:4" ht="14.25">
      <c r="A2239" s="37">
        <v>3255</v>
      </c>
      <c r="B2239" s="37" t="s">
        <v>23032</v>
      </c>
      <c r="C2239" s="37" t="s">
        <v>2348</v>
      </c>
      <c r="D2239" s="37" t="s">
        <v>2349</v>
      </c>
    </row>
    <row r="2240" spans="1:4" ht="14.25">
      <c r="A2240" s="37">
        <v>3254</v>
      </c>
      <c r="B2240" s="37" t="s">
        <v>23033</v>
      </c>
      <c r="C2240" s="37" t="s">
        <v>2348</v>
      </c>
      <c r="D2240" s="37" t="s">
        <v>2349</v>
      </c>
    </row>
    <row r="2241" spans="1:4" ht="14.25">
      <c r="A2241" s="37">
        <v>3259</v>
      </c>
      <c r="B2241" s="37" t="s">
        <v>23034</v>
      </c>
      <c r="C2241" s="37" t="s">
        <v>2348</v>
      </c>
      <c r="D2241" s="37" t="s">
        <v>2349</v>
      </c>
    </row>
    <row r="2242" spans="1:4" ht="14.25">
      <c r="A2242" s="37">
        <v>3258</v>
      </c>
      <c r="B2242" s="37" t="s">
        <v>23035</v>
      </c>
      <c r="C2242" s="37" t="s">
        <v>2348</v>
      </c>
      <c r="D2242" s="37" t="s">
        <v>2349</v>
      </c>
    </row>
    <row r="2243" spans="1:4" ht="14.25">
      <c r="A2243" s="37">
        <v>3251</v>
      </c>
      <c r="B2243" s="37" t="s">
        <v>23036</v>
      </c>
      <c r="C2243" s="37" t="s">
        <v>2348</v>
      </c>
      <c r="D2243" s="37" t="s">
        <v>2349</v>
      </c>
    </row>
    <row r="2244" spans="1:4" ht="14.25">
      <c r="A2244" s="37">
        <v>3256</v>
      </c>
      <c r="B2244" s="37" t="s">
        <v>23037</v>
      </c>
      <c r="C2244" s="37" t="s">
        <v>2348</v>
      </c>
      <c r="D2244" s="37" t="s">
        <v>2349</v>
      </c>
    </row>
    <row r="2245" spans="1:4" ht="14.25">
      <c r="A2245" s="37">
        <v>3261</v>
      </c>
      <c r="B2245" s="37" t="s">
        <v>23038</v>
      </c>
      <c r="C2245" s="37" t="s">
        <v>2348</v>
      </c>
      <c r="D2245" s="37" t="s">
        <v>2349</v>
      </c>
    </row>
    <row r="2246" spans="1:4" ht="14.25">
      <c r="A2246" s="37">
        <v>3260</v>
      </c>
      <c r="B2246" s="37" t="s">
        <v>23039</v>
      </c>
      <c r="C2246" s="37" t="s">
        <v>2348</v>
      </c>
      <c r="D2246" s="37" t="s">
        <v>2349</v>
      </c>
    </row>
    <row r="2247" spans="1:4" ht="14.25">
      <c r="A2247" s="37">
        <v>3272</v>
      </c>
      <c r="B2247" s="37" t="s">
        <v>23040</v>
      </c>
      <c r="C2247" s="37" t="s">
        <v>2348</v>
      </c>
      <c r="D2247" s="37" t="s">
        <v>2351</v>
      </c>
    </row>
    <row r="2248" spans="1:4" ht="14.25">
      <c r="A2248" s="37">
        <v>3265</v>
      </c>
      <c r="B2248" s="37" t="s">
        <v>23041</v>
      </c>
      <c r="C2248" s="37" t="s">
        <v>2348</v>
      </c>
      <c r="D2248" s="37" t="s">
        <v>2351</v>
      </c>
    </row>
    <row r="2249" spans="1:4" ht="14.25">
      <c r="A2249" s="37">
        <v>3262</v>
      </c>
      <c r="B2249" s="37" t="s">
        <v>23042</v>
      </c>
      <c r="C2249" s="37" t="s">
        <v>2348</v>
      </c>
      <c r="D2249" s="37" t="s">
        <v>2351</v>
      </c>
    </row>
    <row r="2250" spans="1:4" ht="14.25">
      <c r="A2250" s="37">
        <v>3264</v>
      </c>
      <c r="B2250" s="37" t="s">
        <v>23043</v>
      </c>
      <c r="C2250" s="37" t="s">
        <v>2348</v>
      </c>
      <c r="D2250" s="37" t="s">
        <v>2351</v>
      </c>
    </row>
    <row r="2251" spans="1:4" ht="14.25">
      <c r="A2251" s="37">
        <v>3267</v>
      </c>
      <c r="B2251" s="37" t="s">
        <v>23044</v>
      </c>
      <c r="C2251" s="37" t="s">
        <v>2348</v>
      </c>
      <c r="D2251" s="37" t="s">
        <v>2351</v>
      </c>
    </row>
    <row r="2252" spans="1:4" ht="14.25">
      <c r="A2252" s="37">
        <v>3266</v>
      </c>
      <c r="B2252" s="37" t="s">
        <v>23045</v>
      </c>
      <c r="C2252" s="37" t="s">
        <v>2348</v>
      </c>
      <c r="D2252" s="37" t="s">
        <v>2351</v>
      </c>
    </row>
    <row r="2253" spans="1:4" ht="14.25">
      <c r="A2253" s="37">
        <v>3263</v>
      </c>
      <c r="B2253" s="37" t="s">
        <v>23046</v>
      </c>
      <c r="C2253" s="37" t="s">
        <v>2348</v>
      </c>
      <c r="D2253" s="37" t="s">
        <v>2351</v>
      </c>
    </row>
    <row r="2254" spans="1:4" ht="14.25">
      <c r="A2254" s="37">
        <v>3268</v>
      </c>
      <c r="B2254" s="37" t="s">
        <v>23047</v>
      </c>
      <c r="C2254" s="37" t="s">
        <v>2348</v>
      </c>
      <c r="D2254" s="37" t="s">
        <v>2351</v>
      </c>
    </row>
    <row r="2255" spans="1:4" ht="14.25">
      <c r="A2255" s="37">
        <v>3271</v>
      </c>
      <c r="B2255" s="37" t="s">
        <v>23048</v>
      </c>
      <c r="C2255" s="37" t="s">
        <v>2348</v>
      </c>
      <c r="D2255" s="37" t="s">
        <v>2351</v>
      </c>
    </row>
    <row r="2256" spans="1:4" ht="14.25">
      <c r="A2256" s="37">
        <v>3270</v>
      </c>
      <c r="B2256" s="37" t="s">
        <v>23049</v>
      </c>
      <c r="C2256" s="37" t="s">
        <v>2348</v>
      </c>
      <c r="D2256" s="37" t="s">
        <v>2351</v>
      </c>
    </row>
    <row r="2257" spans="1:4" ht="14.25">
      <c r="A2257" s="37">
        <v>3275</v>
      </c>
      <c r="B2257" s="37" t="s">
        <v>23050</v>
      </c>
      <c r="C2257" s="37" t="s">
        <v>2350</v>
      </c>
      <c r="D2257" s="37" t="s">
        <v>2349</v>
      </c>
    </row>
    <row r="2258" spans="1:4" ht="14.25">
      <c r="A2258" s="37">
        <v>39512</v>
      </c>
      <c r="B2258" s="37" t="s">
        <v>23051</v>
      </c>
      <c r="C2258" s="37" t="s">
        <v>2350</v>
      </c>
      <c r="D2258" s="37" t="s">
        <v>2351</v>
      </c>
    </row>
    <row r="2259" spans="1:4" ht="14.25">
      <c r="A2259" s="37">
        <v>39511</v>
      </c>
      <c r="B2259" s="37" t="s">
        <v>23052</v>
      </c>
      <c r="C2259" s="37" t="s">
        <v>2350</v>
      </c>
      <c r="D2259" s="37" t="s">
        <v>2351</v>
      </c>
    </row>
    <row r="2260" spans="1:4" ht="14.25">
      <c r="A2260" s="37">
        <v>39513</v>
      </c>
      <c r="B2260" s="37" t="s">
        <v>23053</v>
      </c>
      <c r="C2260" s="37" t="s">
        <v>2350</v>
      </c>
      <c r="D2260" s="37" t="s">
        <v>2351</v>
      </c>
    </row>
    <row r="2261" spans="1:4" ht="14.25">
      <c r="A2261" s="37">
        <v>3286</v>
      </c>
      <c r="B2261" s="37" t="s">
        <v>23054</v>
      </c>
      <c r="C2261" s="37" t="s">
        <v>2350</v>
      </c>
      <c r="D2261" s="37" t="s">
        <v>2351</v>
      </c>
    </row>
    <row r="2262" spans="1:4" ht="14.25">
      <c r="A2262" s="37">
        <v>3287</v>
      </c>
      <c r="B2262" s="37" t="s">
        <v>23055</v>
      </c>
      <c r="C2262" s="37" t="s">
        <v>2350</v>
      </c>
      <c r="D2262" s="37" t="s">
        <v>2351</v>
      </c>
    </row>
    <row r="2263" spans="1:4" ht="14.25">
      <c r="A2263" s="37">
        <v>3283</v>
      </c>
      <c r="B2263" s="37" t="s">
        <v>23056</v>
      </c>
      <c r="C2263" s="37" t="s">
        <v>2350</v>
      </c>
      <c r="D2263" s="37" t="s">
        <v>2351</v>
      </c>
    </row>
    <row r="2264" spans="1:4" ht="14.25">
      <c r="A2264" s="37">
        <v>11587</v>
      </c>
      <c r="B2264" s="37" t="s">
        <v>23057</v>
      </c>
      <c r="C2264" s="37" t="s">
        <v>2350</v>
      </c>
      <c r="D2264" s="37" t="s">
        <v>2349</v>
      </c>
    </row>
    <row r="2265" spans="1:4" ht="14.25">
      <c r="A2265" s="37">
        <v>36225</v>
      </c>
      <c r="B2265" s="37" t="s">
        <v>23058</v>
      </c>
      <c r="C2265" s="37" t="s">
        <v>2350</v>
      </c>
      <c r="D2265" s="37" t="s">
        <v>2349</v>
      </c>
    </row>
    <row r="2266" spans="1:4" ht="14.25">
      <c r="A2266" s="37">
        <v>36230</v>
      </c>
      <c r="B2266" s="37" t="s">
        <v>23059</v>
      </c>
      <c r="C2266" s="37" t="s">
        <v>2350</v>
      </c>
      <c r="D2266" s="37" t="s">
        <v>2353</v>
      </c>
    </row>
    <row r="2267" spans="1:4" ht="14.25">
      <c r="A2267" s="37">
        <v>36238</v>
      </c>
      <c r="B2267" s="37" t="s">
        <v>23060</v>
      </c>
      <c r="C2267" s="37" t="s">
        <v>2350</v>
      </c>
      <c r="D2267" s="37" t="s">
        <v>2349</v>
      </c>
    </row>
    <row r="2268" spans="1:4" ht="14.25">
      <c r="A2268" s="37">
        <v>39363</v>
      </c>
      <c r="B2268" s="37" t="s">
        <v>23061</v>
      </c>
      <c r="C2268" s="37" t="s">
        <v>2348</v>
      </c>
      <c r="D2268" s="37" t="s">
        <v>2349</v>
      </c>
    </row>
    <row r="2269" spans="1:4" ht="14.25">
      <c r="A2269" s="37">
        <v>39361</v>
      </c>
      <c r="B2269" s="37" t="s">
        <v>23062</v>
      </c>
      <c r="C2269" s="37" t="s">
        <v>2348</v>
      </c>
      <c r="D2269" s="37" t="s">
        <v>2349</v>
      </c>
    </row>
    <row r="2270" spans="1:4" ht="14.25">
      <c r="A2270" s="37">
        <v>39362</v>
      </c>
      <c r="B2270" s="37" t="s">
        <v>23063</v>
      </c>
      <c r="C2270" s="37" t="s">
        <v>2348</v>
      </c>
      <c r="D2270" s="37" t="s">
        <v>2349</v>
      </c>
    </row>
    <row r="2271" spans="1:4" ht="14.25">
      <c r="A2271" s="37">
        <v>39364</v>
      </c>
      <c r="B2271" s="37" t="s">
        <v>23064</v>
      </c>
      <c r="C2271" s="37" t="s">
        <v>2348</v>
      </c>
      <c r="D2271" s="37" t="s">
        <v>2349</v>
      </c>
    </row>
    <row r="2272" spans="1:4" ht="14.25">
      <c r="A2272" s="37">
        <v>14576</v>
      </c>
      <c r="B2272" s="37" t="s">
        <v>23065</v>
      </c>
      <c r="C2272" s="37" t="s">
        <v>2348</v>
      </c>
      <c r="D2272" s="37" t="s">
        <v>2351</v>
      </c>
    </row>
    <row r="2273" spans="1:4" ht="14.25">
      <c r="A2273" s="37">
        <v>13877</v>
      </c>
      <c r="B2273" s="37" t="s">
        <v>23066</v>
      </c>
      <c r="C2273" s="37" t="s">
        <v>2348</v>
      </c>
      <c r="D2273" s="37" t="s">
        <v>2351</v>
      </c>
    </row>
    <row r="2274" spans="1:4" ht="14.25">
      <c r="A2274" s="37">
        <v>7307</v>
      </c>
      <c r="B2274" s="37" t="s">
        <v>23067</v>
      </c>
      <c r="C2274" s="37" t="s">
        <v>2363</v>
      </c>
      <c r="D2274" s="37" t="s">
        <v>2349</v>
      </c>
    </row>
    <row r="2275" spans="1:4" ht="14.25">
      <c r="A2275" s="37">
        <v>38122</v>
      </c>
      <c r="B2275" s="37" t="s">
        <v>23068</v>
      </c>
      <c r="C2275" s="37" t="s">
        <v>2363</v>
      </c>
      <c r="D2275" s="37" t="s">
        <v>2349</v>
      </c>
    </row>
    <row r="2276" spans="1:4" ht="14.25">
      <c r="A2276" s="37">
        <v>43653</v>
      </c>
      <c r="B2276" s="37" t="s">
        <v>27987</v>
      </c>
      <c r="C2276" s="37" t="s">
        <v>2363</v>
      </c>
      <c r="D2276" s="37" t="s">
        <v>2349</v>
      </c>
    </row>
    <row r="2277" spans="1:4" ht="14.25">
      <c r="A2277" s="37">
        <v>38633</v>
      </c>
      <c r="B2277" s="37" t="s">
        <v>23069</v>
      </c>
      <c r="C2277" s="37" t="s">
        <v>2348</v>
      </c>
      <c r="D2277" s="37" t="s">
        <v>2349</v>
      </c>
    </row>
    <row r="2278" spans="1:4" ht="14.25">
      <c r="A2278" s="37">
        <v>12344</v>
      </c>
      <c r="B2278" s="37" t="s">
        <v>23070</v>
      </c>
      <c r="C2278" s="37" t="s">
        <v>2348</v>
      </c>
      <c r="D2278" s="37" t="s">
        <v>2349</v>
      </c>
    </row>
    <row r="2279" spans="1:4" ht="14.25">
      <c r="A2279" s="37">
        <v>12343</v>
      </c>
      <c r="B2279" s="37" t="s">
        <v>23071</v>
      </c>
      <c r="C2279" s="37" t="s">
        <v>2348</v>
      </c>
      <c r="D2279" s="37" t="s">
        <v>2349</v>
      </c>
    </row>
    <row r="2280" spans="1:4" ht="14.25">
      <c r="A2280" s="37">
        <v>3295</v>
      </c>
      <c r="B2280" s="37" t="s">
        <v>23072</v>
      </c>
      <c r="C2280" s="37" t="s">
        <v>2348</v>
      </c>
      <c r="D2280" s="37" t="s">
        <v>2349</v>
      </c>
    </row>
    <row r="2281" spans="1:4" ht="14.25">
      <c r="A2281" s="37">
        <v>3302</v>
      </c>
      <c r="B2281" s="37" t="s">
        <v>23073</v>
      </c>
      <c r="C2281" s="37" t="s">
        <v>2348</v>
      </c>
      <c r="D2281" s="37" t="s">
        <v>2349</v>
      </c>
    </row>
    <row r="2282" spans="1:4" ht="14.25">
      <c r="A2282" s="37">
        <v>3297</v>
      </c>
      <c r="B2282" s="37" t="s">
        <v>23074</v>
      </c>
      <c r="C2282" s="37" t="s">
        <v>2348</v>
      </c>
      <c r="D2282" s="37" t="s">
        <v>2349</v>
      </c>
    </row>
    <row r="2283" spans="1:4" ht="14.25">
      <c r="A2283" s="37">
        <v>3294</v>
      </c>
      <c r="B2283" s="37" t="s">
        <v>23075</v>
      </c>
      <c r="C2283" s="37" t="s">
        <v>2348</v>
      </c>
      <c r="D2283" s="37" t="s">
        <v>2349</v>
      </c>
    </row>
    <row r="2284" spans="1:4" ht="14.25">
      <c r="A2284" s="37">
        <v>3292</v>
      </c>
      <c r="B2284" s="37" t="s">
        <v>23076</v>
      </c>
      <c r="C2284" s="37" t="s">
        <v>2348</v>
      </c>
      <c r="D2284" s="37" t="s">
        <v>2353</v>
      </c>
    </row>
    <row r="2285" spans="1:4" ht="14.25">
      <c r="A2285" s="37">
        <v>3298</v>
      </c>
      <c r="B2285" s="37" t="s">
        <v>23077</v>
      </c>
      <c r="C2285" s="37" t="s">
        <v>2348</v>
      </c>
      <c r="D2285" s="37" t="s">
        <v>2349</v>
      </c>
    </row>
    <row r="2286" spans="1:4" ht="14.25">
      <c r="A2286" s="37">
        <v>11596</v>
      </c>
      <c r="B2286" s="37" t="s">
        <v>23078</v>
      </c>
      <c r="C2286" s="37" t="s">
        <v>2348</v>
      </c>
      <c r="D2286" s="37" t="s">
        <v>2351</v>
      </c>
    </row>
    <row r="2287" spans="1:4" ht="14.25">
      <c r="A2287" s="37">
        <v>34802</v>
      </c>
      <c r="B2287" s="37" t="s">
        <v>23079</v>
      </c>
      <c r="C2287" s="37" t="s">
        <v>2348</v>
      </c>
      <c r="D2287" s="37" t="s">
        <v>2351</v>
      </c>
    </row>
    <row r="2288" spans="1:4" ht="14.25">
      <c r="A2288" s="37">
        <v>11588</v>
      </c>
      <c r="B2288" s="37" t="s">
        <v>23080</v>
      </c>
      <c r="C2288" s="37" t="s">
        <v>2348</v>
      </c>
      <c r="D2288" s="37" t="s">
        <v>2351</v>
      </c>
    </row>
    <row r="2289" spans="1:4" ht="14.25">
      <c r="A2289" s="37">
        <v>34383</v>
      </c>
      <c r="B2289" s="37" t="s">
        <v>23081</v>
      </c>
      <c r="C2289" s="37" t="s">
        <v>2348</v>
      </c>
      <c r="D2289" s="37" t="s">
        <v>2351</v>
      </c>
    </row>
    <row r="2290" spans="1:4" ht="14.25">
      <c r="A2290" s="37">
        <v>40451</v>
      </c>
      <c r="B2290" s="37" t="s">
        <v>23082</v>
      </c>
      <c r="C2290" s="37" t="s">
        <v>2350</v>
      </c>
      <c r="D2290" s="37" t="s">
        <v>2351</v>
      </c>
    </row>
    <row r="2291" spans="1:4" ht="14.25">
      <c r="A2291" s="37">
        <v>40453</v>
      </c>
      <c r="B2291" s="37" t="s">
        <v>23083</v>
      </c>
      <c r="C2291" s="37" t="s">
        <v>2350</v>
      </c>
      <c r="D2291" s="37" t="s">
        <v>2351</v>
      </c>
    </row>
    <row r="2292" spans="1:4" ht="14.25">
      <c r="A2292" s="37">
        <v>40452</v>
      </c>
      <c r="B2292" s="37" t="s">
        <v>23084</v>
      </c>
      <c r="C2292" s="37" t="s">
        <v>2350</v>
      </c>
      <c r="D2292" s="37" t="s">
        <v>2351</v>
      </c>
    </row>
    <row r="2293" spans="1:4" ht="14.25">
      <c r="A2293" s="37">
        <v>11594</v>
      </c>
      <c r="B2293" s="37" t="s">
        <v>23085</v>
      </c>
      <c r="C2293" s="37" t="s">
        <v>2348</v>
      </c>
      <c r="D2293" s="37" t="s">
        <v>2351</v>
      </c>
    </row>
    <row r="2294" spans="1:4" ht="14.25">
      <c r="A2294" s="37">
        <v>3311</v>
      </c>
      <c r="B2294" s="37" t="s">
        <v>23086</v>
      </c>
      <c r="C2294" s="37" t="s">
        <v>2368</v>
      </c>
      <c r="D2294" s="37" t="s">
        <v>2351</v>
      </c>
    </row>
    <row r="2295" spans="1:4" ht="14.25">
      <c r="A2295" s="37">
        <v>11599</v>
      </c>
      <c r="B2295" s="37" t="s">
        <v>23087</v>
      </c>
      <c r="C2295" s="37" t="s">
        <v>2348</v>
      </c>
      <c r="D2295" s="37" t="s">
        <v>2351</v>
      </c>
    </row>
    <row r="2296" spans="1:4" ht="14.25">
      <c r="A2296" s="37">
        <v>11593</v>
      </c>
      <c r="B2296" s="37" t="s">
        <v>23088</v>
      </c>
      <c r="C2296" s="37" t="s">
        <v>2348</v>
      </c>
      <c r="D2296" s="37" t="s">
        <v>2351</v>
      </c>
    </row>
    <row r="2297" spans="1:4" ht="14.25">
      <c r="A2297" s="37">
        <v>3314</v>
      </c>
      <c r="B2297" s="37" t="s">
        <v>23089</v>
      </c>
      <c r="C2297" s="37" t="s">
        <v>2368</v>
      </c>
      <c r="D2297" s="37" t="s">
        <v>2351</v>
      </c>
    </row>
    <row r="2298" spans="1:4" ht="14.25">
      <c r="A2298" s="37">
        <v>11597</v>
      </c>
      <c r="B2298" s="37" t="s">
        <v>23090</v>
      </c>
      <c r="C2298" s="37" t="s">
        <v>2348</v>
      </c>
      <c r="D2298" s="37" t="s">
        <v>2351</v>
      </c>
    </row>
    <row r="2299" spans="1:4" ht="14.25">
      <c r="A2299" s="37">
        <v>3309</v>
      </c>
      <c r="B2299" s="37" t="s">
        <v>23091</v>
      </c>
      <c r="C2299" s="37" t="s">
        <v>2368</v>
      </c>
      <c r="D2299" s="37" t="s">
        <v>2351</v>
      </c>
    </row>
    <row r="2300" spans="1:4" ht="14.25">
      <c r="A2300" s="37">
        <v>34612</v>
      </c>
      <c r="B2300" s="37" t="s">
        <v>23092</v>
      </c>
      <c r="C2300" s="37" t="s">
        <v>2348</v>
      </c>
      <c r="D2300" s="37" t="s">
        <v>2351</v>
      </c>
    </row>
    <row r="2301" spans="1:4" ht="14.25">
      <c r="A2301" s="37">
        <v>34635</v>
      </c>
      <c r="B2301" s="37" t="s">
        <v>23093</v>
      </c>
      <c r="C2301" s="37" t="s">
        <v>2348</v>
      </c>
      <c r="D2301" s="37" t="s">
        <v>2351</v>
      </c>
    </row>
    <row r="2302" spans="1:4" ht="14.25">
      <c r="A2302" s="37">
        <v>34633</v>
      </c>
      <c r="B2302" s="37" t="s">
        <v>23094</v>
      </c>
      <c r="C2302" s="37" t="s">
        <v>2348</v>
      </c>
      <c r="D2302" s="37" t="s">
        <v>2351</v>
      </c>
    </row>
    <row r="2303" spans="1:4" ht="14.25">
      <c r="A2303" s="37">
        <v>40440</v>
      </c>
      <c r="B2303" s="37" t="s">
        <v>23095</v>
      </c>
      <c r="C2303" s="37" t="s">
        <v>2368</v>
      </c>
      <c r="D2303" s="37" t="s">
        <v>2351</v>
      </c>
    </row>
    <row r="2304" spans="1:4" ht="14.25">
      <c r="A2304" s="37">
        <v>40441</v>
      </c>
      <c r="B2304" s="37" t="s">
        <v>23096</v>
      </c>
      <c r="C2304" s="37" t="s">
        <v>2368</v>
      </c>
      <c r="D2304" s="37" t="s">
        <v>2351</v>
      </c>
    </row>
    <row r="2305" spans="1:4" ht="14.25">
      <c r="A2305" s="37">
        <v>40449</v>
      </c>
      <c r="B2305" s="37" t="s">
        <v>23097</v>
      </c>
      <c r="C2305" s="37" t="s">
        <v>2368</v>
      </c>
      <c r="D2305" s="37" t="s">
        <v>2351</v>
      </c>
    </row>
    <row r="2306" spans="1:4" ht="14.25">
      <c r="A2306" s="37">
        <v>34800</v>
      </c>
      <c r="B2306" s="37" t="s">
        <v>23098</v>
      </c>
      <c r="C2306" s="37" t="s">
        <v>2368</v>
      </c>
      <c r="D2306" s="37" t="s">
        <v>2351</v>
      </c>
    </row>
    <row r="2307" spans="1:4" ht="14.25">
      <c r="A2307" s="37">
        <v>11592</v>
      </c>
      <c r="B2307" s="37" t="s">
        <v>23099</v>
      </c>
      <c r="C2307" s="37" t="s">
        <v>2348</v>
      </c>
      <c r="D2307" s="37" t="s">
        <v>2351</v>
      </c>
    </row>
    <row r="2308" spans="1:4" ht="14.25">
      <c r="A2308" s="37">
        <v>40438</v>
      </c>
      <c r="B2308" s="37" t="s">
        <v>23100</v>
      </c>
      <c r="C2308" s="37" t="s">
        <v>2368</v>
      </c>
      <c r="D2308" s="37" t="s">
        <v>2351</v>
      </c>
    </row>
    <row r="2309" spans="1:4" ht="14.25">
      <c r="A2309" s="37">
        <v>40436</v>
      </c>
      <c r="B2309" s="37" t="s">
        <v>23101</v>
      </c>
      <c r="C2309" s="37" t="s">
        <v>2368</v>
      </c>
      <c r="D2309" s="37" t="s">
        <v>2351</v>
      </c>
    </row>
    <row r="2310" spans="1:4" ht="14.25">
      <c r="A2310" s="37">
        <v>4315</v>
      </c>
      <c r="B2310" s="37" t="s">
        <v>23102</v>
      </c>
      <c r="C2310" s="37" t="s">
        <v>2348</v>
      </c>
      <c r="D2310" s="37" t="s">
        <v>2349</v>
      </c>
    </row>
    <row r="2311" spans="1:4" ht="14.25">
      <c r="A2311" s="37">
        <v>402</v>
      </c>
      <c r="B2311" s="37" t="s">
        <v>23103</v>
      </c>
      <c r="C2311" s="37" t="s">
        <v>2348</v>
      </c>
      <c r="D2311" s="37" t="s">
        <v>2349</v>
      </c>
    </row>
    <row r="2312" spans="1:4" ht="14.25">
      <c r="A2312" s="37">
        <v>4226</v>
      </c>
      <c r="B2312" s="37" t="s">
        <v>23104</v>
      </c>
      <c r="C2312" s="37" t="s">
        <v>2356</v>
      </c>
      <c r="D2312" s="37" t="s">
        <v>2353</v>
      </c>
    </row>
    <row r="2313" spans="1:4" ht="14.25">
      <c r="A2313" s="37">
        <v>4222</v>
      </c>
      <c r="B2313" s="37" t="s">
        <v>23105</v>
      </c>
      <c r="C2313" s="37" t="s">
        <v>2363</v>
      </c>
      <c r="D2313" s="37" t="s">
        <v>2353</v>
      </c>
    </row>
    <row r="2314" spans="1:4" ht="14.25">
      <c r="A2314" s="37">
        <v>34804</v>
      </c>
      <c r="B2314" s="37" t="s">
        <v>23106</v>
      </c>
      <c r="C2314" s="37" t="s">
        <v>2350</v>
      </c>
      <c r="D2314" s="37" t="s">
        <v>2351</v>
      </c>
    </row>
    <row r="2315" spans="1:4" ht="14.25">
      <c r="A2315" s="37">
        <v>4013</v>
      </c>
      <c r="B2315" s="37" t="s">
        <v>23107</v>
      </c>
      <c r="C2315" s="37" t="s">
        <v>2350</v>
      </c>
      <c r="D2315" s="37" t="s">
        <v>2349</v>
      </c>
    </row>
    <row r="2316" spans="1:4" ht="14.25">
      <c r="A2316" s="37">
        <v>4011</v>
      </c>
      <c r="B2316" s="37" t="s">
        <v>23108</v>
      </c>
      <c r="C2316" s="37" t="s">
        <v>2350</v>
      </c>
      <c r="D2316" s="37" t="s">
        <v>2349</v>
      </c>
    </row>
    <row r="2317" spans="1:4" ht="14.25">
      <c r="A2317" s="37">
        <v>4021</v>
      </c>
      <c r="B2317" s="37" t="s">
        <v>23109</v>
      </c>
      <c r="C2317" s="37" t="s">
        <v>2350</v>
      </c>
      <c r="D2317" s="37" t="s">
        <v>2349</v>
      </c>
    </row>
    <row r="2318" spans="1:4" ht="14.25">
      <c r="A2318" s="37">
        <v>4019</v>
      </c>
      <c r="B2318" s="37" t="s">
        <v>23110</v>
      </c>
      <c r="C2318" s="37" t="s">
        <v>2350</v>
      </c>
      <c r="D2318" s="37" t="s">
        <v>2349</v>
      </c>
    </row>
    <row r="2319" spans="1:4" ht="14.25">
      <c r="A2319" s="37">
        <v>4012</v>
      </c>
      <c r="B2319" s="37" t="s">
        <v>23111</v>
      </c>
      <c r="C2319" s="37" t="s">
        <v>2350</v>
      </c>
      <c r="D2319" s="37" t="s">
        <v>2349</v>
      </c>
    </row>
    <row r="2320" spans="1:4" ht="14.25">
      <c r="A2320" s="37">
        <v>4020</v>
      </c>
      <c r="B2320" s="37" t="s">
        <v>23112</v>
      </c>
      <c r="C2320" s="37" t="s">
        <v>2350</v>
      </c>
      <c r="D2320" s="37" t="s">
        <v>2349</v>
      </c>
    </row>
    <row r="2321" spans="1:4" ht="14.25">
      <c r="A2321" s="37">
        <v>4018</v>
      </c>
      <c r="B2321" s="37" t="s">
        <v>23113</v>
      </c>
      <c r="C2321" s="37" t="s">
        <v>2350</v>
      </c>
      <c r="D2321" s="37" t="s">
        <v>2349</v>
      </c>
    </row>
    <row r="2322" spans="1:4" ht="14.25">
      <c r="A2322" s="37">
        <v>36498</v>
      </c>
      <c r="B2322" s="37" t="s">
        <v>23114</v>
      </c>
      <c r="C2322" s="37" t="s">
        <v>2348</v>
      </c>
      <c r="D2322" s="37" t="s">
        <v>2351</v>
      </c>
    </row>
    <row r="2323" spans="1:4" ht="14.25">
      <c r="A2323" s="37">
        <v>12872</v>
      </c>
      <c r="B2323" s="37" t="s">
        <v>23115</v>
      </c>
      <c r="C2323" s="37" t="s">
        <v>2352</v>
      </c>
      <c r="D2323" s="37" t="s">
        <v>2349</v>
      </c>
    </row>
    <row r="2324" spans="1:4" ht="14.25">
      <c r="A2324" s="37">
        <v>41075</v>
      </c>
      <c r="B2324" s="37" t="s">
        <v>23116</v>
      </c>
      <c r="C2324" s="37" t="s">
        <v>2369</v>
      </c>
      <c r="D2324" s="37" t="s">
        <v>2349</v>
      </c>
    </row>
    <row r="2325" spans="1:4" ht="14.25">
      <c r="A2325" s="37">
        <v>44324</v>
      </c>
      <c r="B2325" s="37" t="s">
        <v>27988</v>
      </c>
      <c r="C2325" s="37" t="s">
        <v>2356</v>
      </c>
      <c r="D2325" s="37" t="s">
        <v>2349</v>
      </c>
    </row>
    <row r="2326" spans="1:4" ht="14.25">
      <c r="A2326" s="37">
        <v>3315</v>
      </c>
      <c r="B2326" s="37" t="s">
        <v>23117</v>
      </c>
      <c r="C2326" s="37" t="s">
        <v>2356</v>
      </c>
      <c r="D2326" s="37" t="s">
        <v>2349</v>
      </c>
    </row>
    <row r="2327" spans="1:4" ht="14.25">
      <c r="A2327" s="37">
        <v>36870</v>
      </c>
      <c r="B2327" s="37" t="s">
        <v>23118</v>
      </c>
      <c r="C2327" s="37" t="s">
        <v>2356</v>
      </c>
      <c r="D2327" s="37" t="s">
        <v>2349</v>
      </c>
    </row>
    <row r="2328" spans="1:4" ht="14.25">
      <c r="A2328" s="37">
        <v>5092</v>
      </c>
      <c r="B2328" s="37" t="s">
        <v>23119</v>
      </c>
      <c r="C2328" s="37" t="s">
        <v>2382</v>
      </c>
      <c r="D2328" s="37" t="s">
        <v>2349</v>
      </c>
    </row>
    <row r="2329" spans="1:4" ht="14.25">
      <c r="A2329" s="37">
        <v>11462</v>
      </c>
      <c r="B2329" s="37" t="s">
        <v>23120</v>
      </c>
      <c r="C2329" s="37" t="s">
        <v>2382</v>
      </c>
      <c r="D2329" s="37" t="s">
        <v>2349</v>
      </c>
    </row>
    <row r="2330" spans="1:4" ht="14.25">
      <c r="A2330" s="37">
        <v>36529</v>
      </c>
      <c r="B2330" s="37" t="s">
        <v>23121</v>
      </c>
      <c r="C2330" s="37" t="s">
        <v>2348</v>
      </c>
      <c r="D2330" s="37" t="s">
        <v>2351</v>
      </c>
    </row>
    <row r="2331" spans="1:4" ht="14.25">
      <c r="A2331" s="37">
        <v>3318</v>
      </c>
      <c r="B2331" s="37" t="s">
        <v>23122</v>
      </c>
      <c r="C2331" s="37" t="s">
        <v>2348</v>
      </c>
      <c r="D2331" s="37" t="s">
        <v>2351</v>
      </c>
    </row>
    <row r="2332" spans="1:4" ht="14.25">
      <c r="A2332" s="37">
        <v>3324</v>
      </c>
      <c r="B2332" s="37" t="s">
        <v>23123</v>
      </c>
      <c r="C2332" s="37" t="s">
        <v>2350</v>
      </c>
      <c r="D2332" s="37" t="s">
        <v>2349</v>
      </c>
    </row>
    <row r="2333" spans="1:4" ht="14.25">
      <c r="A2333" s="37">
        <v>3322</v>
      </c>
      <c r="B2333" s="37" t="s">
        <v>23124</v>
      </c>
      <c r="C2333" s="37" t="s">
        <v>2350</v>
      </c>
      <c r="D2333" s="37" t="s">
        <v>2353</v>
      </c>
    </row>
    <row r="2334" spans="1:4" ht="14.25">
      <c r="A2334" s="37">
        <v>5076</v>
      </c>
      <c r="B2334" s="37" t="s">
        <v>23125</v>
      </c>
      <c r="C2334" s="37" t="s">
        <v>2356</v>
      </c>
      <c r="D2334" s="37" t="s">
        <v>2349</v>
      </c>
    </row>
    <row r="2335" spans="1:4" ht="14.25">
      <c r="A2335" s="37">
        <v>5077</v>
      </c>
      <c r="B2335" s="37" t="s">
        <v>23126</v>
      </c>
      <c r="C2335" s="37" t="s">
        <v>2356</v>
      </c>
      <c r="D2335" s="37" t="s">
        <v>2349</v>
      </c>
    </row>
    <row r="2336" spans="1:4" ht="14.25">
      <c r="A2336" s="37">
        <v>11837</v>
      </c>
      <c r="B2336" s="37" t="s">
        <v>23127</v>
      </c>
      <c r="C2336" s="37" t="s">
        <v>2348</v>
      </c>
      <c r="D2336" s="37" t="s">
        <v>2349</v>
      </c>
    </row>
    <row r="2337" spans="1:4" ht="14.25">
      <c r="A2337" s="37">
        <v>38055</v>
      </c>
      <c r="B2337" s="37" t="s">
        <v>23128</v>
      </c>
      <c r="C2337" s="37" t="s">
        <v>2348</v>
      </c>
      <c r="D2337" s="37" t="s">
        <v>2349</v>
      </c>
    </row>
    <row r="2338" spans="1:4" ht="14.25">
      <c r="A2338" s="37">
        <v>415</v>
      </c>
      <c r="B2338" s="37" t="s">
        <v>23129</v>
      </c>
      <c r="C2338" s="37" t="s">
        <v>2348</v>
      </c>
      <c r="D2338" s="37" t="s">
        <v>2349</v>
      </c>
    </row>
    <row r="2339" spans="1:4" ht="14.25">
      <c r="A2339" s="37">
        <v>416</v>
      </c>
      <c r="B2339" s="37" t="s">
        <v>23130</v>
      </c>
      <c r="C2339" s="37" t="s">
        <v>2348</v>
      </c>
      <c r="D2339" s="37" t="s">
        <v>2349</v>
      </c>
    </row>
    <row r="2340" spans="1:4" ht="14.25">
      <c r="A2340" s="37">
        <v>425</v>
      </c>
      <c r="B2340" s="37" t="s">
        <v>23131</v>
      </c>
      <c r="C2340" s="37" t="s">
        <v>2348</v>
      </c>
      <c r="D2340" s="37" t="s">
        <v>2349</v>
      </c>
    </row>
    <row r="2341" spans="1:4" ht="14.25">
      <c r="A2341" s="37">
        <v>426</v>
      </c>
      <c r="B2341" s="37" t="s">
        <v>23132</v>
      </c>
      <c r="C2341" s="37" t="s">
        <v>2348</v>
      </c>
      <c r="D2341" s="37" t="s">
        <v>2349</v>
      </c>
    </row>
    <row r="2342" spans="1:4" ht="14.25">
      <c r="A2342" s="37">
        <v>38056</v>
      </c>
      <c r="B2342" s="37" t="s">
        <v>23133</v>
      </c>
      <c r="C2342" s="37" t="s">
        <v>2348</v>
      </c>
      <c r="D2342" s="37" t="s">
        <v>2349</v>
      </c>
    </row>
    <row r="2343" spans="1:4" ht="14.25">
      <c r="A2343" s="37">
        <v>1564</v>
      </c>
      <c r="B2343" s="37" t="s">
        <v>23134</v>
      </c>
      <c r="C2343" s="37" t="s">
        <v>2348</v>
      </c>
      <c r="D2343" s="37" t="s">
        <v>2349</v>
      </c>
    </row>
    <row r="2344" spans="1:4" ht="14.25">
      <c r="A2344" s="37">
        <v>11032</v>
      </c>
      <c r="B2344" s="37" t="s">
        <v>23135</v>
      </c>
      <c r="C2344" s="37" t="s">
        <v>2348</v>
      </c>
      <c r="D2344" s="37" t="s">
        <v>2349</v>
      </c>
    </row>
    <row r="2345" spans="1:4" ht="14.25">
      <c r="A2345" s="37">
        <v>36786</v>
      </c>
      <c r="B2345" s="37" t="s">
        <v>23136</v>
      </c>
      <c r="C2345" s="37" t="s">
        <v>2475</v>
      </c>
      <c r="D2345" s="37" t="s">
        <v>2351</v>
      </c>
    </row>
    <row r="2346" spans="1:4" ht="14.25">
      <c r="A2346" s="37">
        <v>36785</v>
      </c>
      <c r="B2346" s="37" t="s">
        <v>23137</v>
      </c>
      <c r="C2346" s="37" t="s">
        <v>2475</v>
      </c>
      <c r="D2346" s="37" t="s">
        <v>2351</v>
      </c>
    </row>
    <row r="2347" spans="1:4" ht="14.25">
      <c r="A2347" s="37">
        <v>36782</v>
      </c>
      <c r="B2347" s="37" t="s">
        <v>23138</v>
      </c>
      <c r="C2347" s="37" t="s">
        <v>2475</v>
      </c>
      <c r="D2347" s="37" t="s">
        <v>2351</v>
      </c>
    </row>
    <row r="2348" spans="1:4" ht="14.25">
      <c r="A2348" s="37">
        <v>44481</v>
      </c>
      <c r="B2348" s="37" t="s">
        <v>27989</v>
      </c>
      <c r="C2348" s="37" t="s">
        <v>2475</v>
      </c>
      <c r="D2348" s="37" t="s">
        <v>2351</v>
      </c>
    </row>
    <row r="2349" spans="1:4" ht="14.25">
      <c r="A2349" s="37">
        <v>4824</v>
      </c>
      <c r="B2349" s="37" t="s">
        <v>23139</v>
      </c>
      <c r="C2349" s="37" t="s">
        <v>2356</v>
      </c>
      <c r="D2349" s="37" t="s">
        <v>2349</v>
      </c>
    </row>
    <row r="2350" spans="1:4" ht="14.25">
      <c r="A2350" s="37">
        <v>11795</v>
      </c>
      <c r="B2350" s="37" t="s">
        <v>23140</v>
      </c>
      <c r="C2350" s="37" t="s">
        <v>2350</v>
      </c>
      <c r="D2350" s="37" t="s">
        <v>2349</v>
      </c>
    </row>
    <row r="2351" spans="1:4" ht="14.25">
      <c r="A2351" s="37">
        <v>134</v>
      </c>
      <c r="B2351" s="37" t="s">
        <v>23141</v>
      </c>
      <c r="C2351" s="37" t="s">
        <v>2356</v>
      </c>
      <c r="D2351" s="37" t="s">
        <v>2349</v>
      </c>
    </row>
    <row r="2352" spans="1:4" ht="14.25">
      <c r="A2352" s="37">
        <v>4229</v>
      </c>
      <c r="B2352" s="37" t="s">
        <v>23142</v>
      </c>
      <c r="C2352" s="37" t="s">
        <v>2356</v>
      </c>
      <c r="D2352" s="37" t="s">
        <v>2349</v>
      </c>
    </row>
    <row r="2353" spans="1:4" ht="14.25">
      <c r="A2353" s="37">
        <v>11731</v>
      </c>
      <c r="B2353" s="37" t="s">
        <v>23143</v>
      </c>
      <c r="C2353" s="37" t="s">
        <v>2348</v>
      </c>
      <c r="D2353" s="37" t="s">
        <v>2349</v>
      </c>
    </row>
    <row r="2354" spans="1:4" ht="14.25">
      <c r="A2354" s="37">
        <v>11732</v>
      </c>
      <c r="B2354" s="37" t="s">
        <v>23144</v>
      </c>
      <c r="C2354" s="37" t="s">
        <v>2348</v>
      </c>
      <c r="D2354" s="37" t="s">
        <v>2349</v>
      </c>
    </row>
    <row r="2355" spans="1:4" ht="14.25">
      <c r="A2355" s="37">
        <v>11244</v>
      </c>
      <c r="B2355" s="37" t="s">
        <v>23145</v>
      </c>
      <c r="C2355" s="37" t="s">
        <v>2348</v>
      </c>
      <c r="D2355" s="37" t="s">
        <v>2351</v>
      </c>
    </row>
    <row r="2356" spans="1:4" ht="14.25">
      <c r="A2356" s="37">
        <v>11245</v>
      </c>
      <c r="B2356" s="37" t="s">
        <v>23146</v>
      </c>
      <c r="C2356" s="37" t="s">
        <v>2348</v>
      </c>
      <c r="D2356" s="37" t="s">
        <v>2351</v>
      </c>
    </row>
    <row r="2357" spans="1:4" ht="14.25">
      <c r="A2357" s="37">
        <v>11235</v>
      </c>
      <c r="B2357" s="37" t="s">
        <v>23147</v>
      </c>
      <c r="C2357" s="37" t="s">
        <v>2348</v>
      </c>
      <c r="D2357" s="37" t="s">
        <v>2351</v>
      </c>
    </row>
    <row r="2358" spans="1:4" ht="14.25">
      <c r="A2358" s="37">
        <v>11236</v>
      </c>
      <c r="B2358" s="37" t="s">
        <v>23148</v>
      </c>
      <c r="C2358" s="37" t="s">
        <v>2348</v>
      </c>
      <c r="D2358" s="37" t="s">
        <v>2351</v>
      </c>
    </row>
    <row r="2359" spans="1:4" ht="14.25">
      <c r="A2359" s="37">
        <v>36494</v>
      </c>
      <c r="B2359" s="37" t="s">
        <v>23149</v>
      </c>
      <c r="C2359" s="37" t="s">
        <v>2348</v>
      </c>
      <c r="D2359" s="37" t="s">
        <v>2351</v>
      </c>
    </row>
    <row r="2360" spans="1:4" ht="14.25">
      <c r="A2360" s="37">
        <v>36493</v>
      </c>
      <c r="B2360" s="37" t="s">
        <v>23150</v>
      </c>
      <c r="C2360" s="37" t="s">
        <v>2348</v>
      </c>
      <c r="D2360" s="37" t="s">
        <v>2351</v>
      </c>
    </row>
    <row r="2361" spans="1:4" ht="14.25">
      <c r="A2361" s="37">
        <v>36492</v>
      </c>
      <c r="B2361" s="37" t="s">
        <v>23151</v>
      </c>
      <c r="C2361" s="37" t="s">
        <v>2348</v>
      </c>
      <c r="D2361" s="37" t="s">
        <v>2351</v>
      </c>
    </row>
    <row r="2362" spans="1:4" ht="14.25">
      <c r="A2362" s="37">
        <v>13333</v>
      </c>
      <c r="B2362" s="37" t="s">
        <v>23152</v>
      </c>
      <c r="C2362" s="37" t="s">
        <v>2348</v>
      </c>
      <c r="D2362" s="37" t="s">
        <v>2351</v>
      </c>
    </row>
    <row r="2363" spans="1:4" ht="14.25">
      <c r="A2363" s="37">
        <v>13533</v>
      </c>
      <c r="B2363" s="37" t="s">
        <v>23153</v>
      </c>
      <c r="C2363" s="37" t="s">
        <v>2348</v>
      </c>
      <c r="D2363" s="37" t="s">
        <v>2351</v>
      </c>
    </row>
    <row r="2364" spans="1:4" ht="14.25">
      <c r="A2364" s="37">
        <v>36499</v>
      </c>
      <c r="B2364" s="37" t="s">
        <v>23154</v>
      </c>
      <c r="C2364" s="37" t="s">
        <v>2348</v>
      </c>
      <c r="D2364" s="37" t="s">
        <v>2351</v>
      </c>
    </row>
    <row r="2365" spans="1:4" ht="14.25">
      <c r="A2365" s="37">
        <v>39585</v>
      </c>
      <c r="B2365" s="37" t="s">
        <v>23155</v>
      </c>
      <c r="C2365" s="37" t="s">
        <v>2348</v>
      </c>
      <c r="D2365" s="37" t="s">
        <v>2351</v>
      </c>
    </row>
    <row r="2366" spans="1:4" ht="14.25">
      <c r="A2366" s="37">
        <v>39586</v>
      </c>
      <c r="B2366" s="37" t="s">
        <v>23156</v>
      </c>
      <c r="C2366" s="37" t="s">
        <v>2348</v>
      </c>
      <c r="D2366" s="37" t="s">
        <v>2351</v>
      </c>
    </row>
    <row r="2367" spans="1:4" ht="14.25">
      <c r="A2367" s="37">
        <v>39587</v>
      </c>
      <c r="B2367" s="37" t="s">
        <v>23157</v>
      </c>
      <c r="C2367" s="37" t="s">
        <v>2348</v>
      </c>
      <c r="D2367" s="37" t="s">
        <v>2351</v>
      </c>
    </row>
    <row r="2368" spans="1:4" ht="14.25">
      <c r="A2368" s="37">
        <v>39588</v>
      </c>
      <c r="B2368" s="37" t="s">
        <v>23158</v>
      </c>
      <c r="C2368" s="37" t="s">
        <v>2348</v>
      </c>
      <c r="D2368" s="37" t="s">
        <v>2351</v>
      </c>
    </row>
    <row r="2369" spans="1:4" ht="14.25">
      <c r="A2369" s="37">
        <v>39584</v>
      </c>
      <c r="B2369" s="37" t="s">
        <v>23159</v>
      </c>
      <c r="C2369" s="37" t="s">
        <v>2348</v>
      </c>
      <c r="D2369" s="37" t="s">
        <v>2351</v>
      </c>
    </row>
    <row r="2370" spans="1:4" ht="14.25">
      <c r="A2370" s="37">
        <v>39590</v>
      </c>
      <c r="B2370" s="37" t="s">
        <v>23160</v>
      </c>
      <c r="C2370" s="37" t="s">
        <v>2348</v>
      </c>
      <c r="D2370" s="37" t="s">
        <v>2351</v>
      </c>
    </row>
    <row r="2371" spans="1:4" ht="14.25">
      <c r="A2371" s="37">
        <v>39592</v>
      </c>
      <c r="B2371" s="37" t="s">
        <v>23161</v>
      </c>
      <c r="C2371" s="37" t="s">
        <v>2348</v>
      </c>
      <c r="D2371" s="37" t="s">
        <v>2351</v>
      </c>
    </row>
    <row r="2372" spans="1:4" ht="14.25">
      <c r="A2372" s="37">
        <v>39593</v>
      </c>
      <c r="B2372" s="37" t="s">
        <v>23162</v>
      </c>
      <c r="C2372" s="37" t="s">
        <v>2348</v>
      </c>
      <c r="D2372" s="37" t="s">
        <v>2351</v>
      </c>
    </row>
    <row r="2373" spans="1:4" ht="14.25">
      <c r="A2373" s="37">
        <v>14254</v>
      </c>
      <c r="B2373" s="37" t="s">
        <v>23163</v>
      </c>
      <c r="C2373" s="37" t="s">
        <v>2348</v>
      </c>
      <c r="D2373" s="37" t="s">
        <v>2351</v>
      </c>
    </row>
    <row r="2374" spans="1:4" ht="14.25">
      <c r="A2374" s="37">
        <v>44494</v>
      </c>
      <c r="B2374" s="37" t="s">
        <v>27990</v>
      </c>
      <c r="C2374" s="37" t="s">
        <v>2348</v>
      </c>
      <c r="D2374" s="37" t="s">
        <v>2351</v>
      </c>
    </row>
    <row r="2375" spans="1:4" ht="14.25">
      <c r="A2375" s="37">
        <v>25019</v>
      </c>
      <c r="B2375" s="37" t="s">
        <v>23164</v>
      </c>
      <c r="C2375" s="37" t="s">
        <v>2348</v>
      </c>
      <c r="D2375" s="37" t="s">
        <v>2351</v>
      </c>
    </row>
    <row r="2376" spans="1:4" ht="14.25">
      <c r="A2376" s="37">
        <v>36501</v>
      </c>
      <c r="B2376" s="37" t="s">
        <v>23165</v>
      </c>
      <c r="C2376" s="37" t="s">
        <v>2348</v>
      </c>
      <c r="D2376" s="37" t="s">
        <v>2351</v>
      </c>
    </row>
    <row r="2377" spans="1:4" ht="14.25">
      <c r="A2377" s="37">
        <v>44493</v>
      </c>
      <c r="B2377" s="37" t="s">
        <v>27991</v>
      </c>
      <c r="C2377" s="37" t="s">
        <v>2348</v>
      </c>
      <c r="D2377" s="37" t="s">
        <v>2351</v>
      </c>
    </row>
    <row r="2378" spans="1:4" ht="14.25">
      <c r="A2378" s="37">
        <v>36500</v>
      </c>
      <c r="B2378" s="37" t="s">
        <v>23166</v>
      </c>
      <c r="C2378" s="37" t="s">
        <v>2348</v>
      </c>
      <c r="D2378" s="37" t="s">
        <v>2351</v>
      </c>
    </row>
    <row r="2379" spans="1:4" ht="14.25">
      <c r="A2379" s="37">
        <v>20017</v>
      </c>
      <c r="B2379" s="37" t="s">
        <v>23167</v>
      </c>
      <c r="C2379" s="37" t="s">
        <v>2355</v>
      </c>
      <c r="D2379" s="37" t="s">
        <v>2349</v>
      </c>
    </row>
    <row r="2380" spans="1:4" ht="14.25">
      <c r="A2380" s="37">
        <v>20007</v>
      </c>
      <c r="B2380" s="37" t="s">
        <v>23168</v>
      </c>
      <c r="C2380" s="37" t="s">
        <v>2355</v>
      </c>
      <c r="D2380" s="37" t="s">
        <v>2349</v>
      </c>
    </row>
    <row r="2381" spans="1:4" ht="14.25">
      <c r="A2381" s="37">
        <v>39831</v>
      </c>
      <c r="B2381" s="37" t="s">
        <v>23169</v>
      </c>
      <c r="C2381" s="37" t="s">
        <v>2386</v>
      </c>
      <c r="D2381" s="37" t="s">
        <v>2351</v>
      </c>
    </row>
    <row r="2382" spans="1:4" ht="14.25">
      <c r="A2382" s="37">
        <v>36888</v>
      </c>
      <c r="B2382" s="37" t="s">
        <v>27992</v>
      </c>
      <c r="C2382" s="37" t="s">
        <v>2355</v>
      </c>
      <c r="D2382" s="37" t="s">
        <v>2349</v>
      </c>
    </row>
    <row r="2383" spans="1:4" ht="14.25">
      <c r="A2383" s="37">
        <v>39836</v>
      </c>
      <c r="B2383" s="37" t="s">
        <v>23170</v>
      </c>
      <c r="C2383" s="37" t="s">
        <v>2386</v>
      </c>
      <c r="D2383" s="37" t="s">
        <v>2351</v>
      </c>
    </row>
    <row r="2384" spans="1:4" ht="14.25">
      <c r="A2384" s="37">
        <v>39830</v>
      </c>
      <c r="B2384" s="37" t="s">
        <v>23171</v>
      </c>
      <c r="C2384" s="37" t="s">
        <v>2386</v>
      </c>
      <c r="D2384" s="37" t="s">
        <v>2351</v>
      </c>
    </row>
    <row r="2385" spans="1:4" ht="14.25">
      <c r="A2385" s="37">
        <v>40527</v>
      </c>
      <c r="B2385" s="37" t="s">
        <v>23172</v>
      </c>
      <c r="C2385" s="37" t="s">
        <v>2348</v>
      </c>
      <c r="D2385" s="37" t="s">
        <v>2351</v>
      </c>
    </row>
    <row r="2386" spans="1:4" ht="14.25">
      <c r="A2386" s="37">
        <v>36497</v>
      </c>
      <c r="B2386" s="37" t="s">
        <v>23173</v>
      </c>
      <c r="C2386" s="37" t="s">
        <v>2348</v>
      </c>
      <c r="D2386" s="37" t="s">
        <v>2351</v>
      </c>
    </row>
    <row r="2387" spans="1:4" ht="14.25">
      <c r="A2387" s="37">
        <v>36487</v>
      </c>
      <c r="B2387" s="37" t="s">
        <v>23174</v>
      </c>
      <c r="C2387" s="37" t="s">
        <v>2348</v>
      </c>
      <c r="D2387" s="37" t="s">
        <v>2351</v>
      </c>
    </row>
    <row r="2388" spans="1:4" ht="14.25">
      <c r="A2388" s="37">
        <v>44475</v>
      </c>
      <c r="B2388" s="37" t="s">
        <v>27993</v>
      </c>
      <c r="C2388" s="37" t="s">
        <v>2348</v>
      </c>
      <c r="D2388" s="37" t="s">
        <v>2351</v>
      </c>
    </row>
    <row r="2389" spans="1:4" ht="14.25">
      <c r="A2389" s="37">
        <v>44474</v>
      </c>
      <c r="B2389" s="37" t="s">
        <v>27994</v>
      </c>
      <c r="C2389" s="37" t="s">
        <v>2348</v>
      </c>
      <c r="D2389" s="37" t="s">
        <v>2351</v>
      </c>
    </row>
    <row r="2390" spans="1:4" ht="14.25">
      <c r="A2390" s="37">
        <v>44490</v>
      </c>
      <c r="B2390" s="37" t="s">
        <v>27995</v>
      </c>
      <c r="C2390" s="37" t="s">
        <v>2348</v>
      </c>
      <c r="D2390" s="37" t="s">
        <v>2351</v>
      </c>
    </row>
    <row r="2391" spans="1:4" ht="14.25">
      <c r="A2391" s="37">
        <v>37776</v>
      </c>
      <c r="B2391" s="37" t="s">
        <v>23175</v>
      </c>
      <c r="C2391" s="37" t="s">
        <v>2348</v>
      </c>
      <c r="D2391" s="37" t="s">
        <v>2351</v>
      </c>
    </row>
    <row r="2392" spans="1:4" ht="14.25">
      <c r="A2392" s="37">
        <v>37775</v>
      </c>
      <c r="B2392" s="37" t="s">
        <v>23176</v>
      </c>
      <c r="C2392" s="37" t="s">
        <v>2348</v>
      </c>
      <c r="D2392" s="37" t="s">
        <v>2351</v>
      </c>
    </row>
    <row r="2393" spans="1:4" ht="14.25">
      <c r="A2393" s="37">
        <v>36491</v>
      </c>
      <c r="B2393" s="37" t="s">
        <v>23177</v>
      </c>
      <c r="C2393" s="37" t="s">
        <v>2348</v>
      </c>
      <c r="D2393" s="37" t="s">
        <v>2351</v>
      </c>
    </row>
    <row r="2394" spans="1:4" ht="14.25">
      <c r="A2394" s="37">
        <v>10712</v>
      </c>
      <c r="B2394" s="37" t="s">
        <v>23178</v>
      </c>
      <c r="C2394" s="37" t="s">
        <v>2348</v>
      </c>
      <c r="D2394" s="37" t="s">
        <v>2351</v>
      </c>
    </row>
    <row r="2395" spans="1:4" ht="14.25">
      <c r="A2395" s="37">
        <v>3363</v>
      </c>
      <c r="B2395" s="37" t="s">
        <v>23179</v>
      </c>
      <c r="C2395" s="37" t="s">
        <v>2348</v>
      </c>
      <c r="D2395" s="37" t="s">
        <v>2351</v>
      </c>
    </row>
    <row r="2396" spans="1:4" ht="14.25">
      <c r="A2396" s="37">
        <v>3365</v>
      </c>
      <c r="B2396" s="37" t="s">
        <v>23180</v>
      </c>
      <c r="C2396" s="37" t="s">
        <v>2348</v>
      </c>
      <c r="D2396" s="37" t="s">
        <v>2351</v>
      </c>
    </row>
    <row r="2397" spans="1:4" ht="14.25">
      <c r="A2397" s="37">
        <v>7569</v>
      </c>
      <c r="B2397" s="37" t="s">
        <v>23181</v>
      </c>
      <c r="C2397" s="37" t="s">
        <v>2348</v>
      </c>
      <c r="D2397" s="37" t="s">
        <v>2349</v>
      </c>
    </row>
    <row r="2398" spans="1:4" ht="14.25">
      <c r="A2398" s="37">
        <v>34349</v>
      </c>
      <c r="B2398" s="37" t="s">
        <v>23182</v>
      </c>
      <c r="C2398" s="37" t="s">
        <v>2348</v>
      </c>
      <c r="D2398" s="37" t="s">
        <v>2349</v>
      </c>
    </row>
    <row r="2399" spans="1:4" ht="14.25">
      <c r="A2399" s="37">
        <v>11991</v>
      </c>
      <c r="B2399" s="37" t="s">
        <v>23183</v>
      </c>
      <c r="C2399" s="37" t="s">
        <v>2348</v>
      </c>
      <c r="D2399" s="37" t="s">
        <v>2349</v>
      </c>
    </row>
    <row r="2400" spans="1:4" ht="14.25">
      <c r="A2400" s="37">
        <v>20062</v>
      </c>
      <c r="B2400" s="37" t="s">
        <v>23184</v>
      </c>
      <c r="C2400" s="37" t="s">
        <v>2348</v>
      </c>
      <c r="D2400" s="37" t="s">
        <v>2351</v>
      </c>
    </row>
    <row r="2401" spans="1:4" ht="14.25">
      <c r="A2401" s="37">
        <v>11029</v>
      </c>
      <c r="B2401" s="37" t="s">
        <v>23185</v>
      </c>
      <c r="C2401" s="37" t="s">
        <v>2440</v>
      </c>
      <c r="D2401" s="37" t="s">
        <v>2349</v>
      </c>
    </row>
    <row r="2402" spans="1:4" ht="14.25">
      <c r="A2402" s="37">
        <v>4316</v>
      </c>
      <c r="B2402" s="37" t="s">
        <v>23186</v>
      </c>
      <c r="C2402" s="37" t="s">
        <v>2348</v>
      </c>
      <c r="D2402" s="37" t="s">
        <v>2349</v>
      </c>
    </row>
    <row r="2403" spans="1:4" ht="14.25">
      <c r="A2403" s="37">
        <v>4313</v>
      </c>
      <c r="B2403" s="37" t="s">
        <v>23187</v>
      </c>
      <c r="C2403" s="37" t="s">
        <v>2440</v>
      </c>
      <c r="D2403" s="37" t="s">
        <v>2349</v>
      </c>
    </row>
    <row r="2404" spans="1:4" ht="14.25">
      <c r="A2404" s="37">
        <v>4317</v>
      </c>
      <c r="B2404" s="37" t="s">
        <v>23188</v>
      </c>
      <c r="C2404" s="37" t="s">
        <v>2348</v>
      </c>
      <c r="D2404" s="37" t="s">
        <v>2349</v>
      </c>
    </row>
    <row r="2405" spans="1:4" ht="14.25">
      <c r="A2405" s="37">
        <v>4314</v>
      </c>
      <c r="B2405" s="37" t="s">
        <v>23189</v>
      </c>
      <c r="C2405" s="37" t="s">
        <v>2440</v>
      </c>
      <c r="D2405" s="37" t="s">
        <v>2349</v>
      </c>
    </row>
    <row r="2406" spans="1:4" ht="14.25">
      <c r="A2406" s="37">
        <v>10921</v>
      </c>
      <c r="B2406" s="37" t="s">
        <v>23190</v>
      </c>
      <c r="C2406" s="37" t="s">
        <v>2348</v>
      </c>
      <c r="D2406" s="37" t="s">
        <v>2351</v>
      </c>
    </row>
    <row r="2407" spans="1:4" ht="14.25">
      <c r="A2407" s="37">
        <v>10922</v>
      </c>
      <c r="B2407" s="37" t="s">
        <v>23191</v>
      </c>
      <c r="C2407" s="37" t="s">
        <v>2348</v>
      </c>
      <c r="D2407" s="37" t="s">
        <v>2351</v>
      </c>
    </row>
    <row r="2408" spans="1:4" ht="14.25">
      <c r="A2408" s="37">
        <v>10923</v>
      </c>
      <c r="B2408" s="37" t="s">
        <v>23192</v>
      </c>
      <c r="C2408" s="37" t="s">
        <v>2348</v>
      </c>
      <c r="D2408" s="37" t="s">
        <v>2351</v>
      </c>
    </row>
    <row r="2409" spans="1:4" ht="14.25">
      <c r="A2409" s="37">
        <v>10924</v>
      </c>
      <c r="B2409" s="37" t="s">
        <v>23193</v>
      </c>
      <c r="C2409" s="37" t="s">
        <v>2348</v>
      </c>
      <c r="D2409" s="37" t="s">
        <v>2351</v>
      </c>
    </row>
    <row r="2410" spans="1:4" ht="14.25">
      <c r="A2410" s="37">
        <v>37772</v>
      </c>
      <c r="B2410" s="37" t="s">
        <v>23194</v>
      </c>
      <c r="C2410" s="37" t="s">
        <v>2348</v>
      </c>
      <c r="D2410" s="37" t="s">
        <v>2351</v>
      </c>
    </row>
    <row r="2411" spans="1:4" ht="14.25">
      <c r="A2411" s="37">
        <v>37771</v>
      </c>
      <c r="B2411" s="37" t="s">
        <v>23195</v>
      </c>
      <c r="C2411" s="37" t="s">
        <v>2348</v>
      </c>
      <c r="D2411" s="37" t="s">
        <v>2351</v>
      </c>
    </row>
    <row r="2412" spans="1:4" ht="14.25">
      <c r="A2412" s="37">
        <v>12772</v>
      </c>
      <c r="B2412" s="37" t="s">
        <v>23196</v>
      </c>
      <c r="C2412" s="37" t="s">
        <v>2348</v>
      </c>
      <c r="D2412" s="37" t="s">
        <v>2351</v>
      </c>
    </row>
    <row r="2413" spans="1:4" ht="14.25">
      <c r="A2413" s="37">
        <v>12770</v>
      </c>
      <c r="B2413" s="37" t="s">
        <v>23197</v>
      </c>
      <c r="C2413" s="37" t="s">
        <v>2348</v>
      </c>
      <c r="D2413" s="37" t="s">
        <v>2351</v>
      </c>
    </row>
    <row r="2414" spans="1:4" ht="14.25">
      <c r="A2414" s="37">
        <v>12775</v>
      </c>
      <c r="B2414" s="37" t="s">
        <v>23198</v>
      </c>
      <c r="C2414" s="37" t="s">
        <v>2348</v>
      </c>
      <c r="D2414" s="37" t="s">
        <v>2351</v>
      </c>
    </row>
    <row r="2415" spans="1:4" ht="14.25">
      <c r="A2415" s="37">
        <v>12768</v>
      </c>
      <c r="B2415" s="37" t="s">
        <v>23199</v>
      </c>
      <c r="C2415" s="37" t="s">
        <v>2348</v>
      </c>
      <c r="D2415" s="37" t="s">
        <v>2351</v>
      </c>
    </row>
    <row r="2416" spans="1:4" ht="14.25">
      <c r="A2416" s="37">
        <v>12769</v>
      </c>
      <c r="B2416" s="37" t="s">
        <v>23200</v>
      </c>
      <c r="C2416" s="37" t="s">
        <v>2348</v>
      </c>
      <c r="D2416" s="37" t="s">
        <v>2351</v>
      </c>
    </row>
    <row r="2417" spans="1:4" ht="14.25">
      <c r="A2417" s="37">
        <v>12773</v>
      </c>
      <c r="B2417" s="37" t="s">
        <v>23201</v>
      </c>
      <c r="C2417" s="37" t="s">
        <v>2348</v>
      </c>
      <c r="D2417" s="37" t="s">
        <v>2351</v>
      </c>
    </row>
    <row r="2418" spans="1:4" ht="14.25">
      <c r="A2418" s="37">
        <v>12774</v>
      </c>
      <c r="B2418" s="37" t="s">
        <v>23202</v>
      </c>
      <c r="C2418" s="37" t="s">
        <v>2348</v>
      </c>
      <c r="D2418" s="37" t="s">
        <v>2351</v>
      </c>
    </row>
    <row r="2419" spans="1:4" ht="14.25">
      <c r="A2419" s="37">
        <v>12776</v>
      </c>
      <c r="B2419" s="37" t="s">
        <v>23203</v>
      </c>
      <c r="C2419" s="37" t="s">
        <v>2348</v>
      </c>
      <c r="D2419" s="37" t="s">
        <v>2351</v>
      </c>
    </row>
    <row r="2420" spans="1:4" ht="14.25">
      <c r="A2420" s="37">
        <v>12777</v>
      </c>
      <c r="B2420" s="37" t="s">
        <v>23204</v>
      </c>
      <c r="C2420" s="37" t="s">
        <v>2348</v>
      </c>
      <c r="D2420" s="37" t="s">
        <v>2351</v>
      </c>
    </row>
    <row r="2421" spans="1:4" ht="14.25">
      <c r="A2421" s="37">
        <v>3391</v>
      </c>
      <c r="B2421" s="37" t="s">
        <v>23205</v>
      </c>
      <c r="C2421" s="37" t="s">
        <v>2348</v>
      </c>
      <c r="D2421" s="37" t="s">
        <v>2351</v>
      </c>
    </row>
    <row r="2422" spans="1:4" ht="14.25">
      <c r="A2422" s="37">
        <v>3389</v>
      </c>
      <c r="B2422" s="37" t="s">
        <v>23206</v>
      </c>
      <c r="C2422" s="37" t="s">
        <v>2348</v>
      </c>
      <c r="D2422" s="37" t="s">
        <v>2351</v>
      </c>
    </row>
    <row r="2423" spans="1:4" ht="14.25">
      <c r="A2423" s="37">
        <v>3390</v>
      </c>
      <c r="B2423" s="37" t="s">
        <v>23207</v>
      </c>
      <c r="C2423" s="37" t="s">
        <v>2348</v>
      </c>
      <c r="D2423" s="37" t="s">
        <v>2351</v>
      </c>
    </row>
    <row r="2424" spans="1:4" ht="14.25">
      <c r="A2424" s="37">
        <v>12873</v>
      </c>
      <c r="B2424" s="37" t="s">
        <v>23208</v>
      </c>
      <c r="C2424" s="37" t="s">
        <v>2352</v>
      </c>
      <c r="D2424" s="37" t="s">
        <v>2349</v>
      </c>
    </row>
    <row r="2425" spans="1:4" ht="14.25">
      <c r="A2425" s="37">
        <v>41076</v>
      </c>
      <c r="B2425" s="37" t="s">
        <v>23209</v>
      </c>
      <c r="C2425" s="37" t="s">
        <v>2369</v>
      </c>
      <c r="D2425" s="37" t="s">
        <v>2349</v>
      </c>
    </row>
    <row r="2426" spans="1:4" ht="14.25">
      <c r="A2426" s="37">
        <v>140</v>
      </c>
      <c r="B2426" s="37" t="s">
        <v>23210</v>
      </c>
      <c r="C2426" s="37" t="s">
        <v>2356</v>
      </c>
      <c r="D2426" s="37" t="s">
        <v>2349</v>
      </c>
    </row>
    <row r="2427" spans="1:4" ht="14.25">
      <c r="A2427" s="37">
        <v>151</v>
      </c>
      <c r="B2427" s="37" t="s">
        <v>27996</v>
      </c>
      <c r="C2427" s="37" t="s">
        <v>2363</v>
      </c>
      <c r="D2427" s="37" t="s">
        <v>2349</v>
      </c>
    </row>
    <row r="2428" spans="1:4" ht="14.25">
      <c r="A2428" s="37">
        <v>7340</v>
      </c>
      <c r="B2428" s="37" t="s">
        <v>23211</v>
      </c>
      <c r="C2428" s="37" t="s">
        <v>2363</v>
      </c>
      <c r="D2428" s="37" t="s">
        <v>2349</v>
      </c>
    </row>
    <row r="2429" spans="1:4" ht="14.25">
      <c r="A2429" s="37">
        <v>2701</v>
      </c>
      <c r="B2429" s="37" t="s">
        <v>23212</v>
      </c>
      <c r="C2429" s="37" t="s">
        <v>2352</v>
      </c>
      <c r="D2429" s="37" t="s">
        <v>2349</v>
      </c>
    </row>
    <row r="2430" spans="1:4" ht="14.25">
      <c r="A2430" s="37">
        <v>40929</v>
      </c>
      <c r="B2430" s="37" t="s">
        <v>23213</v>
      </c>
      <c r="C2430" s="37" t="s">
        <v>2369</v>
      </c>
      <c r="D2430" s="37" t="s">
        <v>2349</v>
      </c>
    </row>
    <row r="2431" spans="1:4" ht="14.25">
      <c r="A2431" s="37">
        <v>38114</v>
      </c>
      <c r="B2431" s="37" t="s">
        <v>23214</v>
      </c>
      <c r="C2431" s="37" t="s">
        <v>2348</v>
      </c>
      <c r="D2431" s="37" t="s">
        <v>2349</v>
      </c>
    </row>
    <row r="2432" spans="1:4" ht="14.25">
      <c r="A2432" s="37">
        <v>38064</v>
      </c>
      <c r="B2432" s="37" t="s">
        <v>23215</v>
      </c>
      <c r="C2432" s="37" t="s">
        <v>2348</v>
      </c>
      <c r="D2432" s="37" t="s">
        <v>2349</v>
      </c>
    </row>
    <row r="2433" spans="1:4" ht="14.25">
      <c r="A2433" s="37">
        <v>38115</v>
      </c>
      <c r="B2433" s="37" t="s">
        <v>23216</v>
      </c>
      <c r="C2433" s="37" t="s">
        <v>2348</v>
      </c>
      <c r="D2433" s="37" t="s">
        <v>2349</v>
      </c>
    </row>
    <row r="2434" spans="1:4" ht="14.25">
      <c r="A2434" s="37">
        <v>38065</v>
      </c>
      <c r="B2434" s="37" t="s">
        <v>23217</v>
      </c>
      <c r="C2434" s="37" t="s">
        <v>2348</v>
      </c>
      <c r="D2434" s="37" t="s">
        <v>2349</v>
      </c>
    </row>
    <row r="2435" spans="1:4" ht="14.25">
      <c r="A2435" s="37">
        <v>38078</v>
      </c>
      <c r="B2435" s="37" t="s">
        <v>23218</v>
      </c>
      <c r="C2435" s="37" t="s">
        <v>2348</v>
      </c>
      <c r="D2435" s="37" t="s">
        <v>2349</v>
      </c>
    </row>
    <row r="2436" spans="1:4" ht="14.25">
      <c r="A2436" s="37">
        <v>38113</v>
      </c>
      <c r="B2436" s="37" t="s">
        <v>23219</v>
      </c>
      <c r="C2436" s="37" t="s">
        <v>2348</v>
      </c>
      <c r="D2436" s="37" t="s">
        <v>2349</v>
      </c>
    </row>
    <row r="2437" spans="1:4" ht="14.25">
      <c r="A2437" s="37">
        <v>38063</v>
      </c>
      <c r="B2437" s="37" t="s">
        <v>23220</v>
      </c>
      <c r="C2437" s="37" t="s">
        <v>2348</v>
      </c>
      <c r="D2437" s="37" t="s">
        <v>2349</v>
      </c>
    </row>
    <row r="2438" spans="1:4" ht="14.25">
      <c r="A2438" s="37">
        <v>38080</v>
      </c>
      <c r="B2438" s="37" t="s">
        <v>23221</v>
      </c>
      <c r="C2438" s="37" t="s">
        <v>2348</v>
      </c>
      <c r="D2438" s="37" t="s">
        <v>2349</v>
      </c>
    </row>
    <row r="2439" spans="1:4" ht="14.25">
      <c r="A2439" s="37">
        <v>38069</v>
      </c>
      <c r="B2439" s="37" t="s">
        <v>23222</v>
      </c>
      <c r="C2439" s="37" t="s">
        <v>2348</v>
      </c>
      <c r="D2439" s="37" t="s">
        <v>2349</v>
      </c>
    </row>
    <row r="2440" spans="1:4" ht="14.25">
      <c r="A2440" s="37">
        <v>38077</v>
      </c>
      <c r="B2440" s="37" t="s">
        <v>23223</v>
      </c>
      <c r="C2440" s="37" t="s">
        <v>2348</v>
      </c>
      <c r="D2440" s="37" t="s">
        <v>2349</v>
      </c>
    </row>
    <row r="2441" spans="1:4" ht="14.25">
      <c r="A2441" s="37">
        <v>38073</v>
      </c>
      <c r="B2441" s="37" t="s">
        <v>23224</v>
      </c>
      <c r="C2441" s="37" t="s">
        <v>2348</v>
      </c>
      <c r="D2441" s="37" t="s">
        <v>2349</v>
      </c>
    </row>
    <row r="2442" spans="1:4" ht="14.25">
      <c r="A2442" s="37">
        <v>38112</v>
      </c>
      <c r="B2442" s="37" t="s">
        <v>23225</v>
      </c>
      <c r="C2442" s="37" t="s">
        <v>2348</v>
      </c>
      <c r="D2442" s="37" t="s">
        <v>2349</v>
      </c>
    </row>
    <row r="2443" spans="1:4" ht="14.25">
      <c r="A2443" s="37">
        <v>38062</v>
      </c>
      <c r="B2443" s="37" t="s">
        <v>23226</v>
      </c>
      <c r="C2443" s="37" t="s">
        <v>2348</v>
      </c>
      <c r="D2443" s="37" t="s">
        <v>2349</v>
      </c>
    </row>
    <row r="2444" spans="1:4" ht="14.25">
      <c r="A2444" s="37">
        <v>12128</v>
      </c>
      <c r="B2444" s="37" t="s">
        <v>23227</v>
      </c>
      <c r="C2444" s="37" t="s">
        <v>2348</v>
      </c>
      <c r="D2444" s="37" t="s">
        <v>2349</v>
      </c>
    </row>
    <row r="2445" spans="1:4" ht="14.25">
      <c r="A2445" s="37">
        <v>12129</v>
      </c>
      <c r="B2445" s="37" t="s">
        <v>23228</v>
      </c>
      <c r="C2445" s="37" t="s">
        <v>2348</v>
      </c>
      <c r="D2445" s="37" t="s">
        <v>2349</v>
      </c>
    </row>
    <row r="2446" spans="1:4" ht="14.25">
      <c r="A2446" s="37">
        <v>38081</v>
      </c>
      <c r="B2446" s="37" t="s">
        <v>23229</v>
      </c>
      <c r="C2446" s="37" t="s">
        <v>2348</v>
      </c>
      <c r="D2446" s="37" t="s">
        <v>2349</v>
      </c>
    </row>
    <row r="2447" spans="1:4" ht="14.25">
      <c r="A2447" s="37">
        <v>38070</v>
      </c>
      <c r="B2447" s="37" t="s">
        <v>23230</v>
      </c>
      <c r="C2447" s="37" t="s">
        <v>2348</v>
      </c>
      <c r="D2447" s="37" t="s">
        <v>2349</v>
      </c>
    </row>
    <row r="2448" spans="1:4" ht="14.25">
      <c r="A2448" s="37">
        <v>38074</v>
      </c>
      <c r="B2448" s="37" t="s">
        <v>23231</v>
      </c>
      <c r="C2448" s="37" t="s">
        <v>2348</v>
      </c>
      <c r="D2448" s="37" t="s">
        <v>2349</v>
      </c>
    </row>
    <row r="2449" spans="1:4" ht="14.25">
      <c r="A2449" s="37">
        <v>38079</v>
      </c>
      <c r="B2449" s="37" t="s">
        <v>23232</v>
      </c>
      <c r="C2449" s="37" t="s">
        <v>2348</v>
      </c>
      <c r="D2449" s="37" t="s">
        <v>2349</v>
      </c>
    </row>
    <row r="2450" spans="1:4" ht="14.25">
      <c r="A2450" s="37">
        <v>38072</v>
      </c>
      <c r="B2450" s="37" t="s">
        <v>23233</v>
      </c>
      <c r="C2450" s="37" t="s">
        <v>2348</v>
      </c>
      <c r="D2450" s="37" t="s">
        <v>2349</v>
      </c>
    </row>
    <row r="2451" spans="1:4" ht="14.25">
      <c r="A2451" s="37">
        <v>38068</v>
      </c>
      <c r="B2451" s="37" t="s">
        <v>23234</v>
      </c>
      <c r="C2451" s="37" t="s">
        <v>2348</v>
      </c>
      <c r="D2451" s="37" t="s">
        <v>2349</v>
      </c>
    </row>
    <row r="2452" spans="1:4" ht="14.25">
      <c r="A2452" s="37">
        <v>38071</v>
      </c>
      <c r="B2452" s="37" t="s">
        <v>23235</v>
      </c>
      <c r="C2452" s="37" t="s">
        <v>2348</v>
      </c>
      <c r="D2452" s="37" t="s">
        <v>2349</v>
      </c>
    </row>
    <row r="2453" spans="1:4" ht="14.25">
      <c r="A2453" s="37">
        <v>38412</v>
      </c>
      <c r="B2453" s="37" t="s">
        <v>23236</v>
      </c>
      <c r="C2453" s="37" t="s">
        <v>2348</v>
      </c>
      <c r="D2453" s="37" t="s">
        <v>2353</v>
      </c>
    </row>
    <row r="2454" spans="1:4" ht="14.25">
      <c r="A2454" s="37">
        <v>3405</v>
      </c>
      <c r="B2454" s="37" t="s">
        <v>23237</v>
      </c>
      <c r="C2454" s="37" t="s">
        <v>2348</v>
      </c>
      <c r="D2454" s="37" t="s">
        <v>2349</v>
      </c>
    </row>
    <row r="2455" spans="1:4" ht="14.25">
      <c r="A2455" s="37">
        <v>3394</v>
      </c>
      <c r="B2455" s="37" t="s">
        <v>23238</v>
      </c>
      <c r="C2455" s="37" t="s">
        <v>2348</v>
      </c>
      <c r="D2455" s="37" t="s">
        <v>2349</v>
      </c>
    </row>
    <row r="2456" spans="1:4" ht="14.25">
      <c r="A2456" s="37">
        <v>3393</v>
      </c>
      <c r="B2456" s="37" t="s">
        <v>23239</v>
      </c>
      <c r="C2456" s="37" t="s">
        <v>2348</v>
      </c>
      <c r="D2456" s="37" t="s">
        <v>2349</v>
      </c>
    </row>
    <row r="2457" spans="1:4" ht="14.25">
      <c r="A2457" s="37">
        <v>3406</v>
      </c>
      <c r="B2457" s="37" t="s">
        <v>23240</v>
      </c>
      <c r="C2457" s="37" t="s">
        <v>2348</v>
      </c>
      <c r="D2457" s="37" t="s">
        <v>2353</v>
      </c>
    </row>
    <row r="2458" spans="1:4" ht="14.25">
      <c r="A2458" s="37">
        <v>3395</v>
      </c>
      <c r="B2458" s="37" t="s">
        <v>23241</v>
      </c>
      <c r="C2458" s="37" t="s">
        <v>2348</v>
      </c>
      <c r="D2458" s="37" t="s">
        <v>2349</v>
      </c>
    </row>
    <row r="2459" spans="1:4" ht="14.25">
      <c r="A2459" s="37">
        <v>3398</v>
      </c>
      <c r="B2459" s="37" t="s">
        <v>23242</v>
      </c>
      <c r="C2459" s="37" t="s">
        <v>2348</v>
      </c>
      <c r="D2459" s="37" t="s">
        <v>2349</v>
      </c>
    </row>
    <row r="2460" spans="1:4" ht="14.25">
      <c r="A2460" s="37">
        <v>40662</v>
      </c>
      <c r="B2460" s="37" t="s">
        <v>23243</v>
      </c>
      <c r="C2460" s="37" t="s">
        <v>2348</v>
      </c>
      <c r="D2460" s="37" t="s">
        <v>2351</v>
      </c>
    </row>
    <row r="2461" spans="1:4" ht="14.25">
      <c r="A2461" s="37">
        <v>3437</v>
      </c>
      <c r="B2461" s="37" t="s">
        <v>23244</v>
      </c>
      <c r="C2461" s="37" t="s">
        <v>2350</v>
      </c>
      <c r="D2461" s="37" t="s">
        <v>2351</v>
      </c>
    </row>
    <row r="2462" spans="1:4" ht="14.25">
      <c r="A2462" s="37">
        <v>11190</v>
      </c>
      <c r="B2462" s="37" t="s">
        <v>23245</v>
      </c>
      <c r="C2462" s="37" t="s">
        <v>2348</v>
      </c>
      <c r="D2462" s="37" t="s">
        <v>2351</v>
      </c>
    </row>
    <row r="2463" spans="1:4" ht="14.25">
      <c r="A2463" s="37">
        <v>34377</v>
      </c>
      <c r="B2463" s="37" t="s">
        <v>27997</v>
      </c>
      <c r="C2463" s="37" t="s">
        <v>2348</v>
      </c>
      <c r="D2463" s="37" t="s">
        <v>2349</v>
      </c>
    </row>
    <row r="2464" spans="1:4" ht="14.25">
      <c r="A2464" s="37">
        <v>3428</v>
      </c>
      <c r="B2464" s="37" t="s">
        <v>23246</v>
      </c>
      <c r="C2464" s="37" t="s">
        <v>2350</v>
      </c>
      <c r="D2464" s="37" t="s">
        <v>2351</v>
      </c>
    </row>
    <row r="2465" spans="1:4" ht="14.25">
      <c r="A2465" s="37">
        <v>3429</v>
      </c>
      <c r="B2465" s="37" t="s">
        <v>23247</v>
      </c>
      <c r="C2465" s="37" t="s">
        <v>2350</v>
      </c>
      <c r="D2465" s="37" t="s">
        <v>2351</v>
      </c>
    </row>
    <row r="2466" spans="1:4" ht="14.25">
      <c r="A2466" s="37">
        <v>34364</v>
      </c>
      <c r="B2466" s="37" t="s">
        <v>27998</v>
      </c>
      <c r="C2466" s="37" t="s">
        <v>2348</v>
      </c>
      <c r="D2466" s="37" t="s">
        <v>2349</v>
      </c>
    </row>
    <row r="2467" spans="1:4" ht="14.25">
      <c r="A2467" s="37">
        <v>34369</v>
      </c>
      <c r="B2467" s="37" t="s">
        <v>27999</v>
      </c>
      <c r="C2467" s="37" t="s">
        <v>2348</v>
      </c>
      <c r="D2467" s="37" t="s">
        <v>2349</v>
      </c>
    </row>
    <row r="2468" spans="1:4" ht="14.25">
      <c r="A2468" s="37">
        <v>36896</v>
      </c>
      <c r="B2468" s="37" t="s">
        <v>28000</v>
      </c>
      <c r="C2468" s="37" t="s">
        <v>2348</v>
      </c>
      <c r="D2468" s="37" t="s">
        <v>2353</v>
      </c>
    </row>
    <row r="2469" spans="1:4" ht="14.25">
      <c r="A2469" s="37">
        <v>34367</v>
      </c>
      <c r="B2469" s="37" t="s">
        <v>28001</v>
      </c>
      <c r="C2469" s="37" t="s">
        <v>2348</v>
      </c>
      <c r="D2469" s="37" t="s">
        <v>2349</v>
      </c>
    </row>
    <row r="2470" spans="1:4" ht="14.25">
      <c r="A2470" s="37">
        <v>36897</v>
      </c>
      <c r="B2470" s="37" t="s">
        <v>28002</v>
      </c>
      <c r="C2470" s="37" t="s">
        <v>2348</v>
      </c>
      <c r="D2470" s="37" t="s">
        <v>2349</v>
      </c>
    </row>
    <row r="2471" spans="1:4" ht="14.25">
      <c r="A2471" s="37">
        <v>40659</v>
      </c>
      <c r="B2471" s="37" t="s">
        <v>23248</v>
      </c>
      <c r="C2471" s="37" t="s">
        <v>2350</v>
      </c>
      <c r="D2471" s="37" t="s">
        <v>2351</v>
      </c>
    </row>
    <row r="2472" spans="1:4" ht="14.25">
      <c r="A2472" s="37">
        <v>40660</v>
      </c>
      <c r="B2472" s="37" t="s">
        <v>23249</v>
      </c>
      <c r="C2472" s="37" t="s">
        <v>2350</v>
      </c>
      <c r="D2472" s="37" t="s">
        <v>2351</v>
      </c>
    </row>
    <row r="2473" spans="1:4" ht="14.25">
      <c r="A2473" s="37">
        <v>40661</v>
      </c>
      <c r="B2473" s="37" t="s">
        <v>23250</v>
      </c>
      <c r="C2473" s="37" t="s">
        <v>2350</v>
      </c>
      <c r="D2473" s="37" t="s">
        <v>2351</v>
      </c>
    </row>
    <row r="2474" spans="1:4" ht="14.25">
      <c r="A2474" s="37">
        <v>3421</v>
      </c>
      <c r="B2474" s="37" t="s">
        <v>23251</v>
      </c>
      <c r="C2474" s="37" t="s">
        <v>2350</v>
      </c>
      <c r="D2474" s="37" t="s">
        <v>2351</v>
      </c>
    </row>
    <row r="2475" spans="1:4" ht="14.25">
      <c r="A2475" s="37">
        <v>599</v>
      </c>
      <c r="B2475" s="37" t="s">
        <v>28003</v>
      </c>
      <c r="C2475" s="37" t="s">
        <v>2350</v>
      </c>
      <c r="D2475" s="37" t="s">
        <v>2349</v>
      </c>
    </row>
    <row r="2476" spans="1:4" ht="14.25">
      <c r="A2476" s="37">
        <v>44053</v>
      </c>
      <c r="B2476" s="37" t="s">
        <v>28004</v>
      </c>
      <c r="C2476" s="37" t="s">
        <v>2348</v>
      </c>
      <c r="D2476" s="37" t="s">
        <v>2349</v>
      </c>
    </row>
    <row r="2477" spans="1:4" ht="14.25">
      <c r="A2477" s="37">
        <v>3423</v>
      </c>
      <c r="B2477" s="37" t="s">
        <v>23252</v>
      </c>
      <c r="C2477" s="37" t="s">
        <v>2350</v>
      </c>
      <c r="D2477" s="37" t="s">
        <v>2351</v>
      </c>
    </row>
    <row r="2478" spans="1:4" ht="14.25">
      <c r="A2478" s="37">
        <v>34381</v>
      </c>
      <c r="B2478" s="37" t="s">
        <v>28005</v>
      </c>
      <c r="C2478" s="37" t="s">
        <v>2348</v>
      </c>
      <c r="D2478" s="37" t="s">
        <v>2349</v>
      </c>
    </row>
    <row r="2479" spans="1:4" ht="14.25">
      <c r="A2479" s="37">
        <v>34797</v>
      </c>
      <c r="B2479" s="37" t="s">
        <v>23253</v>
      </c>
      <c r="C2479" s="37" t="s">
        <v>2348</v>
      </c>
      <c r="D2479" s="37" t="s">
        <v>2351</v>
      </c>
    </row>
    <row r="2480" spans="1:4" ht="14.25">
      <c r="A2480" s="37">
        <v>44054</v>
      </c>
      <c r="B2480" s="37" t="s">
        <v>28006</v>
      </c>
      <c r="C2480" s="37" t="s">
        <v>2348</v>
      </c>
      <c r="D2480" s="37" t="s">
        <v>2349</v>
      </c>
    </row>
    <row r="2481" spans="1:4" ht="14.25">
      <c r="A2481" s="37">
        <v>44399</v>
      </c>
      <c r="B2481" s="37" t="s">
        <v>28007</v>
      </c>
      <c r="C2481" s="37" t="s">
        <v>2348</v>
      </c>
      <c r="D2481" s="37" t="s">
        <v>2349</v>
      </c>
    </row>
    <row r="2482" spans="1:4" ht="14.25">
      <c r="A2482" s="37">
        <v>41077</v>
      </c>
      <c r="B2482" s="37" t="s">
        <v>23254</v>
      </c>
      <c r="C2482" s="37" t="s">
        <v>2369</v>
      </c>
      <c r="D2482" s="37" t="s">
        <v>2349</v>
      </c>
    </row>
    <row r="2483" spans="1:4" ht="14.25">
      <c r="A2483" s="37">
        <v>44503</v>
      </c>
      <c r="B2483" s="37" t="s">
        <v>28008</v>
      </c>
      <c r="C2483" s="37" t="s">
        <v>2352</v>
      </c>
      <c r="D2483" s="37" t="s">
        <v>2349</v>
      </c>
    </row>
    <row r="2484" spans="1:4" ht="14.25">
      <c r="A2484" s="37">
        <v>20159</v>
      </c>
      <c r="B2484" s="37" t="s">
        <v>23255</v>
      </c>
      <c r="C2484" s="37" t="s">
        <v>2348</v>
      </c>
      <c r="D2484" s="37" t="s">
        <v>2349</v>
      </c>
    </row>
    <row r="2485" spans="1:4" ht="14.25">
      <c r="A2485" s="37">
        <v>37963</v>
      </c>
      <c r="B2485" s="37" t="s">
        <v>23256</v>
      </c>
      <c r="C2485" s="37" t="s">
        <v>2348</v>
      </c>
      <c r="D2485" s="37" t="s">
        <v>2349</v>
      </c>
    </row>
    <row r="2486" spans="1:4" ht="14.25">
      <c r="A2486" s="37">
        <v>37964</v>
      </c>
      <c r="B2486" s="37" t="s">
        <v>23257</v>
      </c>
      <c r="C2486" s="37" t="s">
        <v>2348</v>
      </c>
      <c r="D2486" s="37" t="s">
        <v>2349</v>
      </c>
    </row>
    <row r="2487" spans="1:4" ht="14.25">
      <c r="A2487" s="37">
        <v>37965</v>
      </c>
      <c r="B2487" s="37" t="s">
        <v>23258</v>
      </c>
      <c r="C2487" s="37" t="s">
        <v>2348</v>
      </c>
      <c r="D2487" s="37" t="s">
        <v>2349</v>
      </c>
    </row>
    <row r="2488" spans="1:4" ht="14.25">
      <c r="A2488" s="37">
        <v>37966</v>
      </c>
      <c r="B2488" s="37" t="s">
        <v>23259</v>
      </c>
      <c r="C2488" s="37" t="s">
        <v>2348</v>
      </c>
      <c r="D2488" s="37" t="s">
        <v>2349</v>
      </c>
    </row>
    <row r="2489" spans="1:4" ht="14.25">
      <c r="A2489" s="37">
        <v>37967</v>
      </c>
      <c r="B2489" s="37" t="s">
        <v>23260</v>
      </c>
      <c r="C2489" s="37" t="s">
        <v>2348</v>
      </c>
      <c r="D2489" s="37" t="s">
        <v>2349</v>
      </c>
    </row>
    <row r="2490" spans="1:4" ht="14.25">
      <c r="A2490" s="37">
        <v>37968</v>
      </c>
      <c r="B2490" s="37" t="s">
        <v>23261</v>
      </c>
      <c r="C2490" s="37" t="s">
        <v>2348</v>
      </c>
      <c r="D2490" s="37" t="s">
        <v>2349</v>
      </c>
    </row>
    <row r="2491" spans="1:4" ht="14.25">
      <c r="A2491" s="37">
        <v>37969</v>
      </c>
      <c r="B2491" s="37" t="s">
        <v>23262</v>
      </c>
      <c r="C2491" s="37" t="s">
        <v>2348</v>
      </c>
      <c r="D2491" s="37" t="s">
        <v>2349</v>
      </c>
    </row>
    <row r="2492" spans="1:4" ht="14.25">
      <c r="A2492" s="37">
        <v>37970</v>
      </c>
      <c r="B2492" s="37" t="s">
        <v>23263</v>
      </c>
      <c r="C2492" s="37" t="s">
        <v>2348</v>
      </c>
      <c r="D2492" s="37" t="s">
        <v>2349</v>
      </c>
    </row>
    <row r="2493" spans="1:4" ht="14.25">
      <c r="A2493" s="37">
        <v>21118</v>
      </c>
      <c r="B2493" s="37" t="s">
        <v>23264</v>
      </c>
      <c r="C2493" s="37" t="s">
        <v>2348</v>
      </c>
      <c r="D2493" s="37" t="s">
        <v>2353</v>
      </c>
    </row>
    <row r="2494" spans="1:4" ht="14.25">
      <c r="A2494" s="37">
        <v>37956</v>
      </c>
      <c r="B2494" s="37" t="s">
        <v>23265</v>
      </c>
      <c r="C2494" s="37" t="s">
        <v>2348</v>
      </c>
      <c r="D2494" s="37" t="s">
        <v>2349</v>
      </c>
    </row>
    <row r="2495" spans="1:4" ht="14.25">
      <c r="A2495" s="37">
        <v>37957</v>
      </c>
      <c r="B2495" s="37" t="s">
        <v>23266</v>
      </c>
      <c r="C2495" s="37" t="s">
        <v>2348</v>
      </c>
      <c r="D2495" s="37" t="s">
        <v>2349</v>
      </c>
    </row>
    <row r="2496" spans="1:4" ht="14.25">
      <c r="A2496" s="37">
        <v>37958</v>
      </c>
      <c r="B2496" s="37" t="s">
        <v>23267</v>
      </c>
      <c r="C2496" s="37" t="s">
        <v>2348</v>
      </c>
      <c r="D2496" s="37" t="s">
        <v>2349</v>
      </c>
    </row>
    <row r="2497" spans="1:4" ht="14.25">
      <c r="A2497" s="37">
        <v>37959</v>
      </c>
      <c r="B2497" s="37" t="s">
        <v>23268</v>
      </c>
      <c r="C2497" s="37" t="s">
        <v>2348</v>
      </c>
      <c r="D2497" s="37" t="s">
        <v>2349</v>
      </c>
    </row>
    <row r="2498" spans="1:4" ht="14.25">
      <c r="A2498" s="37">
        <v>37960</v>
      </c>
      <c r="B2498" s="37" t="s">
        <v>23269</v>
      </c>
      <c r="C2498" s="37" t="s">
        <v>2348</v>
      </c>
      <c r="D2498" s="37" t="s">
        <v>2349</v>
      </c>
    </row>
    <row r="2499" spans="1:4" ht="14.25">
      <c r="A2499" s="37">
        <v>37961</v>
      </c>
      <c r="B2499" s="37" t="s">
        <v>23270</v>
      </c>
      <c r="C2499" s="37" t="s">
        <v>2348</v>
      </c>
      <c r="D2499" s="37" t="s">
        <v>2349</v>
      </c>
    </row>
    <row r="2500" spans="1:4" ht="14.25">
      <c r="A2500" s="37">
        <v>37962</v>
      </c>
      <c r="B2500" s="37" t="s">
        <v>23271</v>
      </c>
      <c r="C2500" s="37" t="s">
        <v>2348</v>
      </c>
      <c r="D2500" s="37" t="s">
        <v>2349</v>
      </c>
    </row>
    <row r="2501" spans="1:4" ht="14.25">
      <c r="A2501" s="37">
        <v>3533</v>
      </c>
      <c r="B2501" s="37" t="s">
        <v>23272</v>
      </c>
      <c r="C2501" s="37" t="s">
        <v>2348</v>
      </c>
      <c r="D2501" s="37" t="s">
        <v>2349</v>
      </c>
    </row>
    <row r="2502" spans="1:4" ht="14.25">
      <c r="A2502" s="37">
        <v>3538</v>
      </c>
      <c r="B2502" s="37" t="s">
        <v>23273</v>
      </c>
      <c r="C2502" s="37" t="s">
        <v>2348</v>
      </c>
      <c r="D2502" s="37" t="s">
        <v>2349</v>
      </c>
    </row>
    <row r="2503" spans="1:4" ht="14.25">
      <c r="A2503" s="37">
        <v>3497</v>
      </c>
      <c r="B2503" s="37" t="s">
        <v>23274</v>
      </c>
      <c r="C2503" s="37" t="s">
        <v>2348</v>
      </c>
      <c r="D2503" s="37" t="s">
        <v>2349</v>
      </c>
    </row>
    <row r="2504" spans="1:4" ht="14.25">
      <c r="A2504" s="37">
        <v>3498</v>
      </c>
      <c r="B2504" s="37" t="s">
        <v>23275</v>
      </c>
      <c r="C2504" s="37" t="s">
        <v>2348</v>
      </c>
      <c r="D2504" s="37" t="s">
        <v>2349</v>
      </c>
    </row>
    <row r="2505" spans="1:4" ht="14.25">
      <c r="A2505" s="37">
        <v>3496</v>
      </c>
      <c r="B2505" s="37" t="s">
        <v>23276</v>
      </c>
      <c r="C2505" s="37" t="s">
        <v>2348</v>
      </c>
      <c r="D2505" s="37" t="s">
        <v>2349</v>
      </c>
    </row>
    <row r="2506" spans="1:4" ht="14.25">
      <c r="A2506" s="37">
        <v>38429</v>
      </c>
      <c r="B2506" s="37" t="s">
        <v>23277</v>
      </c>
      <c r="C2506" s="37" t="s">
        <v>2348</v>
      </c>
      <c r="D2506" s="37" t="s">
        <v>2349</v>
      </c>
    </row>
    <row r="2507" spans="1:4" ht="14.25">
      <c r="A2507" s="37">
        <v>38431</v>
      </c>
      <c r="B2507" s="37" t="s">
        <v>23278</v>
      </c>
      <c r="C2507" s="37" t="s">
        <v>2348</v>
      </c>
      <c r="D2507" s="37" t="s">
        <v>2349</v>
      </c>
    </row>
    <row r="2508" spans="1:4" ht="14.25">
      <c r="A2508" s="37">
        <v>38430</v>
      </c>
      <c r="B2508" s="37" t="s">
        <v>23279</v>
      </c>
      <c r="C2508" s="37" t="s">
        <v>2348</v>
      </c>
      <c r="D2508" s="37" t="s">
        <v>2349</v>
      </c>
    </row>
    <row r="2509" spans="1:4" ht="14.25">
      <c r="A2509" s="37">
        <v>36348</v>
      </c>
      <c r="B2509" s="37" t="s">
        <v>23280</v>
      </c>
      <c r="C2509" s="37" t="s">
        <v>2348</v>
      </c>
      <c r="D2509" s="37" t="s">
        <v>2351</v>
      </c>
    </row>
    <row r="2510" spans="1:4" ht="14.25">
      <c r="A2510" s="37">
        <v>36349</v>
      </c>
      <c r="B2510" s="37" t="s">
        <v>23281</v>
      </c>
      <c r="C2510" s="37" t="s">
        <v>2348</v>
      </c>
      <c r="D2510" s="37" t="s">
        <v>2351</v>
      </c>
    </row>
    <row r="2511" spans="1:4" ht="14.25">
      <c r="A2511" s="37">
        <v>38433</v>
      </c>
      <c r="B2511" s="37" t="s">
        <v>23282</v>
      </c>
      <c r="C2511" s="37" t="s">
        <v>2348</v>
      </c>
      <c r="D2511" s="37" t="s">
        <v>2351</v>
      </c>
    </row>
    <row r="2512" spans="1:4" ht="14.25">
      <c r="A2512" s="37">
        <v>38440</v>
      </c>
      <c r="B2512" s="37" t="s">
        <v>23283</v>
      </c>
      <c r="C2512" s="37" t="s">
        <v>2348</v>
      </c>
      <c r="D2512" s="37" t="s">
        <v>2351</v>
      </c>
    </row>
    <row r="2513" spans="1:4" ht="14.25">
      <c r="A2513" s="37">
        <v>36359</v>
      </c>
      <c r="B2513" s="37" t="s">
        <v>23284</v>
      </c>
      <c r="C2513" s="37" t="s">
        <v>2348</v>
      </c>
      <c r="D2513" s="37" t="s">
        <v>2351</v>
      </c>
    </row>
    <row r="2514" spans="1:4" ht="14.25">
      <c r="A2514" s="37">
        <v>36360</v>
      </c>
      <c r="B2514" s="37" t="s">
        <v>23285</v>
      </c>
      <c r="C2514" s="37" t="s">
        <v>2348</v>
      </c>
      <c r="D2514" s="37" t="s">
        <v>2351</v>
      </c>
    </row>
    <row r="2515" spans="1:4" ht="14.25">
      <c r="A2515" s="37">
        <v>38434</v>
      </c>
      <c r="B2515" s="37" t="s">
        <v>23286</v>
      </c>
      <c r="C2515" s="37" t="s">
        <v>2348</v>
      </c>
      <c r="D2515" s="37" t="s">
        <v>2351</v>
      </c>
    </row>
    <row r="2516" spans="1:4" ht="14.25">
      <c r="A2516" s="37">
        <v>38435</v>
      </c>
      <c r="B2516" s="37" t="s">
        <v>23287</v>
      </c>
      <c r="C2516" s="37" t="s">
        <v>2348</v>
      </c>
      <c r="D2516" s="37" t="s">
        <v>2351</v>
      </c>
    </row>
    <row r="2517" spans="1:4" ht="14.25">
      <c r="A2517" s="37">
        <v>38436</v>
      </c>
      <c r="B2517" s="37" t="s">
        <v>23288</v>
      </c>
      <c r="C2517" s="37" t="s">
        <v>2348</v>
      </c>
      <c r="D2517" s="37" t="s">
        <v>2351</v>
      </c>
    </row>
    <row r="2518" spans="1:4" ht="14.25">
      <c r="A2518" s="37">
        <v>38437</v>
      </c>
      <c r="B2518" s="37" t="s">
        <v>23289</v>
      </c>
      <c r="C2518" s="37" t="s">
        <v>2348</v>
      </c>
      <c r="D2518" s="37" t="s">
        <v>2351</v>
      </c>
    </row>
    <row r="2519" spans="1:4" ht="14.25">
      <c r="A2519" s="37">
        <v>38438</v>
      </c>
      <c r="B2519" s="37" t="s">
        <v>23290</v>
      </c>
      <c r="C2519" s="37" t="s">
        <v>2348</v>
      </c>
      <c r="D2519" s="37" t="s">
        <v>2351</v>
      </c>
    </row>
    <row r="2520" spans="1:4" ht="14.25">
      <c r="A2520" s="37">
        <v>38439</v>
      </c>
      <c r="B2520" s="37" t="s">
        <v>23291</v>
      </c>
      <c r="C2520" s="37" t="s">
        <v>2348</v>
      </c>
      <c r="D2520" s="37" t="s">
        <v>2351</v>
      </c>
    </row>
    <row r="2521" spans="1:4" ht="14.25">
      <c r="A2521" s="37">
        <v>10836</v>
      </c>
      <c r="B2521" s="37" t="s">
        <v>23292</v>
      </c>
      <c r="C2521" s="37" t="s">
        <v>2348</v>
      </c>
      <c r="D2521" s="37" t="s">
        <v>2349</v>
      </c>
    </row>
    <row r="2522" spans="1:4" ht="14.25">
      <c r="A2522" s="37">
        <v>20128</v>
      </c>
      <c r="B2522" s="37" t="s">
        <v>23293</v>
      </c>
      <c r="C2522" s="37" t="s">
        <v>2348</v>
      </c>
      <c r="D2522" s="37" t="s">
        <v>2349</v>
      </c>
    </row>
    <row r="2523" spans="1:4" ht="14.25">
      <c r="A2523" s="37">
        <v>20131</v>
      </c>
      <c r="B2523" s="37" t="s">
        <v>23294</v>
      </c>
      <c r="C2523" s="37" t="s">
        <v>2348</v>
      </c>
      <c r="D2523" s="37" t="s">
        <v>2349</v>
      </c>
    </row>
    <row r="2524" spans="1:4" ht="14.25">
      <c r="A2524" s="37">
        <v>3521</v>
      </c>
      <c r="B2524" s="37" t="s">
        <v>23295</v>
      </c>
      <c r="C2524" s="37" t="s">
        <v>2348</v>
      </c>
      <c r="D2524" s="37" t="s">
        <v>2349</v>
      </c>
    </row>
    <row r="2525" spans="1:4" ht="14.25">
      <c r="A2525" s="37">
        <v>3531</v>
      </c>
      <c r="B2525" s="37" t="s">
        <v>23296</v>
      </c>
      <c r="C2525" s="37" t="s">
        <v>2348</v>
      </c>
      <c r="D2525" s="37" t="s">
        <v>2349</v>
      </c>
    </row>
    <row r="2526" spans="1:4" ht="14.25">
      <c r="A2526" s="37">
        <v>3522</v>
      </c>
      <c r="B2526" s="37" t="s">
        <v>23297</v>
      </c>
      <c r="C2526" s="37" t="s">
        <v>2348</v>
      </c>
      <c r="D2526" s="37" t="s">
        <v>2349</v>
      </c>
    </row>
    <row r="2527" spans="1:4" ht="14.25">
      <c r="A2527" s="37">
        <v>3527</v>
      </c>
      <c r="B2527" s="37" t="s">
        <v>23298</v>
      </c>
      <c r="C2527" s="37" t="s">
        <v>2348</v>
      </c>
      <c r="D2527" s="37" t="s">
        <v>2349</v>
      </c>
    </row>
    <row r="2528" spans="1:4" ht="14.25">
      <c r="A2528" s="37">
        <v>10835</v>
      </c>
      <c r="B2528" s="37" t="s">
        <v>23299</v>
      </c>
      <c r="C2528" s="37" t="s">
        <v>2348</v>
      </c>
      <c r="D2528" s="37" t="s">
        <v>2349</v>
      </c>
    </row>
    <row r="2529" spans="1:4" ht="14.25">
      <c r="A2529" s="37">
        <v>3475</v>
      </c>
      <c r="B2529" s="37" t="s">
        <v>23300</v>
      </c>
      <c r="C2529" s="37" t="s">
        <v>2348</v>
      </c>
      <c r="D2529" s="37" t="s">
        <v>2349</v>
      </c>
    </row>
    <row r="2530" spans="1:4" ht="14.25">
      <c r="A2530" s="37">
        <v>3485</v>
      </c>
      <c r="B2530" s="37" t="s">
        <v>23301</v>
      </c>
      <c r="C2530" s="37" t="s">
        <v>2348</v>
      </c>
      <c r="D2530" s="37" t="s">
        <v>2349</v>
      </c>
    </row>
    <row r="2531" spans="1:4" ht="14.25">
      <c r="A2531" s="37">
        <v>3534</v>
      </c>
      <c r="B2531" s="37" t="s">
        <v>23302</v>
      </c>
      <c r="C2531" s="37" t="s">
        <v>2348</v>
      </c>
      <c r="D2531" s="37" t="s">
        <v>2349</v>
      </c>
    </row>
    <row r="2532" spans="1:4" ht="14.25">
      <c r="A2532" s="37">
        <v>3543</v>
      </c>
      <c r="B2532" s="37" t="s">
        <v>23303</v>
      </c>
      <c r="C2532" s="37" t="s">
        <v>2348</v>
      </c>
      <c r="D2532" s="37" t="s">
        <v>2349</v>
      </c>
    </row>
    <row r="2533" spans="1:4" ht="14.25">
      <c r="A2533" s="37">
        <v>3482</v>
      </c>
      <c r="B2533" s="37" t="s">
        <v>23304</v>
      </c>
      <c r="C2533" s="37" t="s">
        <v>2348</v>
      </c>
      <c r="D2533" s="37" t="s">
        <v>2349</v>
      </c>
    </row>
    <row r="2534" spans="1:4" ht="14.25">
      <c r="A2534" s="37">
        <v>3505</v>
      </c>
      <c r="B2534" s="37" t="s">
        <v>23305</v>
      </c>
      <c r="C2534" s="37" t="s">
        <v>2348</v>
      </c>
      <c r="D2534" s="37" t="s">
        <v>2349</v>
      </c>
    </row>
    <row r="2535" spans="1:4" ht="14.25">
      <c r="A2535" s="37">
        <v>3516</v>
      </c>
      <c r="B2535" s="37" t="s">
        <v>23306</v>
      </c>
      <c r="C2535" s="37" t="s">
        <v>2348</v>
      </c>
      <c r="D2535" s="37" t="s">
        <v>2349</v>
      </c>
    </row>
    <row r="2536" spans="1:4" ht="14.25">
      <c r="A2536" s="37">
        <v>3517</v>
      </c>
      <c r="B2536" s="37" t="s">
        <v>23307</v>
      </c>
      <c r="C2536" s="37" t="s">
        <v>2348</v>
      </c>
      <c r="D2536" s="37" t="s">
        <v>2349</v>
      </c>
    </row>
    <row r="2537" spans="1:4" ht="14.25">
      <c r="A2537" s="37">
        <v>3515</v>
      </c>
      <c r="B2537" s="37" t="s">
        <v>23308</v>
      </c>
      <c r="C2537" s="37" t="s">
        <v>2348</v>
      </c>
      <c r="D2537" s="37" t="s">
        <v>2349</v>
      </c>
    </row>
    <row r="2538" spans="1:4" ht="14.25">
      <c r="A2538" s="37">
        <v>20147</v>
      </c>
      <c r="B2538" s="37" t="s">
        <v>23309</v>
      </c>
      <c r="C2538" s="37" t="s">
        <v>2348</v>
      </c>
      <c r="D2538" s="37" t="s">
        <v>2349</v>
      </c>
    </row>
    <row r="2539" spans="1:4" ht="14.25">
      <c r="A2539" s="37">
        <v>3524</v>
      </c>
      <c r="B2539" s="37" t="s">
        <v>23310</v>
      </c>
      <c r="C2539" s="37" t="s">
        <v>2348</v>
      </c>
      <c r="D2539" s="37" t="s">
        <v>2349</v>
      </c>
    </row>
    <row r="2540" spans="1:4" ht="14.25">
      <c r="A2540" s="37">
        <v>3532</v>
      </c>
      <c r="B2540" s="37" t="s">
        <v>23311</v>
      </c>
      <c r="C2540" s="37" t="s">
        <v>2348</v>
      </c>
      <c r="D2540" s="37" t="s">
        <v>2349</v>
      </c>
    </row>
    <row r="2541" spans="1:4" ht="14.25">
      <c r="A2541" s="37">
        <v>3528</v>
      </c>
      <c r="B2541" s="37" t="s">
        <v>23312</v>
      </c>
      <c r="C2541" s="37" t="s">
        <v>2348</v>
      </c>
      <c r="D2541" s="37" t="s">
        <v>2349</v>
      </c>
    </row>
    <row r="2542" spans="1:4" ht="14.25">
      <c r="A2542" s="37">
        <v>37952</v>
      </c>
      <c r="B2542" s="37" t="s">
        <v>23313</v>
      </c>
      <c r="C2542" s="37" t="s">
        <v>2348</v>
      </c>
      <c r="D2542" s="37" t="s">
        <v>2349</v>
      </c>
    </row>
    <row r="2543" spans="1:4" ht="14.25">
      <c r="A2543" s="37">
        <v>37951</v>
      </c>
      <c r="B2543" s="37" t="s">
        <v>23314</v>
      </c>
      <c r="C2543" s="37" t="s">
        <v>2348</v>
      </c>
      <c r="D2543" s="37" t="s">
        <v>2349</v>
      </c>
    </row>
    <row r="2544" spans="1:4" ht="14.25">
      <c r="A2544" s="37">
        <v>3518</v>
      </c>
      <c r="B2544" s="37" t="s">
        <v>23315</v>
      </c>
      <c r="C2544" s="37" t="s">
        <v>2348</v>
      </c>
      <c r="D2544" s="37" t="s">
        <v>2349</v>
      </c>
    </row>
    <row r="2545" spans="1:4" ht="14.25">
      <c r="A2545" s="37">
        <v>3519</v>
      </c>
      <c r="B2545" s="37" t="s">
        <v>23316</v>
      </c>
      <c r="C2545" s="37" t="s">
        <v>2348</v>
      </c>
      <c r="D2545" s="37" t="s">
        <v>2349</v>
      </c>
    </row>
    <row r="2546" spans="1:4" ht="14.25">
      <c r="A2546" s="37">
        <v>3520</v>
      </c>
      <c r="B2546" s="37" t="s">
        <v>23317</v>
      </c>
      <c r="C2546" s="37" t="s">
        <v>2348</v>
      </c>
      <c r="D2546" s="37" t="s">
        <v>2349</v>
      </c>
    </row>
    <row r="2547" spans="1:4" ht="14.25">
      <c r="A2547" s="37">
        <v>37950</v>
      </c>
      <c r="B2547" s="37" t="s">
        <v>23318</v>
      </c>
      <c r="C2547" s="37" t="s">
        <v>2348</v>
      </c>
      <c r="D2547" s="37" t="s">
        <v>2349</v>
      </c>
    </row>
    <row r="2548" spans="1:4" ht="14.25">
      <c r="A2548" s="37">
        <v>37949</v>
      </c>
      <c r="B2548" s="37" t="s">
        <v>23319</v>
      </c>
      <c r="C2548" s="37" t="s">
        <v>2348</v>
      </c>
      <c r="D2548" s="37" t="s">
        <v>2349</v>
      </c>
    </row>
    <row r="2549" spans="1:4" ht="14.25">
      <c r="A2549" s="37">
        <v>3526</v>
      </c>
      <c r="B2549" s="37" t="s">
        <v>23320</v>
      </c>
      <c r="C2549" s="37" t="s">
        <v>2348</v>
      </c>
      <c r="D2549" s="37" t="s">
        <v>2349</v>
      </c>
    </row>
    <row r="2550" spans="1:4" ht="14.25">
      <c r="A2550" s="37">
        <v>3509</v>
      </c>
      <c r="B2550" s="37" t="s">
        <v>23321</v>
      </c>
      <c r="C2550" s="37" t="s">
        <v>2348</v>
      </c>
      <c r="D2550" s="37" t="s">
        <v>2349</v>
      </c>
    </row>
    <row r="2551" spans="1:4" ht="14.25">
      <c r="A2551" s="37">
        <v>3530</v>
      </c>
      <c r="B2551" s="37" t="s">
        <v>23322</v>
      </c>
      <c r="C2551" s="37" t="s">
        <v>2348</v>
      </c>
      <c r="D2551" s="37" t="s">
        <v>2349</v>
      </c>
    </row>
    <row r="2552" spans="1:4" ht="14.25">
      <c r="A2552" s="37">
        <v>3542</v>
      </c>
      <c r="B2552" s="37" t="s">
        <v>23323</v>
      </c>
      <c r="C2552" s="37" t="s">
        <v>2348</v>
      </c>
      <c r="D2552" s="37" t="s">
        <v>2349</v>
      </c>
    </row>
    <row r="2553" spans="1:4" ht="14.25">
      <c r="A2553" s="37">
        <v>3529</v>
      </c>
      <c r="B2553" s="37" t="s">
        <v>23324</v>
      </c>
      <c r="C2553" s="37" t="s">
        <v>2348</v>
      </c>
      <c r="D2553" s="37" t="s">
        <v>2349</v>
      </c>
    </row>
    <row r="2554" spans="1:4" ht="14.25">
      <c r="A2554" s="37">
        <v>3536</v>
      </c>
      <c r="B2554" s="37" t="s">
        <v>23325</v>
      </c>
      <c r="C2554" s="37" t="s">
        <v>2348</v>
      </c>
      <c r="D2554" s="37" t="s">
        <v>2349</v>
      </c>
    </row>
    <row r="2555" spans="1:4" ht="14.25">
      <c r="A2555" s="37">
        <v>3535</v>
      </c>
      <c r="B2555" s="37" t="s">
        <v>23326</v>
      </c>
      <c r="C2555" s="37" t="s">
        <v>2348</v>
      </c>
      <c r="D2555" s="37" t="s">
        <v>2349</v>
      </c>
    </row>
    <row r="2556" spans="1:4" ht="14.25">
      <c r="A2556" s="37">
        <v>3540</v>
      </c>
      <c r="B2556" s="37" t="s">
        <v>23327</v>
      </c>
      <c r="C2556" s="37" t="s">
        <v>2348</v>
      </c>
      <c r="D2556" s="37" t="s">
        <v>2349</v>
      </c>
    </row>
    <row r="2557" spans="1:4" ht="14.25">
      <c r="A2557" s="37">
        <v>3539</v>
      </c>
      <c r="B2557" s="37" t="s">
        <v>23328</v>
      </c>
      <c r="C2557" s="37" t="s">
        <v>2348</v>
      </c>
      <c r="D2557" s="37" t="s">
        <v>2349</v>
      </c>
    </row>
    <row r="2558" spans="1:4" ht="14.25">
      <c r="A2558" s="37">
        <v>3513</v>
      </c>
      <c r="B2558" s="37" t="s">
        <v>23329</v>
      </c>
      <c r="C2558" s="37" t="s">
        <v>2348</v>
      </c>
      <c r="D2558" s="37" t="s">
        <v>2349</v>
      </c>
    </row>
    <row r="2559" spans="1:4" ht="14.25">
      <c r="A2559" s="37">
        <v>3492</v>
      </c>
      <c r="B2559" s="37" t="s">
        <v>23330</v>
      </c>
      <c r="C2559" s="37" t="s">
        <v>2348</v>
      </c>
      <c r="D2559" s="37" t="s">
        <v>2349</v>
      </c>
    </row>
    <row r="2560" spans="1:4" ht="14.25">
      <c r="A2560" s="37">
        <v>3491</v>
      </c>
      <c r="B2560" s="37" t="s">
        <v>23331</v>
      </c>
      <c r="C2560" s="37" t="s">
        <v>2348</v>
      </c>
      <c r="D2560" s="37" t="s">
        <v>2349</v>
      </c>
    </row>
    <row r="2561" spans="1:4" ht="14.25">
      <c r="A2561" s="37">
        <v>3493</v>
      </c>
      <c r="B2561" s="37" t="s">
        <v>23332</v>
      </c>
      <c r="C2561" s="37" t="s">
        <v>2348</v>
      </c>
      <c r="D2561" s="37" t="s">
        <v>2349</v>
      </c>
    </row>
    <row r="2562" spans="1:4" ht="14.25">
      <c r="A2562" s="37">
        <v>12628</v>
      </c>
      <c r="B2562" s="37" t="s">
        <v>23333</v>
      </c>
      <c r="C2562" s="37" t="s">
        <v>2348</v>
      </c>
      <c r="D2562" s="37" t="s">
        <v>2351</v>
      </c>
    </row>
    <row r="2563" spans="1:4" ht="14.25">
      <c r="A2563" s="37">
        <v>12629</v>
      </c>
      <c r="B2563" s="37" t="s">
        <v>23334</v>
      </c>
      <c r="C2563" s="37" t="s">
        <v>2348</v>
      </c>
      <c r="D2563" s="37" t="s">
        <v>2351</v>
      </c>
    </row>
    <row r="2564" spans="1:4" ht="14.25">
      <c r="A2564" s="37">
        <v>3481</v>
      </c>
      <c r="B2564" s="37" t="s">
        <v>23335</v>
      </c>
      <c r="C2564" s="37" t="s">
        <v>2348</v>
      </c>
      <c r="D2564" s="37" t="s">
        <v>2349</v>
      </c>
    </row>
    <row r="2565" spans="1:4" ht="14.25">
      <c r="A2565" s="37">
        <v>3510</v>
      </c>
      <c r="B2565" s="37" t="s">
        <v>23336</v>
      </c>
      <c r="C2565" s="37" t="s">
        <v>2348</v>
      </c>
      <c r="D2565" s="37" t="s">
        <v>2349</v>
      </c>
    </row>
    <row r="2566" spans="1:4" ht="14.25">
      <c r="A2566" s="37">
        <v>3508</v>
      </c>
      <c r="B2566" s="37" t="s">
        <v>23337</v>
      </c>
      <c r="C2566" s="37" t="s">
        <v>2348</v>
      </c>
      <c r="D2566" s="37" t="s">
        <v>2349</v>
      </c>
    </row>
    <row r="2567" spans="1:4" ht="14.25">
      <c r="A2567" s="37">
        <v>38939</v>
      </c>
      <c r="B2567" s="37" t="s">
        <v>23338</v>
      </c>
      <c r="C2567" s="37" t="s">
        <v>2348</v>
      </c>
      <c r="D2567" s="37" t="s">
        <v>2351</v>
      </c>
    </row>
    <row r="2568" spans="1:4" ht="14.25">
      <c r="A2568" s="37">
        <v>38940</v>
      </c>
      <c r="B2568" s="37" t="s">
        <v>23339</v>
      </c>
      <c r="C2568" s="37" t="s">
        <v>2348</v>
      </c>
      <c r="D2568" s="37" t="s">
        <v>2351</v>
      </c>
    </row>
    <row r="2569" spans="1:4" ht="14.25">
      <c r="A2569" s="37">
        <v>38941</v>
      </c>
      <c r="B2569" s="37" t="s">
        <v>23340</v>
      </c>
      <c r="C2569" s="37" t="s">
        <v>2348</v>
      </c>
      <c r="D2569" s="37" t="s">
        <v>2351</v>
      </c>
    </row>
    <row r="2570" spans="1:4" ht="14.25">
      <c r="A2570" s="37">
        <v>38942</v>
      </c>
      <c r="B2570" s="37" t="s">
        <v>23341</v>
      </c>
      <c r="C2570" s="37" t="s">
        <v>2348</v>
      </c>
      <c r="D2570" s="37" t="s">
        <v>2351</v>
      </c>
    </row>
    <row r="2571" spans="1:4" ht="14.25">
      <c r="A2571" s="37">
        <v>38987</v>
      </c>
      <c r="B2571" s="37" t="s">
        <v>23342</v>
      </c>
      <c r="C2571" s="37" t="s">
        <v>2348</v>
      </c>
      <c r="D2571" s="37" t="s">
        <v>2351</v>
      </c>
    </row>
    <row r="2572" spans="1:4" ht="14.25">
      <c r="A2572" s="37">
        <v>38988</v>
      </c>
      <c r="B2572" s="37" t="s">
        <v>23343</v>
      </c>
      <c r="C2572" s="37" t="s">
        <v>2348</v>
      </c>
      <c r="D2572" s="37" t="s">
        <v>2351</v>
      </c>
    </row>
    <row r="2573" spans="1:4" ht="14.25">
      <c r="A2573" s="37">
        <v>38989</v>
      </c>
      <c r="B2573" s="37" t="s">
        <v>23344</v>
      </c>
      <c r="C2573" s="37" t="s">
        <v>2348</v>
      </c>
      <c r="D2573" s="37" t="s">
        <v>2351</v>
      </c>
    </row>
    <row r="2574" spans="1:4" ht="14.25">
      <c r="A2574" s="37">
        <v>38990</v>
      </c>
      <c r="B2574" s="37" t="s">
        <v>23345</v>
      </c>
      <c r="C2574" s="37" t="s">
        <v>2348</v>
      </c>
      <c r="D2574" s="37" t="s">
        <v>2351</v>
      </c>
    </row>
    <row r="2575" spans="1:4" ht="14.25">
      <c r="A2575" s="37">
        <v>38991</v>
      </c>
      <c r="B2575" s="37" t="s">
        <v>23346</v>
      </c>
      <c r="C2575" s="37" t="s">
        <v>2348</v>
      </c>
      <c r="D2575" s="37" t="s">
        <v>2351</v>
      </c>
    </row>
    <row r="2576" spans="1:4" ht="14.25">
      <c r="A2576" s="37">
        <v>38913</v>
      </c>
      <c r="B2576" s="37" t="s">
        <v>23347</v>
      </c>
      <c r="C2576" s="37" t="s">
        <v>2348</v>
      </c>
      <c r="D2576" s="37" t="s">
        <v>2351</v>
      </c>
    </row>
    <row r="2577" spans="1:4" ht="14.25">
      <c r="A2577" s="37">
        <v>38914</v>
      </c>
      <c r="B2577" s="37" t="s">
        <v>23348</v>
      </c>
      <c r="C2577" s="37" t="s">
        <v>2348</v>
      </c>
      <c r="D2577" s="37" t="s">
        <v>2351</v>
      </c>
    </row>
    <row r="2578" spans="1:4" ht="14.25">
      <c r="A2578" s="37">
        <v>38915</v>
      </c>
      <c r="B2578" s="37" t="s">
        <v>23349</v>
      </c>
      <c r="C2578" s="37" t="s">
        <v>2348</v>
      </c>
      <c r="D2578" s="37" t="s">
        <v>2351</v>
      </c>
    </row>
    <row r="2579" spans="1:4" ht="14.25">
      <c r="A2579" s="37">
        <v>38916</v>
      </c>
      <c r="B2579" s="37" t="s">
        <v>23350</v>
      </c>
      <c r="C2579" s="37" t="s">
        <v>2348</v>
      </c>
      <c r="D2579" s="37" t="s">
        <v>2351</v>
      </c>
    </row>
    <row r="2580" spans="1:4" ht="14.25">
      <c r="A2580" s="37">
        <v>39300</v>
      </c>
      <c r="B2580" s="37" t="s">
        <v>23351</v>
      </c>
      <c r="C2580" s="37" t="s">
        <v>2348</v>
      </c>
      <c r="D2580" s="37" t="s">
        <v>2351</v>
      </c>
    </row>
    <row r="2581" spans="1:4" ht="14.25">
      <c r="A2581" s="37">
        <v>39301</v>
      </c>
      <c r="B2581" s="37" t="s">
        <v>23352</v>
      </c>
      <c r="C2581" s="37" t="s">
        <v>2348</v>
      </c>
      <c r="D2581" s="37" t="s">
        <v>2351</v>
      </c>
    </row>
    <row r="2582" spans="1:4" ht="14.25">
      <c r="A2582" s="37">
        <v>39302</v>
      </c>
      <c r="B2582" s="37" t="s">
        <v>23353</v>
      </c>
      <c r="C2582" s="37" t="s">
        <v>2348</v>
      </c>
      <c r="D2582" s="37" t="s">
        <v>2351</v>
      </c>
    </row>
    <row r="2583" spans="1:4" ht="14.25">
      <c r="A2583" s="37">
        <v>39303</v>
      </c>
      <c r="B2583" s="37" t="s">
        <v>23354</v>
      </c>
      <c r="C2583" s="37" t="s">
        <v>2348</v>
      </c>
      <c r="D2583" s="37" t="s">
        <v>2351</v>
      </c>
    </row>
    <row r="2584" spans="1:4" ht="14.25">
      <c r="A2584" s="37">
        <v>38923</v>
      </c>
      <c r="B2584" s="37" t="s">
        <v>23355</v>
      </c>
      <c r="C2584" s="37" t="s">
        <v>2348</v>
      </c>
      <c r="D2584" s="37" t="s">
        <v>2351</v>
      </c>
    </row>
    <row r="2585" spans="1:4" ht="14.25">
      <c r="A2585" s="37">
        <v>38925</v>
      </c>
      <c r="B2585" s="37" t="s">
        <v>23356</v>
      </c>
      <c r="C2585" s="37" t="s">
        <v>2348</v>
      </c>
      <c r="D2585" s="37" t="s">
        <v>2351</v>
      </c>
    </row>
    <row r="2586" spans="1:4" ht="14.25">
      <c r="A2586" s="37">
        <v>38926</v>
      </c>
      <c r="B2586" s="37" t="s">
        <v>23357</v>
      </c>
      <c r="C2586" s="37" t="s">
        <v>2348</v>
      </c>
      <c r="D2586" s="37" t="s">
        <v>2351</v>
      </c>
    </row>
    <row r="2587" spans="1:4" ht="14.25">
      <c r="A2587" s="37">
        <v>38927</v>
      </c>
      <c r="B2587" s="37" t="s">
        <v>23358</v>
      </c>
      <c r="C2587" s="37" t="s">
        <v>2348</v>
      </c>
      <c r="D2587" s="37" t="s">
        <v>2351</v>
      </c>
    </row>
    <row r="2588" spans="1:4" ht="14.25">
      <c r="A2588" s="37">
        <v>39304</v>
      </c>
      <c r="B2588" s="37" t="s">
        <v>23359</v>
      </c>
      <c r="C2588" s="37" t="s">
        <v>2348</v>
      </c>
      <c r="D2588" s="37" t="s">
        <v>2351</v>
      </c>
    </row>
    <row r="2589" spans="1:4" ht="14.25">
      <c r="A2589" s="37">
        <v>38924</v>
      </c>
      <c r="B2589" s="37" t="s">
        <v>23360</v>
      </c>
      <c r="C2589" s="37" t="s">
        <v>2348</v>
      </c>
      <c r="D2589" s="37" t="s">
        <v>2351</v>
      </c>
    </row>
    <row r="2590" spans="1:4" ht="14.25">
      <c r="A2590" s="37">
        <v>39305</v>
      </c>
      <c r="B2590" s="37" t="s">
        <v>23361</v>
      </c>
      <c r="C2590" s="37" t="s">
        <v>2348</v>
      </c>
      <c r="D2590" s="37" t="s">
        <v>2351</v>
      </c>
    </row>
    <row r="2591" spans="1:4" ht="14.25">
      <c r="A2591" s="37">
        <v>39306</v>
      </c>
      <c r="B2591" s="37" t="s">
        <v>23362</v>
      </c>
      <c r="C2591" s="37" t="s">
        <v>2348</v>
      </c>
      <c r="D2591" s="37" t="s">
        <v>2351</v>
      </c>
    </row>
    <row r="2592" spans="1:4" ht="14.25">
      <c r="A2592" s="37">
        <v>38928</v>
      </c>
      <c r="B2592" s="37" t="s">
        <v>23363</v>
      </c>
      <c r="C2592" s="37" t="s">
        <v>2348</v>
      </c>
      <c r="D2592" s="37" t="s">
        <v>2351</v>
      </c>
    </row>
    <row r="2593" spans="1:4" ht="14.25">
      <c r="A2593" s="37">
        <v>38929</v>
      </c>
      <c r="B2593" s="37" t="s">
        <v>23364</v>
      </c>
      <c r="C2593" s="37" t="s">
        <v>2348</v>
      </c>
      <c r="D2593" s="37" t="s">
        <v>2351</v>
      </c>
    </row>
    <row r="2594" spans="1:4" ht="14.25">
      <c r="A2594" s="37">
        <v>39307</v>
      </c>
      <c r="B2594" s="37" t="s">
        <v>23365</v>
      </c>
      <c r="C2594" s="37" t="s">
        <v>2348</v>
      </c>
      <c r="D2594" s="37" t="s">
        <v>2351</v>
      </c>
    </row>
    <row r="2595" spans="1:4" ht="14.25">
      <c r="A2595" s="37">
        <v>38930</v>
      </c>
      <c r="B2595" s="37" t="s">
        <v>23366</v>
      </c>
      <c r="C2595" s="37" t="s">
        <v>2348</v>
      </c>
      <c r="D2595" s="37" t="s">
        <v>2351</v>
      </c>
    </row>
    <row r="2596" spans="1:4" ht="14.25">
      <c r="A2596" s="37">
        <v>38931</v>
      </c>
      <c r="B2596" s="37" t="s">
        <v>23367</v>
      </c>
      <c r="C2596" s="37" t="s">
        <v>2348</v>
      </c>
      <c r="D2596" s="37" t="s">
        <v>2351</v>
      </c>
    </row>
    <row r="2597" spans="1:4" ht="14.25">
      <c r="A2597" s="37">
        <v>38932</v>
      </c>
      <c r="B2597" s="37" t="s">
        <v>23368</v>
      </c>
      <c r="C2597" s="37" t="s">
        <v>2348</v>
      </c>
      <c r="D2597" s="37" t="s">
        <v>2351</v>
      </c>
    </row>
    <row r="2598" spans="1:4" ht="14.25">
      <c r="A2598" s="37">
        <v>38934</v>
      </c>
      <c r="B2598" s="37" t="s">
        <v>23369</v>
      </c>
      <c r="C2598" s="37" t="s">
        <v>2348</v>
      </c>
      <c r="D2598" s="37" t="s">
        <v>2351</v>
      </c>
    </row>
    <row r="2599" spans="1:4" ht="14.25">
      <c r="A2599" s="37">
        <v>38935</v>
      </c>
      <c r="B2599" s="37" t="s">
        <v>23370</v>
      </c>
      <c r="C2599" s="37" t="s">
        <v>2348</v>
      </c>
      <c r="D2599" s="37" t="s">
        <v>2351</v>
      </c>
    </row>
    <row r="2600" spans="1:4" ht="14.25">
      <c r="A2600" s="37">
        <v>38936</v>
      </c>
      <c r="B2600" s="37" t="s">
        <v>23371</v>
      </c>
      <c r="C2600" s="37" t="s">
        <v>2348</v>
      </c>
      <c r="D2600" s="37" t="s">
        <v>2351</v>
      </c>
    </row>
    <row r="2601" spans="1:4" ht="14.25">
      <c r="A2601" s="37">
        <v>38937</v>
      </c>
      <c r="B2601" s="37" t="s">
        <v>23372</v>
      </c>
      <c r="C2601" s="37" t="s">
        <v>2348</v>
      </c>
      <c r="D2601" s="37" t="s">
        <v>2351</v>
      </c>
    </row>
    <row r="2602" spans="1:4" ht="14.25">
      <c r="A2602" s="37">
        <v>38938</v>
      </c>
      <c r="B2602" s="37" t="s">
        <v>23373</v>
      </c>
      <c r="C2602" s="37" t="s">
        <v>2348</v>
      </c>
      <c r="D2602" s="37" t="s">
        <v>2351</v>
      </c>
    </row>
    <row r="2603" spans="1:4" ht="14.25">
      <c r="A2603" s="37">
        <v>3489</v>
      </c>
      <c r="B2603" s="37" t="s">
        <v>23374</v>
      </c>
      <c r="C2603" s="37" t="s">
        <v>2348</v>
      </c>
      <c r="D2603" s="37" t="s">
        <v>2349</v>
      </c>
    </row>
    <row r="2604" spans="1:4" ht="14.25">
      <c r="A2604" s="37">
        <v>20151</v>
      </c>
      <c r="B2604" s="37" t="s">
        <v>23375</v>
      </c>
      <c r="C2604" s="37" t="s">
        <v>2348</v>
      </c>
      <c r="D2604" s="37" t="s">
        <v>2349</v>
      </c>
    </row>
    <row r="2605" spans="1:4" ht="14.25">
      <c r="A2605" s="37">
        <v>20152</v>
      </c>
      <c r="B2605" s="37" t="s">
        <v>23376</v>
      </c>
      <c r="C2605" s="37" t="s">
        <v>2348</v>
      </c>
      <c r="D2605" s="37" t="s">
        <v>2349</v>
      </c>
    </row>
    <row r="2606" spans="1:4" ht="14.25">
      <c r="A2606" s="37">
        <v>20148</v>
      </c>
      <c r="B2606" s="37" t="s">
        <v>23377</v>
      </c>
      <c r="C2606" s="37" t="s">
        <v>2348</v>
      </c>
      <c r="D2606" s="37" t="s">
        <v>2349</v>
      </c>
    </row>
    <row r="2607" spans="1:4" ht="14.25">
      <c r="A2607" s="37">
        <v>20149</v>
      </c>
      <c r="B2607" s="37" t="s">
        <v>23378</v>
      </c>
      <c r="C2607" s="37" t="s">
        <v>2348</v>
      </c>
      <c r="D2607" s="37" t="s">
        <v>2349</v>
      </c>
    </row>
    <row r="2608" spans="1:4" ht="14.25">
      <c r="A2608" s="37">
        <v>20150</v>
      </c>
      <c r="B2608" s="37" t="s">
        <v>23379</v>
      </c>
      <c r="C2608" s="37" t="s">
        <v>2348</v>
      </c>
      <c r="D2608" s="37" t="s">
        <v>2349</v>
      </c>
    </row>
    <row r="2609" spans="1:4" ht="14.25">
      <c r="A2609" s="37">
        <v>20157</v>
      </c>
      <c r="B2609" s="37" t="s">
        <v>23380</v>
      </c>
      <c r="C2609" s="37" t="s">
        <v>2348</v>
      </c>
      <c r="D2609" s="37" t="s">
        <v>2349</v>
      </c>
    </row>
    <row r="2610" spans="1:4" ht="14.25">
      <c r="A2610" s="37">
        <v>20158</v>
      </c>
      <c r="B2610" s="37" t="s">
        <v>23381</v>
      </c>
      <c r="C2610" s="37" t="s">
        <v>2348</v>
      </c>
      <c r="D2610" s="37" t="s">
        <v>2349</v>
      </c>
    </row>
    <row r="2611" spans="1:4" ht="14.25">
      <c r="A2611" s="37">
        <v>20154</v>
      </c>
      <c r="B2611" s="37" t="s">
        <v>23382</v>
      </c>
      <c r="C2611" s="37" t="s">
        <v>2348</v>
      </c>
      <c r="D2611" s="37" t="s">
        <v>2349</v>
      </c>
    </row>
    <row r="2612" spans="1:4" ht="14.25">
      <c r="A2612" s="37">
        <v>20155</v>
      </c>
      <c r="B2612" s="37" t="s">
        <v>23383</v>
      </c>
      <c r="C2612" s="37" t="s">
        <v>2348</v>
      </c>
      <c r="D2612" s="37" t="s">
        <v>2349</v>
      </c>
    </row>
    <row r="2613" spans="1:4" ht="14.25">
      <c r="A2613" s="37">
        <v>20156</v>
      </c>
      <c r="B2613" s="37" t="s">
        <v>23384</v>
      </c>
      <c r="C2613" s="37" t="s">
        <v>2348</v>
      </c>
      <c r="D2613" s="37" t="s">
        <v>2349</v>
      </c>
    </row>
    <row r="2614" spans="1:4" ht="14.25">
      <c r="A2614" s="37">
        <v>3512</v>
      </c>
      <c r="B2614" s="37" t="s">
        <v>23385</v>
      </c>
      <c r="C2614" s="37" t="s">
        <v>2348</v>
      </c>
      <c r="D2614" s="37" t="s">
        <v>2349</v>
      </c>
    </row>
    <row r="2615" spans="1:4" ht="14.25">
      <c r="A2615" s="37">
        <v>3499</v>
      </c>
      <c r="B2615" s="37" t="s">
        <v>23386</v>
      </c>
      <c r="C2615" s="37" t="s">
        <v>2348</v>
      </c>
      <c r="D2615" s="37" t="s">
        <v>2349</v>
      </c>
    </row>
    <row r="2616" spans="1:4" ht="14.25">
      <c r="A2616" s="37">
        <v>3500</v>
      </c>
      <c r="B2616" s="37" t="s">
        <v>23387</v>
      </c>
      <c r="C2616" s="37" t="s">
        <v>2348</v>
      </c>
      <c r="D2616" s="37" t="s">
        <v>2349</v>
      </c>
    </row>
    <row r="2617" spans="1:4" ht="14.25">
      <c r="A2617" s="37">
        <v>3501</v>
      </c>
      <c r="B2617" s="37" t="s">
        <v>23388</v>
      </c>
      <c r="C2617" s="37" t="s">
        <v>2348</v>
      </c>
      <c r="D2617" s="37" t="s">
        <v>2349</v>
      </c>
    </row>
    <row r="2618" spans="1:4" ht="14.25">
      <c r="A2618" s="37">
        <v>3502</v>
      </c>
      <c r="B2618" s="37" t="s">
        <v>23389</v>
      </c>
      <c r="C2618" s="37" t="s">
        <v>2348</v>
      </c>
      <c r="D2618" s="37" t="s">
        <v>2349</v>
      </c>
    </row>
    <row r="2619" spans="1:4" ht="14.25">
      <c r="A2619" s="37">
        <v>3503</v>
      </c>
      <c r="B2619" s="37" t="s">
        <v>23390</v>
      </c>
      <c r="C2619" s="37" t="s">
        <v>2348</v>
      </c>
      <c r="D2619" s="37" t="s">
        <v>2349</v>
      </c>
    </row>
    <row r="2620" spans="1:4" ht="14.25">
      <c r="A2620" s="37">
        <v>3477</v>
      </c>
      <c r="B2620" s="37" t="s">
        <v>23391</v>
      </c>
      <c r="C2620" s="37" t="s">
        <v>2348</v>
      </c>
      <c r="D2620" s="37" t="s">
        <v>2349</v>
      </c>
    </row>
    <row r="2621" spans="1:4" ht="14.25">
      <c r="A2621" s="37">
        <v>3478</v>
      </c>
      <c r="B2621" s="37" t="s">
        <v>23392</v>
      </c>
      <c r="C2621" s="37" t="s">
        <v>2348</v>
      </c>
      <c r="D2621" s="37" t="s">
        <v>2349</v>
      </c>
    </row>
    <row r="2622" spans="1:4" ht="14.25">
      <c r="A2622" s="37">
        <v>3525</v>
      </c>
      <c r="B2622" s="37" t="s">
        <v>23393</v>
      </c>
      <c r="C2622" s="37" t="s">
        <v>2348</v>
      </c>
      <c r="D2622" s="37" t="s">
        <v>2349</v>
      </c>
    </row>
    <row r="2623" spans="1:4" ht="14.25">
      <c r="A2623" s="37">
        <v>3511</v>
      </c>
      <c r="B2623" s="37" t="s">
        <v>23394</v>
      </c>
      <c r="C2623" s="37" t="s">
        <v>2348</v>
      </c>
      <c r="D2623" s="37" t="s">
        <v>2349</v>
      </c>
    </row>
    <row r="2624" spans="1:4" ht="14.25">
      <c r="A2624" s="37">
        <v>38917</v>
      </c>
      <c r="B2624" s="37" t="s">
        <v>23395</v>
      </c>
      <c r="C2624" s="37" t="s">
        <v>2348</v>
      </c>
      <c r="D2624" s="37" t="s">
        <v>2351</v>
      </c>
    </row>
    <row r="2625" spans="1:4" ht="14.25">
      <c r="A2625" s="37">
        <v>38919</v>
      </c>
      <c r="B2625" s="37" t="s">
        <v>23396</v>
      </c>
      <c r="C2625" s="37" t="s">
        <v>2348</v>
      </c>
      <c r="D2625" s="37" t="s">
        <v>2351</v>
      </c>
    </row>
    <row r="2626" spans="1:4" ht="14.25">
      <c r="A2626" s="37">
        <v>38922</v>
      </c>
      <c r="B2626" s="37" t="s">
        <v>23397</v>
      </c>
      <c r="C2626" s="37" t="s">
        <v>2348</v>
      </c>
      <c r="D2626" s="37" t="s">
        <v>2351</v>
      </c>
    </row>
    <row r="2627" spans="1:4" ht="14.25">
      <c r="A2627" s="37">
        <v>38921</v>
      </c>
      <c r="B2627" s="37" t="s">
        <v>23398</v>
      </c>
      <c r="C2627" s="37" t="s">
        <v>2348</v>
      </c>
      <c r="D2627" s="37" t="s">
        <v>2351</v>
      </c>
    </row>
    <row r="2628" spans="1:4" ht="14.25">
      <c r="A2628" s="37">
        <v>38918</v>
      </c>
      <c r="B2628" s="37" t="s">
        <v>23399</v>
      </c>
      <c r="C2628" s="37" t="s">
        <v>2348</v>
      </c>
      <c r="D2628" s="37" t="s">
        <v>2351</v>
      </c>
    </row>
    <row r="2629" spans="1:4" ht="14.25">
      <c r="A2629" s="37">
        <v>38920</v>
      </c>
      <c r="B2629" s="37" t="s">
        <v>23400</v>
      </c>
      <c r="C2629" s="37" t="s">
        <v>2348</v>
      </c>
      <c r="D2629" s="37" t="s">
        <v>2351</v>
      </c>
    </row>
    <row r="2630" spans="1:4" ht="14.25">
      <c r="A2630" s="37">
        <v>12032</v>
      </c>
      <c r="B2630" s="37" t="s">
        <v>23401</v>
      </c>
      <c r="C2630" s="37" t="s">
        <v>2386</v>
      </c>
      <c r="D2630" s="37" t="s">
        <v>2349</v>
      </c>
    </row>
    <row r="2631" spans="1:4" ht="14.25">
      <c r="A2631" s="37">
        <v>12030</v>
      </c>
      <c r="B2631" s="37" t="s">
        <v>23402</v>
      </c>
      <c r="C2631" s="37" t="s">
        <v>2386</v>
      </c>
      <c r="D2631" s="37" t="s">
        <v>2349</v>
      </c>
    </row>
    <row r="2632" spans="1:4" ht="14.25">
      <c r="A2632" s="37">
        <v>10908</v>
      </c>
      <c r="B2632" s="37" t="s">
        <v>23403</v>
      </c>
      <c r="C2632" s="37" t="s">
        <v>2348</v>
      </c>
      <c r="D2632" s="37" t="s">
        <v>2349</v>
      </c>
    </row>
    <row r="2633" spans="1:4" ht="14.25">
      <c r="A2633" s="37">
        <v>10909</v>
      </c>
      <c r="B2633" s="37" t="s">
        <v>23404</v>
      </c>
      <c r="C2633" s="37" t="s">
        <v>2348</v>
      </c>
      <c r="D2633" s="37" t="s">
        <v>2349</v>
      </c>
    </row>
    <row r="2634" spans="1:4" ht="14.25">
      <c r="A2634" s="37">
        <v>3669</v>
      </c>
      <c r="B2634" s="37" t="s">
        <v>23405</v>
      </c>
      <c r="C2634" s="37" t="s">
        <v>2348</v>
      </c>
      <c r="D2634" s="37" t="s">
        <v>2349</v>
      </c>
    </row>
    <row r="2635" spans="1:4" ht="14.25">
      <c r="A2635" s="37">
        <v>20138</v>
      </c>
      <c r="B2635" s="37" t="s">
        <v>23406</v>
      </c>
      <c r="C2635" s="37" t="s">
        <v>2348</v>
      </c>
      <c r="D2635" s="37" t="s">
        <v>2349</v>
      </c>
    </row>
    <row r="2636" spans="1:4" ht="14.25">
      <c r="A2636" s="37">
        <v>20139</v>
      </c>
      <c r="B2636" s="37" t="s">
        <v>23407</v>
      </c>
      <c r="C2636" s="37" t="s">
        <v>2348</v>
      </c>
      <c r="D2636" s="37" t="s">
        <v>2349</v>
      </c>
    </row>
    <row r="2637" spans="1:4" ht="14.25">
      <c r="A2637" s="37">
        <v>3668</v>
      </c>
      <c r="B2637" s="37" t="s">
        <v>23408</v>
      </c>
      <c r="C2637" s="37" t="s">
        <v>2348</v>
      </c>
      <c r="D2637" s="37" t="s">
        <v>2349</v>
      </c>
    </row>
    <row r="2638" spans="1:4" ht="14.25">
      <c r="A2638" s="37">
        <v>3656</v>
      </c>
      <c r="B2638" s="37" t="s">
        <v>23409</v>
      </c>
      <c r="C2638" s="37" t="s">
        <v>2348</v>
      </c>
      <c r="D2638" s="37" t="s">
        <v>2349</v>
      </c>
    </row>
    <row r="2639" spans="1:4" ht="14.25">
      <c r="A2639" s="37">
        <v>10911</v>
      </c>
      <c r="B2639" s="37" t="s">
        <v>23410</v>
      </c>
      <c r="C2639" s="37" t="s">
        <v>2348</v>
      </c>
      <c r="D2639" s="37" t="s">
        <v>2349</v>
      </c>
    </row>
    <row r="2640" spans="1:4" ht="14.25">
      <c r="A2640" s="37">
        <v>3654</v>
      </c>
      <c r="B2640" s="37" t="s">
        <v>23411</v>
      </c>
      <c r="C2640" s="37" t="s">
        <v>2348</v>
      </c>
      <c r="D2640" s="37" t="s">
        <v>2349</v>
      </c>
    </row>
    <row r="2641" spans="1:4" ht="14.25">
      <c r="A2641" s="37">
        <v>3664</v>
      </c>
      <c r="B2641" s="37" t="s">
        <v>23412</v>
      </c>
      <c r="C2641" s="37" t="s">
        <v>2348</v>
      </c>
      <c r="D2641" s="37" t="s">
        <v>2349</v>
      </c>
    </row>
    <row r="2642" spans="1:4" ht="14.25">
      <c r="A2642" s="37">
        <v>3657</v>
      </c>
      <c r="B2642" s="37" t="s">
        <v>23413</v>
      </c>
      <c r="C2642" s="37" t="s">
        <v>2348</v>
      </c>
      <c r="D2642" s="37" t="s">
        <v>2349</v>
      </c>
    </row>
    <row r="2643" spans="1:4" ht="14.25">
      <c r="A2643" s="37">
        <v>12625</v>
      </c>
      <c r="B2643" s="37" t="s">
        <v>23414</v>
      </c>
      <c r="C2643" s="37" t="s">
        <v>2348</v>
      </c>
      <c r="D2643" s="37" t="s">
        <v>2351</v>
      </c>
    </row>
    <row r="2644" spans="1:4" ht="14.25">
      <c r="A2644" s="37">
        <v>20136</v>
      </c>
      <c r="B2644" s="37" t="s">
        <v>23415</v>
      </c>
      <c r="C2644" s="37" t="s">
        <v>2348</v>
      </c>
      <c r="D2644" s="37" t="s">
        <v>2349</v>
      </c>
    </row>
    <row r="2645" spans="1:4" ht="14.25">
      <c r="A2645" s="37">
        <v>20144</v>
      </c>
      <c r="B2645" s="37" t="s">
        <v>23416</v>
      </c>
      <c r="C2645" s="37" t="s">
        <v>2348</v>
      </c>
      <c r="D2645" s="37" t="s">
        <v>2349</v>
      </c>
    </row>
    <row r="2646" spans="1:4" ht="14.25">
      <c r="A2646" s="37">
        <v>20143</v>
      </c>
      <c r="B2646" s="37" t="s">
        <v>23417</v>
      </c>
      <c r="C2646" s="37" t="s">
        <v>2348</v>
      </c>
      <c r="D2646" s="37" t="s">
        <v>2349</v>
      </c>
    </row>
    <row r="2647" spans="1:4" ht="14.25">
      <c r="A2647" s="37">
        <v>20145</v>
      </c>
      <c r="B2647" s="37" t="s">
        <v>23418</v>
      </c>
      <c r="C2647" s="37" t="s">
        <v>2348</v>
      </c>
      <c r="D2647" s="37" t="s">
        <v>2349</v>
      </c>
    </row>
    <row r="2648" spans="1:4" ht="14.25">
      <c r="A2648" s="37">
        <v>20146</v>
      </c>
      <c r="B2648" s="37" t="s">
        <v>23419</v>
      </c>
      <c r="C2648" s="37" t="s">
        <v>2348</v>
      </c>
      <c r="D2648" s="37" t="s">
        <v>2349</v>
      </c>
    </row>
    <row r="2649" spans="1:4" ht="14.25">
      <c r="A2649" s="37">
        <v>20140</v>
      </c>
      <c r="B2649" s="37" t="s">
        <v>23420</v>
      </c>
      <c r="C2649" s="37" t="s">
        <v>2348</v>
      </c>
      <c r="D2649" s="37" t="s">
        <v>2349</v>
      </c>
    </row>
    <row r="2650" spans="1:4" ht="14.25">
      <c r="A2650" s="37">
        <v>20141</v>
      </c>
      <c r="B2650" s="37" t="s">
        <v>23421</v>
      </c>
      <c r="C2650" s="37" t="s">
        <v>2348</v>
      </c>
      <c r="D2650" s="37" t="s">
        <v>2349</v>
      </c>
    </row>
    <row r="2651" spans="1:4" ht="14.25">
      <c r="A2651" s="37">
        <v>20142</v>
      </c>
      <c r="B2651" s="37" t="s">
        <v>23422</v>
      </c>
      <c r="C2651" s="37" t="s">
        <v>2348</v>
      </c>
      <c r="D2651" s="37" t="s">
        <v>2349</v>
      </c>
    </row>
    <row r="2652" spans="1:4" ht="14.25">
      <c r="A2652" s="37">
        <v>3659</v>
      </c>
      <c r="B2652" s="37" t="s">
        <v>23423</v>
      </c>
      <c r="C2652" s="37" t="s">
        <v>2348</v>
      </c>
      <c r="D2652" s="37" t="s">
        <v>2349</v>
      </c>
    </row>
    <row r="2653" spans="1:4" ht="14.25">
      <c r="A2653" s="37">
        <v>3660</v>
      </c>
      <c r="B2653" s="37" t="s">
        <v>23424</v>
      </c>
      <c r="C2653" s="37" t="s">
        <v>2348</v>
      </c>
      <c r="D2653" s="37" t="s">
        <v>2349</v>
      </c>
    </row>
    <row r="2654" spans="1:4" ht="14.25">
      <c r="A2654" s="37">
        <v>3662</v>
      </c>
      <c r="B2654" s="37" t="s">
        <v>23425</v>
      </c>
      <c r="C2654" s="37" t="s">
        <v>2348</v>
      </c>
      <c r="D2654" s="37" t="s">
        <v>2349</v>
      </c>
    </row>
    <row r="2655" spans="1:4" ht="14.25">
      <c r="A2655" s="37">
        <v>3661</v>
      </c>
      <c r="B2655" s="37" t="s">
        <v>23426</v>
      </c>
      <c r="C2655" s="37" t="s">
        <v>2348</v>
      </c>
      <c r="D2655" s="37" t="s">
        <v>2349</v>
      </c>
    </row>
    <row r="2656" spans="1:4" ht="14.25">
      <c r="A2656" s="37">
        <v>3658</v>
      </c>
      <c r="B2656" s="37" t="s">
        <v>23427</v>
      </c>
      <c r="C2656" s="37" t="s">
        <v>2348</v>
      </c>
      <c r="D2656" s="37" t="s">
        <v>2349</v>
      </c>
    </row>
    <row r="2657" spans="1:4" ht="14.25">
      <c r="A2657" s="37">
        <v>3670</v>
      </c>
      <c r="B2657" s="37" t="s">
        <v>23428</v>
      </c>
      <c r="C2657" s="37" t="s">
        <v>2348</v>
      </c>
      <c r="D2657" s="37" t="s">
        <v>2349</v>
      </c>
    </row>
    <row r="2658" spans="1:4" ht="14.25">
      <c r="A2658" s="37">
        <v>3666</v>
      </c>
      <c r="B2658" s="37" t="s">
        <v>23429</v>
      </c>
      <c r="C2658" s="37" t="s">
        <v>2348</v>
      </c>
      <c r="D2658" s="37" t="s">
        <v>2349</v>
      </c>
    </row>
    <row r="2659" spans="1:4" ht="14.25">
      <c r="A2659" s="37">
        <v>14157</v>
      </c>
      <c r="B2659" s="37" t="s">
        <v>23430</v>
      </c>
      <c r="C2659" s="37" t="s">
        <v>2348</v>
      </c>
      <c r="D2659" s="37" t="s">
        <v>2351</v>
      </c>
    </row>
    <row r="2660" spans="1:4" ht="14.25">
      <c r="A2660" s="37">
        <v>3653</v>
      </c>
      <c r="B2660" s="37" t="s">
        <v>23431</v>
      </c>
      <c r="C2660" s="37" t="s">
        <v>2348</v>
      </c>
      <c r="D2660" s="37" t="s">
        <v>2351</v>
      </c>
    </row>
    <row r="2661" spans="1:4" ht="14.25">
      <c r="A2661" s="37">
        <v>3649</v>
      </c>
      <c r="B2661" s="37" t="s">
        <v>23432</v>
      </c>
      <c r="C2661" s="37" t="s">
        <v>2348</v>
      </c>
      <c r="D2661" s="37" t="s">
        <v>2351</v>
      </c>
    </row>
    <row r="2662" spans="1:4" ht="14.25">
      <c r="A2662" s="37">
        <v>42696</v>
      </c>
      <c r="B2662" s="37" t="s">
        <v>23433</v>
      </c>
      <c r="C2662" s="37" t="s">
        <v>2348</v>
      </c>
      <c r="D2662" s="37" t="s">
        <v>2351</v>
      </c>
    </row>
    <row r="2663" spans="1:4" ht="14.25">
      <c r="A2663" s="37">
        <v>42697</v>
      </c>
      <c r="B2663" s="37" t="s">
        <v>23434</v>
      </c>
      <c r="C2663" s="37" t="s">
        <v>2348</v>
      </c>
      <c r="D2663" s="37" t="s">
        <v>2351</v>
      </c>
    </row>
    <row r="2664" spans="1:4" ht="14.25">
      <c r="A2664" s="37">
        <v>42698</v>
      </c>
      <c r="B2664" s="37" t="s">
        <v>23435</v>
      </c>
      <c r="C2664" s="37" t="s">
        <v>2348</v>
      </c>
      <c r="D2664" s="37" t="s">
        <v>2351</v>
      </c>
    </row>
    <row r="2665" spans="1:4" ht="14.25">
      <c r="A2665" s="37">
        <v>39875</v>
      </c>
      <c r="B2665" s="37" t="s">
        <v>23436</v>
      </c>
      <c r="C2665" s="37" t="s">
        <v>2348</v>
      </c>
      <c r="D2665" s="37" t="s">
        <v>2351</v>
      </c>
    </row>
    <row r="2666" spans="1:4" ht="14.25">
      <c r="A2666" s="37">
        <v>39876</v>
      </c>
      <c r="B2666" s="37" t="s">
        <v>23437</v>
      </c>
      <c r="C2666" s="37" t="s">
        <v>2348</v>
      </c>
      <c r="D2666" s="37" t="s">
        <v>2351</v>
      </c>
    </row>
    <row r="2667" spans="1:4" ht="14.25">
      <c r="A2667" s="37">
        <v>39877</v>
      </c>
      <c r="B2667" s="37" t="s">
        <v>23438</v>
      </c>
      <c r="C2667" s="37" t="s">
        <v>2348</v>
      </c>
      <c r="D2667" s="37" t="s">
        <v>2351</v>
      </c>
    </row>
    <row r="2668" spans="1:4" ht="14.25">
      <c r="A2668" s="37">
        <v>39878</v>
      </c>
      <c r="B2668" s="37" t="s">
        <v>23439</v>
      </c>
      <c r="C2668" s="37" t="s">
        <v>2348</v>
      </c>
      <c r="D2668" s="37" t="s">
        <v>2351</v>
      </c>
    </row>
    <row r="2669" spans="1:4" ht="14.25">
      <c r="A2669" s="37">
        <v>39872</v>
      </c>
      <c r="B2669" s="37" t="s">
        <v>23440</v>
      </c>
      <c r="C2669" s="37" t="s">
        <v>2348</v>
      </c>
      <c r="D2669" s="37" t="s">
        <v>2351</v>
      </c>
    </row>
    <row r="2670" spans="1:4" ht="14.25">
      <c r="A2670" s="37">
        <v>39873</v>
      </c>
      <c r="B2670" s="37" t="s">
        <v>23441</v>
      </c>
      <c r="C2670" s="37" t="s">
        <v>2348</v>
      </c>
      <c r="D2670" s="37" t="s">
        <v>2351</v>
      </c>
    </row>
    <row r="2671" spans="1:4" ht="14.25">
      <c r="A2671" s="37">
        <v>39874</v>
      </c>
      <c r="B2671" s="37" t="s">
        <v>23442</v>
      </c>
      <c r="C2671" s="37" t="s">
        <v>2348</v>
      </c>
      <c r="D2671" s="37" t="s">
        <v>2351</v>
      </c>
    </row>
    <row r="2672" spans="1:4" ht="14.25">
      <c r="A2672" s="37">
        <v>3674</v>
      </c>
      <c r="B2672" s="37" t="s">
        <v>23443</v>
      </c>
      <c r="C2672" s="37" t="s">
        <v>2355</v>
      </c>
      <c r="D2672" s="37" t="s">
        <v>2351</v>
      </c>
    </row>
    <row r="2673" spans="1:4" ht="14.25">
      <c r="A2673" s="37">
        <v>3681</v>
      </c>
      <c r="B2673" s="37" t="s">
        <v>23444</v>
      </c>
      <c r="C2673" s="37" t="s">
        <v>2355</v>
      </c>
      <c r="D2673" s="37" t="s">
        <v>2351</v>
      </c>
    </row>
    <row r="2674" spans="1:4" ht="14.25">
      <c r="A2674" s="37">
        <v>3676</v>
      </c>
      <c r="B2674" s="37" t="s">
        <v>23445</v>
      </c>
      <c r="C2674" s="37" t="s">
        <v>2355</v>
      </c>
      <c r="D2674" s="37" t="s">
        <v>2351</v>
      </c>
    </row>
    <row r="2675" spans="1:4" ht="14.25">
      <c r="A2675" s="37">
        <v>3679</v>
      </c>
      <c r="B2675" s="37" t="s">
        <v>23446</v>
      </c>
      <c r="C2675" s="37" t="s">
        <v>2355</v>
      </c>
      <c r="D2675" s="37" t="s">
        <v>2351</v>
      </c>
    </row>
    <row r="2676" spans="1:4" ht="14.25">
      <c r="A2676" s="37">
        <v>3672</v>
      </c>
      <c r="B2676" s="37" t="s">
        <v>23447</v>
      </c>
      <c r="C2676" s="37" t="s">
        <v>2355</v>
      </c>
      <c r="D2676" s="37" t="s">
        <v>2351</v>
      </c>
    </row>
    <row r="2677" spans="1:4" ht="14.25">
      <c r="A2677" s="37">
        <v>3671</v>
      </c>
      <c r="B2677" s="37" t="s">
        <v>23448</v>
      </c>
      <c r="C2677" s="37" t="s">
        <v>2355</v>
      </c>
      <c r="D2677" s="37" t="s">
        <v>2351</v>
      </c>
    </row>
    <row r="2678" spans="1:4" ht="14.25">
      <c r="A2678" s="37">
        <v>3673</v>
      </c>
      <c r="B2678" s="37" t="s">
        <v>23449</v>
      </c>
      <c r="C2678" s="37" t="s">
        <v>2355</v>
      </c>
      <c r="D2678" s="37" t="s">
        <v>2351</v>
      </c>
    </row>
    <row r="2679" spans="1:4" ht="14.25">
      <c r="A2679" s="37">
        <v>38394</v>
      </c>
      <c r="B2679" s="37" t="s">
        <v>23450</v>
      </c>
      <c r="C2679" s="37" t="s">
        <v>2348</v>
      </c>
      <c r="D2679" s="37" t="s">
        <v>2349</v>
      </c>
    </row>
    <row r="2680" spans="1:4" ht="14.25">
      <c r="A2680" s="37">
        <v>3729</v>
      </c>
      <c r="B2680" s="37" t="s">
        <v>23451</v>
      </c>
      <c r="C2680" s="37" t="s">
        <v>2348</v>
      </c>
      <c r="D2680" s="37" t="s">
        <v>2349</v>
      </c>
    </row>
    <row r="2681" spans="1:4" ht="14.25">
      <c r="A2681" s="37">
        <v>39357</v>
      </c>
      <c r="B2681" s="37" t="s">
        <v>23452</v>
      </c>
      <c r="C2681" s="37" t="s">
        <v>2348</v>
      </c>
      <c r="D2681" s="37" t="s">
        <v>2351</v>
      </c>
    </row>
    <row r="2682" spans="1:4" ht="14.25">
      <c r="A2682" s="37">
        <v>39358</v>
      </c>
      <c r="B2682" s="37" t="s">
        <v>23453</v>
      </c>
      <c r="C2682" s="37" t="s">
        <v>2348</v>
      </c>
      <c r="D2682" s="37" t="s">
        <v>2351</v>
      </c>
    </row>
    <row r="2683" spans="1:4" ht="14.25">
      <c r="A2683" s="37">
        <v>39356</v>
      </c>
      <c r="B2683" s="37" t="s">
        <v>23454</v>
      </c>
      <c r="C2683" s="37" t="s">
        <v>2348</v>
      </c>
      <c r="D2683" s="37" t="s">
        <v>2351</v>
      </c>
    </row>
    <row r="2684" spans="1:4" ht="14.25">
      <c r="A2684" s="37">
        <v>39355</v>
      </c>
      <c r="B2684" s="37" t="s">
        <v>23455</v>
      </c>
      <c r="C2684" s="37" t="s">
        <v>2348</v>
      </c>
      <c r="D2684" s="37" t="s">
        <v>2351</v>
      </c>
    </row>
    <row r="2685" spans="1:4" ht="14.25">
      <c r="A2685" s="37">
        <v>39353</v>
      </c>
      <c r="B2685" s="37" t="s">
        <v>23456</v>
      </c>
      <c r="C2685" s="37" t="s">
        <v>2348</v>
      </c>
      <c r="D2685" s="37" t="s">
        <v>2351</v>
      </c>
    </row>
    <row r="2686" spans="1:4" ht="14.25">
      <c r="A2686" s="37">
        <v>39354</v>
      </c>
      <c r="B2686" s="37" t="s">
        <v>23457</v>
      </c>
      <c r="C2686" s="37" t="s">
        <v>2348</v>
      </c>
      <c r="D2686" s="37" t="s">
        <v>2351</v>
      </c>
    </row>
    <row r="2687" spans="1:4" ht="14.25">
      <c r="A2687" s="37">
        <v>39398</v>
      </c>
      <c r="B2687" s="37" t="s">
        <v>23458</v>
      </c>
      <c r="C2687" s="37" t="s">
        <v>2348</v>
      </c>
      <c r="D2687" s="37" t="s">
        <v>2349</v>
      </c>
    </row>
    <row r="2688" spans="1:4" ht="14.25">
      <c r="A2688" s="37">
        <v>13343</v>
      </c>
      <c r="B2688" s="37" t="s">
        <v>23459</v>
      </c>
      <c r="C2688" s="37" t="s">
        <v>2348</v>
      </c>
      <c r="D2688" s="37" t="s">
        <v>2351</v>
      </c>
    </row>
    <row r="2689" spans="1:4" ht="14.25">
      <c r="A2689" s="37">
        <v>12118</v>
      </c>
      <c r="B2689" s="37" t="s">
        <v>23460</v>
      </c>
      <c r="C2689" s="37" t="s">
        <v>2348</v>
      </c>
      <c r="D2689" s="37" t="s">
        <v>2349</v>
      </c>
    </row>
    <row r="2690" spans="1:4" ht="14.25">
      <c r="A2690" s="37">
        <v>39482</v>
      </c>
      <c r="B2690" s="37" t="s">
        <v>23461</v>
      </c>
      <c r="C2690" s="37" t="s">
        <v>2348</v>
      </c>
      <c r="D2690" s="37" t="s">
        <v>2349</v>
      </c>
    </row>
    <row r="2691" spans="1:4" ht="14.25">
      <c r="A2691" s="37">
        <v>39486</v>
      </c>
      <c r="B2691" s="37" t="s">
        <v>23462</v>
      </c>
      <c r="C2691" s="37" t="s">
        <v>2348</v>
      </c>
      <c r="D2691" s="37" t="s">
        <v>2349</v>
      </c>
    </row>
    <row r="2692" spans="1:4" ht="14.25">
      <c r="A2692" s="37">
        <v>39484</v>
      </c>
      <c r="B2692" s="37" t="s">
        <v>23463</v>
      </c>
      <c r="C2692" s="37" t="s">
        <v>2348</v>
      </c>
      <c r="D2692" s="37" t="s">
        <v>2349</v>
      </c>
    </row>
    <row r="2693" spans="1:4" ht="14.25">
      <c r="A2693" s="37">
        <v>39488</v>
      </c>
      <c r="B2693" s="37" t="s">
        <v>23464</v>
      </c>
      <c r="C2693" s="37" t="s">
        <v>2348</v>
      </c>
      <c r="D2693" s="37" t="s">
        <v>2349</v>
      </c>
    </row>
    <row r="2694" spans="1:4" ht="14.25">
      <c r="A2694" s="37">
        <v>39485</v>
      </c>
      <c r="B2694" s="37" t="s">
        <v>23465</v>
      </c>
      <c r="C2694" s="37" t="s">
        <v>2348</v>
      </c>
      <c r="D2694" s="37" t="s">
        <v>2349</v>
      </c>
    </row>
    <row r="2695" spans="1:4" ht="14.25">
      <c r="A2695" s="37">
        <v>39489</v>
      </c>
      <c r="B2695" s="37" t="s">
        <v>23466</v>
      </c>
      <c r="C2695" s="37" t="s">
        <v>2348</v>
      </c>
      <c r="D2695" s="37" t="s">
        <v>2349</v>
      </c>
    </row>
    <row r="2696" spans="1:4" ht="14.25">
      <c r="A2696" s="37">
        <v>39490</v>
      </c>
      <c r="B2696" s="37" t="s">
        <v>23467</v>
      </c>
      <c r="C2696" s="37" t="s">
        <v>2348</v>
      </c>
      <c r="D2696" s="37" t="s">
        <v>2349</v>
      </c>
    </row>
    <row r="2697" spans="1:4" ht="14.25">
      <c r="A2697" s="37">
        <v>39494</v>
      </c>
      <c r="B2697" s="37" t="s">
        <v>23468</v>
      </c>
      <c r="C2697" s="37" t="s">
        <v>2348</v>
      </c>
      <c r="D2697" s="37" t="s">
        <v>2349</v>
      </c>
    </row>
    <row r="2698" spans="1:4" ht="14.25">
      <c r="A2698" s="37">
        <v>39495</v>
      </c>
      <c r="B2698" s="37" t="s">
        <v>23469</v>
      </c>
      <c r="C2698" s="37" t="s">
        <v>2348</v>
      </c>
      <c r="D2698" s="37" t="s">
        <v>2349</v>
      </c>
    </row>
    <row r="2699" spans="1:4" ht="14.25">
      <c r="A2699" s="37">
        <v>39496</v>
      </c>
      <c r="B2699" s="37" t="s">
        <v>23470</v>
      </c>
      <c r="C2699" s="37" t="s">
        <v>2348</v>
      </c>
      <c r="D2699" s="37" t="s">
        <v>2349</v>
      </c>
    </row>
    <row r="2700" spans="1:4" ht="14.25">
      <c r="A2700" s="37">
        <v>39492</v>
      </c>
      <c r="B2700" s="37" t="s">
        <v>23471</v>
      </c>
      <c r="C2700" s="37" t="s">
        <v>2348</v>
      </c>
      <c r="D2700" s="37" t="s">
        <v>2349</v>
      </c>
    </row>
    <row r="2701" spans="1:4" ht="14.25">
      <c r="A2701" s="37">
        <v>39497</v>
      </c>
      <c r="B2701" s="37" t="s">
        <v>23472</v>
      </c>
      <c r="C2701" s="37" t="s">
        <v>2348</v>
      </c>
      <c r="D2701" s="37" t="s">
        <v>2349</v>
      </c>
    </row>
    <row r="2702" spans="1:4" ht="14.25">
      <c r="A2702" s="37">
        <v>39493</v>
      </c>
      <c r="B2702" s="37" t="s">
        <v>23473</v>
      </c>
      <c r="C2702" s="37" t="s">
        <v>2348</v>
      </c>
      <c r="D2702" s="37" t="s">
        <v>2349</v>
      </c>
    </row>
    <row r="2703" spans="1:4" ht="14.25">
      <c r="A2703" s="37">
        <v>39500</v>
      </c>
      <c r="B2703" s="37" t="s">
        <v>23474</v>
      </c>
      <c r="C2703" s="37" t="s">
        <v>2348</v>
      </c>
      <c r="D2703" s="37" t="s">
        <v>2349</v>
      </c>
    </row>
    <row r="2704" spans="1:4" ht="14.25">
      <c r="A2704" s="37">
        <v>39498</v>
      </c>
      <c r="B2704" s="37" t="s">
        <v>23475</v>
      </c>
      <c r="C2704" s="37" t="s">
        <v>2348</v>
      </c>
      <c r="D2704" s="37" t="s">
        <v>2349</v>
      </c>
    </row>
    <row r="2705" spans="1:4" ht="14.25">
      <c r="A2705" s="37">
        <v>43628</v>
      </c>
      <c r="B2705" s="37" t="s">
        <v>23476</v>
      </c>
      <c r="C2705" s="37" t="s">
        <v>2348</v>
      </c>
      <c r="D2705" s="37" t="s">
        <v>2349</v>
      </c>
    </row>
    <row r="2706" spans="1:4" ht="14.25">
      <c r="A2706" s="37">
        <v>39501</v>
      </c>
      <c r="B2706" s="37" t="s">
        <v>23477</v>
      </c>
      <c r="C2706" s="37" t="s">
        <v>2348</v>
      </c>
      <c r="D2706" s="37" t="s">
        <v>2349</v>
      </c>
    </row>
    <row r="2707" spans="1:4" ht="14.25">
      <c r="A2707" s="37">
        <v>39499</v>
      </c>
      <c r="B2707" s="37" t="s">
        <v>23478</v>
      </c>
      <c r="C2707" s="37" t="s">
        <v>2348</v>
      </c>
      <c r="D2707" s="37" t="s">
        <v>2349</v>
      </c>
    </row>
    <row r="2708" spans="1:4" ht="14.25">
      <c r="A2708" s="37">
        <v>43621</v>
      </c>
      <c r="B2708" s="37" t="s">
        <v>23479</v>
      </c>
      <c r="C2708" s="37" t="s">
        <v>2348</v>
      </c>
      <c r="D2708" s="37" t="s">
        <v>2349</v>
      </c>
    </row>
    <row r="2709" spans="1:4" ht="14.25">
      <c r="A2709" s="37">
        <v>3733</v>
      </c>
      <c r="B2709" s="37" t="s">
        <v>23480</v>
      </c>
      <c r="C2709" s="37" t="s">
        <v>2350</v>
      </c>
      <c r="D2709" s="37" t="s">
        <v>2351</v>
      </c>
    </row>
    <row r="2710" spans="1:4" ht="14.25">
      <c r="A2710" s="37">
        <v>3731</v>
      </c>
      <c r="B2710" s="37" t="s">
        <v>23481</v>
      </c>
      <c r="C2710" s="37" t="s">
        <v>2350</v>
      </c>
      <c r="D2710" s="37" t="s">
        <v>2351</v>
      </c>
    </row>
    <row r="2711" spans="1:4" ht="14.25">
      <c r="A2711" s="37">
        <v>38137</v>
      </c>
      <c r="B2711" s="37" t="s">
        <v>23482</v>
      </c>
      <c r="C2711" s="37" t="s">
        <v>2350</v>
      </c>
      <c r="D2711" s="37" t="s">
        <v>2351</v>
      </c>
    </row>
    <row r="2712" spans="1:4" ht="14.25">
      <c r="A2712" s="37">
        <v>38135</v>
      </c>
      <c r="B2712" s="37" t="s">
        <v>23483</v>
      </c>
      <c r="C2712" s="37" t="s">
        <v>2350</v>
      </c>
      <c r="D2712" s="37" t="s">
        <v>2351</v>
      </c>
    </row>
    <row r="2713" spans="1:4" ht="14.25">
      <c r="A2713" s="37">
        <v>38138</v>
      </c>
      <c r="B2713" s="37" t="s">
        <v>23484</v>
      </c>
      <c r="C2713" s="37" t="s">
        <v>2350</v>
      </c>
      <c r="D2713" s="37" t="s">
        <v>2351</v>
      </c>
    </row>
    <row r="2714" spans="1:4" ht="14.25">
      <c r="A2714" s="37">
        <v>3736</v>
      </c>
      <c r="B2714" s="37" t="s">
        <v>23485</v>
      </c>
      <c r="C2714" s="37" t="s">
        <v>2350</v>
      </c>
      <c r="D2714" s="37" t="s">
        <v>2353</v>
      </c>
    </row>
    <row r="2715" spans="1:4" ht="14.25">
      <c r="A2715" s="37">
        <v>3741</v>
      </c>
      <c r="B2715" s="37" t="s">
        <v>23486</v>
      </c>
      <c r="C2715" s="37" t="s">
        <v>2350</v>
      </c>
      <c r="D2715" s="37" t="s">
        <v>2349</v>
      </c>
    </row>
    <row r="2716" spans="1:4" ht="14.25">
      <c r="A2716" s="37">
        <v>3745</v>
      </c>
      <c r="B2716" s="37" t="s">
        <v>23487</v>
      </c>
      <c r="C2716" s="37" t="s">
        <v>2350</v>
      </c>
      <c r="D2716" s="37" t="s">
        <v>2349</v>
      </c>
    </row>
    <row r="2717" spans="1:4" ht="14.25">
      <c r="A2717" s="37">
        <v>3743</v>
      </c>
      <c r="B2717" s="37" t="s">
        <v>23488</v>
      </c>
      <c r="C2717" s="37" t="s">
        <v>2350</v>
      </c>
      <c r="D2717" s="37" t="s">
        <v>2349</v>
      </c>
    </row>
    <row r="2718" spans="1:4" ht="14.25">
      <c r="A2718" s="37">
        <v>3744</v>
      </c>
      <c r="B2718" s="37" t="s">
        <v>23489</v>
      </c>
      <c r="C2718" s="37" t="s">
        <v>2350</v>
      </c>
      <c r="D2718" s="37" t="s">
        <v>2349</v>
      </c>
    </row>
    <row r="2719" spans="1:4" ht="14.25">
      <c r="A2719" s="37">
        <v>3739</v>
      </c>
      <c r="B2719" s="37" t="s">
        <v>23490</v>
      </c>
      <c r="C2719" s="37" t="s">
        <v>2350</v>
      </c>
      <c r="D2719" s="37" t="s">
        <v>2349</v>
      </c>
    </row>
    <row r="2720" spans="1:4" ht="14.25">
      <c r="A2720" s="37">
        <v>3737</v>
      </c>
      <c r="B2720" s="37" t="s">
        <v>23491</v>
      </c>
      <c r="C2720" s="37" t="s">
        <v>2350</v>
      </c>
      <c r="D2720" s="37" t="s">
        <v>2349</v>
      </c>
    </row>
    <row r="2721" spans="1:4" ht="14.25">
      <c r="A2721" s="37">
        <v>3738</v>
      </c>
      <c r="B2721" s="37" t="s">
        <v>23492</v>
      </c>
      <c r="C2721" s="37" t="s">
        <v>2350</v>
      </c>
      <c r="D2721" s="37" t="s">
        <v>2349</v>
      </c>
    </row>
    <row r="2722" spans="1:4" ht="14.25">
      <c r="A2722" s="37">
        <v>3747</v>
      </c>
      <c r="B2722" s="37" t="s">
        <v>23493</v>
      </c>
      <c r="C2722" s="37" t="s">
        <v>2350</v>
      </c>
      <c r="D2722" s="37" t="s">
        <v>2349</v>
      </c>
    </row>
    <row r="2723" spans="1:4" ht="14.25">
      <c r="A2723" s="37">
        <v>11649</v>
      </c>
      <c r="B2723" s="37" t="s">
        <v>23494</v>
      </c>
      <c r="C2723" s="37" t="s">
        <v>2348</v>
      </c>
      <c r="D2723" s="37" t="s">
        <v>2349</v>
      </c>
    </row>
    <row r="2724" spans="1:4" ht="14.25">
      <c r="A2724" s="37">
        <v>11650</v>
      </c>
      <c r="B2724" s="37" t="s">
        <v>23495</v>
      </c>
      <c r="C2724" s="37" t="s">
        <v>2348</v>
      </c>
      <c r="D2724" s="37" t="s">
        <v>2349</v>
      </c>
    </row>
    <row r="2725" spans="1:4" ht="14.25">
      <c r="A2725" s="37">
        <v>3742</v>
      </c>
      <c r="B2725" s="37" t="s">
        <v>23496</v>
      </c>
      <c r="C2725" s="37" t="s">
        <v>2350</v>
      </c>
      <c r="D2725" s="37" t="s">
        <v>2349</v>
      </c>
    </row>
    <row r="2726" spans="1:4" ht="14.25">
      <c r="A2726" s="37">
        <v>3746</v>
      </c>
      <c r="B2726" s="37" t="s">
        <v>23497</v>
      </c>
      <c r="C2726" s="37" t="s">
        <v>2350</v>
      </c>
      <c r="D2726" s="37" t="s">
        <v>2349</v>
      </c>
    </row>
    <row r="2727" spans="1:4" ht="14.25">
      <c r="A2727" s="37">
        <v>21106</v>
      </c>
      <c r="B2727" s="37" t="s">
        <v>23498</v>
      </c>
      <c r="C2727" s="37" t="s">
        <v>2356</v>
      </c>
      <c r="D2727" s="37" t="s">
        <v>2351</v>
      </c>
    </row>
    <row r="2728" spans="1:4" ht="14.25">
      <c r="A2728" s="37">
        <v>3755</v>
      </c>
      <c r="B2728" s="37" t="s">
        <v>23499</v>
      </c>
      <c r="C2728" s="37" t="s">
        <v>2348</v>
      </c>
      <c r="D2728" s="37" t="s">
        <v>2351</v>
      </c>
    </row>
    <row r="2729" spans="1:4" ht="14.25">
      <c r="A2729" s="37">
        <v>3750</v>
      </c>
      <c r="B2729" s="37" t="s">
        <v>23500</v>
      </c>
      <c r="C2729" s="37" t="s">
        <v>2348</v>
      </c>
      <c r="D2729" s="37" t="s">
        <v>2351</v>
      </c>
    </row>
    <row r="2730" spans="1:4" ht="14.25">
      <c r="A2730" s="37">
        <v>3756</v>
      </c>
      <c r="B2730" s="37" t="s">
        <v>23501</v>
      </c>
      <c r="C2730" s="37" t="s">
        <v>2348</v>
      </c>
      <c r="D2730" s="37" t="s">
        <v>2351</v>
      </c>
    </row>
    <row r="2731" spans="1:4" ht="14.25">
      <c r="A2731" s="37">
        <v>39377</v>
      </c>
      <c r="B2731" s="37" t="s">
        <v>23502</v>
      </c>
      <c r="C2731" s="37" t="s">
        <v>2348</v>
      </c>
      <c r="D2731" s="37" t="s">
        <v>2351</v>
      </c>
    </row>
    <row r="2732" spans="1:4" ht="14.25">
      <c r="A2732" s="37">
        <v>38191</v>
      </c>
      <c r="B2732" s="37" t="s">
        <v>23503</v>
      </c>
      <c r="C2732" s="37" t="s">
        <v>2348</v>
      </c>
      <c r="D2732" s="37" t="s">
        <v>2351</v>
      </c>
    </row>
    <row r="2733" spans="1:4" ht="14.25">
      <c r="A2733" s="37">
        <v>39381</v>
      </c>
      <c r="B2733" s="37" t="s">
        <v>23504</v>
      </c>
      <c r="C2733" s="37" t="s">
        <v>2348</v>
      </c>
      <c r="D2733" s="37" t="s">
        <v>2351</v>
      </c>
    </row>
    <row r="2734" spans="1:4" ht="14.25">
      <c r="A2734" s="37">
        <v>38780</v>
      </c>
      <c r="B2734" s="37" t="s">
        <v>23505</v>
      </c>
      <c r="C2734" s="37" t="s">
        <v>2348</v>
      </c>
      <c r="D2734" s="37" t="s">
        <v>2351</v>
      </c>
    </row>
    <row r="2735" spans="1:4" ht="14.25">
      <c r="A2735" s="37">
        <v>38781</v>
      </c>
      <c r="B2735" s="37" t="s">
        <v>23506</v>
      </c>
      <c r="C2735" s="37" t="s">
        <v>2348</v>
      </c>
      <c r="D2735" s="37" t="s">
        <v>2351</v>
      </c>
    </row>
    <row r="2736" spans="1:4" ht="14.25">
      <c r="A2736" s="37">
        <v>38192</v>
      </c>
      <c r="B2736" s="37" t="s">
        <v>23507</v>
      </c>
      <c r="C2736" s="37" t="s">
        <v>2348</v>
      </c>
      <c r="D2736" s="37" t="s">
        <v>2351</v>
      </c>
    </row>
    <row r="2737" spans="1:4" ht="14.25">
      <c r="A2737" s="37">
        <v>3753</v>
      </c>
      <c r="B2737" s="37" t="s">
        <v>23508</v>
      </c>
      <c r="C2737" s="37" t="s">
        <v>2348</v>
      </c>
      <c r="D2737" s="37" t="s">
        <v>2351</v>
      </c>
    </row>
    <row r="2738" spans="1:4" ht="14.25">
      <c r="A2738" s="37">
        <v>38782</v>
      </c>
      <c r="B2738" s="37" t="s">
        <v>23509</v>
      </c>
      <c r="C2738" s="37" t="s">
        <v>2348</v>
      </c>
      <c r="D2738" s="37" t="s">
        <v>2351</v>
      </c>
    </row>
    <row r="2739" spans="1:4" ht="14.25">
      <c r="A2739" s="37">
        <v>38778</v>
      </c>
      <c r="B2739" s="37" t="s">
        <v>23510</v>
      </c>
      <c r="C2739" s="37" t="s">
        <v>2348</v>
      </c>
      <c r="D2739" s="37" t="s">
        <v>2351</v>
      </c>
    </row>
    <row r="2740" spans="1:4" ht="14.25">
      <c r="A2740" s="37">
        <v>38779</v>
      </c>
      <c r="B2740" s="37" t="s">
        <v>23511</v>
      </c>
      <c r="C2740" s="37" t="s">
        <v>2348</v>
      </c>
      <c r="D2740" s="37" t="s">
        <v>2351</v>
      </c>
    </row>
    <row r="2741" spans="1:4" ht="14.25">
      <c r="A2741" s="37">
        <v>39388</v>
      </c>
      <c r="B2741" s="37" t="s">
        <v>23512</v>
      </c>
      <c r="C2741" s="37" t="s">
        <v>2348</v>
      </c>
      <c r="D2741" s="37" t="s">
        <v>2349</v>
      </c>
    </row>
    <row r="2742" spans="1:4" ht="14.25">
      <c r="A2742" s="37">
        <v>39387</v>
      </c>
      <c r="B2742" s="37" t="s">
        <v>23513</v>
      </c>
      <c r="C2742" s="37" t="s">
        <v>2348</v>
      </c>
      <c r="D2742" s="37" t="s">
        <v>2349</v>
      </c>
    </row>
    <row r="2743" spans="1:4" ht="14.25">
      <c r="A2743" s="37">
        <v>39386</v>
      </c>
      <c r="B2743" s="37" t="s">
        <v>23514</v>
      </c>
      <c r="C2743" s="37" t="s">
        <v>2348</v>
      </c>
      <c r="D2743" s="37" t="s">
        <v>2349</v>
      </c>
    </row>
    <row r="2744" spans="1:4" ht="14.25">
      <c r="A2744" s="37">
        <v>38194</v>
      </c>
      <c r="B2744" s="37" t="s">
        <v>23515</v>
      </c>
      <c r="C2744" s="37" t="s">
        <v>2348</v>
      </c>
      <c r="D2744" s="37" t="s">
        <v>2353</v>
      </c>
    </row>
    <row r="2745" spans="1:4" ht="14.25">
      <c r="A2745" s="37">
        <v>38193</v>
      </c>
      <c r="B2745" s="37" t="s">
        <v>23516</v>
      </c>
      <c r="C2745" s="37" t="s">
        <v>2348</v>
      </c>
      <c r="D2745" s="37" t="s">
        <v>2349</v>
      </c>
    </row>
    <row r="2746" spans="1:4" ht="14.25">
      <c r="A2746" s="37">
        <v>12216</v>
      </c>
      <c r="B2746" s="37" t="s">
        <v>23517</v>
      </c>
      <c r="C2746" s="37" t="s">
        <v>2348</v>
      </c>
      <c r="D2746" s="37" t="s">
        <v>2351</v>
      </c>
    </row>
    <row r="2747" spans="1:4" ht="14.25">
      <c r="A2747" s="37">
        <v>3757</v>
      </c>
      <c r="B2747" s="37" t="s">
        <v>23518</v>
      </c>
      <c r="C2747" s="37" t="s">
        <v>2348</v>
      </c>
      <c r="D2747" s="37" t="s">
        <v>2351</v>
      </c>
    </row>
    <row r="2748" spans="1:4" ht="14.25">
      <c r="A2748" s="37">
        <v>3758</v>
      </c>
      <c r="B2748" s="37" t="s">
        <v>23519</v>
      </c>
      <c r="C2748" s="37" t="s">
        <v>2348</v>
      </c>
      <c r="D2748" s="37" t="s">
        <v>2351</v>
      </c>
    </row>
    <row r="2749" spans="1:4" ht="14.25">
      <c r="A2749" s="37">
        <v>12214</v>
      </c>
      <c r="B2749" s="37" t="s">
        <v>23520</v>
      </c>
      <c r="C2749" s="37" t="s">
        <v>2348</v>
      </c>
      <c r="D2749" s="37" t="s">
        <v>2351</v>
      </c>
    </row>
    <row r="2750" spans="1:4" ht="14.25">
      <c r="A2750" s="37">
        <v>3749</v>
      </c>
      <c r="B2750" s="37" t="s">
        <v>23521</v>
      </c>
      <c r="C2750" s="37" t="s">
        <v>2348</v>
      </c>
      <c r="D2750" s="37" t="s">
        <v>2351</v>
      </c>
    </row>
    <row r="2751" spans="1:4" ht="14.25">
      <c r="A2751" s="37">
        <v>3751</v>
      </c>
      <c r="B2751" s="37" t="s">
        <v>23522</v>
      </c>
      <c r="C2751" s="37" t="s">
        <v>2348</v>
      </c>
      <c r="D2751" s="37" t="s">
        <v>2351</v>
      </c>
    </row>
    <row r="2752" spans="1:4" ht="14.25">
      <c r="A2752" s="37">
        <v>39376</v>
      </c>
      <c r="B2752" s="37" t="s">
        <v>23523</v>
      </c>
      <c r="C2752" s="37" t="s">
        <v>2348</v>
      </c>
      <c r="D2752" s="37" t="s">
        <v>2351</v>
      </c>
    </row>
    <row r="2753" spans="1:4" ht="14.25">
      <c r="A2753" s="37">
        <v>3752</v>
      </c>
      <c r="B2753" s="37" t="s">
        <v>23524</v>
      </c>
      <c r="C2753" s="37" t="s">
        <v>2348</v>
      </c>
      <c r="D2753" s="37" t="s">
        <v>2351</v>
      </c>
    </row>
    <row r="2754" spans="1:4" ht="14.25">
      <c r="A2754" s="37">
        <v>746</v>
      </c>
      <c r="B2754" s="37" t="s">
        <v>23525</v>
      </c>
      <c r="C2754" s="37" t="s">
        <v>2348</v>
      </c>
      <c r="D2754" s="37" t="s">
        <v>2353</v>
      </c>
    </row>
    <row r="2755" spans="1:4" ht="14.25">
      <c r="A2755" s="37">
        <v>20269</v>
      </c>
      <c r="B2755" s="37" t="s">
        <v>23526</v>
      </c>
      <c r="C2755" s="37" t="s">
        <v>2348</v>
      </c>
      <c r="D2755" s="37" t="s">
        <v>2349</v>
      </c>
    </row>
    <row r="2756" spans="1:4" ht="14.25">
      <c r="A2756" s="37">
        <v>20270</v>
      </c>
      <c r="B2756" s="37" t="s">
        <v>23527</v>
      </c>
      <c r="C2756" s="37" t="s">
        <v>2348</v>
      </c>
      <c r="D2756" s="37" t="s">
        <v>2349</v>
      </c>
    </row>
    <row r="2757" spans="1:4" ht="14.25">
      <c r="A2757" s="37">
        <v>11696</v>
      </c>
      <c r="B2757" s="37" t="s">
        <v>23528</v>
      </c>
      <c r="C2757" s="37" t="s">
        <v>2348</v>
      </c>
      <c r="D2757" s="37" t="s">
        <v>2349</v>
      </c>
    </row>
    <row r="2758" spans="1:4" ht="14.25">
      <c r="A2758" s="37">
        <v>10427</v>
      </c>
      <c r="B2758" s="37" t="s">
        <v>23529</v>
      </c>
      <c r="C2758" s="37" t="s">
        <v>2348</v>
      </c>
      <c r="D2758" s="37" t="s">
        <v>2349</v>
      </c>
    </row>
    <row r="2759" spans="1:4" ht="14.25">
      <c r="A2759" s="37">
        <v>10428</v>
      </c>
      <c r="B2759" s="37" t="s">
        <v>23530</v>
      </c>
      <c r="C2759" s="37" t="s">
        <v>2348</v>
      </c>
      <c r="D2759" s="37" t="s">
        <v>2349</v>
      </c>
    </row>
    <row r="2760" spans="1:4" ht="14.25">
      <c r="A2760" s="37">
        <v>36521</v>
      </c>
      <c r="B2760" s="37" t="s">
        <v>23531</v>
      </c>
      <c r="C2760" s="37" t="s">
        <v>2348</v>
      </c>
      <c r="D2760" s="37" t="s">
        <v>2349</v>
      </c>
    </row>
    <row r="2761" spans="1:4" ht="14.25">
      <c r="A2761" s="37">
        <v>36794</v>
      </c>
      <c r="B2761" s="37" t="s">
        <v>23532</v>
      </c>
      <c r="C2761" s="37" t="s">
        <v>2348</v>
      </c>
      <c r="D2761" s="37" t="s">
        <v>2349</v>
      </c>
    </row>
    <row r="2762" spans="1:4" ht="14.25">
      <c r="A2762" s="37">
        <v>10426</v>
      </c>
      <c r="B2762" s="37" t="s">
        <v>23533</v>
      </c>
      <c r="C2762" s="37" t="s">
        <v>2348</v>
      </c>
      <c r="D2762" s="37" t="s">
        <v>2349</v>
      </c>
    </row>
    <row r="2763" spans="1:4" ht="14.25">
      <c r="A2763" s="37">
        <v>10425</v>
      </c>
      <c r="B2763" s="37" t="s">
        <v>23534</v>
      </c>
      <c r="C2763" s="37" t="s">
        <v>2348</v>
      </c>
      <c r="D2763" s="37" t="s">
        <v>2349</v>
      </c>
    </row>
    <row r="2764" spans="1:4" ht="14.25">
      <c r="A2764" s="37">
        <v>10431</v>
      </c>
      <c r="B2764" s="37" t="s">
        <v>23535</v>
      </c>
      <c r="C2764" s="37" t="s">
        <v>2348</v>
      </c>
      <c r="D2764" s="37" t="s">
        <v>2349</v>
      </c>
    </row>
    <row r="2765" spans="1:4" ht="14.25">
      <c r="A2765" s="37">
        <v>10429</v>
      </c>
      <c r="B2765" s="37" t="s">
        <v>23536</v>
      </c>
      <c r="C2765" s="37" t="s">
        <v>2348</v>
      </c>
      <c r="D2765" s="37" t="s">
        <v>2349</v>
      </c>
    </row>
    <row r="2766" spans="1:4" ht="14.25">
      <c r="A2766" s="37">
        <v>2354</v>
      </c>
      <c r="B2766" s="37" t="s">
        <v>23537</v>
      </c>
      <c r="C2766" s="37" t="s">
        <v>2352</v>
      </c>
      <c r="D2766" s="37" t="s">
        <v>2349</v>
      </c>
    </row>
    <row r="2767" spans="1:4" ht="14.25">
      <c r="A2767" s="37">
        <v>40932</v>
      </c>
      <c r="B2767" s="37" t="s">
        <v>23538</v>
      </c>
      <c r="C2767" s="37" t="s">
        <v>2369</v>
      </c>
      <c r="D2767" s="37" t="s">
        <v>2349</v>
      </c>
    </row>
    <row r="2768" spans="1:4" ht="14.25">
      <c r="A2768" s="37">
        <v>10853</v>
      </c>
      <c r="B2768" s="37" t="s">
        <v>23539</v>
      </c>
      <c r="C2768" s="37" t="s">
        <v>2348</v>
      </c>
      <c r="D2768" s="37" t="s">
        <v>2349</v>
      </c>
    </row>
    <row r="2769" spans="1:4" ht="14.25">
      <c r="A2769" s="37">
        <v>5093</v>
      </c>
      <c r="B2769" s="37" t="s">
        <v>23540</v>
      </c>
      <c r="C2769" s="37" t="s">
        <v>2382</v>
      </c>
      <c r="D2769" s="37" t="s">
        <v>2349</v>
      </c>
    </row>
    <row r="2770" spans="1:4" ht="14.25">
      <c r="A2770" s="37">
        <v>44331</v>
      </c>
      <c r="B2770" s="37" t="s">
        <v>28009</v>
      </c>
      <c r="C2770" s="37" t="s">
        <v>2363</v>
      </c>
      <c r="D2770" s="37" t="s">
        <v>2349</v>
      </c>
    </row>
    <row r="2771" spans="1:4" ht="14.25">
      <c r="A2771" s="37">
        <v>37768</v>
      </c>
      <c r="B2771" s="37" t="s">
        <v>23541</v>
      </c>
      <c r="C2771" s="37" t="s">
        <v>2348</v>
      </c>
      <c r="D2771" s="37" t="s">
        <v>2351</v>
      </c>
    </row>
    <row r="2772" spans="1:4" ht="14.25">
      <c r="A2772" s="37">
        <v>37773</v>
      </c>
      <c r="B2772" s="37" t="s">
        <v>23542</v>
      </c>
      <c r="C2772" s="37" t="s">
        <v>2348</v>
      </c>
      <c r="D2772" s="37" t="s">
        <v>2351</v>
      </c>
    </row>
    <row r="2773" spans="1:4" ht="14.25">
      <c r="A2773" s="37">
        <v>37769</v>
      </c>
      <c r="B2773" s="37" t="s">
        <v>23543</v>
      </c>
      <c r="C2773" s="37" t="s">
        <v>2348</v>
      </c>
      <c r="D2773" s="37" t="s">
        <v>2351</v>
      </c>
    </row>
    <row r="2774" spans="1:4" ht="14.25">
      <c r="A2774" s="37">
        <v>37770</v>
      </c>
      <c r="B2774" s="37" t="s">
        <v>23544</v>
      </c>
      <c r="C2774" s="37" t="s">
        <v>2348</v>
      </c>
      <c r="D2774" s="37" t="s">
        <v>2351</v>
      </c>
    </row>
    <row r="2775" spans="1:4" ht="14.25">
      <c r="A2775" s="37">
        <v>38382</v>
      </c>
      <c r="B2775" s="37" t="s">
        <v>23545</v>
      </c>
      <c r="C2775" s="37" t="s">
        <v>2348</v>
      </c>
      <c r="D2775" s="37" t="s">
        <v>2349</v>
      </c>
    </row>
    <row r="2776" spans="1:4" ht="14.25">
      <c r="A2776" s="37">
        <v>38383</v>
      </c>
      <c r="B2776" s="37" t="s">
        <v>23546</v>
      </c>
      <c r="C2776" s="37" t="s">
        <v>2348</v>
      </c>
      <c r="D2776" s="37" t="s">
        <v>2349</v>
      </c>
    </row>
    <row r="2777" spans="1:4" ht="14.25">
      <c r="A2777" s="37">
        <v>3768</v>
      </c>
      <c r="B2777" s="37" t="s">
        <v>23547</v>
      </c>
      <c r="C2777" s="37" t="s">
        <v>2348</v>
      </c>
      <c r="D2777" s="37" t="s">
        <v>2349</v>
      </c>
    </row>
    <row r="2778" spans="1:4" ht="14.25">
      <c r="A2778" s="37">
        <v>3767</v>
      </c>
      <c r="B2778" s="37" t="s">
        <v>28010</v>
      </c>
      <c r="C2778" s="37" t="s">
        <v>2348</v>
      </c>
      <c r="D2778" s="37" t="s">
        <v>2349</v>
      </c>
    </row>
    <row r="2779" spans="1:4" ht="14.25">
      <c r="A2779" s="37">
        <v>13192</v>
      </c>
      <c r="B2779" s="37" t="s">
        <v>23548</v>
      </c>
      <c r="C2779" s="37" t="s">
        <v>2348</v>
      </c>
      <c r="D2779" s="37" t="s">
        <v>2349</v>
      </c>
    </row>
    <row r="2780" spans="1:4" ht="14.25">
      <c r="A2780" s="37">
        <v>38413</v>
      </c>
      <c r="B2780" s="37" t="s">
        <v>23549</v>
      </c>
      <c r="C2780" s="37" t="s">
        <v>2348</v>
      </c>
      <c r="D2780" s="37" t="s">
        <v>2349</v>
      </c>
    </row>
    <row r="2781" spans="1:4" ht="14.25">
      <c r="A2781" s="37">
        <v>42440</v>
      </c>
      <c r="B2781" s="37" t="s">
        <v>23550</v>
      </c>
      <c r="C2781" s="37" t="s">
        <v>2348</v>
      </c>
      <c r="D2781" s="37" t="s">
        <v>2351</v>
      </c>
    </row>
    <row r="2782" spans="1:4" ht="14.25">
      <c r="A2782" s="37">
        <v>20193</v>
      </c>
      <c r="B2782" s="37" t="s">
        <v>23551</v>
      </c>
      <c r="C2782" s="37" t="s">
        <v>2488</v>
      </c>
      <c r="D2782" s="37" t="s">
        <v>2349</v>
      </c>
    </row>
    <row r="2783" spans="1:4" ht="14.25">
      <c r="A2783" s="37">
        <v>10527</v>
      </c>
      <c r="B2783" s="37" t="s">
        <v>23552</v>
      </c>
      <c r="C2783" s="37" t="s">
        <v>2490</v>
      </c>
      <c r="D2783" s="37" t="s">
        <v>2353</v>
      </c>
    </row>
    <row r="2784" spans="1:4" ht="14.25">
      <c r="A2784" s="37">
        <v>41805</v>
      </c>
      <c r="B2784" s="37" t="s">
        <v>23553</v>
      </c>
      <c r="C2784" s="37" t="s">
        <v>2369</v>
      </c>
      <c r="D2784" s="37" t="s">
        <v>2351</v>
      </c>
    </row>
    <row r="2785" spans="1:4" ht="14.25">
      <c r="A2785" s="37">
        <v>40271</v>
      </c>
      <c r="B2785" s="37" t="s">
        <v>23554</v>
      </c>
      <c r="C2785" s="37" t="s">
        <v>2369</v>
      </c>
      <c r="D2785" s="37" t="s">
        <v>2349</v>
      </c>
    </row>
    <row r="2786" spans="1:4" ht="14.25">
      <c r="A2786" s="37">
        <v>40287</v>
      </c>
      <c r="B2786" s="37" t="s">
        <v>23555</v>
      </c>
      <c r="C2786" s="37" t="s">
        <v>2369</v>
      </c>
      <c r="D2786" s="37" t="s">
        <v>2349</v>
      </c>
    </row>
    <row r="2787" spans="1:4" ht="14.25">
      <c r="A2787" s="37">
        <v>4084</v>
      </c>
      <c r="B2787" s="37" t="s">
        <v>23556</v>
      </c>
      <c r="C2787" s="37" t="s">
        <v>2352</v>
      </c>
      <c r="D2787" s="37" t="s">
        <v>2351</v>
      </c>
    </row>
    <row r="2788" spans="1:4" ht="14.25">
      <c r="A2788" s="37">
        <v>743</v>
      </c>
      <c r="B2788" s="37" t="s">
        <v>23557</v>
      </c>
      <c r="C2788" s="37" t="s">
        <v>2352</v>
      </c>
      <c r="D2788" s="37" t="s">
        <v>2351</v>
      </c>
    </row>
    <row r="2789" spans="1:4" ht="14.25">
      <c r="A2789" s="37">
        <v>40293</v>
      </c>
      <c r="B2789" s="37" t="s">
        <v>23558</v>
      </c>
      <c r="C2789" s="37" t="s">
        <v>2352</v>
      </c>
      <c r="D2789" s="37" t="s">
        <v>2351</v>
      </c>
    </row>
    <row r="2790" spans="1:4" ht="14.25">
      <c r="A2790" s="37">
        <v>40294</v>
      </c>
      <c r="B2790" s="37" t="s">
        <v>23559</v>
      </c>
      <c r="C2790" s="37" t="s">
        <v>2352</v>
      </c>
      <c r="D2790" s="37" t="s">
        <v>2351</v>
      </c>
    </row>
    <row r="2791" spans="1:4" ht="14.25">
      <c r="A2791" s="37">
        <v>4085</v>
      </c>
      <c r="B2791" s="37" t="s">
        <v>23560</v>
      </c>
      <c r="C2791" s="37" t="s">
        <v>2352</v>
      </c>
      <c r="D2791" s="37" t="s">
        <v>2351</v>
      </c>
    </row>
    <row r="2792" spans="1:4" ht="14.25">
      <c r="A2792" s="37">
        <v>10775</v>
      </c>
      <c r="B2792" s="37" t="s">
        <v>23561</v>
      </c>
      <c r="C2792" s="37" t="s">
        <v>2369</v>
      </c>
      <c r="D2792" s="37" t="s">
        <v>2353</v>
      </c>
    </row>
    <row r="2793" spans="1:4" ht="14.25">
      <c r="A2793" s="37">
        <v>10776</v>
      </c>
      <c r="B2793" s="37" t="s">
        <v>23562</v>
      </c>
      <c r="C2793" s="37" t="s">
        <v>2369</v>
      </c>
      <c r="D2793" s="37" t="s">
        <v>2349</v>
      </c>
    </row>
    <row r="2794" spans="1:4" ht="14.25">
      <c r="A2794" s="37">
        <v>10779</v>
      </c>
      <c r="B2794" s="37" t="s">
        <v>23563</v>
      </c>
      <c r="C2794" s="37" t="s">
        <v>2369</v>
      </c>
      <c r="D2794" s="37" t="s">
        <v>2349</v>
      </c>
    </row>
    <row r="2795" spans="1:4" ht="14.25">
      <c r="A2795" s="37">
        <v>10777</v>
      </c>
      <c r="B2795" s="37" t="s">
        <v>23564</v>
      </c>
      <c r="C2795" s="37" t="s">
        <v>2369</v>
      </c>
      <c r="D2795" s="37" t="s">
        <v>2349</v>
      </c>
    </row>
    <row r="2796" spans="1:4" ht="14.25">
      <c r="A2796" s="37">
        <v>10778</v>
      </c>
      <c r="B2796" s="37" t="s">
        <v>23565</v>
      </c>
      <c r="C2796" s="37" t="s">
        <v>2369</v>
      </c>
      <c r="D2796" s="37" t="s">
        <v>2349</v>
      </c>
    </row>
    <row r="2797" spans="1:4" ht="14.25">
      <c r="A2797" s="37">
        <v>40339</v>
      </c>
      <c r="B2797" s="37" t="s">
        <v>23566</v>
      </c>
      <c r="C2797" s="37" t="s">
        <v>2369</v>
      </c>
      <c r="D2797" s="37" t="s">
        <v>2349</v>
      </c>
    </row>
    <row r="2798" spans="1:4" ht="14.25">
      <c r="A2798" s="37">
        <v>10749</v>
      </c>
      <c r="B2798" s="37" t="s">
        <v>23567</v>
      </c>
      <c r="C2798" s="37" t="s">
        <v>2369</v>
      </c>
      <c r="D2798" s="37" t="s">
        <v>2349</v>
      </c>
    </row>
    <row r="2799" spans="1:4" ht="14.25">
      <c r="A2799" s="37">
        <v>40290</v>
      </c>
      <c r="B2799" s="37" t="s">
        <v>23568</v>
      </c>
      <c r="C2799" s="37" t="s">
        <v>2369</v>
      </c>
      <c r="D2799" s="37" t="s">
        <v>2349</v>
      </c>
    </row>
    <row r="2800" spans="1:4" ht="14.25">
      <c r="A2800" s="37">
        <v>3346</v>
      </c>
      <c r="B2800" s="37" t="s">
        <v>23569</v>
      </c>
      <c r="C2800" s="37" t="s">
        <v>2352</v>
      </c>
      <c r="D2800" s="37" t="s">
        <v>2351</v>
      </c>
    </row>
    <row r="2801" spans="1:4" ht="14.25">
      <c r="A2801" s="37">
        <v>3348</v>
      </c>
      <c r="B2801" s="37" t="s">
        <v>23570</v>
      </c>
      <c r="C2801" s="37" t="s">
        <v>2352</v>
      </c>
      <c r="D2801" s="37" t="s">
        <v>2351</v>
      </c>
    </row>
    <row r="2802" spans="1:4" ht="14.25">
      <c r="A2802" s="37">
        <v>39833</v>
      </c>
      <c r="B2802" s="37" t="s">
        <v>23571</v>
      </c>
      <c r="C2802" s="37" t="s">
        <v>2352</v>
      </c>
      <c r="D2802" s="37" t="s">
        <v>2351</v>
      </c>
    </row>
    <row r="2803" spans="1:4" ht="14.25">
      <c r="A2803" s="37">
        <v>7252</v>
      </c>
      <c r="B2803" s="37" t="s">
        <v>23572</v>
      </c>
      <c r="C2803" s="37" t="s">
        <v>2352</v>
      </c>
      <c r="D2803" s="37" t="s">
        <v>2351</v>
      </c>
    </row>
    <row r="2804" spans="1:4" ht="14.25">
      <c r="A2804" s="37">
        <v>7247</v>
      </c>
      <c r="B2804" s="37" t="s">
        <v>23573</v>
      </c>
      <c r="C2804" s="37" t="s">
        <v>2352</v>
      </c>
      <c r="D2804" s="37" t="s">
        <v>2351</v>
      </c>
    </row>
    <row r="2805" spans="1:4" ht="14.25">
      <c r="A2805" s="37">
        <v>40291</v>
      </c>
      <c r="B2805" s="37" t="s">
        <v>23574</v>
      </c>
      <c r="C2805" s="37" t="s">
        <v>2369</v>
      </c>
      <c r="D2805" s="37" t="s">
        <v>2349</v>
      </c>
    </row>
    <row r="2806" spans="1:4" ht="14.25">
      <c r="A2806" s="37">
        <v>40275</v>
      </c>
      <c r="B2806" s="37" t="s">
        <v>23575</v>
      </c>
      <c r="C2806" s="37" t="s">
        <v>2369</v>
      </c>
      <c r="D2806" s="37" t="s">
        <v>2349</v>
      </c>
    </row>
    <row r="2807" spans="1:4" ht="14.25">
      <c r="A2807" s="37">
        <v>42408</v>
      </c>
      <c r="B2807" s="37" t="s">
        <v>23576</v>
      </c>
      <c r="C2807" s="37" t="s">
        <v>2350</v>
      </c>
      <c r="D2807" s="37" t="s">
        <v>2349</v>
      </c>
    </row>
    <row r="2808" spans="1:4" ht="14.25">
      <c r="A2808" s="37">
        <v>3777</v>
      </c>
      <c r="B2808" s="37" t="s">
        <v>23577</v>
      </c>
      <c r="C2808" s="37" t="s">
        <v>2350</v>
      </c>
      <c r="D2808" s="37" t="s">
        <v>2353</v>
      </c>
    </row>
    <row r="2809" spans="1:4" ht="14.25">
      <c r="A2809" s="37">
        <v>3798</v>
      </c>
      <c r="B2809" s="37" t="s">
        <v>23578</v>
      </c>
      <c r="C2809" s="37" t="s">
        <v>2348</v>
      </c>
      <c r="D2809" s="37" t="s">
        <v>2351</v>
      </c>
    </row>
    <row r="2810" spans="1:4" ht="14.25">
      <c r="A2810" s="37">
        <v>38769</v>
      </c>
      <c r="B2810" s="37" t="s">
        <v>23579</v>
      </c>
      <c r="C2810" s="37" t="s">
        <v>2348</v>
      </c>
      <c r="D2810" s="37" t="s">
        <v>2351</v>
      </c>
    </row>
    <row r="2811" spans="1:4" ht="14.25">
      <c r="A2811" s="37">
        <v>39510</v>
      </c>
      <c r="B2811" s="37" t="s">
        <v>23580</v>
      </c>
      <c r="C2811" s="37" t="s">
        <v>2348</v>
      </c>
      <c r="D2811" s="37" t="s">
        <v>2351</v>
      </c>
    </row>
    <row r="2812" spans="1:4" ht="14.25">
      <c r="A2812" s="37">
        <v>38776</v>
      </c>
      <c r="B2812" s="37" t="s">
        <v>23581</v>
      </c>
      <c r="C2812" s="37" t="s">
        <v>2348</v>
      </c>
      <c r="D2812" s="37" t="s">
        <v>2351</v>
      </c>
    </row>
    <row r="2813" spans="1:4" ht="14.25">
      <c r="A2813" s="37">
        <v>38774</v>
      </c>
      <c r="B2813" s="37" t="s">
        <v>23582</v>
      </c>
      <c r="C2813" s="37" t="s">
        <v>2348</v>
      </c>
      <c r="D2813" s="37" t="s">
        <v>2349</v>
      </c>
    </row>
    <row r="2814" spans="1:4" ht="14.25">
      <c r="A2814" s="37">
        <v>42247</v>
      </c>
      <c r="B2814" s="37" t="s">
        <v>23583</v>
      </c>
      <c r="C2814" s="37" t="s">
        <v>2348</v>
      </c>
      <c r="D2814" s="37" t="s">
        <v>2349</v>
      </c>
    </row>
    <row r="2815" spans="1:4" ht="14.25">
      <c r="A2815" s="37">
        <v>42248</v>
      </c>
      <c r="B2815" s="37" t="s">
        <v>23584</v>
      </c>
      <c r="C2815" s="37" t="s">
        <v>2348</v>
      </c>
      <c r="D2815" s="37" t="s">
        <v>2349</v>
      </c>
    </row>
    <row r="2816" spans="1:4" ht="14.25">
      <c r="A2816" s="37">
        <v>42249</v>
      </c>
      <c r="B2816" s="37" t="s">
        <v>23585</v>
      </c>
      <c r="C2816" s="37" t="s">
        <v>2348</v>
      </c>
      <c r="D2816" s="37" t="s">
        <v>2349</v>
      </c>
    </row>
    <row r="2817" spans="1:4" ht="14.25">
      <c r="A2817" s="37">
        <v>42244</v>
      </c>
      <c r="B2817" s="37" t="s">
        <v>23586</v>
      </c>
      <c r="C2817" s="37" t="s">
        <v>2348</v>
      </c>
      <c r="D2817" s="37" t="s">
        <v>2349</v>
      </c>
    </row>
    <row r="2818" spans="1:4" ht="14.25">
      <c r="A2818" s="37">
        <v>42245</v>
      </c>
      <c r="B2818" s="37" t="s">
        <v>23587</v>
      </c>
      <c r="C2818" s="37" t="s">
        <v>2348</v>
      </c>
      <c r="D2818" s="37" t="s">
        <v>2349</v>
      </c>
    </row>
    <row r="2819" spans="1:4" ht="14.25">
      <c r="A2819" s="37">
        <v>42246</v>
      </c>
      <c r="B2819" s="37" t="s">
        <v>23588</v>
      </c>
      <c r="C2819" s="37" t="s">
        <v>2348</v>
      </c>
      <c r="D2819" s="37" t="s">
        <v>2349</v>
      </c>
    </row>
    <row r="2820" spans="1:4" ht="14.25">
      <c r="A2820" s="37">
        <v>42243</v>
      </c>
      <c r="B2820" s="37" t="s">
        <v>23589</v>
      </c>
      <c r="C2820" s="37" t="s">
        <v>2348</v>
      </c>
      <c r="D2820" s="37" t="s">
        <v>2349</v>
      </c>
    </row>
    <row r="2821" spans="1:4" ht="14.25">
      <c r="A2821" s="37">
        <v>38889</v>
      </c>
      <c r="B2821" s="37" t="s">
        <v>23590</v>
      </c>
      <c r="C2821" s="37" t="s">
        <v>2348</v>
      </c>
      <c r="D2821" s="37" t="s">
        <v>2351</v>
      </c>
    </row>
    <row r="2822" spans="1:4" ht="14.25">
      <c r="A2822" s="37">
        <v>38784</v>
      </c>
      <c r="B2822" s="37" t="s">
        <v>23591</v>
      </c>
      <c r="C2822" s="37" t="s">
        <v>2348</v>
      </c>
      <c r="D2822" s="37" t="s">
        <v>2351</v>
      </c>
    </row>
    <row r="2823" spans="1:4" ht="14.25">
      <c r="A2823" s="37">
        <v>3788</v>
      </c>
      <c r="B2823" s="37" t="s">
        <v>23592</v>
      </c>
      <c r="C2823" s="37" t="s">
        <v>2348</v>
      </c>
      <c r="D2823" s="37" t="s">
        <v>2351</v>
      </c>
    </row>
    <row r="2824" spans="1:4" ht="14.25">
      <c r="A2824" s="37">
        <v>12230</v>
      </c>
      <c r="B2824" s="37" t="s">
        <v>23593</v>
      </c>
      <c r="C2824" s="37" t="s">
        <v>2348</v>
      </c>
      <c r="D2824" s="37" t="s">
        <v>2351</v>
      </c>
    </row>
    <row r="2825" spans="1:4" ht="14.25">
      <c r="A2825" s="37">
        <v>3780</v>
      </c>
      <c r="B2825" s="37" t="s">
        <v>23594</v>
      </c>
      <c r="C2825" s="37" t="s">
        <v>2348</v>
      </c>
      <c r="D2825" s="37" t="s">
        <v>2351</v>
      </c>
    </row>
    <row r="2826" spans="1:4" ht="14.25">
      <c r="A2826" s="37">
        <v>12231</v>
      </c>
      <c r="B2826" s="37" t="s">
        <v>23595</v>
      </c>
      <c r="C2826" s="37" t="s">
        <v>2348</v>
      </c>
      <c r="D2826" s="37" t="s">
        <v>2351</v>
      </c>
    </row>
    <row r="2827" spans="1:4" ht="14.25">
      <c r="A2827" s="37">
        <v>3811</v>
      </c>
      <c r="B2827" s="37" t="s">
        <v>23596</v>
      </c>
      <c r="C2827" s="37" t="s">
        <v>2348</v>
      </c>
      <c r="D2827" s="37" t="s">
        <v>2351</v>
      </c>
    </row>
    <row r="2828" spans="1:4" ht="14.25">
      <c r="A2828" s="37">
        <v>12232</v>
      </c>
      <c r="B2828" s="37" t="s">
        <v>23597</v>
      </c>
      <c r="C2828" s="37" t="s">
        <v>2348</v>
      </c>
      <c r="D2828" s="37" t="s">
        <v>2351</v>
      </c>
    </row>
    <row r="2829" spans="1:4" ht="14.25">
      <c r="A2829" s="37">
        <v>3799</v>
      </c>
      <c r="B2829" s="37" t="s">
        <v>23598</v>
      </c>
      <c r="C2829" s="37" t="s">
        <v>2348</v>
      </c>
      <c r="D2829" s="37" t="s">
        <v>2351</v>
      </c>
    </row>
    <row r="2830" spans="1:4" ht="14.25">
      <c r="A2830" s="37">
        <v>12239</v>
      </c>
      <c r="B2830" s="37" t="s">
        <v>23599</v>
      </c>
      <c r="C2830" s="37" t="s">
        <v>2348</v>
      </c>
      <c r="D2830" s="37" t="s">
        <v>2351</v>
      </c>
    </row>
    <row r="2831" spans="1:4" ht="14.25">
      <c r="A2831" s="37">
        <v>38773</v>
      </c>
      <c r="B2831" s="37" t="s">
        <v>23600</v>
      </c>
      <c r="C2831" s="37" t="s">
        <v>2348</v>
      </c>
      <c r="D2831" s="37" t="s">
        <v>2351</v>
      </c>
    </row>
    <row r="2832" spans="1:4" ht="14.25">
      <c r="A2832" s="37">
        <v>12271</v>
      </c>
      <c r="B2832" s="37" t="s">
        <v>23601</v>
      </c>
      <c r="C2832" s="37" t="s">
        <v>2348</v>
      </c>
      <c r="D2832" s="37" t="s">
        <v>2351</v>
      </c>
    </row>
    <row r="2833" spans="1:4" ht="14.25">
      <c r="A2833" s="37">
        <v>38785</v>
      </c>
      <c r="B2833" s="37" t="s">
        <v>23602</v>
      </c>
      <c r="C2833" s="37" t="s">
        <v>2348</v>
      </c>
      <c r="D2833" s="37" t="s">
        <v>2351</v>
      </c>
    </row>
    <row r="2834" spans="1:4" ht="14.25">
      <c r="A2834" s="37">
        <v>38786</v>
      </c>
      <c r="B2834" s="37" t="s">
        <v>23603</v>
      </c>
      <c r="C2834" s="37" t="s">
        <v>2348</v>
      </c>
      <c r="D2834" s="37" t="s">
        <v>2351</v>
      </c>
    </row>
    <row r="2835" spans="1:4" ht="14.25">
      <c r="A2835" s="37">
        <v>39385</v>
      </c>
      <c r="B2835" s="37" t="s">
        <v>23604</v>
      </c>
      <c r="C2835" s="37" t="s">
        <v>2348</v>
      </c>
      <c r="D2835" s="37" t="s">
        <v>2349</v>
      </c>
    </row>
    <row r="2836" spans="1:4" ht="14.25">
      <c r="A2836" s="37">
        <v>39389</v>
      </c>
      <c r="B2836" s="37" t="s">
        <v>23605</v>
      </c>
      <c r="C2836" s="37" t="s">
        <v>2348</v>
      </c>
      <c r="D2836" s="37" t="s">
        <v>2349</v>
      </c>
    </row>
    <row r="2837" spans="1:4" ht="14.25">
      <c r="A2837" s="37">
        <v>39390</v>
      </c>
      <c r="B2837" s="37" t="s">
        <v>23606</v>
      </c>
      <c r="C2837" s="37" t="s">
        <v>2348</v>
      </c>
      <c r="D2837" s="37" t="s">
        <v>2349</v>
      </c>
    </row>
    <row r="2838" spans="1:4" ht="14.25">
      <c r="A2838" s="37">
        <v>39391</v>
      </c>
      <c r="B2838" s="37" t="s">
        <v>23607</v>
      </c>
      <c r="C2838" s="37" t="s">
        <v>2348</v>
      </c>
      <c r="D2838" s="37" t="s">
        <v>2349</v>
      </c>
    </row>
    <row r="2839" spans="1:4" ht="14.25">
      <c r="A2839" s="37">
        <v>3803</v>
      </c>
      <c r="B2839" s="37" t="s">
        <v>23608</v>
      </c>
      <c r="C2839" s="37" t="s">
        <v>2348</v>
      </c>
      <c r="D2839" s="37" t="s">
        <v>2351</v>
      </c>
    </row>
    <row r="2840" spans="1:4" ht="14.25">
      <c r="A2840" s="37">
        <v>38770</v>
      </c>
      <c r="B2840" s="37" t="s">
        <v>23609</v>
      </c>
      <c r="C2840" s="37" t="s">
        <v>2348</v>
      </c>
      <c r="D2840" s="37" t="s">
        <v>2351</v>
      </c>
    </row>
    <row r="2841" spans="1:4" ht="14.25">
      <c r="A2841" s="37">
        <v>12267</v>
      </c>
      <c r="B2841" s="37" t="s">
        <v>23610</v>
      </c>
      <c r="C2841" s="37" t="s">
        <v>2348</v>
      </c>
      <c r="D2841" s="37" t="s">
        <v>2351</v>
      </c>
    </row>
    <row r="2842" spans="1:4" ht="14.25">
      <c r="A2842" s="37">
        <v>43265</v>
      </c>
      <c r="B2842" s="37" t="s">
        <v>23611</v>
      </c>
      <c r="C2842" s="37" t="s">
        <v>2348</v>
      </c>
      <c r="D2842" s="37" t="s">
        <v>2349</v>
      </c>
    </row>
    <row r="2843" spans="1:4" ht="14.25">
      <c r="A2843" s="37">
        <v>12266</v>
      </c>
      <c r="B2843" s="37" t="s">
        <v>23612</v>
      </c>
      <c r="C2843" s="37" t="s">
        <v>2348</v>
      </c>
      <c r="D2843" s="37" t="s">
        <v>2351</v>
      </c>
    </row>
    <row r="2844" spans="1:4" ht="14.25">
      <c r="A2844" s="37">
        <v>39378</v>
      </c>
      <c r="B2844" s="37" t="s">
        <v>23613</v>
      </c>
      <c r="C2844" s="37" t="s">
        <v>2348</v>
      </c>
      <c r="D2844" s="37" t="s">
        <v>2351</v>
      </c>
    </row>
    <row r="2845" spans="1:4" ht="14.25">
      <c r="A2845" s="37">
        <v>43543</v>
      </c>
      <c r="B2845" s="37" t="s">
        <v>23614</v>
      </c>
      <c r="C2845" s="37" t="s">
        <v>2348</v>
      </c>
      <c r="D2845" s="37" t="s">
        <v>2351</v>
      </c>
    </row>
    <row r="2846" spans="1:4" ht="14.25">
      <c r="A2846" s="37">
        <v>38775</v>
      </c>
      <c r="B2846" s="37" t="s">
        <v>23615</v>
      </c>
      <c r="C2846" s="37" t="s">
        <v>2348</v>
      </c>
      <c r="D2846" s="37" t="s">
        <v>2351</v>
      </c>
    </row>
    <row r="2847" spans="1:4" ht="14.25">
      <c r="A2847" s="37">
        <v>21119</v>
      </c>
      <c r="B2847" s="37" t="s">
        <v>23616</v>
      </c>
      <c r="C2847" s="37" t="s">
        <v>2348</v>
      </c>
      <c r="D2847" s="37" t="s">
        <v>2349</v>
      </c>
    </row>
    <row r="2848" spans="1:4" ht="14.25">
      <c r="A2848" s="37">
        <v>37974</v>
      </c>
      <c r="B2848" s="37" t="s">
        <v>23617</v>
      </c>
      <c r="C2848" s="37" t="s">
        <v>2348</v>
      </c>
      <c r="D2848" s="37" t="s">
        <v>2349</v>
      </c>
    </row>
    <row r="2849" spans="1:4" ht="14.25">
      <c r="A2849" s="37">
        <v>37975</v>
      </c>
      <c r="B2849" s="37" t="s">
        <v>23618</v>
      </c>
      <c r="C2849" s="37" t="s">
        <v>2348</v>
      </c>
      <c r="D2849" s="37" t="s">
        <v>2349</v>
      </c>
    </row>
    <row r="2850" spans="1:4" ht="14.25">
      <c r="A2850" s="37">
        <v>37976</v>
      </c>
      <c r="B2850" s="37" t="s">
        <v>23619</v>
      </c>
      <c r="C2850" s="37" t="s">
        <v>2348</v>
      </c>
      <c r="D2850" s="37" t="s">
        <v>2349</v>
      </c>
    </row>
    <row r="2851" spans="1:4" ht="14.25">
      <c r="A2851" s="37">
        <v>37977</v>
      </c>
      <c r="B2851" s="37" t="s">
        <v>23620</v>
      </c>
      <c r="C2851" s="37" t="s">
        <v>2348</v>
      </c>
      <c r="D2851" s="37" t="s">
        <v>2349</v>
      </c>
    </row>
    <row r="2852" spans="1:4" ht="14.25">
      <c r="A2852" s="37">
        <v>37978</v>
      </c>
      <c r="B2852" s="37" t="s">
        <v>23621</v>
      </c>
      <c r="C2852" s="37" t="s">
        <v>2348</v>
      </c>
      <c r="D2852" s="37" t="s">
        <v>2349</v>
      </c>
    </row>
    <row r="2853" spans="1:4" ht="14.25">
      <c r="A2853" s="37">
        <v>37979</v>
      </c>
      <c r="B2853" s="37" t="s">
        <v>23622</v>
      </c>
      <c r="C2853" s="37" t="s">
        <v>2348</v>
      </c>
      <c r="D2853" s="37" t="s">
        <v>2349</v>
      </c>
    </row>
    <row r="2854" spans="1:4" ht="14.25">
      <c r="A2854" s="37">
        <v>37980</v>
      </c>
      <c r="B2854" s="37" t="s">
        <v>23623</v>
      </c>
      <c r="C2854" s="37" t="s">
        <v>2348</v>
      </c>
      <c r="D2854" s="37" t="s">
        <v>2349</v>
      </c>
    </row>
    <row r="2855" spans="1:4" ht="14.25">
      <c r="A2855" s="37">
        <v>36147</v>
      </c>
      <c r="B2855" s="37" t="s">
        <v>23624</v>
      </c>
      <c r="C2855" s="37" t="s">
        <v>2382</v>
      </c>
      <c r="D2855" s="37" t="s">
        <v>2349</v>
      </c>
    </row>
    <row r="2856" spans="1:4" ht="14.25">
      <c r="A2856" s="37">
        <v>12731</v>
      </c>
      <c r="B2856" s="37" t="s">
        <v>23625</v>
      </c>
      <c r="C2856" s="37" t="s">
        <v>2348</v>
      </c>
      <c r="D2856" s="37" t="s">
        <v>2351</v>
      </c>
    </row>
    <row r="2857" spans="1:4" ht="14.25">
      <c r="A2857" s="37">
        <v>12723</v>
      </c>
      <c r="B2857" s="37" t="s">
        <v>23626</v>
      </c>
      <c r="C2857" s="37" t="s">
        <v>2348</v>
      </c>
      <c r="D2857" s="37" t="s">
        <v>2351</v>
      </c>
    </row>
    <row r="2858" spans="1:4" ht="14.25">
      <c r="A2858" s="37">
        <v>12724</v>
      </c>
      <c r="B2858" s="37" t="s">
        <v>23627</v>
      </c>
      <c r="C2858" s="37" t="s">
        <v>2348</v>
      </c>
      <c r="D2858" s="37" t="s">
        <v>2351</v>
      </c>
    </row>
    <row r="2859" spans="1:4" ht="14.25">
      <c r="A2859" s="37">
        <v>12725</v>
      </c>
      <c r="B2859" s="37" t="s">
        <v>23628</v>
      </c>
      <c r="C2859" s="37" t="s">
        <v>2348</v>
      </c>
      <c r="D2859" s="37" t="s">
        <v>2351</v>
      </c>
    </row>
    <row r="2860" spans="1:4" ht="14.25">
      <c r="A2860" s="37">
        <v>12726</v>
      </c>
      <c r="B2860" s="37" t="s">
        <v>23629</v>
      </c>
      <c r="C2860" s="37" t="s">
        <v>2348</v>
      </c>
      <c r="D2860" s="37" t="s">
        <v>2351</v>
      </c>
    </row>
    <row r="2861" spans="1:4" ht="14.25">
      <c r="A2861" s="37">
        <v>12727</v>
      </c>
      <c r="B2861" s="37" t="s">
        <v>23630</v>
      </c>
      <c r="C2861" s="37" t="s">
        <v>2348</v>
      </c>
      <c r="D2861" s="37" t="s">
        <v>2351</v>
      </c>
    </row>
    <row r="2862" spans="1:4" ht="14.25">
      <c r="A2862" s="37">
        <v>12728</v>
      </c>
      <c r="B2862" s="37" t="s">
        <v>23631</v>
      </c>
      <c r="C2862" s="37" t="s">
        <v>2348</v>
      </c>
      <c r="D2862" s="37" t="s">
        <v>2351</v>
      </c>
    </row>
    <row r="2863" spans="1:4" ht="14.25">
      <c r="A2863" s="37">
        <v>12729</v>
      </c>
      <c r="B2863" s="37" t="s">
        <v>23632</v>
      </c>
      <c r="C2863" s="37" t="s">
        <v>2348</v>
      </c>
      <c r="D2863" s="37" t="s">
        <v>2351</v>
      </c>
    </row>
    <row r="2864" spans="1:4" ht="14.25">
      <c r="A2864" s="37">
        <v>12730</v>
      </c>
      <c r="B2864" s="37" t="s">
        <v>23633</v>
      </c>
      <c r="C2864" s="37" t="s">
        <v>2348</v>
      </c>
      <c r="D2864" s="37" t="s">
        <v>2351</v>
      </c>
    </row>
    <row r="2865" spans="1:4" ht="14.25">
      <c r="A2865" s="37">
        <v>3840</v>
      </c>
      <c r="B2865" s="37" t="s">
        <v>23634</v>
      </c>
      <c r="C2865" s="37" t="s">
        <v>2348</v>
      </c>
      <c r="D2865" s="37" t="s">
        <v>2351</v>
      </c>
    </row>
    <row r="2866" spans="1:4" ht="14.25">
      <c r="A2866" s="37">
        <v>3838</v>
      </c>
      <c r="B2866" s="37" t="s">
        <v>23635</v>
      </c>
      <c r="C2866" s="37" t="s">
        <v>2348</v>
      </c>
      <c r="D2866" s="37" t="s">
        <v>2351</v>
      </c>
    </row>
    <row r="2867" spans="1:4" ht="14.25">
      <c r="A2867" s="37">
        <v>3844</v>
      </c>
      <c r="B2867" s="37" t="s">
        <v>23636</v>
      </c>
      <c r="C2867" s="37" t="s">
        <v>2348</v>
      </c>
      <c r="D2867" s="37" t="s">
        <v>2351</v>
      </c>
    </row>
    <row r="2868" spans="1:4" ht="14.25">
      <c r="A2868" s="37">
        <v>3839</v>
      </c>
      <c r="B2868" s="37" t="s">
        <v>23637</v>
      </c>
      <c r="C2868" s="37" t="s">
        <v>2348</v>
      </c>
      <c r="D2868" s="37" t="s">
        <v>2351</v>
      </c>
    </row>
    <row r="2869" spans="1:4" ht="14.25">
      <c r="A2869" s="37">
        <v>3843</v>
      </c>
      <c r="B2869" s="37" t="s">
        <v>23638</v>
      </c>
      <c r="C2869" s="37" t="s">
        <v>2348</v>
      </c>
      <c r="D2869" s="37" t="s">
        <v>2351</v>
      </c>
    </row>
    <row r="2870" spans="1:4" ht="14.25">
      <c r="A2870" s="37">
        <v>3900</v>
      </c>
      <c r="B2870" s="37" t="s">
        <v>23639</v>
      </c>
      <c r="C2870" s="37" t="s">
        <v>2348</v>
      </c>
      <c r="D2870" s="37" t="s">
        <v>2349</v>
      </c>
    </row>
    <row r="2871" spans="1:4" ht="14.25">
      <c r="A2871" s="37">
        <v>3846</v>
      </c>
      <c r="B2871" s="37" t="s">
        <v>23640</v>
      </c>
      <c r="C2871" s="37" t="s">
        <v>2348</v>
      </c>
      <c r="D2871" s="37" t="s">
        <v>2349</v>
      </c>
    </row>
    <row r="2872" spans="1:4" ht="14.25">
      <c r="A2872" s="37">
        <v>3886</v>
      </c>
      <c r="B2872" s="37" t="s">
        <v>23641</v>
      </c>
      <c r="C2872" s="37" t="s">
        <v>2348</v>
      </c>
      <c r="D2872" s="37" t="s">
        <v>2349</v>
      </c>
    </row>
    <row r="2873" spans="1:4" ht="14.25">
      <c r="A2873" s="37">
        <v>3854</v>
      </c>
      <c r="B2873" s="37" t="s">
        <v>23642</v>
      </c>
      <c r="C2873" s="37" t="s">
        <v>2348</v>
      </c>
      <c r="D2873" s="37" t="s">
        <v>2349</v>
      </c>
    </row>
    <row r="2874" spans="1:4" ht="14.25">
      <c r="A2874" s="37">
        <v>3873</v>
      </c>
      <c r="B2874" s="37" t="s">
        <v>23643</v>
      </c>
      <c r="C2874" s="37" t="s">
        <v>2348</v>
      </c>
      <c r="D2874" s="37" t="s">
        <v>2349</v>
      </c>
    </row>
    <row r="2875" spans="1:4" ht="14.25">
      <c r="A2875" s="37">
        <v>38021</v>
      </c>
      <c r="B2875" s="37" t="s">
        <v>23644</v>
      </c>
      <c r="C2875" s="37" t="s">
        <v>2348</v>
      </c>
      <c r="D2875" s="37" t="s">
        <v>2349</v>
      </c>
    </row>
    <row r="2876" spans="1:4" ht="14.25">
      <c r="A2876" s="37">
        <v>3847</v>
      </c>
      <c r="B2876" s="37" t="s">
        <v>23645</v>
      </c>
      <c r="C2876" s="37" t="s">
        <v>2348</v>
      </c>
      <c r="D2876" s="37" t="s">
        <v>2349</v>
      </c>
    </row>
    <row r="2877" spans="1:4" ht="14.25">
      <c r="A2877" s="37">
        <v>38022</v>
      </c>
      <c r="B2877" s="37" t="s">
        <v>23646</v>
      </c>
      <c r="C2877" s="37" t="s">
        <v>2348</v>
      </c>
      <c r="D2877" s="37" t="s">
        <v>2349</v>
      </c>
    </row>
    <row r="2878" spans="1:4" ht="14.25">
      <c r="A2878" s="37">
        <v>3833</v>
      </c>
      <c r="B2878" s="37" t="s">
        <v>23647</v>
      </c>
      <c r="C2878" s="37" t="s">
        <v>2348</v>
      </c>
      <c r="D2878" s="37" t="s">
        <v>2351</v>
      </c>
    </row>
    <row r="2879" spans="1:4" ht="14.25">
      <c r="A2879" s="37">
        <v>3835</v>
      </c>
      <c r="B2879" s="37" t="s">
        <v>23648</v>
      </c>
      <c r="C2879" s="37" t="s">
        <v>2348</v>
      </c>
      <c r="D2879" s="37" t="s">
        <v>2351</v>
      </c>
    </row>
    <row r="2880" spans="1:4" ht="14.25">
      <c r="A2880" s="37">
        <v>3836</v>
      </c>
      <c r="B2880" s="37" t="s">
        <v>23649</v>
      </c>
      <c r="C2880" s="37" t="s">
        <v>2348</v>
      </c>
      <c r="D2880" s="37" t="s">
        <v>2351</v>
      </c>
    </row>
    <row r="2881" spans="1:4" ht="14.25">
      <c r="A2881" s="37">
        <v>3830</v>
      </c>
      <c r="B2881" s="37" t="s">
        <v>23650</v>
      </c>
      <c r="C2881" s="37" t="s">
        <v>2348</v>
      </c>
      <c r="D2881" s="37" t="s">
        <v>2351</v>
      </c>
    </row>
    <row r="2882" spans="1:4" ht="14.25">
      <c r="A2882" s="37">
        <v>3831</v>
      </c>
      <c r="B2882" s="37" t="s">
        <v>23651</v>
      </c>
      <c r="C2882" s="37" t="s">
        <v>2348</v>
      </c>
      <c r="D2882" s="37" t="s">
        <v>2351</v>
      </c>
    </row>
    <row r="2883" spans="1:4" ht="14.25">
      <c r="A2883" s="37">
        <v>37981</v>
      </c>
      <c r="B2883" s="37" t="s">
        <v>23652</v>
      </c>
      <c r="C2883" s="37" t="s">
        <v>2348</v>
      </c>
      <c r="D2883" s="37" t="s">
        <v>2349</v>
      </c>
    </row>
    <row r="2884" spans="1:4" ht="14.25">
      <c r="A2884" s="37">
        <v>37982</v>
      </c>
      <c r="B2884" s="37" t="s">
        <v>23653</v>
      </c>
      <c r="C2884" s="37" t="s">
        <v>2348</v>
      </c>
      <c r="D2884" s="37" t="s">
        <v>2349</v>
      </c>
    </row>
    <row r="2885" spans="1:4" ht="14.25">
      <c r="A2885" s="37">
        <v>37983</v>
      </c>
      <c r="B2885" s="37" t="s">
        <v>23654</v>
      </c>
      <c r="C2885" s="37" t="s">
        <v>2348</v>
      </c>
      <c r="D2885" s="37" t="s">
        <v>2349</v>
      </c>
    </row>
    <row r="2886" spans="1:4" ht="14.25">
      <c r="A2886" s="37">
        <v>37984</v>
      </c>
      <c r="B2886" s="37" t="s">
        <v>23655</v>
      </c>
      <c r="C2886" s="37" t="s">
        <v>2348</v>
      </c>
      <c r="D2886" s="37" t="s">
        <v>2349</v>
      </c>
    </row>
    <row r="2887" spans="1:4" ht="14.25">
      <c r="A2887" s="37">
        <v>37985</v>
      </c>
      <c r="B2887" s="37" t="s">
        <v>23656</v>
      </c>
      <c r="C2887" s="37" t="s">
        <v>2348</v>
      </c>
      <c r="D2887" s="37" t="s">
        <v>2349</v>
      </c>
    </row>
    <row r="2888" spans="1:4" ht="14.25">
      <c r="A2888" s="37">
        <v>3826</v>
      </c>
      <c r="B2888" s="37" t="s">
        <v>23657</v>
      </c>
      <c r="C2888" s="37" t="s">
        <v>2348</v>
      </c>
      <c r="D2888" s="37" t="s">
        <v>2351</v>
      </c>
    </row>
    <row r="2889" spans="1:4" ht="14.25">
      <c r="A2889" s="37">
        <v>3825</v>
      </c>
      <c r="B2889" s="37" t="s">
        <v>23658</v>
      </c>
      <c r="C2889" s="37" t="s">
        <v>2348</v>
      </c>
      <c r="D2889" s="37" t="s">
        <v>2351</v>
      </c>
    </row>
    <row r="2890" spans="1:4" ht="14.25">
      <c r="A2890" s="37">
        <v>3827</v>
      </c>
      <c r="B2890" s="37" t="s">
        <v>23659</v>
      </c>
      <c r="C2890" s="37" t="s">
        <v>2348</v>
      </c>
      <c r="D2890" s="37" t="s">
        <v>2351</v>
      </c>
    </row>
    <row r="2891" spans="1:4" ht="14.25">
      <c r="A2891" s="37">
        <v>20165</v>
      </c>
      <c r="B2891" s="37" t="s">
        <v>23660</v>
      </c>
      <c r="C2891" s="37" t="s">
        <v>2348</v>
      </c>
      <c r="D2891" s="37" t="s">
        <v>2349</v>
      </c>
    </row>
    <row r="2892" spans="1:4" ht="14.25">
      <c r="A2892" s="37">
        <v>20166</v>
      </c>
      <c r="B2892" s="37" t="s">
        <v>23661</v>
      </c>
      <c r="C2892" s="37" t="s">
        <v>2348</v>
      </c>
      <c r="D2892" s="37" t="s">
        <v>2349</v>
      </c>
    </row>
    <row r="2893" spans="1:4" ht="14.25">
      <c r="A2893" s="37">
        <v>20164</v>
      </c>
      <c r="B2893" s="37" t="s">
        <v>23662</v>
      </c>
      <c r="C2893" s="37" t="s">
        <v>2348</v>
      </c>
      <c r="D2893" s="37" t="s">
        <v>2349</v>
      </c>
    </row>
    <row r="2894" spans="1:4" ht="14.25">
      <c r="A2894" s="37">
        <v>3893</v>
      </c>
      <c r="B2894" s="37" t="s">
        <v>23663</v>
      </c>
      <c r="C2894" s="37" t="s">
        <v>2348</v>
      </c>
      <c r="D2894" s="37" t="s">
        <v>2349</v>
      </c>
    </row>
    <row r="2895" spans="1:4" ht="14.25">
      <c r="A2895" s="37">
        <v>3848</v>
      </c>
      <c r="B2895" s="37" t="s">
        <v>23664</v>
      </c>
      <c r="C2895" s="37" t="s">
        <v>2348</v>
      </c>
      <c r="D2895" s="37" t="s">
        <v>2349</v>
      </c>
    </row>
    <row r="2896" spans="1:4" ht="14.25">
      <c r="A2896" s="37">
        <v>3895</v>
      </c>
      <c r="B2896" s="37" t="s">
        <v>23665</v>
      </c>
      <c r="C2896" s="37" t="s">
        <v>2348</v>
      </c>
      <c r="D2896" s="37" t="s">
        <v>2349</v>
      </c>
    </row>
    <row r="2897" spans="1:4" ht="14.25">
      <c r="A2897" s="37">
        <v>12404</v>
      </c>
      <c r="B2897" s="37" t="s">
        <v>23666</v>
      </c>
      <c r="C2897" s="37" t="s">
        <v>2348</v>
      </c>
      <c r="D2897" s="37" t="s">
        <v>2351</v>
      </c>
    </row>
    <row r="2898" spans="1:4" ht="14.25">
      <c r="A2898" s="37">
        <v>3939</v>
      </c>
      <c r="B2898" s="37" t="s">
        <v>23667</v>
      </c>
      <c r="C2898" s="37" t="s">
        <v>2348</v>
      </c>
      <c r="D2898" s="37" t="s">
        <v>2351</v>
      </c>
    </row>
    <row r="2899" spans="1:4" ht="14.25">
      <c r="A2899" s="37">
        <v>3911</v>
      </c>
      <c r="B2899" s="37" t="s">
        <v>23668</v>
      </c>
      <c r="C2899" s="37" t="s">
        <v>2348</v>
      </c>
      <c r="D2899" s="37" t="s">
        <v>2351</v>
      </c>
    </row>
    <row r="2900" spans="1:4" ht="14.25">
      <c r="A2900" s="37">
        <v>3908</v>
      </c>
      <c r="B2900" s="37" t="s">
        <v>23669</v>
      </c>
      <c r="C2900" s="37" t="s">
        <v>2348</v>
      </c>
      <c r="D2900" s="37" t="s">
        <v>2351</v>
      </c>
    </row>
    <row r="2901" spans="1:4" ht="14.25">
      <c r="A2901" s="37">
        <v>3910</v>
      </c>
      <c r="B2901" s="37" t="s">
        <v>23670</v>
      </c>
      <c r="C2901" s="37" t="s">
        <v>2348</v>
      </c>
      <c r="D2901" s="37" t="s">
        <v>2351</v>
      </c>
    </row>
    <row r="2902" spans="1:4" ht="14.25">
      <c r="A2902" s="37">
        <v>3913</v>
      </c>
      <c r="B2902" s="37" t="s">
        <v>23671</v>
      </c>
      <c r="C2902" s="37" t="s">
        <v>2348</v>
      </c>
      <c r="D2902" s="37" t="s">
        <v>2351</v>
      </c>
    </row>
    <row r="2903" spans="1:4" ht="14.25">
      <c r="A2903" s="37">
        <v>3912</v>
      </c>
      <c r="B2903" s="37" t="s">
        <v>23672</v>
      </c>
      <c r="C2903" s="37" t="s">
        <v>2348</v>
      </c>
      <c r="D2903" s="37" t="s">
        <v>2351</v>
      </c>
    </row>
    <row r="2904" spans="1:4" ht="14.25">
      <c r="A2904" s="37">
        <v>3909</v>
      </c>
      <c r="B2904" s="37" t="s">
        <v>23673</v>
      </c>
      <c r="C2904" s="37" t="s">
        <v>2348</v>
      </c>
      <c r="D2904" s="37" t="s">
        <v>2351</v>
      </c>
    </row>
    <row r="2905" spans="1:4" ht="14.25">
      <c r="A2905" s="37">
        <v>3914</v>
      </c>
      <c r="B2905" s="37" t="s">
        <v>23674</v>
      </c>
      <c r="C2905" s="37" t="s">
        <v>2348</v>
      </c>
      <c r="D2905" s="37" t="s">
        <v>2351</v>
      </c>
    </row>
    <row r="2906" spans="1:4" ht="14.25">
      <c r="A2906" s="37">
        <v>3915</v>
      </c>
      <c r="B2906" s="37" t="s">
        <v>23675</v>
      </c>
      <c r="C2906" s="37" t="s">
        <v>2348</v>
      </c>
      <c r="D2906" s="37" t="s">
        <v>2351</v>
      </c>
    </row>
    <row r="2907" spans="1:4" ht="14.25">
      <c r="A2907" s="37">
        <v>3916</v>
      </c>
      <c r="B2907" s="37" t="s">
        <v>23676</v>
      </c>
      <c r="C2907" s="37" t="s">
        <v>2348</v>
      </c>
      <c r="D2907" s="37" t="s">
        <v>2351</v>
      </c>
    </row>
    <row r="2908" spans="1:4" ht="14.25">
      <c r="A2908" s="37">
        <v>3917</v>
      </c>
      <c r="B2908" s="37" t="s">
        <v>23677</v>
      </c>
      <c r="C2908" s="37" t="s">
        <v>2348</v>
      </c>
      <c r="D2908" s="37" t="s">
        <v>2351</v>
      </c>
    </row>
    <row r="2909" spans="1:4" ht="14.25">
      <c r="A2909" s="37">
        <v>1904</v>
      </c>
      <c r="B2909" s="37" t="s">
        <v>23678</v>
      </c>
      <c r="C2909" s="37" t="s">
        <v>2348</v>
      </c>
      <c r="D2909" s="37" t="s">
        <v>2349</v>
      </c>
    </row>
    <row r="2910" spans="1:4" ht="14.25">
      <c r="A2910" s="37">
        <v>1899</v>
      </c>
      <c r="B2910" s="37" t="s">
        <v>23679</v>
      </c>
      <c r="C2910" s="37" t="s">
        <v>2348</v>
      </c>
      <c r="D2910" s="37" t="s">
        <v>2349</v>
      </c>
    </row>
    <row r="2911" spans="1:4" ht="14.25">
      <c r="A2911" s="37">
        <v>1900</v>
      </c>
      <c r="B2911" s="37" t="s">
        <v>23680</v>
      </c>
      <c r="C2911" s="37" t="s">
        <v>2348</v>
      </c>
      <c r="D2911" s="37" t="s">
        <v>2349</v>
      </c>
    </row>
    <row r="2912" spans="1:4" ht="14.25">
      <c r="A2912" s="37">
        <v>12407</v>
      </c>
      <c r="B2912" s="37" t="s">
        <v>23681</v>
      </c>
      <c r="C2912" s="37" t="s">
        <v>2348</v>
      </c>
      <c r="D2912" s="37" t="s">
        <v>2351</v>
      </c>
    </row>
    <row r="2913" spans="1:4" ht="14.25">
      <c r="A2913" s="37">
        <v>12408</v>
      </c>
      <c r="B2913" s="37" t="s">
        <v>23682</v>
      </c>
      <c r="C2913" s="37" t="s">
        <v>2348</v>
      </c>
      <c r="D2913" s="37" t="s">
        <v>2351</v>
      </c>
    </row>
    <row r="2914" spans="1:4" ht="14.25">
      <c r="A2914" s="37">
        <v>12409</v>
      </c>
      <c r="B2914" s="37" t="s">
        <v>23683</v>
      </c>
      <c r="C2914" s="37" t="s">
        <v>2348</v>
      </c>
      <c r="D2914" s="37" t="s">
        <v>2351</v>
      </c>
    </row>
    <row r="2915" spans="1:4" ht="14.25">
      <c r="A2915" s="37">
        <v>12410</v>
      </c>
      <c r="B2915" s="37" t="s">
        <v>23684</v>
      </c>
      <c r="C2915" s="37" t="s">
        <v>2348</v>
      </c>
      <c r="D2915" s="37" t="s">
        <v>2351</v>
      </c>
    </row>
    <row r="2916" spans="1:4" ht="14.25">
      <c r="A2916" s="37">
        <v>3936</v>
      </c>
      <c r="B2916" s="37" t="s">
        <v>23685</v>
      </c>
      <c r="C2916" s="37" t="s">
        <v>2348</v>
      </c>
      <c r="D2916" s="37" t="s">
        <v>2351</v>
      </c>
    </row>
    <row r="2917" spans="1:4" ht="14.25">
      <c r="A2917" s="37">
        <v>3922</v>
      </c>
      <c r="B2917" s="37" t="s">
        <v>23686</v>
      </c>
      <c r="C2917" s="37" t="s">
        <v>2348</v>
      </c>
      <c r="D2917" s="37" t="s">
        <v>2351</v>
      </c>
    </row>
    <row r="2918" spans="1:4" ht="14.25">
      <c r="A2918" s="37">
        <v>3924</v>
      </c>
      <c r="B2918" s="37" t="s">
        <v>23687</v>
      </c>
      <c r="C2918" s="37" t="s">
        <v>2348</v>
      </c>
      <c r="D2918" s="37" t="s">
        <v>2351</v>
      </c>
    </row>
    <row r="2919" spans="1:4" ht="14.25">
      <c r="A2919" s="37">
        <v>3923</v>
      </c>
      <c r="B2919" s="37" t="s">
        <v>23688</v>
      </c>
      <c r="C2919" s="37" t="s">
        <v>2348</v>
      </c>
      <c r="D2919" s="37" t="s">
        <v>2351</v>
      </c>
    </row>
    <row r="2920" spans="1:4" ht="14.25">
      <c r="A2920" s="37">
        <v>3937</v>
      </c>
      <c r="B2920" s="37" t="s">
        <v>23689</v>
      </c>
      <c r="C2920" s="37" t="s">
        <v>2348</v>
      </c>
      <c r="D2920" s="37" t="s">
        <v>2351</v>
      </c>
    </row>
    <row r="2921" spans="1:4" ht="14.25">
      <c r="A2921" s="37">
        <v>3921</v>
      </c>
      <c r="B2921" s="37" t="s">
        <v>23690</v>
      </c>
      <c r="C2921" s="37" t="s">
        <v>2348</v>
      </c>
      <c r="D2921" s="37" t="s">
        <v>2351</v>
      </c>
    </row>
    <row r="2922" spans="1:4" ht="14.25">
      <c r="A2922" s="37">
        <v>3920</v>
      </c>
      <c r="B2922" s="37" t="s">
        <v>23691</v>
      </c>
      <c r="C2922" s="37" t="s">
        <v>2348</v>
      </c>
      <c r="D2922" s="37" t="s">
        <v>2351</v>
      </c>
    </row>
    <row r="2923" spans="1:4" ht="14.25">
      <c r="A2923" s="37">
        <v>3938</v>
      </c>
      <c r="B2923" s="37" t="s">
        <v>23692</v>
      </c>
      <c r="C2923" s="37" t="s">
        <v>2348</v>
      </c>
      <c r="D2923" s="37" t="s">
        <v>2351</v>
      </c>
    </row>
    <row r="2924" spans="1:4" ht="14.25">
      <c r="A2924" s="37">
        <v>3919</v>
      </c>
      <c r="B2924" s="37" t="s">
        <v>23693</v>
      </c>
      <c r="C2924" s="37" t="s">
        <v>2348</v>
      </c>
      <c r="D2924" s="37" t="s">
        <v>2351</v>
      </c>
    </row>
    <row r="2925" spans="1:4" ht="14.25">
      <c r="A2925" s="37">
        <v>3927</v>
      </c>
      <c r="B2925" s="37" t="s">
        <v>23694</v>
      </c>
      <c r="C2925" s="37" t="s">
        <v>2348</v>
      </c>
      <c r="D2925" s="37" t="s">
        <v>2351</v>
      </c>
    </row>
    <row r="2926" spans="1:4" ht="14.25">
      <c r="A2926" s="37">
        <v>3928</v>
      </c>
      <c r="B2926" s="37" t="s">
        <v>23695</v>
      </c>
      <c r="C2926" s="37" t="s">
        <v>2348</v>
      </c>
      <c r="D2926" s="37" t="s">
        <v>2351</v>
      </c>
    </row>
    <row r="2927" spans="1:4" ht="14.25">
      <c r="A2927" s="37">
        <v>3926</v>
      </c>
      <c r="B2927" s="37" t="s">
        <v>23696</v>
      </c>
      <c r="C2927" s="37" t="s">
        <v>2348</v>
      </c>
      <c r="D2927" s="37" t="s">
        <v>2351</v>
      </c>
    </row>
    <row r="2928" spans="1:4" ht="14.25">
      <c r="A2928" s="37">
        <v>3935</v>
      </c>
      <c r="B2928" s="37" t="s">
        <v>23697</v>
      </c>
      <c r="C2928" s="37" t="s">
        <v>2348</v>
      </c>
      <c r="D2928" s="37" t="s">
        <v>2351</v>
      </c>
    </row>
    <row r="2929" spans="1:4" ht="14.25">
      <c r="A2929" s="37">
        <v>3925</v>
      </c>
      <c r="B2929" s="37" t="s">
        <v>23698</v>
      </c>
      <c r="C2929" s="37" t="s">
        <v>2348</v>
      </c>
      <c r="D2929" s="37" t="s">
        <v>2351</v>
      </c>
    </row>
    <row r="2930" spans="1:4" ht="14.25">
      <c r="A2930" s="37">
        <v>12406</v>
      </c>
      <c r="B2930" s="37" t="s">
        <v>23699</v>
      </c>
      <c r="C2930" s="37" t="s">
        <v>2348</v>
      </c>
      <c r="D2930" s="37" t="s">
        <v>2351</v>
      </c>
    </row>
    <row r="2931" spans="1:4" ht="14.25">
      <c r="A2931" s="37">
        <v>3929</v>
      </c>
      <c r="B2931" s="37" t="s">
        <v>23700</v>
      </c>
      <c r="C2931" s="37" t="s">
        <v>2348</v>
      </c>
      <c r="D2931" s="37" t="s">
        <v>2351</v>
      </c>
    </row>
    <row r="2932" spans="1:4" ht="14.25">
      <c r="A2932" s="37">
        <v>3931</v>
      </c>
      <c r="B2932" s="37" t="s">
        <v>23701</v>
      </c>
      <c r="C2932" s="37" t="s">
        <v>2348</v>
      </c>
      <c r="D2932" s="37" t="s">
        <v>2351</v>
      </c>
    </row>
    <row r="2933" spans="1:4" ht="14.25">
      <c r="A2933" s="37">
        <v>3930</v>
      </c>
      <c r="B2933" s="37" t="s">
        <v>23702</v>
      </c>
      <c r="C2933" s="37" t="s">
        <v>2348</v>
      </c>
      <c r="D2933" s="37" t="s">
        <v>2351</v>
      </c>
    </row>
    <row r="2934" spans="1:4" ht="14.25">
      <c r="A2934" s="37">
        <v>3932</v>
      </c>
      <c r="B2934" s="37" t="s">
        <v>23703</v>
      </c>
      <c r="C2934" s="37" t="s">
        <v>2348</v>
      </c>
      <c r="D2934" s="37" t="s">
        <v>2351</v>
      </c>
    </row>
    <row r="2935" spans="1:4" ht="14.25">
      <c r="A2935" s="37">
        <v>3933</v>
      </c>
      <c r="B2935" s="37" t="s">
        <v>23704</v>
      </c>
      <c r="C2935" s="37" t="s">
        <v>2348</v>
      </c>
      <c r="D2935" s="37" t="s">
        <v>2351</v>
      </c>
    </row>
    <row r="2936" spans="1:4" ht="14.25">
      <c r="A2936" s="37">
        <v>3934</v>
      </c>
      <c r="B2936" s="37" t="s">
        <v>23705</v>
      </c>
      <c r="C2936" s="37" t="s">
        <v>2348</v>
      </c>
      <c r="D2936" s="37" t="s">
        <v>2351</v>
      </c>
    </row>
    <row r="2937" spans="1:4" ht="14.25">
      <c r="A2937" s="37">
        <v>40355</v>
      </c>
      <c r="B2937" s="37" t="s">
        <v>23706</v>
      </c>
      <c r="C2937" s="37" t="s">
        <v>2348</v>
      </c>
      <c r="D2937" s="37" t="s">
        <v>2349</v>
      </c>
    </row>
    <row r="2938" spans="1:4" ht="14.25">
      <c r="A2938" s="37">
        <v>40364</v>
      </c>
      <c r="B2938" s="37" t="s">
        <v>23707</v>
      </c>
      <c r="C2938" s="37" t="s">
        <v>2348</v>
      </c>
      <c r="D2938" s="37" t="s">
        <v>2349</v>
      </c>
    </row>
    <row r="2939" spans="1:4" ht="14.25">
      <c r="A2939" s="37">
        <v>40361</v>
      </c>
      <c r="B2939" s="37" t="s">
        <v>23708</v>
      </c>
      <c r="C2939" s="37" t="s">
        <v>2348</v>
      </c>
      <c r="D2939" s="37" t="s">
        <v>2349</v>
      </c>
    </row>
    <row r="2940" spans="1:4" ht="14.25">
      <c r="A2940" s="37">
        <v>40358</v>
      </c>
      <c r="B2940" s="37" t="s">
        <v>23709</v>
      </c>
      <c r="C2940" s="37" t="s">
        <v>2348</v>
      </c>
      <c r="D2940" s="37" t="s">
        <v>2349</v>
      </c>
    </row>
    <row r="2941" spans="1:4" ht="14.25">
      <c r="A2941" s="37">
        <v>40370</v>
      </c>
      <c r="B2941" s="37" t="s">
        <v>23710</v>
      </c>
      <c r="C2941" s="37" t="s">
        <v>2348</v>
      </c>
      <c r="D2941" s="37" t="s">
        <v>2349</v>
      </c>
    </row>
    <row r="2942" spans="1:4" ht="14.25">
      <c r="A2942" s="37">
        <v>40367</v>
      </c>
      <c r="B2942" s="37" t="s">
        <v>23711</v>
      </c>
      <c r="C2942" s="37" t="s">
        <v>2348</v>
      </c>
      <c r="D2942" s="37" t="s">
        <v>2349</v>
      </c>
    </row>
    <row r="2943" spans="1:4" ht="14.25">
      <c r="A2943" s="37">
        <v>40373</v>
      </c>
      <c r="B2943" s="37" t="s">
        <v>23712</v>
      </c>
      <c r="C2943" s="37" t="s">
        <v>2348</v>
      </c>
      <c r="D2943" s="37" t="s">
        <v>2349</v>
      </c>
    </row>
    <row r="2944" spans="1:4" ht="14.25">
      <c r="A2944" s="37">
        <v>38947</v>
      </c>
      <c r="B2944" s="37" t="s">
        <v>23713</v>
      </c>
      <c r="C2944" s="37" t="s">
        <v>2348</v>
      </c>
      <c r="D2944" s="37" t="s">
        <v>2351</v>
      </c>
    </row>
    <row r="2945" spans="1:4" ht="14.25">
      <c r="A2945" s="37">
        <v>38948</v>
      </c>
      <c r="B2945" s="37" t="s">
        <v>23714</v>
      </c>
      <c r="C2945" s="37" t="s">
        <v>2348</v>
      </c>
      <c r="D2945" s="37" t="s">
        <v>2351</v>
      </c>
    </row>
    <row r="2946" spans="1:4" ht="14.25">
      <c r="A2946" s="37">
        <v>38949</v>
      </c>
      <c r="B2946" s="37" t="s">
        <v>23715</v>
      </c>
      <c r="C2946" s="37" t="s">
        <v>2348</v>
      </c>
      <c r="D2946" s="37" t="s">
        <v>2351</v>
      </c>
    </row>
    <row r="2947" spans="1:4" ht="14.25">
      <c r="A2947" s="37">
        <v>38951</v>
      </c>
      <c r="B2947" s="37" t="s">
        <v>23716</v>
      </c>
      <c r="C2947" s="37" t="s">
        <v>2348</v>
      </c>
      <c r="D2947" s="37" t="s">
        <v>2351</v>
      </c>
    </row>
    <row r="2948" spans="1:4" ht="14.25">
      <c r="A2948" s="37">
        <v>39312</v>
      </c>
      <c r="B2948" s="37" t="s">
        <v>23717</v>
      </c>
      <c r="C2948" s="37" t="s">
        <v>2348</v>
      </c>
      <c r="D2948" s="37" t="s">
        <v>2351</v>
      </c>
    </row>
    <row r="2949" spans="1:4" ht="14.25">
      <c r="A2949" s="37">
        <v>39313</v>
      </c>
      <c r="B2949" s="37" t="s">
        <v>23718</v>
      </c>
      <c r="C2949" s="37" t="s">
        <v>2348</v>
      </c>
      <c r="D2949" s="37" t="s">
        <v>2351</v>
      </c>
    </row>
    <row r="2950" spans="1:4" ht="14.25">
      <c r="A2950" s="37">
        <v>38950</v>
      </c>
      <c r="B2950" s="37" t="s">
        <v>23719</v>
      </c>
      <c r="C2950" s="37" t="s">
        <v>2348</v>
      </c>
      <c r="D2950" s="37" t="s">
        <v>2351</v>
      </c>
    </row>
    <row r="2951" spans="1:4" ht="14.25">
      <c r="A2951" s="37">
        <v>39314</v>
      </c>
      <c r="B2951" s="37" t="s">
        <v>23720</v>
      </c>
      <c r="C2951" s="37" t="s">
        <v>2348</v>
      </c>
      <c r="D2951" s="37" t="s">
        <v>2351</v>
      </c>
    </row>
    <row r="2952" spans="1:4" ht="14.25">
      <c r="A2952" s="37">
        <v>3907</v>
      </c>
      <c r="B2952" s="37" t="s">
        <v>23721</v>
      </c>
      <c r="C2952" s="37" t="s">
        <v>2348</v>
      </c>
      <c r="D2952" s="37" t="s">
        <v>2349</v>
      </c>
    </row>
    <row r="2953" spans="1:4" ht="14.25">
      <c r="A2953" s="37">
        <v>3889</v>
      </c>
      <c r="B2953" s="37" t="s">
        <v>23722</v>
      </c>
      <c r="C2953" s="37" t="s">
        <v>2348</v>
      </c>
      <c r="D2953" s="37" t="s">
        <v>2349</v>
      </c>
    </row>
    <row r="2954" spans="1:4" ht="14.25">
      <c r="A2954" s="37">
        <v>3868</v>
      </c>
      <c r="B2954" s="37" t="s">
        <v>23723</v>
      </c>
      <c r="C2954" s="37" t="s">
        <v>2348</v>
      </c>
      <c r="D2954" s="37" t="s">
        <v>2349</v>
      </c>
    </row>
    <row r="2955" spans="1:4" ht="14.25">
      <c r="A2955" s="37">
        <v>3869</v>
      </c>
      <c r="B2955" s="37" t="s">
        <v>23724</v>
      </c>
      <c r="C2955" s="37" t="s">
        <v>2348</v>
      </c>
      <c r="D2955" s="37" t="s">
        <v>2349</v>
      </c>
    </row>
    <row r="2956" spans="1:4" ht="14.25">
      <c r="A2956" s="37">
        <v>3872</v>
      </c>
      <c r="B2956" s="37" t="s">
        <v>23725</v>
      </c>
      <c r="C2956" s="37" t="s">
        <v>2348</v>
      </c>
      <c r="D2956" s="37" t="s">
        <v>2349</v>
      </c>
    </row>
    <row r="2957" spans="1:4" ht="14.25">
      <c r="A2957" s="37">
        <v>3850</v>
      </c>
      <c r="B2957" s="37" t="s">
        <v>23726</v>
      </c>
      <c r="C2957" s="37" t="s">
        <v>2348</v>
      </c>
      <c r="D2957" s="37" t="s">
        <v>2349</v>
      </c>
    </row>
    <row r="2958" spans="1:4" ht="14.25">
      <c r="A2958" s="37">
        <v>38023</v>
      </c>
      <c r="B2958" s="37" t="s">
        <v>23727</v>
      </c>
      <c r="C2958" s="37" t="s">
        <v>2348</v>
      </c>
      <c r="D2958" s="37" t="s">
        <v>2349</v>
      </c>
    </row>
    <row r="2959" spans="1:4" ht="14.25">
      <c r="A2959" s="37">
        <v>37986</v>
      </c>
      <c r="B2959" s="37" t="s">
        <v>23728</v>
      </c>
      <c r="C2959" s="37" t="s">
        <v>2348</v>
      </c>
      <c r="D2959" s="37" t="s">
        <v>2349</v>
      </c>
    </row>
    <row r="2960" spans="1:4" ht="14.25">
      <c r="A2960" s="37">
        <v>37987</v>
      </c>
      <c r="B2960" s="37" t="s">
        <v>23729</v>
      </c>
      <c r="C2960" s="37" t="s">
        <v>2348</v>
      </c>
      <c r="D2960" s="37" t="s">
        <v>2349</v>
      </c>
    </row>
    <row r="2961" spans="1:4" ht="14.25">
      <c r="A2961" s="37">
        <v>37988</v>
      </c>
      <c r="B2961" s="37" t="s">
        <v>23730</v>
      </c>
      <c r="C2961" s="37" t="s">
        <v>2348</v>
      </c>
      <c r="D2961" s="37" t="s">
        <v>2349</v>
      </c>
    </row>
    <row r="2962" spans="1:4" ht="14.25">
      <c r="A2962" s="37">
        <v>21120</v>
      </c>
      <c r="B2962" s="37" t="s">
        <v>23731</v>
      </c>
      <c r="C2962" s="37" t="s">
        <v>2348</v>
      </c>
      <c r="D2962" s="37" t="s">
        <v>2349</v>
      </c>
    </row>
    <row r="2963" spans="1:4" ht="14.25">
      <c r="A2963" s="37">
        <v>39318</v>
      </c>
      <c r="B2963" s="37" t="s">
        <v>23732</v>
      </c>
      <c r="C2963" s="37" t="s">
        <v>2348</v>
      </c>
      <c r="D2963" s="37" t="s">
        <v>2349</v>
      </c>
    </row>
    <row r="2964" spans="1:4" ht="14.25">
      <c r="A2964" s="37">
        <v>20162</v>
      </c>
      <c r="B2964" s="37" t="s">
        <v>23733</v>
      </c>
      <c r="C2964" s="37" t="s">
        <v>2348</v>
      </c>
      <c r="D2964" s="37" t="s">
        <v>2349</v>
      </c>
    </row>
    <row r="2965" spans="1:4" ht="14.25">
      <c r="A2965" s="37">
        <v>40366</v>
      </c>
      <c r="B2965" s="37" t="s">
        <v>23734</v>
      </c>
      <c r="C2965" s="37" t="s">
        <v>2348</v>
      </c>
      <c r="D2965" s="37" t="s">
        <v>2349</v>
      </c>
    </row>
    <row r="2966" spans="1:4" ht="14.25">
      <c r="A2966" s="37">
        <v>40363</v>
      </c>
      <c r="B2966" s="37" t="s">
        <v>23735</v>
      </c>
      <c r="C2966" s="37" t="s">
        <v>2348</v>
      </c>
      <c r="D2966" s="37" t="s">
        <v>2349</v>
      </c>
    </row>
    <row r="2967" spans="1:4" ht="14.25">
      <c r="A2967" s="37">
        <v>40354</v>
      </c>
      <c r="B2967" s="37" t="s">
        <v>23736</v>
      </c>
      <c r="C2967" s="37" t="s">
        <v>2348</v>
      </c>
      <c r="D2967" s="37" t="s">
        <v>2353</v>
      </c>
    </row>
    <row r="2968" spans="1:4" ht="14.25">
      <c r="A2968" s="37">
        <v>40360</v>
      </c>
      <c r="B2968" s="37" t="s">
        <v>23737</v>
      </c>
      <c r="C2968" s="37" t="s">
        <v>2348</v>
      </c>
      <c r="D2968" s="37" t="s">
        <v>2349</v>
      </c>
    </row>
    <row r="2969" spans="1:4" ht="14.25">
      <c r="A2969" s="37">
        <v>40372</v>
      </c>
      <c r="B2969" s="37" t="s">
        <v>23738</v>
      </c>
      <c r="C2969" s="37" t="s">
        <v>2348</v>
      </c>
      <c r="D2969" s="37" t="s">
        <v>2349</v>
      </c>
    </row>
    <row r="2970" spans="1:4" ht="14.25">
      <c r="A2970" s="37">
        <v>40369</v>
      </c>
      <c r="B2970" s="37" t="s">
        <v>23739</v>
      </c>
      <c r="C2970" s="37" t="s">
        <v>2348</v>
      </c>
      <c r="D2970" s="37" t="s">
        <v>2349</v>
      </c>
    </row>
    <row r="2971" spans="1:4" ht="14.25">
      <c r="A2971" s="37">
        <v>40357</v>
      </c>
      <c r="B2971" s="37" t="s">
        <v>23740</v>
      </c>
      <c r="C2971" s="37" t="s">
        <v>2348</v>
      </c>
      <c r="D2971" s="37" t="s">
        <v>2349</v>
      </c>
    </row>
    <row r="2972" spans="1:4" ht="14.25">
      <c r="A2972" s="37">
        <v>40375</v>
      </c>
      <c r="B2972" s="37" t="s">
        <v>23741</v>
      </c>
      <c r="C2972" s="37" t="s">
        <v>2348</v>
      </c>
      <c r="D2972" s="37" t="s">
        <v>2349</v>
      </c>
    </row>
    <row r="2973" spans="1:4" ht="14.25">
      <c r="A2973" s="37">
        <v>1893</v>
      </c>
      <c r="B2973" s="37" t="s">
        <v>23742</v>
      </c>
      <c r="C2973" s="37" t="s">
        <v>2348</v>
      </c>
      <c r="D2973" s="37" t="s">
        <v>2349</v>
      </c>
    </row>
    <row r="2974" spans="1:4" ht="14.25">
      <c r="A2974" s="37">
        <v>1902</v>
      </c>
      <c r="B2974" s="37" t="s">
        <v>23743</v>
      </c>
      <c r="C2974" s="37" t="s">
        <v>2348</v>
      </c>
      <c r="D2974" s="37" t="s">
        <v>2349</v>
      </c>
    </row>
    <row r="2975" spans="1:4" ht="14.25">
      <c r="A2975" s="37">
        <v>1901</v>
      </c>
      <c r="B2975" s="37" t="s">
        <v>23744</v>
      </c>
      <c r="C2975" s="37" t="s">
        <v>2348</v>
      </c>
      <c r="D2975" s="37" t="s">
        <v>2349</v>
      </c>
    </row>
    <row r="2976" spans="1:4" ht="14.25">
      <c r="A2976" s="37">
        <v>1892</v>
      </c>
      <c r="B2976" s="37" t="s">
        <v>23745</v>
      </c>
      <c r="C2976" s="37" t="s">
        <v>2348</v>
      </c>
      <c r="D2976" s="37" t="s">
        <v>2349</v>
      </c>
    </row>
    <row r="2977" spans="1:4" ht="14.25">
      <c r="A2977" s="37">
        <v>1907</v>
      </c>
      <c r="B2977" s="37" t="s">
        <v>23746</v>
      </c>
      <c r="C2977" s="37" t="s">
        <v>2348</v>
      </c>
      <c r="D2977" s="37" t="s">
        <v>2349</v>
      </c>
    </row>
    <row r="2978" spans="1:4" ht="14.25">
      <c r="A2978" s="37">
        <v>1894</v>
      </c>
      <c r="B2978" s="37" t="s">
        <v>23747</v>
      </c>
      <c r="C2978" s="37" t="s">
        <v>2348</v>
      </c>
      <c r="D2978" s="37" t="s">
        <v>2349</v>
      </c>
    </row>
    <row r="2979" spans="1:4" ht="14.25">
      <c r="A2979" s="37">
        <v>1891</v>
      </c>
      <c r="B2979" s="37" t="s">
        <v>23748</v>
      </c>
      <c r="C2979" s="37" t="s">
        <v>2348</v>
      </c>
      <c r="D2979" s="37" t="s">
        <v>2349</v>
      </c>
    </row>
    <row r="2980" spans="1:4" ht="14.25">
      <c r="A2980" s="37">
        <v>1896</v>
      </c>
      <c r="B2980" s="37" t="s">
        <v>23749</v>
      </c>
      <c r="C2980" s="37" t="s">
        <v>2348</v>
      </c>
      <c r="D2980" s="37" t="s">
        <v>2349</v>
      </c>
    </row>
    <row r="2981" spans="1:4" ht="14.25">
      <c r="A2981" s="37">
        <v>1895</v>
      </c>
      <c r="B2981" s="37" t="s">
        <v>23750</v>
      </c>
      <c r="C2981" s="37" t="s">
        <v>2348</v>
      </c>
      <c r="D2981" s="37" t="s">
        <v>2349</v>
      </c>
    </row>
    <row r="2982" spans="1:4" ht="14.25">
      <c r="A2982" s="37">
        <v>2641</v>
      </c>
      <c r="B2982" s="37" t="s">
        <v>23751</v>
      </c>
      <c r="C2982" s="37" t="s">
        <v>2348</v>
      </c>
      <c r="D2982" s="37" t="s">
        <v>2351</v>
      </c>
    </row>
    <row r="2983" spans="1:4" ht="14.25">
      <c r="A2983" s="37">
        <v>2636</v>
      </c>
      <c r="B2983" s="37" t="s">
        <v>23752</v>
      </c>
      <c r="C2983" s="37" t="s">
        <v>2348</v>
      </c>
      <c r="D2983" s="37" t="s">
        <v>2351</v>
      </c>
    </row>
    <row r="2984" spans="1:4" ht="14.25">
      <c r="A2984" s="37">
        <v>2637</v>
      </c>
      <c r="B2984" s="37" t="s">
        <v>23753</v>
      </c>
      <c r="C2984" s="37" t="s">
        <v>2348</v>
      </c>
      <c r="D2984" s="37" t="s">
        <v>2351</v>
      </c>
    </row>
    <row r="2985" spans="1:4" ht="14.25">
      <c r="A2985" s="37">
        <v>2638</v>
      </c>
      <c r="B2985" s="37" t="s">
        <v>23754</v>
      </c>
      <c r="C2985" s="37" t="s">
        <v>2348</v>
      </c>
      <c r="D2985" s="37" t="s">
        <v>2351</v>
      </c>
    </row>
    <row r="2986" spans="1:4" ht="14.25">
      <c r="A2986" s="37">
        <v>2639</v>
      </c>
      <c r="B2986" s="37" t="s">
        <v>23755</v>
      </c>
      <c r="C2986" s="37" t="s">
        <v>2348</v>
      </c>
      <c r="D2986" s="37" t="s">
        <v>2351</v>
      </c>
    </row>
    <row r="2987" spans="1:4" ht="14.25">
      <c r="A2987" s="37">
        <v>2644</v>
      </c>
      <c r="B2987" s="37" t="s">
        <v>23756</v>
      </c>
      <c r="C2987" s="37" t="s">
        <v>2348</v>
      </c>
      <c r="D2987" s="37" t="s">
        <v>2351</v>
      </c>
    </row>
    <row r="2988" spans="1:4" ht="14.25">
      <c r="A2988" s="37">
        <v>2643</v>
      </c>
      <c r="B2988" s="37" t="s">
        <v>23757</v>
      </c>
      <c r="C2988" s="37" t="s">
        <v>2348</v>
      </c>
      <c r="D2988" s="37" t="s">
        <v>2351</v>
      </c>
    </row>
    <row r="2989" spans="1:4" ht="14.25">
      <c r="A2989" s="37">
        <v>2640</v>
      </c>
      <c r="B2989" s="37" t="s">
        <v>23758</v>
      </c>
      <c r="C2989" s="37" t="s">
        <v>2348</v>
      </c>
      <c r="D2989" s="37" t="s">
        <v>2351</v>
      </c>
    </row>
    <row r="2990" spans="1:4" ht="14.25">
      <c r="A2990" s="37">
        <v>2642</v>
      </c>
      <c r="B2990" s="37" t="s">
        <v>23759</v>
      </c>
      <c r="C2990" s="37" t="s">
        <v>2348</v>
      </c>
      <c r="D2990" s="37" t="s">
        <v>2351</v>
      </c>
    </row>
    <row r="2991" spans="1:4" ht="14.25">
      <c r="A2991" s="37">
        <v>38943</v>
      </c>
      <c r="B2991" s="37" t="s">
        <v>23760</v>
      </c>
      <c r="C2991" s="37" t="s">
        <v>2348</v>
      </c>
      <c r="D2991" s="37" t="s">
        <v>2351</v>
      </c>
    </row>
    <row r="2992" spans="1:4" ht="14.25">
      <c r="A2992" s="37">
        <v>38944</v>
      </c>
      <c r="B2992" s="37" t="s">
        <v>23761</v>
      </c>
      <c r="C2992" s="37" t="s">
        <v>2348</v>
      </c>
      <c r="D2992" s="37" t="s">
        <v>2351</v>
      </c>
    </row>
    <row r="2993" spans="1:4" ht="14.25">
      <c r="A2993" s="37">
        <v>38945</v>
      </c>
      <c r="B2993" s="37" t="s">
        <v>23762</v>
      </c>
      <c r="C2993" s="37" t="s">
        <v>2348</v>
      </c>
      <c r="D2993" s="37" t="s">
        <v>2351</v>
      </c>
    </row>
    <row r="2994" spans="1:4" ht="14.25">
      <c r="A2994" s="37">
        <v>38946</v>
      </c>
      <c r="B2994" s="37" t="s">
        <v>23763</v>
      </c>
      <c r="C2994" s="37" t="s">
        <v>2348</v>
      </c>
      <c r="D2994" s="37" t="s">
        <v>2351</v>
      </c>
    </row>
    <row r="2995" spans="1:4" ht="14.25">
      <c r="A2995" s="37">
        <v>39308</v>
      </c>
      <c r="B2995" s="37" t="s">
        <v>23764</v>
      </c>
      <c r="C2995" s="37" t="s">
        <v>2348</v>
      </c>
      <c r="D2995" s="37" t="s">
        <v>2351</v>
      </c>
    </row>
    <row r="2996" spans="1:4" ht="14.25">
      <c r="A2996" s="37">
        <v>39309</v>
      </c>
      <c r="B2996" s="37" t="s">
        <v>23765</v>
      </c>
      <c r="C2996" s="37" t="s">
        <v>2348</v>
      </c>
      <c r="D2996" s="37" t="s">
        <v>2351</v>
      </c>
    </row>
    <row r="2997" spans="1:4" ht="14.25">
      <c r="A2997" s="37">
        <v>39310</v>
      </c>
      <c r="B2997" s="37" t="s">
        <v>23766</v>
      </c>
      <c r="C2997" s="37" t="s">
        <v>2348</v>
      </c>
      <c r="D2997" s="37" t="s">
        <v>2351</v>
      </c>
    </row>
    <row r="2998" spans="1:4" ht="14.25">
      <c r="A2998" s="37">
        <v>39311</v>
      </c>
      <c r="B2998" s="37" t="s">
        <v>23767</v>
      </c>
      <c r="C2998" s="37" t="s">
        <v>2348</v>
      </c>
      <c r="D2998" s="37" t="s">
        <v>2351</v>
      </c>
    </row>
    <row r="2999" spans="1:4" ht="14.25">
      <c r="A2999" s="37">
        <v>39855</v>
      </c>
      <c r="B2999" s="37" t="s">
        <v>23768</v>
      </c>
      <c r="C2999" s="37" t="s">
        <v>2348</v>
      </c>
      <c r="D2999" s="37" t="s">
        <v>2351</v>
      </c>
    </row>
    <row r="3000" spans="1:4" ht="14.25">
      <c r="A3000" s="37">
        <v>39856</v>
      </c>
      <c r="B3000" s="37" t="s">
        <v>23769</v>
      </c>
      <c r="C3000" s="37" t="s">
        <v>2348</v>
      </c>
      <c r="D3000" s="37" t="s">
        <v>2351</v>
      </c>
    </row>
    <row r="3001" spans="1:4" ht="14.25">
      <c r="A3001" s="37">
        <v>39857</v>
      </c>
      <c r="B3001" s="37" t="s">
        <v>23770</v>
      </c>
      <c r="C3001" s="37" t="s">
        <v>2348</v>
      </c>
      <c r="D3001" s="37" t="s">
        <v>2351</v>
      </c>
    </row>
    <row r="3002" spans="1:4" ht="14.25">
      <c r="A3002" s="37">
        <v>39858</v>
      </c>
      <c r="B3002" s="37" t="s">
        <v>23771</v>
      </c>
      <c r="C3002" s="37" t="s">
        <v>2348</v>
      </c>
      <c r="D3002" s="37" t="s">
        <v>2351</v>
      </c>
    </row>
    <row r="3003" spans="1:4" ht="14.25">
      <c r="A3003" s="37">
        <v>39859</v>
      </c>
      <c r="B3003" s="37" t="s">
        <v>23772</v>
      </c>
      <c r="C3003" s="37" t="s">
        <v>2348</v>
      </c>
      <c r="D3003" s="37" t="s">
        <v>2351</v>
      </c>
    </row>
    <row r="3004" spans="1:4" ht="14.25">
      <c r="A3004" s="37">
        <v>39860</v>
      </c>
      <c r="B3004" s="37" t="s">
        <v>23773</v>
      </c>
      <c r="C3004" s="37" t="s">
        <v>2348</v>
      </c>
      <c r="D3004" s="37" t="s">
        <v>2351</v>
      </c>
    </row>
    <row r="3005" spans="1:4" ht="14.25">
      <c r="A3005" s="37">
        <v>39861</v>
      </c>
      <c r="B3005" s="37" t="s">
        <v>23774</v>
      </c>
      <c r="C3005" s="37" t="s">
        <v>2348</v>
      </c>
      <c r="D3005" s="37" t="s">
        <v>2351</v>
      </c>
    </row>
    <row r="3006" spans="1:4" ht="14.25">
      <c r="A3006" s="37">
        <v>38447</v>
      </c>
      <c r="B3006" s="37" t="s">
        <v>23775</v>
      </c>
      <c r="C3006" s="37" t="s">
        <v>2348</v>
      </c>
      <c r="D3006" s="37" t="s">
        <v>2351</v>
      </c>
    </row>
    <row r="3007" spans="1:4" ht="14.25">
      <c r="A3007" s="37">
        <v>36320</v>
      </c>
      <c r="B3007" s="37" t="s">
        <v>23776</v>
      </c>
      <c r="C3007" s="37" t="s">
        <v>2348</v>
      </c>
      <c r="D3007" s="37" t="s">
        <v>2351</v>
      </c>
    </row>
    <row r="3008" spans="1:4" ht="14.25">
      <c r="A3008" s="37">
        <v>36324</v>
      </c>
      <c r="B3008" s="37" t="s">
        <v>23777</v>
      </c>
      <c r="C3008" s="37" t="s">
        <v>2348</v>
      </c>
      <c r="D3008" s="37" t="s">
        <v>2351</v>
      </c>
    </row>
    <row r="3009" spans="1:4" ht="14.25">
      <c r="A3009" s="37">
        <v>38441</v>
      </c>
      <c r="B3009" s="37" t="s">
        <v>23778</v>
      </c>
      <c r="C3009" s="37" t="s">
        <v>2348</v>
      </c>
      <c r="D3009" s="37" t="s">
        <v>2351</v>
      </c>
    </row>
    <row r="3010" spans="1:4" ht="14.25">
      <c r="A3010" s="37">
        <v>38442</v>
      </c>
      <c r="B3010" s="37" t="s">
        <v>23779</v>
      </c>
      <c r="C3010" s="37" t="s">
        <v>2348</v>
      </c>
      <c r="D3010" s="37" t="s">
        <v>2351</v>
      </c>
    </row>
    <row r="3011" spans="1:4" ht="14.25">
      <c r="A3011" s="37">
        <v>38443</v>
      </c>
      <c r="B3011" s="37" t="s">
        <v>23780</v>
      </c>
      <c r="C3011" s="37" t="s">
        <v>2348</v>
      </c>
      <c r="D3011" s="37" t="s">
        <v>2351</v>
      </c>
    </row>
    <row r="3012" spans="1:4" ht="14.25">
      <c r="A3012" s="37">
        <v>38444</v>
      </c>
      <c r="B3012" s="37" t="s">
        <v>23781</v>
      </c>
      <c r="C3012" s="37" t="s">
        <v>2348</v>
      </c>
      <c r="D3012" s="37" t="s">
        <v>2351</v>
      </c>
    </row>
    <row r="3013" spans="1:4" ht="14.25">
      <c r="A3013" s="37">
        <v>38445</v>
      </c>
      <c r="B3013" s="37" t="s">
        <v>23782</v>
      </c>
      <c r="C3013" s="37" t="s">
        <v>2348</v>
      </c>
      <c r="D3013" s="37" t="s">
        <v>2351</v>
      </c>
    </row>
    <row r="3014" spans="1:4" ht="14.25">
      <c r="A3014" s="37">
        <v>38446</v>
      </c>
      <c r="B3014" s="37" t="s">
        <v>23783</v>
      </c>
      <c r="C3014" s="37" t="s">
        <v>2348</v>
      </c>
      <c r="D3014" s="37" t="s">
        <v>2351</v>
      </c>
    </row>
    <row r="3015" spans="1:4" ht="14.25">
      <c r="A3015" s="37">
        <v>3867</v>
      </c>
      <c r="B3015" s="37" t="s">
        <v>23784</v>
      </c>
      <c r="C3015" s="37" t="s">
        <v>2348</v>
      </c>
      <c r="D3015" s="37" t="s">
        <v>2349</v>
      </c>
    </row>
    <row r="3016" spans="1:4" ht="14.25">
      <c r="A3016" s="37">
        <v>3861</v>
      </c>
      <c r="B3016" s="37" t="s">
        <v>23785</v>
      </c>
      <c r="C3016" s="37" t="s">
        <v>2348</v>
      </c>
      <c r="D3016" s="37" t="s">
        <v>2349</v>
      </c>
    </row>
    <row r="3017" spans="1:4" ht="14.25">
      <c r="A3017" s="37">
        <v>3904</v>
      </c>
      <c r="B3017" s="37" t="s">
        <v>23786</v>
      </c>
      <c r="C3017" s="37" t="s">
        <v>2348</v>
      </c>
      <c r="D3017" s="37" t="s">
        <v>2349</v>
      </c>
    </row>
    <row r="3018" spans="1:4" ht="14.25">
      <c r="A3018" s="37">
        <v>3903</v>
      </c>
      <c r="B3018" s="37" t="s">
        <v>23787</v>
      </c>
      <c r="C3018" s="37" t="s">
        <v>2348</v>
      </c>
      <c r="D3018" s="37" t="s">
        <v>2349</v>
      </c>
    </row>
    <row r="3019" spans="1:4" ht="14.25">
      <c r="A3019" s="37">
        <v>3862</v>
      </c>
      <c r="B3019" s="37" t="s">
        <v>23788</v>
      </c>
      <c r="C3019" s="37" t="s">
        <v>2348</v>
      </c>
      <c r="D3019" s="37" t="s">
        <v>2349</v>
      </c>
    </row>
    <row r="3020" spans="1:4" ht="14.25">
      <c r="A3020" s="37">
        <v>3863</v>
      </c>
      <c r="B3020" s="37" t="s">
        <v>23789</v>
      </c>
      <c r="C3020" s="37" t="s">
        <v>2348</v>
      </c>
      <c r="D3020" s="37" t="s">
        <v>2349</v>
      </c>
    </row>
    <row r="3021" spans="1:4" ht="14.25">
      <c r="A3021" s="37">
        <v>3864</v>
      </c>
      <c r="B3021" s="37" t="s">
        <v>23790</v>
      </c>
      <c r="C3021" s="37" t="s">
        <v>2348</v>
      </c>
      <c r="D3021" s="37" t="s">
        <v>2349</v>
      </c>
    </row>
    <row r="3022" spans="1:4" ht="14.25">
      <c r="A3022" s="37">
        <v>3865</v>
      </c>
      <c r="B3022" s="37" t="s">
        <v>23791</v>
      </c>
      <c r="C3022" s="37" t="s">
        <v>2348</v>
      </c>
      <c r="D3022" s="37" t="s">
        <v>2349</v>
      </c>
    </row>
    <row r="3023" spans="1:4" ht="14.25">
      <c r="A3023" s="37">
        <v>3866</v>
      </c>
      <c r="B3023" s="37" t="s">
        <v>23792</v>
      </c>
      <c r="C3023" s="37" t="s">
        <v>2348</v>
      </c>
      <c r="D3023" s="37" t="s">
        <v>2349</v>
      </c>
    </row>
    <row r="3024" spans="1:4" ht="14.25">
      <c r="A3024" s="37">
        <v>3902</v>
      </c>
      <c r="B3024" s="37" t="s">
        <v>23793</v>
      </c>
      <c r="C3024" s="37" t="s">
        <v>2348</v>
      </c>
      <c r="D3024" s="37" t="s">
        <v>2349</v>
      </c>
    </row>
    <row r="3025" spans="1:4" ht="14.25">
      <c r="A3025" s="37">
        <v>3878</v>
      </c>
      <c r="B3025" s="37" t="s">
        <v>23794</v>
      </c>
      <c r="C3025" s="37" t="s">
        <v>2348</v>
      </c>
      <c r="D3025" s="37" t="s">
        <v>2349</v>
      </c>
    </row>
    <row r="3026" spans="1:4" ht="14.25">
      <c r="A3026" s="37">
        <v>3877</v>
      </c>
      <c r="B3026" s="37" t="s">
        <v>23795</v>
      </c>
      <c r="C3026" s="37" t="s">
        <v>2348</v>
      </c>
      <c r="D3026" s="37" t="s">
        <v>2349</v>
      </c>
    </row>
    <row r="3027" spans="1:4" ht="14.25">
      <c r="A3027" s="37">
        <v>3879</v>
      </c>
      <c r="B3027" s="37" t="s">
        <v>23796</v>
      </c>
      <c r="C3027" s="37" t="s">
        <v>2348</v>
      </c>
      <c r="D3027" s="37" t="s">
        <v>2349</v>
      </c>
    </row>
    <row r="3028" spans="1:4" ht="14.25">
      <c r="A3028" s="37">
        <v>3880</v>
      </c>
      <c r="B3028" s="37" t="s">
        <v>23797</v>
      </c>
      <c r="C3028" s="37" t="s">
        <v>2348</v>
      </c>
      <c r="D3028" s="37" t="s">
        <v>2349</v>
      </c>
    </row>
    <row r="3029" spans="1:4" ht="14.25">
      <c r="A3029" s="37">
        <v>12892</v>
      </c>
      <c r="B3029" s="37" t="s">
        <v>23798</v>
      </c>
      <c r="C3029" s="37" t="s">
        <v>2382</v>
      </c>
      <c r="D3029" s="37" t="s">
        <v>2349</v>
      </c>
    </row>
    <row r="3030" spans="1:4" ht="14.25">
      <c r="A3030" s="37">
        <v>3883</v>
      </c>
      <c r="B3030" s="37" t="s">
        <v>23799</v>
      </c>
      <c r="C3030" s="37" t="s">
        <v>2348</v>
      </c>
      <c r="D3030" s="37" t="s">
        <v>2349</v>
      </c>
    </row>
    <row r="3031" spans="1:4" ht="14.25">
      <c r="A3031" s="37">
        <v>3876</v>
      </c>
      <c r="B3031" s="37" t="s">
        <v>23800</v>
      </c>
      <c r="C3031" s="37" t="s">
        <v>2348</v>
      </c>
      <c r="D3031" s="37" t="s">
        <v>2349</v>
      </c>
    </row>
    <row r="3032" spans="1:4" ht="14.25">
      <c r="A3032" s="37">
        <v>3884</v>
      </c>
      <c r="B3032" s="37" t="s">
        <v>23801</v>
      </c>
      <c r="C3032" s="37" t="s">
        <v>2348</v>
      </c>
      <c r="D3032" s="37" t="s">
        <v>2349</v>
      </c>
    </row>
    <row r="3033" spans="1:4" ht="14.25">
      <c r="A3033" s="37">
        <v>3837</v>
      </c>
      <c r="B3033" s="37" t="s">
        <v>23802</v>
      </c>
      <c r="C3033" s="37" t="s">
        <v>2348</v>
      </c>
      <c r="D3033" s="37" t="s">
        <v>2351</v>
      </c>
    </row>
    <row r="3034" spans="1:4" ht="14.25">
      <c r="A3034" s="37">
        <v>3845</v>
      </c>
      <c r="B3034" s="37" t="s">
        <v>23803</v>
      </c>
      <c r="C3034" s="37" t="s">
        <v>2348</v>
      </c>
      <c r="D3034" s="37" t="s">
        <v>2351</v>
      </c>
    </row>
    <row r="3035" spans="1:4" ht="14.25">
      <c r="A3035" s="37">
        <v>11045</v>
      </c>
      <c r="B3035" s="37" t="s">
        <v>23804</v>
      </c>
      <c r="C3035" s="37" t="s">
        <v>2348</v>
      </c>
      <c r="D3035" s="37" t="s">
        <v>2351</v>
      </c>
    </row>
    <row r="3036" spans="1:4" ht="14.25">
      <c r="A3036" s="37">
        <v>20170</v>
      </c>
      <c r="B3036" s="37" t="s">
        <v>23805</v>
      </c>
      <c r="C3036" s="37" t="s">
        <v>2348</v>
      </c>
      <c r="D3036" s="37" t="s">
        <v>2349</v>
      </c>
    </row>
    <row r="3037" spans="1:4" ht="14.25">
      <c r="A3037" s="37">
        <v>20171</v>
      </c>
      <c r="B3037" s="37" t="s">
        <v>23806</v>
      </c>
      <c r="C3037" s="37" t="s">
        <v>2348</v>
      </c>
      <c r="D3037" s="37" t="s">
        <v>2349</v>
      </c>
    </row>
    <row r="3038" spans="1:4" ht="14.25">
      <c r="A3038" s="37">
        <v>20167</v>
      </c>
      <c r="B3038" s="37" t="s">
        <v>23807</v>
      </c>
      <c r="C3038" s="37" t="s">
        <v>2348</v>
      </c>
      <c r="D3038" s="37" t="s">
        <v>2349</v>
      </c>
    </row>
    <row r="3039" spans="1:4" ht="14.25">
      <c r="A3039" s="37">
        <v>20168</v>
      </c>
      <c r="B3039" s="37" t="s">
        <v>23808</v>
      </c>
      <c r="C3039" s="37" t="s">
        <v>2348</v>
      </c>
      <c r="D3039" s="37" t="s">
        <v>2349</v>
      </c>
    </row>
    <row r="3040" spans="1:4" ht="14.25">
      <c r="A3040" s="37">
        <v>20169</v>
      </c>
      <c r="B3040" s="37" t="s">
        <v>23809</v>
      </c>
      <c r="C3040" s="37" t="s">
        <v>2348</v>
      </c>
      <c r="D3040" s="37" t="s">
        <v>2349</v>
      </c>
    </row>
    <row r="3041" spans="1:4" ht="14.25">
      <c r="A3041" s="37">
        <v>3899</v>
      </c>
      <c r="B3041" s="37" t="s">
        <v>23810</v>
      </c>
      <c r="C3041" s="37" t="s">
        <v>2348</v>
      </c>
      <c r="D3041" s="37" t="s">
        <v>2349</v>
      </c>
    </row>
    <row r="3042" spans="1:4" ht="14.25">
      <c r="A3042" s="37">
        <v>38676</v>
      </c>
      <c r="B3042" s="37" t="s">
        <v>23811</v>
      </c>
      <c r="C3042" s="37" t="s">
        <v>2348</v>
      </c>
      <c r="D3042" s="37" t="s">
        <v>2349</v>
      </c>
    </row>
    <row r="3043" spans="1:4" ht="14.25">
      <c r="A3043" s="37">
        <v>3897</v>
      </c>
      <c r="B3043" s="37" t="s">
        <v>23812</v>
      </c>
      <c r="C3043" s="37" t="s">
        <v>2348</v>
      </c>
      <c r="D3043" s="37" t="s">
        <v>2349</v>
      </c>
    </row>
    <row r="3044" spans="1:4" ht="14.25">
      <c r="A3044" s="37">
        <v>3875</v>
      </c>
      <c r="B3044" s="37" t="s">
        <v>23813</v>
      </c>
      <c r="C3044" s="37" t="s">
        <v>2348</v>
      </c>
      <c r="D3044" s="37" t="s">
        <v>2349</v>
      </c>
    </row>
    <row r="3045" spans="1:4" ht="14.25">
      <c r="A3045" s="37">
        <v>3898</v>
      </c>
      <c r="B3045" s="37" t="s">
        <v>23814</v>
      </c>
      <c r="C3045" s="37" t="s">
        <v>2348</v>
      </c>
      <c r="D3045" s="37" t="s">
        <v>2349</v>
      </c>
    </row>
    <row r="3046" spans="1:4" ht="14.25">
      <c r="A3046" s="37">
        <v>3855</v>
      </c>
      <c r="B3046" s="37" t="s">
        <v>23815</v>
      </c>
      <c r="C3046" s="37" t="s">
        <v>2348</v>
      </c>
      <c r="D3046" s="37" t="s">
        <v>2349</v>
      </c>
    </row>
    <row r="3047" spans="1:4" ht="14.25">
      <c r="A3047" s="37">
        <v>3874</v>
      </c>
      <c r="B3047" s="37" t="s">
        <v>23816</v>
      </c>
      <c r="C3047" s="37" t="s">
        <v>2348</v>
      </c>
      <c r="D3047" s="37" t="s">
        <v>2349</v>
      </c>
    </row>
    <row r="3048" spans="1:4" ht="14.25">
      <c r="A3048" s="37">
        <v>3870</v>
      </c>
      <c r="B3048" s="37" t="s">
        <v>23817</v>
      </c>
      <c r="C3048" s="37" t="s">
        <v>2348</v>
      </c>
      <c r="D3048" s="37" t="s">
        <v>2349</v>
      </c>
    </row>
    <row r="3049" spans="1:4" ht="14.25">
      <c r="A3049" s="37">
        <v>38678</v>
      </c>
      <c r="B3049" s="37" t="s">
        <v>23818</v>
      </c>
      <c r="C3049" s="37" t="s">
        <v>2348</v>
      </c>
      <c r="D3049" s="37" t="s">
        <v>2349</v>
      </c>
    </row>
    <row r="3050" spans="1:4" ht="14.25">
      <c r="A3050" s="37">
        <v>3859</v>
      </c>
      <c r="B3050" s="37" t="s">
        <v>23819</v>
      </c>
      <c r="C3050" s="37" t="s">
        <v>2348</v>
      </c>
      <c r="D3050" s="37" t="s">
        <v>2349</v>
      </c>
    </row>
    <row r="3051" spans="1:4" ht="14.25">
      <c r="A3051" s="37">
        <v>3856</v>
      </c>
      <c r="B3051" s="37" t="s">
        <v>23820</v>
      </c>
      <c r="C3051" s="37" t="s">
        <v>2348</v>
      </c>
      <c r="D3051" s="37" t="s">
        <v>2349</v>
      </c>
    </row>
    <row r="3052" spans="1:4" ht="14.25">
      <c r="A3052" s="37">
        <v>3906</v>
      </c>
      <c r="B3052" s="37" t="s">
        <v>23821</v>
      </c>
      <c r="C3052" s="37" t="s">
        <v>2348</v>
      </c>
      <c r="D3052" s="37" t="s">
        <v>2349</v>
      </c>
    </row>
    <row r="3053" spans="1:4" ht="14.25">
      <c r="A3053" s="37">
        <v>3860</v>
      </c>
      <c r="B3053" s="37" t="s">
        <v>23822</v>
      </c>
      <c r="C3053" s="37" t="s">
        <v>2348</v>
      </c>
      <c r="D3053" s="37" t="s">
        <v>2349</v>
      </c>
    </row>
    <row r="3054" spans="1:4" ht="14.25">
      <c r="A3054" s="37">
        <v>3905</v>
      </c>
      <c r="B3054" s="37" t="s">
        <v>23823</v>
      </c>
      <c r="C3054" s="37" t="s">
        <v>2348</v>
      </c>
      <c r="D3054" s="37" t="s">
        <v>2349</v>
      </c>
    </row>
    <row r="3055" spans="1:4" ht="14.25">
      <c r="A3055" s="37">
        <v>3871</v>
      </c>
      <c r="B3055" s="37" t="s">
        <v>23824</v>
      </c>
      <c r="C3055" s="37" t="s">
        <v>2348</v>
      </c>
      <c r="D3055" s="37" t="s">
        <v>2349</v>
      </c>
    </row>
    <row r="3056" spans="1:4" ht="14.25">
      <c r="A3056" s="37">
        <v>37429</v>
      </c>
      <c r="B3056" s="37" t="s">
        <v>23825</v>
      </c>
      <c r="C3056" s="37" t="s">
        <v>2348</v>
      </c>
      <c r="D3056" s="37" t="s">
        <v>2351</v>
      </c>
    </row>
    <row r="3057" spans="1:4" ht="14.25">
      <c r="A3057" s="37">
        <v>37426</v>
      </c>
      <c r="B3057" s="37" t="s">
        <v>23826</v>
      </c>
      <c r="C3057" s="37" t="s">
        <v>2348</v>
      </c>
      <c r="D3057" s="37" t="s">
        <v>2351</v>
      </c>
    </row>
    <row r="3058" spans="1:4" ht="14.25">
      <c r="A3058" s="37">
        <v>37427</v>
      </c>
      <c r="B3058" s="37" t="s">
        <v>23827</v>
      </c>
      <c r="C3058" s="37" t="s">
        <v>2348</v>
      </c>
      <c r="D3058" s="37" t="s">
        <v>2351</v>
      </c>
    </row>
    <row r="3059" spans="1:4" ht="14.25">
      <c r="A3059" s="37">
        <v>37424</v>
      </c>
      <c r="B3059" s="37" t="s">
        <v>23828</v>
      </c>
      <c r="C3059" s="37" t="s">
        <v>2348</v>
      </c>
      <c r="D3059" s="37" t="s">
        <v>2351</v>
      </c>
    </row>
    <row r="3060" spans="1:4" ht="14.25">
      <c r="A3060" s="37">
        <v>37428</v>
      </c>
      <c r="B3060" s="37" t="s">
        <v>23829</v>
      </c>
      <c r="C3060" s="37" t="s">
        <v>2348</v>
      </c>
      <c r="D3060" s="37" t="s">
        <v>2351</v>
      </c>
    </row>
    <row r="3061" spans="1:4" ht="14.25">
      <c r="A3061" s="37">
        <v>37425</v>
      </c>
      <c r="B3061" s="37" t="s">
        <v>23830</v>
      </c>
      <c r="C3061" s="37" t="s">
        <v>2348</v>
      </c>
      <c r="D3061" s="37" t="s">
        <v>2351</v>
      </c>
    </row>
    <row r="3062" spans="1:4" ht="14.25">
      <c r="A3062" s="37">
        <v>11519</v>
      </c>
      <c r="B3062" s="37" t="s">
        <v>23831</v>
      </c>
      <c r="C3062" s="37" t="s">
        <v>2382</v>
      </c>
      <c r="D3062" s="37" t="s">
        <v>2349</v>
      </c>
    </row>
    <row r="3063" spans="1:4" ht="14.25">
      <c r="A3063" s="37">
        <v>11520</v>
      </c>
      <c r="B3063" s="37" t="s">
        <v>23832</v>
      </c>
      <c r="C3063" s="37" t="s">
        <v>2382</v>
      </c>
      <c r="D3063" s="37" t="s">
        <v>2349</v>
      </c>
    </row>
    <row r="3064" spans="1:4" ht="14.25">
      <c r="A3064" s="37">
        <v>11518</v>
      </c>
      <c r="B3064" s="37" t="s">
        <v>23833</v>
      </c>
      <c r="C3064" s="37" t="s">
        <v>2382</v>
      </c>
      <c r="D3064" s="37" t="s">
        <v>2349</v>
      </c>
    </row>
    <row r="3065" spans="1:4" ht="14.25">
      <c r="A3065" s="37">
        <v>38473</v>
      </c>
      <c r="B3065" s="37" t="s">
        <v>23834</v>
      </c>
      <c r="C3065" s="37" t="s">
        <v>2348</v>
      </c>
      <c r="D3065" s="37" t="s">
        <v>2349</v>
      </c>
    </row>
    <row r="3066" spans="1:4" ht="14.25">
      <c r="A3066" s="37">
        <v>4244</v>
      </c>
      <c r="B3066" s="37" t="s">
        <v>23835</v>
      </c>
      <c r="C3066" s="37" t="s">
        <v>2352</v>
      </c>
      <c r="D3066" s="37" t="s">
        <v>2349</v>
      </c>
    </row>
    <row r="3067" spans="1:4" ht="14.25">
      <c r="A3067" s="37">
        <v>40977</v>
      </c>
      <c r="B3067" s="37" t="s">
        <v>23836</v>
      </c>
      <c r="C3067" s="37" t="s">
        <v>2369</v>
      </c>
      <c r="D3067" s="37" t="s">
        <v>2349</v>
      </c>
    </row>
    <row r="3068" spans="1:4" ht="14.25">
      <c r="A3068" s="37">
        <v>4115</v>
      </c>
      <c r="B3068" s="37" t="s">
        <v>23837</v>
      </c>
      <c r="C3068" s="37" t="s">
        <v>2355</v>
      </c>
      <c r="D3068" s="37" t="s">
        <v>2351</v>
      </c>
    </row>
    <row r="3069" spans="1:4" ht="14.25">
      <c r="A3069" s="37">
        <v>4119</v>
      </c>
      <c r="B3069" s="37" t="s">
        <v>23838</v>
      </c>
      <c r="C3069" s="37" t="s">
        <v>2355</v>
      </c>
      <c r="D3069" s="37" t="s">
        <v>2351</v>
      </c>
    </row>
    <row r="3070" spans="1:4" ht="14.25">
      <c r="A3070" s="37">
        <v>2794</v>
      </c>
      <c r="B3070" s="37" t="s">
        <v>23839</v>
      </c>
      <c r="C3070" s="37" t="s">
        <v>2355</v>
      </c>
      <c r="D3070" s="37" t="s">
        <v>2351</v>
      </c>
    </row>
    <row r="3071" spans="1:4" ht="14.25">
      <c r="A3071" s="37">
        <v>2788</v>
      </c>
      <c r="B3071" s="37" t="s">
        <v>23840</v>
      </c>
      <c r="C3071" s="37" t="s">
        <v>2355</v>
      </c>
      <c r="D3071" s="37" t="s">
        <v>2351</v>
      </c>
    </row>
    <row r="3072" spans="1:4" ht="14.25">
      <c r="A3072" s="37">
        <v>4006</v>
      </c>
      <c r="B3072" s="37" t="s">
        <v>23841</v>
      </c>
      <c r="C3072" s="37" t="s">
        <v>2368</v>
      </c>
      <c r="D3072" s="37" t="s">
        <v>2349</v>
      </c>
    </row>
    <row r="3073" spans="1:4" ht="14.25">
      <c r="A3073" s="37">
        <v>36151</v>
      </c>
      <c r="B3073" s="37" t="s">
        <v>23842</v>
      </c>
      <c r="C3073" s="37" t="s">
        <v>2348</v>
      </c>
      <c r="D3073" s="37" t="s">
        <v>2349</v>
      </c>
    </row>
    <row r="3074" spans="1:4" ht="14.25">
      <c r="A3074" s="37">
        <v>37457</v>
      </c>
      <c r="B3074" s="37" t="s">
        <v>23843</v>
      </c>
      <c r="C3074" s="37" t="s">
        <v>2355</v>
      </c>
      <c r="D3074" s="37" t="s">
        <v>2349</v>
      </c>
    </row>
    <row r="3075" spans="1:4" ht="14.25">
      <c r="A3075" s="37">
        <v>37456</v>
      </c>
      <c r="B3075" s="37" t="s">
        <v>23844</v>
      </c>
      <c r="C3075" s="37" t="s">
        <v>2355</v>
      </c>
      <c r="D3075" s="37" t="s">
        <v>2349</v>
      </c>
    </row>
    <row r="3076" spans="1:4" ht="14.25">
      <c r="A3076" s="37">
        <v>37461</v>
      </c>
      <c r="B3076" s="37" t="s">
        <v>23845</v>
      </c>
      <c r="C3076" s="37" t="s">
        <v>2355</v>
      </c>
      <c r="D3076" s="37" t="s">
        <v>2349</v>
      </c>
    </row>
    <row r="3077" spans="1:4" ht="14.25">
      <c r="A3077" s="37">
        <v>37460</v>
      </c>
      <c r="B3077" s="37" t="s">
        <v>23846</v>
      </c>
      <c r="C3077" s="37" t="s">
        <v>2355</v>
      </c>
      <c r="D3077" s="37" t="s">
        <v>2349</v>
      </c>
    </row>
    <row r="3078" spans="1:4" ht="14.25">
      <c r="A3078" s="37">
        <v>37458</v>
      </c>
      <c r="B3078" s="37" t="s">
        <v>23847</v>
      </c>
      <c r="C3078" s="37" t="s">
        <v>2355</v>
      </c>
      <c r="D3078" s="37" t="s">
        <v>2353</v>
      </c>
    </row>
    <row r="3079" spans="1:4" ht="14.25">
      <c r="A3079" s="37">
        <v>37454</v>
      </c>
      <c r="B3079" s="37" t="s">
        <v>23848</v>
      </c>
      <c r="C3079" s="37" t="s">
        <v>2355</v>
      </c>
      <c r="D3079" s="37" t="s">
        <v>2349</v>
      </c>
    </row>
    <row r="3080" spans="1:4" ht="14.25">
      <c r="A3080" s="37">
        <v>37455</v>
      </c>
      <c r="B3080" s="37" t="s">
        <v>23849</v>
      </c>
      <c r="C3080" s="37" t="s">
        <v>2355</v>
      </c>
      <c r="D3080" s="37" t="s">
        <v>2349</v>
      </c>
    </row>
    <row r="3081" spans="1:4" ht="14.25">
      <c r="A3081" s="37">
        <v>37459</v>
      </c>
      <c r="B3081" s="37" t="s">
        <v>23850</v>
      </c>
      <c r="C3081" s="37" t="s">
        <v>2355</v>
      </c>
      <c r="D3081" s="37" t="s">
        <v>2349</v>
      </c>
    </row>
    <row r="3082" spans="1:4" ht="14.25">
      <c r="A3082" s="37">
        <v>21029</v>
      </c>
      <c r="B3082" s="37" t="s">
        <v>23851</v>
      </c>
      <c r="C3082" s="37" t="s">
        <v>2348</v>
      </c>
      <c r="D3082" s="37" t="s">
        <v>2353</v>
      </c>
    </row>
    <row r="3083" spans="1:4" ht="14.25">
      <c r="A3083" s="37">
        <v>21030</v>
      </c>
      <c r="B3083" s="37" t="s">
        <v>23852</v>
      </c>
      <c r="C3083" s="37" t="s">
        <v>2348</v>
      </c>
      <c r="D3083" s="37" t="s">
        <v>2349</v>
      </c>
    </row>
    <row r="3084" spans="1:4" ht="14.25">
      <c r="A3084" s="37">
        <v>21031</v>
      </c>
      <c r="B3084" s="37" t="s">
        <v>23853</v>
      </c>
      <c r="C3084" s="37" t="s">
        <v>2348</v>
      </c>
      <c r="D3084" s="37" t="s">
        <v>2349</v>
      </c>
    </row>
    <row r="3085" spans="1:4" ht="14.25">
      <c r="A3085" s="37">
        <v>21032</v>
      </c>
      <c r="B3085" s="37" t="s">
        <v>23854</v>
      </c>
      <c r="C3085" s="37" t="s">
        <v>2348</v>
      </c>
      <c r="D3085" s="37" t="s">
        <v>2349</v>
      </c>
    </row>
    <row r="3086" spans="1:4" ht="14.25">
      <c r="A3086" s="37">
        <v>37527</v>
      </c>
      <c r="B3086" s="37" t="s">
        <v>23855</v>
      </c>
      <c r="C3086" s="37" t="s">
        <v>2348</v>
      </c>
      <c r="D3086" s="37" t="s">
        <v>2349</v>
      </c>
    </row>
    <row r="3087" spans="1:4" ht="14.25">
      <c r="A3087" s="37">
        <v>37528</v>
      </c>
      <c r="B3087" s="37" t="s">
        <v>23856</v>
      </c>
      <c r="C3087" s="37" t="s">
        <v>2348</v>
      </c>
      <c r="D3087" s="37" t="s">
        <v>2349</v>
      </c>
    </row>
    <row r="3088" spans="1:4" ht="14.25">
      <c r="A3088" s="37">
        <v>37529</v>
      </c>
      <c r="B3088" s="37" t="s">
        <v>23857</v>
      </c>
      <c r="C3088" s="37" t="s">
        <v>2348</v>
      </c>
      <c r="D3088" s="37" t="s">
        <v>2349</v>
      </c>
    </row>
    <row r="3089" spans="1:4" ht="14.25">
      <c r="A3089" s="37">
        <v>37530</v>
      </c>
      <c r="B3089" s="37" t="s">
        <v>23858</v>
      </c>
      <c r="C3089" s="37" t="s">
        <v>2348</v>
      </c>
      <c r="D3089" s="37" t="s">
        <v>2349</v>
      </c>
    </row>
    <row r="3090" spans="1:4" ht="14.25">
      <c r="A3090" s="37">
        <v>21034</v>
      </c>
      <c r="B3090" s="37" t="s">
        <v>23859</v>
      </c>
      <c r="C3090" s="37" t="s">
        <v>2348</v>
      </c>
      <c r="D3090" s="37" t="s">
        <v>2349</v>
      </c>
    </row>
    <row r="3091" spans="1:4" ht="14.25">
      <c r="A3091" s="37">
        <v>37531</v>
      </c>
      <c r="B3091" s="37" t="s">
        <v>23860</v>
      </c>
      <c r="C3091" s="37" t="s">
        <v>2348</v>
      </c>
      <c r="D3091" s="37" t="s">
        <v>2349</v>
      </c>
    </row>
    <row r="3092" spans="1:4" ht="14.25">
      <c r="A3092" s="37">
        <v>21036</v>
      </c>
      <c r="B3092" s="37" t="s">
        <v>23861</v>
      </c>
      <c r="C3092" s="37" t="s">
        <v>2348</v>
      </c>
      <c r="D3092" s="37" t="s">
        <v>2349</v>
      </c>
    </row>
    <row r="3093" spans="1:4" ht="14.25">
      <c r="A3093" s="37">
        <v>21037</v>
      </c>
      <c r="B3093" s="37" t="s">
        <v>23862</v>
      </c>
      <c r="C3093" s="37" t="s">
        <v>2348</v>
      </c>
      <c r="D3093" s="37" t="s">
        <v>2349</v>
      </c>
    </row>
    <row r="3094" spans="1:4" ht="14.25">
      <c r="A3094" s="37">
        <v>20185</v>
      </c>
      <c r="B3094" s="37" t="s">
        <v>23863</v>
      </c>
      <c r="C3094" s="37" t="s">
        <v>2355</v>
      </c>
      <c r="D3094" s="37" t="s">
        <v>2349</v>
      </c>
    </row>
    <row r="3095" spans="1:4" ht="14.25">
      <c r="A3095" s="37">
        <v>20260</v>
      </c>
      <c r="B3095" s="37" t="s">
        <v>23864</v>
      </c>
      <c r="C3095" s="37" t="s">
        <v>2348</v>
      </c>
      <c r="D3095" s="37" t="s">
        <v>2349</v>
      </c>
    </row>
    <row r="3096" spans="1:4" ht="14.25">
      <c r="A3096" s="37">
        <v>37523</v>
      </c>
      <c r="B3096" s="37" t="s">
        <v>23865</v>
      </c>
      <c r="C3096" s="37" t="s">
        <v>2348</v>
      </c>
      <c r="D3096" s="37" t="s">
        <v>2351</v>
      </c>
    </row>
    <row r="3097" spans="1:4" ht="14.25">
      <c r="A3097" s="37">
        <v>37515</v>
      </c>
      <c r="B3097" s="37" t="s">
        <v>23866</v>
      </c>
      <c r="C3097" s="37" t="s">
        <v>2348</v>
      </c>
      <c r="D3097" s="37" t="s">
        <v>2351</v>
      </c>
    </row>
    <row r="3098" spans="1:4" ht="14.25">
      <c r="A3098" s="37">
        <v>12899</v>
      </c>
      <c r="B3098" s="37" t="s">
        <v>23867</v>
      </c>
      <c r="C3098" s="37" t="s">
        <v>2348</v>
      </c>
      <c r="D3098" s="37" t="s">
        <v>2351</v>
      </c>
    </row>
    <row r="3099" spans="1:4" ht="14.25">
      <c r="A3099" s="37">
        <v>12898</v>
      </c>
      <c r="B3099" s="37" t="s">
        <v>23868</v>
      </c>
      <c r="C3099" s="37" t="s">
        <v>2348</v>
      </c>
      <c r="D3099" s="37" t="s">
        <v>2351</v>
      </c>
    </row>
    <row r="3100" spans="1:4" ht="14.25">
      <c r="A3100" s="37">
        <v>42528</v>
      </c>
      <c r="B3100" s="37" t="s">
        <v>23869</v>
      </c>
      <c r="C3100" s="37" t="s">
        <v>2350</v>
      </c>
      <c r="D3100" s="37" t="s">
        <v>2349</v>
      </c>
    </row>
    <row r="3101" spans="1:4" ht="14.25">
      <c r="A3101" s="37">
        <v>39696</v>
      </c>
      <c r="B3101" s="37" t="s">
        <v>23870</v>
      </c>
      <c r="C3101" s="37" t="s">
        <v>2350</v>
      </c>
      <c r="D3101" s="37" t="s">
        <v>2353</v>
      </c>
    </row>
    <row r="3102" spans="1:4" ht="14.25">
      <c r="A3102" s="37">
        <v>39700</v>
      </c>
      <c r="B3102" s="37" t="s">
        <v>23871</v>
      </c>
      <c r="C3102" s="37" t="s">
        <v>2350</v>
      </c>
      <c r="D3102" s="37" t="s">
        <v>2349</v>
      </c>
    </row>
    <row r="3103" spans="1:4" ht="14.25">
      <c r="A3103" s="37">
        <v>11621</v>
      </c>
      <c r="B3103" s="37" t="s">
        <v>23872</v>
      </c>
      <c r="C3103" s="37" t="s">
        <v>2350</v>
      </c>
      <c r="D3103" s="37" t="s">
        <v>2349</v>
      </c>
    </row>
    <row r="3104" spans="1:4" ht="14.25">
      <c r="A3104" s="37">
        <v>4014</v>
      </c>
      <c r="B3104" s="37" t="s">
        <v>23873</v>
      </c>
      <c r="C3104" s="37" t="s">
        <v>2350</v>
      </c>
      <c r="D3104" s="37" t="s">
        <v>2349</v>
      </c>
    </row>
    <row r="3105" spans="1:4" ht="14.25">
      <c r="A3105" s="37">
        <v>4015</v>
      </c>
      <c r="B3105" s="37" t="s">
        <v>23874</v>
      </c>
      <c r="C3105" s="37" t="s">
        <v>2350</v>
      </c>
      <c r="D3105" s="37" t="s">
        <v>2349</v>
      </c>
    </row>
    <row r="3106" spans="1:4" ht="14.25">
      <c r="A3106" s="37">
        <v>4017</v>
      </c>
      <c r="B3106" s="37" t="s">
        <v>23875</v>
      </c>
      <c r="C3106" s="37" t="s">
        <v>2350</v>
      </c>
      <c r="D3106" s="37" t="s">
        <v>2349</v>
      </c>
    </row>
    <row r="3107" spans="1:4" ht="14.25">
      <c r="A3107" s="37">
        <v>4016</v>
      </c>
      <c r="B3107" s="37" t="s">
        <v>23876</v>
      </c>
      <c r="C3107" s="37" t="s">
        <v>2350</v>
      </c>
      <c r="D3107" s="37" t="s">
        <v>2353</v>
      </c>
    </row>
    <row r="3108" spans="1:4" ht="14.25">
      <c r="A3108" s="37">
        <v>39699</v>
      </c>
      <c r="B3108" s="37" t="s">
        <v>23877</v>
      </c>
      <c r="C3108" s="37" t="s">
        <v>2350</v>
      </c>
      <c r="D3108" s="37" t="s">
        <v>2349</v>
      </c>
    </row>
    <row r="3109" spans="1:4" ht="14.25">
      <c r="A3109" s="37">
        <v>38544</v>
      </c>
      <c r="B3109" s="37" t="s">
        <v>23878</v>
      </c>
      <c r="C3109" s="37" t="s">
        <v>2350</v>
      </c>
      <c r="D3109" s="37" t="s">
        <v>2349</v>
      </c>
    </row>
    <row r="3110" spans="1:4" ht="14.25">
      <c r="A3110" s="37">
        <v>38545</v>
      </c>
      <c r="B3110" s="37" t="s">
        <v>23879</v>
      </c>
      <c r="C3110" s="37" t="s">
        <v>2350</v>
      </c>
      <c r="D3110" s="37" t="s">
        <v>2349</v>
      </c>
    </row>
    <row r="3111" spans="1:4" ht="14.25">
      <c r="A3111" s="37">
        <v>42527</v>
      </c>
      <c r="B3111" s="37" t="s">
        <v>23880</v>
      </c>
      <c r="C3111" s="37" t="s">
        <v>2350</v>
      </c>
      <c r="D3111" s="37" t="s">
        <v>2349</v>
      </c>
    </row>
    <row r="3112" spans="1:4" ht="14.25">
      <c r="A3112" s="37">
        <v>39323</v>
      </c>
      <c r="B3112" s="37" t="s">
        <v>23881</v>
      </c>
      <c r="C3112" s="37" t="s">
        <v>2350</v>
      </c>
      <c r="D3112" s="37" t="s">
        <v>2349</v>
      </c>
    </row>
    <row r="3113" spans="1:4" ht="14.25">
      <c r="A3113" s="37">
        <v>626</v>
      </c>
      <c r="B3113" s="37" t="s">
        <v>23882</v>
      </c>
      <c r="C3113" s="37" t="s">
        <v>2356</v>
      </c>
      <c r="D3113" s="37" t="s">
        <v>2353</v>
      </c>
    </row>
    <row r="3114" spans="1:4" ht="14.25">
      <c r="A3114" s="37">
        <v>44504</v>
      </c>
      <c r="B3114" s="37" t="s">
        <v>28011</v>
      </c>
      <c r="C3114" s="37" t="s">
        <v>2350</v>
      </c>
      <c r="D3114" s="37" t="s">
        <v>2351</v>
      </c>
    </row>
    <row r="3115" spans="1:4" ht="14.25">
      <c r="A3115" s="37">
        <v>44505</v>
      </c>
      <c r="B3115" s="37" t="s">
        <v>28012</v>
      </c>
      <c r="C3115" s="37" t="s">
        <v>2350</v>
      </c>
      <c r="D3115" s="37" t="s">
        <v>2351</v>
      </c>
    </row>
    <row r="3116" spans="1:4" ht="14.25">
      <c r="A3116" s="37">
        <v>44506</v>
      </c>
      <c r="B3116" s="37" t="s">
        <v>28013</v>
      </c>
      <c r="C3116" s="37" t="s">
        <v>2350</v>
      </c>
      <c r="D3116" s="37" t="s">
        <v>2351</v>
      </c>
    </row>
    <row r="3117" spans="1:4" ht="14.25">
      <c r="A3117" s="37">
        <v>44507</v>
      </c>
      <c r="B3117" s="37" t="s">
        <v>28014</v>
      </c>
      <c r="C3117" s="37" t="s">
        <v>2350</v>
      </c>
      <c r="D3117" s="37" t="s">
        <v>2351</v>
      </c>
    </row>
    <row r="3118" spans="1:4" ht="14.25">
      <c r="A3118" s="37">
        <v>44508</v>
      </c>
      <c r="B3118" s="37" t="s">
        <v>28015</v>
      </c>
      <c r="C3118" s="37" t="s">
        <v>2350</v>
      </c>
      <c r="D3118" s="37" t="s">
        <v>2351</v>
      </c>
    </row>
    <row r="3119" spans="1:4" ht="14.25">
      <c r="A3119" s="37">
        <v>44509</v>
      </c>
      <c r="B3119" s="37" t="s">
        <v>28016</v>
      </c>
      <c r="C3119" s="37" t="s">
        <v>2350</v>
      </c>
      <c r="D3119" s="37" t="s">
        <v>2351</v>
      </c>
    </row>
    <row r="3120" spans="1:4" ht="14.25">
      <c r="A3120" s="37">
        <v>44510</v>
      </c>
      <c r="B3120" s="37" t="s">
        <v>28017</v>
      </c>
      <c r="C3120" s="37" t="s">
        <v>2350</v>
      </c>
      <c r="D3120" s="37" t="s">
        <v>2351</v>
      </c>
    </row>
    <row r="3121" spans="1:4" ht="14.25">
      <c r="A3121" s="37">
        <v>44512</v>
      </c>
      <c r="B3121" s="37" t="s">
        <v>28018</v>
      </c>
      <c r="C3121" s="37" t="s">
        <v>2350</v>
      </c>
      <c r="D3121" s="37" t="s">
        <v>2351</v>
      </c>
    </row>
    <row r="3122" spans="1:4" ht="14.25">
      <c r="A3122" s="37">
        <v>44513</v>
      </c>
      <c r="B3122" s="37" t="s">
        <v>28019</v>
      </c>
      <c r="C3122" s="37" t="s">
        <v>2350</v>
      </c>
      <c r="D3122" s="37" t="s">
        <v>2351</v>
      </c>
    </row>
    <row r="3123" spans="1:4" ht="14.25">
      <c r="A3123" s="37">
        <v>44514</v>
      </c>
      <c r="B3123" s="37" t="s">
        <v>28020</v>
      </c>
      <c r="C3123" s="37" t="s">
        <v>2350</v>
      </c>
      <c r="D3123" s="37" t="s">
        <v>2351</v>
      </c>
    </row>
    <row r="3124" spans="1:4" ht="14.25">
      <c r="A3124" s="37">
        <v>44515</v>
      </c>
      <c r="B3124" s="37" t="s">
        <v>28021</v>
      </c>
      <c r="C3124" s="37" t="s">
        <v>2350</v>
      </c>
      <c r="D3124" s="37" t="s">
        <v>2351</v>
      </c>
    </row>
    <row r="3125" spans="1:4" ht="14.25">
      <c r="A3125" s="37">
        <v>44511</v>
      </c>
      <c r="B3125" s="37" t="s">
        <v>28022</v>
      </c>
      <c r="C3125" s="37" t="s">
        <v>2350</v>
      </c>
      <c r="D3125" s="37" t="s">
        <v>2351</v>
      </c>
    </row>
    <row r="3126" spans="1:4" ht="14.25">
      <c r="A3126" s="37">
        <v>44516</v>
      </c>
      <c r="B3126" s="37" t="s">
        <v>28023</v>
      </c>
      <c r="C3126" s="37" t="s">
        <v>2350</v>
      </c>
      <c r="D3126" s="37" t="s">
        <v>2351</v>
      </c>
    </row>
    <row r="3127" spans="1:4" ht="14.25">
      <c r="A3127" s="37">
        <v>44517</v>
      </c>
      <c r="B3127" s="37" t="s">
        <v>28024</v>
      </c>
      <c r="C3127" s="37" t="s">
        <v>2350</v>
      </c>
      <c r="D3127" s="37" t="s">
        <v>2351</v>
      </c>
    </row>
    <row r="3128" spans="1:4" ht="14.25">
      <c r="A3128" s="37">
        <v>11479</v>
      </c>
      <c r="B3128" s="37" t="s">
        <v>23883</v>
      </c>
      <c r="C3128" s="37" t="s">
        <v>2348</v>
      </c>
      <c r="D3128" s="37" t="s">
        <v>2349</v>
      </c>
    </row>
    <row r="3129" spans="1:4" ht="14.25">
      <c r="A3129" s="37">
        <v>11481</v>
      </c>
      <c r="B3129" s="37" t="s">
        <v>23884</v>
      </c>
      <c r="C3129" s="37" t="s">
        <v>2348</v>
      </c>
      <c r="D3129" s="37" t="s">
        <v>2349</v>
      </c>
    </row>
    <row r="3130" spans="1:4" ht="14.25">
      <c r="A3130" s="37">
        <v>43609</v>
      </c>
      <c r="B3130" s="37" t="s">
        <v>23885</v>
      </c>
      <c r="C3130" s="37" t="s">
        <v>2348</v>
      </c>
      <c r="D3130" s="37" t="s">
        <v>2349</v>
      </c>
    </row>
    <row r="3131" spans="1:4" ht="14.25">
      <c r="A3131" s="37">
        <v>11478</v>
      </c>
      <c r="B3131" s="37" t="s">
        <v>23886</v>
      </c>
      <c r="C3131" s="37" t="s">
        <v>2348</v>
      </c>
      <c r="D3131" s="37" t="s">
        <v>2349</v>
      </c>
    </row>
    <row r="3132" spans="1:4" ht="14.25">
      <c r="A3132" s="37">
        <v>43608</v>
      </c>
      <c r="B3132" s="37" t="s">
        <v>23887</v>
      </c>
      <c r="C3132" s="37" t="s">
        <v>2348</v>
      </c>
      <c r="D3132" s="37" t="s">
        <v>2349</v>
      </c>
    </row>
    <row r="3133" spans="1:4" ht="14.25">
      <c r="A3133" s="37">
        <v>11476</v>
      </c>
      <c r="B3133" s="37" t="s">
        <v>23888</v>
      </c>
      <c r="C3133" s="37" t="s">
        <v>2348</v>
      </c>
      <c r="D3133" s="37" t="s">
        <v>2349</v>
      </c>
    </row>
    <row r="3134" spans="1:4" ht="14.25">
      <c r="A3134" s="37">
        <v>40637</v>
      </c>
      <c r="B3134" s="37" t="s">
        <v>23889</v>
      </c>
      <c r="C3134" s="37" t="s">
        <v>2348</v>
      </c>
      <c r="D3134" s="37" t="s">
        <v>2351</v>
      </c>
    </row>
    <row r="3135" spans="1:4" ht="14.25">
      <c r="A3135" s="37">
        <v>13836</v>
      </c>
      <c r="B3135" s="37" t="s">
        <v>23890</v>
      </c>
      <c r="C3135" s="37" t="s">
        <v>2348</v>
      </c>
      <c r="D3135" s="37" t="s">
        <v>2351</v>
      </c>
    </row>
    <row r="3136" spans="1:4" ht="14.25">
      <c r="A3136" s="37">
        <v>14534</v>
      </c>
      <c r="B3136" s="37" t="s">
        <v>23891</v>
      </c>
      <c r="C3136" s="37" t="s">
        <v>2348</v>
      </c>
      <c r="D3136" s="37" t="s">
        <v>2351</v>
      </c>
    </row>
    <row r="3137" spans="1:4" ht="14.25">
      <c r="A3137" s="37">
        <v>14619</v>
      </c>
      <c r="B3137" s="37" t="s">
        <v>23892</v>
      </c>
      <c r="C3137" s="37" t="s">
        <v>2348</v>
      </c>
      <c r="D3137" s="37" t="s">
        <v>2349</v>
      </c>
    </row>
    <row r="3138" spans="1:4" ht="14.25">
      <c r="A3138" s="37">
        <v>14535</v>
      </c>
      <c r="B3138" s="37" t="s">
        <v>23893</v>
      </c>
      <c r="C3138" s="37" t="s">
        <v>2348</v>
      </c>
      <c r="D3138" s="37" t="s">
        <v>2351</v>
      </c>
    </row>
    <row r="3139" spans="1:4" ht="14.25">
      <c r="A3139" s="37">
        <v>39813</v>
      </c>
      <c r="B3139" s="37" t="s">
        <v>23894</v>
      </c>
      <c r="C3139" s="37" t="s">
        <v>2348</v>
      </c>
      <c r="D3139" s="37" t="s">
        <v>2351</v>
      </c>
    </row>
    <row r="3140" spans="1:4" ht="14.25">
      <c r="A3140" s="37">
        <v>40403</v>
      </c>
      <c r="B3140" s="37" t="s">
        <v>23895</v>
      </c>
      <c r="C3140" s="37" t="s">
        <v>2348</v>
      </c>
      <c r="D3140" s="37" t="s">
        <v>2349</v>
      </c>
    </row>
    <row r="3141" spans="1:4" ht="14.25">
      <c r="A3141" s="37">
        <v>12868</v>
      </c>
      <c r="B3141" s="37" t="s">
        <v>23896</v>
      </c>
      <c r="C3141" s="37" t="s">
        <v>2352</v>
      </c>
      <c r="D3141" s="37" t="s">
        <v>2349</v>
      </c>
    </row>
    <row r="3142" spans="1:4" ht="14.25">
      <c r="A3142" s="37">
        <v>40916</v>
      </c>
      <c r="B3142" s="37" t="s">
        <v>23897</v>
      </c>
      <c r="C3142" s="37" t="s">
        <v>2369</v>
      </c>
      <c r="D3142" s="37" t="s">
        <v>2349</v>
      </c>
    </row>
    <row r="3143" spans="1:4" ht="14.25">
      <c r="A3143" s="37">
        <v>4755</v>
      </c>
      <c r="B3143" s="37" t="s">
        <v>23898</v>
      </c>
      <c r="C3143" s="37" t="s">
        <v>2352</v>
      </c>
      <c r="D3143" s="37" t="s">
        <v>2349</v>
      </c>
    </row>
    <row r="3144" spans="1:4" ht="14.25">
      <c r="A3144" s="37">
        <v>41067</v>
      </c>
      <c r="B3144" s="37" t="s">
        <v>23899</v>
      </c>
      <c r="C3144" s="37" t="s">
        <v>2369</v>
      </c>
      <c r="D3144" s="37" t="s">
        <v>2349</v>
      </c>
    </row>
    <row r="3145" spans="1:4" ht="14.25">
      <c r="A3145" s="37">
        <v>38463</v>
      </c>
      <c r="B3145" s="37" t="s">
        <v>23900</v>
      </c>
      <c r="C3145" s="37" t="s">
        <v>2348</v>
      </c>
      <c r="D3145" s="37" t="s">
        <v>2349</v>
      </c>
    </row>
    <row r="3146" spans="1:4" ht="14.25">
      <c r="A3146" s="37">
        <v>40703</v>
      </c>
      <c r="B3146" s="37" t="s">
        <v>23901</v>
      </c>
      <c r="C3146" s="37" t="s">
        <v>2348</v>
      </c>
      <c r="D3146" s="37" t="s">
        <v>2351</v>
      </c>
    </row>
    <row r="3147" spans="1:4" ht="14.25">
      <c r="A3147" s="37">
        <v>14531</v>
      </c>
      <c r="B3147" s="37" t="s">
        <v>23902</v>
      </c>
      <c r="C3147" s="37" t="s">
        <v>2348</v>
      </c>
      <c r="D3147" s="37" t="s">
        <v>2351</v>
      </c>
    </row>
    <row r="3148" spans="1:4" ht="14.25">
      <c r="A3148" s="37">
        <v>36533</v>
      </c>
      <c r="B3148" s="37" t="s">
        <v>23903</v>
      </c>
      <c r="C3148" s="37" t="s">
        <v>2348</v>
      </c>
      <c r="D3148" s="37" t="s">
        <v>2351</v>
      </c>
    </row>
    <row r="3149" spans="1:4" ht="14.25">
      <c r="A3149" s="37">
        <v>11616</v>
      </c>
      <c r="B3149" s="37" t="s">
        <v>23904</v>
      </c>
      <c r="C3149" s="37" t="s">
        <v>2348</v>
      </c>
      <c r="D3149" s="37" t="s">
        <v>2351</v>
      </c>
    </row>
    <row r="3150" spans="1:4" ht="14.25">
      <c r="A3150" s="37">
        <v>41898</v>
      </c>
      <c r="B3150" s="37" t="s">
        <v>23905</v>
      </c>
      <c r="C3150" s="37" t="s">
        <v>2348</v>
      </c>
      <c r="D3150" s="37" t="s">
        <v>2351</v>
      </c>
    </row>
    <row r="3151" spans="1:4" ht="14.25">
      <c r="A3151" s="37">
        <v>13447</v>
      </c>
      <c r="B3151" s="37" t="s">
        <v>23906</v>
      </c>
      <c r="C3151" s="37" t="s">
        <v>2348</v>
      </c>
      <c r="D3151" s="37" t="s">
        <v>2351</v>
      </c>
    </row>
    <row r="3152" spans="1:4" ht="14.25">
      <c r="A3152" s="37">
        <v>14529</v>
      </c>
      <c r="B3152" s="37" t="s">
        <v>23907</v>
      </c>
      <c r="C3152" s="37" t="s">
        <v>2348</v>
      </c>
      <c r="D3152" s="37" t="s">
        <v>2351</v>
      </c>
    </row>
    <row r="3153" spans="1:4" ht="14.25">
      <c r="A3153" s="37">
        <v>10747</v>
      </c>
      <c r="B3153" s="37" t="s">
        <v>23908</v>
      </c>
      <c r="C3153" s="37" t="s">
        <v>2348</v>
      </c>
      <c r="D3153" s="37" t="s">
        <v>2351</v>
      </c>
    </row>
    <row r="3154" spans="1:4" ht="14.25">
      <c r="A3154" s="37">
        <v>36141</v>
      </c>
      <c r="B3154" s="37" t="s">
        <v>23909</v>
      </c>
      <c r="C3154" s="37" t="s">
        <v>2348</v>
      </c>
      <c r="D3154" s="37" t="s">
        <v>2349</v>
      </c>
    </row>
    <row r="3155" spans="1:4" ht="14.25">
      <c r="A3155" s="37">
        <v>43651</v>
      </c>
      <c r="B3155" s="37" t="s">
        <v>28025</v>
      </c>
      <c r="C3155" s="37" t="s">
        <v>2356</v>
      </c>
      <c r="D3155" s="37" t="s">
        <v>2349</v>
      </c>
    </row>
    <row r="3156" spans="1:4" ht="14.25">
      <c r="A3156" s="37">
        <v>43626</v>
      </c>
      <c r="B3156" s="37" t="s">
        <v>28026</v>
      </c>
      <c r="C3156" s="37" t="s">
        <v>2356</v>
      </c>
      <c r="D3156" s="37" t="s">
        <v>2353</v>
      </c>
    </row>
    <row r="3157" spans="1:4" ht="14.25">
      <c r="A3157" s="37">
        <v>39434</v>
      </c>
      <c r="B3157" s="37" t="s">
        <v>23910</v>
      </c>
      <c r="C3157" s="37" t="s">
        <v>2356</v>
      </c>
      <c r="D3157" s="37" t="s">
        <v>2349</v>
      </c>
    </row>
    <row r="3158" spans="1:4" ht="14.25">
      <c r="A3158" s="37">
        <v>39433</v>
      </c>
      <c r="B3158" s="37" t="s">
        <v>23911</v>
      </c>
      <c r="C3158" s="37" t="s">
        <v>2356</v>
      </c>
      <c r="D3158" s="37" t="s">
        <v>2349</v>
      </c>
    </row>
    <row r="3159" spans="1:4" ht="14.25">
      <c r="A3159" s="37">
        <v>4049</v>
      </c>
      <c r="B3159" s="37" t="s">
        <v>23912</v>
      </c>
      <c r="C3159" s="37" t="s">
        <v>2363</v>
      </c>
      <c r="D3159" s="37" t="s">
        <v>2349</v>
      </c>
    </row>
    <row r="3160" spans="1:4" ht="14.25">
      <c r="A3160" s="37">
        <v>38120</v>
      </c>
      <c r="B3160" s="37" t="s">
        <v>23913</v>
      </c>
      <c r="C3160" s="37" t="s">
        <v>2356</v>
      </c>
      <c r="D3160" s="37" t="s">
        <v>2349</v>
      </c>
    </row>
    <row r="3161" spans="1:4" ht="14.25">
      <c r="A3161" s="37">
        <v>43652</v>
      </c>
      <c r="B3161" s="37" t="s">
        <v>28027</v>
      </c>
      <c r="C3161" s="37" t="s">
        <v>2356</v>
      </c>
      <c r="D3161" s="37" t="s">
        <v>2349</v>
      </c>
    </row>
    <row r="3162" spans="1:4" ht="14.25">
      <c r="A3162" s="37">
        <v>10498</v>
      </c>
      <c r="B3162" s="37" t="s">
        <v>23914</v>
      </c>
      <c r="C3162" s="37" t="s">
        <v>2356</v>
      </c>
      <c r="D3162" s="37" t="s">
        <v>2349</v>
      </c>
    </row>
    <row r="3163" spans="1:4" ht="14.25">
      <c r="A3163" s="37">
        <v>4823</v>
      </c>
      <c r="B3163" s="37" t="s">
        <v>23915</v>
      </c>
      <c r="C3163" s="37" t="s">
        <v>2356</v>
      </c>
      <c r="D3163" s="37" t="s">
        <v>2349</v>
      </c>
    </row>
    <row r="3164" spans="1:4" ht="14.25">
      <c r="A3164" s="37">
        <v>38877</v>
      </c>
      <c r="B3164" s="37" t="s">
        <v>28028</v>
      </c>
      <c r="C3164" s="37" t="s">
        <v>2356</v>
      </c>
      <c r="D3164" s="37" t="s">
        <v>2349</v>
      </c>
    </row>
    <row r="3165" spans="1:4" ht="14.25">
      <c r="A3165" s="37">
        <v>34546</v>
      </c>
      <c r="B3165" s="37" t="s">
        <v>28029</v>
      </c>
      <c r="C3165" s="37" t="s">
        <v>2356</v>
      </c>
      <c r="D3165" s="37" t="s">
        <v>2349</v>
      </c>
    </row>
    <row r="3166" spans="1:4" ht="14.25">
      <c r="A3166" s="37">
        <v>41387</v>
      </c>
      <c r="B3166" s="37" t="s">
        <v>23916</v>
      </c>
      <c r="C3166" s="37" t="s">
        <v>2355</v>
      </c>
      <c r="D3166" s="37" t="s">
        <v>2349</v>
      </c>
    </row>
    <row r="3167" spans="1:4" ht="14.25">
      <c r="A3167" s="37">
        <v>41388</v>
      </c>
      <c r="B3167" s="37" t="s">
        <v>23917</v>
      </c>
      <c r="C3167" s="37" t="s">
        <v>2355</v>
      </c>
      <c r="D3167" s="37" t="s">
        <v>2349</v>
      </c>
    </row>
    <row r="3168" spans="1:4" ht="14.25">
      <c r="A3168" s="37">
        <v>41380</v>
      </c>
      <c r="B3168" s="37" t="s">
        <v>23918</v>
      </c>
      <c r="C3168" s="37" t="s">
        <v>2348</v>
      </c>
      <c r="D3168" s="37" t="s">
        <v>2349</v>
      </c>
    </row>
    <row r="3169" spans="1:4" ht="14.25">
      <c r="A3169" s="37">
        <v>41381</v>
      </c>
      <c r="B3169" s="37" t="s">
        <v>23919</v>
      </c>
      <c r="C3169" s="37" t="s">
        <v>2348</v>
      </c>
      <c r="D3169" s="37" t="s">
        <v>2349</v>
      </c>
    </row>
    <row r="3170" spans="1:4" ht="14.25">
      <c r="A3170" s="37">
        <v>41382</v>
      </c>
      <c r="B3170" s="37" t="s">
        <v>23920</v>
      </c>
      <c r="C3170" s="37" t="s">
        <v>2348</v>
      </c>
      <c r="D3170" s="37" t="s">
        <v>2349</v>
      </c>
    </row>
    <row r="3171" spans="1:4" ht="14.25">
      <c r="A3171" s="37">
        <v>41383</v>
      </c>
      <c r="B3171" s="37" t="s">
        <v>23921</v>
      </c>
      <c r="C3171" s="37" t="s">
        <v>2348</v>
      </c>
      <c r="D3171" s="37" t="s">
        <v>2349</v>
      </c>
    </row>
    <row r="3172" spans="1:4" ht="14.25">
      <c r="A3172" s="37">
        <v>41385</v>
      </c>
      <c r="B3172" s="37" t="s">
        <v>23922</v>
      </c>
      <c r="C3172" s="37" t="s">
        <v>2348</v>
      </c>
      <c r="D3172" s="37" t="s">
        <v>2349</v>
      </c>
    </row>
    <row r="3173" spans="1:4" ht="14.25">
      <c r="A3173" s="37">
        <v>11079</v>
      </c>
      <c r="B3173" s="37" t="s">
        <v>23923</v>
      </c>
      <c r="C3173" s="37" t="s">
        <v>2368</v>
      </c>
      <c r="D3173" s="37" t="s">
        <v>2349</v>
      </c>
    </row>
    <row r="3174" spans="1:4" ht="14.25">
      <c r="A3174" s="37">
        <v>11082</v>
      </c>
      <c r="B3174" s="37" t="s">
        <v>23924</v>
      </c>
      <c r="C3174" s="37" t="s">
        <v>2368</v>
      </c>
      <c r="D3174" s="37" t="s">
        <v>2349</v>
      </c>
    </row>
    <row r="3175" spans="1:4" ht="14.25">
      <c r="A3175" s="37">
        <v>4058</v>
      </c>
      <c r="B3175" s="37" t="s">
        <v>23925</v>
      </c>
      <c r="C3175" s="37" t="s">
        <v>2352</v>
      </c>
      <c r="D3175" s="37" t="s">
        <v>2349</v>
      </c>
    </row>
    <row r="3176" spans="1:4" ht="14.25">
      <c r="A3176" s="37">
        <v>40974</v>
      </c>
      <c r="B3176" s="37" t="s">
        <v>23926</v>
      </c>
      <c r="C3176" s="37" t="s">
        <v>2369</v>
      </c>
      <c r="D3176" s="37" t="s">
        <v>2349</v>
      </c>
    </row>
    <row r="3177" spans="1:4" ht="14.25">
      <c r="A3177" s="37">
        <v>34794</v>
      </c>
      <c r="B3177" s="37" t="s">
        <v>23927</v>
      </c>
      <c r="C3177" s="37" t="s">
        <v>2352</v>
      </c>
      <c r="D3177" s="37" t="s">
        <v>2349</v>
      </c>
    </row>
    <row r="3178" spans="1:4" ht="14.25">
      <c r="A3178" s="37">
        <v>40925</v>
      </c>
      <c r="B3178" s="37" t="s">
        <v>23928</v>
      </c>
      <c r="C3178" s="37" t="s">
        <v>2369</v>
      </c>
      <c r="D3178" s="37" t="s">
        <v>2349</v>
      </c>
    </row>
    <row r="3179" spans="1:4" ht="14.25">
      <c r="A3179" s="37">
        <v>13741</v>
      </c>
      <c r="B3179" s="37" t="s">
        <v>23929</v>
      </c>
      <c r="C3179" s="37" t="s">
        <v>2348</v>
      </c>
      <c r="D3179" s="37" t="s">
        <v>2349</v>
      </c>
    </row>
    <row r="3180" spans="1:4" ht="14.25">
      <c r="A3180" s="37">
        <v>3288</v>
      </c>
      <c r="B3180" s="37" t="s">
        <v>23930</v>
      </c>
      <c r="C3180" s="37" t="s">
        <v>2355</v>
      </c>
      <c r="D3180" s="37" t="s">
        <v>2351</v>
      </c>
    </row>
    <row r="3181" spans="1:4" ht="14.25">
      <c r="A3181" s="37">
        <v>13587</v>
      </c>
      <c r="B3181" s="37" t="s">
        <v>23931</v>
      </c>
      <c r="C3181" s="37" t="s">
        <v>2355</v>
      </c>
      <c r="D3181" s="37" t="s">
        <v>2351</v>
      </c>
    </row>
    <row r="3182" spans="1:4" ht="14.25">
      <c r="A3182" s="37">
        <v>38598</v>
      </c>
      <c r="B3182" s="37" t="s">
        <v>23932</v>
      </c>
      <c r="C3182" s="37" t="s">
        <v>2348</v>
      </c>
      <c r="D3182" s="37" t="s">
        <v>2349</v>
      </c>
    </row>
    <row r="3183" spans="1:4" ht="14.25">
      <c r="A3183" s="37">
        <v>38595</v>
      </c>
      <c r="B3183" s="37" t="s">
        <v>23933</v>
      </c>
      <c r="C3183" s="37" t="s">
        <v>2348</v>
      </c>
      <c r="D3183" s="37" t="s">
        <v>2349</v>
      </c>
    </row>
    <row r="3184" spans="1:4" ht="14.25">
      <c r="A3184" s="37">
        <v>38592</v>
      </c>
      <c r="B3184" s="37" t="s">
        <v>23934</v>
      </c>
      <c r="C3184" s="37" t="s">
        <v>2348</v>
      </c>
      <c r="D3184" s="37" t="s">
        <v>2349</v>
      </c>
    </row>
    <row r="3185" spans="1:4" ht="14.25">
      <c r="A3185" s="37">
        <v>38588</v>
      </c>
      <c r="B3185" s="37" t="s">
        <v>23935</v>
      </c>
      <c r="C3185" s="37" t="s">
        <v>2348</v>
      </c>
      <c r="D3185" s="37" t="s">
        <v>2349</v>
      </c>
    </row>
    <row r="3186" spans="1:4" ht="14.25">
      <c r="A3186" s="37">
        <v>38593</v>
      </c>
      <c r="B3186" s="37" t="s">
        <v>23936</v>
      </c>
      <c r="C3186" s="37" t="s">
        <v>2348</v>
      </c>
      <c r="D3186" s="37" t="s">
        <v>2349</v>
      </c>
    </row>
    <row r="3187" spans="1:4" ht="14.25">
      <c r="A3187" s="37">
        <v>38589</v>
      </c>
      <c r="B3187" s="37" t="s">
        <v>23937</v>
      </c>
      <c r="C3187" s="37" t="s">
        <v>2348</v>
      </c>
      <c r="D3187" s="37" t="s">
        <v>2349</v>
      </c>
    </row>
    <row r="3188" spans="1:4" ht="14.25">
      <c r="A3188" s="37">
        <v>38594</v>
      </c>
      <c r="B3188" s="37" t="s">
        <v>23938</v>
      </c>
      <c r="C3188" s="37" t="s">
        <v>2348</v>
      </c>
      <c r="D3188" s="37" t="s">
        <v>2349</v>
      </c>
    </row>
    <row r="3189" spans="1:4" ht="14.25">
      <c r="A3189" s="37">
        <v>34773</v>
      </c>
      <c r="B3189" s="37" t="s">
        <v>23939</v>
      </c>
      <c r="C3189" s="37" t="s">
        <v>2348</v>
      </c>
      <c r="D3189" s="37" t="s">
        <v>2349</v>
      </c>
    </row>
    <row r="3190" spans="1:4" ht="14.25">
      <c r="A3190" s="37">
        <v>34769</v>
      </c>
      <c r="B3190" s="37" t="s">
        <v>23940</v>
      </c>
      <c r="C3190" s="37" t="s">
        <v>2348</v>
      </c>
      <c r="D3190" s="37" t="s">
        <v>2349</v>
      </c>
    </row>
    <row r="3191" spans="1:4" ht="14.25">
      <c r="A3191" s="37">
        <v>34763</v>
      </c>
      <c r="B3191" s="37" t="s">
        <v>23941</v>
      </c>
      <c r="C3191" s="37" t="s">
        <v>2348</v>
      </c>
      <c r="D3191" s="37" t="s">
        <v>2349</v>
      </c>
    </row>
    <row r="3192" spans="1:4" ht="14.25">
      <c r="A3192" s="37">
        <v>34774</v>
      </c>
      <c r="B3192" s="37" t="s">
        <v>23942</v>
      </c>
      <c r="C3192" s="37" t="s">
        <v>2348</v>
      </c>
      <c r="D3192" s="37" t="s">
        <v>2349</v>
      </c>
    </row>
    <row r="3193" spans="1:4" ht="14.25">
      <c r="A3193" s="37">
        <v>34771</v>
      </c>
      <c r="B3193" s="37" t="s">
        <v>23943</v>
      </c>
      <c r="C3193" s="37" t="s">
        <v>2348</v>
      </c>
      <c r="D3193" s="37" t="s">
        <v>2349</v>
      </c>
    </row>
    <row r="3194" spans="1:4" ht="14.25">
      <c r="A3194" s="37">
        <v>34764</v>
      </c>
      <c r="B3194" s="37" t="s">
        <v>23944</v>
      </c>
      <c r="C3194" s="37" t="s">
        <v>2348</v>
      </c>
      <c r="D3194" s="37" t="s">
        <v>2349</v>
      </c>
    </row>
    <row r="3195" spans="1:4" ht="14.25">
      <c r="A3195" s="37">
        <v>34788</v>
      </c>
      <c r="B3195" s="37" t="s">
        <v>23945</v>
      </c>
      <c r="C3195" s="37" t="s">
        <v>2348</v>
      </c>
      <c r="D3195" s="37" t="s">
        <v>2349</v>
      </c>
    </row>
    <row r="3196" spans="1:4" ht="14.25">
      <c r="A3196" s="37">
        <v>34781</v>
      </c>
      <c r="B3196" s="37" t="s">
        <v>23946</v>
      </c>
      <c r="C3196" s="37" t="s">
        <v>2348</v>
      </c>
      <c r="D3196" s="37" t="s">
        <v>2349</v>
      </c>
    </row>
    <row r="3197" spans="1:4" ht="14.25">
      <c r="A3197" s="37">
        <v>41682</v>
      </c>
      <c r="B3197" s="37" t="s">
        <v>23947</v>
      </c>
      <c r="C3197" s="37" t="s">
        <v>2348</v>
      </c>
      <c r="D3197" s="37" t="s">
        <v>2349</v>
      </c>
    </row>
    <row r="3198" spans="1:4" ht="14.25">
      <c r="A3198" s="37">
        <v>41683</v>
      </c>
      <c r="B3198" s="37" t="s">
        <v>23948</v>
      </c>
      <c r="C3198" s="37" t="s">
        <v>2348</v>
      </c>
      <c r="D3198" s="37" t="s">
        <v>2349</v>
      </c>
    </row>
    <row r="3199" spans="1:4" ht="14.25">
      <c r="A3199" s="37">
        <v>41680</v>
      </c>
      <c r="B3199" s="37" t="s">
        <v>23949</v>
      </c>
      <c r="C3199" s="37" t="s">
        <v>2348</v>
      </c>
      <c r="D3199" s="37" t="s">
        <v>2349</v>
      </c>
    </row>
    <row r="3200" spans="1:4" ht="14.25">
      <c r="A3200" s="37">
        <v>41679</v>
      </c>
      <c r="B3200" s="37" t="s">
        <v>23950</v>
      </c>
      <c r="C3200" s="37" t="s">
        <v>2348</v>
      </c>
      <c r="D3200" s="37" t="s">
        <v>2349</v>
      </c>
    </row>
    <row r="3201" spans="1:4" ht="14.25">
      <c r="A3201" s="37">
        <v>41681</v>
      </c>
      <c r="B3201" s="37" t="s">
        <v>23951</v>
      </c>
      <c r="C3201" s="37" t="s">
        <v>2348</v>
      </c>
      <c r="D3201" s="37" t="s">
        <v>2349</v>
      </c>
    </row>
    <row r="3202" spans="1:4" ht="14.25">
      <c r="A3202" s="37">
        <v>43386</v>
      </c>
      <c r="B3202" s="37" t="s">
        <v>23952</v>
      </c>
      <c r="C3202" s="37" t="s">
        <v>2348</v>
      </c>
      <c r="D3202" s="37" t="s">
        <v>2349</v>
      </c>
    </row>
    <row r="3203" spans="1:4" ht="14.25">
      <c r="A3203" s="37">
        <v>4059</v>
      </c>
      <c r="B3203" s="37" t="s">
        <v>23953</v>
      </c>
      <c r="C3203" s="37" t="s">
        <v>2355</v>
      </c>
      <c r="D3203" s="37" t="s">
        <v>2349</v>
      </c>
    </row>
    <row r="3204" spans="1:4" ht="14.25">
      <c r="A3204" s="37">
        <v>4062</v>
      </c>
      <c r="B3204" s="37" t="s">
        <v>23954</v>
      </c>
      <c r="C3204" s="37" t="s">
        <v>2348</v>
      </c>
      <c r="D3204" s="37" t="s">
        <v>2349</v>
      </c>
    </row>
    <row r="3205" spans="1:4" ht="14.25">
      <c r="A3205" s="37">
        <v>4061</v>
      </c>
      <c r="B3205" s="37" t="s">
        <v>23955</v>
      </c>
      <c r="C3205" s="37" t="s">
        <v>2348</v>
      </c>
      <c r="D3205" s="37" t="s">
        <v>2349</v>
      </c>
    </row>
    <row r="3206" spans="1:4" ht="14.25">
      <c r="A3206" s="37">
        <v>41315</v>
      </c>
      <c r="B3206" s="37" t="s">
        <v>23956</v>
      </c>
      <c r="C3206" s="37" t="s">
        <v>2356</v>
      </c>
      <c r="D3206" s="37" t="s">
        <v>2349</v>
      </c>
    </row>
    <row r="3207" spans="1:4" ht="14.25">
      <c r="A3207" s="37">
        <v>43148</v>
      </c>
      <c r="B3207" s="37" t="s">
        <v>23957</v>
      </c>
      <c r="C3207" s="37" t="s">
        <v>2356</v>
      </c>
      <c r="D3207" s="37" t="s">
        <v>2349</v>
      </c>
    </row>
    <row r="3208" spans="1:4" ht="14.25">
      <c r="A3208" s="37">
        <v>43147</v>
      </c>
      <c r="B3208" s="37" t="s">
        <v>23958</v>
      </c>
      <c r="C3208" s="37" t="s">
        <v>2356</v>
      </c>
      <c r="D3208" s="37" t="s">
        <v>2349</v>
      </c>
    </row>
    <row r="3209" spans="1:4" ht="14.25">
      <c r="A3209" s="37">
        <v>10608</v>
      </c>
      <c r="B3209" s="37" t="s">
        <v>23959</v>
      </c>
      <c r="C3209" s="37" t="s">
        <v>2348</v>
      </c>
      <c r="D3209" s="37" t="s">
        <v>2351</v>
      </c>
    </row>
    <row r="3210" spans="1:4" ht="14.25">
      <c r="A3210" s="37">
        <v>4069</v>
      </c>
      <c r="B3210" s="37" t="s">
        <v>23960</v>
      </c>
      <c r="C3210" s="37" t="s">
        <v>2352</v>
      </c>
      <c r="D3210" s="37" t="s">
        <v>2349</v>
      </c>
    </row>
    <row r="3211" spans="1:4" ht="14.25">
      <c r="A3211" s="37">
        <v>40819</v>
      </c>
      <c r="B3211" s="37" t="s">
        <v>23961</v>
      </c>
      <c r="C3211" s="37" t="s">
        <v>2369</v>
      </c>
      <c r="D3211" s="37" t="s">
        <v>2349</v>
      </c>
    </row>
    <row r="3212" spans="1:4" ht="14.25">
      <c r="A3212" s="37">
        <v>34361</v>
      </c>
      <c r="B3212" s="37" t="s">
        <v>23962</v>
      </c>
      <c r="C3212" s="37" t="s">
        <v>2356</v>
      </c>
      <c r="D3212" s="37" t="s">
        <v>2349</v>
      </c>
    </row>
    <row r="3213" spans="1:4" ht="14.25">
      <c r="A3213" s="37">
        <v>36512</v>
      </c>
      <c r="B3213" s="37" t="s">
        <v>23963</v>
      </c>
      <c r="C3213" s="37" t="s">
        <v>2348</v>
      </c>
      <c r="D3213" s="37" t="s">
        <v>2351</v>
      </c>
    </row>
    <row r="3214" spans="1:4" ht="14.25">
      <c r="A3214" s="37">
        <v>44478</v>
      </c>
      <c r="B3214" s="37" t="s">
        <v>28030</v>
      </c>
      <c r="C3214" s="37" t="s">
        <v>2356</v>
      </c>
      <c r="D3214" s="37" t="s">
        <v>2349</v>
      </c>
    </row>
    <row r="3215" spans="1:4" ht="14.25">
      <c r="A3215" s="37">
        <v>44477</v>
      </c>
      <c r="B3215" s="37" t="s">
        <v>28031</v>
      </c>
      <c r="C3215" s="37" t="s">
        <v>2356</v>
      </c>
      <c r="D3215" s="37" t="s">
        <v>2349</v>
      </c>
    </row>
    <row r="3216" spans="1:4" ht="14.25">
      <c r="A3216" s="37">
        <v>11697</v>
      </c>
      <c r="B3216" s="37" t="s">
        <v>23964</v>
      </c>
      <c r="C3216" s="37" t="s">
        <v>2348</v>
      </c>
      <c r="D3216" s="37" t="s">
        <v>2349</v>
      </c>
    </row>
    <row r="3217" spans="1:4" ht="14.25">
      <c r="A3217" s="37">
        <v>11698</v>
      </c>
      <c r="B3217" s="37" t="s">
        <v>23965</v>
      </c>
      <c r="C3217" s="37" t="s">
        <v>2348</v>
      </c>
      <c r="D3217" s="37" t="s">
        <v>2349</v>
      </c>
    </row>
    <row r="3218" spans="1:4" ht="14.25">
      <c r="A3218" s="37">
        <v>10432</v>
      </c>
      <c r="B3218" s="37" t="s">
        <v>23966</v>
      </c>
      <c r="C3218" s="37" t="s">
        <v>2348</v>
      </c>
      <c r="D3218" s="37" t="s">
        <v>2349</v>
      </c>
    </row>
    <row r="3219" spans="1:4" ht="14.25">
      <c r="A3219" s="37">
        <v>11699</v>
      </c>
      <c r="B3219" s="37" t="s">
        <v>23967</v>
      </c>
      <c r="C3219" s="37" t="s">
        <v>2348</v>
      </c>
      <c r="D3219" s="37" t="s">
        <v>2349</v>
      </c>
    </row>
    <row r="3220" spans="1:4" ht="14.25">
      <c r="A3220" s="37">
        <v>44020</v>
      </c>
      <c r="B3220" s="37" t="s">
        <v>23968</v>
      </c>
      <c r="C3220" s="37" t="s">
        <v>2348</v>
      </c>
      <c r="D3220" s="37" t="s">
        <v>2349</v>
      </c>
    </row>
    <row r="3221" spans="1:4" ht="14.25">
      <c r="A3221" s="37">
        <v>41420</v>
      </c>
      <c r="B3221" s="37" t="s">
        <v>23969</v>
      </c>
      <c r="C3221" s="37" t="s">
        <v>2348</v>
      </c>
      <c r="D3221" s="37" t="s">
        <v>2349</v>
      </c>
    </row>
    <row r="3222" spans="1:4" ht="14.25">
      <c r="A3222" s="37">
        <v>41422</v>
      </c>
      <c r="B3222" s="37" t="s">
        <v>23970</v>
      </c>
      <c r="C3222" s="37" t="s">
        <v>2348</v>
      </c>
      <c r="D3222" s="37" t="s">
        <v>2349</v>
      </c>
    </row>
    <row r="3223" spans="1:4" ht="14.25">
      <c r="A3223" s="37">
        <v>41425</v>
      </c>
      <c r="B3223" s="37" t="s">
        <v>23971</v>
      </c>
      <c r="C3223" s="37" t="s">
        <v>2348</v>
      </c>
      <c r="D3223" s="37" t="s">
        <v>2349</v>
      </c>
    </row>
    <row r="3224" spans="1:4" ht="14.25">
      <c r="A3224" s="37">
        <v>41426</v>
      </c>
      <c r="B3224" s="37" t="s">
        <v>23972</v>
      </c>
      <c r="C3224" s="37" t="s">
        <v>2348</v>
      </c>
      <c r="D3224" s="37" t="s">
        <v>2349</v>
      </c>
    </row>
    <row r="3225" spans="1:4" ht="14.25">
      <c r="A3225" s="37">
        <v>41419</v>
      </c>
      <c r="B3225" s="37" t="s">
        <v>23973</v>
      </c>
      <c r="C3225" s="37" t="s">
        <v>2348</v>
      </c>
      <c r="D3225" s="37" t="s">
        <v>2349</v>
      </c>
    </row>
    <row r="3226" spans="1:4" ht="14.25">
      <c r="A3226" s="37">
        <v>41421</v>
      </c>
      <c r="B3226" s="37" t="s">
        <v>23974</v>
      </c>
      <c r="C3226" s="37" t="s">
        <v>2348</v>
      </c>
      <c r="D3226" s="37" t="s">
        <v>2349</v>
      </c>
    </row>
    <row r="3227" spans="1:4" ht="14.25">
      <c r="A3227" s="37">
        <v>41414</v>
      </c>
      <c r="B3227" s="37" t="s">
        <v>23975</v>
      </c>
      <c r="C3227" s="37" t="s">
        <v>2348</v>
      </c>
      <c r="D3227" s="37" t="s">
        <v>2349</v>
      </c>
    </row>
    <row r="3228" spans="1:4" ht="14.25">
      <c r="A3228" s="37">
        <v>41415</v>
      </c>
      <c r="B3228" s="37" t="s">
        <v>23976</v>
      </c>
      <c r="C3228" s="37" t="s">
        <v>2348</v>
      </c>
      <c r="D3228" s="37" t="s">
        <v>2349</v>
      </c>
    </row>
    <row r="3229" spans="1:4" ht="14.25">
      <c r="A3229" s="37">
        <v>37514</v>
      </c>
      <c r="B3229" s="37" t="s">
        <v>23977</v>
      </c>
      <c r="C3229" s="37" t="s">
        <v>2348</v>
      </c>
      <c r="D3229" s="37" t="s">
        <v>2351</v>
      </c>
    </row>
    <row r="3230" spans="1:4" ht="14.25">
      <c r="A3230" s="37">
        <v>37519</v>
      </c>
      <c r="B3230" s="37" t="s">
        <v>23978</v>
      </c>
      <c r="C3230" s="37" t="s">
        <v>2348</v>
      </c>
      <c r="D3230" s="37" t="s">
        <v>2351</v>
      </c>
    </row>
    <row r="3231" spans="1:4" ht="14.25">
      <c r="A3231" s="37">
        <v>37520</v>
      </c>
      <c r="B3231" s="37" t="s">
        <v>23979</v>
      </c>
      <c r="C3231" s="37" t="s">
        <v>2348</v>
      </c>
      <c r="D3231" s="37" t="s">
        <v>2351</v>
      </c>
    </row>
    <row r="3232" spans="1:4" ht="14.25">
      <c r="A3232" s="37">
        <v>37521</v>
      </c>
      <c r="B3232" s="37" t="s">
        <v>23980</v>
      </c>
      <c r="C3232" s="37" t="s">
        <v>2348</v>
      </c>
      <c r="D3232" s="37" t="s">
        <v>2351</v>
      </c>
    </row>
    <row r="3233" spans="1:4" ht="14.25">
      <c r="A3233" s="37">
        <v>37522</v>
      </c>
      <c r="B3233" s="37" t="s">
        <v>23981</v>
      </c>
      <c r="C3233" s="37" t="s">
        <v>2348</v>
      </c>
      <c r="D3233" s="37" t="s">
        <v>2351</v>
      </c>
    </row>
    <row r="3234" spans="1:4" ht="14.25">
      <c r="A3234" s="37">
        <v>21109</v>
      </c>
      <c r="B3234" s="37" t="s">
        <v>23982</v>
      </c>
      <c r="C3234" s="37" t="s">
        <v>2348</v>
      </c>
      <c r="D3234" s="37" t="s">
        <v>2351</v>
      </c>
    </row>
    <row r="3235" spans="1:4" ht="14.25">
      <c r="A3235" s="37">
        <v>11769</v>
      </c>
      <c r="B3235" s="37" t="s">
        <v>28032</v>
      </c>
      <c r="C3235" s="37" t="s">
        <v>2348</v>
      </c>
      <c r="D3235" s="37" t="s">
        <v>2349</v>
      </c>
    </row>
    <row r="3236" spans="1:4" ht="14.25">
      <c r="A3236" s="37">
        <v>36793</v>
      </c>
      <c r="B3236" s="37" t="s">
        <v>28033</v>
      </c>
      <c r="C3236" s="37" t="s">
        <v>2348</v>
      </c>
      <c r="D3236" s="37" t="s">
        <v>2349</v>
      </c>
    </row>
    <row r="3237" spans="1:4" ht="14.25">
      <c r="A3237" s="37">
        <v>37546</v>
      </c>
      <c r="B3237" s="37" t="s">
        <v>23983</v>
      </c>
      <c r="C3237" s="37" t="s">
        <v>2348</v>
      </c>
      <c r="D3237" s="37" t="s">
        <v>2351</v>
      </c>
    </row>
    <row r="3238" spans="1:4" ht="14.25">
      <c r="A3238" s="37">
        <v>37544</v>
      </c>
      <c r="B3238" s="37" t="s">
        <v>23984</v>
      </c>
      <c r="C3238" s="37" t="s">
        <v>2348</v>
      </c>
      <c r="D3238" s="37" t="s">
        <v>2351</v>
      </c>
    </row>
    <row r="3239" spans="1:4" ht="14.25">
      <c r="A3239" s="37">
        <v>37545</v>
      </c>
      <c r="B3239" s="37" t="s">
        <v>23985</v>
      </c>
      <c r="C3239" s="37" t="s">
        <v>2348</v>
      </c>
      <c r="D3239" s="37" t="s">
        <v>2351</v>
      </c>
    </row>
    <row r="3240" spans="1:4" ht="14.25">
      <c r="A3240" s="37">
        <v>11771</v>
      </c>
      <c r="B3240" s="37" t="s">
        <v>28034</v>
      </c>
      <c r="C3240" s="37" t="s">
        <v>2348</v>
      </c>
      <c r="D3240" s="37" t="s">
        <v>2349</v>
      </c>
    </row>
    <row r="3241" spans="1:4" ht="14.25">
      <c r="A3241" s="37">
        <v>39919</v>
      </c>
      <c r="B3241" s="37" t="s">
        <v>23986</v>
      </c>
      <c r="C3241" s="37" t="s">
        <v>2348</v>
      </c>
      <c r="D3241" s="37" t="s">
        <v>2351</v>
      </c>
    </row>
    <row r="3242" spans="1:4" ht="14.25">
      <c r="A3242" s="37">
        <v>38385</v>
      </c>
      <c r="B3242" s="37" t="s">
        <v>23987</v>
      </c>
      <c r="C3242" s="37" t="s">
        <v>2348</v>
      </c>
      <c r="D3242" s="37" t="s">
        <v>2349</v>
      </c>
    </row>
    <row r="3243" spans="1:4" ht="14.25">
      <c r="A3243" s="37">
        <v>37587</v>
      </c>
      <c r="B3243" s="37" t="s">
        <v>28035</v>
      </c>
      <c r="C3243" s="37" t="s">
        <v>2348</v>
      </c>
      <c r="D3243" s="37" t="s">
        <v>2349</v>
      </c>
    </row>
    <row r="3244" spans="1:4" ht="14.25">
      <c r="A3244" s="37">
        <v>36800</v>
      </c>
      <c r="B3244" s="37" t="s">
        <v>28036</v>
      </c>
      <c r="C3244" s="37" t="s">
        <v>2348</v>
      </c>
      <c r="D3244" s="37" t="s">
        <v>2349</v>
      </c>
    </row>
    <row r="3245" spans="1:4" ht="14.25">
      <c r="A3245" s="37">
        <v>11561</v>
      </c>
      <c r="B3245" s="37" t="s">
        <v>23988</v>
      </c>
      <c r="C3245" s="37" t="s">
        <v>2348</v>
      </c>
      <c r="D3245" s="37" t="s">
        <v>2349</v>
      </c>
    </row>
    <row r="3246" spans="1:4" ht="14.25">
      <c r="A3246" s="37">
        <v>43604</v>
      </c>
      <c r="B3246" s="37" t="s">
        <v>23989</v>
      </c>
      <c r="C3246" s="37" t="s">
        <v>2348</v>
      </c>
      <c r="D3246" s="37" t="s">
        <v>2349</v>
      </c>
    </row>
    <row r="3247" spans="1:4" ht="14.25">
      <c r="A3247" s="37">
        <v>11560</v>
      </c>
      <c r="B3247" s="37" t="s">
        <v>23990</v>
      </c>
      <c r="C3247" s="37" t="s">
        <v>2348</v>
      </c>
      <c r="D3247" s="37" t="s">
        <v>2349</v>
      </c>
    </row>
    <row r="3248" spans="1:4" ht="14.25">
      <c r="A3248" s="37">
        <v>11499</v>
      </c>
      <c r="B3248" s="37" t="s">
        <v>23991</v>
      </c>
      <c r="C3248" s="37" t="s">
        <v>2348</v>
      </c>
      <c r="D3248" s="37" t="s">
        <v>2349</v>
      </c>
    </row>
    <row r="3249" spans="1:4" ht="14.25">
      <c r="A3249" s="37">
        <v>34761</v>
      </c>
      <c r="B3249" s="37" t="s">
        <v>23992</v>
      </c>
      <c r="C3249" s="37" t="s">
        <v>2352</v>
      </c>
      <c r="D3249" s="37" t="s">
        <v>2349</v>
      </c>
    </row>
    <row r="3250" spans="1:4" ht="14.25">
      <c r="A3250" s="37">
        <v>40924</v>
      </c>
      <c r="B3250" s="37" t="s">
        <v>23993</v>
      </c>
      <c r="C3250" s="37" t="s">
        <v>2369</v>
      </c>
      <c r="D3250" s="37" t="s">
        <v>2349</v>
      </c>
    </row>
    <row r="3251" spans="1:4" ht="14.25">
      <c r="A3251" s="37">
        <v>40983</v>
      </c>
      <c r="B3251" s="37" t="s">
        <v>23994</v>
      </c>
      <c r="C3251" s="37" t="s">
        <v>2369</v>
      </c>
      <c r="D3251" s="37" t="s">
        <v>2349</v>
      </c>
    </row>
    <row r="3252" spans="1:4" ht="14.25">
      <c r="A3252" s="37">
        <v>44497</v>
      </c>
      <c r="B3252" s="37" t="s">
        <v>28037</v>
      </c>
      <c r="C3252" s="37" t="s">
        <v>2352</v>
      </c>
      <c r="D3252" s="37" t="s">
        <v>2349</v>
      </c>
    </row>
    <row r="3253" spans="1:4" ht="14.25">
      <c r="A3253" s="37">
        <v>2437</v>
      </c>
      <c r="B3253" s="37" t="s">
        <v>23995</v>
      </c>
      <c r="C3253" s="37" t="s">
        <v>2352</v>
      </c>
      <c r="D3253" s="37" t="s">
        <v>2349</v>
      </c>
    </row>
    <row r="3254" spans="1:4" ht="14.25">
      <c r="A3254" s="37">
        <v>40921</v>
      </c>
      <c r="B3254" s="37" t="s">
        <v>23996</v>
      </c>
      <c r="C3254" s="37" t="s">
        <v>2369</v>
      </c>
      <c r="D3254" s="37" t="s">
        <v>2349</v>
      </c>
    </row>
    <row r="3255" spans="1:4" ht="14.25">
      <c r="A3255" s="37">
        <v>14252</v>
      </c>
      <c r="B3255" s="37" t="s">
        <v>23997</v>
      </c>
      <c r="C3255" s="37" t="s">
        <v>2348</v>
      </c>
      <c r="D3255" s="37" t="s">
        <v>2349</v>
      </c>
    </row>
    <row r="3256" spans="1:4" ht="14.25">
      <c r="A3256" s="37">
        <v>730</v>
      </c>
      <c r="B3256" s="37" t="s">
        <v>23998</v>
      </c>
      <c r="C3256" s="37" t="s">
        <v>2348</v>
      </c>
      <c r="D3256" s="37" t="s">
        <v>2349</v>
      </c>
    </row>
    <row r="3257" spans="1:4" ht="14.25">
      <c r="A3257" s="37">
        <v>723</v>
      </c>
      <c r="B3257" s="37" t="s">
        <v>23999</v>
      </c>
      <c r="C3257" s="37" t="s">
        <v>2348</v>
      </c>
      <c r="D3257" s="37" t="s">
        <v>2349</v>
      </c>
    </row>
    <row r="3258" spans="1:4" ht="14.25">
      <c r="A3258" s="37">
        <v>36502</v>
      </c>
      <c r="B3258" s="37" t="s">
        <v>24000</v>
      </c>
      <c r="C3258" s="37" t="s">
        <v>2348</v>
      </c>
      <c r="D3258" s="37" t="s">
        <v>2349</v>
      </c>
    </row>
    <row r="3259" spans="1:4" ht="14.25">
      <c r="A3259" s="37">
        <v>36503</v>
      </c>
      <c r="B3259" s="37" t="s">
        <v>24001</v>
      </c>
      <c r="C3259" s="37" t="s">
        <v>2348</v>
      </c>
      <c r="D3259" s="37" t="s">
        <v>2349</v>
      </c>
    </row>
    <row r="3260" spans="1:4" ht="14.25">
      <c r="A3260" s="37">
        <v>4090</v>
      </c>
      <c r="B3260" s="37" t="s">
        <v>24002</v>
      </c>
      <c r="C3260" s="37" t="s">
        <v>2348</v>
      </c>
      <c r="D3260" s="37" t="s">
        <v>2353</v>
      </c>
    </row>
    <row r="3261" spans="1:4" ht="14.25">
      <c r="A3261" s="37">
        <v>13227</v>
      </c>
      <c r="B3261" s="37" t="s">
        <v>24003</v>
      </c>
      <c r="C3261" s="37" t="s">
        <v>2348</v>
      </c>
      <c r="D3261" s="37" t="s">
        <v>2349</v>
      </c>
    </row>
    <row r="3262" spans="1:4" ht="14.25">
      <c r="A3262" s="37">
        <v>10597</v>
      </c>
      <c r="B3262" s="37" t="s">
        <v>24004</v>
      </c>
      <c r="C3262" s="37" t="s">
        <v>2348</v>
      </c>
      <c r="D3262" s="37" t="s">
        <v>2349</v>
      </c>
    </row>
    <row r="3263" spans="1:4" ht="14.25">
      <c r="A3263" s="37">
        <v>39628</v>
      </c>
      <c r="B3263" s="37" t="s">
        <v>24005</v>
      </c>
      <c r="C3263" s="37" t="s">
        <v>2348</v>
      </c>
      <c r="D3263" s="37" t="s">
        <v>2351</v>
      </c>
    </row>
    <row r="3264" spans="1:4" ht="14.25">
      <c r="A3264" s="37">
        <v>39404</v>
      </c>
      <c r="B3264" s="37" t="s">
        <v>24006</v>
      </c>
      <c r="C3264" s="37" t="s">
        <v>2348</v>
      </c>
      <c r="D3264" s="37" t="s">
        <v>2351</v>
      </c>
    </row>
    <row r="3265" spans="1:4" ht="14.25">
      <c r="A3265" s="37">
        <v>39402</v>
      </c>
      <c r="B3265" s="37" t="s">
        <v>24007</v>
      </c>
      <c r="C3265" s="37" t="s">
        <v>2348</v>
      </c>
      <c r="D3265" s="37" t="s">
        <v>2351</v>
      </c>
    </row>
    <row r="3266" spans="1:4" ht="14.25">
      <c r="A3266" s="37">
        <v>39403</v>
      </c>
      <c r="B3266" s="37" t="s">
        <v>24008</v>
      </c>
      <c r="C3266" s="37" t="s">
        <v>2348</v>
      </c>
      <c r="D3266" s="37" t="s">
        <v>2351</v>
      </c>
    </row>
    <row r="3267" spans="1:4" ht="14.25">
      <c r="A3267" s="37">
        <v>4093</v>
      </c>
      <c r="B3267" s="37" t="s">
        <v>24009</v>
      </c>
      <c r="C3267" s="37" t="s">
        <v>2352</v>
      </c>
      <c r="D3267" s="37" t="s">
        <v>2349</v>
      </c>
    </row>
    <row r="3268" spans="1:4" ht="14.25">
      <c r="A3268" s="37">
        <v>10512</v>
      </c>
      <c r="B3268" s="37" t="s">
        <v>24010</v>
      </c>
      <c r="C3268" s="37" t="s">
        <v>2369</v>
      </c>
      <c r="D3268" s="37" t="s">
        <v>2349</v>
      </c>
    </row>
    <row r="3269" spans="1:4" ht="14.25">
      <c r="A3269" s="37">
        <v>20020</v>
      </c>
      <c r="B3269" s="37" t="s">
        <v>24011</v>
      </c>
      <c r="C3269" s="37" t="s">
        <v>2352</v>
      </c>
      <c r="D3269" s="37" t="s">
        <v>2349</v>
      </c>
    </row>
    <row r="3270" spans="1:4" ht="14.25">
      <c r="A3270" s="37">
        <v>41038</v>
      </c>
      <c r="B3270" s="37" t="s">
        <v>24012</v>
      </c>
      <c r="C3270" s="37" t="s">
        <v>2369</v>
      </c>
      <c r="D3270" s="37" t="s">
        <v>2349</v>
      </c>
    </row>
    <row r="3271" spans="1:4" ht="14.25">
      <c r="A3271" s="37">
        <v>4094</v>
      </c>
      <c r="B3271" s="37" t="s">
        <v>24013</v>
      </c>
      <c r="C3271" s="37" t="s">
        <v>2352</v>
      </c>
      <c r="D3271" s="37" t="s">
        <v>2349</v>
      </c>
    </row>
    <row r="3272" spans="1:4" ht="14.25">
      <c r="A3272" s="37">
        <v>40988</v>
      </c>
      <c r="B3272" s="37" t="s">
        <v>24014</v>
      </c>
      <c r="C3272" s="37" t="s">
        <v>2369</v>
      </c>
      <c r="D3272" s="37" t="s">
        <v>2349</v>
      </c>
    </row>
    <row r="3273" spans="1:4" ht="14.25">
      <c r="A3273" s="37">
        <v>4095</v>
      </c>
      <c r="B3273" s="37" t="s">
        <v>24015</v>
      </c>
      <c r="C3273" s="37" t="s">
        <v>2352</v>
      </c>
      <c r="D3273" s="37" t="s">
        <v>2349</v>
      </c>
    </row>
    <row r="3274" spans="1:4" ht="14.25">
      <c r="A3274" s="37">
        <v>40990</v>
      </c>
      <c r="B3274" s="37" t="s">
        <v>24016</v>
      </c>
      <c r="C3274" s="37" t="s">
        <v>2369</v>
      </c>
      <c r="D3274" s="37" t="s">
        <v>2349</v>
      </c>
    </row>
    <row r="3275" spans="1:4" ht="14.25">
      <c r="A3275" s="37">
        <v>4097</v>
      </c>
      <c r="B3275" s="37" t="s">
        <v>24017</v>
      </c>
      <c r="C3275" s="37" t="s">
        <v>2352</v>
      </c>
      <c r="D3275" s="37" t="s">
        <v>2349</v>
      </c>
    </row>
    <row r="3276" spans="1:4" ht="14.25">
      <c r="A3276" s="37">
        <v>40994</v>
      </c>
      <c r="B3276" s="37" t="s">
        <v>24018</v>
      </c>
      <c r="C3276" s="37" t="s">
        <v>2369</v>
      </c>
      <c r="D3276" s="37" t="s">
        <v>2349</v>
      </c>
    </row>
    <row r="3277" spans="1:4" ht="14.25">
      <c r="A3277" s="37">
        <v>4096</v>
      </c>
      <c r="B3277" s="37" t="s">
        <v>24019</v>
      </c>
      <c r="C3277" s="37" t="s">
        <v>2352</v>
      </c>
      <c r="D3277" s="37" t="s">
        <v>2349</v>
      </c>
    </row>
    <row r="3278" spans="1:4" ht="14.25">
      <c r="A3278" s="37">
        <v>40992</v>
      </c>
      <c r="B3278" s="37" t="s">
        <v>24020</v>
      </c>
      <c r="C3278" s="37" t="s">
        <v>2369</v>
      </c>
      <c r="D3278" s="37" t="s">
        <v>2349</v>
      </c>
    </row>
    <row r="3279" spans="1:4" ht="14.25">
      <c r="A3279" s="37">
        <v>4114</v>
      </c>
      <c r="B3279" s="37" t="s">
        <v>24021</v>
      </c>
      <c r="C3279" s="37" t="s">
        <v>2348</v>
      </c>
      <c r="D3279" s="37" t="s">
        <v>2349</v>
      </c>
    </row>
    <row r="3280" spans="1:4" ht="14.25">
      <c r="A3280" s="37">
        <v>36797</v>
      </c>
      <c r="B3280" s="37" t="s">
        <v>24022</v>
      </c>
      <c r="C3280" s="37" t="s">
        <v>2348</v>
      </c>
      <c r="D3280" s="37" t="s">
        <v>2349</v>
      </c>
    </row>
    <row r="3281" spans="1:4" ht="14.25">
      <c r="A3281" s="37">
        <v>4107</v>
      </c>
      <c r="B3281" s="37" t="s">
        <v>24023</v>
      </c>
      <c r="C3281" s="37" t="s">
        <v>2348</v>
      </c>
      <c r="D3281" s="37" t="s">
        <v>2349</v>
      </c>
    </row>
    <row r="3282" spans="1:4" ht="14.25">
      <c r="A3282" s="37">
        <v>4102</v>
      </c>
      <c r="B3282" s="37" t="s">
        <v>24024</v>
      </c>
      <c r="C3282" s="37" t="s">
        <v>2348</v>
      </c>
      <c r="D3282" s="37" t="s">
        <v>2353</v>
      </c>
    </row>
    <row r="3283" spans="1:4" ht="14.25">
      <c r="A3283" s="37">
        <v>36799</v>
      </c>
      <c r="B3283" s="37" t="s">
        <v>24025</v>
      </c>
      <c r="C3283" s="37" t="s">
        <v>2348</v>
      </c>
      <c r="D3283" s="37" t="s">
        <v>2349</v>
      </c>
    </row>
    <row r="3284" spans="1:4" ht="14.25">
      <c r="A3284" s="37">
        <v>2747</v>
      </c>
      <c r="B3284" s="37" t="s">
        <v>24026</v>
      </c>
      <c r="C3284" s="37" t="s">
        <v>2355</v>
      </c>
      <c r="D3284" s="37" t="s">
        <v>2351</v>
      </c>
    </row>
    <row r="3285" spans="1:4" ht="14.25">
      <c r="A3285" s="37">
        <v>21138</v>
      </c>
      <c r="B3285" s="37" t="s">
        <v>24027</v>
      </c>
      <c r="C3285" s="37" t="s">
        <v>2355</v>
      </c>
      <c r="D3285" s="37" t="s">
        <v>2351</v>
      </c>
    </row>
    <row r="3286" spans="1:4" ht="14.25">
      <c r="A3286" s="37">
        <v>10826</v>
      </c>
      <c r="B3286" s="37" t="s">
        <v>24028</v>
      </c>
      <c r="C3286" s="37" t="s">
        <v>2348</v>
      </c>
      <c r="D3286" s="37" t="s">
        <v>2349</v>
      </c>
    </row>
    <row r="3287" spans="1:4" ht="14.25">
      <c r="A3287" s="37">
        <v>365</v>
      </c>
      <c r="B3287" s="37" t="s">
        <v>24029</v>
      </c>
      <c r="C3287" s="37" t="s">
        <v>2348</v>
      </c>
      <c r="D3287" s="37" t="s">
        <v>2349</v>
      </c>
    </row>
    <row r="3288" spans="1:4" ht="14.25">
      <c r="A3288" s="37">
        <v>38639</v>
      </c>
      <c r="B3288" s="37" t="s">
        <v>24030</v>
      </c>
      <c r="C3288" s="37" t="s">
        <v>2348</v>
      </c>
      <c r="D3288" s="37" t="s">
        <v>2349</v>
      </c>
    </row>
    <row r="3289" spans="1:4" ht="14.25">
      <c r="A3289" s="37">
        <v>38640</v>
      </c>
      <c r="B3289" s="37" t="s">
        <v>24031</v>
      </c>
      <c r="C3289" s="37" t="s">
        <v>2348</v>
      </c>
      <c r="D3289" s="37" t="s">
        <v>2349</v>
      </c>
    </row>
    <row r="3290" spans="1:4" ht="14.25">
      <c r="A3290" s="37">
        <v>358</v>
      </c>
      <c r="B3290" s="37" t="s">
        <v>24032</v>
      </c>
      <c r="C3290" s="37" t="s">
        <v>2348</v>
      </c>
      <c r="D3290" s="37" t="s">
        <v>2349</v>
      </c>
    </row>
    <row r="3291" spans="1:4" ht="14.25">
      <c r="A3291" s="37">
        <v>359</v>
      </c>
      <c r="B3291" s="37" t="s">
        <v>24033</v>
      </c>
      <c r="C3291" s="37" t="s">
        <v>2348</v>
      </c>
      <c r="D3291" s="37" t="s">
        <v>2349</v>
      </c>
    </row>
    <row r="3292" spans="1:4" ht="14.25">
      <c r="A3292" s="37">
        <v>38641</v>
      </c>
      <c r="B3292" s="37" t="s">
        <v>24034</v>
      </c>
      <c r="C3292" s="37" t="s">
        <v>2348</v>
      </c>
      <c r="D3292" s="37" t="s">
        <v>2349</v>
      </c>
    </row>
    <row r="3293" spans="1:4" ht="14.25">
      <c r="A3293" s="37">
        <v>360</v>
      </c>
      <c r="B3293" s="37" t="s">
        <v>24035</v>
      </c>
      <c r="C3293" s="37" t="s">
        <v>2348</v>
      </c>
      <c r="D3293" s="37" t="s">
        <v>2353</v>
      </c>
    </row>
    <row r="3294" spans="1:4" ht="14.25">
      <c r="A3294" s="37">
        <v>42430</v>
      </c>
      <c r="B3294" s="37" t="s">
        <v>24036</v>
      </c>
      <c r="C3294" s="37" t="s">
        <v>2348</v>
      </c>
      <c r="D3294" s="37" t="s">
        <v>2351</v>
      </c>
    </row>
    <row r="3295" spans="1:4" ht="14.25">
      <c r="A3295" s="37">
        <v>4214</v>
      </c>
      <c r="B3295" s="37" t="s">
        <v>24037</v>
      </c>
      <c r="C3295" s="37" t="s">
        <v>2348</v>
      </c>
      <c r="D3295" s="37" t="s">
        <v>2349</v>
      </c>
    </row>
    <row r="3296" spans="1:4" ht="14.25">
      <c r="A3296" s="37">
        <v>4215</v>
      </c>
      <c r="B3296" s="37" t="s">
        <v>24038</v>
      </c>
      <c r="C3296" s="37" t="s">
        <v>2348</v>
      </c>
      <c r="D3296" s="37" t="s">
        <v>2349</v>
      </c>
    </row>
    <row r="3297" spans="1:4" ht="14.25">
      <c r="A3297" s="37">
        <v>4210</v>
      </c>
      <c r="B3297" s="37" t="s">
        <v>24039</v>
      </c>
      <c r="C3297" s="37" t="s">
        <v>2348</v>
      </c>
      <c r="D3297" s="37" t="s">
        <v>2349</v>
      </c>
    </row>
    <row r="3298" spans="1:4" ht="14.25">
      <c r="A3298" s="37">
        <v>4212</v>
      </c>
      <c r="B3298" s="37" t="s">
        <v>24040</v>
      </c>
      <c r="C3298" s="37" t="s">
        <v>2348</v>
      </c>
      <c r="D3298" s="37" t="s">
        <v>2349</v>
      </c>
    </row>
    <row r="3299" spans="1:4" ht="14.25">
      <c r="A3299" s="37">
        <v>4213</v>
      </c>
      <c r="B3299" s="37" t="s">
        <v>24041</v>
      </c>
      <c r="C3299" s="37" t="s">
        <v>2348</v>
      </c>
      <c r="D3299" s="37" t="s">
        <v>2349</v>
      </c>
    </row>
    <row r="3300" spans="1:4" ht="14.25">
      <c r="A3300" s="37">
        <v>4211</v>
      </c>
      <c r="B3300" s="37" t="s">
        <v>24042</v>
      </c>
      <c r="C3300" s="37" t="s">
        <v>2348</v>
      </c>
      <c r="D3300" s="37" t="s">
        <v>2349</v>
      </c>
    </row>
    <row r="3301" spans="1:4" ht="14.25">
      <c r="A3301" s="37">
        <v>4209</v>
      </c>
      <c r="B3301" s="37" t="s">
        <v>24043</v>
      </c>
      <c r="C3301" s="37" t="s">
        <v>2348</v>
      </c>
      <c r="D3301" s="37" t="s">
        <v>2351</v>
      </c>
    </row>
    <row r="3302" spans="1:4" ht="14.25">
      <c r="A3302" s="37">
        <v>4180</v>
      </c>
      <c r="B3302" s="37" t="s">
        <v>24044</v>
      </c>
      <c r="C3302" s="37" t="s">
        <v>2348</v>
      </c>
      <c r="D3302" s="37" t="s">
        <v>2351</v>
      </c>
    </row>
    <row r="3303" spans="1:4" ht="14.25">
      <c r="A3303" s="37">
        <v>4177</v>
      </c>
      <c r="B3303" s="37" t="s">
        <v>24045</v>
      </c>
      <c r="C3303" s="37" t="s">
        <v>2348</v>
      </c>
      <c r="D3303" s="37" t="s">
        <v>2351</v>
      </c>
    </row>
    <row r="3304" spans="1:4" ht="14.25">
      <c r="A3304" s="37">
        <v>4179</v>
      </c>
      <c r="B3304" s="37" t="s">
        <v>24046</v>
      </c>
      <c r="C3304" s="37" t="s">
        <v>2348</v>
      </c>
      <c r="D3304" s="37" t="s">
        <v>2351</v>
      </c>
    </row>
    <row r="3305" spans="1:4" ht="14.25">
      <c r="A3305" s="37">
        <v>4208</v>
      </c>
      <c r="B3305" s="37" t="s">
        <v>24047</v>
      </c>
      <c r="C3305" s="37" t="s">
        <v>2348</v>
      </c>
      <c r="D3305" s="37" t="s">
        <v>2351</v>
      </c>
    </row>
    <row r="3306" spans="1:4" ht="14.25">
      <c r="A3306" s="37">
        <v>4181</v>
      </c>
      <c r="B3306" s="37" t="s">
        <v>24048</v>
      </c>
      <c r="C3306" s="37" t="s">
        <v>2348</v>
      </c>
      <c r="D3306" s="37" t="s">
        <v>2351</v>
      </c>
    </row>
    <row r="3307" spans="1:4" ht="14.25">
      <c r="A3307" s="37">
        <v>4178</v>
      </c>
      <c r="B3307" s="37" t="s">
        <v>24049</v>
      </c>
      <c r="C3307" s="37" t="s">
        <v>2348</v>
      </c>
      <c r="D3307" s="37" t="s">
        <v>2351</v>
      </c>
    </row>
    <row r="3308" spans="1:4" ht="14.25">
      <c r="A3308" s="37">
        <v>4182</v>
      </c>
      <c r="B3308" s="37" t="s">
        <v>24050</v>
      </c>
      <c r="C3308" s="37" t="s">
        <v>2348</v>
      </c>
      <c r="D3308" s="37" t="s">
        <v>2351</v>
      </c>
    </row>
    <row r="3309" spans="1:4" ht="14.25">
      <c r="A3309" s="37">
        <v>4183</v>
      </c>
      <c r="B3309" s="37" t="s">
        <v>24051</v>
      </c>
      <c r="C3309" s="37" t="s">
        <v>2348</v>
      </c>
      <c r="D3309" s="37" t="s">
        <v>2351</v>
      </c>
    </row>
    <row r="3310" spans="1:4" ht="14.25">
      <c r="A3310" s="37">
        <v>4184</v>
      </c>
      <c r="B3310" s="37" t="s">
        <v>24052</v>
      </c>
      <c r="C3310" s="37" t="s">
        <v>2348</v>
      </c>
      <c r="D3310" s="37" t="s">
        <v>2351</v>
      </c>
    </row>
    <row r="3311" spans="1:4" ht="14.25">
      <c r="A3311" s="37">
        <v>4185</v>
      </c>
      <c r="B3311" s="37" t="s">
        <v>24053</v>
      </c>
      <c r="C3311" s="37" t="s">
        <v>2348</v>
      </c>
      <c r="D3311" s="37" t="s">
        <v>2351</v>
      </c>
    </row>
    <row r="3312" spans="1:4" ht="14.25">
      <c r="A3312" s="37">
        <v>4205</v>
      </c>
      <c r="B3312" s="37" t="s">
        <v>24054</v>
      </c>
      <c r="C3312" s="37" t="s">
        <v>2348</v>
      </c>
      <c r="D3312" s="37" t="s">
        <v>2351</v>
      </c>
    </row>
    <row r="3313" spans="1:4" ht="14.25">
      <c r="A3313" s="37">
        <v>4192</v>
      </c>
      <c r="B3313" s="37" t="s">
        <v>24055</v>
      </c>
      <c r="C3313" s="37" t="s">
        <v>2348</v>
      </c>
      <c r="D3313" s="37" t="s">
        <v>2351</v>
      </c>
    </row>
    <row r="3314" spans="1:4" ht="14.25">
      <c r="A3314" s="37">
        <v>4191</v>
      </c>
      <c r="B3314" s="37" t="s">
        <v>24056</v>
      </c>
      <c r="C3314" s="37" t="s">
        <v>2348</v>
      </c>
      <c r="D3314" s="37" t="s">
        <v>2351</v>
      </c>
    </row>
    <row r="3315" spans="1:4" ht="14.25">
      <c r="A3315" s="37">
        <v>4207</v>
      </c>
      <c r="B3315" s="37" t="s">
        <v>24057</v>
      </c>
      <c r="C3315" s="37" t="s">
        <v>2348</v>
      </c>
      <c r="D3315" s="37" t="s">
        <v>2351</v>
      </c>
    </row>
    <row r="3316" spans="1:4" ht="14.25">
      <c r="A3316" s="37">
        <v>4206</v>
      </c>
      <c r="B3316" s="37" t="s">
        <v>24058</v>
      </c>
      <c r="C3316" s="37" t="s">
        <v>2348</v>
      </c>
      <c r="D3316" s="37" t="s">
        <v>2351</v>
      </c>
    </row>
    <row r="3317" spans="1:4" ht="14.25">
      <c r="A3317" s="37">
        <v>4190</v>
      </c>
      <c r="B3317" s="37" t="s">
        <v>24059</v>
      </c>
      <c r="C3317" s="37" t="s">
        <v>2348</v>
      </c>
      <c r="D3317" s="37" t="s">
        <v>2351</v>
      </c>
    </row>
    <row r="3318" spans="1:4" ht="14.25">
      <c r="A3318" s="37">
        <v>4186</v>
      </c>
      <c r="B3318" s="37" t="s">
        <v>24060</v>
      </c>
      <c r="C3318" s="37" t="s">
        <v>2348</v>
      </c>
      <c r="D3318" s="37" t="s">
        <v>2351</v>
      </c>
    </row>
    <row r="3319" spans="1:4" ht="14.25">
      <c r="A3319" s="37">
        <v>4188</v>
      </c>
      <c r="B3319" s="37" t="s">
        <v>24061</v>
      </c>
      <c r="C3319" s="37" t="s">
        <v>2348</v>
      </c>
      <c r="D3319" s="37" t="s">
        <v>2351</v>
      </c>
    </row>
    <row r="3320" spans="1:4" ht="14.25">
      <c r="A3320" s="37">
        <v>4189</v>
      </c>
      <c r="B3320" s="37" t="s">
        <v>24062</v>
      </c>
      <c r="C3320" s="37" t="s">
        <v>2348</v>
      </c>
      <c r="D3320" s="37" t="s">
        <v>2351</v>
      </c>
    </row>
    <row r="3321" spans="1:4" ht="14.25">
      <c r="A3321" s="37">
        <v>4197</v>
      </c>
      <c r="B3321" s="37" t="s">
        <v>24063</v>
      </c>
      <c r="C3321" s="37" t="s">
        <v>2348</v>
      </c>
      <c r="D3321" s="37" t="s">
        <v>2351</v>
      </c>
    </row>
    <row r="3322" spans="1:4" ht="14.25">
      <c r="A3322" s="37">
        <v>4194</v>
      </c>
      <c r="B3322" s="37" t="s">
        <v>24064</v>
      </c>
      <c r="C3322" s="37" t="s">
        <v>2348</v>
      </c>
      <c r="D3322" s="37" t="s">
        <v>2351</v>
      </c>
    </row>
    <row r="3323" spans="1:4" ht="14.25">
      <c r="A3323" s="37">
        <v>4193</v>
      </c>
      <c r="B3323" s="37" t="s">
        <v>24065</v>
      </c>
      <c r="C3323" s="37" t="s">
        <v>2348</v>
      </c>
      <c r="D3323" s="37" t="s">
        <v>2351</v>
      </c>
    </row>
    <row r="3324" spans="1:4" ht="14.25">
      <c r="A3324" s="37">
        <v>4204</v>
      </c>
      <c r="B3324" s="37" t="s">
        <v>24066</v>
      </c>
      <c r="C3324" s="37" t="s">
        <v>2348</v>
      </c>
      <c r="D3324" s="37" t="s">
        <v>2351</v>
      </c>
    </row>
    <row r="3325" spans="1:4" ht="14.25">
      <c r="A3325" s="37">
        <v>4187</v>
      </c>
      <c r="B3325" s="37" t="s">
        <v>24067</v>
      </c>
      <c r="C3325" s="37" t="s">
        <v>2348</v>
      </c>
      <c r="D3325" s="37" t="s">
        <v>2351</v>
      </c>
    </row>
    <row r="3326" spans="1:4" ht="14.25">
      <c r="A3326" s="37">
        <v>4202</v>
      </c>
      <c r="B3326" s="37" t="s">
        <v>24068</v>
      </c>
      <c r="C3326" s="37" t="s">
        <v>2348</v>
      </c>
      <c r="D3326" s="37" t="s">
        <v>2351</v>
      </c>
    </row>
    <row r="3327" spans="1:4" ht="14.25">
      <c r="A3327" s="37">
        <v>4203</v>
      </c>
      <c r="B3327" s="37" t="s">
        <v>24069</v>
      </c>
      <c r="C3327" s="37" t="s">
        <v>2348</v>
      </c>
      <c r="D3327" s="37" t="s">
        <v>2351</v>
      </c>
    </row>
    <row r="3328" spans="1:4" ht="14.25">
      <c r="A3328" s="37">
        <v>40368</v>
      </c>
      <c r="B3328" s="37" t="s">
        <v>24070</v>
      </c>
      <c r="C3328" s="37" t="s">
        <v>2348</v>
      </c>
      <c r="D3328" s="37" t="s">
        <v>2349</v>
      </c>
    </row>
    <row r="3329" spans="1:4" ht="14.25">
      <c r="A3329" s="37">
        <v>40365</v>
      </c>
      <c r="B3329" s="37" t="s">
        <v>24071</v>
      </c>
      <c r="C3329" s="37" t="s">
        <v>2348</v>
      </c>
      <c r="D3329" s="37" t="s">
        <v>2349</v>
      </c>
    </row>
    <row r="3330" spans="1:4" ht="14.25">
      <c r="A3330" s="37">
        <v>40356</v>
      </c>
      <c r="B3330" s="37" t="s">
        <v>24072</v>
      </c>
      <c r="C3330" s="37" t="s">
        <v>2348</v>
      </c>
      <c r="D3330" s="37" t="s">
        <v>2349</v>
      </c>
    </row>
    <row r="3331" spans="1:4" ht="14.25">
      <c r="A3331" s="37">
        <v>40362</v>
      </c>
      <c r="B3331" s="37" t="s">
        <v>24073</v>
      </c>
      <c r="C3331" s="37" t="s">
        <v>2348</v>
      </c>
      <c r="D3331" s="37" t="s">
        <v>2349</v>
      </c>
    </row>
    <row r="3332" spans="1:4" ht="14.25">
      <c r="A3332" s="37">
        <v>40374</v>
      </c>
      <c r="B3332" s="37" t="s">
        <v>24074</v>
      </c>
      <c r="C3332" s="37" t="s">
        <v>2348</v>
      </c>
      <c r="D3332" s="37" t="s">
        <v>2349</v>
      </c>
    </row>
    <row r="3333" spans="1:4" ht="14.25">
      <c r="A3333" s="37">
        <v>40371</v>
      </c>
      <c r="B3333" s="37" t="s">
        <v>24075</v>
      </c>
      <c r="C3333" s="37" t="s">
        <v>2348</v>
      </c>
      <c r="D3333" s="37" t="s">
        <v>2349</v>
      </c>
    </row>
    <row r="3334" spans="1:4" ht="14.25">
      <c r="A3334" s="37">
        <v>40359</v>
      </c>
      <c r="B3334" s="37" t="s">
        <v>24076</v>
      </c>
      <c r="C3334" s="37" t="s">
        <v>2348</v>
      </c>
      <c r="D3334" s="37" t="s">
        <v>2349</v>
      </c>
    </row>
    <row r="3335" spans="1:4" ht="14.25">
      <c r="A3335" s="37">
        <v>7595</v>
      </c>
      <c r="B3335" s="37" t="s">
        <v>24077</v>
      </c>
      <c r="C3335" s="37" t="s">
        <v>2352</v>
      </c>
      <c r="D3335" s="37" t="s">
        <v>2349</v>
      </c>
    </row>
    <row r="3336" spans="1:4" ht="14.25">
      <c r="A3336" s="37">
        <v>41094</v>
      </c>
      <c r="B3336" s="37" t="s">
        <v>24078</v>
      </c>
      <c r="C3336" s="37" t="s">
        <v>2369</v>
      </c>
      <c r="D3336" s="37" t="s">
        <v>2349</v>
      </c>
    </row>
    <row r="3337" spans="1:4" ht="14.25">
      <c r="A3337" s="37">
        <v>39609</v>
      </c>
      <c r="B3337" s="37" t="s">
        <v>24079</v>
      </c>
      <c r="C3337" s="37" t="s">
        <v>2348</v>
      </c>
      <c r="D3337" s="37" t="s">
        <v>2351</v>
      </c>
    </row>
    <row r="3338" spans="1:4" ht="14.25">
      <c r="A3338" s="37">
        <v>39610</v>
      </c>
      <c r="B3338" s="37" t="s">
        <v>24080</v>
      </c>
      <c r="C3338" s="37" t="s">
        <v>2348</v>
      </c>
      <c r="D3338" s="37" t="s">
        <v>2351</v>
      </c>
    </row>
    <row r="3339" spans="1:4" ht="14.25">
      <c r="A3339" s="37">
        <v>39611</v>
      </c>
      <c r="B3339" s="37" t="s">
        <v>24081</v>
      </c>
      <c r="C3339" s="37" t="s">
        <v>2348</v>
      </c>
      <c r="D3339" s="37" t="s">
        <v>2351</v>
      </c>
    </row>
    <row r="3340" spans="1:4" ht="14.25">
      <c r="A3340" s="37">
        <v>39612</v>
      </c>
      <c r="B3340" s="37" t="s">
        <v>24082</v>
      </c>
      <c r="C3340" s="37" t="s">
        <v>2348</v>
      </c>
      <c r="D3340" s="37" t="s">
        <v>2351</v>
      </c>
    </row>
    <row r="3341" spans="1:4" ht="14.25">
      <c r="A3341" s="37">
        <v>39608</v>
      </c>
      <c r="B3341" s="37" t="s">
        <v>24083</v>
      </c>
      <c r="C3341" s="37" t="s">
        <v>2348</v>
      </c>
      <c r="D3341" s="37" t="s">
        <v>2351</v>
      </c>
    </row>
    <row r="3342" spans="1:4" ht="14.25">
      <c r="A3342" s="37">
        <v>38175</v>
      </c>
      <c r="B3342" s="37" t="s">
        <v>24084</v>
      </c>
      <c r="C3342" s="37" t="s">
        <v>2348</v>
      </c>
      <c r="D3342" s="37" t="s">
        <v>2349</v>
      </c>
    </row>
    <row r="3343" spans="1:4" ht="14.25">
      <c r="A3343" s="37">
        <v>38176</v>
      </c>
      <c r="B3343" s="37" t="s">
        <v>24085</v>
      </c>
      <c r="C3343" s="37" t="s">
        <v>2348</v>
      </c>
      <c r="D3343" s="37" t="s">
        <v>2349</v>
      </c>
    </row>
    <row r="3344" spans="1:4" ht="14.25">
      <c r="A3344" s="37">
        <v>36152</v>
      </c>
      <c r="B3344" s="37" t="s">
        <v>24086</v>
      </c>
      <c r="C3344" s="37" t="s">
        <v>2348</v>
      </c>
      <c r="D3344" s="37" t="s">
        <v>2349</v>
      </c>
    </row>
    <row r="3345" spans="1:4" ht="14.25">
      <c r="A3345" s="37">
        <v>11138</v>
      </c>
      <c r="B3345" s="37" t="s">
        <v>24087</v>
      </c>
      <c r="C3345" s="37" t="s">
        <v>2363</v>
      </c>
      <c r="D3345" s="37" t="s">
        <v>2349</v>
      </c>
    </row>
    <row r="3346" spans="1:4" ht="14.25">
      <c r="A3346" s="37">
        <v>4221</v>
      </c>
      <c r="B3346" s="37" t="s">
        <v>24088</v>
      </c>
      <c r="C3346" s="37" t="s">
        <v>2363</v>
      </c>
      <c r="D3346" s="37" t="s">
        <v>2353</v>
      </c>
    </row>
    <row r="3347" spans="1:4" ht="14.25">
      <c r="A3347" s="37">
        <v>4227</v>
      </c>
      <c r="B3347" s="37" t="s">
        <v>24089</v>
      </c>
      <c r="C3347" s="37" t="s">
        <v>2363</v>
      </c>
      <c r="D3347" s="37" t="s">
        <v>2353</v>
      </c>
    </row>
    <row r="3348" spans="1:4" ht="14.25">
      <c r="A3348" s="37">
        <v>38170</v>
      </c>
      <c r="B3348" s="37" t="s">
        <v>24090</v>
      </c>
      <c r="C3348" s="37" t="s">
        <v>2348</v>
      </c>
      <c r="D3348" s="37" t="s">
        <v>2349</v>
      </c>
    </row>
    <row r="3349" spans="1:4" ht="14.25">
      <c r="A3349" s="37">
        <v>4252</v>
      </c>
      <c r="B3349" s="37" t="s">
        <v>24091</v>
      </c>
      <c r="C3349" s="37" t="s">
        <v>2352</v>
      </c>
      <c r="D3349" s="37" t="s">
        <v>2349</v>
      </c>
    </row>
    <row r="3350" spans="1:4" ht="14.25">
      <c r="A3350" s="37">
        <v>40980</v>
      </c>
      <c r="B3350" s="37" t="s">
        <v>24092</v>
      </c>
      <c r="C3350" s="37" t="s">
        <v>2369</v>
      </c>
      <c r="D3350" s="37" t="s">
        <v>2349</v>
      </c>
    </row>
    <row r="3351" spans="1:4" ht="14.25">
      <c r="A3351" s="37">
        <v>4243</v>
      </c>
      <c r="B3351" s="37" t="s">
        <v>24093</v>
      </c>
      <c r="C3351" s="37" t="s">
        <v>2352</v>
      </c>
      <c r="D3351" s="37" t="s">
        <v>2349</v>
      </c>
    </row>
    <row r="3352" spans="1:4" ht="14.25">
      <c r="A3352" s="37">
        <v>41031</v>
      </c>
      <c r="B3352" s="37" t="s">
        <v>24094</v>
      </c>
      <c r="C3352" s="37" t="s">
        <v>2369</v>
      </c>
      <c r="D3352" s="37" t="s">
        <v>2349</v>
      </c>
    </row>
    <row r="3353" spans="1:4" ht="14.25">
      <c r="A3353" s="37">
        <v>37666</v>
      </c>
      <c r="B3353" s="37" t="s">
        <v>24095</v>
      </c>
      <c r="C3353" s="37" t="s">
        <v>2352</v>
      </c>
      <c r="D3353" s="37" t="s">
        <v>2349</v>
      </c>
    </row>
    <row r="3354" spans="1:4" ht="14.25">
      <c r="A3354" s="37">
        <v>40986</v>
      </c>
      <c r="B3354" s="37" t="s">
        <v>24096</v>
      </c>
      <c r="C3354" s="37" t="s">
        <v>2369</v>
      </c>
      <c r="D3354" s="37" t="s">
        <v>2349</v>
      </c>
    </row>
    <row r="3355" spans="1:4" ht="14.25">
      <c r="A3355" s="37">
        <v>4250</v>
      </c>
      <c r="B3355" s="37" t="s">
        <v>24097</v>
      </c>
      <c r="C3355" s="37" t="s">
        <v>2352</v>
      </c>
      <c r="D3355" s="37" t="s">
        <v>2349</v>
      </c>
    </row>
    <row r="3356" spans="1:4" ht="14.25">
      <c r="A3356" s="37">
        <v>40978</v>
      </c>
      <c r="B3356" s="37" t="s">
        <v>24098</v>
      </c>
      <c r="C3356" s="37" t="s">
        <v>2369</v>
      </c>
      <c r="D3356" s="37" t="s">
        <v>2349</v>
      </c>
    </row>
    <row r="3357" spans="1:4" ht="14.25">
      <c r="A3357" s="37">
        <v>41043</v>
      </c>
      <c r="B3357" s="37" t="s">
        <v>24099</v>
      </c>
      <c r="C3357" s="37" t="s">
        <v>2369</v>
      </c>
      <c r="D3357" s="37" t="s">
        <v>2349</v>
      </c>
    </row>
    <row r="3358" spans="1:4" ht="14.25">
      <c r="A3358" s="37">
        <v>44501</v>
      </c>
      <c r="B3358" s="37" t="s">
        <v>28038</v>
      </c>
      <c r="C3358" s="37" t="s">
        <v>2352</v>
      </c>
      <c r="D3358" s="37" t="s">
        <v>2349</v>
      </c>
    </row>
    <row r="3359" spans="1:4" ht="14.25">
      <c r="A3359" s="37">
        <v>4234</v>
      </c>
      <c r="B3359" s="37" t="s">
        <v>24100</v>
      </c>
      <c r="C3359" s="37" t="s">
        <v>2352</v>
      </c>
      <c r="D3359" s="37" t="s">
        <v>2353</v>
      </c>
    </row>
    <row r="3360" spans="1:4" ht="14.25">
      <c r="A3360" s="37">
        <v>40987</v>
      </c>
      <c r="B3360" s="37" t="s">
        <v>24101</v>
      </c>
      <c r="C3360" s="37" t="s">
        <v>2369</v>
      </c>
      <c r="D3360" s="37" t="s">
        <v>2349</v>
      </c>
    </row>
    <row r="3361" spans="1:4" ht="14.25">
      <c r="A3361" s="37">
        <v>4253</v>
      </c>
      <c r="B3361" s="37" t="s">
        <v>24102</v>
      </c>
      <c r="C3361" s="37" t="s">
        <v>2352</v>
      </c>
      <c r="D3361" s="37" t="s">
        <v>2349</v>
      </c>
    </row>
    <row r="3362" spans="1:4" ht="14.25">
      <c r="A3362" s="37">
        <v>40981</v>
      </c>
      <c r="B3362" s="37" t="s">
        <v>24103</v>
      </c>
      <c r="C3362" s="37" t="s">
        <v>2369</v>
      </c>
      <c r="D3362" s="37" t="s">
        <v>2349</v>
      </c>
    </row>
    <row r="3363" spans="1:4" ht="14.25">
      <c r="A3363" s="37">
        <v>4254</v>
      </c>
      <c r="B3363" s="37" t="s">
        <v>24104</v>
      </c>
      <c r="C3363" s="37" t="s">
        <v>2352</v>
      </c>
      <c r="D3363" s="37" t="s">
        <v>2349</v>
      </c>
    </row>
    <row r="3364" spans="1:4" ht="14.25">
      <c r="A3364" s="37">
        <v>41036</v>
      </c>
      <c r="B3364" s="37" t="s">
        <v>24105</v>
      </c>
      <c r="C3364" s="37" t="s">
        <v>2369</v>
      </c>
      <c r="D3364" s="37" t="s">
        <v>2349</v>
      </c>
    </row>
    <row r="3365" spans="1:4" ht="14.25">
      <c r="A3365" s="37">
        <v>4251</v>
      </c>
      <c r="B3365" s="37" t="s">
        <v>24106</v>
      </c>
      <c r="C3365" s="37" t="s">
        <v>2352</v>
      </c>
      <c r="D3365" s="37" t="s">
        <v>2349</v>
      </c>
    </row>
    <row r="3366" spans="1:4" ht="14.25">
      <c r="A3366" s="37">
        <v>40979</v>
      </c>
      <c r="B3366" s="37" t="s">
        <v>24107</v>
      </c>
      <c r="C3366" s="37" t="s">
        <v>2369</v>
      </c>
      <c r="D3366" s="37" t="s">
        <v>2349</v>
      </c>
    </row>
    <row r="3367" spans="1:4" ht="14.25">
      <c r="A3367" s="37">
        <v>4230</v>
      </c>
      <c r="B3367" s="37" t="s">
        <v>24108</v>
      </c>
      <c r="C3367" s="37" t="s">
        <v>2352</v>
      </c>
      <c r="D3367" s="37" t="s">
        <v>2349</v>
      </c>
    </row>
    <row r="3368" spans="1:4" ht="14.25">
      <c r="A3368" s="37">
        <v>40998</v>
      </c>
      <c r="B3368" s="37" t="s">
        <v>24109</v>
      </c>
      <c r="C3368" s="37" t="s">
        <v>2369</v>
      </c>
      <c r="D3368" s="37" t="s">
        <v>2349</v>
      </c>
    </row>
    <row r="3369" spans="1:4" ht="14.25">
      <c r="A3369" s="37">
        <v>4257</v>
      </c>
      <c r="B3369" s="37" t="s">
        <v>24110</v>
      </c>
      <c r="C3369" s="37" t="s">
        <v>2352</v>
      </c>
      <c r="D3369" s="37" t="s">
        <v>2349</v>
      </c>
    </row>
    <row r="3370" spans="1:4" ht="14.25">
      <c r="A3370" s="37">
        <v>40982</v>
      </c>
      <c r="B3370" s="37" t="s">
        <v>24111</v>
      </c>
      <c r="C3370" s="37" t="s">
        <v>2369</v>
      </c>
      <c r="D3370" s="37" t="s">
        <v>2349</v>
      </c>
    </row>
    <row r="3371" spans="1:4" ht="14.25">
      <c r="A3371" s="37">
        <v>4240</v>
      </c>
      <c r="B3371" s="37" t="s">
        <v>24112</v>
      </c>
      <c r="C3371" s="37" t="s">
        <v>2352</v>
      </c>
      <c r="D3371" s="37" t="s">
        <v>2349</v>
      </c>
    </row>
    <row r="3372" spans="1:4" ht="14.25">
      <c r="A3372" s="37">
        <v>41026</v>
      </c>
      <c r="B3372" s="37" t="s">
        <v>24113</v>
      </c>
      <c r="C3372" s="37" t="s">
        <v>2369</v>
      </c>
      <c r="D3372" s="37" t="s">
        <v>2349</v>
      </c>
    </row>
    <row r="3373" spans="1:4" ht="14.25">
      <c r="A3373" s="37">
        <v>4239</v>
      </c>
      <c r="B3373" s="37" t="s">
        <v>24114</v>
      </c>
      <c r="C3373" s="37" t="s">
        <v>2352</v>
      </c>
      <c r="D3373" s="37" t="s">
        <v>2349</v>
      </c>
    </row>
    <row r="3374" spans="1:4" ht="14.25">
      <c r="A3374" s="37">
        <v>41024</v>
      </c>
      <c r="B3374" s="37" t="s">
        <v>24115</v>
      </c>
      <c r="C3374" s="37" t="s">
        <v>2369</v>
      </c>
      <c r="D3374" s="37" t="s">
        <v>2349</v>
      </c>
    </row>
    <row r="3375" spans="1:4" ht="14.25">
      <c r="A3375" s="37">
        <v>4248</v>
      </c>
      <c r="B3375" s="37" t="s">
        <v>24116</v>
      </c>
      <c r="C3375" s="37" t="s">
        <v>2352</v>
      </c>
      <c r="D3375" s="37" t="s">
        <v>2349</v>
      </c>
    </row>
    <row r="3376" spans="1:4" ht="14.25">
      <c r="A3376" s="37">
        <v>41033</v>
      </c>
      <c r="B3376" s="37" t="s">
        <v>24117</v>
      </c>
      <c r="C3376" s="37" t="s">
        <v>2369</v>
      </c>
      <c r="D3376" s="37" t="s">
        <v>2349</v>
      </c>
    </row>
    <row r="3377" spans="1:4" ht="14.25">
      <c r="A3377" s="37">
        <v>41040</v>
      </c>
      <c r="B3377" s="37" t="s">
        <v>24118</v>
      </c>
      <c r="C3377" s="37" t="s">
        <v>2369</v>
      </c>
      <c r="D3377" s="37" t="s">
        <v>2349</v>
      </c>
    </row>
    <row r="3378" spans="1:4" ht="14.25">
      <c r="A3378" s="37">
        <v>44500</v>
      </c>
      <c r="B3378" s="37" t="s">
        <v>28039</v>
      </c>
      <c r="C3378" s="37" t="s">
        <v>2352</v>
      </c>
      <c r="D3378" s="37" t="s">
        <v>2349</v>
      </c>
    </row>
    <row r="3379" spans="1:4" ht="14.25">
      <c r="A3379" s="37">
        <v>4238</v>
      </c>
      <c r="B3379" s="37" t="s">
        <v>24119</v>
      </c>
      <c r="C3379" s="37" t="s">
        <v>2352</v>
      </c>
      <c r="D3379" s="37" t="s">
        <v>2349</v>
      </c>
    </row>
    <row r="3380" spans="1:4" ht="14.25">
      <c r="A3380" s="37">
        <v>41012</v>
      </c>
      <c r="B3380" s="37" t="s">
        <v>24120</v>
      </c>
      <c r="C3380" s="37" t="s">
        <v>2369</v>
      </c>
      <c r="D3380" s="37" t="s">
        <v>2349</v>
      </c>
    </row>
    <row r="3381" spans="1:4" ht="14.25">
      <c r="A3381" s="37">
        <v>4237</v>
      </c>
      <c r="B3381" s="37" t="s">
        <v>24121</v>
      </c>
      <c r="C3381" s="37" t="s">
        <v>2352</v>
      </c>
      <c r="D3381" s="37" t="s">
        <v>2349</v>
      </c>
    </row>
    <row r="3382" spans="1:4" ht="14.25">
      <c r="A3382" s="37">
        <v>41002</v>
      </c>
      <c r="B3382" s="37" t="s">
        <v>24122</v>
      </c>
      <c r="C3382" s="37" t="s">
        <v>2369</v>
      </c>
      <c r="D3382" s="37" t="s">
        <v>2349</v>
      </c>
    </row>
    <row r="3383" spans="1:4" ht="14.25">
      <c r="A3383" s="37">
        <v>4233</v>
      </c>
      <c r="B3383" s="37" t="s">
        <v>24123</v>
      </c>
      <c r="C3383" s="37" t="s">
        <v>2352</v>
      </c>
      <c r="D3383" s="37" t="s">
        <v>2349</v>
      </c>
    </row>
    <row r="3384" spans="1:4" ht="14.25">
      <c r="A3384" s="37">
        <v>41001</v>
      </c>
      <c r="B3384" s="37" t="s">
        <v>24124</v>
      </c>
      <c r="C3384" s="37" t="s">
        <v>2369</v>
      </c>
      <c r="D3384" s="37" t="s">
        <v>2349</v>
      </c>
    </row>
    <row r="3385" spans="1:4" ht="14.25">
      <c r="A3385" s="37">
        <v>2</v>
      </c>
      <c r="B3385" s="37" t="s">
        <v>24125</v>
      </c>
      <c r="C3385" s="37" t="s">
        <v>2368</v>
      </c>
      <c r="D3385" s="37" t="s">
        <v>2349</v>
      </c>
    </row>
    <row r="3386" spans="1:4" ht="14.25">
      <c r="A3386" s="37">
        <v>36517</v>
      </c>
      <c r="B3386" s="37" t="s">
        <v>24126</v>
      </c>
      <c r="C3386" s="37" t="s">
        <v>2348</v>
      </c>
      <c r="D3386" s="37" t="s">
        <v>2349</v>
      </c>
    </row>
    <row r="3387" spans="1:4" ht="14.25">
      <c r="A3387" s="37">
        <v>4262</v>
      </c>
      <c r="B3387" s="37" t="s">
        <v>24127</v>
      </c>
      <c r="C3387" s="37" t="s">
        <v>2348</v>
      </c>
      <c r="D3387" s="37" t="s">
        <v>2353</v>
      </c>
    </row>
    <row r="3388" spans="1:4" ht="14.25">
      <c r="A3388" s="37">
        <v>4263</v>
      </c>
      <c r="B3388" s="37" t="s">
        <v>24128</v>
      </c>
      <c r="C3388" s="37" t="s">
        <v>2348</v>
      </c>
      <c r="D3388" s="37" t="s">
        <v>2349</v>
      </c>
    </row>
    <row r="3389" spans="1:4" ht="14.25">
      <c r="A3389" s="37">
        <v>36518</v>
      </c>
      <c r="B3389" s="37" t="s">
        <v>24129</v>
      </c>
      <c r="C3389" s="37" t="s">
        <v>2348</v>
      </c>
      <c r="D3389" s="37" t="s">
        <v>2349</v>
      </c>
    </row>
    <row r="3390" spans="1:4" ht="14.25">
      <c r="A3390" s="37">
        <v>14221</v>
      </c>
      <c r="B3390" s="37" t="s">
        <v>24130</v>
      </c>
      <c r="C3390" s="37" t="s">
        <v>2348</v>
      </c>
      <c r="D3390" s="37" t="s">
        <v>2349</v>
      </c>
    </row>
    <row r="3391" spans="1:4" ht="14.25">
      <c r="A3391" s="37">
        <v>38402</v>
      </c>
      <c r="B3391" s="37" t="s">
        <v>24131</v>
      </c>
      <c r="C3391" s="37" t="s">
        <v>2348</v>
      </c>
      <c r="D3391" s="37" t="s">
        <v>2349</v>
      </c>
    </row>
    <row r="3392" spans="1:4" ht="14.25">
      <c r="A3392" s="37">
        <v>3412</v>
      </c>
      <c r="B3392" s="37" t="s">
        <v>24132</v>
      </c>
      <c r="C3392" s="37" t="s">
        <v>2350</v>
      </c>
      <c r="D3392" s="37" t="s">
        <v>2349</v>
      </c>
    </row>
    <row r="3393" spans="1:4" ht="14.25">
      <c r="A3393" s="37">
        <v>3413</v>
      </c>
      <c r="B3393" s="37" t="s">
        <v>24133</v>
      </c>
      <c r="C3393" s="37" t="s">
        <v>2350</v>
      </c>
      <c r="D3393" s="37" t="s">
        <v>2349</v>
      </c>
    </row>
    <row r="3394" spans="1:4" ht="14.25">
      <c r="A3394" s="37">
        <v>39744</v>
      </c>
      <c r="B3394" s="37" t="s">
        <v>24134</v>
      </c>
      <c r="C3394" s="37" t="s">
        <v>2350</v>
      </c>
      <c r="D3394" s="37" t="s">
        <v>2349</v>
      </c>
    </row>
    <row r="3395" spans="1:4" ht="14.25">
      <c r="A3395" s="37">
        <v>39745</v>
      </c>
      <c r="B3395" s="37" t="s">
        <v>24135</v>
      </c>
      <c r="C3395" s="37" t="s">
        <v>2350</v>
      </c>
      <c r="D3395" s="37" t="s">
        <v>2349</v>
      </c>
    </row>
    <row r="3396" spans="1:4" ht="14.25">
      <c r="A3396" s="37">
        <v>39637</v>
      </c>
      <c r="B3396" s="37" t="s">
        <v>24136</v>
      </c>
      <c r="C3396" s="37" t="s">
        <v>2350</v>
      </c>
      <c r="D3396" s="37" t="s">
        <v>2349</v>
      </c>
    </row>
    <row r="3397" spans="1:4" ht="14.25">
      <c r="A3397" s="37">
        <v>39638</v>
      </c>
      <c r="B3397" s="37" t="s">
        <v>24137</v>
      </c>
      <c r="C3397" s="37" t="s">
        <v>2350</v>
      </c>
      <c r="D3397" s="37" t="s">
        <v>2349</v>
      </c>
    </row>
    <row r="3398" spans="1:4" ht="14.25">
      <c r="A3398" s="37">
        <v>39639</v>
      </c>
      <c r="B3398" s="37" t="s">
        <v>24138</v>
      </c>
      <c r="C3398" s="37" t="s">
        <v>2350</v>
      </c>
      <c r="D3398" s="37" t="s">
        <v>2349</v>
      </c>
    </row>
    <row r="3399" spans="1:4" ht="14.25">
      <c r="A3399" s="37">
        <v>39517</v>
      </c>
      <c r="B3399" s="37" t="s">
        <v>24139</v>
      </c>
      <c r="C3399" s="37" t="s">
        <v>2350</v>
      </c>
      <c r="D3399" s="37" t="s">
        <v>2351</v>
      </c>
    </row>
    <row r="3400" spans="1:4" ht="14.25">
      <c r="A3400" s="37">
        <v>39518</v>
      </c>
      <c r="B3400" s="37" t="s">
        <v>24140</v>
      </c>
      <c r="C3400" s="37" t="s">
        <v>2350</v>
      </c>
      <c r="D3400" s="37" t="s">
        <v>2351</v>
      </c>
    </row>
    <row r="3401" spans="1:4" ht="14.25">
      <c r="A3401" s="37">
        <v>38366</v>
      </c>
      <c r="B3401" s="37" t="s">
        <v>24141</v>
      </c>
      <c r="C3401" s="37" t="s">
        <v>2350</v>
      </c>
      <c r="D3401" s="37" t="s">
        <v>2349</v>
      </c>
    </row>
    <row r="3402" spans="1:4" ht="14.25">
      <c r="A3402" s="37">
        <v>11703</v>
      </c>
      <c r="B3402" s="37" t="s">
        <v>24142</v>
      </c>
      <c r="C3402" s="37" t="s">
        <v>2348</v>
      </c>
      <c r="D3402" s="37" t="s">
        <v>2349</v>
      </c>
    </row>
    <row r="3403" spans="1:4" ht="14.25">
      <c r="A3403" s="37">
        <v>37400</v>
      </c>
      <c r="B3403" s="37" t="s">
        <v>24143</v>
      </c>
      <c r="C3403" s="37" t="s">
        <v>2348</v>
      </c>
      <c r="D3403" s="37" t="s">
        <v>2349</v>
      </c>
    </row>
    <row r="3404" spans="1:4" ht="14.25">
      <c r="A3404" s="37">
        <v>25400</v>
      </c>
      <c r="B3404" s="37" t="s">
        <v>28040</v>
      </c>
      <c r="C3404" s="37" t="s">
        <v>2348</v>
      </c>
      <c r="D3404" s="37" t="s">
        <v>2349</v>
      </c>
    </row>
    <row r="3405" spans="1:4" ht="14.25">
      <c r="A3405" s="37">
        <v>4276</v>
      </c>
      <c r="B3405" s="37" t="s">
        <v>24144</v>
      </c>
      <c r="C3405" s="37" t="s">
        <v>2348</v>
      </c>
      <c r="D3405" s="37" t="s">
        <v>2349</v>
      </c>
    </row>
    <row r="3406" spans="1:4" ht="14.25">
      <c r="A3406" s="37">
        <v>4273</v>
      </c>
      <c r="B3406" s="37" t="s">
        <v>24145</v>
      </c>
      <c r="C3406" s="37" t="s">
        <v>2348</v>
      </c>
      <c r="D3406" s="37" t="s">
        <v>2349</v>
      </c>
    </row>
    <row r="3407" spans="1:4" ht="14.25">
      <c r="A3407" s="37">
        <v>4274</v>
      </c>
      <c r="B3407" s="37" t="s">
        <v>24146</v>
      </c>
      <c r="C3407" s="37" t="s">
        <v>2348</v>
      </c>
      <c r="D3407" s="37" t="s">
        <v>2353</v>
      </c>
    </row>
    <row r="3408" spans="1:4" ht="14.25">
      <c r="A3408" s="37">
        <v>39438</v>
      </c>
      <c r="B3408" s="37" t="s">
        <v>24147</v>
      </c>
      <c r="C3408" s="37" t="s">
        <v>2348</v>
      </c>
      <c r="D3408" s="37" t="s">
        <v>2351</v>
      </c>
    </row>
    <row r="3409" spans="1:4" ht="14.25">
      <c r="A3409" s="37">
        <v>11963</v>
      </c>
      <c r="B3409" s="37" t="s">
        <v>24148</v>
      </c>
      <c r="C3409" s="37" t="s">
        <v>2348</v>
      </c>
      <c r="D3409" s="37" t="s">
        <v>2351</v>
      </c>
    </row>
    <row r="3410" spans="1:4" ht="14.25">
      <c r="A3410" s="37">
        <v>11964</v>
      </c>
      <c r="B3410" s="37" t="s">
        <v>24149</v>
      </c>
      <c r="C3410" s="37" t="s">
        <v>2348</v>
      </c>
      <c r="D3410" s="37" t="s">
        <v>2351</v>
      </c>
    </row>
    <row r="3411" spans="1:4" ht="14.25">
      <c r="A3411" s="37">
        <v>4379</v>
      </c>
      <c r="B3411" s="37" t="s">
        <v>24150</v>
      </c>
      <c r="C3411" s="37" t="s">
        <v>2348</v>
      </c>
      <c r="D3411" s="37" t="s">
        <v>2351</v>
      </c>
    </row>
    <row r="3412" spans="1:4" ht="14.25">
      <c r="A3412" s="37">
        <v>4377</v>
      </c>
      <c r="B3412" s="37" t="s">
        <v>24151</v>
      </c>
      <c r="C3412" s="37" t="s">
        <v>2348</v>
      </c>
      <c r="D3412" s="37" t="s">
        <v>2351</v>
      </c>
    </row>
    <row r="3413" spans="1:4" ht="14.25">
      <c r="A3413" s="37">
        <v>4356</v>
      </c>
      <c r="B3413" s="37" t="s">
        <v>24152</v>
      </c>
      <c r="C3413" s="37" t="s">
        <v>2348</v>
      </c>
      <c r="D3413" s="37" t="s">
        <v>2351</v>
      </c>
    </row>
    <row r="3414" spans="1:4" ht="14.25">
      <c r="A3414" s="37">
        <v>13246</v>
      </c>
      <c r="B3414" s="37" t="s">
        <v>24153</v>
      </c>
      <c r="C3414" s="37" t="s">
        <v>2348</v>
      </c>
      <c r="D3414" s="37" t="s">
        <v>2351</v>
      </c>
    </row>
    <row r="3415" spans="1:4" ht="14.25">
      <c r="A3415" s="37">
        <v>4346</v>
      </c>
      <c r="B3415" s="37" t="s">
        <v>24154</v>
      </c>
      <c r="C3415" s="37" t="s">
        <v>2348</v>
      </c>
      <c r="D3415" s="37" t="s">
        <v>2351</v>
      </c>
    </row>
    <row r="3416" spans="1:4" ht="14.25">
      <c r="A3416" s="37">
        <v>11955</v>
      </c>
      <c r="B3416" s="37" t="s">
        <v>24155</v>
      </c>
      <c r="C3416" s="37" t="s">
        <v>2348</v>
      </c>
      <c r="D3416" s="37" t="s">
        <v>2351</v>
      </c>
    </row>
    <row r="3417" spans="1:4" ht="14.25">
      <c r="A3417" s="37">
        <v>11960</v>
      </c>
      <c r="B3417" s="37" t="s">
        <v>24156</v>
      </c>
      <c r="C3417" s="37" t="s">
        <v>2348</v>
      </c>
      <c r="D3417" s="37" t="s">
        <v>2351</v>
      </c>
    </row>
    <row r="3418" spans="1:4" ht="14.25">
      <c r="A3418" s="37">
        <v>4333</v>
      </c>
      <c r="B3418" s="37" t="s">
        <v>24157</v>
      </c>
      <c r="C3418" s="37" t="s">
        <v>2348</v>
      </c>
      <c r="D3418" s="37" t="s">
        <v>2351</v>
      </c>
    </row>
    <row r="3419" spans="1:4" ht="14.25">
      <c r="A3419" s="37">
        <v>4358</v>
      </c>
      <c r="B3419" s="37" t="s">
        <v>24158</v>
      </c>
      <c r="C3419" s="37" t="s">
        <v>2348</v>
      </c>
      <c r="D3419" s="37" t="s">
        <v>2351</v>
      </c>
    </row>
    <row r="3420" spans="1:4" ht="14.25">
      <c r="A3420" s="37">
        <v>39435</v>
      </c>
      <c r="B3420" s="37" t="s">
        <v>24159</v>
      </c>
      <c r="C3420" s="37" t="s">
        <v>2348</v>
      </c>
      <c r="D3420" s="37" t="s">
        <v>2351</v>
      </c>
    </row>
    <row r="3421" spans="1:4" ht="14.25">
      <c r="A3421" s="37">
        <v>39436</v>
      </c>
      <c r="B3421" s="37" t="s">
        <v>24160</v>
      </c>
      <c r="C3421" s="37" t="s">
        <v>2348</v>
      </c>
      <c r="D3421" s="37" t="s">
        <v>2351</v>
      </c>
    </row>
    <row r="3422" spans="1:4" ht="14.25">
      <c r="A3422" s="37">
        <v>39437</v>
      </c>
      <c r="B3422" s="37" t="s">
        <v>24161</v>
      </c>
      <c r="C3422" s="37" t="s">
        <v>2348</v>
      </c>
      <c r="D3422" s="37" t="s">
        <v>2351</v>
      </c>
    </row>
    <row r="3423" spans="1:4" ht="14.25">
      <c r="A3423" s="37">
        <v>39439</v>
      </c>
      <c r="B3423" s="37" t="s">
        <v>24162</v>
      </c>
      <c r="C3423" s="37" t="s">
        <v>2348</v>
      </c>
      <c r="D3423" s="37" t="s">
        <v>2351</v>
      </c>
    </row>
    <row r="3424" spans="1:4" ht="14.25">
      <c r="A3424" s="37">
        <v>39440</v>
      </c>
      <c r="B3424" s="37" t="s">
        <v>24163</v>
      </c>
      <c r="C3424" s="37" t="s">
        <v>2348</v>
      </c>
      <c r="D3424" s="37" t="s">
        <v>2351</v>
      </c>
    </row>
    <row r="3425" spans="1:4" ht="14.25">
      <c r="A3425" s="37">
        <v>39441</v>
      </c>
      <c r="B3425" s="37" t="s">
        <v>24164</v>
      </c>
      <c r="C3425" s="37" t="s">
        <v>2348</v>
      </c>
      <c r="D3425" s="37" t="s">
        <v>2351</v>
      </c>
    </row>
    <row r="3426" spans="1:4" ht="14.25">
      <c r="A3426" s="37">
        <v>39442</v>
      </c>
      <c r="B3426" s="37" t="s">
        <v>24165</v>
      </c>
      <c r="C3426" s="37" t="s">
        <v>2348</v>
      </c>
      <c r="D3426" s="37" t="s">
        <v>2351</v>
      </c>
    </row>
    <row r="3427" spans="1:4" ht="14.25">
      <c r="A3427" s="37">
        <v>39443</v>
      </c>
      <c r="B3427" s="37" t="s">
        <v>24166</v>
      </c>
      <c r="C3427" s="37" t="s">
        <v>2348</v>
      </c>
      <c r="D3427" s="37" t="s">
        <v>2351</v>
      </c>
    </row>
    <row r="3428" spans="1:4" ht="14.25">
      <c r="A3428" s="37">
        <v>4329</v>
      </c>
      <c r="B3428" s="37" t="s">
        <v>24167</v>
      </c>
      <c r="C3428" s="37" t="s">
        <v>2348</v>
      </c>
      <c r="D3428" s="37" t="s">
        <v>2351</v>
      </c>
    </row>
    <row r="3429" spans="1:4" ht="14.25">
      <c r="A3429" s="37">
        <v>4383</v>
      </c>
      <c r="B3429" s="37" t="s">
        <v>24168</v>
      </c>
      <c r="C3429" s="37" t="s">
        <v>2348</v>
      </c>
      <c r="D3429" s="37" t="s">
        <v>2351</v>
      </c>
    </row>
    <row r="3430" spans="1:4" ht="14.25">
      <c r="A3430" s="37">
        <v>4344</v>
      </c>
      <c r="B3430" s="37" t="s">
        <v>24169</v>
      </c>
      <c r="C3430" s="37" t="s">
        <v>2348</v>
      </c>
      <c r="D3430" s="37" t="s">
        <v>2351</v>
      </c>
    </row>
    <row r="3431" spans="1:4" ht="14.25">
      <c r="A3431" s="37">
        <v>436</v>
      </c>
      <c r="B3431" s="37" t="s">
        <v>24170</v>
      </c>
      <c r="C3431" s="37" t="s">
        <v>2348</v>
      </c>
      <c r="D3431" s="37" t="s">
        <v>2351</v>
      </c>
    </row>
    <row r="3432" spans="1:4" ht="14.25">
      <c r="A3432" s="37">
        <v>442</v>
      </c>
      <c r="B3432" s="37" t="s">
        <v>24171</v>
      </c>
      <c r="C3432" s="37" t="s">
        <v>2348</v>
      </c>
      <c r="D3432" s="37" t="s">
        <v>2351</v>
      </c>
    </row>
    <row r="3433" spans="1:4" ht="14.25">
      <c r="A3433" s="37">
        <v>11953</v>
      </c>
      <c r="B3433" s="37" t="s">
        <v>24172</v>
      </c>
      <c r="C3433" s="37" t="s">
        <v>2348</v>
      </c>
      <c r="D3433" s="37" t="s">
        <v>2351</v>
      </c>
    </row>
    <row r="3434" spans="1:4" ht="14.25">
      <c r="A3434" s="37">
        <v>4335</v>
      </c>
      <c r="B3434" s="37" t="s">
        <v>24173</v>
      </c>
      <c r="C3434" s="37" t="s">
        <v>2348</v>
      </c>
      <c r="D3434" s="37" t="s">
        <v>2351</v>
      </c>
    </row>
    <row r="3435" spans="1:4" ht="14.25">
      <c r="A3435" s="37">
        <v>4334</v>
      </c>
      <c r="B3435" s="37" t="s">
        <v>24174</v>
      </c>
      <c r="C3435" s="37" t="s">
        <v>2348</v>
      </c>
      <c r="D3435" s="37" t="s">
        <v>2351</v>
      </c>
    </row>
    <row r="3436" spans="1:4" ht="14.25">
      <c r="A3436" s="37">
        <v>4343</v>
      </c>
      <c r="B3436" s="37" t="s">
        <v>24175</v>
      </c>
      <c r="C3436" s="37" t="s">
        <v>2348</v>
      </c>
      <c r="D3436" s="37" t="s">
        <v>2351</v>
      </c>
    </row>
    <row r="3437" spans="1:4" ht="14.25">
      <c r="A3437" s="37">
        <v>430</v>
      </c>
      <c r="B3437" s="37" t="s">
        <v>24176</v>
      </c>
      <c r="C3437" s="37" t="s">
        <v>2348</v>
      </c>
      <c r="D3437" s="37" t="s">
        <v>2351</v>
      </c>
    </row>
    <row r="3438" spans="1:4" ht="14.25">
      <c r="A3438" s="37">
        <v>441</v>
      </c>
      <c r="B3438" s="37" t="s">
        <v>24177</v>
      </c>
      <c r="C3438" s="37" t="s">
        <v>2348</v>
      </c>
      <c r="D3438" s="37" t="s">
        <v>2351</v>
      </c>
    </row>
    <row r="3439" spans="1:4" ht="14.25">
      <c r="A3439" s="37">
        <v>431</v>
      </c>
      <c r="B3439" s="37" t="s">
        <v>24178</v>
      </c>
      <c r="C3439" s="37" t="s">
        <v>2348</v>
      </c>
      <c r="D3439" s="37" t="s">
        <v>2351</v>
      </c>
    </row>
    <row r="3440" spans="1:4" ht="14.25">
      <c r="A3440" s="37">
        <v>432</v>
      </c>
      <c r="B3440" s="37" t="s">
        <v>24179</v>
      </c>
      <c r="C3440" s="37" t="s">
        <v>2348</v>
      </c>
      <c r="D3440" s="37" t="s">
        <v>2351</v>
      </c>
    </row>
    <row r="3441" spans="1:4" ht="14.25">
      <c r="A3441" s="37">
        <v>429</v>
      </c>
      <c r="B3441" s="37" t="s">
        <v>24180</v>
      </c>
      <c r="C3441" s="37" t="s">
        <v>2348</v>
      </c>
      <c r="D3441" s="37" t="s">
        <v>2351</v>
      </c>
    </row>
    <row r="3442" spans="1:4" ht="14.25">
      <c r="A3442" s="37">
        <v>439</v>
      </c>
      <c r="B3442" s="37" t="s">
        <v>24181</v>
      </c>
      <c r="C3442" s="37" t="s">
        <v>2348</v>
      </c>
      <c r="D3442" s="37" t="s">
        <v>2351</v>
      </c>
    </row>
    <row r="3443" spans="1:4" ht="14.25">
      <c r="A3443" s="37">
        <v>433</v>
      </c>
      <c r="B3443" s="37" t="s">
        <v>24182</v>
      </c>
      <c r="C3443" s="37" t="s">
        <v>2348</v>
      </c>
      <c r="D3443" s="37" t="s">
        <v>2351</v>
      </c>
    </row>
    <row r="3444" spans="1:4" ht="14.25">
      <c r="A3444" s="37">
        <v>437</v>
      </c>
      <c r="B3444" s="37" t="s">
        <v>24183</v>
      </c>
      <c r="C3444" s="37" t="s">
        <v>2348</v>
      </c>
      <c r="D3444" s="37" t="s">
        <v>2351</v>
      </c>
    </row>
    <row r="3445" spans="1:4" ht="14.25">
      <c r="A3445" s="37">
        <v>11790</v>
      </c>
      <c r="B3445" s="37" t="s">
        <v>24184</v>
      </c>
      <c r="C3445" s="37" t="s">
        <v>2348</v>
      </c>
      <c r="D3445" s="37" t="s">
        <v>2351</v>
      </c>
    </row>
    <row r="3446" spans="1:4" ht="14.25">
      <c r="A3446" s="37">
        <v>428</v>
      </c>
      <c r="B3446" s="37" t="s">
        <v>24185</v>
      </c>
      <c r="C3446" s="37" t="s">
        <v>2348</v>
      </c>
      <c r="D3446" s="37" t="s">
        <v>2351</v>
      </c>
    </row>
    <row r="3447" spans="1:4" ht="14.25">
      <c r="A3447" s="37">
        <v>4384</v>
      </c>
      <c r="B3447" s="37" t="s">
        <v>24186</v>
      </c>
      <c r="C3447" s="37" t="s">
        <v>2348</v>
      </c>
      <c r="D3447" s="37" t="s">
        <v>2351</v>
      </c>
    </row>
    <row r="3448" spans="1:4" ht="14.25">
      <c r="A3448" s="37">
        <v>4351</v>
      </c>
      <c r="B3448" s="37" t="s">
        <v>24187</v>
      </c>
      <c r="C3448" s="37" t="s">
        <v>2348</v>
      </c>
      <c r="D3448" s="37" t="s">
        <v>2351</v>
      </c>
    </row>
    <row r="3449" spans="1:4" ht="14.25">
      <c r="A3449" s="37">
        <v>11054</v>
      </c>
      <c r="B3449" s="37" t="s">
        <v>24188</v>
      </c>
      <c r="C3449" s="37" t="s">
        <v>2348</v>
      </c>
      <c r="D3449" s="37" t="s">
        <v>2349</v>
      </c>
    </row>
    <row r="3450" spans="1:4" ht="14.25">
      <c r="A3450" s="37">
        <v>11055</v>
      </c>
      <c r="B3450" s="37" t="s">
        <v>24189</v>
      </c>
      <c r="C3450" s="37" t="s">
        <v>2348</v>
      </c>
      <c r="D3450" s="37" t="s">
        <v>2349</v>
      </c>
    </row>
    <row r="3451" spans="1:4" ht="14.25">
      <c r="A3451" s="37">
        <v>11056</v>
      </c>
      <c r="B3451" s="37" t="s">
        <v>24190</v>
      </c>
      <c r="C3451" s="37" t="s">
        <v>2348</v>
      </c>
      <c r="D3451" s="37" t="s">
        <v>2349</v>
      </c>
    </row>
    <row r="3452" spans="1:4" ht="14.25">
      <c r="A3452" s="37">
        <v>11057</v>
      </c>
      <c r="B3452" s="37" t="s">
        <v>24191</v>
      </c>
      <c r="C3452" s="37" t="s">
        <v>2348</v>
      </c>
      <c r="D3452" s="37" t="s">
        <v>2349</v>
      </c>
    </row>
    <row r="3453" spans="1:4" ht="14.25">
      <c r="A3453" s="37">
        <v>11059</v>
      </c>
      <c r="B3453" s="37" t="s">
        <v>24192</v>
      </c>
      <c r="C3453" s="37" t="s">
        <v>2348</v>
      </c>
      <c r="D3453" s="37" t="s">
        <v>2349</v>
      </c>
    </row>
    <row r="3454" spans="1:4" ht="14.25">
      <c r="A3454" s="37">
        <v>11058</v>
      </c>
      <c r="B3454" s="37" t="s">
        <v>24193</v>
      </c>
      <c r="C3454" s="37" t="s">
        <v>2348</v>
      </c>
      <c r="D3454" s="37" t="s">
        <v>2349</v>
      </c>
    </row>
    <row r="3455" spans="1:4" ht="14.25">
      <c r="A3455" s="37">
        <v>4380</v>
      </c>
      <c r="B3455" s="37" t="s">
        <v>24194</v>
      </c>
      <c r="C3455" s="37" t="s">
        <v>2348</v>
      </c>
      <c r="D3455" s="37" t="s">
        <v>2349</v>
      </c>
    </row>
    <row r="3456" spans="1:4" ht="14.25">
      <c r="A3456" s="37">
        <v>4299</v>
      </c>
      <c r="B3456" s="37" t="s">
        <v>24195</v>
      </c>
      <c r="C3456" s="37" t="s">
        <v>2348</v>
      </c>
      <c r="D3456" s="37" t="s">
        <v>2353</v>
      </c>
    </row>
    <row r="3457" spans="1:4" ht="14.25">
      <c r="A3457" s="37">
        <v>4304</v>
      </c>
      <c r="B3457" s="37" t="s">
        <v>24196</v>
      </c>
      <c r="C3457" s="37" t="s">
        <v>2348</v>
      </c>
      <c r="D3457" s="37" t="s">
        <v>2349</v>
      </c>
    </row>
    <row r="3458" spans="1:4" ht="14.25">
      <c r="A3458" s="37">
        <v>4305</v>
      </c>
      <c r="B3458" s="37" t="s">
        <v>24197</v>
      </c>
      <c r="C3458" s="37" t="s">
        <v>2348</v>
      </c>
      <c r="D3458" s="37" t="s">
        <v>2349</v>
      </c>
    </row>
    <row r="3459" spans="1:4" ht="14.25">
      <c r="A3459" s="37">
        <v>4306</v>
      </c>
      <c r="B3459" s="37" t="s">
        <v>24198</v>
      </c>
      <c r="C3459" s="37" t="s">
        <v>2348</v>
      </c>
      <c r="D3459" s="37" t="s">
        <v>2349</v>
      </c>
    </row>
    <row r="3460" spans="1:4" ht="14.25">
      <c r="A3460" s="37">
        <v>4308</v>
      </c>
      <c r="B3460" s="37" t="s">
        <v>24199</v>
      </c>
      <c r="C3460" s="37" t="s">
        <v>2348</v>
      </c>
      <c r="D3460" s="37" t="s">
        <v>2349</v>
      </c>
    </row>
    <row r="3461" spans="1:4" ht="14.25">
      <c r="A3461" s="37">
        <v>4302</v>
      </c>
      <c r="B3461" s="37" t="s">
        <v>24200</v>
      </c>
      <c r="C3461" s="37" t="s">
        <v>2348</v>
      </c>
      <c r="D3461" s="37" t="s">
        <v>2349</v>
      </c>
    </row>
    <row r="3462" spans="1:4" ht="14.25">
      <c r="A3462" s="37">
        <v>4300</v>
      </c>
      <c r="B3462" s="37" t="s">
        <v>24201</v>
      </c>
      <c r="C3462" s="37" t="s">
        <v>2348</v>
      </c>
      <c r="D3462" s="37" t="s">
        <v>2349</v>
      </c>
    </row>
    <row r="3463" spans="1:4" ht="14.25">
      <c r="A3463" s="37">
        <v>4301</v>
      </c>
      <c r="B3463" s="37" t="s">
        <v>24202</v>
      </c>
      <c r="C3463" s="37" t="s">
        <v>2348</v>
      </c>
      <c r="D3463" s="37" t="s">
        <v>2349</v>
      </c>
    </row>
    <row r="3464" spans="1:4" ht="14.25">
      <c r="A3464" s="37">
        <v>4320</v>
      </c>
      <c r="B3464" s="37" t="s">
        <v>24203</v>
      </c>
      <c r="C3464" s="37" t="s">
        <v>2348</v>
      </c>
      <c r="D3464" s="37" t="s">
        <v>2349</v>
      </c>
    </row>
    <row r="3465" spans="1:4" ht="14.25">
      <c r="A3465" s="37">
        <v>4318</v>
      </c>
      <c r="B3465" s="37" t="s">
        <v>24204</v>
      </c>
      <c r="C3465" s="37" t="s">
        <v>2348</v>
      </c>
      <c r="D3465" s="37" t="s">
        <v>2349</v>
      </c>
    </row>
    <row r="3466" spans="1:4" ht="14.25">
      <c r="A3466" s="37">
        <v>40547</v>
      </c>
      <c r="B3466" s="37" t="s">
        <v>24205</v>
      </c>
      <c r="C3466" s="37" t="s">
        <v>2465</v>
      </c>
      <c r="D3466" s="37" t="s">
        <v>2351</v>
      </c>
    </row>
    <row r="3467" spans="1:4" ht="14.25">
      <c r="A3467" s="37">
        <v>11962</v>
      </c>
      <c r="B3467" s="37" t="s">
        <v>24206</v>
      </c>
      <c r="C3467" s="37" t="s">
        <v>2348</v>
      </c>
      <c r="D3467" s="37" t="s">
        <v>2351</v>
      </c>
    </row>
    <row r="3468" spans="1:4" ht="14.25">
      <c r="A3468" s="37">
        <v>4332</v>
      </c>
      <c r="B3468" s="37" t="s">
        <v>24207</v>
      </c>
      <c r="C3468" s="37" t="s">
        <v>2348</v>
      </c>
      <c r="D3468" s="37" t="s">
        <v>2351</v>
      </c>
    </row>
    <row r="3469" spans="1:4" ht="14.25">
      <c r="A3469" s="37">
        <v>4331</v>
      </c>
      <c r="B3469" s="37" t="s">
        <v>24208</v>
      </c>
      <c r="C3469" s="37" t="s">
        <v>2348</v>
      </c>
      <c r="D3469" s="37" t="s">
        <v>2351</v>
      </c>
    </row>
    <row r="3470" spans="1:4" ht="14.25">
      <c r="A3470" s="37">
        <v>4336</v>
      </c>
      <c r="B3470" s="37" t="s">
        <v>24209</v>
      </c>
      <c r="C3470" s="37" t="s">
        <v>2348</v>
      </c>
      <c r="D3470" s="37" t="s">
        <v>2351</v>
      </c>
    </row>
    <row r="3471" spans="1:4" ht="14.25">
      <c r="A3471" s="37">
        <v>13294</v>
      </c>
      <c r="B3471" s="37" t="s">
        <v>24210</v>
      </c>
      <c r="C3471" s="37" t="s">
        <v>2348</v>
      </c>
      <c r="D3471" s="37" t="s">
        <v>2351</v>
      </c>
    </row>
    <row r="3472" spans="1:4" ht="14.25">
      <c r="A3472" s="37">
        <v>11948</v>
      </c>
      <c r="B3472" s="37" t="s">
        <v>24211</v>
      </c>
      <c r="C3472" s="37" t="s">
        <v>2348</v>
      </c>
      <c r="D3472" s="37" t="s">
        <v>2351</v>
      </c>
    </row>
    <row r="3473" spans="1:4" ht="14.25">
      <c r="A3473" s="37">
        <v>4382</v>
      </c>
      <c r="B3473" s="37" t="s">
        <v>24212</v>
      </c>
      <c r="C3473" s="37" t="s">
        <v>2348</v>
      </c>
      <c r="D3473" s="37" t="s">
        <v>2351</v>
      </c>
    </row>
    <row r="3474" spans="1:4" ht="14.25">
      <c r="A3474" s="37">
        <v>4354</v>
      </c>
      <c r="B3474" s="37" t="s">
        <v>24213</v>
      </c>
      <c r="C3474" s="37" t="s">
        <v>2348</v>
      </c>
      <c r="D3474" s="37" t="s">
        <v>2351</v>
      </c>
    </row>
    <row r="3475" spans="1:4" ht="14.25">
      <c r="A3475" s="37">
        <v>40839</v>
      </c>
      <c r="B3475" s="37" t="s">
        <v>24214</v>
      </c>
      <c r="C3475" s="37" t="s">
        <v>2465</v>
      </c>
      <c r="D3475" s="37" t="s">
        <v>2351</v>
      </c>
    </row>
    <row r="3476" spans="1:4" ht="14.25">
      <c r="A3476" s="37">
        <v>40552</v>
      </c>
      <c r="B3476" s="37" t="s">
        <v>24215</v>
      </c>
      <c r="C3476" s="37" t="s">
        <v>2465</v>
      </c>
      <c r="D3476" s="37" t="s">
        <v>2351</v>
      </c>
    </row>
    <row r="3477" spans="1:4" ht="14.25">
      <c r="A3477" s="37">
        <v>40549</v>
      </c>
      <c r="B3477" s="37" t="s">
        <v>24216</v>
      </c>
      <c r="C3477" s="37" t="s">
        <v>2465</v>
      </c>
      <c r="D3477" s="37" t="s">
        <v>2351</v>
      </c>
    </row>
    <row r="3478" spans="1:4" ht="14.25">
      <c r="A3478" s="37">
        <v>4385</v>
      </c>
      <c r="B3478" s="37" t="s">
        <v>24217</v>
      </c>
      <c r="C3478" s="37" t="s">
        <v>2387</v>
      </c>
      <c r="D3478" s="37" t="s">
        <v>2349</v>
      </c>
    </row>
    <row r="3479" spans="1:4" ht="14.25">
      <c r="A3479" s="37">
        <v>20078</v>
      </c>
      <c r="B3479" s="37" t="s">
        <v>24218</v>
      </c>
      <c r="C3479" s="37" t="s">
        <v>2348</v>
      </c>
      <c r="D3479" s="37" t="s">
        <v>2349</v>
      </c>
    </row>
    <row r="3480" spans="1:4" ht="14.25">
      <c r="A3480" s="37">
        <v>39897</v>
      </c>
      <c r="B3480" s="37" t="s">
        <v>24219</v>
      </c>
      <c r="C3480" s="37" t="s">
        <v>2348</v>
      </c>
      <c r="D3480" s="37" t="s">
        <v>2351</v>
      </c>
    </row>
    <row r="3481" spans="1:4" ht="14.25">
      <c r="A3481" s="37">
        <v>118</v>
      </c>
      <c r="B3481" s="37" t="s">
        <v>24220</v>
      </c>
      <c r="C3481" s="37" t="s">
        <v>2348</v>
      </c>
      <c r="D3481" s="37" t="s">
        <v>2349</v>
      </c>
    </row>
    <row r="3482" spans="1:4" ht="14.25">
      <c r="A3482" s="37">
        <v>4396</v>
      </c>
      <c r="B3482" s="37" t="s">
        <v>24221</v>
      </c>
      <c r="C3482" s="37" t="s">
        <v>2350</v>
      </c>
      <c r="D3482" s="37" t="s">
        <v>2349</v>
      </c>
    </row>
    <row r="3483" spans="1:4" ht="14.25">
      <c r="A3483" s="37">
        <v>36881</v>
      </c>
      <c r="B3483" s="37" t="s">
        <v>24222</v>
      </c>
      <c r="C3483" s="37" t="s">
        <v>2350</v>
      </c>
      <c r="D3483" s="37" t="s">
        <v>2349</v>
      </c>
    </row>
    <row r="3484" spans="1:4" ht="14.25">
      <c r="A3484" s="37">
        <v>4397</v>
      </c>
      <c r="B3484" s="37" t="s">
        <v>24223</v>
      </c>
      <c r="C3484" s="37" t="s">
        <v>2350</v>
      </c>
      <c r="D3484" s="37" t="s">
        <v>2349</v>
      </c>
    </row>
    <row r="3485" spans="1:4" ht="14.25">
      <c r="A3485" s="37">
        <v>36882</v>
      </c>
      <c r="B3485" s="37" t="s">
        <v>24224</v>
      </c>
      <c r="C3485" s="37" t="s">
        <v>2350</v>
      </c>
      <c r="D3485" s="37" t="s">
        <v>2349</v>
      </c>
    </row>
    <row r="3486" spans="1:4" ht="14.25">
      <c r="A3486" s="37">
        <v>4751</v>
      </c>
      <c r="B3486" s="37" t="s">
        <v>24225</v>
      </c>
      <c r="C3486" s="37" t="s">
        <v>2352</v>
      </c>
      <c r="D3486" s="37" t="s">
        <v>2349</v>
      </c>
    </row>
    <row r="3487" spans="1:4" ht="14.25">
      <c r="A3487" s="37">
        <v>41066</v>
      </c>
      <c r="B3487" s="37" t="s">
        <v>24226</v>
      </c>
      <c r="C3487" s="37" t="s">
        <v>2369</v>
      </c>
      <c r="D3487" s="37" t="s">
        <v>2349</v>
      </c>
    </row>
    <row r="3488" spans="1:4" ht="14.25">
      <c r="A3488" s="37">
        <v>39604</v>
      </c>
      <c r="B3488" s="37" t="s">
        <v>24227</v>
      </c>
      <c r="C3488" s="37" t="s">
        <v>2348</v>
      </c>
      <c r="D3488" s="37" t="s">
        <v>2349</v>
      </c>
    </row>
    <row r="3489" spans="1:4" ht="14.25">
      <c r="A3489" s="37">
        <v>39605</v>
      </c>
      <c r="B3489" s="37" t="s">
        <v>24228</v>
      </c>
      <c r="C3489" s="37" t="s">
        <v>2348</v>
      </c>
      <c r="D3489" s="37" t="s">
        <v>2349</v>
      </c>
    </row>
    <row r="3490" spans="1:4" ht="14.25">
      <c r="A3490" s="37">
        <v>39606</v>
      </c>
      <c r="B3490" s="37" t="s">
        <v>24229</v>
      </c>
      <c r="C3490" s="37" t="s">
        <v>2348</v>
      </c>
      <c r="D3490" s="37" t="s">
        <v>2349</v>
      </c>
    </row>
    <row r="3491" spans="1:4" ht="14.25">
      <c r="A3491" s="37">
        <v>39607</v>
      </c>
      <c r="B3491" s="37" t="s">
        <v>24230</v>
      </c>
      <c r="C3491" s="37" t="s">
        <v>2348</v>
      </c>
      <c r="D3491" s="37" t="s">
        <v>2349</v>
      </c>
    </row>
    <row r="3492" spans="1:4" ht="14.25">
      <c r="A3492" s="37">
        <v>39594</v>
      </c>
      <c r="B3492" s="37" t="s">
        <v>24231</v>
      </c>
      <c r="C3492" s="37" t="s">
        <v>2348</v>
      </c>
      <c r="D3492" s="37" t="s">
        <v>2353</v>
      </c>
    </row>
    <row r="3493" spans="1:4" ht="14.25">
      <c r="A3493" s="37">
        <v>39596</v>
      </c>
      <c r="B3493" s="37" t="s">
        <v>24232</v>
      </c>
      <c r="C3493" s="37" t="s">
        <v>2348</v>
      </c>
      <c r="D3493" s="37" t="s">
        <v>2349</v>
      </c>
    </row>
    <row r="3494" spans="1:4" ht="14.25">
      <c r="A3494" s="37">
        <v>39595</v>
      </c>
      <c r="B3494" s="37" t="s">
        <v>24233</v>
      </c>
      <c r="C3494" s="37" t="s">
        <v>2348</v>
      </c>
      <c r="D3494" s="37" t="s">
        <v>2349</v>
      </c>
    </row>
    <row r="3495" spans="1:4" ht="14.25">
      <c r="A3495" s="37">
        <v>39597</v>
      </c>
      <c r="B3495" s="37" t="s">
        <v>24234</v>
      </c>
      <c r="C3495" s="37" t="s">
        <v>2348</v>
      </c>
      <c r="D3495" s="37" t="s">
        <v>2349</v>
      </c>
    </row>
    <row r="3496" spans="1:4" ht="14.25">
      <c r="A3496" s="37">
        <v>10731</v>
      </c>
      <c r="B3496" s="37" t="s">
        <v>24235</v>
      </c>
      <c r="C3496" s="37" t="s">
        <v>2350</v>
      </c>
      <c r="D3496" s="37" t="s">
        <v>2353</v>
      </c>
    </row>
    <row r="3497" spans="1:4" ht="14.25">
      <c r="A3497" s="37">
        <v>4704</v>
      </c>
      <c r="B3497" s="37" t="s">
        <v>24236</v>
      </c>
      <c r="C3497" s="37" t="s">
        <v>2350</v>
      </c>
      <c r="D3497" s="37" t="s">
        <v>2349</v>
      </c>
    </row>
    <row r="3498" spans="1:4" ht="14.25">
      <c r="A3498" s="37">
        <v>10730</v>
      </c>
      <c r="B3498" s="37" t="s">
        <v>24237</v>
      </c>
      <c r="C3498" s="37" t="s">
        <v>2350</v>
      </c>
      <c r="D3498" s="37" t="s">
        <v>2349</v>
      </c>
    </row>
    <row r="3499" spans="1:4" ht="14.25">
      <c r="A3499" s="37">
        <v>4729</v>
      </c>
      <c r="B3499" s="37" t="s">
        <v>24238</v>
      </c>
      <c r="C3499" s="37" t="s">
        <v>2368</v>
      </c>
      <c r="D3499" s="37" t="s">
        <v>2349</v>
      </c>
    </row>
    <row r="3500" spans="1:4" ht="14.25">
      <c r="A3500" s="37">
        <v>4720</v>
      </c>
      <c r="B3500" s="37" t="s">
        <v>24239</v>
      </c>
      <c r="C3500" s="37" t="s">
        <v>2368</v>
      </c>
      <c r="D3500" s="37" t="s">
        <v>2349</v>
      </c>
    </row>
    <row r="3501" spans="1:4" ht="14.25">
      <c r="A3501" s="37">
        <v>4721</v>
      </c>
      <c r="B3501" s="37" t="s">
        <v>24240</v>
      </c>
      <c r="C3501" s="37" t="s">
        <v>2368</v>
      </c>
      <c r="D3501" s="37" t="s">
        <v>2349</v>
      </c>
    </row>
    <row r="3502" spans="1:4" ht="14.25">
      <c r="A3502" s="37">
        <v>4718</v>
      </c>
      <c r="B3502" s="37" t="s">
        <v>24241</v>
      </c>
      <c r="C3502" s="37" t="s">
        <v>2368</v>
      </c>
      <c r="D3502" s="37" t="s">
        <v>2353</v>
      </c>
    </row>
    <row r="3503" spans="1:4" ht="14.25">
      <c r="A3503" s="37">
        <v>4722</v>
      </c>
      <c r="B3503" s="37" t="s">
        <v>24242</v>
      </c>
      <c r="C3503" s="37" t="s">
        <v>2368</v>
      </c>
      <c r="D3503" s="37" t="s">
        <v>2349</v>
      </c>
    </row>
    <row r="3504" spans="1:4" ht="14.25">
      <c r="A3504" s="37">
        <v>4723</v>
      </c>
      <c r="B3504" s="37" t="s">
        <v>24243</v>
      </c>
      <c r="C3504" s="37" t="s">
        <v>2368</v>
      </c>
      <c r="D3504" s="37" t="s">
        <v>2349</v>
      </c>
    </row>
    <row r="3505" spans="1:4" ht="14.25">
      <c r="A3505" s="37">
        <v>4727</v>
      </c>
      <c r="B3505" s="37" t="s">
        <v>24244</v>
      </c>
      <c r="C3505" s="37" t="s">
        <v>2368</v>
      </c>
      <c r="D3505" s="37" t="s">
        <v>2349</v>
      </c>
    </row>
    <row r="3506" spans="1:4" ht="14.25">
      <c r="A3506" s="37">
        <v>4748</v>
      </c>
      <c r="B3506" s="37" t="s">
        <v>24245</v>
      </c>
      <c r="C3506" s="37" t="s">
        <v>2368</v>
      </c>
      <c r="D3506" s="37" t="s">
        <v>2349</v>
      </c>
    </row>
    <row r="3507" spans="1:4" ht="14.25">
      <c r="A3507" s="37">
        <v>4730</v>
      </c>
      <c r="B3507" s="37" t="s">
        <v>24246</v>
      </c>
      <c r="C3507" s="37" t="s">
        <v>2368</v>
      </c>
      <c r="D3507" s="37" t="s">
        <v>2349</v>
      </c>
    </row>
    <row r="3508" spans="1:4" ht="14.25">
      <c r="A3508" s="37">
        <v>13186</v>
      </c>
      <c r="B3508" s="37" t="s">
        <v>24247</v>
      </c>
      <c r="C3508" s="37" t="s">
        <v>2368</v>
      </c>
      <c r="D3508" s="37" t="s">
        <v>2349</v>
      </c>
    </row>
    <row r="3509" spans="1:4" ht="14.25">
      <c r="A3509" s="37">
        <v>10737</v>
      </c>
      <c r="B3509" s="37" t="s">
        <v>24248</v>
      </c>
      <c r="C3509" s="37" t="s">
        <v>2350</v>
      </c>
      <c r="D3509" s="37" t="s">
        <v>2349</v>
      </c>
    </row>
    <row r="3510" spans="1:4" ht="14.25">
      <c r="A3510" s="37">
        <v>10734</v>
      </c>
      <c r="B3510" s="37" t="s">
        <v>24249</v>
      </c>
      <c r="C3510" s="37" t="s">
        <v>2350</v>
      </c>
      <c r="D3510" s="37" t="s">
        <v>2349</v>
      </c>
    </row>
    <row r="3511" spans="1:4" ht="14.25">
      <c r="A3511" s="37">
        <v>4708</v>
      </c>
      <c r="B3511" s="37" t="s">
        <v>24250</v>
      </c>
      <c r="C3511" s="37" t="s">
        <v>2350</v>
      </c>
      <c r="D3511" s="37" t="s">
        <v>2349</v>
      </c>
    </row>
    <row r="3512" spans="1:4" ht="14.25">
      <c r="A3512" s="37">
        <v>4712</v>
      </c>
      <c r="B3512" s="37" t="s">
        <v>24251</v>
      </c>
      <c r="C3512" s="37" t="s">
        <v>2350</v>
      </c>
      <c r="D3512" s="37" t="s">
        <v>2349</v>
      </c>
    </row>
    <row r="3513" spans="1:4" ht="14.25">
      <c r="A3513" s="37">
        <v>4710</v>
      </c>
      <c r="B3513" s="37" t="s">
        <v>24252</v>
      </c>
      <c r="C3513" s="37" t="s">
        <v>2350</v>
      </c>
      <c r="D3513" s="37" t="s">
        <v>2349</v>
      </c>
    </row>
    <row r="3514" spans="1:4" ht="14.25">
      <c r="A3514" s="37">
        <v>4746</v>
      </c>
      <c r="B3514" s="37" t="s">
        <v>24253</v>
      </c>
      <c r="C3514" s="37" t="s">
        <v>2368</v>
      </c>
      <c r="D3514" s="37" t="s">
        <v>2349</v>
      </c>
    </row>
    <row r="3515" spans="1:4" ht="14.25">
      <c r="A3515" s="37">
        <v>4750</v>
      </c>
      <c r="B3515" s="37" t="s">
        <v>24254</v>
      </c>
      <c r="C3515" s="37" t="s">
        <v>2352</v>
      </c>
      <c r="D3515" s="37" t="s">
        <v>2353</v>
      </c>
    </row>
    <row r="3516" spans="1:4" ht="14.25">
      <c r="A3516" s="37">
        <v>41065</v>
      </c>
      <c r="B3516" s="37" t="s">
        <v>24255</v>
      </c>
      <c r="C3516" s="37" t="s">
        <v>2369</v>
      </c>
      <c r="D3516" s="37" t="s">
        <v>2349</v>
      </c>
    </row>
    <row r="3517" spans="1:4" ht="14.25">
      <c r="A3517" s="37">
        <v>34747</v>
      </c>
      <c r="B3517" s="37" t="s">
        <v>24256</v>
      </c>
      <c r="C3517" s="37" t="s">
        <v>2355</v>
      </c>
      <c r="D3517" s="37" t="s">
        <v>2349</v>
      </c>
    </row>
    <row r="3518" spans="1:4" ht="14.25">
      <c r="A3518" s="37">
        <v>4826</v>
      </c>
      <c r="B3518" s="37" t="s">
        <v>24257</v>
      </c>
      <c r="C3518" s="37" t="s">
        <v>2355</v>
      </c>
      <c r="D3518" s="37" t="s">
        <v>2349</v>
      </c>
    </row>
    <row r="3519" spans="1:4" ht="14.25">
      <c r="A3519" s="37">
        <v>41975</v>
      </c>
      <c r="B3519" s="37" t="s">
        <v>24258</v>
      </c>
      <c r="C3519" s="37" t="s">
        <v>2350</v>
      </c>
      <c r="D3519" s="37" t="s">
        <v>2351</v>
      </c>
    </row>
    <row r="3520" spans="1:4" ht="14.25">
      <c r="A3520" s="37">
        <v>4825</v>
      </c>
      <c r="B3520" s="37" t="s">
        <v>24259</v>
      </c>
      <c r="C3520" s="37" t="s">
        <v>2355</v>
      </c>
      <c r="D3520" s="37" t="s">
        <v>2349</v>
      </c>
    </row>
    <row r="3521" spans="1:4" ht="14.25">
      <c r="A3521" s="37">
        <v>34744</v>
      </c>
      <c r="B3521" s="37" t="s">
        <v>24260</v>
      </c>
      <c r="C3521" s="37" t="s">
        <v>2350</v>
      </c>
      <c r="D3521" s="37" t="s">
        <v>2351</v>
      </c>
    </row>
    <row r="3522" spans="1:4" ht="14.25">
      <c r="A3522" s="37">
        <v>39430</v>
      </c>
      <c r="B3522" s="37" t="s">
        <v>24261</v>
      </c>
      <c r="C3522" s="37" t="s">
        <v>2348</v>
      </c>
      <c r="D3522" s="37" t="s">
        <v>2349</v>
      </c>
    </row>
    <row r="3523" spans="1:4" ht="14.25">
      <c r="A3523" s="37">
        <v>39573</v>
      </c>
      <c r="B3523" s="37" t="s">
        <v>24262</v>
      </c>
      <c r="C3523" s="37" t="s">
        <v>2348</v>
      </c>
      <c r="D3523" s="37" t="s">
        <v>2349</v>
      </c>
    </row>
    <row r="3524" spans="1:4" ht="14.25">
      <c r="A3524" s="37">
        <v>38410</v>
      </c>
      <c r="B3524" s="37" t="s">
        <v>24263</v>
      </c>
      <c r="C3524" s="37" t="s">
        <v>2348</v>
      </c>
      <c r="D3524" s="37" t="s">
        <v>2351</v>
      </c>
    </row>
    <row r="3525" spans="1:4" ht="14.25">
      <c r="A3525" s="37">
        <v>41596</v>
      </c>
      <c r="B3525" s="37" t="s">
        <v>24264</v>
      </c>
      <c r="C3525" s="37" t="s">
        <v>2356</v>
      </c>
      <c r="D3525" s="37" t="s">
        <v>2349</v>
      </c>
    </row>
    <row r="3526" spans="1:4" ht="14.25">
      <c r="A3526" s="37">
        <v>41598</v>
      </c>
      <c r="B3526" s="37" t="s">
        <v>24265</v>
      </c>
      <c r="C3526" s="37" t="s">
        <v>2356</v>
      </c>
      <c r="D3526" s="37" t="s">
        <v>2349</v>
      </c>
    </row>
    <row r="3527" spans="1:4" ht="14.25">
      <c r="A3527" s="37">
        <v>41594</v>
      </c>
      <c r="B3527" s="37" t="s">
        <v>24266</v>
      </c>
      <c r="C3527" s="37" t="s">
        <v>2356</v>
      </c>
      <c r="D3527" s="37" t="s">
        <v>2349</v>
      </c>
    </row>
    <row r="3528" spans="1:4" ht="14.25">
      <c r="A3528" s="37">
        <v>43663</v>
      </c>
      <c r="B3528" s="37" t="s">
        <v>24267</v>
      </c>
      <c r="C3528" s="37" t="s">
        <v>2356</v>
      </c>
      <c r="D3528" s="37" t="s">
        <v>2349</v>
      </c>
    </row>
    <row r="3529" spans="1:4" ht="14.25">
      <c r="A3529" s="37">
        <v>4766</v>
      </c>
      <c r="B3529" s="37" t="s">
        <v>24268</v>
      </c>
      <c r="C3529" s="37" t="s">
        <v>2356</v>
      </c>
      <c r="D3529" s="37" t="s">
        <v>2349</v>
      </c>
    </row>
    <row r="3530" spans="1:4" ht="14.25">
      <c r="A3530" s="37">
        <v>43664</v>
      </c>
      <c r="B3530" s="37" t="s">
        <v>24269</v>
      </c>
      <c r="C3530" s="37" t="s">
        <v>2356</v>
      </c>
      <c r="D3530" s="37" t="s">
        <v>2349</v>
      </c>
    </row>
    <row r="3531" spans="1:4" ht="14.25">
      <c r="A3531" s="37">
        <v>43082</v>
      </c>
      <c r="B3531" s="37" t="s">
        <v>24270</v>
      </c>
      <c r="C3531" s="37" t="s">
        <v>2356</v>
      </c>
      <c r="D3531" s="37" t="s">
        <v>2353</v>
      </c>
    </row>
    <row r="3532" spans="1:4" ht="14.25">
      <c r="A3532" s="37">
        <v>43665</v>
      </c>
      <c r="B3532" s="37" t="s">
        <v>24271</v>
      </c>
      <c r="C3532" s="37" t="s">
        <v>2356</v>
      </c>
      <c r="D3532" s="37" t="s">
        <v>2349</v>
      </c>
    </row>
    <row r="3533" spans="1:4" ht="14.25">
      <c r="A3533" s="37">
        <v>10966</v>
      </c>
      <c r="B3533" s="37" t="s">
        <v>24272</v>
      </c>
      <c r="C3533" s="37" t="s">
        <v>2356</v>
      </c>
      <c r="D3533" s="37" t="s">
        <v>2349</v>
      </c>
    </row>
    <row r="3534" spans="1:4" ht="14.25">
      <c r="A3534" s="37">
        <v>43692</v>
      </c>
      <c r="B3534" s="37" t="s">
        <v>24273</v>
      </c>
      <c r="C3534" s="37" t="s">
        <v>2356</v>
      </c>
      <c r="D3534" s="37" t="s">
        <v>2349</v>
      </c>
    </row>
    <row r="3535" spans="1:4" ht="14.25">
      <c r="A3535" s="37">
        <v>43083</v>
      </c>
      <c r="B3535" s="37" t="s">
        <v>24274</v>
      </c>
      <c r="C3535" s="37" t="s">
        <v>2356</v>
      </c>
      <c r="D3535" s="37" t="s">
        <v>2349</v>
      </c>
    </row>
    <row r="3536" spans="1:4" ht="14.25">
      <c r="A3536" s="37">
        <v>40535</v>
      </c>
      <c r="B3536" s="37" t="s">
        <v>24275</v>
      </c>
      <c r="C3536" s="37" t="s">
        <v>2356</v>
      </c>
      <c r="D3536" s="37" t="s">
        <v>2349</v>
      </c>
    </row>
    <row r="3537" spans="1:4" ht="14.25">
      <c r="A3537" s="37">
        <v>39427</v>
      </c>
      <c r="B3537" s="37" t="s">
        <v>24276</v>
      </c>
      <c r="C3537" s="37" t="s">
        <v>2355</v>
      </c>
      <c r="D3537" s="37" t="s">
        <v>2349</v>
      </c>
    </row>
    <row r="3538" spans="1:4" ht="14.25">
      <c r="A3538" s="37">
        <v>39424</v>
      </c>
      <c r="B3538" s="37" t="s">
        <v>24277</v>
      </c>
      <c r="C3538" s="37" t="s">
        <v>2355</v>
      </c>
      <c r="D3538" s="37" t="s">
        <v>2349</v>
      </c>
    </row>
    <row r="3539" spans="1:4" ht="14.25">
      <c r="A3539" s="37">
        <v>39425</v>
      </c>
      <c r="B3539" s="37" t="s">
        <v>24278</v>
      </c>
      <c r="C3539" s="37" t="s">
        <v>2355</v>
      </c>
      <c r="D3539" s="37" t="s">
        <v>2349</v>
      </c>
    </row>
    <row r="3540" spans="1:4" ht="14.25">
      <c r="A3540" s="37">
        <v>40664</v>
      </c>
      <c r="B3540" s="37" t="s">
        <v>24279</v>
      </c>
      <c r="C3540" s="37" t="s">
        <v>2356</v>
      </c>
      <c r="D3540" s="37" t="s">
        <v>2349</v>
      </c>
    </row>
    <row r="3541" spans="1:4" ht="14.25">
      <c r="A3541" s="37">
        <v>34360</v>
      </c>
      <c r="B3541" s="37" t="s">
        <v>24280</v>
      </c>
      <c r="C3541" s="37" t="s">
        <v>2356</v>
      </c>
      <c r="D3541" s="37" t="s">
        <v>2351</v>
      </c>
    </row>
    <row r="3542" spans="1:4" ht="14.25">
      <c r="A3542" s="37">
        <v>20259</v>
      </c>
      <c r="B3542" s="37" t="s">
        <v>24281</v>
      </c>
      <c r="C3542" s="37" t="s">
        <v>2355</v>
      </c>
      <c r="D3542" s="37" t="s">
        <v>2351</v>
      </c>
    </row>
    <row r="3543" spans="1:4" ht="14.25">
      <c r="A3543" s="37">
        <v>14077</v>
      </c>
      <c r="B3543" s="37" t="s">
        <v>24282</v>
      </c>
      <c r="C3543" s="37" t="s">
        <v>2355</v>
      </c>
      <c r="D3543" s="37" t="s">
        <v>2351</v>
      </c>
    </row>
    <row r="3544" spans="1:4" ht="14.25">
      <c r="A3544" s="37">
        <v>3678</v>
      </c>
      <c r="B3544" s="37" t="s">
        <v>24283</v>
      </c>
      <c r="C3544" s="37" t="s">
        <v>2355</v>
      </c>
      <c r="D3544" s="37" t="s">
        <v>2351</v>
      </c>
    </row>
    <row r="3545" spans="1:4" ht="14.25">
      <c r="A3545" s="37">
        <v>39418</v>
      </c>
      <c r="B3545" s="37" t="s">
        <v>24284</v>
      </c>
      <c r="C3545" s="37" t="s">
        <v>2355</v>
      </c>
      <c r="D3545" s="37" t="s">
        <v>2349</v>
      </c>
    </row>
    <row r="3546" spans="1:4" ht="14.25">
      <c r="A3546" s="37">
        <v>39419</v>
      </c>
      <c r="B3546" s="37" t="s">
        <v>24285</v>
      </c>
      <c r="C3546" s="37" t="s">
        <v>2355</v>
      </c>
      <c r="D3546" s="37" t="s">
        <v>2349</v>
      </c>
    </row>
    <row r="3547" spans="1:4" ht="14.25">
      <c r="A3547" s="37">
        <v>39420</v>
      </c>
      <c r="B3547" s="37" t="s">
        <v>24286</v>
      </c>
      <c r="C3547" s="37" t="s">
        <v>2355</v>
      </c>
      <c r="D3547" s="37" t="s">
        <v>2349</v>
      </c>
    </row>
    <row r="3548" spans="1:4" ht="14.25">
      <c r="A3548" s="37">
        <v>39571</v>
      </c>
      <c r="B3548" s="37" t="s">
        <v>28041</v>
      </c>
      <c r="C3548" s="37" t="s">
        <v>2355</v>
      </c>
      <c r="D3548" s="37" t="s">
        <v>2349</v>
      </c>
    </row>
    <row r="3549" spans="1:4" ht="14.25">
      <c r="A3549" s="37">
        <v>39421</v>
      </c>
      <c r="B3549" s="37" t="s">
        <v>24287</v>
      </c>
      <c r="C3549" s="37" t="s">
        <v>2355</v>
      </c>
      <c r="D3549" s="37" t="s">
        <v>2349</v>
      </c>
    </row>
    <row r="3550" spans="1:4" ht="14.25">
      <c r="A3550" s="37">
        <v>39422</v>
      </c>
      <c r="B3550" s="37" t="s">
        <v>24288</v>
      </c>
      <c r="C3550" s="37" t="s">
        <v>2355</v>
      </c>
      <c r="D3550" s="37" t="s">
        <v>2353</v>
      </c>
    </row>
    <row r="3551" spans="1:4" ht="14.25">
      <c r="A3551" s="37">
        <v>39423</v>
      </c>
      <c r="B3551" s="37" t="s">
        <v>24289</v>
      </c>
      <c r="C3551" s="37" t="s">
        <v>2355</v>
      </c>
      <c r="D3551" s="37" t="s">
        <v>2349</v>
      </c>
    </row>
    <row r="3552" spans="1:4" ht="14.25">
      <c r="A3552" s="37">
        <v>39426</v>
      </c>
      <c r="B3552" s="37" t="s">
        <v>24290</v>
      </c>
      <c r="C3552" s="37" t="s">
        <v>2355</v>
      </c>
      <c r="D3552" s="37" t="s">
        <v>2349</v>
      </c>
    </row>
    <row r="3553" spans="1:4" ht="14.25">
      <c r="A3553" s="37">
        <v>39429</v>
      </c>
      <c r="B3553" s="37" t="s">
        <v>24291</v>
      </c>
      <c r="C3553" s="37" t="s">
        <v>2355</v>
      </c>
      <c r="D3553" s="37" t="s">
        <v>2349</v>
      </c>
    </row>
    <row r="3554" spans="1:4" ht="14.25">
      <c r="A3554" s="37">
        <v>39428</v>
      </c>
      <c r="B3554" s="37" t="s">
        <v>24292</v>
      </c>
      <c r="C3554" s="37" t="s">
        <v>2355</v>
      </c>
      <c r="D3554" s="37" t="s">
        <v>2349</v>
      </c>
    </row>
    <row r="3555" spans="1:4" ht="14.25">
      <c r="A3555" s="37">
        <v>39572</v>
      </c>
      <c r="B3555" s="37" t="s">
        <v>24293</v>
      </c>
      <c r="C3555" s="37" t="s">
        <v>2355</v>
      </c>
      <c r="D3555" s="37" t="s">
        <v>2349</v>
      </c>
    </row>
    <row r="3556" spans="1:4" ht="14.25">
      <c r="A3556" s="37">
        <v>39570</v>
      </c>
      <c r="B3556" s="37" t="s">
        <v>24294</v>
      </c>
      <c r="C3556" s="37" t="s">
        <v>2355</v>
      </c>
      <c r="D3556" s="37" t="s">
        <v>2349</v>
      </c>
    </row>
    <row r="3557" spans="1:4" ht="14.25">
      <c r="A3557" s="37">
        <v>39569</v>
      </c>
      <c r="B3557" s="37" t="s">
        <v>24295</v>
      </c>
      <c r="C3557" s="37" t="s">
        <v>2355</v>
      </c>
      <c r="D3557" s="37" t="s">
        <v>2349</v>
      </c>
    </row>
    <row r="3558" spans="1:4" ht="14.25">
      <c r="A3558" s="37">
        <v>11552</v>
      </c>
      <c r="B3558" s="37" t="s">
        <v>24296</v>
      </c>
      <c r="C3558" s="37" t="s">
        <v>2355</v>
      </c>
      <c r="D3558" s="37" t="s">
        <v>2349</v>
      </c>
    </row>
    <row r="3559" spans="1:4" ht="14.25">
      <c r="A3559" s="37">
        <v>40598</v>
      </c>
      <c r="B3559" s="37" t="s">
        <v>24297</v>
      </c>
      <c r="C3559" s="37" t="s">
        <v>2356</v>
      </c>
      <c r="D3559" s="37" t="s">
        <v>2349</v>
      </c>
    </row>
    <row r="3560" spans="1:4" ht="14.25">
      <c r="A3560" s="37">
        <v>39029</v>
      </c>
      <c r="B3560" s="37" t="s">
        <v>24298</v>
      </c>
      <c r="C3560" s="37" t="s">
        <v>2355</v>
      </c>
      <c r="D3560" s="37" t="s">
        <v>2349</v>
      </c>
    </row>
    <row r="3561" spans="1:4" ht="14.25">
      <c r="A3561" s="37">
        <v>39028</v>
      </c>
      <c r="B3561" s="37" t="s">
        <v>24299</v>
      </c>
      <c r="C3561" s="37" t="s">
        <v>2355</v>
      </c>
      <c r="D3561" s="37" t="s">
        <v>2349</v>
      </c>
    </row>
    <row r="3562" spans="1:4" ht="14.25">
      <c r="A3562" s="37">
        <v>39328</v>
      </c>
      <c r="B3562" s="37" t="s">
        <v>24300</v>
      </c>
      <c r="C3562" s="37" t="s">
        <v>2355</v>
      </c>
      <c r="D3562" s="37" t="s">
        <v>2349</v>
      </c>
    </row>
    <row r="3563" spans="1:4" ht="14.25">
      <c r="A3563" s="37">
        <v>38541</v>
      </c>
      <c r="B3563" s="37" t="s">
        <v>24301</v>
      </c>
      <c r="C3563" s="37" t="s">
        <v>2348</v>
      </c>
      <c r="D3563" s="37" t="s">
        <v>2349</v>
      </c>
    </row>
    <row r="3564" spans="1:4" ht="14.25">
      <c r="A3564" s="37">
        <v>38542</v>
      </c>
      <c r="B3564" s="37" t="s">
        <v>24302</v>
      </c>
      <c r="C3564" s="37" t="s">
        <v>2348</v>
      </c>
      <c r="D3564" s="37" t="s">
        <v>2349</v>
      </c>
    </row>
    <row r="3565" spans="1:4" ht="14.25">
      <c r="A3565" s="37">
        <v>38543</v>
      </c>
      <c r="B3565" s="37" t="s">
        <v>24303</v>
      </c>
      <c r="C3565" s="37" t="s">
        <v>2348</v>
      </c>
      <c r="D3565" s="37" t="s">
        <v>2349</v>
      </c>
    </row>
    <row r="3566" spans="1:4" ht="14.25">
      <c r="A3566" s="37">
        <v>40406</v>
      </c>
      <c r="B3566" s="37" t="s">
        <v>24304</v>
      </c>
      <c r="C3566" s="37" t="s">
        <v>2348</v>
      </c>
      <c r="D3566" s="37" t="s">
        <v>2351</v>
      </c>
    </row>
    <row r="3567" spans="1:4" ht="14.25">
      <c r="A3567" s="37">
        <v>40789</v>
      </c>
      <c r="B3567" s="37" t="s">
        <v>24305</v>
      </c>
      <c r="C3567" s="37" t="s">
        <v>2348</v>
      </c>
      <c r="D3567" s="37" t="s">
        <v>2351</v>
      </c>
    </row>
    <row r="3568" spans="1:4" ht="14.25">
      <c r="A3568" s="37">
        <v>40791</v>
      </c>
      <c r="B3568" s="37" t="s">
        <v>24306</v>
      </c>
      <c r="C3568" s="37" t="s">
        <v>2348</v>
      </c>
      <c r="D3568" s="37" t="s">
        <v>2351</v>
      </c>
    </row>
    <row r="3569" spans="1:4" ht="14.25">
      <c r="A3569" s="37">
        <v>11651</v>
      </c>
      <c r="B3569" s="37" t="s">
        <v>24307</v>
      </c>
      <c r="C3569" s="37" t="s">
        <v>2348</v>
      </c>
      <c r="D3569" s="37" t="s">
        <v>2351</v>
      </c>
    </row>
    <row r="3570" spans="1:4" ht="14.25">
      <c r="A3570" s="37">
        <v>40435</v>
      </c>
      <c r="B3570" s="37" t="s">
        <v>24308</v>
      </c>
      <c r="C3570" s="37" t="s">
        <v>2348</v>
      </c>
      <c r="D3570" s="37" t="s">
        <v>2349</v>
      </c>
    </row>
    <row r="3571" spans="1:4" ht="14.25">
      <c r="A3571" s="37">
        <v>39012</v>
      </c>
      <c r="B3571" s="37" t="s">
        <v>24309</v>
      </c>
      <c r="C3571" s="37" t="s">
        <v>2348</v>
      </c>
      <c r="D3571" s="37" t="s">
        <v>2349</v>
      </c>
    </row>
    <row r="3572" spans="1:4" ht="14.25">
      <c r="A3572" s="37">
        <v>13617</v>
      </c>
      <c r="B3572" s="37" t="s">
        <v>24310</v>
      </c>
      <c r="C3572" s="37" t="s">
        <v>2348</v>
      </c>
      <c r="D3572" s="37" t="s">
        <v>2349</v>
      </c>
    </row>
    <row r="3573" spans="1:4" ht="14.25">
      <c r="A3573" s="37">
        <v>35274</v>
      </c>
      <c r="B3573" s="37" t="s">
        <v>24311</v>
      </c>
      <c r="C3573" s="37" t="s">
        <v>2355</v>
      </c>
      <c r="D3573" s="37" t="s">
        <v>2349</v>
      </c>
    </row>
    <row r="3574" spans="1:4" ht="14.25">
      <c r="A3574" s="37">
        <v>35275</v>
      </c>
      <c r="B3574" s="37" t="s">
        <v>24312</v>
      </c>
      <c r="C3574" s="37" t="s">
        <v>2355</v>
      </c>
      <c r="D3574" s="37" t="s">
        <v>2349</v>
      </c>
    </row>
    <row r="3575" spans="1:4" ht="14.25">
      <c r="A3575" s="37">
        <v>35276</v>
      </c>
      <c r="B3575" s="37" t="s">
        <v>24313</v>
      </c>
      <c r="C3575" s="37" t="s">
        <v>2355</v>
      </c>
      <c r="D3575" s="37" t="s">
        <v>2349</v>
      </c>
    </row>
    <row r="3576" spans="1:4" ht="14.25">
      <c r="A3576" s="37">
        <v>38386</v>
      </c>
      <c r="B3576" s="37" t="s">
        <v>24314</v>
      </c>
      <c r="C3576" s="37" t="s">
        <v>2348</v>
      </c>
      <c r="D3576" s="37" t="s">
        <v>2349</v>
      </c>
    </row>
    <row r="3577" spans="1:4" ht="14.25">
      <c r="A3577" s="37">
        <v>11091</v>
      </c>
      <c r="B3577" s="37" t="s">
        <v>24315</v>
      </c>
      <c r="C3577" s="37" t="s">
        <v>2348</v>
      </c>
      <c r="D3577" s="37" t="s">
        <v>2349</v>
      </c>
    </row>
    <row r="3578" spans="1:4" ht="14.25">
      <c r="A3578" s="37">
        <v>37586</v>
      </c>
      <c r="B3578" s="37" t="s">
        <v>24316</v>
      </c>
      <c r="C3578" s="37" t="s">
        <v>2465</v>
      </c>
      <c r="D3578" s="37" t="s">
        <v>2351</v>
      </c>
    </row>
    <row r="3579" spans="1:4" ht="14.25">
      <c r="A3579" s="37">
        <v>37395</v>
      </c>
      <c r="B3579" s="37" t="s">
        <v>24317</v>
      </c>
      <c r="C3579" s="37" t="s">
        <v>2465</v>
      </c>
      <c r="D3579" s="37" t="s">
        <v>2351</v>
      </c>
    </row>
    <row r="3580" spans="1:4" ht="14.25">
      <c r="A3580" s="37">
        <v>14147</v>
      </c>
      <c r="B3580" s="37" t="s">
        <v>24318</v>
      </c>
      <c r="C3580" s="37" t="s">
        <v>2465</v>
      </c>
      <c r="D3580" s="37" t="s">
        <v>2351</v>
      </c>
    </row>
    <row r="3581" spans="1:4" ht="14.25">
      <c r="A3581" s="37">
        <v>37396</v>
      </c>
      <c r="B3581" s="37" t="s">
        <v>24319</v>
      </c>
      <c r="C3581" s="37" t="s">
        <v>2465</v>
      </c>
      <c r="D3581" s="37" t="s">
        <v>2351</v>
      </c>
    </row>
    <row r="3582" spans="1:4" ht="14.25">
      <c r="A3582" s="37">
        <v>37397</v>
      </c>
      <c r="B3582" s="37" t="s">
        <v>24320</v>
      </c>
      <c r="C3582" s="37" t="s">
        <v>2465</v>
      </c>
      <c r="D3582" s="37" t="s">
        <v>2351</v>
      </c>
    </row>
    <row r="3583" spans="1:4" ht="14.25">
      <c r="A3583" s="37">
        <v>43606</v>
      </c>
      <c r="B3583" s="37" t="s">
        <v>24321</v>
      </c>
      <c r="C3583" s="37" t="s">
        <v>2348</v>
      </c>
      <c r="D3583" s="37" t="s">
        <v>2349</v>
      </c>
    </row>
    <row r="3584" spans="1:4" ht="14.25">
      <c r="A3584" s="37">
        <v>444</v>
      </c>
      <c r="B3584" s="37" t="s">
        <v>24322</v>
      </c>
      <c r="C3584" s="37" t="s">
        <v>2348</v>
      </c>
      <c r="D3584" s="37" t="s">
        <v>2349</v>
      </c>
    </row>
    <row r="3585" spans="1:4" ht="14.25">
      <c r="A3585" s="37">
        <v>445</v>
      </c>
      <c r="B3585" s="37" t="s">
        <v>24323</v>
      </c>
      <c r="C3585" s="37" t="s">
        <v>2348</v>
      </c>
      <c r="D3585" s="37" t="s">
        <v>2349</v>
      </c>
    </row>
    <row r="3586" spans="1:4" ht="14.25">
      <c r="A3586" s="37">
        <v>4783</v>
      </c>
      <c r="B3586" s="37" t="s">
        <v>24324</v>
      </c>
      <c r="C3586" s="37" t="s">
        <v>2352</v>
      </c>
      <c r="D3586" s="37" t="s">
        <v>2353</v>
      </c>
    </row>
    <row r="3587" spans="1:4" ht="14.25">
      <c r="A3587" s="37">
        <v>41079</v>
      </c>
      <c r="B3587" s="37" t="s">
        <v>24325</v>
      </c>
      <c r="C3587" s="37" t="s">
        <v>2369</v>
      </c>
      <c r="D3587" s="37" t="s">
        <v>2349</v>
      </c>
    </row>
    <row r="3588" spans="1:4" ht="14.25">
      <c r="A3588" s="37">
        <v>12874</v>
      </c>
      <c r="B3588" s="37" t="s">
        <v>24326</v>
      </c>
      <c r="C3588" s="37" t="s">
        <v>2352</v>
      </c>
      <c r="D3588" s="37" t="s">
        <v>2349</v>
      </c>
    </row>
    <row r="3589" spans="1:4" ht="14.25">
      <c r="A3589" s="37">
        <v>41082</v>
      </c>
      <c r="B3589" s="37" t="s">
        <v>24327</v>
      </c>
      <c r="C3589" s="37" t="s">
        <v>2369</v>
      </c>
      <c r="D3589" s="37" t="s">
        <v>2349</v>
      </c>
    </row>
    <row r="3590" spans="1:4" ht="14.25">
      <c r="A3590" s="37">
        <v>4785</v>
      </c>
      <c r="B3590" s="37" t="s">
        <v>24328</v>
      </c>
      <c r="C3590" s="37" t="s">
        <v>2352</v>
      </c>
      <c r="D3590" s="37" t="s">
        <v>2349</v>
      </c>
    </row>
    <row r="3591" spans="1:4" ht="14.25">
      <c r="A3591" s="37">
        <v>41081</v>
      </c>
      <c r="B3591" s="37" t="s">
        <v>24329</v>
      </c>
      <c r="C3591" s="37" t="s">
        <v>2369</v>
      </c>
      <c r="D3591" s="37" t="s">
        <v>2349</v>
      </c>
    </row>
    <row r="3592" spans="1:4" ht="14.25">
      <c r="A3592" s="37">
        <v>4801</v>
      </c>
      <c r="B3592" s="37" t="s">
        <v>24330</v>
      </c>
      <c r="C3592" s="37" t="s">
        <v>2350</v>
      </c>
      <c r="D3592" s="37" t="s">
        <v>2349</v>
      </c>
    </row>
    <row r="3593" spans="1:4" ht="14.25">
      <c r="A3593" s="37">
        <v>4794</v>
      </c>
      <c r="B3593" s="37" t="s">
        <v>24331</v>
      </c>
      <c r="C3593" s="37" t="s">
        <v>2350</v>
      </c>
      <c r="D3593" s="37" t="s">
        <v>2349</v>
      </c>
    </row>
    <row r="3594" spans="1:4" ht="14.25">
      <c r="A3594" s="37">
        <v>4796</v>
      </c>
      <c r="B3594" s="37" t="s">
        <v>24332</v>
      </c>
      <c r="C3594" s="37" t="s">
        <v>2350</v>
      </c>
      <c r="D3594" s="37" t="s">
        <v>2349</v>
      </c>
    </row>
    <row r="3595" spans="1:4" ht="14.25">
      <c r="A3595" s="37">
        <v>4800</v>
      </c>
      <c r="B3595" s="37" t="s">
        <v>24333</v>
      </c>
      <c r="C3595" s="37" t="s">
        <v>2350</v>
      </c>
      <c r="D3595" s="37" t="s">
        <v>2349</v>
      </c>
    </row>
    <row r="3596" spans="1:4" ht="14.25">
      <c r="A3596" s="37">
        <v>4795</v>
      </c>
      <c r="B3596" s="37" t="s">
        <v>24334</v>
      </c>
      <c r="C3596" s="37" t="s">
        <v>2350</v>
      </c>
      <c r="D3596" s="37" t="s">
        <v>2349</v>
      </c>
    </row>
    <row r="3597" spans="1:4" ht="14.25">
      <c r="A3597" s="37">
        <v>39694</v>
      </c>
      <c r="B3597" s="37" t="s">
        <v>24335</v>
      </c>
      <c r="C3597" s="37" t="s">
        <v>2350</v>
      </c>
      <c r="D3597" s="37" t="s">
        <v>2349</v>
      </c>
    </row>
    <row r="3598" spans="1:4" ht="14.25">
      <c r="A3598" s="37">
        <v>1292</v>
      </c>
      <c r="B3598" s="37" t="s">
        <v>24336</v>
      </c>
      <c r="C3598" s="37" t="s">
        <v>2350</v>
      </c>
      <c r="D3598" s="37" t="s">
        <v>2349</v>
      </c>
    </row>
    <row r="3599" spans="1:4" ht="14.25">
      <c r="A3599" s="37">
        <v>1287</v>
      </c>
      <c r="B3599" s="37" t="s">
        <v>24337</v>
      </c>
      <c r="C3599" s="37" t="s">
        <v>2350</v>
      </c>
      <c r="D3599" s="37" t="s">
        <v>2353</v>
      </c>
    </row>
    <row r="3600" spans="1:4" ht="14.25">
      <c r="A3600" s="37">
        <v>1297</v>
      </c>
      <c r="B3600" s="37" t="s">
        <v>24338</v>
      </c>
      <c r="C3600" s="37" t="s">
        <v>2350</v>
      </c>
      <c r="D3600" s="37" t="s">
        <v>2349</v>
      </c>
    </row>
    <row r="3601" spans="1:4" ht="14.25">
      <c r="A3601" s="37">
        <v>4786</v>
      </c>
      <c r="B3601" s="37" t="s">
        <v>24339</v>
      </c>
      <c r="C3601" s="37" t="s">
        <v>2350</v>
      </c>
      <c r="D3601" s="37" t="s">
        <v>2351</v>
      </c>
    </row>
    <row r="3602" spans="1:4" ht="14.25">
      <c r="A3602" s="37">
        <v>10840</v>
      </c>
      <c r="B3602" s="37" t="s">
        <v>24340</v>
      </c>
      <c r="C3602" s="37" t="s">
        <v>2350</v>
      </c>
      <c r="D3602" s="37" t="s">
        <v>2353</v>
      </c>
    </row>
    <row r="3603" spans="1:4" ht="14.25">
      <c r="A3603" s="37">
        <v>10841</v>
      </c>
      <c r="B3603" s="37" t="s">
        <v>24341</v>
      </c>
      <c r="C3603" s="37" t="s">
        <v>2350</v>
      </c>
      <c r="D3603" s="37" t="s">
        <v>2349</v>
      </c>
    </row>
    <row r="3604" spans="1:4" ht="14.25">
      <c r="A3604" s="37">
        <v>44540</v>
      </c>
      <c r="B3604" s="37" t="s">
        <v>28042</v>
      </c>
      <c r="C3604" s="37" t="s">
        <v>2350</v>
      </c>
      <c r="D3604" s="37" t="s">
        <v>2349</v>
      </c>
    </row>
    <row r="3605" spans="1:4" ht="14.25">
      <c r="A3605" s="37">
        <v>10842</v>
      </c>
      <c r="B3605" s="37" t="s">
        <v>24342</v>
      </c>
      <c r="C3605" s="37" t="s">
        <v>2350</v>
      </c>
      <c r="D3605" s="37" t="s">
        <v>2349</v>
      </c>
    </row>
    <row r="3606" spans="1:4" ht="14.25">
      <c r="A3606" s="37">
        <v>21108</v>
      </c>
      <c r="B3606" s="37" t="s">
        <v>24343</v>
      </c>
      <c r="C3606" s="37" t="s">
        <v>2350</v>
      </c>
      <c r="D3606" s="37" t="s">
        <v>2349</v>
      </c>
    </row>
    <row r="3607" spans="1:4" ht="14.25">
      <c r="A3607" s="37">
        <v>38180</v>
      </c>
      <c r="B3607" s="37" t="s">
        <v>24344</v>
      </c>
      <c r="C3607" s="37" t="s">
        <v>2350</v>
      </c>
      <c r="D3607" s="37" t="s">
        <v>2349</v>
      </c>
    </row>
    <row r="3608" spans="1:4" ht="14.25">
      <c r="A3608" s="37">
        <v>40648</v>
      </c>
      <c r="B3608" s="37" t="s">
        <v>24345</v>
      </c>
      <c r="C3608" s="37" t="s">
        <v>2350</v>
      </c>
      <c r="D3608" s="37" t="s">
        <v>2351</v>
      </c>
    </row>
    <row r="3609" spans="1:4" ht="14.25">
      <c r="A3609" s="37">
        <v>40649</v>
      </c>
      <c r="B3609" s="37" t="s">
        <v>24346</v>
      </c>
      <c r="C3609" s="37" t="s">
        <v>2350</v>
      </c>
      <c r="D3609" s="37" t="s">
        <v>2351</v>
      </c>
    </row>
    <row r="3610" spans="1:4" ht="14.25">
      <c r="A3610" s="37">
        <v>40650</v>
      </c>
      <c r="B3610" s="37" t="s">
        <v>24347</v>
      </c>
      <c r="C3610" s="37" t="s">
        <v>2350</v>
      </c>
      <c r="D3610" s="37" t="s">
        <v>2351</v>
      </c>
    </row>
    <row r="3611" spans="1:4" ht="14.25">
      <c r="A3611" s="37">
        <v>40651</v>
      </c>
      <c r="B3611" s="37" t="s">
        <v>24348</v>
      </c>
      <c r="C3611" s="37" t="s">
        <v>2350</v>
      </c>
      <c r="D3611" s="37" t="s">
        <v>2351</v>
      </c>
    </row>
    <row r="3612" spans="1:4" ht="14.25">
      <c r="A3612" s="37">
        <v>40652</v>
      </c>
      <c r="B3612" s="37" t="s">
        <v>24349</v>
      </c>
      <c r="C3612" s="37" t="s">
        <v>2350</v>
      </c>
      <c r="D3612" s="37" t="s">
        <v>2351</v>
      </c>
    </row>
    <row r="3613" spans="1:4" ht="14.25">
      <c r="A3613" s="37">
        <v>40647</v>
      </c>
      <c r="B3613" s="37" t="s">
        <v>24350</v>
      </c>
      <c r="C3613" s="37" t="s">
        <v>2350</v>
      </c>
      <c r="D3613" s="37" t="s">
        <v>2351</v>
      </c>
    </row>
    <row r="3614" spans="1:4" ht="14.25">
      <c r="A3614" s="37">
        <v>40653</v>
      </c>
      <c r="B3614" s="37" t="s">
        <v>24351</v>
      </c>
      <c r="C3614" s="37" t="s">
        <v>2350</v>
      </c>
      <c r="D3614" s="37" t="s">
        <v>2351</v>
      </c>
    </row>
    <row r="3615" spans="1:4" ht="14.25">
      <c r="A3615" s="37">
        <v>36178</v>
      </c>
      <c r="B3615" s="37" t="s">
        <v>24352</v>
      </c>
      <c r="C3615" s="37" t="s">
        <v>2348</v>
      </c>
      <c r="D3615" s="37" t="s">
        <v>2349</v>
      </c>
    </row>
    <row r="3616" spans="1:4" ht="14.25">
      <c r="A3616" s="37">
        <v>38195</v>
      </c>
      <c r="B3616" s="37" t="s">
        <v>24353</v>
      </c>
      <c r="C3616" s="37" t="s">
        <v>2350</v>
      </c>
      <c r="D3616" s="37" t="s">
        <v>2349</v>
      </c>
    </row>
    <row r="3617" spans="1:4" ht="14.25">
      <c r="A3617" s="37">
        <v>38181</v>
      </c>
      <c r="B3617" s="37" t="s">
        <v>24354</v>
      </c>
      <c r="C3617" s="37" t="s">
        <v>2350</v>
      </c>
      <c r="D3617" s="37" t="s">
        <v>2349</v>
      </c>
    </row>
    <row r="3618" spans="1:4" ht="14.25">
      <c r="A3618" s="37">
        <v>38182</v>
      </c>
      <c r="B3618" s="37" t="s">
        <v>24355</v>
      </c>
      <c r="C3618" s="37" t="s">
        <v>2350</v>
      </c>
      <c r="D3618" s="37" t="s">
        <v>2349</v>
      </c>
    </row>
    <row r="3619" spans="1:4" ht="14.25">
      <c r="A3619" s="37">
        <v>38186</v>
      </c>
      <c r="B3619" s="37" t="s">
        <v>24356</v>
      </c>
      <c r="C3619" s="37" t="s">
        <v>2350</v>
      </c>
      <c r="D3619" s="37" t="s">
        <v>2349</v>
      </c>
    </row>
    <row r="3620" spans="1:4" ht="14.25">
      <c r="A3620" s="37">
        <v>38185</v>
      </c>
      <c r="B3620" s="37" t="s">
        <v>24357</v>
      </c>
      <c r="C3620" s="37" t="s">
        <v>2350</v>
      </c>
      <c r="D3620" s="37" t="s">
        <v>2349</v>
      </c>
    </row>
    <row r="3621" spans="1:4" ht="14.25">
      <c r="A3621" s="37">
        <v>40654</v>
      </c>
      <c r="B3621" s="37" t="s">
        <v>24358</v>
      </c>
      <c r="C3621" s="37" t="s">
        <v>2350</v>
      </c>
      <c r="D3621" s="37" t="s">
        <v>2351</v>
      </c>
    </row>
    <row r="3622" spans="1:4" ht="14.25">
      <c r="A3622" s="37">
        <v>44541</v>
      </c>
      <c r="B3622" s="37" t="s">
        <v>28043</v>
      </c>
      <c r="C3622" s="37" t="s">
        <v>2350</v>
      </c>
      <c r="D3622" s="37" t="s">
        <v>2349</v>
      </c>
    </row>
    <row r="3623" spans="1:4" ht="14.25">
      <c r="A3623" s="37">
        <v>4822</v>
      </c>
      <c r="B3623" s="37" t="s">
        <v>24359</v>
      </c>
      <c r="C3623" s="37" t="s">
        <v>2350</v>
      </c>
      <c r="D3623" s="37" t="s">
        <v>2349</v>
      </c>
    </row>
    <row r="3624" spans="1:4" ht="14.25">
      <c r="A3624" s="37">
        <v>4818</v>
      </c>
      <c r="B3624" s="37" t="s">
        <v>24360</v>
      </c>
      <c r="C3624" s="37" t="s">
        <v>2350</v>
      </c>
      <c r="D3624" s="37" t="s">
        <v>2353</v>
      </c>
    </row>
    <row r="3625" spans="1:4" ht="14.25">
      <c r="A3625" s="37">
        <v>39567</v>
      </c>
      <c r="B3625" s="37" t="s">
        <v>24361</v>
      </c>
      <c r="C3625" s="37" t="s">
        <v>2350</v>
      </c>
      <c r="D3625" s="37" t="s">
        <v>2349</v>
      </c>
    </row>
    <row r="3626" spans="1:4" ht="14.25">
      <c r="A3626" s="37">
        <v>39566</v>
      </c>
      <c r="B3626" s="37" t="s">
        <v>24362</v>
      </c>
      <c r="C3626" s="37" t="s">
        <v>2350</v>
      </c>
      <c r="D3626" s="37" t="s">
        <v>2349</v>
      </c>
    </row>
    <row r="3627" spans="1:4" ht="14.25">
      <c r="A3627" s="37">
        <v>39416</v>
      </c>
      <c r="B3627" s="37" t="s">
        <v>24363</v>
      </c>
      <c r="C3627" s="37" t="s">
        <v>2350</v>
      </c>
      <c r="D3627" s="37" t="s">
        <v>2349</v>
      </c>
    </row>
    <row r="3628" spans="1:4" ht="14.25">
      <c r="A3628" s="37">
        <v>39417</v>
      </c>
      <c r="B3628" s="37" t="s">
        <v>24364</v>
      </c>
      <c r="C3628" s="37" t="s">
        <v>2350</v>
      </c>
      <c r="D3628" s="37" t="s">
        <v>2349</v>
      </c>
    </row>
    <row r="3629" spans="1:4" ht="14.25">
      <c r="A3629" s="37">
        <v>43742</v>
      </c>
      <c r="B3629" s="37" t="s">
        <v>28044</v>
      </c>
      <c r="C3629" s="37" t="s">
        <v>2350</v>
      </c>
      <c r="D3629" s="37" t="s">
        <v>2349</v>
      </c>
    </row>
    <row r="3630" spans="1:4" ht="14.25">
      <c r="A3630" s="37">
        <v>39414</v>
      </c>
      <c r="B3630" s="37" t="s">
        <v>24365</v>
      </c>
      <c r="C3630" s="37" t="s">
        <v>2350</v>
      </c>
      <c r="D3630" s="37" t="s">
        <v>2349</v>
      </c>
    </row>
    <row r="3631" spans="1:4" ht="14.25">
      <c r="A3631" s="37">
        <v>39415</v>
      </c>
      <c r="B3631" s="37" t="s">
        <v>24366</v>
      </c>
      <c r="C3631" s="37" t="s">
        <v>2350</v>
      </c>
      <c r="D3631" s="37" t="s">
        <v>2349</v>
      </c>
    </row>
    <row r="3632" spans="1:4" ht="14.25">
      <c r="A3632" s="37">
        <v>43740</v>
      </c>
      <c r="B3632" s="37" t="s">
        <v>28045</v>
      </c>
      <c r="C3632" s="37" t="s">
        <v>2350</v>
      </c>
      <c r="D3632" s="37" t="s">
        <v>2349</v>
      </c>
    </row>
    <row r="3633" spans="1:4" ht="14.25">
      <c r="A3633" s="37">
        <v>39412</v>
      </c>
      <c r="B3633" s="37" t="s">
        <v>24367</v>
      </c>
      <c r="C3633" s="37" t="s">
        <v>2350</v>
      </c>
      <c r="D3633" s="37" t="s">
        <v>2353</v>
      </c>
    </row>
    <row r="3634" spans="1:4" ht="14.25">
      <c r="A3634" s="37">
        <v>39413</v>
      </c>
      <c r="B3634" s="37" t="s">
        <v>24368</v>
      </c>
      <c r="C3634" s="37" t="s">
        <v>2350</v>
      </c>
      <c r="D3634" s="37" t="s">
        <v>2349</v>
      </c>
    </row>
    <row r="3635" spans="1:4" ht="14.25">
      <c r="A3635" s="37">
        <v>43741</v>
      </c>
      <c r="B3635" s="37" t="s">
        <v>28046</v>
      </c>
      <c r="C3635" s="37" t="s">
        <v>2350</v>
      </c>
      <c r="D3635" s="37" t="s">
        <v>2349</v>
      </c>
    </row>
    <row r="3636" spans="1:4" ht="14.25">
      <c r="A3636" s="37">
        <v>11062</v>
      </c>
      <c r="B3636" s="37" t="s">
        <v>28047</v>
      </c>
      <c r="C3636" s="37" t="s">
        <v>2350</v>
      </c>
      <c r="D3636" s="37" t="s">
        <v>2349</v>
      </c>
    </row>
    <row r="3637" spans="1:4" ht="14.25">
      <c r="A3637" s="37">
        <v>11063</v>
      </c>
      <c r="B3637" s="37" t="s">
        <v>28048</v>
      </c>
      <c r="C3637" s="37" t="s">
        <v>2350</v>
      </c>
      <c r="D3637" s="37" t="s">
        <v>2349</v>
      </c>
    </row>
    <row r="3638" spans="1:4" ht="14.25">
      <c r="A3638" s="37">
        <v>13521</v>
      </c>
      <c r="B3638" s="37" t="s">
        <v>24369</v>
      </c>
      <c r="C3638" s="37" t="s">
        <v>2348</v>
      </c>
      <c r="D3638" s="37" t="s">
        <v>2351</v>
      </c>
    </row>
    <row r="3639" spans="1:4" ht="14.25">
      <c r="A3639" s="37">
        <v>10851</v>
      </c>
      <c r="B3639" s="37" t="s">
        <v>24370</v>
      </c>
      <c r="C3639" s="37" t="s">
        <v>2348</v>
      </c>
      <c r="D3639" s="37" t="s">
        <v>2351</v>
      </c>
    </row>
    <row r="3640" spans="1:4" ht="14.25">
      <c r="A3640" s="37">
        <v>39515</v>
      </c>
      <c r="B3640" s="37" t="s">
        <v>24371</v>
      </c>
      <c r="C3640" s="37" t="s">
        <v>2348</v>
      </c>
      <c r="D3640" s="37" t="s">
        <v>2351</v>
      </c>
    </row>
    <row r="3641" spans="1:4" ht="14.25">
      <c r="A3641" s="37">
        <v>39516</v>
      </c>
      <c r="B3641" s="37" t="s">
        <v>24372</v>
      </c>
      <c r="C3641" s="37" t="s">
        <v>2348</v>
      </c>
      <c r="D3641" s="37" t="s">
        <v>2351</v>
      </c>
    </row>
    <row r="3642" spans="1:4" ht="14.25">
      <c r="A3642" s="37">
        <v>39514</v>
      </c>
      <c r="B3642" s="37" t="s">
        <v>24373</v>
      </c>
      <c r="C3642" s="37" t="s">
        <v>2348</v>
      </c>
      <c r="D3642" s="37" t="s">
        <v>2351</v>
      </c>
    </row>
    <row r="3643" spans="1:4" ht="14.25">
      <c r="A3643" s="37">
        <v>4812</v>
      </c>
      <c r="B3643" s="37" t="s">
        <v>24374</v>
      </c>
      <c r="C3643" s="37" t="s">
        <v>2350</v>
      </c>
      <c r="D3643" s="37" t="s">
        <v>2349</v>
      </c>
    </row>
    <row r="3644" spans="1:4" ht="14.25">
      <c r="A3644" s="37">
        <v>10849</v>
      </c>
      <c r="B3644" s="37" t="s">
        <v>24375</v>
      </c>
      <c r="C3644" s="37" t="s">
        <v>2348</v>
      </c>
      <c r="D3644" s="37" t="s">
        <v>2351</v>
      </c>
    </row>
    <row r="3645" spans="1:4" ht="14.25">
      <c r="A3645" s="37">
        <v>10848</v>
      </c>
      <c r="B3645" s="37" t="s">
        <v>24376</v>
      </c>
      <c r="C3645" s="37" t="s">
        <v>2348</v>
      </c>
      <c r="D3645" s="37" t="s">
        <v>2351</v>
      </c>
    </row>
    <row r="3646" spans="1:4" ht="14.25">
      <c r="A3646" s="37">
        <v>4813</v>
      </c>
      <c r="B3646" s="37" t="s">
        <v>28049</v>
      </c>
      <c r="C3646" s="37" t="s">
        <v>2350</v>
      </c>
      <c r="D3646" s="37" t="s">
        <v>2351</v>
      </c>
    </row>
    <row r="3647" spans="1:4" ht="14.25">
      <c r="A3647" s="37">
        <v>37560</v>
      </c>
      <c r="B3647" s="37" t="s">
        <v>24377</v>
      </c>
      <c r="C3647" s="37" t="s">
        <v>2348</v>
      </c>
      <c r="D3647" s="37" t="s">
        <v>2349</v>
      </c>
    </row>
    <row r="3648" spans="1:4" ht="14.25">
      <c r="A3648" s="37">
        <v>37557</v>
      </c>
      <c r="B3648" s="37" t="s">
        <v>24378</v>
      </c>
      <c r="C3648" s="37" t="s">
        <v>2348</v>
      </c>
      <c r="D3648" s="37" t="s">
        <v>2349</v>
      </c>
    </row>
    <row r="3649" spans="1:4" ht="14.25">
      <c r="A3649" s="37">
        <v>37556</v>
      </c>
      <c r="B3649" s="37" t="s">
        <v>24379</v>
      </c>
      <c r="C3649" s="37" t="s">
        <v>2348</v>
      </c>
      <c r="D3649" s="37" t="s">
        <v>2349</v>
      </c>
    </row>
    <row r="3650" spans="1:4" ht="14.25">
      <c r="A3650" s="37">
        <v>37559</v>
      </c>
      <c r="B3650" s="37" t="s">
        <v>24380</v>
      </c>
      <c r="C3650" s="37" t="s">
        <v>2348</v>
      </c>
      <c r="D3650" s="37" t="s">
        <v>2349</v>
      </c>
    </row>
    <row r="3651" spans="1:4" ht="14.25">
      <c r="A3651" s="37">
        <v>37539</v>
      </c>
      <c r="B3651" s="37" t="s">
        <v>24381</v>
      </c>
      <c r="C3651" s="37" t="s">
        <v>2348</v>
      </c>
      <c r="D3651" s="37" t="s">
        <v>2353</v>
      </c>
    </row>
    <row r="3652" spans="1:4" ht="14.25">
      <c r="A3652" s="37">
        <v>37558</v>
      </c>
      <c r="B3652" s="37" t="s">
        <v>24382</v>
      </c>
      <c r="C3652" s="37" t="s">
        <v>2348</v>
      </c>
      <c r="D3652" s="37" t="s">
        <v>2349</v>
      </c>
    </row>
    <row r="3653" spans="1:4" ht="14.25">
      <c r="A3653" s="37">
        <v>34723</v>
      </c>
      <c r="B3653" s="37" t="s">
        <v>24383</v>
      </c>
      <c r="C3653" s="37" t="s">
        <v>2350</v>
      </c>
      <c r="D3653" s="37" t="s">
        <v>2351</v>
      </c>
    </row>
    <row r="3654" spans="1:4" ht="14.25">
      <c r="A3654" s="37">
        <v>34721</v>
      </c>
      <c r="B3654" s="37" t="s">
        <v>24384</v>
      </c>
      <c r="C3654" s="37" t="s">
        <v>2350</v>
      </c>
      <c r="D3654" s="37" t="s">
        <v>2351</v>
      </c>
    </row>
    <row r="3655" spans="1:4" ht="14.25">
      <c r="A3655" s="37">
        <v>4309</v>
      </c>
      <c r="B3655" s="37" t="s">
        <v>24385</v>
      </c>
      <c r="C3655" s="37" t="s">
        <v>2348</v>
      </c>
      <c r="D3655" s="37" t="s">
        <v>2349</v>
      </c>
    </row>
    <row r="3656" spans="1:4" ht="14.25">
      <c r="A3656" s="37">
        <v>4307</v>
      </c>
      <c r="B3656" s="37" t="s">
        <v>24386</v>
      </c>
      <c r="C3656" s="37" t="s">
        <v>2348</v>
      </c>
      <c r="D3656" s="37" t="s">
        <v>2349</v>
      </c>
    </row>
    <row r="3657" spans="1:4" ht="14.25">
      <c r="A3657" s="37">
        <v>10850</v>
      </c>
      <c r="B3657" s="37" t="s">
        <v>24387</v>
      </c>
      <c r="C3657" s="37" t="s">
        <v>2348</v>
      </c>
      <c r="D3657" s="37" t="s">
        <v>2351</v>
      </c>
    </row>
    <row r="3658" spans="1:4" ht="14.25">
      <c r="A3658" s="37">
        <v>42438</v>
      </c>
      <c r="B3658" s="37" t="s">
        <v>24388</v>
      </c>
      <c r="C3658" s="37" t="s">
        <v>2348</v>
      </c>
      <c r="D3658" s="37" t="s">
        <v>2351</v>
      </c>
    </row>
    <row r="3659" spans="1:4" ht="14.25">
      <c r="A3659" s="37">
        <v>4792</v>
      </c>
      <c r="B3659" s="37" t="s">
        <v>24389</v>
      </c>
      <c r="C3659" s="37" t="s">
        <v>2350</v>
      </c>
      <c r="D3659" s="37" t="s">
        <v>2349</v>
      </c>
    </row>
    <row r="3660" spans="1:4" ht="14.25">
      <c r="A3660" s="37">
        <v>4790</v>
      </c>
      <c r="B3660" s="37" t="s">
        <v>24390</v>
      </c>
      <c r="C3660" s="37" t="s">
        <v>2350</v>
      </c>
      <c r="D3660" s="37" t="s">
        <v>2353</v>
      </c>
    </row>
    <row r="3661" spans="1:4" ht="14.25">
      <c r="A3661" s="37">
        <v>40671</v>
      </c>
      <c r="B3661" s="37" t="s">
        <v>24391</v>
      </c>
      <c r="C3661" s="37" t="s">
        <v>2350</v>
      </c>
      <c r="D3661" s="37" t="s">
        <v>2349</v>
      </c>
    </row>
    <row r="3662" spans="1:4" ht="14.25">
      <c r="A3662" s="37">
        <v>7552</v>
      </c>
      <c r="B3662" s="37" t="s">
        <v>24392</v>
      </c>
      <c r="C3662" s="37" t="s">
        <v>2348</v>
      </c>
      <c r="D3662" s="37" t="s">
        <v>2351</v>
      </c>
    </row>
    <row r="3663" spans="1:4" ht="14.25">
      <c r="A3663" s="37">
        <v>4893</v>
      </c>
      <c r="B3663" s="37" t="s">
        <v>24393</v>
      </c>
      <c r="C3663" s="37" t="s">
        <v>2348</v>
      </c>
      <c r="D3663" s="37" t="s">
        <v>2351</v>
      </c>
    </row>
    <row r="3664" spans="1:4" ht="14.25">
      <c r="A3664" s="37">
        <v>4894</v>
      </c>
      <c r="B3664" s="37" t="s">
        <v>24394</v>
      </c>
      <c r="C3664" s="37" t="s">
        <v>2348</v>
      </c>
      <c r="D3664" s="37" t="s">
        <v>2351</v>
      </c>
    </row>
    <row r="3665" spans="1:4" ht="14.25">
      <c r="A3665" s="37">
        <v>4888</v>
      </c>
      <c r="B3665" s="37" t="s">
        <v>24395</v>
      </c>
      <c r="C3665" s="37" t="s">
        <v>2348</v>
      </c>
      <c r="D3665" s="37" t="s">
        <v>2351</v>
      </c>
    </row>
    <row r="3666" spans="1:4" ht="14.25">
      <c r="A3666" s="37">
        <v>4890</v>
      </c>
      <c r="B3666" s="37" t="s">
        <v>24396</v>
      </c>
      <c r="C3666" s="37" t="s">
        <v>2348</v>
      </c>
      <c r="D3666" s="37" t="s">
        <v>2351</v>
      </c>
    </row>
    <row r="3667" spans="1:4" ht="14.25">
      <c r="A3667" s="37">
        <v>12411</v>
      </c>
      <c r="B3667" s="37" t="s">
        <v>24397</v>
      </c>
      <c r="C3667" s="37" t="s">
        <v>2348</v>
      </c>
      <c r="D3667" s="37" t="s">
        <v>2351</v>
      </c>
    </row>
    <row r="3668" spans="1:4" ht="14.25">
      <c r="A3668" s="37">
        <v>4891</v>
      </c>
      <c r="B3668" s="37" t="s">
        <v>24398</v>
      </c>
      <c r="C3668" s="37" t="s">
        <v>2348</v>
      </c>
      <c r="D3668" s="37" t="s">
        <v>2351</v>
      </c>
    </row>
    <row r="3669" spans="1:4" ht="14.25">
      <c r="A3669" s="37">
        <v>4889</v>
      </c>
      <c r="B3669" s="37" t="s">
        <v>24399</v>
      </c>
      <c r="C3669" s="37" t="s">
        <v>2348</v>
      </c>
      <c r="D3669" s="37" t="s">
        <v>2351</v>
      </c>
    </row>
    <row r="3670" spans="1:4" ht="14.25">
      <c r="A3670" s="37">
        <v>4892</v>
      </c>
      <c r="B3670" s="37" t="s">
        <v>24400</v>
      </c>
      <c r="C3670" s="37" t="s">
        <v>2348</v>
      </c>
      <c r="D3670" s="37" t="s">
        <v>2351</v>
      </c>
    </row>
    <row r="3671" spans="1:4" ht="14.25">
      <c r="A3671" s="37">
        <v>12412</v>
      </c>
      <c r="B3671" s="37" t="s">
        <v>24401</v>
      </c>
      <c r="C3671" s="37" t="s">
        <v>2348</v>
      </c>
      <c r="D3671" s="37" t="s">
        <v>2351</v>
      </c>
    </row>
    <row r="3672" spans="1:4" ht="14.25">
      <c r="A3672" s="37">
        <v>11073</v>
      </c>
      <c r="B3672" s="37" t="s">
        <v>24402</v>
      </c>
      <c r="C3672" s="37" t="s">
        <v>2348</v>
      </c>
      <c r="D3672" s="37" t="s">
        <v>2349</v>
      </c>
    </row>
    <row r="3673" spans="1:4" ht="14.25">
      <c r="A3673" s="37">
        <v>11071</v>
      </c>
      <c r="B3673" s="37" t="s">
        <v>24403</v>
      </c>
      <c r="C3673" s="37" t="s">
        <v>2348</v>
      </c>
      <c r="D3673" s="37" t="s">
        <v>2349</v>
      </c>
    </row>
    <row r="3674" spans="1:4" ht="14.25">
      <c r="A3674" s="37">
        <v>11072</v>
      </c>
      <c r="B3674" s="37" t="s">
        <v>24404</v>
      </c>
      <c r="C3674" s="37" t="s">
        <v>2348</v>
      </c>
      <c r="D3674" s="37" t="s">
        <v>2349</v>
      </c>
    </row>
    <row r="3675" spans="1:4" ht="14.25">
      <c r="A3675" s="37">
        <v>4895</v>
      </c>
      <c r="B3675" s="37" t="s">
        <v>24405</v>
      </c>
      <c r="C3675" s="37" t="s">
        <v>2348</v>
      </c>
      <c r="D3675" s="37" t="s">
        <v>2349</v>
      </c>
    </row>
    <row r="3676" spans="1:4" ht="14.25">
      <c r="A3676" s="37">
        <v>4907</v>
      </c>
      <c r="B3676" s="37" t="s">
        <v>24406</v>
      </c>
      <c r="C3676" s="37" t="s">
        <v>2348</v>
      </c>
      <c r="D3676" s="37" t="s">
        <v>2351</v>
      </c>
    </row>
    <row r="3677" spans="1:4" ht="14.25">
      <c r="A3677" s="37">
        <v>4902</v>
      </c>
      <c r="B3677" s="37" t="s">
        <v>24407</v>
      </c>
      <c r="C3677" s="37" t="s">
        <v>2348</v>
      </c>
      <c r="D3677" s="37" t="s">
        <v>2351</v>
      </c>
    </row>
    <row r="3678" spans="1:4" ht="14.25">
      <c r="A3678" s="37">
        <v>4908</v>
      </c>
      <c r="B3678" s="37" t="s">
        <v>24408</v>
      </c>
      <c r="C3678" s="37" t="s">
        <v>2348</v>
      </c>
      <c r="D3678" s="37" t="s">
        <v>2351</v>
      </c>
    </row>
    <row r="3679" spans="1:4" ht="14.25">
      <c r="A3679" s="37">
        <v>4909</v>
      </c>
      <c r="B3679" s="37" t="s">
        <v>24409</v>
      </c>
      <c r="C3679" s="37" t="s">
        <v>2348</v>
      </c>
      <c r="D3679" s="37" t="s">
        <v>2351</v>
      </c>
    </row>
    <row r="3680" spans="1:4" ht="14.25">
      <c r="A3680" s="37">
        <v>4903</v>
      </c>
      <c r="B3680" s="37" t="s">
        <v>24410</v>
      </c>
      <c r="C3680" s="37" t="s">
        <v>2348</v>
      </c>
      <c r="D3680" s="37" t="s">
        <v>2351</v>
      </c>
    </row>
    <row r="3681" spans="1:4" ht="14.25">
      <c r="A3681" s="37">
        <v>4897</v>
      </c>
      <c r="B3681" s="37" t="s">
        <v>24411</v>
      </c>
      <c r="C3681" s="37" t="s">
        <v>2348</v>
      </c>
      <c r="D3681" s="37" t="s">
        <v>2349</v>
      </c>
    </row>
    <row r="3682" spans="1:4" ht="14.25">
      <c r="A3682" s="37">
        <v>4896</v>
      </c>
      <c r="B3682" s="37" t="s">
        <v>24412</v>
      </c>
      <c r="C3682" s="37" t="s">
        <v>2348</v>
      </c>
      <c r="D3682" s="37" t="s">
        <v>2349</v>
      </c>
    </row>
    <row r="3683" spans="1:4" ht="14.25">
      <c r="A3683" s="37">
        <v>4900</v>
      </c>
      <c r="B3683" s="37" t="s">
        <v>24413</v>
      </c>
      <c r="C3683" s="37" t="s">
        <v>2348</v>
      </c>
      <c r="D3683" s="37" t="s">
        <v>2349</v>
      </c>
    </row>
    <row r="3684" spans="1:4" ht="14.25">
      <c r="A3684" s="37">
        <v>4898</v>
      </c>
      <c r="B3684" s="37" t="s">
        <v>24414</v>
      </c>
      <c r="C3684" s="37" t="s">
        <v>2348</v>
      </c>
      <c r="D3684" s="37" t="s">
        <v>2349</v>
      </c>
    </row>
    <row r="3685" spans="1:4" ht="14.25">
      <c r="A3685" s="37">
        <v>4899</v>
      </c>
      <c r="B3685" s="37" t="s">
        <v>24415</v>
      </c>
      <c r="C3685" s="37" t="s">
        <v>2348</v>
      </c>
      <c r="D3685" s="37" t="s">
        <v>2349</v>
      </c>
    </row>
    <row r="3686" spans="1:4" ht="14.25">
      <c r="A3686" s="37">
        <v>11096</v>
      </c>
      <c r="B3686" s="37" t="s">
        <v>24416</v>
      </c>
      <c r="C3686" s="37" t="s">
        <v>2356</v>
      </c>
      <c r="D3686" s="37" t="s">
        <v>2349</v>
      </c>
    </row>
    <row r="3687" spans="1:4" ht="14.25">
      <c r="A3687" s="37">
        <v>4741</v>
      </c>
      <c r="B3687" s="37" t="s">
        <v>24417</v>
      </c>
      <c r="C3687" s="37" t="s">
        <v>2368</v>
      </c>
      <c r="D3687" s="37" t="s">
        <v>2349</v>
      </c>
    </row>
    <row r="3688" spans="1:4" ht="14.25">
      <c r="A3688" s="37">
        <v>4752</v>
      </c>
      <c r="B3688" s="37" t="s">
        <v>24418</v>
      </c>
      <c r="C3688" s="37" t="s">
        <v>2352</v>
      </c>
      <c r="D3688" s="37" t="s">
        <v>2349</v>
      </c>
    </row>
    <row r="3689" spans="1:4" ht="14.25">
      <c r="A3689" s="37">
        <v>41091</v>
      </c>
      <c r="B3689" s="37" t="s">
        <v>24419</v>
      </c>
      <c r="C3689" s="37" t="s">
        <v>2369</v>
      </c>
      <c r="D3689" s="37" t="s">
        <v>2349</v>
      </c>
    </row>
    <row r="3690" spans="1:4" ht="14.25">
      <c r="A3690" s="37">
        <v>13954</v>
      </c>
      <c r="B3690" s="37" t="s">
        <v>24420</v>
      </c>
      <c r="C3690" s="37" t="s">
        <v>2348</v>
      </c>
      <c r="D3690" s="37" t="s">
        <v>2351</v>
      </c>
    </row>
    <row r="3691" spans="1:4" ht="14.25">
      <c r="A3691" s="37">
        <v>3411</v>
      </c>
      <c r="B3691" s="37" t="s">
        <v>24421</v>
      </c>
      <c r="C3691" s="37" t="s">
        <v>2356</v>
      </c>
      <c r="D3691" s="37" t="s">
        <v>2349</v>
      </c>
    </row>
    <row r="3692" spans="1:4" ht="14.25">
      <c r="A3692" s="37">
        <v>39995</v>
      </c>
      <c r="B3692" s="37" t="s">
        <v>24422</v>
      </c>
      <c r="C3692" s="37" t="s">
        <v>2368</v>
      </c>
      <c r="D3692" s="37" t="s">
        <v>2349</v>
      </c>
    </row>
    <row r="3693" spans="1:4" ht="14.25">
      <c r="A3693" s="37">
        <v>11615</v>
      </c>
      <c r="B3693" s="37" t="s">
        <v>24423</v>
      </c>
      <c r="C3693" s="37" t="s">
        <v>2350</v>
      </c>
      <c r="D3693" s="37" t="s">
        <v>2349</v>
      </c>
    </row>
    <row r="3694" spans="1:4" ht="14.25">
      <c r="A3694" s="37">
        <v>3408</v>
      </c>
      <c r="B3694" s="37" t="s">
        <v>24424</v>
      </c>
      <c r="C3694" s="37" t="s">
        <v>2350</v>
      </c>
      <c r="D3694" s="37" t="s">
        <v>2353</v>
      </c>
    </row>
    <row r="3695" spans="1:4" ht="14.25">
      <c r="A3695" s="37">
        <v>3409</v>
      </c>
      <c r="B3695" s="37" t="s">
        <v>24425</v>
      </c>
      <c r="C3695" s="37" t="s">
        <v>2350</v>
      </c>
      <c r="D3695" s="37" t="s">
        <v>2349</v>
      </c>
    </row>
    <row r="3696" spans="1:4" ht="14.25">
      <c r="A3696" s="37">
        <v>11427</v>
      </c>
      <c r="B3696" s="37" t="s">
        <v>24426</v>
      </c>
      <c r="C3696" s="37" t="s">
        <v>2356</v>
      </c>
      <c r="D3696" s="37" t="s">
        <v>2351</v>
      </c>
    </row>
    <row r="3697" spans="1:4" ht="14.25">
      <c r="A3697" s="37">
        <v>4491</v>
      </c>
      <c r="B3697" s="37" t="s">
        <v>24427</v>
      </c>
      <c r="C3697" s="37" t="s">
        <v>2355</v>
      </c>
      <c r="D3697" s="37" t="s">
        <v>2349</v>
      </c>
    </row>
    <row r="3698" spans="1:4" ht="14.25">
      <c r="A3698" s="37">
        <v>2745</v>
      </c>
      <c r="B3698" s="37" t="s">
        <v>24428</v>
      </c>
      <c r="C3698" s="37" t="s">
        <v>2355</v>
      </c>
      <c r="D3698" s="37" t="s">
        <v>2351</v>
      </c>
    </row>
    <row r="3699" spans="1:4" ht="14.25">
      <c r="A3699" s="37">
        <v>14439</v>
      </c>
      <c r="B3699" s="37" t="s">
        <v>24429</v>
      </c>
      <c r="C3699" s="37" t="s">
        <v>2355</v>
      </c>
      <c r="D3699" s="37" t="s">
        <v>2351</v>
      </c>
    </row>
    <row r="3700" spans="1:4" ht="14.25">
      <c r="A3700" s="37">
        <v>44496</v>
      </c>
      <c r="B3700" s="37" t="s">
        <v>28050</v>
      </c>
      <c r="C3700" s="37" t="s">
        <v>2348</v>
      </c>
      <c r="D3700" s="37" t="s">
        <v>2349</v>
      </c>
    </row>
    <row r="3701" spans="1:4" ht="14.25">
      <c r="A3701" s="37">
        <v>12362</v>
      </c>
      <c r="B3701" s="37" t="s">
        <v>24430</v>
      </c>
      <c r="C3701" s="37" t="s">
        <v>2348</v>
      </c>
      <c r="D3701" s="37" t="s">
        <v>2349</v>
      </c>
    </row>
    <row r="3702" spans="1:4" ht="14.25">
      <c r="A3702" s="37">
        <v>421</v>
      </c>
      <c r="B3702" s="37" t="s">
        <v>24431</v>
      </c>
      <c r="C3702" s="37" t="s">
        <v>2348</v>
      </c>
      <c r="D3702" s="37" t="s">
        <v>2351</v>
      </c>
    </row>
    <row r="3703" spans="1:4" ht="14.25">
      <c r="A3703" s="37">
        <v>14148</v>
      </c>
      <c r="B3703" s="37" t="s">
        <v>24432</v>
      </c>
      <c r="C3703" s="37" t="s">
        <v>2348</v>
      </c>
      <c r="D3703" s="37" t="s">
        <v>2351</v>
      </c>
    </row>
    <row r="3704" spans="1:4" ht="14.25">
      <c r="A3704" s="37">
        <v>4341</v>
      </c>
      <c r="B3704" s="37" t="s">
        <v>24433</v>
      </c>
      <c r="C3704" s="37" t="s">
        <v>2348</v>
      </c>
      <c r="D3704" s="37" t="s">
        <v>2351</v>
      </c>
    </row>
    <row r="3705" spans="1:4" ht="14.25">
      <c r="A3705" s="37">
        <v>4337</v>
      </c>
      <c r="B3705" s="37" t="s">
        <v>24434</v>
      </c>
      <c r="C3705" s="37" t="s">
        <v>2348</v>
      </c>
      <c r="D3705" s="37" t="s">
        <v>2351</v>
      </c>
    </row>
    <row r="3706" spans="1:4" ht="14.25">
      <c r="A3706" s="37">
        <v>4339</v>
      </c>
      <c r="B3706" s="37" t="s">
        <v>24435</v>
      </c>
      <c r="C3706" s="37" t="s">
        <v>2348</v>
      </c>
      <c r="D3706" s="37" t="s">
        <v>2351</v>
      </c>
    </row>
    <row r="3707" spans="1:4" ht="14.25">
      <c r="A3707" s="37">
        <v>39997</v>
      </c>
      <c r="B3707" s="37" t="s">
        <v>24436</v>
      </c>
      <c r="C3707" s="37" t="s">
        <v>2348</v>
      </c>
      <c r="D3707" s="37" t="s">
        <v>2351</v>
      </c>
    </row>
    <row r="3708" spans="1:4" ht="14.25">
      <c r="A3708" s="37">
        <v>11971</v>
      </c>
      <c r="B3708" s="37" t="s">
        <v>24437</v>
      </c>
      <c r="C3708" s="37" t="s">
        <v>2348</v>
      </c>
      <c r="D3708" s="37" t="s">
        <v>2351</v>
      </c>
    </row>
    <row r="3709" spans="1:4" ht="14.25">
      <c r="A3709" s="37">
        <v>4342</v>
      </c>
      <c r="B3709" s="37" t="s">
        <v>24438</v>
      </c>
      <c r="C3709" s="37" t="s">
        <v>2348</v>
      </c>
      <c r="D3709" s="37" t="s">
        <v>2351</v>
      </c>
    </row>
    <row r="3710" spans="1:4" ht="14.25">
      <c r="A3710" s="37">
        <v>4330</v>
      </c>
      <c r="B3710" s="37" t="s">
        <v>24439</v>
      </c>
      <c r="C3710" s="37" t="s">
        <v>2348</v>
      </c>
      <c r="D3710" s="37" t="s">
        <v>2351</v>
      </c>
    </row>
    <row r="3711" spans="1:4" ht="14.25">
      <c r="A3711" s="37">
        <v>4340</v>
      </c>
      <c r="B3711" s="37" t="s">
        <v>24440</v>
      </c>
      <c r="C3711" s="37" t="s">
        <v>2348</v>
      </c>
      <c r="D3711" s="37" t="s">
        <v>2351</v>
      </c>
    </row>
    <row r="3712" spans="1:4" ht="14.25">
      <c r="A3712" s="37">
        <v>5088</v>
      </c>
      <c r="B3712" s="37" t="s">
        <v>24441</v>
      </c>
      <c r="C3712" s="37" t="s">
        <v>2348</v>
      </c>
      <c r="D3712" s="37" t="s">
        <v>2349</v>
      </c>
    </row>
    <row r="3713" spans="1:4" ht="14.25">
      <c r="A3713" s="37">
        <v>11154</v>
      </c>
      <c r="B3713" s="37" t="s">
        <v>24442</v>
      </c>
      <c r="C3713" s="37" t="s">
        <v>2348</v>
      </c>
      <c r="D3713" s="37" t="s">
        <v>2351</v>
      </c>
    </row>
    <row r="3714" spans="1:4" ht="14.25">
      <c r="A3714" s="37">
        <v>4989</v>
      </c>
      <c r="B3714" s="37" t="s">
        <v>24443</v>
      </c>
      <c r="C3714" s="37" t="s">
        <v>2348</v>
      </c>
      <c r="D3714" s="37" t="s">
        <v>2349</v>
      </c>
    </row>
    <row r="3715" spans="1:4" ht="14.25">
      <c r="A3715" s="37">
        <v>4982</v>
      </c>
      <c r="B3715" s="37" t="s">
        <v>24444</v>
      </c>
      <c r="C3715" s="37" t="s">
        <v>2348</v>
      </c>
      <c r="D3715" s="37" t="s">
        <v>2349</v>
      </c>
    </row>
    <row r="3716" spans="1:4" ht="14.25">
      <c r="A3716" s="37">
        <v>4962</v>
      </c>
      <c r="B3716" s="37" t="s">
        <v>24445</v>
      </c>
      <c r="C3716" s="37" t="s">
        <v>2348</v>
      </c>
      <c r="D3716" s="37" t="s">
        <v>2349</v>
      </c>
    </row>
    <row r="3717" spans="1:4" ht="14.25">
      <c r="A3717" s="37">
        <v>4981</v>
      </c>
      <c r="B3717" s="37" t="s">
        <v>24446</v>
      </c>
      <c r="C3717" s="37" t="s">
        <v>2348</v>
      </c>
      <c r="D3717" s="37" t="s">
        <v>2353</v>
      </c>
    </row>
    <row r="3718" spans="1:4" ht="14.25">
      <c r="A3718" s="37">
        <v>4964</v>
      </c>
      <c r="B3718" s="37" t="s">
        <v>24447</v>
      </c>
      <c r="C3718" s="37" t="s">
        <v>2348</v>
      </c>
      <c r="D3718" s="37" t="s">
        <v>2349</v>
      </c>
    </row>
    <row r="3719" spans="1:4" ht="14.25">
      <c r="A3719" s="37">
        <v>4992</v>
      </c>
      <c r="B3719" s="37" t="s">
        <v>24448</v>
      </c>
      <c r="C3719" s="37" t="s">
        <v>2348</v>
      </c>
      <c r="D3719" s="37" t="s">
        <v>2349</v>
      </c>
    </row>
    <row r="3720" spans="1:4" ht="14.25">
      <c r="A3720" s="37">
        <v>4987</v>
      </c>
      <c r="B3720" s="37" t="s">
        <v>24449</v>
      </c>
      <c r="C3720" s="37" t="s">
        <v>2348</v>
      </c>
      <c r="D3720" s="37" t="s">
        <v>2349</v>
      </c>
    </row>
    <row r="3721" spans="1:4" ht="14.25">
      <c r="A3721" s="37">
        <v>4930</v>
      </c>
      <c r="B3721" s="37" t="s">
        <v>28051</v>
      </c>
      <c r="C3721" s="37" t="s">
        <v>2350</v>
      </c>
      <c r="D3721" s="37" t="s">
        <v>2351</v>
      </c>
    </row>
    <row r="3722" spans="1:4" ht="14.25">
      <c r="A3722" s="37">
        <v>39021</v>
      </c>
      <c r="B3722" s="37" t="s">
        <v>28052</v>
      </c>
      <c r="C3722" s="37" t="s">
        <v>2348</v>
      </c>
      <c r="D3722" s="37" t="s">
        <v>2351</v>
      </c>
    </row>
    <row r="3723" spans="1:4" ht="14.25">
      <c r="A3723" s="37">
        <v>39022</v>
      </c>
      <c r="B3723" s="37" t="s">
        <v>28053</v>
      </c>
      <c r="C3723" s="37" t="s">
        <v>2348</v>
      </c>
      <c r="D3723" s="37" t="s">
        <v>2351</v>
      </c>
    </row>
    <row r="3724" spans="1:4" ht="14.25">
      <c r="A3724" s="37">
        <v>39024</v>
      </c>
      <c r="B3724" s="37" t="s">
        <v>24450</v>
      </c>
      <c r="C3724" s="37" t="s">
        <v>2348</v>
      </c>
      <c r="D3724" s="37" t="s">
        <v>2351</v>
      </c>
    </row>
    <row r="3725" spans="1:4" ht="14.25">
      <c r="A3725" s="37">
        <v>4914</v>
      </c>
      <c r="B3725" s="37" t="s">
        <v>24451</v>
      </c>
      <c r="C3725" s="37" t="s">
        <v>2350</v>
      </c>
      <c r="D3725" s="37" t="s">
        <v>2351</v>
      </c>
    </row>
    <row r="3726" spans="1:4" ht="14.25">
      <c r="A3726" s="37">
        <v>4917</v>
      </c>
      <c r="B3726" s="37" t="s">
        <v>24452</v>
      </c>
      <c r="C3726" s="37" t="s">
        <v>2350</v>
      </c>
      <c r="D3726" s="37" t="s">
        <v>2351</v>
      </c>
    </row>
    <row r="3727" spans="1:4" ht="14.25">
      <c r="A3727" s="37">
        <v>39025</v>
      </c>
      <c r="B3727" s="37" t="s">
        <v>24453</v>
      </c>
      <c r="C3727" s="37" t="s">
        <v>2348</v>
      </c>
      <c r="D3727" s="37" t="s">
        <v>2351</v>
      </c>
    </row>
    <row r="3728" spans="1:4" ht="14.25">
      <c r="A3728" s="37">
        <v>4922</v>
      </c>
      <c r="B3728" s="37" t="s">
        <v>24454</v>
      </c>
      <c r="C3728" s="37" t="s">
        <v>2350</v>
      </c>
      <c r="D3728" s="37" t="s">
        <v>2351</v>
      </c>
    </row>
    <row r="3729" spans="1:4" ht="14.25">
      <c r="A3729" s="37">
        <v>4911</v>
      </c>
      <c r="B3729" s="37" t="s">
        <v>24455</v>
      </c>
      <c r="C3729" s="37" t="s">
        <v>2350</v>
      </c>
      <c r="D3729" s="37" t="s">
        <v>2349</v>
      </c>
    </row>
    <row r="3730" spans="1:4" ht="14.25">
      <c r="A3730" s="37">
        <v>37518</v>
      </c>
      <c r="B3730" s="37" t="s">
        <v>24456</v>
      </c>
      <c r="C3730" s="37" t="s">
        <v>2350</v>
      </c>
      <c r="D3730" s="37" t="s">
        <v>2349</v>
      </c>
    </row>
    <row r="3731" spans="1:4" ht="14.25">
      <c r="A3731" s="37">
        <v>4910</v>
      </c>
      <c r="B3731" s="37" t="s">
        <v>24457</v>
      </c>
      <c r="C3731" s="37" t="s">
        <v>2350</v>
      </c>
      <c r="D3731" s="37" t="s">
        <v>2349</v>
      </c>
    </row>
    <row r="3732" spans="1:4" ht="14.25">
      <c r="A3732" s="37">
        <v>4943</v>
      </c>
      <c r="B3732" s="37" t="s">
        <v>24458</v>
      </c>
      <c r="C3732" s="37" t="s">
        <v>2350</v>
      </c>
      <c r="D3732" s="37" t="s">
        <v>2349</v>
      </c>
    </row>
    <row r="3733" spans="1:4" ht="14.25">
      <c r="A3733" s="37">
        <v>5002</v>
      </c>
      <c r="B3733" s="37" t="s">
        <v>24459</v>
      </c>
      <c r="C3733" s="37" t="s">
        <v>2350</v>
      </c>
      <c r="D3733" s="37" t="s">
        <v>2349</v>
      </c>
    </row>
    <row r="3734" spans="1:4" ht="14.25">
      <c r="A3734" s="37">
        <v>4977</v>
      </c>
      <c r="B3734" s="37" t="s">
        <v>24460</v>
      </c>
      <c r="C3734" s="37" t="s">
        <v>2350</v>
      </c>
      <c r="D3734" s="37" t="s">
        <v>2349</v>
      </c>
    </row>
    <row r="3735" spans="1:4" ht="14.25">
      <c r="A3735" s="37">
        <v>5028</v>
      </c>
      <c r="B3735" s="37" t="s">
        <v>24461</v>
      </c>
      <c r="C3735" s="37" t="s">
        <v>2350</v>
      </c>
      <c r="D3735" s="37" t="s">
        <v>2349</v>
      </c>
    </row>
    <row r="3736" spans="1:4" ht="14.25">
      <c r="A3736" s="37">
        <v>4998</v>
      </c>
      <c r="B3736" s="37" t="s">
        <v>24462</v>
      </c>
      <c r="C3736" s="37" t="s">
        <v>2350</v>
      </c>
      <c r="D3736" s="37" t="s">
        <v>2349</v>
      </c>
    </row>
    <row r="3737" spans="1:4" ht="14.25">
      <c r="A3737" s="37">
        <v>4969</v>
      </c>
      <c r="B3737" s="37" t="s">
        <v>24463</v>
      </c>
      <c r="C3737" s="37" t="s">
        <v>2350</v>
      </c>
      <c r="D3737" s="37" t="s">
        <v>2353</v>
      </c>
    </row>
    <row r="3738" spans="1:4" ht="14.25">
      <c r="A3738" s="37">
        <v>11364</v>
      </c>
      <c r="B3738" s="37" t="s">
        <v>24464</v>
      </c>
      <c r="C3738" s="37" t="s">
        <v>2348</v>
      </c>
      <c r="D3738" s="37" t="s">
        <v>2349</v>
      </c>
    </row>
    <row r="3739" spans="1:4" ht="14.25">
      <c r="A3739" s="37">
        <v>11365</v>
      </c>
      <c r="B3739" s="37" t="s">
        <v>24465</v>
      </c>
      <c r="C3739" s="37" t="s">
        <v>2348</v>
      </c>
      <c r="D3739" s="37" t="s">
        <v>2349</v>
      </c>
    </row>
    <row r="3740" spans="1:4" ht="14.25">
      <c r="A3740" s="37">
        <v>11366</v>
      </c>
      <c r="B3740" s="37" t="s">
        <v>24466</v>
      </c>
      <c r="C3740" s="37" t="s">
        <v>2348</v>
      </c>
      <c r="D3740" s="37" t="s">
        <v>2349</v>
      </c>
    </row>
    <row r="3741" spans="1:4" ht="14.25">
      <c r="A3741" s="37">
        <v>43777</v>
      </c>
      <c r="B3741" s="37" t="s">
        <v>24467</v>
      </c>
      <c r="C3741" s="37" t="s">
        <v>2348</v>
      </c>
      <c r="D3741" s="37" t="s">
        <v>2349</v>
      </c>
    </row>
    <row r="3742" spans="1:4" ht="14.25">
      <c r="A3742" s="37">
        <v>20322</v>
      </c>
      <c r="B3742" s="37" t="s">
        <v>24468</v>
      </c>
      <c r="C3742" s="37" t="s">
        <v>2348</v>
      </c>
      <c r="D3742" s="37" t="s">
        <v>2349</v>
      </c>
    </row>
    <row r="3743" spans="1:4" ht="14.25">
      <c r="A3743" s="37">
        <v>10553</v>
      </c>
      <c r="B3743" s="37" t="s">
        <v>24469</v>
      </c>
      <c r="C3743" s="37" t="s">
        <v>2348</v>
      </c>
      <c r="D3743" s="37" t="s">
        <v>2349</v>
      </c>
    </row>
    <row r="3744" spans="1:4" ht="14.25">
      <c r="A3744" s="37">
        <v>5020</v>
      </c>
      <c r="B3744" s="37" t="s">
        <v>24470</v>
      </c>
      <c r="C3744" s="37" t="s">
        <v>2348</v>
      </c>
      <c r="D3744" s="37" t="s">
        <v>2349</v>
      </c>
    </row>
    <row r="3745" spans="1:4" ht="14.25">
      <c r="A3745" s="37">
        <v>10554</v>
      </c>
      <c r="B3745" s="37" t="s">
        <v>24471</v>
      </c>
      <c r="C3745" s="37" t="s">
        <v>2348</v>
      </c>
      <c r="D3745" s="37" t="s">
        <v>2349</v>
      </c>
    </row>
    <row r="3746" spans="1:4" ht="14.25">
      <c r="A3746" s="37">
        <v>10555</v>
      </c>
      <c r="B3746" s="37" t="s">
        <v>24472</v>
      </c>
      <c r="C3746" s="37" t="s">
        <v>2348</v>
      </c>
      <c r="D3746" s="37" t="s">
        <v>2349</v>
      </c>
    </row>
    <row r="3747" spans="1:4" ht="14.25">
      <c r="A3747" s="37">
        <v>10556</v>
      </c>
      <c r="B3747" s="37" t="s">
        <v>24473</v>
      </c>
      <c r="C3747" s="37" t="s">
        <v>2348</v>
      </c>
      <c r="D3747" s="37" t="s">
        <v>2349</v>
      </c>
    </row>
    <row r="3748" spans="1:4" ht="14.25">
      <c r="A3748" s="37">
        <v>39502</v>
      </c>
      <c r="B3748" s="37" t="s">
        <v>24474</v>
      </c>
      <c r="C3748" s="37" t="s">
        <v>2348</v>
      </c>
      <c r="D3748" s="37" t="s">
        <v>2349</v>
      </c>
    </row>
    <row r="3749" spans="1:4" ht="14.25">
      <c r="A3749" s="37">
        <v>39504</v>
      </c>
      <c r="B3749" s="37" t="s">
        <v>24475</v>
      </c>
      <c r="C3749" s="37" t="s">
        <v>2348</v>
      </c>
      <c r="D3749" s="37" t="s">
        <v>2349</v>
      </c>
    </row>
    <row r="3750" spans="1:4" ht="14.25">
      <c r="A3750" s="37">
        <v>39503</v>
      </c>
      <c r="B3750" s="37" t="s">
        <v>24476</v>
      </c>
      <c r="C3750" s="37" t="s">
        <v>2348</v>
      </c>
      <c r="D3750" s="37" t="s">
        <v>2349</v>
      </c>
    </row>
    <row r="3751" spans="1:4" ht="14.25">
      <c r="A3751" s="37">
        <v>39505</v>
      </c>
      <c r="B3751" s="37" t="s">
        <v>24477</v>
      </c>
      <c r="C3751" s="37" t="s">
        <v>2348</v>
      </c>
      <c r="D3751" s="37" t="s">
        <v>2349</v>
      </c>
    </row>
    <row r="3752" spans="1:4" ht="14.25">
      <c r="A3752" s="37">
        <v>44471</v>
      </c>
      <c r="B3752" s="37" t="s">
        <v>28054</v>
      </c>
      <c r="C3752" s="37" t="s">
        <v>2348</v>
      </c>
      <c r="D3752" s="37" t="s">
        <v>2351</v>
      </c>
    </row>
    <row r="3753" spans="1:4" ht="14.25">
      <c r="A3753" s="37">
        <v>4944</v>
      </c>
      <c r="B3753" s="37" t="s">
        <v>24478</v>
      </c>
      <c r="C3753" s="37" t="s">
        <v>2350</v>
      </c>
      <c r="D3753" s="37" t="s">
        <v>2349</v>
      </c>
    </row>
    <row r="3754" spans="1:4" ht="14.25">
      <c r="A3754" s="37">
        <v>21102</v>
      </c>
      <c r="B3754" s="37" t="s">
        <v>24479</v>
      </c>
      <c r="C3754" s="37" t="s">
        <v>2348</v>
      </c>
      <c r="D3754" s="37" t="s">
        <v>2349</v>
      </c>
    </row>
    <row r="3755" spans="1:4" ht="14.25">
      <c r="A3755" s="37">
        <v>21101</v>
      </c>
      <c r="B3755" s="37" t="s">
        <v>24480</v>
      </c>
      <c r="C3755" s="37" t="s">
        <v>2348</v>
      </c>
      <c r="D3755" s="37" t="s">
        <v>2349</v>
      </c>
    </row>
    <row r="3756" spans="1:4" ht="14.25">
      <c r="A3756" s="37">
        <v>34713</v>
      </c>
      <c r="B3756" s="37" t="s">
        <v>24481</v>
      </c>
      <c r="C3756" s="37" t="s">
        <v>2350</v>
      </c>
      <c r="D3756" s="37" t="s">
        <v>2349</v>
      </c>
    </row>
    <row r="3757" spans="1:4" ht="14.25">
      <c r="A3757" s="37">
        <v>37563</v>
      </c>
      <c r="B3757" s="37" t="s">
        <v>28055</v>
      </c>
      <c r="C3757" s="37" t="s">
        <v>2350</v>
      </c>
      <c r="D3757" s="37" t="s">
        <v>2351</v>
      </c>
    </row>
    <row r="3758" spans="1:4" ht="14.25">
      <c r="A3758" s="37">
        <v>4948</v>
      </c>
      <c r="B3758" s="37" t="s">
        <v>28056</v>
      </c>
      <c r="C3758" s="37" t="s">
        <v>2350</v>
      </c>
      <c r="D3758" s="37" t="s">
        <v>2351</v>
      </c>
    </row>
    <row r="3759" spans="1:4" ht="14.25">
      <c r="A3759" s="37">
        <v>37561</v>
      </c>
      <c r="B3759" s="37" t="s">
        <v>24482</v>
      </c>
      <c r="C3759" s="37" t="s">
        <v>2350</v>
      </c>
      <c r="D3759" s="37" t="s">
        <v>2351</v>
      </c>
    </row>
    <row r="3760" spans="1:4" ht="14.25">
      <c r="A3760" s="37">
        <v>37562</v>
      </c>
      <c r="B3760" s="37" t="s">
        <v>24483</v>
      </c>
      <c r="C3760" s="37" t="s">
        <v>2350</v>
      </c>
      <c r="D3760" s="37" t="s">
        <v>2351</v>
      </c>
    </row>
    <row r="3761" spans="1:4" ht="14.25">
      <c r="A3761" s="37">
        <v>14164</v>
      </c>
      <c r="B3761" s="37" t="s">
        <v>24484</v>
      </c>
      <c r="C3761" s="37" t="s">
        <v>2348</v>
      </c>
      <c r="D3761" s="37" t="s">
        <v>2351</v>
      </c>
    </row>
    <row r="3762" spans="1:4" ht="14.25">
      <c r="A3762" s="37">
        <v>14163</v>
      </c>
      <c r="B3762" s="37" t="s">
        <v>24485</v>
      </c>
      <c r="C3762" s="37" t="s">
        <v>2348</v>
      </c>
      <c r="D3762" s="37" t="s">
        <v>2351</v>
      </c>
    </row>
    <row r="3763" spans="1:4" ht="14.25">
      <c r="A3763" s="37">
        <v>5051</v>
      </c>
      <c r="B3763" s="37" t="s">
        <v>24486</v>
      </c>
      <c r="C3763" s="37" t="s">
        <v>2348</v>
      </c>
      <c r="D3763" s="37" t="s">
        <v>2351</v>
      </c>
    </row>
    <row r="3764" spans="1:4" ht="14.25">
      <c r="A3764" s="37">
        <v>14162</v>
      </c>
      <c r="B3764" s="37" t="s">
        <v>24487</v>
      </c>
      <c r="C3764" s="37" t="s">
        <v>2348</v>
      </c>
      <c r="D3764" s="37" t="s">
        <v>2351</v>
      </c>
    </row>
    <row r="3765" spans="1:4" ht="14.25">
      <c r="A3765" s="37">
        <v>5052</v>
      </c>
      <c r="B3765" s="37" t="s">
        <v>24488</v>
      </c>
      <c r="C3765" s="37" t="s">
        <v>2348</v>
      </c>
      <c r="D3765" s="37" t="s">
        <v>2351</v>
      </c>
    </row>
    <row r="3766" spans="1:4" ht="14.25">
      <c r="A3766" s="37">
        <v>14166</v>
      </c>
      <c r="B3766" s="37" t="s">
        <v>24489</v>
      </c>
      <c r="C3766" s="37" t="s">
        <v>2348</v>
      </c>
      <c r="D3766" s="37" t="s">
        <v>2351</v>
      </c>
    </row>
    <row r="3767" spans="1:4" ht="14.25">
      <c r="A3767" s="37">
        <v>14165</v>
      </c>
      <c r="B3767" s="37" t="s">
        <v>24490</v>
      </c>
      <c r="C3767" s="37" t="s">
        <v>2348</v>
      </c>
      <c r="D3767" s="37" t="s">
        <v>2351</v>
      </c>
    </row>
    <row r="3768" spans="1:4" ht="14.25">
      <c r="A3768" s="37">
        <v>5050</v>
      </c>
      <c r="B3768" s="37" t="s">
        <v>24491</v>
      </c>
      <c r="C3768" s="37" t="s">
        <v>2348</v>
      </c>
      <c r="D3768" s="37" t="s">
        <v>2351</v>
      </c>
    </row>
    <row r="3769" spans="1:4" ht="14.25">
      <c r="A3769" s="37">
        <v>12366</v>
      </c>
      <c r="B3769" s="37" t="s">
        <v>28057</v>
      </c>
      <c r="C3769" s="37" t="s">
        <v>2348</v>
      </c>
      <c r="D3769" s="37" t="s">
        <v>2351</v>
      </c>
    </row>
    <row r="3770" spans="1:4" ht="14.25">
      <c r="A3770" s="37">
        <v>5045</v>
      </c>
      <c r="B3770" s="37" t="s">
        <v>28058</v>
      </c>
      <c r="C3770" s="37" t="s">
        <v>2348</v>
      </c>
      <c r="D3770" s="37" t="s">
        <v>2351</v>
      </c>
    </row>
    <row r="3771" spans="1:4" ht="14.25">
      <c r="A3771" s="37">
        <v>5035</v>
      </c>
      <c r="B3771" s="37" t="s">
        <v>28059</v>
      </c>
      <c r="C3771" s="37" t="s">
        <v>2348</v>
      </c>
      <c r="D3771" s="37" t="s">
        <v>2351</v>
      </c>
    </row>
    <row r="3772" spans="1:4" ht="14.25">
      <c r="A3772" s="37">
        <v>41180</v>
      </c>
      <c r="B3772" s="37" t="s">
        <v>28060</v>
      </c>
      <c r="C3772" s="37" t="s">
        <v>2348</v>
      </c>
      <c r="D3772" s="37" t="s">
        <v>2351</v>
      </c>
    </row>
    <row r="3773" spans="1:4" ht="14.25">
      <c r="A3773" s="37">
        <v>41181</v>
      </c>
      <c r="B3773" s="37" t="s">
        <v>28061</v>
      </c>
      <c r="C3773" s="37" t="s">
        <v>2348</v>
      </c>
      <c r="D3773" s="37" t="s">
        <v>2351</v>
      </c>
    </row>
    <row r="3774" spans="1:4" ht="14.25">
      <c r="A3774" s="37">
        <v>41182</v>
      </c>
      <c r="B3774" s="37" t="s">
        <v>28062</v>
      </c>
      <c r="C3774" s="37" t="s">
        <v>2348</v>
      </c>
      <c r="D3774" s="37" t="s">
        <v>2351</v>
      </c>
    </row>
    <row r="3775" spans="1:4" ht="14.25">
      <c r="A3775" s="37">
        <v>41183</v>
      </c>
      <c r="B3775" s="37" t="s">
        <v>28063</v>
      </c>
      <c r="C3775" s="37" t="s">
        <v>2348</v>
      </c>
      <c r="D3775" s="37" t="s">
        <v>2351</v>
      </c>
    </row>
    <row r="3776" spans="1:4" ht="14.25">
      <c r="A3776" s="37">
        <v>41184</v>
      </c>
      <c r="B3776" s="37" t="s">
        <v>28064</v>
      </c>
      <c r="C3776" s="37" t="s">
        <v>2348</v>
      </c>
      <c r="D3776" s="37" t="s">
        <v>2351</v>
      </c>
    </row>
    <row r="3777" spans="1:4" ht="14.25">
      <c r="A3777" s="37">
        <v>41185</v>
      </c>
      <c r="B3777" s="37" t="s">
        <v>28065</v>
      </c>
      <c r="C3777" s="37" t="s">
        <v>2348</v>
      </c>
      <c r="D3777" s="37" t="s">
        <v>2351</v>
      </c>
    </row>
    <row r="3778" spans="1:4" ht="14.25">
      <c r="A3778" s="37">
        <v>41186</v>
      </c>
      <c r="B3778" s="37" t="s">
        <v>28066</v>
      </c>
      <c r="C3778" s="37" t="s">
        <v>2348</v>
      </c>
      <c r="D3778" s="37" t="s">
        <v>2351</v>
      </c>
    </row>
    <row r="3779" spans="1:4" ht="14.25">
      <c r="A3779" s="37">
        <v>41187</v>
      </c>
      <c r="B3779" s="37" t="s">
        <v>28067</v>
      </c>
      <c r="C3779" s="37" t="s">
        <v>2348</v>
      </c>
      <c r="D3779" s="37" t="s">
        <v>2351</v>
      </c>
    </row>
    <row r="3780" spans="1:4" ht="14.25">
      <c r="A3780" s="37">
        <v>41188</v>
      </c>
      <c r="B3780" s="37" t="s">
        <v>28068</v>
      </c>
      <c r="C3780" s="37" t="s">
        <v>2348</v>
      </c>
      <c r="D3780" s="37" t="s">
        <v>2351</v>
      </c>
    </row>
    <row r="3781" spans="1:4" ht="14.25">
      <c r="A3781" s="37">
        <v>5036</v>
      </c>
      <c r="B3781" s="37" t="s">
        <v>28069</v>
      </c>
      <c r="C3781" s="37" t="s">
        <v>2348</v>
      </c>
      <c r="D3781" s="37" t="s">
        <v>2351</v>
      </c>
    </row>
    <row r="3782" spans="1:4" ht="14.25">
      <c r="A3782" s="37">
        <v>41189</v>
      </c>
      <c r="B3782" s="37" t="s">
        <v>28070</v>
      </c>
      <c r="C3782" s="37" t="s">
        <v>2348</v>
      </c>
      <c r="D3782" s="37" t="s">
        <v>2351</v>
      </c>
    </row>
    <row r="3783" spans="1:4" ht="14.25">
      <c r="A3783" s="37">
        <v>41190</v>
      </c>
      <c r="B3783" s="37" t="s">
        <v>28071</v>
      </c>
      <c r="C3783" s="37" t="s">
        <v>2348</v>
      </c>
      <c r="D3783" s="37" t="s">
        <v>2351</v>
      </c>
    </row>
    <row r="3784" spans="1:4" ht="14.25">
      <c r="A3784" s="37">
        <v>41191</v>
      </c>
      <c r="B3784" s="37" t="s">
        <v>28072</v>
      </c>
      <c r="C3784" s="37" t="s">
        <v>2348</v>
      </c>
      <c r="D3784" s="37" t="s">
        <v>2351</v>
      </c>
    </row>
    <row r="3785" spans="1:4" ht="14.25">
      <c r="A3785" s="37">
        <v>41192</v>
      </c>
      <c r="B3785" s="37" t="s">
        <v>28073</v>
      </c>
      <c r="C3785" s="37" t="s">
        <v>2348</v>
      </c>
      <c r="D3785" s="37" t="s">
        <v>2351</v>
      </c>
    </row>
    <row r="3786" spans="1:4" ht="14.25">
      <c r="A3786" s="37">
        <v>41193</v>
      </c>
      <c r="B3786" s="37" t="s">
        <v>28074</v>
      </c>
      <c r="C3786" s="37" t="s">
        <v>2348</v>
      </c>
      <c r="D3786" s="37" t="s">
        <v>2351</v>
      </c>
    </row>
    <row r="3787" spans="1:4" ht="14.25">
      <c r="A3787" s="37">
        <v>41194</v>
      </c>
      <c r="B3787" s="37" t="s">
        <v>28075</v>
      </c>
      <c r="C3787" s="37" t="s">
        <v>2348</v>
      </c>
      <c r="D3787" s="37" t="s">
        <v>2351</v>
      </c>
    </row>
    <row r="3788" spans="1:4" ht="14.25">
      <c r="A3788" s="37">
        <v>5044</v>
      </c>
      <c r="B3788" s="37" t="s">
        <v>28076</v>
      </c>
      <c r="C3788" s="37" t="s">
        <v>2348</v>
      </c>
      <c r="D3788" s="37" t="s">
        <v>2351</v>
      </c>
    </row>
    <row r="3789" spans="1:4" ht="14.25">
      <c r="A3789" s="37">
        <v>5059</v>
      </c>
      <c r="B3789" s="37" t="s">
        <v>28077</v>
      </c>
      <c r="C3789" s="37" t="s">
        <v>2348</v>
      </c>
      <c r="D3789" s="37" t="s">
        <v>2351</v>
      </c>
    </row>
    <row r="3790" spans="1:4" ht="14.25">
      <c r="A3790" s="37">
        <v>41201</v>
      </c>
      <c r="B3790" s="37" t="s">
        <v>28078</v>
      </c>
      <c r="C3790" s="37" t="s">
        <v>2348</v>
      </c>
      <c r="D3790" s="37" t="s">
        <v>2351</v>
      </c>
    </row>
    <row r="3791" spans="1:4" ht="14.25">
      <c r="A3791" s="37">
        <v>41199</v>
      </c>
      <c r="B3791" s="37" t="s">
        <v>28079</v>
      </c>
      <c r="C3791" s="37" t="s">
        <v>2348</v>
      </c>
      <c r="D3791" s="37" t="s">
        <v>2351</v>
      </c>
    </row>
    <row r="3792" spans="1:4" ht="14.25">
      <c r="A3792" s="37">
        <v>5057</v>
      </c>
      <c r="B3792" s="37" t="s">
        <v>28080</v>
      </c>
      <c r="C3792" s="37" t="s">
        <v>2348</v>
      </c>
      <c r="D3792" s="37" t="s">
        <v>2351</v>
      </c>
    </row>
    <row r="3793" spans="1:4" ht="14.25">
      <c r="A3793" s="37">
        <v>41200</v>
      </c>
      <c r="B3793" s="37" t="s">
        <v>28081</v>
      </c>
      <c r="C3793" s="37" t="s">
        <v>2348</v>
      </c>
      <c r="D3793" s="37" t="s">
        <v>2351</v>
      </c>
    </row>
    <row r="3794" spans="1:4" ht="14.25">
      <c r="A3794" s="37">
        <v>41205</v>
      </c>
      <c r="B3794" s="37" t="s">
        <v>28082</v>
      </c>
      <c r="C3794" s="37" t="s">
        <v>2348</v>
      </c>
      <c r="D3794" s="37" t="s">
        <v>2351</v>
      </c>
    </row>
    <row r="3795" spans="1:4" ht="14.25">
      <c r="A3795" s="37">
        <v>41202</v>
      </c>
      <c r="B3795" s="37" t="s">
        <v>28083</v>
      </c>
      <c r="C3795" s="37" t="s">
        <v>2348</v>
      </c>
      <c r="D3795" s="37" t="s">
        <v>2351</v>
      </c>
    </row>
    <row r="3796" spans="1:4" ht="14.25">
      <c r="A3796" s="37">
        <v>41206</v>
      </c>
      <c r="B3796" s="37" t="s">
        <v>28084</v>
      </c>
      <c r="C3796" s="37" t="s">
        <v>2348</v>
      </c>
      <c r="D3796" s="37" t="s">
        <v>2351</v>
      </c>
    </row>
    <row r="3797" spans="1:4" ht="14.25">
      <c r="A3797" s="37">
        <v>12372</v>
      </c>
      <c r="B3797" s="37" t="s">
        <v>28085</v>
      </c>
      <c r="C3797" s="37" t="s">
        <v>2348</v>
      </c>
      <c r="D3797" s="37" t="s">
        <v>2351</v>
      </c>
    </row>
    <row r="3798" spans="1:4" ht="14.25">
      <c r="A3798" s="37">
        <v>41207</v>
      </c>
      <c r="B3798" s="37" t="s">
        <v>28086</v>
      </c>
      <c r="C3798" s="37" t="s">
        <v>2348</v>
      </c>
      <c r="D3798" s="37" t="s">
        <v>2351</v>
      </c>
    </row>
    <row r="3799" spans="1:4" ht="14.25">
      <c r="A3799" s="37">
        <v>41203</v>
      </c>
      <c r="B3799" s="37" t="s">
        <v>28087</v>
      </c>
      <c r="C3799" s="37" t="s">
        <v>2348</v>
      </c>
      <c r="D3799" s="37" t="s">
        <v>2351</v>
      </c>
    </row>
    <row r="3800" spans="1:4" ht="14.25">
      <c r="A3800" s="37">
        <v>41204</v>
      </c>
      <c r="B3800" s="37" t="s">
        <v>28088</v>
      </c>
      <c r="C3800" s="37" t="s">
        <v>2348</v>
      </c>
      <c r="D3800" s="37" t="s">
        <v>2351</v>
      </c>
    </row>
    <row r="3801" spans="1:4" ht="14.25">
      <c r="A3801" s="37">
        <v>41210</v>
      </c>
      <c r="B3801" s="37" t="s">
        <v>28089</v>
      </c>
      <c r="C3801" s="37" t="s">
        <v>2348</v>
      </c>
      <c r="D3801" s="37" t="s">
        <v>2351</v>
      </c>
    </row>
    <row r="3802" spans="1:4" ht="14.25">
      <c r="A3802" s="37">
        <v>41208</v>
      </c>
      <c r="B3802" s="37" t="s">
        <v>28090</v>
      </c>
      <c r="C3802" s="37" t="s">
        <v>2348</v>
      </c>
      <c r="D3802" s="37" t="s">
        <v>2351</v>
      </c>
    </row>
    <row r="3803" spans="1:4" ht="14.25">
      <c r="A3803" s="37">
        <v>41211</v>
      </c>
      <c r="B3803" s="37" t="s">
        <v>28091</v>
      </c>
      <c r="C3803" s="37" t="s">
        <v>2348</v>
      </c>
      <c r="D3803" s="37" t="s">
        <v>2351</v>
      </c>
    </row>
    <row r="3804" spans="1:4" ht="14.25">
      <c r="A3804" s="37">
        <v>13339</v>
      </c>
      <c r="B3804" s="37" t="s">
        <v>28092</v>
      </c>
      <c r="C3804" s="37" t="s">
        <v>2348</v>
      </c>
      <c r="D3804" s="37" t="s">
        <v>2351</v>
      </c>
    </row>
    <row r="3805" spans="1:4" ht="14.25">
      <c r="A3805" s="37">
        <v>41213</v>
      </c>
      <c r="B3805" s="37" t="s">
        <v>28093</v>
      </c>
      <c r="C3805" s="37" t="s">
        <v>2348</v>
      </c>
      <c r="D3805" s="37" t="s">
        <v>2351</v>
      </c>
    </row>
    <row r="3806" spans="1:4" ht="14.25">
      <c r="A3806" s="37">
        <v>41209</v>
      </c>
      <c r="B3806" s="37" t="s">
        <v>28094</v>
      </c>
      <c r="C3806" s="37" t="s">
        <v>2348</v>
      </c>
      <c r="D3806" s="37" t="s">
        <v>2351</v>
      </c>
    </row>
    <row r="3807" spans="1:4" ht="14.25">
      <c r="A3807" s="37">
        <v>41216</v>
      </c>
      <c r="B3807" s="37" t="s">
        <v>28095</v>
      </c>
      <c r="C3807" s="37" t="s">
        <v>2348</v>
      </c>
      <c r="D3807" s="37" t="s">
        <v>2351</v>
      </c>
    </row>
    <row r="3808" spans="1:4" ht="14.25">
      <c r="A3808" s="37">
        <v>41217</v>
      </c>
      <c r="B3808" s="37" t="s">
        <v>28096</v>
      </c>
      <c r="C3808" s="37" t="s">
        <v>2348</v>
      </c>
      <c r="D3808" s="37" t="s">
        <v>2351</v>
      </c>
    </row>
    <row r="3809" spans="1:4" ht="14.25">
      <c r="A3809" s="37">
        <v>41218</v>
      </c>
      <c r="B3809" s="37" t="s">
        <v>28097</v>
      </c>
      <c r="C3809" s="37" t="s">
        <v>2348</v>
      </c>
      <c r="D3809" s="37" t="s">
        <v>2351</v>
      </c>
    </row>
    <row r="3810" spans="1:4" ht="14.25">
      <c r="A3810" s="37">
        <v>41214</v>
      </c>
      <c r="B3810" s="37" t="s">
        <v>28098</v>
      </c>
      <c r="C3810" s="37" t="s">
        <v>2348</v>
      </c>
      <c r="D3810" s="37" t="s">
        <v>2351</v>
      </c>
    </row>
    <row r="3811" spans="1:4" ht="14.25">
      <c r="A3811" s="37">
        <v>41215</v>
      </c>
      <c r="B3811" s="37" t="s">
        <v>28099</v>
      </c>
      <c r="C3811" s="37" t="s">
        <v>2348</v>
      </c>
      <c r="D3811" s="37" t="s">
        <v>2351</v>
      </c>
    </row>
    <row r="3812" spans="1:4" ht="14.25">
      <c r="A3812" s="37">
        <v>41221</v>
      </c>
      <c r="B3812" s="37" t="s">
        <v>28100</v>
      </c>
      <c r="C3812" s="37" t="s">
        <v>2348</v>
      </c>
      <c r="D3812" s="37" t="s">
        <v>2351</v>
      </c>
    </row>
    <row r="3813" spans="1:4" ht="14.25">
      <c r="A3813" s="37">
        <v>41222</v>
      </c>
      <c r="B3813" s="37" t="s">
        <v>28101</v>
      </c>
      <c r="C3813" s="37" t="s">
        <v>2348</v>
      </c>
      <c r="D3813" s="37" t="s">
        <v>2351</v>
      </c>
    </row>
    <row r="3814" spans="1:4" ht="14.25">
      <c r="A3814" s="37">
        <v>41195</v>
      </c>
      <c r="B3814" s="37" t="s">
        <v>28102</v>
      </c>
      <c r="C3814" s="37" t="s">
        <v>2348</v>
      </c>
      <c r="D3814" s="37" t="s">
        <v>2351</v>
      </c>
    </row>
    <row r="3815" spans="1:4" ht="14.25">
      <c r="A3815" s="37">
        <v>41198</v>
      </c>
      <c r="B3815" s="37" t="s">
        <v>28103</v>
      </c>
      <c r="C3815" s="37" t="s">
        <v>2348</v>
      </c>
      <c r="D3815" s="37" t="s">
        <v>2351</v>
      </c>
    </row>
    <row r="3816" spans="1:4" ht="14.25">
      <c r="A3816" s="37">
        <v>41196</v>
      </c>
      <c r="B3816" s="37" t="s">
        <v>28104</v>
      </c>
      <c r="C3816" s="37" t="s">
        <v>2348</v>
      </c>
      <c r="D3816" s="37" t="s">
        <v>2351</v>
      </c>
    </row>
    <row r="3817" spans="1:4" ht="14.25">
      <c r="A3817" s="37">
        <v>5033</v>
      </c>
      <c r="B3817" s="37" t="s">
        <v>28105</v>
      </c>
      <c r="C3817" s="37" t="s">
        <v>2348</v>
      </c>
      <c r="D3817" s="37" t="s">
        <v>2351</v>
      </c>
    </row>
    <row r="3818" spans="1:4" ht="14.25">
      <c r="A3818" s="37">
        <v>41197</v>
      </c>
      <c r="B3818" s="37" t="s">
        <v>28106</v>
      </c>
      <c r="C3818" s="37" t="s">
        <v>2348</v>
      </c>
      <c r="D3818" s="37" t="s">
        <v>2351</v>
      </c>
    </row>
    <row r="3819" spans="1:4" ht="14.25">
      <c r="A3819" s="37">
        <v>12388</v>
      </c>
      <c r="B3819" s="37" t="s">
        <v>24492</v>
      </c>
      <c r="C3819" s="37" t="s">
        <v>2348</v>
      </c>
      <c r="D3819" s="37" t="s">
        <v>2351</v>
      </c>
    </row>
    <row r="3820" spans="1:4" ht="14.25">
      <c r="A3820" s="37">
        <v>2731</v>
      </c>
      <c r="B3820" s="37" t="s">
        <v>24493</v>
      </c>
      <c r="C3820" s="37" t="s">
        <v>2355</v>
      </c>
      <c r="D3820" s="37" t="s">
        <v>2351</v>
      </c>
    </row>
    <row r="3821" spans="1:4" ht="14.25">
      <c r="A3821" s="37">
        <v>41457</v>
      </c>
      <c r="B3821" s="37" t="s">
        <v>24494</v>
      </c>
      <c r="C3821" s="37" t="s">
        <v>2348</v>
      </c>
      <c r="D3821" s="37" t="s">
        <v>2349</v>
      </c>
    </row>
    <row r="3822" spans="1:4" ht="14.25">
      <c r="A3822" s="37">
        <v>41458</v>
      </c>
      <c r="B3822" s="37" t="s">
        <v>24495</v>
      </c>
      <c r="C3822" s="37" t="s">
        <v>2348</v>
      </c>
      <c r="D3822" s="37" t="s">
        <v>2349</v>
      </c>
    </row>
    <row r="3823" spans="1:4" ht="14.25">
      <c r="A3823" s="37">
        <v>41459</v>
      </c>
      <c r="B3823" s="37" t="s">
        <v>24496</v>
      </c>
      <c r="C3823" s="37" t="s">
        <v>2348</v>
      </c>
      <c r="D3823" s="37" t="s">
        <v>2349</v>
      </c>
    </row>
    <row r="3824" spans="1:4" ht="14.25">
      <c r="A3824" s="37">
        <v>41461</v>
      </c>
      <c r="B3824" s="37" t="s">
        <v>24497</v>
      </c>
      <c r="C3824" s="37" t="s">
        <v>2348</v>
      </c>
      <c r="D3824" s="37" t="s">
        <v>2349</v>
      </c>
    </row>
    <row r="3825" spans="1:4" ht="14.25">
      <c r="A3825" s="37">
        <v>44537</v>
      </c>
      <c r="B3825" s="37" t="s">
        <v>28107</v>
      </c>
      <c r="C3825" s="37" t="s">
        <v>2415</v>
      </c>
      <c r="D3825" s="37" t="s">
        <v>2349</v>
      </c>
    </row>
    <row r="3826" spans="1:4" ht="14.25">
      <c r="A3826" s="37">
        <v>11844</v>
      </c>
      <c r="B3826" s="37" t="s">
        <v>24498</v>
      </c>
      <c r="C3826" s="37" t="s">
        <v>2355</v>
      </c>
      <c r="D3826" s="37" t="s">
        <v>2349</v>
      </c>
    </row>
    <row r="3827" spans="1:4" ht="14.25">
      <c r="A3827" s="37">
        <v>4465</v>
      </c>
      <c r="B3827" s="37" t="s">
        <v>24499</v>
      </c>
      <c r="C3827" s="37" t="s">
        <v>2355</v>
      </c>
      <c r="D3827" s="37" t="s">
        <v>2349</v>
      </c>
    </row>
    <row r="3828" spans="1:4" ht="14.25">
      <c r="A3828" s="37">
        <v>35273</v>
      </c>
      <c r="B3828" s="37" t="s">
        <v>24500</v>
      </c>
      <c r="C3828" s="37" t="s">
        <v>2355</v>
      </c>
      <c r="D3828" s="37" t="s">
        <v>2349</v>
      </c>
    </row>
    <row r="3829" spans="1:4" ht="14.25">
      <c r="A3829" s="37">
        <v>4470</v>
      </c>
      <c r="B3829" s="37" t="s">
        <v>24501</v>
      </c>
      <c r="C3829" s="37" t="s">
        <v>2355</v>
      </c>
      <c r="D3829" s="37" t="s">
        <v>2349</v>
      </c>
    </row>
    <row r="3830" spans="1:4" ht="14.25">
      <c r="A3830" s="37">
        <v>20208</v>
      </c>
      <c r="B3830" s="37" t="s">
        <v>24502</v>
      </c>
      <c r="C3830" s="37" t="s">
        <v>2355</v>
      </c>
      <c r="D3830" s="37" t="s">
        <v>2349</v>
      </c>
    </row>
    <row r="3831" spans="1:4" ht="14.25">
      <c r="A3831" s="37">
        <v>20204</v>
      </c>
      <c r="B3831" s="37" t="s">
        <v>24503</v>
      </c>
      <c r="C3831" s="37" t="s">
        <v>2355</v>
      </c>
      <c r="D3831" s="37" t="s">
        <v>2349</v>
      </c>
    </row>
    <row r="3832" spans="1:4" ht="14.25">
      <c r="A3832" s="37">
        <v>4437</v>
      </c>
      <c r="B3832" s="37" t="s">
        <v>24504</v>
      </c>
      <c r="C3832" s="37" t="s">
        <v>2355</v>
      </c>
      <c r="D3832" s="37" t="s">
        <v>2349</v>
      </c>
    </row>
    <row r="3833" spans="1:4" ht="14.25">
      <c r="A3833" s="37">
        <v>14580</v>
      </c>
      <c r="B3833" s="37" t="s">
        <v>24505</v>
      </c>
      <c r="C3833" s="37" t="s">
        <v>2355</v>
      </c>
      <c r="D3833" s="37" t="s">
        <v>2349</v>
      </c>
    </row>
    <row r="3834" spans="1:4" ht="14.25">
      <c r="A3834" s="37">
        <v>40304</v>
      </c>
      <c r="B3834" s="37" t="s">
        <v>24506</v>
      </c>
      <c r="C3834" s="37" t="s">
        <v>2356</v>
      </c>
      <c r="D3834" s="37" t="s">
        <v>2349</v>
      </c>
    </row>
    <row r="3835" spans="1:4" ht="14.25">
      <c r="A3835" s="37">
        <v>5065</v>
      </c>
      <c r="B3835" s="37" t="s">
        <v>24507</v>
      </c>
      <c r="C3835" s="37" t="s">
        <v>2356</v>
      </c>
      <c r="D3835" s="37" t="s">
        <v>2349</v>
      </c>
    </row>
    <row r="3836" spans="1:4" ht="14.25">
      <c r="A3836" s="37">
        <v>5072</v>
      </c>
      <c r="B3836" s="37" t="s">
        <v>24508</v>
      </c>
      <c r="C3836" s="37" t="s">
        <v>2356</v>
      </c>
      <c r="D3836" s="37" t="s">
        <v>2349</v>
      </c>
    </row>
    <row r="3837" spans="1:4" ht="14.25">
      <c r="A3837" s="37">
        <v>5066</v>
      </c>
      <c r="B3837" s="37" t="s">
        <v>24509</v>
      </c>
      <c r="C3837" s="37" t="s">
        <v>2356</v>
      </c>
      <c r="D3837" s="37" t="s">
        <v>2349</v>
      </c>
    </row>
    <row r="3838" spans="1:4" ht="14.25">
      <c r="A3838" s="37">
        <v>5063</v>
      </c>
      <c r="B3838" s="37" t="s">
        <v>24510</v>
      </c>
      <c r="C3838" s="37" t="s">
        <v>2356</v>
      </c>
      <c r="D3838" s="37" t="s">
        <v>2349</v>
      </c>
    </row>
    <row r="3839" spans="1:4" ht="14.25">
      <c r="A3839" s="37">
        <v>20247</v>
      </c>
      <c r="B3839" s="37" t="s">
        <v>24511</v>
      </c>
      <c r="C3839" s="37" t="s">
        <v>2356</v>
      </c>
      <c r="D3839" s="37" t="s">
        <v>2349</v>
      </c>
    </row>
    <row r="3840" spans="1:4" ht="14.25">
      <c r="A3840" s="37">
        <v>5074</v>
      </c>
      <c r="B3840" s="37" t="s">
        <v>24512</v>
      </c>
      <c r="C3840" s="37" t="s">
        <v>2356</v>
      </c>
      <c r="D3840" s="37" t="s">
        <v>2349</v>
      </c>
    </row>
    <row r="3841" spans="1:4" ht="14.25">
      <c r="A3841" s="37">
        <v>5067</v>
      </c>
      <c r="B3841" s="37" t="s">
        <v>24513</v>
      </c>
      <c r="C3841" s="37" t="s">
        <v>2356</v>
      </c>
      <c r="D3841" s="37" t="s">
        <v>2349</v>
      </c>
    </row>
    <row r="3842" spans="1:4" ht="14.25">
      <c r="A3842" s="37">
        <v>5078</v>
      </c>
      <c r="B3842" s="37" t="s">
        <v>24514</v>
      </c>
      <c r="C3842" s="37" t="s">
        <v>2356</v>
      </c>
      <c r="D3842" s="37" t="s">
        <v>2349</v>
      </c>
    </row>
    <row r="3843" spans="1:4" ht="14.25">
      <c r="A3843" s="37">
        <v>5068</v>
      </c>
      <c r="B3843" s="37" t="s">
        <v>24515</v>
      </c>
      <c r="C3843" s="37" t="s">
        <v>2356</v>
      </c>
      <c r="D3843" s="37" t="s">
        <v>2349</v>
      </c>
    </row>
    <row r="3844" spans="1:4" ht="14.25">
      <c r="A3844" s="37">
        <v>5073</v>
      </c>
      <c r="B3844" s="37" t="s">
        <v>24516</v>
      </c>
      <c r="C3844" s="37" t="s">
        <v>2356</v>
      </c>
      <c r="D3844" s="37" t="s">
        <v>2349</v>
      </c>
    </row>
    <row r="3845" spans="1:4" ht="14.25">
      <c r="A3845" s="37">
        <v>5069</v>
      </c>
      <c r="B3845" s="37" t="s">
        <v>24517</v>
      </c>
      <c r="C3845" s="37" t="s">
        <v>2356</v>
      </c>
      <c r="D3845" s="37" t="s">
        <v>2349</v>
      </c>
    </row>
    <row r="3846" spans="1:4" ht="14.25">
      <c r="A3846" s="37">
        <v>5070</v>
      </c>
      <c r="B3846" s="37" t="s">
        <v>24518</v>
      </c>
      <c r="C3846" s="37" t="s">
        <v>2356</v>
      </c>
      <c r="D3846" s="37" t="s">
        <v>2349</v>
      </c>
    </row>
    <row r="3847" spans="1:4" ht="14.25">
      <c r="A3847" s="37">
        <v>5071</v>
      </c>
      <c r="B3847" s="37" t="s">
        <v>24519</v>
      </c>
      <c r="C3847" s="37" t="s">
        <v>2356</v>
      </c>
      <c r="D3847" s="37" t="s">
        <v>2349</v>
      </c>
    </row>
    <row r="3848" spans="1:4" ht="14.25">
      <c r="A3848" s="37">
        <v>5061</v>
      </c>
      <c r="B3848" s="37" t="s">
        <v>24520</v>
      </c>
      <c r="C3848" s="37" t="s">
        <v>2356</v>
      </c>
      <c r="D3848" s="37" t="s">
        <v>2353</v>
      </c>
    </row>
    <row r="3849" spans="1:4" ht="14.25">
      <c r="A3849" s="37">
        <v>5075</v>
      </c>
      <c r="B3849" s="37" t="s">
        <v>24521</v>
      </c>
      <c r="C3849" s="37" t="s">
        <v>2356</v>
      </c>
      <c r="D3849" s="37" t="s">
        <v>2349</v>
      </c>
    </row>
    <row r="3850" spans="1:4" ht="14.25">
      <c r="A3850" s="37">
        <v>39027</v>
      </c>
      <c r="B3850" s="37" t="s">
        <v>24522</v>
      </c>
      <c r="C3850" s="37" t="s">
        <v>2356</v>
      </c>
      <c r="D3850" s="37" t="s">
        <v>2349</v>
      </c>
    </row>
    <row r="3851" spans="1:4" ht="14.25">
      <c r="A3851" s="37">
        <v>5062</v>
      </c>
      <c r="B3851" s="37" t="s">
        <v>24523</v>
      </c>
      <c r="C3851" s="37" t="s">
        <v>2356</v>
      </c>
      <c r="D3851" s="37" t="s">
        <v>2349</v>
      </c>
    </row>
    <row r="3852" spans="1:4" ht="14.25">
      <c r="A3852" s="37">
        <v>40568</v>
      </c>
      <c r="B3852" s="37" t="s">
        <v>24524</v>
      </c>
      <c r="C3852" s="37" t="s">
        <v>2356</v>
      </c>
      <c r="D3852" s="37" t="s">
        <v>2349</v>
      </c>
    </row>
    <row r="3853" spans="1:4" ht="14.25">
      <c r="A3853" s="37">
        <v>39026</v>
      </c>
      <c r="B3853" s="37" t="s">
        <v>24525</v>
      </c>
      <c r="C3853" s="37" t="s">
        <v>2356</v>
      </c>
      <c r="D3853" s="37" t="s">
        <v>2349</v>
      </c>
    </row>
    <row r="3854" spans="1:4" ht="14.25">
      <c r="A3854" s="37">
        <v>42431</v>
      </c>
      <c r="B3854" s="37" t="s">
        <v>24526</v>
      </c>
      <c r="C3854" s="37" t="s">
        <v>2348</v>
      </c>
      <c r="D3854" s="37" t="s">
        <v>2351</v>
      </c>
    </row>
    <row r="3855" spans="1:4" ht="14.25">
      <c r="A3855" s="37">
        <v>44074</v>
      </c>
      <c r="B3855" s="37" t="s">
        <v>24527</v>
      </c>
      <c r="C3855" s="37" t="s">
        <v>2363</v>
      </c>
      <c r="D3855" s="37" t="s">
        <v>2349</v>
      </c>
    </row>
    <row r="3856" spans="1:4" ht="14.25">
      <c r="A3856" s="37">
        <v>44072</v>
      </c>
      <c r="B3856" s="37" t="s">
        <v>28108</v>
      </c>
      <c r="C3856" s="37" t="s">
        <v>2363</v>
      </c>
      <c r="D3856" s="37" t="s">
        <v>2349</v>
      </c>
    </row>
    <row r="3857" spans="1:4" ht="14.25">
      <c r="A3857" s="37">
        <v>511</v>
      </c>
      <c r="B3857" s="37" t="s">
        <v>24528</v>
      </c>
      <c r="C3857" s="37" t="s">
        <v>2363</v>
      </c>
      <c r="D3857" s="37" t="s">
        <v>2353</v>
      </c>
    </row>
    <row r="3858" spans="1:4" ht="14.25">
      <c r="A3858" s="37">
        <v>37540</v>
      </c>
      <c r="B3858" s="37" t="s">
        <v>24529</v>
      </c>
      <c r="C3858" s="37" t="s">
        <v>2348</v>
      </c>
      <c r="D3858" s="37" t="s">
        <v>2351</v>
      </c>
    </row>
    <row r="3859" spans="1:4" ht="14.25">
      <c r="A3859" s="37">
        <v>37548</v>
      </c>
      <c r="B3859" s="37" t="s">
        <v>24530</v>
      </c>
      <c r="C3859" s="37" t="s">
        <v>2348</v>
      </c>
      <c r="D3859" s="37" t="s">
        <v>2351</v>
      </c>
    </row>
    <row r="3860" spans="1:4" ht="14.25">
      <c r="A3860" s="37">
        <v>39828</v>
      </c>
      <c r="B3860" s="37" t="s">
        <v>24531</v>
      </c>
      <c r="C3860" s="37" t="s">
        <v>2348</v>
      </c>
      <c r="D3860" s="37" t="s">
        <v>2351</v>
      </c>
    </row>
    <row r="3861" spans="1:4" ht="14.25">
      <c r="A3861" s="37">
        <v>12273</v>
      </c>
      <c r="B3861" s="37" t="s">
        <v>24532</v>
      </c>
      <c r="C3861" s="37" t="s">
        <v>2348</v>
      </c>
      <c r="D3861" s="37" t="s">
        <v>2351</v>
      </c>
    </row>
    <row r="3862" spans="1:4" ht="14.25">
      <c r="A3862" s="37">
        <v>38392</v>
      </c>
      <c r="B3862" s="37" t="s">
        <v>24533</v>
      </c>
      <c r="C3862" s="37" t="s">
        <v>2348</v>
      </c>
      <c r="D3862" s="37" t="s">
        <v>2349</v>
      </c>
    </row>
    <row r="3863" spans="1:4" ht="14.25">
      <c r="A3863" s="37">
        <v>11735</v>
      </c>
      <c r="B3863" s="37" t="s">
        <v>24534</v>
      </c>
      <c r="C3863" s="37" t="s">
        <v>2348</v>
      </c>
      <c r="D3863" s="37" t="s">
        <v>2349</v>
      </c>
    </row>
    <row r="3864" spans="1:4" ht="14.25">
      <c r="A3864" s="37">
        <v>11737</v>
      </c>
      <c r="B3864" s="37" t="s">
        <v>24535</v>
      </c>
      <c r="C3864" s="37" t="s">
        <v>2348</v>
      </c>
      <c r="D3864" s="37" t="s">
        <v>2349</v>
      </c>
    </row>
    <row r="3865" spans="1:4" ht="14.25">
      <c r="A3865" s="37">
        <v>11738</v>
      </c>
      <c r="B3865" s="37" t="s">
        <v>24536</v>
      </c>
      <c r="C3865" s="37" t="s">
        <v>2348</v>
      </c>
      <c r="D3865" s="37" t="s">
        <v>2349</v>
      </c>
    </row>
    <row r="3866" spans="1:4" ht="14.25">
      <c r="A3866" s="37">
        <v>36143</v>
      </c>
      <c r="B3866" s="37" t="s">
        <v>24537</v>
      </c>
      <c r="C3866" s="37" t="s">
        <v>2348</v>
      </c>
      <c r="D3866" s="37" t="s">
        <v>2349</v>
      </c>
    </row>
    <row r="3867" spans="1:4" ht="14.25">
      <c r="A3867" s="37">
        <v>36142</v>
      </c>
      <c r="B3867" s="37" t="s">
        <v>24538</v>
      </c>
      <c r="C3867" s="37" t="s">
        <v>2348</v>
      </c>
      <c r="D3867" s="37" t="s">
        <v>2349</v>
      </c>
    </row>
    <row r="3868" spans="1:4" ht="14.25">
      <c r="A3868" s="37">
        <v>36146</v>
      </c>
      <c r="B3868" s="37" t="s">
        <v>24539</v>
      </c>
      <c r="C3868" s="37" t="s">
        <v>2348</v>
      </c>
      <c r="D3868" s="37" t="s">
        <v>2349</v>
      </c>
    </row>
    <row r="3869" spans="1:4" ht="14.25">
      <c r="A3869" s="37">
        <v>39015</v>
      </c>
      <c r="B3869" s="37" t="s">
        <v>24540</v>
      </c>
      <c r="C3869" s="37" t="s">
        <v>2348</v>
      </c>
      <c r="D3869" s="37" t="s">
        <v>2353</v>
      </c>
    </row>
    <row r="3870" spans="1:4" ht="14.25">
      <c r="A3870" s="37">
        <v>38377</v>
      </c>
      <c r="B3870" s="37" t="s">
        <v>24541</v>
      </c>
      <c r="C3870" s="37" t="s">
        <v>2348</v>
      </c>
      <c r="D3870" s="37" t="s">
        <v>2349</v>
      </c>
    </row>
    <row r="3871" spans="1:4" ht="14.25">
      <c r="A3871" s="37">
        <v>38376</v>
      </c>
      <c r="B3871" s="37" t="s">
        <v>24542</v>
      </c>
      <c r="C3871" s="37" t="s">
        <v>2348</v>
      </c>
      <c r="D3871" s="37" t="s">
        <v>2349</v>
      </c>
    </row>
    <row r="3872" spans="1:4" ht="14.25">
      <c r="A3872" s="37">
        <v>38116</v>
      </c>
      <c r="B3872" s="37" t="s">
        <v>24543</v>
      </c>
      <c r="C3872" s="37" t="s">
        <v>2348</v>
      </c>
      <c r="D3872" s="37" t="s">
        <v>2349</v>
      </c>
    </row>
    <row r="3873" spans="1:4" ht="14.25">
      <c r="A3873" s="37">
        <v>38066</v>
      </c>
      <c r="B3873" s="37" t="s">
        <v>24544</v>
      </c>
      <c r="C3873" s="37" t="s">
        <v>2348</v>
      </c>
      <c r="D3873" s="37" t="s">
        <v>2349</v>
      </c>
    </row>
    <row r="3874" spans="1:4" ht="14.25">
      <c r="A3874" s="37">
        <v>38117</v>
      </c>
      <c r="B3874" s="37" t="s">
        <v>24545</v>
      </c>
      <c r="C3874" s="37" t="s">
        <v>2348</v>
      </c>
      <c r="D3874" s="37" t="s">
        <v>2349</v>
      </c>
    </row>
    <row r="3875" spans="1:4" ht="14.25">
      <c r="A3875" s="37">
        <v>38067</v>
      </c>
      <c r="B3875" s="37" t="s">
        <v>24546</v>
      </c>
      <c r="C3875" s="37" t="s">
        <v>2348</v>
      </c>
      <c r="D3875" s="37" t="s">
        <v>2349</v>
      </c>
    </row>
    <row r="3876" spans="1:4" ht="14.25">
      <c r="A3876" s="37">
        <v>11522</v>
      </c>
      <c r="B3876" s="37" t="s">
        <v>24547</v>
      </c>
      <c r="C3876" s="37" t="s">
        <v>2348</v>
      </c>
      <c r="D3876" s="37" t="s">
        <v>2349</v>
      </c>
    </row>
    <row r="3877" spans="1:4" ht="14.25">
      <c r="A3877" s="37">
        <v>43600</v>
      </c>
      <c r="B3877" s="37" t="s">
        <v>24548</v>
      </c>
      <c r="C3877" s="37" t="s">
        <v>2348</v>
      </c>
      <c r="D3877" s="37" t="s">
        <v>2349</v>
      </c>
    </row>
    <row r="3878" spans="1:4" ht="14.25">
      <c r="A3878" s="37">
        <v>5080</v>
      </c>
      <c r="B3878" s="37" t="s">
        <v>24549</v>
      </c>
      <c r="C3878" s="37" t="s">
        <v>2348</v>
      </c>
      <c r="D3878" s="37" t="s">
        <v>2349</v>
      </c>
    </row>
    <row r="3879" spans="1:4" ht="14.25">
      <c r="A3879" s="37">
        <v>38168</v>
      </c>
      <c r="B3879" s="37" t="s">
        <v>24550</v>
      </c>
      <c r="C3879" s="37" t="s">
        <v>2348</v>
      </c>
      <c r="D3879" s="37" t="s">
        <v>2349</v>
      </c>
    </row>
    <row r="3880" spans="1:4" ht="14.25">
      <c r="A3880" s="37">
        <v>43601</v>
      </c>
      <c r="B3880" s="37" t="s">
        <v>24551</v>
      </c>
      <c r="C3880" s="37" t="s">
        <v>2348</v>
      </c>
      <c r="D3880" s="37" t="s">
        <v>2349</v>
      </c>
    </row>
    <row r="3881" spans="1:4" ht="14.25">
      <c r="A3881" s="37">
        <v>13393</v>
      </c>
      <c r="B3881" s="37" t="s">
        <v>24552</v>
      </c>
      <c r="C3881" s="37" t="s">
        <v>2348</v>
      </c>
      <c r="D3881" s="37" t="s">
        <v>2349</v>
      </c>
    </row>
    <row r="3882" spans="1:4" ht="14.25">
      <c r="A3882" s="37">
        <v>13395</v>
      </c>
      <c r="B3882" s="37" t="s">
        <v>24553</v>
      </c>
      <c r="C3882" s="37" t="s">
        <v>2348</v>
      </c>
      <c r="D3882" s="37" t="s">
        <v>2349</v>
      </c>
    </row>
    <row r="3883" spans="1:4" ht="14.25">
      <c r="A3883" s="37">
        <v>12039</v>
      </c>
      <c r="B3883" s="37" t="s">
        <v>24554</v>
      </c>
      <c r="C3883" s="37" t="s">
        <v>2348</v>
      </c>
      <c r="D3883" s="37" t="s">
        <v>2349</v>
      </c>
    </row>
    <row r="3884" spans="1:4" ht="14.25">
      <c r="A3884" s="37">
        <v>13396</v>
      </c>
      <c r="B3884" s="37" t="s">
        <v>24555</v>
      </c>
      <c r="C3884" s="37" t="s">
        <v>2348</v>
      </c>
      <c r="D3884" s="37" t="s">
        <v>2349</v>
      </c>
    </row>
    <row r="3885" spans="1:4" ht="14.25">
      <c r="A3885" s="37">
        <v>12041</v>
      </c>
      <c r="B3885" s="37" t="s">
        <v>24556</v>
      </c>
      <c r="C3885" s="37" t="s">
        <v>2348</v>
      </c>
      <c r="D3885" s="37" t="s">
        <v>2349</v>
      </c>
    </row>
    <row r="3886" spans="1:4" ht="14.25">
      <c r="A3886" s="37">
        <v>12043</v>
      </c>
      <c r="B3886" s="37" t="s">
        <v>24557</v>
      </c>
      <c r="C3886" s="37" t="s">
        <v>2348</v>
      </c>
      <c r="D3886" s="37" t="s">
        <v>2349</v>
      </c>
    </row>
    <row r="3887" spans="1:4" ht="14.25">
      <c r="A3887" s="37">
        <v>39762</v>
      </c>
      <c r="B3887" s="37" t="s">
        <v>24558</v>
      </c>
      <c r="C3887" s="37" t="s">
        <v>2348</v>
      </c>
      <c r="D3887" s="37" t="s">
        <v>2349</v>
      </c>
    </row>
    <row r="3888" spans="1:4" ht="14.25">
      <c r="A3888" s="37">
        <v>12042</v>
      </c>
      <c r="B3888" s="37" t="s">
        <v>24559</v>
      </c>
      <c r="C3888" s="37" t="s">
        <v>2348</v>
      </c>
      <c r="D3888" s="37" t="s">
        <v>2349</v>
      </c>
    </row>
    <row r="3889" spans="1:4" ht="14.25">
      <c r="A3889" s="37">
        <v>39763</v>
      </c>
      <c r="B3889" s="37" t="s">
        <v>24560</v>
      </c>
      <c r="C3889" s="37" t="s">
        <v>2348</v>
      </c>
      <c r="D3889" s="37" t="s">
        <v>2349</v>
      </c>
    </row>
    <row r="3890" spans="1:4" ht="14.25">
      <c r="A3890" s="37">
        <v>39760</v>
      </c>
      <c r="B3890" s="37" t="s">
        <v>24561</v>
      </c>
      <c r="C3890" s="37" t="s">
        <v>2348</v>
      </c>
      <c r="D3890" s="37" t="s">
        <v>2349</v>
      </c>
    </row>
    <row r="3891" spans="1:4" ht="14.25">
      <c r="A3891" s="37">
        <v>39756</v>
      </c>
      <c r="B3891" s="37" t="s">
        <v>24562</v>
      </c>
      <c r="C3891" s="37" t="s">
        <v>2348</v>
      </c>
      <c r="D3891" s="37" t="s">
        <v>2349</v>
      </c>
    </row>
    <row r="3892" spans="1:4" ht="14.25">
      <c r="A3892" s="37">
        <v>12038</v>
      </c>
      <c r="B3892" s="37" t="s">
        <v>24563</v>
      </c>
      <c r="C3892" s="37" t="s">
        <v>2348</v>
      </c>
      <c r="D3892" s="37" t="s">
        <v>2349</v>
      </c>
    </row>
    <row r="3893" spans="1:4" ht="14.25">
      <c r="A3893" s="37">
        <v>39757</v>
      </c>
      <c r="B3893" s="37" t="s">
        <v>24564</v>
      </c>
      <c r="C3893" s="37" t="s">
        <v>2348</v>
      </c>
      <c r="D3893" s="37" t="s">
        <v>2349</v>
      </c>
    </row>
    <row r="3894" spans="1:4" ht="14.25">
      <c r="A3894" s="37">
        <v>39758</v>
      </c>
      <c r="B3894" s="37" t="s">
        <v>24565</v>
      </c>
      <c r="C3894" s="37" t="s">
        <v>2348</v>
      </c>
      <c r="D3894" s="37" t="s">
        <v>2349</v>
      </c>
    </row>
    <row r="3895" spans="1:4" ht="14.25">
      <c r="A3895" s="37">
        <v>39759</v>
      </c>
      <c r="B3895" s="37" t="s">
        <v>24566</v>
      </c>
      <c r="C3895" s="37" t="s">
        <v>2348</v>
      </c>
      <c r="D3895" s="37" t="s">
        <v>2349</v>
      </c>
    </row>
    <row r="3896" spans="1:4" ht="14.25">
      <c r="A3896" s="37">
        <v>39761</v>
      </c>
      <c r="B3896" s="37" t="s">
        <v>24567</v>
      </c>
      <c r="C3896" s="37" t="s">
        <v>2348</v>
      </c>
      <c r="D3896" s="37" t="s">
        <v>2349</v>
      </c>
    </row>
    <row r="3897" spans="1:4" ht="14.25">
      <c r="A3897" s="37">
        <v>39805</v>
      </c>
      <c r="B3897" s="37" t="s">
        <v>24568</v>
      </c>
      <c r="C3897" s="37" t="s">
        <v>2348</v>
      </c>
      <c r="D3897" s="37" t="s">
        <v>2349</v>
      </c>
    </row>
    <row r="3898" spans="1:4" ht="14.25">
      <c r="A3898" s="37">
        <v>39806</v>
      </c>
      <c r="B3898" s="37" t="s">
        <v>24569</v>
      </c>
      <c r="C3898" s="37" t="s">
        <v>2348</v>
      </c>
      <c r="D3898" s="37" t="s">
        <v>2349</v>
      </c>
    </row>
    <row r="3899" spans="1:4" ht="14.25">
      <c r="A3899" s="37">
        <v>39807</v>
      </c>
      <c r="B3899" s="37" t="s">
        <v>24570</v>
      </c>
      <c r="C3899" s="37" t="s">
        <v>2348</v>
      </c>
      <c r="D3899" s="37" t="s">
        <v>2349</v>
      </c>
    </row>
    <row r="3900" spans="1:4" ht="14.25">
      <c r="A3900" s="37">
        <v>43100</v>
      </c>
      <c r="B3900" s="37" t="s">
        <v>24571</v>
      </c>
      <c r="C3900" s="37" t="s">
        <v>2348</v>
      </c>
      <c r="D3900" s="37" t="s">
        <v>2349</v>
      </c>
    </row>
    <row r="3901" spans="1:4" ht="14.25">
      <c r="A3901" s="37">
        <v>39804</v>
      </c>
      <c r="B3901" s="37" t="s">
        <v>24572</v>
      </c>
      <c r="C3901" s="37" t="s">
        <v>2348</v>
      </c>
      <c r="D3901" s="37" t="s">
        <v>2349</v>
      </c>
    </row>
    <row r="3902" spans="1:4" ht="14.25">
      <c r="A3902" s="37">
        <v>39796</v>
      </c>
      <c r="B3902" s="37" t="s">
        <v>24573</v>
      </c>
      <c r="C3902" s="37" t="s">
        <v>2348</v>
      </c>
      <c r="D3902" s="37" t="s">
        <v>2349</v>
      </c>
    </row>
    <row r="3903" spans="1:4" ht="14.25">
      <c r="A3903" s="37">
        <v>39797</v>
      </c>
      <c r="B3903" s="37" t="s">
        <v>24574</v>
      </c>
      <c r="C3903" s="37" t="s">
        <v>2348</v>
      </c>
      <c r="D3903" s="37" t="s">
        <v>2353</v>
      </c>
    </row>
    <row r="3904" spans="1:4" ht="14.25">
      <c r="A3904" s="37">
        <v>39798</v>
      </c>
      <c r="B3904" s="37" t="s">
        <v>24575</v>
      </c>
      <c r="C3904" s="37" t="s">
        <v>2348</v>
      </c>
      <c r="D3904" s="37" t="s">
        <v>2349</v>
      </c>
    </row>
    <row r="3905" spans="1:4" ht="14.25">
      <c r="A3905" s="37">
        <v>39794</v>
      </c>
      <c r="B3905" s="37" t="s">
        <v>24576</v>
      </c>
      <c r="C3905" s="37" t="s">
        <v>2348</v>
      </c>
      <c r="D3905" s="37" t="s">
        <v>2349</v>
      </c>
    </row>
    <row r="3906" spans="1:4" ht="14.25">
      <c r="A3906" s="37">
        <v>39795</v>
      </c>
      <c r="B3906" s="37" t="s">
        <v>24577</v>
      </c>
      <c r="C3906" s="37" t="s">
        <v>2348</v>
      </c>
      <c r="D3906" s="37" t="s">
        <v>2349</v>
      </c>
    </row>
    <row r="3907" spans="1:4" ht="14.25">
      <c r="A3907" s="37">
        <v>39799</v>
      </c>
      <c r="B3907" s="37" t="s">
        <v>24578</v>
      </c>
      <c r="C3907" s="37" t="s">
        <v>2348</v>
      </c>
      <c r="D3907" s="37" t="s">
        <v>2349</v>
      </c>
    </row>
    <row r="3908" spans="1:4" ht="14.25">
      <c r="A3908" s="37">
        <v>39801</v>
      </c>
      <c r="B3908" s="37" t="s">
        <v>24579</v>
      </c>
      <c r="C3908" s="37" t="s">
        <v>2348</v>
      </c>
      <c r="D3908" s="37" t="s">
        <v>2349</v>
      </c>
    </row>
    <row r="3909" spans="1:4" ht="14.25">
      <c r="A3909" s="37">
        <v>39802</v>
      </c>
      <c r="B3909" s="37" t="s">
        <v>24580</v>
      </c>
      <c r="C3909" s="37" t="s">
        <v>2348</v>
      </c>
      <c r="D3909" s="37" t="s">
        <v>2349</v>
      </c>
    </row>
    <row r="3910" spans="1:4" ht="14.25">
      <c r="A3910" s="37">
        <v>39803</v>
      </c>
      <c r="B3910" s="37" t="s">
        <v>24581</v>
      </c>
      <c r="C3910" s="37" t="s">
        <v>2348</v>
      </c>
      <c r="D3910" s="37" t="s">
        <v>2349</v>
      </c>
    </row>
    <row r="3911" spans="1:4" ht="14.25">
      <c r="A3911" s="37">
        <v>39800</v>
      </c>
      <c r="B3911" s="37" t="s">
        <v>24582</v>
      </c>
      <c r="C3911" s="37" t="s">
        <v>2348</v>
      </c>
      <c r="D3911" s="37" t="s">
        <v>2349</v>
      </c>
    </row>
    <row r="3912" spans="1:4" ht="14.25">
      <c r="A3912" s="37">
        <v>21059</v>
      </c>
      <c r="B3912" s="37" t="s">
        <v>24583</v>
      </c>
      <c r="C3912" s="37" t="s">
        <v>2348</v>
      </c>
      <c r="D3912" s="37" t="s">
        <v>2351</v>
      </c>
    </row>
    <row r="3913" spans="1:4" ht="14.25">
      <c r="A3913" s="37">
        <v>11234</v>
      </c>
      <c r="B3913" s="37" t="s">
        <v>24584</v>
      </c>
      <c r="C3913" s="37" t="s">
        <v>2348</v>
      </c>
      <c r="D3913" s="37" t="s">
        <v>2351</v>
      </c>
    </row>
    <row r="3914" spans="1:4" ht="14.25">
      <c r="A3914" s="37">
        <v>21060</v>
      </c>
      <c r="B3914" s="37" t="s">
        <v>24585</v>
      </c>
      <c r="C3914" s="37" t="s">
        <v>2348</v>
      </c>
      <c r="D3914" s="37" t="s">
        <v>2351</v>
      </c>
    </row>
    <row r="3915" spans="1:4" ht="14.25">
      <c r="A3915" s="37">
        <v>21061</v>
      </c>
      <c r="B3915" s="37" t="s">
        <v>24586</v>
      </c>
      <c r="C3915" s="37" t="s">
        <v>2348</v>
      </c>
      <c r="D3915" s="37" t="s">
        <v>2351</v>
      </c>
    </row>
    <row r="3916" spans="1:4" ht="14.25">
      <c r="A3916" s="37">
        <v>21062</v>
      </c>
      <c r="B3916" s="37" t="s">
        <v>24587</v>
      </c>
      <c r="C3916" s="37" t="s">
        <v>2348</v>
      </c>
      <c r="D3916" s="37" t="s">
        <v>2351</v>
      </c>
    </row>
    <row r="3917" spans="1:4" ht="14.25">
      <c r="A3917" s="37">
        <v>11708</v>
      </c>
      <c r="B3917" s="37" t="s">
        <v>24588</v>
      </c>
      <c r="C3917" s="37" t="s">
        <v>2348</v>
      </c>
      <c r="D3917" s="37" t="s">
        <v>2351</v>
      </c>
    </row>
    <row r="3918" spans="1:4" ht="14.25">
      <c r="A3918" s="37">
        <v>11709</v>
      </c>
      <c r="B3918" s="37" t="s">
        <v>24589</v>
      </c>
      <c r="C3918" s="37" t="s">
        <v>2348</v>
      </c>
      <c r="D3918" s="37" t="s">
        <v>2351</v>
      </c>
    </row>
    <row r="3919" spans="1:4" ht="14.25">
      <c r="A3919" s="37">
        <v>11710</v>
      </c>
      <c r="B3919" s="37" t="s">
        <v>24590</v>
      </c>
      <c r="C3919" s="37" t="s">
        <v>2348</v>
      </c>
      <c r="D3919" s="37" t="s">
        <v>2351</v>
      </c>
    </row>
    <row r="3920" spans="1:4" ht="14.25">
      <c r="A3920" s="37">
        <v>11707</v>
      </c>
      <c r="B3920" s="37" t="s">
        <v>24591</v>
      </c>
      <c r="C3920" s="37" t="s">
        <v>2348</v>
      </c>
      <c r="D3920" s="37" t="s">
        <v>2351</v>
      </c>
    </row>
    <row r="3921" spans="1:4" ht="14.25">
      <c r="A3921" s="37">
        <v>5102</v>
      </c>
      <c r="B3921" s="37" t="s">
        <v>24592</v>
      </c>
      <c r="C3921" s="37" t="s">
        <v>2348</v>
      </c>
      <c r="D3921" s="37" t="s">
        <v>2349</v>
      </c>
    </row>
    <row r="3922" spans="1:4" ht="14.25">
      <c r="A3922" s="37">
        <v>11739</v>
      </c>
      <c r="B3922" s="37" t="s">
        <v>24593</v>
      </c>
      <c r="C3922" s="37" t="s">
        <v>2348</v>
      </c>
      <c r="D3922" s="37" t="s">
        <v>2349</v>
      </c>
    </row>
    <row r="3923" spans="1:4" ht="14.25">
      <c r="A3923" s="37">
        <v>11711</v>
      </c>
      <c r="B3923" s="37" t="s">
        <v>24594</v>
      </c>
      <c r="C3923" s="37" t="s">
        <v>2348</v>
      </c>
      <c r="D3923" s="37" t="s">
        <v>2349</v>
      </c>
    </row>
    <row r="3924" spans="1:4" ht="14.25">
      <c r="A3924" s="37">
        <v>11741</v>
      </c>
      <c r="B3924" s="37" t="s">
        <v>24595</v>
      </c>
      <c r="C3924" s="37" t="s">
        <v>2348</v>
      </c>
      <c r="D3924" s="37" t="s">
        <v>2349</v>
      </c>
    </row>
    <row r="3925" spans="1:4" ht="14.25">
      <c r="A3925" s="37">
        <v>11745</v>
      </c>
      <c r="B3925" s="37" t="s">
        <v>24596</v>
      </c>
      <c r="C3925" s="37" t="s">
        <v>2348</v>
      </c>
      <c r="D3925" s="37" t="s">
        <v>2349</v>
      </c>
    </row>
    <row r="3926" spans="1:4" ht="14.25">
      <c r="A3926" s="37">
        <v>11743</v>
      </c>
      <c r="B3926" s="37" t="s">
        <v>24597</v>
      </c>
      <c r="C3926" s="37" t="s">
        <v>2348</v>
      </c>
      <c r="D3926" s="37" t="s">
        <v>2349</v>
      </c>
    </row>
    <row r="3927" spans="1:4" ht="14.25">
      <c r="A3927" s="37">
        <v>40985</v>
      </c>
      <c r="B3927" s="37" t="s">
        <v>24598</v>
      </c>
      <c r="C3927" s="37" t="s">
        <v>2369</v>
      </c>
      <c r="D3927" s="37" t="s">
        <v>2349</v>
      </c>
    </row>
    <row r="3928" spans="1:4" ht="14.25">
      <c r="A3928" s="37">
        <v>44502</v>
      </c>
      <c r="B3928" s="37" t="s">
        <v>28109</v>
      </c>
      <c r="C3928" s="37" t="s">
        <v>2352</v>
      </c>
      <c r="D3928" s="37" t="s">
        <v>2349</v>
      </c>
    </row>
    <row r="3929" spans="1:4" ht="14.25">
      <c r="A3929" s="37">
        <v>1088</v>
      </c>
      <c r="B3929" s="37" t="s">
        <v>24599</v>
      </c>
      <c r="C3929" s="37" t="s">
        <v>2348</v>
      </c>
      <c r="D3929" s="37" t="s">
        <v>2351</v>
      </c>
    </row>
    <row r="3930" spans="1:4" ht="14.25">
      <c r="A3930" s="37">
        <v>1087</v>
      </c>
      <c r="B3930" s="37" t="s">
        <v>24600</v>
      </c>
      <c r="C3930" s="37" t="s">
        <v>2348</v>
      </c>
      <c r="D3930" s="37" t="s">
        <v>2351</v>
      </c>
    </row>
    <row r="3931" spans="1:4" ht="14.25">
      <c r="A3931" s="37">
        <v>38777</v>
      </c>
      <c r="B3931" s="37" t="s">
        <v>24601</v>
      </c>
      <c r="C3931" s="37" t="s">
        <v>2348</v>
      </c>
      <c r="D3931" s="37" t="s">
        <v>2351</v>
      </c>
    </row>
    <row r="3932" spans="1:4" ht="14.25">
      <c r="A3932" s="37">
        <v>1086</v>
      </c>
      <c r="B3932" s="37" t="s">
        <v>24602</v>
      </c>
      <c r="C3932" s="37" t="s">
        <v>2348</v>
      </c>
      <c r="D3932" s="37" t="s">
        <v>2351</v>
      </c>
    </row>
    <row r="3933" spans="1:4" ht="14.25">
      <c r="A3933" s="37">
        <v>1079</v>
      </c>
      <c r="B3933" s="37" t="s">
        <v>24603</v>
      </c>
      <c r="C3933" s="37" t="s">
        <v>2348</v>
      </c>
      <c r="D3933" s="37" t="s">
        <v>2351</v>
      </c>
    </row>
    <row r="3934" spans="1:4" ht="14.25">
      <c r="A3934" s="37">
        <v>39374</v>
      </c>
      <c r="B3934" s="37" t="s">
        <v>24604</v>
      </c>
      <c r="C3934" s="37" t="s">
        <v>2348</v>
      </c>
      <c r="D3934" s="37" t="s">
        <v>2353</v>
      </c>
    </row>
    <row r="3935" spans="1:4" ht="14.25">
      <c r="A3935" s="37">
        <v>1082</v>
      </c>
      <c r="B3935" s="37" t="s">
        <v>24605</v>
      </c>
      <c r="C3935" s="37" t="s">
        <v>2348</v>
      </c>
      <c r="D3935" s="37" t="s">
        <v>2351</v>
      </c>
    </row>
    <row r="3936" spans="1:4" ht="14.25">
      <c r="A3936" s="37">
        <v>12316</v>
      </c>
      <c r="B3936" s="37" t="s">
        <v>24606</v>
      </c>
      <c r="C3936" s="37" t="s">
        <v>2348</v>
      </c>
      <c r="D3936" s="37" t="s">
        <v>2351</v>
      </c>
    </row>
    <row r="3937" spans="1:4" ht="14.25">
      <c r="A3937" s="37">
        <v>12317</v>
      </c>
      <c r="B3937" s="37" t="s">
        <v>24607</v>
      </c>
      <c r="C3937" s="37" t="s">
        <v>2348</v>
      </c>
      <c r="D3937" s="37" t="s">
        <v>2351</v>
      </c>
    </row>
    <row r="3938" spans="1:4" ht="14.25">
      <c r="A3938" s="37">
        <v>12318</v>
      </c>
      <c r="B3938" s="37" t="s">
        <v>24608</v>
      </c>
      <c r="C3938" s="37" t="s">
        <v>2348</v>
      </c>
      <c r="D3938" s="37" t="s">
        <v>2351</v>
      </c>
    </row>
    <row r="3939" spans="1:4" ht="14.25">
      <c r="A3939" s="37">
        <v>5104</v>
      </c>
      <c r="B3939" s="37" t="s">
        <v>24609</v>
      </c>
      <c r="C3939" s="37" t="s">
        <v>2356</v>
      </c>
      <c r="D3939" s="37" t="s">
        <v>2351</v>
      </c>
    </row>
    <row r="3940" spans="1:4" ht="14.25">
      <c r="A3940" s="37">
        <v>44530</v>
      </c>
      <c r="B3940" s="37" t="s">
        <v>28110</v>
      </c>
      <c r="C3940" s="37" t="s">
        <v>2348</v>
      </c>
      <c r="D3940" s="37" t="s">
        <v>2349</v>
      </c>
    </row>
    <row r="3941" spans="1:4" ht="14.25">
      <c r="A3941" s="37">
        <v>2710</v>
      </c>
      <c r="B3941" s="37" t="s">
        <v>24610</v>
      </c>
      <c r="C3941" s="37" t="s">
        <v>2348</v>
      </c>
      <c r="D3941" s="37" t="s">
        <v>2349</v>
      </c>
    </row>
    <row r="3942" spans="1:4" ht="14.25">
      <c r="A3942" s="37">
        <v>14575</v>
      </c>
      <c r="B3942" s="37" t="s">
        <v>24611</v>
      </c>
      <c r="C3942" s="37" t="s">
        <v>2348</v>
      </c>
      <c r="D3942" s="37" t="s">
        <v>2351</v>
      </c>
    </row>
    <row r="3943" spans="1:4" ht="14.25">
      <c r="A3943" s="37">
        <v>20034</v>
      </c>
      <c r="B3943" s="37" t="s">
        <v>24612</v>
      </c>
      <c r="C3943" s="37" t="s">
        <v>2348</v>
      </c>
      <c r="D3943" s="37" t="s">
        <v>2351</v>
      </c>
    </row>
    <row r="3944" spans="1:4" ht="14.25">
      <c r="A3944" s="37">
        <v>20036</v>
      </c>
      <c r="B3944" s="37" t="s">
        <v>24613</v>
      </c>
      <c r="C3944" s="37" t="s">
        <v>2348</v>
      </c>
      <c r="D3944" s="37" t="s">
        <v>2351</v>
      </c>
    </row>
    <row r="3945" spans="1:4" ht="14.25">
      <c r="A3945" s="37">
        <v>20037</v>
      </c>
      <c r="B3945" s="37" t="s">
        <v>24614</v>
      </c>
      <c r="C3945" s="37" t="s">
        <v>2348</v>
      </c>
      <c r="D3945" s="37" t="s">
        <v>2351</v>
      </c>
    </row>
    <row r="3946" spans="1:4" ht="14.25">
      <c r="A3946" s="37">
        <v>20043</v>
      </c>
      <c r="B3946" s="37" t="s">
        <v>24615</v>
      </c>
      <c r="C3946" s="37" t="s">
        <v>2348</v>
      </c>
      <c r="D3946" s="37" t="s">
        <v>2349</v>
      </c>
    </row>
    <row r="3947" spans="1:4" ht="14.25">
      <c r="A3947" s="37">
        <v>20044</v>
      </c>
      <c r="B3947" s="37" t="s">
        <v>24616</v>
      </c>
      <c r="C3947" s="37" t="s">
        <v>2348</v>
      </c>
      <c r="D3947" s="37" t="s">
        <v>2349</v>
      </c>
    </row>
    <row r="3948" spans="1:4" ht="14.25">
      <c r="A3948" s="37">
        <v>20042</v>
      </c>
      <c r="B3948" s="37" t="s">
        <v>24617</v>
      </c>
      <c r="C3948" s="37" t="s">
        <v>2348</v>
      </c>
      <c r="D3948" s="37" t="s">
        <v>2349</v>
      </c>
    </row>
    <row r="3949" spans="1:4" ht="14.25">
      <c r="A3949" s="37">
        <v>20046</v>
      </c>
      <c r="B3949" s="37" t="s">
        <v>24618</v>
      </c>
      <c r="C3949" s="37" t="s">
        <v>2348</v>
      </c>
      <c r="D3949" s="37" t="s">
        <v>2349</v>
      </c>
    </row>
    <row r="3950" spans="1:4" ht="14.25">
      <c r="A3950" s="37">
        <v>20047</v>
      </c>
      <c r="B3950" s="37" t="s">
        <v>24619</v>
      </c>
      <c r="C3950" s="37" t="s">
        <v>2348</v>
      </c>
      <c r="D3950" s="37" t="s">
        <v>2349</v>
      </c>
    </row>
    <row r="3951" spans="1:4" ht="14.25">
      <c r="A3951" s="37">
        <v>20045</v>
      </c>
      <c r="B3951" s="37" t="s">
        <v>24620</v>
      </c>
      <c r="C3951" s="37" t="s">
        <v>2348</v>
      </c>
      <c r="D3951" s="37" t="s">
        <v>2349</v>
      </c>
    </row>
    <row r="3952" spans="1:4" ht="14.25">
      <c r="A3952" s="37">
        <v>20972</v>
      </c>
      <c r="B3952" s="37" t="s">
        <v>24621</v>
      </c>
      <c r="C3952" s="37" t="s">
        <v>2348</v>
      </c>
      <c r="D3952" s="37" t="s">
        <v>2349</v>
      </c>
    </row>
    <row r="3953" spans="1:4" ht="14.25">
      <c r="A3953" s="37">
        <v>20032</v>
      </c>
      <c r="B3953" s="37" t="s">
        <v>24622</v>
      </c>
      <c r="C3953" s="37" t="s">
        <v>2348</v>
      </c>
      <c r="D3953" s="37" t="s">
        <v>2351</v>
      </c>
    </row>
    <row r="3954" spans="1:4" ht="14.25">
      <c r="A3954" s="37">
        <v>11321</v>
      </c>
      <c r="B3954" s="37" t="s">
        <v>24623</v>
      </c>
      <c r="C3954" s="37" t="s">
        <v>2348</v>
      </c>
      <c r="D3954" s="37" t="s">
        <v>2351</v>
      </c>
    </row>
    <row r="3955" spans="1:4" ht="14.25">
      <c r="A3955" s="37">
        <v>11323</v>
      </c>
      <c r="B3955" s="37" t="s">
        <v>24624</v>
      </c>
      <c r="C3955" s="37" t="s">
        <v>2348</v>
      </c>
      <c r="D3955" s="37" t="s">
        <v>2351</v>
      </c>
    </row>
    <row r="3956" spans="1:4" ht="14.25">
      <c r="A3956" s="37">
        <v>20327</v>
      </c>
      <c r="B3956" s="37" t="s">
        <v>24625</v>
      </c>
      <c r="C3956" s="37" t="s">
        <v>2348</v>
      </c>
      <c r="D3956" s="37" t="s">
        <v>2351</v>
      </c>
    </row>
    <row r="3957" spans="1:4" ht="14.25">
      <c r="A3957" s="37">
        <v>13390</v>
      </c>
      <c r="B3957" s="37" t="s">
        <v>24626</v>
      </c>
      <c r="C3957" s="37" t="s">
        <v>2348</v>
      </c>
      <c r="D3957" s="37" t="s">
        <v>2351</v>
      </c>
    </row>
    <row r="3958" spans="1:4" ht="14.25">
      <c r="A3958" s="37">
        <v>6034</v>
      </c>
      <c r="B3958" s="37" t="s">
        <v>24627</v>
      </c>
      <c r="C3958" s="37" t="s">
        <v>2348</v>
      </c>
      <c r="D3958" s="37" t="s">
        <v>2349</v>
      </c>
    </row>
    <row r="3959" spans="1:4" ht="14.25">
      <c r="A3959" s="37">
        <v>6036</v>
      </c>
      <c r="B3959" s="37" t="s">
        <v>24628</v>
      </c>
      <c r="C3959" s="37" t="s">
        <v>2348</v>
      </c>
      <c r="D3959" s="37" t="s">
        <v>2349</v>
      </c>
    </row>
    <row r="3960" spans="1:4" ht="14.25">
      <c r="A3960" s="37">
        <v>6031</v>
      </c>
      <c r="B3960" s="37" t="s">
        <v>24629</v>
      </c>
      <c r="C3960" s="37" t="s">
        <v>2348</v>
      </c>
      <c r="D3960" s="37" t="s">
        <v>2353</v>
      </c>
    </row>
    <row r="3961" spans="1:4" ht="14.25">
      <c r="A3961" s="37">
        <v>6029</v>
      </c>
      <c r="B3961" s="37" t="s">
        <v>24630</v>
      </c>
      <c r="C3961" s="37" t="s">
        <v>2348</v>
      </c>
      <c r="D3961" s="37" t="s">
        <v>2349</v>
      </c>
    </row>
    <row r="3962" spans="1:4" ht="14.25">
      <c r="A3962" s="37">
        <v>6033</v>
      </c>
      <c r="B3962" s="37" t="s">
        <v>24631</v>
      </c>
      <c r="C3962" s="37" t="s">
        <v>2348</v>
      </c>
      <c r="D3962" s="37" t="s">
        <v>2349</v>
      </c>
    </row>
    <row r="3963" spans="1:4" ht="14.25">
      <c r="A3963" s="37">
        <v>11672</v>
      </c>
      <c r="B3963" s="37" t="s">
        <v>24632</v>
      </c>
      <c r="C3963" s="37" t="s">
        <v>2348</v>
      </c>
      <c r="D3963" s="37" t="s">
        <v>2349</v>
      </c>
    </row>
    <row r="3964" spans="1:4" ht="14.25">
      <c r="A3964" s="37">
        <v>11669</v>
      </c>
      <c r="B3964" s="37" t="s">
        <v>24633</v>
      </c>
      <c r="C3964" s="37" t="s">
        <v>2348</v>
      </c>
      <c r="D3964" s="37" t="s">
        <v>2349</v>
      </c>
    </row>
    <row r="3965" spans="1:4" ht="14.25">
      <c r="A3965" s="37">
        <v>11670</v>
      </c>
      <c r="B3965" s="37" t="s">
        <v>24634</v>
      </c>
      <c r="C3965" s="37" t="s">
        <v>2348</v>
      </c>
      <c r="D3965" s="37" t="s">
        <v>2349</v>
      </c>
    </row>
    <row r="3966" spans="1:4" ht="14.25">
      <c r="A3966" s="37">
        <v>20055</v>
      </c>
      <c r="B3966" s="37" t="s">
        <v>24635</v>
      </c>
      <c r="C3966" s="37" t="s">
        <v>2348</v>
      </c>
      <c r="D3966" s="37" t="s">
        <v>2349</v>
      </c>
    </row>
    <row r="3967" spans="1:4" ht="14.25">
      <c r="A3967" s="37">
        <v>11671</v>
      </c>
      <c r="B3967" s="37" t="s">
        <v>24636</v>
      </c>
      <c r="C3967" s="37" t="s">
        <v>2348</v>
      </c>
      <c r="D3967" s="37" t="s">
        <v>2349</v>
      </c>
    </row>
    <row r="3968" spans="1:4" ht="14.25">
      <c r="A3968" s="37">
        <v>6032</v>
      </c>
      <c r="B3968" s="37" t="s">
        <v>24637</v>
      </c>
      <c r="C3968" s="37" t="s">
        <v>2348</v>
      </c>
      <c r="D3968" s="37" t="s">
        <v>2349</v>
      </c>
    </row>
    <row r="3969" spans="1:4" ht="14.25">
      <c r="A3969" s="37">
        <v>11673</v>
      </c>
      <c r="B3969" s="37" t="s">
        <v>24638</v>
      </c>
      <c r="C3969" s="37" t="s">
        <v>2348</v>
      </c>
      <c r="D3969" s="37" t="s">
        <v>2349</v>
      </c>
    </row>
    <row r="3970" spans="1:4" ht="14.25">
      <c r="A3970" s="37">
        <v>11674</v>
      </c>
      <c r="B3970" s="37" t="s">
        <v>24639</v>
      </c>
      <c r="C3970" s="37" t="s">
        <v>2348</v>
      </c>
      <c r="D3970" s="37" t="s">
        <v>2349</v>
      </c>
    </row>
    <row r="3971" spans="1:4" ht="14.25">
      <c r="A3971" s="37">
        <v>11675</v>
      </c>
      <c r="B3971" s="37" t="s">
        <v>24640</v>
      </c>
      <c r="C3971" s="37" t="s">
        <v>2348</v>
      </c>
      <c r="D3971" s="37" t="s">
        <v>2349</v>
      </c>
    </row>
    <row r="3972" spans="1:4" ht="14.25">
      <c r="A3972" s="37">
        <v>11676</v>
      </c>
      <c r="B3972" s="37" t="s">
        <v>24641</v>
      </c>
      <c r="C3972" s="37" t="s">
        <v>2348</v>
      </c>
      <c r="D3972" s="37" t="s">
        <v>2349</v>
      </c>
    </row>
    <row r="3973" spans="1:4" ht="14.25">
      <c r="A3973" s="37">
        <v>11677</v>
      </c>
      <c r="B3973" s="37" t="s">
        <v>24642</v>
      </c>
      <c r="C3973" s="37" t="s">
        <v>2348</v>
      </c>
      <c r="D3973" s="37" t="s">
        <v>2349</v>
      </c>
    </row>
    <row r="3974" spans="1:4" ht="14.25">
      <c r="A3974" s="37">
        <v>11678</v>
      </c>
      <c r="B3974" s="37" t="s">
        <v>24643</v>
      </c>
      <c r="C3974" s="37" t="s">
        <v>2348</v>
      </c>
      <c r="D3974" s="37" t="s">
        <v>2349</v>
      </c>
    </row>
    <row r="3975" spans="1:4" ht="14.25">
      <c r="A3975" s="37">
        <v>6038</v>
      </c>
      <c r="B3975" s="37" t="s">
        <v>24644</v>
      </c>
      <c r="C3975" s="37" t="s">
        <v>2348</v>
      </c>
      <c r="D3975" s="37" t="s">
        <v>2349</v>
      </c>
    </row>
    <row r="3976" spans="1:4" ht="14.25">
      <c r="A3976" s="37">
        <v>11718</v>
      </c>
      <c r="B3976" s="37" t="s">
        <v>24645</v>
      </c>
      <c r="C3976" s="37" t="s">
        <v>2348</v>
      </c>
      <c r="D3976" s="37" t="s">
        <v>2349</v>
      </c>
    </row>
    <row r="3977" spans="1:4" ht="14.25">
      <c r="A3977" s="37">
        <v>6037</v>
      </c>
      <c r="B3977" s="37" t="s">
        <v>24646</v>
      </c>
      <c r="C3977" s="37" t="s">
        <v>2348</v>
      </c>
      <c r="D3977" s="37" t="s">
        <v>2349</v>
      </c>
    </row>
    <row r="3978" spans="1:4" ht="14.25">
      <c r="A3978" s="37">
        <v>11719</v>
      </c>
      <c r="B3978" s="37" t="s">
        <v>24647</v>
      </c>
      <c r="C3978" s="37" t="s">
        <v>2348</v>
      </c>
      <c r="D3978" s="37" t="s">
        <v>2349</v>
      </c>
    </row>
    <row r="3979" spans="1:4" ht="14.25">
      <c r="A3979" s="37">
        <v>6019</v>
      </c>
      <c r="B3979" s="37" t="s">
        <v>24648</v>
      </c>
      <c r="C3979" s="37" t="s">
        <v>2348</v>
      </c>
      <c r="D3979" s="37" t="s">
        <v>2349</v>
      </c>
    </row>
    <row r="3980" spans="1:4" ht="14.25">
      <c r="A3980" s="37">
        <v>6010</v>
      </c>
      <c r="B3980" s="37" t="s">
        <v>24649</v>
      </c>
      <c r="C3980" s="37" t="s">
        <v>2348</v>
      </c>
      <c r="D3980" s="37" t="s">
        <v>2349</v>
      </c>
    </row>
    <row r="3981" spans="1:4" ht="14.25">
      <c r="A3981" s="37">
        <v>6017</v>
      </c>
      <c r="B3981" s="37" t="s">
        <v>24650</v>
      </c>
      <c r="C3981" s="37" t="s">
        <v>2348</v>
      </c>
      <c r="D3981" s="37" t="s">
        <v>2349</v>
      </c>
    </row>
    <row r="3982" spans="1:4" ht="14.25">
      <c r="A3982" s="37">
        <v>6020</v>
      </c>
      <c r="B3982" s="37" t="s">
        <v>24651</v>
      </c>
      <c r="C3982" s="37" t="s">
        <v>2348</v>
      </c>
      <c r="D3982" s="37" t="s">
        <v>2349</v>
      </c>
    </row>
    <row r="3983" spans="1:4" ht="14.25">
      <c r="A3983" s="37">
        <v>6028</v>
      </c>
      <c r="B3983" s="37" t="s">
        <v>24652</v>
      </c>
      <c r="C3983" s="37" t="s">
        <v>2348</v>
      </c>
      <c r="D3983" s="37" t="s">
        <v>2349</v>
      </c>
    </row>
    <row r="3984" spans="1:4" ht="14.25">
      <c r="A3984" s="37">
        <v>6011</v>
      </c>
      <c r="B3984" s="37" t="s">
        <v>24653</v>
      </c>
      <c r="C3984" s="37" t="s">
        <v>2348</v>
      </c>
      <c r="D3984" s="37" t="s">
        <v>2349</v>
      </c>
    </row>
    <row r="3985" spans="1:4" ht="14.25">
      <c r="A3985" s="37">
        <v>6012</v>
      </c>
      <c r="B3985" s="37" t="s">
        <v>24654</v>
      </c>
      <c r="C3985" s="37" t="s">
        <v>2348</v>
      </c>
      <c r="D3985" s="37" t="s">
        <v>2349</v>
      </c>
    </row>
    <row r="3986" spans="1:4" ht="14.25">
      <c r="A3986" s="37">
        <v>6016</v>
      </c>
      <c r="B3986" s="37" t="s">
        <v>24655</v>
      </c>
      <c r="C3986" s="37" t="s">
        <v>2348</v>
      </c>
      <c r="D3986" s="37" t="s">
        <v>2349</v>
      </c>
    </row>
    <row r="3987" spans="1:4" ht="14.25">
      <c r="A3987" s="37">
        <v>6027</v>
      </c>
      <c r="B3987" s="37" t="s">
        <v>24656</v>
      </c>
      <c r="C3987" s="37" t="s">
        <v>2348</v>
      </c>
      <c r="D3987" s="37" t="s">
        <v>2349</v>
      </c>
    </row>
    <row r="3988" spans="1:4" ht="14.25">
      <c r="A3988" s="37">
        <v>6013</v>
      </c>
      <c r="B3988" s="37" t="s">
        <v>24657</v>
      </c>
      <c r="C3988" s="37" t="s">
        <v>2348</v>
      </c>
      <c r="D3988" s="37" t="s">
        <v>2349</v>
      </c>
    </row>
    <row r="3989" spans="1:4" ht="14.25">
      <c r="A3989" s="37">
        <v>6015</v>
      </c>
      <c r="B3989" s="37" t="s">
        <v>24658</v>
      </c>
      <c r="C3989" s="37" t="s">
        <v>2348</v>
      </c>
      <c r="D3989" s="37" t="s">
        <v>2349</v>
      </c>
    </row>
    <row r="3990" spans="1:4" ht="14.25">
      <c r="A3990" s="37">
        <v>6014</v>
      </c>
      <c r="B3990" s="37" t="s">
        <v>24659</v>
      </c>
      <c r="C3990" s="37" t="s">
        <v>2348</v>
      </c>
      <c r="D3990" s="37" t="s">
        <v>2349</v>
      </c>
    </row>
    <row r="3991" spans="1:4" ht="14.25">
      <c r="A3991" s="37">
        <v>6006</v>
      </c>
      <c r="B3991" s="37" t="s">
        <v>24660</v>
      </c>
      <c r="C3991" s="37" t="s">
        <v>2348</v>
      </c>
      <c r="D3991" s="37" t="s">
        <v>2349</v>
      </c>
    </row>
    <row r="3992" spans="1:4" ht="14.25">
      <c r="A3992" s="37">
        <v>6005</v>
      </c>
      <c r="B3992" s="37" t="s">
        <v>24661</v>
      </c>
      <c r="C3992" s="37" t="s">
        <v>2348</v>
      </c>
      <c r="D3992" s="37" t="s">
        <v>2353</v>
      </c>
    </row>
    <row r="3993" spans="1:4" ht="14.25">
      <c r="A3993" s="37">
        <v>11756</v>
      </c>
      <c r="B3993" s="37" t="s">
        <v>24662</v>
      </c>
      <c r="C3993" s="37" t="s">
        <v>2348</v>
      </c>
      <c r="D3993" s="37" t="s">
        <v>2349</v>
      </c>
    </row>
    <row r="3994" spans="1:4" ht="14.25">
      <c r="A3994" s="37">
        <v>10904</v>
      </c>
      <c r="B3994" s="37" t="s">
        <v>24663</v>
      </c>
      <c r="C3994" s="37" t="s">
        <v>2348</v>
      </c>
      <c r="D3994" s="37" t="s">
        <v>2353</v>
      </c>
    </row>
    <row r="3995" spans="1:4" ht="14.25">
      <c r="A3995" s="37">
        <v>11752</v>
      </c>
      <c r="B3995" s="37" t="s">
        <v>24664</v>
      </c>
      <c r="C3995" s="37" t="s">
        <v>2348</v>
      </c>
      <c r="D3995" s="37" t="s">
        <v>2349</v>
      </c>
    </row>
    <row r="3996" spans="1:4" ht="14.25">
      <c r="A3996" s="37">
        <v>11753</v>
      </c>
      <c r="B3996" s="37" t="s">
        <v>24665</v>
      </c>
      <c r="C3996" s="37" t="s">
        <v>2348</v>
      </c>
      <c r="D3996" s="37" t="s">
        <v>2349</v>
      </c>
    </row>
    <row r="3997" spans="1:4" ht="14.25">
      <c r="A3997" s="37">
        <v>6021</v>
      </c>
      <c r="B3997" s="37" t="s">
        <v>24666</v>
      </c>
      <c r="C3997" s="37" t="s">
        <v>2348</v>
      </c>
      <c r="D3997" s="37" t="s">
        <v>2349</v>
      </c>
    </row>
    <row r="3998" spans="1:4" ht="14.25">
      <c r="A3998" s="37">
        <v>6024</v>
      </c>
      <c r="B3998" s="37" t="s">
        <v>24667</v>
      </c>
      <c r="C3998" s="37" t="s">
        <v>2348</v>
      </c>
      <c r="D3998" s="37" t="s">
        <v>2349</v>
      </c>
    </row>
    <row r="3999" spans="1:4" ht="14.25">
      <c r="A3999" s="37">
        <v>38379</v>
      </c>
      <c r="B3999" s="37" t="s">
        <v>24668</v>
      </c>
      <c r="C3999" s="37" t="s">
        <v>2355</v>
      </c>
      <c r="D3999" s="37" t="s">
        <v>2349</v>
      </c>
    </row>
    <row r="4000" spans="1:4" ht="14.25">
      <c r="A4000" s="37">
        <v>13897</v>
      </c>
      <c r="B4000" s="37" t="s">
        <v>24669</v>
      </c>
      <c r="C4000" s="37" t="s">
        <v>2348</v>
      </c>
      <c r="D4000" s="37" t="s">
        <v>2351</v>
      </c>
    </row>
    <row r="4001" spans="1:4" ht="14.25">
      <c r="A4001" s="37">
        <v>10640</v>
      </c>
      <c r="B4001" s="37" t="s">
        <v>24670</v>
      </c>
      <c r="C4001" s="37" t="s">
        <v>2348</v>
      </c>
      <c r="D4001" s="37" t="s">
        <v>2351</v>
      </c>
    </row>
    <row r="4002" spans="1:4" ht="14.25">
      <c r="A4002" s="37">
        <v>11086</v>
      </c>
      <c r="B4002" s="37" t="s">
        <v>24671</v>
      </c>
      <c r="C4002" s="37" t="s">
        <v>2368</v>
      </c>
      <c r="D4002" s="37" t="s">
        <v>2349</v>
      </c>
    </row>
    <row r="4003" spans="1:4" ht="14.25">
      <c r="A4003" s="37">
        <v>34357</v>
      </c>
      <c r="B4003" s="37" t="s">
        <v>24672</v>
      </c>
      <c r="C4003" s="37" t="s">
        <v>2356</v>
      </c>
      <c r="D4003" s="37" t="s">
        <v>2349</v>
      </c>
    </row>
    <row r="4004" spans="1:4" ht="14.25">
      <c r="A4004" s="37">
        <v>37329</v>
      </c>
      <c r="B4004" s="37" t="s">
        <v>24673</v>
      </c>
      <c r="C4004" s="37" t="s">
        <v>2356</v>
      </c>
      <c r="D4004" s="37" t="s">
        <v>2349</v>
      </c>
    </row>
    <row r="4005" spans="1:4" ht="14.25">
      <c r="A4005" s="37">
        <v>2510</v>
      </c>
      <c r="B4005" s="37" t="s">
        <v>24674</v>
      </c>
      <c r="C4005" s="37" t="s">
        <v>2348</v>
      </c>
      <c r="D4005" s="37" t="s">
        <v>2351</v>
      </c>
    </row>
    <row r="4006" spans="1:4" ht="14.25">
      <c r="A4006" s="37">
        <v>12359</v>
      </c>
      <c r="B4006" s="37" t="s">
        <v>24675</v>
      </c>
      <c r="C4006" s="37" t="s">
        <v>2348</v>
      </c>
      <c r="D4006" s="37" t="s">
        <v>2349</v>
      </c>
    </row>
    <row r="4007" spans="1:4" ht="14.25">
      <c r="A4007" s="37">
        <v>7353</v>
      </c>
      <c r="B4007" s="37" t="s">
        <v>28111</v>
      </c>
      <c r="C4007" s="37" t="s">
        <v>2363</v>
      </c>
      <c r="D4007" s="37" t="s">
        <v>2349</v>
      </c>
    </row>
    <row r="4008" spans="1:4" ht="14.25">
      <c r="A4008" s="37">
        <v>36144</v>
      </c>
      <c r="B4008" s="37" t="s">
        <v>24676</v>
      </c>
      <c r="C4008" s="37" t="s">
        <v>2348</v>
      </c>
      <c r="D4008" s="37" t="s">
        <v>2349</v>
      </c>
    </row>
    <row r="4009" spans="1:4" ht="14.25">
      <c r="A4009" s="37">
        <v>10518</v>
      </c>
      <c r="B4009" s="37" t="s">
        <v>24677</v>
      </c>
      <c r="C4009" s="37" t="s">
        <v>2348</v>
      </c>
      <c r="D4009" s="37" t="s">
        <v>2351</v>
      </c>
    </row>
    <row r="4010" spans="1:4" ht="14.25">
      <c r="A4010" s="37">
        <v>36530</v>
      </c>
      <c r="B4010" s="37" t="s">
        <v>24678</v>
      </c>
      <c r="C4010" s="37" t="s">
        <v>2348</v>
      </c>
      <c r="D4010" s="37" t="s">
        <v>2349</v>
      </c>
    </row>
    <row r="4011" spans="1:4" ht="14.25">
      <c r="A4011" s="37">
        <v>6046</v>
      </c>
      <c r="B4011" s="37" t="s">
        <v>24679</v>
      </c>
      <c r="C4011" s="37" t="s">
        <v>2348</v>
      </c>
      <c r="D4011" s="37" t="s">
        <v>2353</v>
      </c>
    </row>
    <row r="4012" spans="1:4" ht="14.25">
      <c r="A4012" s="37">
        <v>36531</v>
      </c>
      <c r="B4012" s="37" t="s">
        <v>24680</v>
      </c>
      <c r="C4012" s="37" t="s">
        <v>2348</v>
      </c>
      <c r="D4012" s="37" t="s">
        <v>2349</v>
      </c>
    </row>
    <row r="4013" spans="1:4" ht="14.25">
      <c r="A4013" s="37">
        <v>34684</v>
      </c>
      <c r="B4013" s="37" t="s">
        <v>24681</v>
      </c>
      <c r="C4013" s="37" t="s">
        <v>2350</v>
      </c>
      <c r="D4013" s="37" t="s">
        <v>2351</v>
      </c>
    </row>
    <row r="4014" spans="1:4" ht="14.25">
      <c r="A4014" s="37">
        <v>34683</v>
      </c>
      <c r="B4014" s="37" t="s">
        <v>24682</v>
      </c>
      <c r="C4014" s="37" t="s">
        <v>2350</v>
      </c>
      <c r="D4014" s="37" t="s">
        <v>2351</v>
      </c>
    </row>
    <row r="4015" spans="1:4" ht="14.25">
      <c r="A4015" s="37">
        <v>533</v>
      </c>
      <c r="B4015" s="37" t="s">
        <v>24683</v>
      </c>
      <c r="C4015" s="37" t="s">
        <v>2350</v>
      </c>
      <c r="D4015" s="37" t="s">
        <v>2349</v>
      </c>
    </row>
    <row r="4016" spans="1:4" ht="14.25">
      <c r="A4016" s="37">
        <v>10515</v>
      </c>
      <c r="B4016" s="37" t="s">
        <v>24684</v>
      </c>
      <c r="C4016" s="37" t="s">
        <v>2350</v>
      </c>
      <c r="D4016" s="37" t="s">
        <v>2349</v>
      </c>
    </row>
    <row r="4017" spans="1:4" ht="14.25">
      <c r="A4017" s="37">
        <v>536</v>
      </c>
      <c r="B4017" s="37" t="s">
        <v>24685</v>
      </c>
      <c r="C4017" s="37" t="s">
        <v>2350</v>
      </c>
      <c r="D4017" s="37" t="s">
        <v>2353</v>
      </c>
    </row>
    <row r="4018" spans="1:4" ht="14.25">
      <c r="A4018" s="37">
        <v>153</v>
      </c>
      <c r="B4018" s="37" t="s">
        <v>24686</v>
      </c>
      <c r="C4018" s="37" t="s">
        <v>2363</v>
      </c>
      <c r="D4018" s="37" t="s">
        <v>2349</v>
      </c>
    </row>
    <row r="4019" spans="1:4" ht="14.25">
      <c r="A4019" s="37">
        <v>34682</v>
      </c>
      <c r="B4019" s="37" t="s">
        <v>24687</v>
      </c>
      <c r="C4019" s="37" t="s">
        <v>2350</v>
      </c>
      <c r="D4019" s="37" t="s">
        <v>2351</v>
      </c>
    </row>
    <row r="4020" spans="1:4" ht="14.25">
      <c r="A4020" s="37">
        <v>20205</v>
      </c>
      <c r="B4020" s="37" t="s">
        <v>24688</v>
      </c>
      <c r="C4020" s="37" t="s">
        <v>2355</v>
      </c>
      <c r="D4020" s="37" t="s">
        <v>2349</v>
      </c>
    </row>
    <row r="4021" spans="1:4" ht="14.25">
      <c r="A4021" s="37">
        <v>4412</v>
      </c>
      <c r="B4021" s="37" t="s">
        <v>24689</v>
      </c>
      <c r="C4021" s="37" t="s">
        <v>2355</v>
      </c>
      <c r="D4021" s="37" t="s">
        <v>2349</v>
      </c>
    </row>
    <row r="4022" spans="1:4" ht="14.25">
      <c r="A4022" s="37">
        <v>4408</v>
      </c>
      <c r="B4022" s="37" t="s">
        <v>24690</v>
      </c>
      <c r="C4022" s="37" t="s">
        <v>2355</v>
      </c>
      <c r="D4022" s="37" t="s">
        <v>2349</v>
      </c>
    </row>
    <row r="4023" spans="1:4" ht="14.25">
      <c r="A4023" s="37">
        <v>36250</v>
      </c>
      <c r="B4023" s="37" t="s">
        <v>24691</v>
      </c>
      <c r="C4023" s="37" t="s">
        <v>2355</v>
      </c>
      <c r="D4023" s="37" t="s">
        <v>2349</v>
      </c>
    </row>
    <row r="4024" spans="1:4" ht="14.25">
      <c r="A4024" s="37">
        <v>10857</v>
      </c>
      <c r="B4024" s="37" t="s">
        <v>24692</v>
      </c>
      <c r="C4024" s="37" t="s">
        <v>2355</v>
      </c>
      <c r="D4024" s="37" t="s">
        <v>2349</v>
      </c>
    </row>
    <row r="4025" spans="1:4" ht="14.25">
      <c r="A4025" s="37">
        <v>4803</v>
      </c>
      <c r="B4025" s="37" t="s">
        <v>24693</v>
      </c>
      <c r="C4025" s="37" t="s">
        <v>2355</v>
      </c>
      <c r="D4025" s="37" t="s">
        <v>2349</v>
      </c>
    </row>
    <row r="4026" spans="1:4" ht="14.25">
      <c r="A4026" s="37">
        <v>6186</v>
      </c>
      <c r="B4026" s="37" t="s">
        <v>24694</v>
      </c>
      <c r="C4026" s="37" t="s">
        <v>2355</v>
      </c>
      <c r="D4026" s="37" t="s">
        <v>2349</v>
      </c>
    </row>
    <row r="4027" spans="1:4" ht="14.25">
      <c r="A4027" s="37">
        <v>4829</v>
      </c>
      <c r="B4027" s="37" t="s">
        <v>24695</v>
      </c>
      <c r="C4027" s="37" t="s">
        <v>2355</v>
      </c>
      <c r="D4027" s="37" t="s">
        <v>2349</v>
      </c>
    </row>
    <row r="4028" spans="1:4" ht="14.25">
      <c r="A4028" s="37">
        <v>39829</v>
      </c>
      <c r="B4028" s="37" t="s">
        <v>24696</v>
      </c>
      <c r="C4028" s="37" t="s">
        <v>2355</v>
      </c>
      <c r="D4028" s="37" t="s">
        <v>2351</v>
      </c>
    </row>
    <row r="4029" spans="1:4" ht="14.25">
      <c r="A4029" s="37">
        <v>20231</v>
      </c>
      <c r="B4029" s="37" t="s">
        <v>24697</v>
      </c>
      <c r="C4029" s="37" t="s">
        <v>2355</v>
      </c>
      <c r="D4029" s="37" t="s">
        <v>2349</v>
      </c>
    </row>
    <row r="4030" spans="1:4" ht="14.25">
      <c r="A4030" s="37">
        <v>4804</v>
      </c>
      <c r="B4030" s="37" t="s">
        <v>24698</v>
      </c>
      <c r="C4030" s="37" t="s">
        <v>2355</v>
      </c>
      <c r="D4030" s="37" t="s">
        <v>2349</v>
      </c>
    </row>
    <row r="4031" spans="1:4" ht="14.25">
      <c r="A4031" s="37">
        <v>34680</v>
      </c>
      <c r="B4031" s="37" t="s">
        <v>24699</v>
      </c>
      <c r="C4031" s="37" t="s">
        <v>2355</v>
      </c>
      <c r="D4031" s="37" t="s">
        <v>2351</v>
      </c>
    </row>
    <row r="4032" spans="1:4" ht="14.25">
      <c r="A4032" s="37">
        <v>11573</v>
      </c>
      <c r="B4032" s="37" t="s">
        <v>24700</v>
      </c>
      <c r="C4032" s="37" t="s">
        <v>2348</v>
      </c>
      <c r="D4032" s="37" t="s">
        <v>2349</v>
      </c>
    </row>
    <row r="4033" spans="1:4" ht="14.25">
      <c r="A4033" s="37">
        <v>38401</v>
      </c>
      <c r="B4033" s="37" t="s">
        <v>24701</v>
      </c>
      <c r="C4033" s="37" t="s">
        <v>2348</v>
      </c>
      <c r="D4033" s="37" t="s">
        <v>2349</v>
      </c>
    </row>
    <row r="4034" spans="1:4" ht="14.25">
      <c r="A4034" s="37">
        <v>11575</v>
      </c>
      <c r="B4034" s="37" t="s">
        <v>24702</v>
      </c>
      <c r="C4034" s="37" t="s">
        <v>2348</v>
      </c>
      <c r="D4034" s="37" t="s">
        <v>2349</v>
      </c>
    </row>
    <row r="4035" spans="1:4" ht="14.25">
      <c r="A4035" s="37">
        <v>38179</v>
      </c>
      <c r="B4035" s="37" t="s">
        <v>24703</v>
      </c>
      <c r="C4035" s="37" t="s">
        <v>2348</v>
      </c>
      <c r="D4035" s="37" t="s">
        <v>2349</v>
      </c>
    </row>
    <row r="4036" spans="1:4" ht="14.25">
      <c r="A4036" s="37">
        <v>20256</v>
      </c>
      <c r="B4036" s="37" t="s">
        <v>24704</v>
      </c>
      <c r="C4036" s="37" t="s">
        <v>2348</v>
      </c>
      <c r="D4036" s="37" t="s">
        <v>2349</v>
      </c>
    </row>
    <row r="4037" spans="1:4" ht="14.25">
      <c r="A4037" s="37">
        <v>14511</v>
      </c>
      <c r="B4037" s="37" t="s">
        <v>24705</v>
      </c>
      <c r="C4037" s="37" t="s">
        <v>2348</v>
      </c>
      <c r="D4037" s="37" t="s">
        <v>2351</v>
      </c>
    </row>
    <row r="4038" spans="1:4" ht="14.25">
      <c r="A4038" s="37">
        <v>10642</v>
      </c>
      <c r="B4038" s="37" t="s">
        <v>24706</v>
      </c>
      <c r="C4038" s="37" t="s">
        <v>2348</v>
      </c>
      <c r="D4038" s="37" t="s">
        <v>2351</v>
      </c>
    </row>
    <row r="4039" spans="1:4" ht="14.25">
      <c r="A4039" s="37">
        <v>14489</v>
      </c>
      <c r="B4039" s="37" t="s">
        <v>24707</v>
      </c>
      <c r="C4039" s="37" t="s">
        <v>2348</v>
      </c>
      <c r="D4039" s="37" t="s">
        <v>2351</v>
      </c>
    </row>
    <row r="4040" spans="1:4" ht="14.25">
      <c r="A4040" s="37">
        <v>14513</v>
      </c>
      <c r="B4040" s="37" t="s">
        <v>24708</v>
      </c>
      <c r="C4040" s="37" t="s">
        <v>2348</v>
      </c>
      <c r="D4040" s="37" t="s">
        <v>2351</v>
      </c>
    </row>
    <row r="4041" spans="1:4" ht="14.25">
      <c r="A4041" s="37">
        <v>13600</v>
      </c>
      <c r="B4041" s="37" t="s">
        <v>24709</v>
      </c>
      <c r="C4041" s="37" t="s">
        <v>2348</v>
      </c>
      <c r="D4041" s="37" t="s">
        <v>2351</v>
      </c>
    </row>
    <row r="4042" spans="1:4" ht="14.25">
      <c r="A4042" s="37">
        <v>10646</v>
      </c>
      <c r="B4042" s="37" t="s">
        <v>24710</v>
      </c>
      <c r="C4042" s="37" t="s">
        <v>2348</v>
      </c>
      <c r="D4042" s="37" t="s">
        <v>2351</v>
      </c>
    </row>
    <row r="4043" spans="1:4" ht="14.25">
      <c r="A4043" s="37">
        <v>6070</v>
      </c>
      <c r="B4043" s="37" t="s">
        <v>24711</v>
      </c>
      <c r="C4043" s="37" t="s">
        <v>2348</v>
      </c>
      <c r="D4043" s="37" t="s">
        <v>2351</v>
      </c>
    </row>
    <row r="4044" spans="1:4" ht="14.25">
      <c r="A4044" s="37">
        <v>6069</v>
      </c>
      <c r="B4044" s="37" t="s">
        <v>24712</v>
      </c>
      <c r="C4044" s="37" t="s">
        <v>2348</v>
      </c>
      <c r="D4044" s="37" t="s">
        <v>2351</v>
      </c>
    </row>
    <row r="4045" spans="1:4" ht="14.25">
      <c r="A4045" s="37">
        <v>14626</v>
      </c>
      <c r="B4045" s="37" t="s">
        <v>24713</v>
      </c>
      <c r="C4045" s="37" t="s">
        <v>2348</v>
      </c>
      <c r="D4045" s="37" t="s">
        <v>2351</v>
      </c>
    </row>
    <row r="4046" spans="1:4" ht="14.25">
      <c r="A4046" s="37">
        <v>6067</v>
      </c>
      <c r="B4046" s="37" t="s">
        <v>24714</v>
      </c>
      <c r="C4046" s="37" t="s">
        <v>2348</v>
      </c>
      <c r="D4046" s="37" t="s">
        <v>2351</v>
      </c>
    </row>
    <row r="4047" spans="1:4" ht="14.25">
      <c r="A4047" s="37">
        <v>38393</v>
      </c>
      <c r="B4047" s="37" t="s">
        <v>24715</v>
      </c>
      <c r="C4047" s="37" t="s">
        <v>2348</v>
      </c>
      <c r="D4047" s="37" t="s">
        <v>2353</v>
      </c>
    </row>
    <row r="4048" spans="1:4" ht="14.25">
      <c r="A4048" s="37">
        <v>38390</v>
      </c>
      <c r="B4048" s="37" t="s">
        <v>24716</v>
      </c>
      <c r="C4048" s="37" t="s">
        <v>2348</v>
      </c>
      <c r="D4048" s="37" t="s">
        <v>2349</v>
      </c>
    </row>
    <row r="4049" spans="1:4" ht="14.25">
      <c r="A4049" s="37">
        <v>36532</v>
      </c>
      <c r="B4049" s="37" t="s">
        <v>24717</v>
      </c>
      <c r="C4049" s="37" t="s">
        <v>2348</v>
      </c>
      <c r="D4049" s="37" t="s">
        <v>2351</v>
      </c>
    </row>
    <row r="4050" spans="1:4" ht="14.25">
      <c r="A4050" s="37">
        <v>11578</v>
      </c>
      <c r="B4050" s="37" t="s">
        <v>24718</v>
      </c>
      <c r="C4050" s="37" t="s">
        <v>2348</v>
      </c>
      <c r="D4050" s="37" t="s">
        <v>2349</v>
      </c>
    </row>
    <row r="4051" spans="1:4" ht="14.25">
      <c r="A4051" s="37">
        <v>11577</v>
      </c>
      <c r="B4051" s="37" t="s">
        <v>24719</v>
      </c>
      <c r="C4051" s="37" t="s">
        <v>2348</v>
      </c>
      <c r="D4051" s="37" t="s">
        <v>2349</v>
      </c>
    </row>
    <row r="4052" spans="1:4" ht="14.25">
      <c r="A4052" s="37">
        <v>42432</v>
      </c>
      <c r="B4052" s="37" t="s">
        <v>24720</v>
      </c>
      <c r="C4052" s="37" t="s">
        <v>2348</v>
      </c>
      <c r="D4052" s="37" t="s">
        <v>2351</v>
      </c>
    </row>
    <row r="4053" spans="1:4" ht="14.25">
      <c r="A4053" s="37">
        <v>42437</v>
      </c>
      <c r="B4053" s="37" t="s">
        <v>24721</v>
      </c>
      <c r="C4053" s="37" t="s">
        <v>2348</v>
      </c>
      <c r="D4053" s="37" t="s">
        <v>2351</v>
      </c>
    </row>
    <row r="4054" spans="1:4" ht="14.25">
      <c r="A4054" s="37">
        <v>1116</v>
      </c>
      <c r="B4054" s="37" t="s">
        <v>24722</v>
      </c>
      <c r="C4054" s="37" t="s">
        <v>2355</v>
      </c>
      <c r="D4054" s="37" t="s">
        <v>2349</v>
      </c>
    </row>
    <row r="4055" spans="1:4" ht="14.25">
      <c r="A4055" s="37">
        <v>1115</v>
      </c>
      <c r="B4055" s="37" t="s">
        <v>24723</v>
      </c>
      <c r="C4055" s="37" t="s">
        <v>2355</v>
      </c>
      <c r="D4055" s="37" t="s">
        <v>2349</v>
      </c>
    </row>
    <row r="4056" spans="1:4" ht="14.25">
      <c r="A4056" s="37">
        <v>1113</v>
      </c>
      <c r="B4056" s="37" t="s">
        <v>24724</v>
      </c>
      <c r="C4056" s="37" t="s">
        <v>2355</v>
      </c>
      <c r="D4056" s="37" t="s">
        <v>2349</v>
      </c>
    </row>
    <row r="4057" spans="1:4" ht="14.25">
      <c r="A4057" s="37">
        <v>1114</v>
      </c>
      <c r="B4057" s="37" t="s">
        <v>24725</v>
      </c>
      <c r="C4057" s="37" t="s">
        <v>2355</v>
      </c>
      <c r="D4057" s="37" t="s">
        <v>2349</v>
      </c>
    </row>
    <row r="4058" spans="1:4" ht="14.25">
      <c r="A4058" s="37">
        <v>40873</v>
      </c>
      <c r="B4058" s="37" t="s">
        <v>24726</v>
      </c>
      <c r="C4058" s="37" t="s">
        <v>2355</v>
      </c>
      <c r="D4058" s="37" t="s">
        <v>2349</v>
      </c>
    </row>
    <row r="4059" spans="1:4" ht="14.25">
      <c r="A4059" s="37">
        <v>20214</v>
      </c>
      <c r="B4059" s="37" t="s">
        <v>24727</v>
      </c>
      <c r="C4059" s="37" t="s">
        <v>2348</v>
      </c>
      <c r="D4059" s="37" t="s">
        <v>2349</v>
      </c>
    </row>
    <row r="4060" spans="1:4" ht="14.25">
      <c r="A4060" s="37">
        <v>7237</v>
      </c>
      <c r="B4060" s="37" t="s">
        <v>24728</v>
      </c>
      <c r="C4060" s="37" t="s">
        <v>2348</v>
      </c>
      <c r="D4060" s="37" t="s">
        <v>2349</v>
      </c>
    </row>
    <row r="4061" spans="1:4" ht="14.25">
      <c r="A4061" s="37">
        <v>11757</v>
      </c>
      <c r="B4061" s="37" t="s">
        <v>24729</v>
      </c>
      <c r="C4061" s="37" t="s">
        <v>2348</v>
      </c>
      <c r="D4061" s="37" t="s">
        <v>2353</v>
      </c>
    </row>
    <row r="4062" spans="1:4" ht="14.25">
      <c r="A4062" s="37">
        <v>11758</v>
      </c>
      <c r="B4062" s="37" t="s">
        <v>24730</v>
      </c>
      <c r="C4062" s="37" t="s">
        <v>2348</v>
      </c>
      <c r="D4062" s="37" t="s">
        <v>2353</v>
      </c>
    </row>
    <row r="4063" spans="1:4" ht="14.25">
      <c r="A4063" s="37">
        <v>37526</v>
      </c>
      <c r="B4063" s="37" t="s">
        <v>24731</v>
      </c>
      <c r="C4063" s="37" t="s">
        <v>2348</v>
      </c>
      <c r="D4063" s="37" t="s">
        <v>2351</v>
      </c>
    </row>
    <row r="4064" spans="1:4" ht="14.25">
      <c r="A4064" s="37">
        <v>6076</v>
      </c>
      <c r="B4064" s="37" t="s">
        <v>24732</v>
      </c>
      <c r="C4064" s="37" t="s">
        <v>2368</v>
      </c>
      <c r="D4064" s="37" t="s">
        <v>2353</v>
      </c>
    </row>
    <row r="4065" spans="1:4" ht="14.25">
      <c r="A4065" s="37">
        <v>13109</v>
      </c>
      <c r="B4065" s="37" t="s">
        <v>24733</v>
      </c>
      <c r="C4065" s="37" t="s">
        <v>2348</v>
      </c>
      <c r="D4065" s="37" t="s">
        <v>2351</v>
      </c>
    </row>
    <row r="4066" spans="1:4" ht="14.25">
      <c r="A4066" s="37">
        <v>13110</v>
      </c>
      <c r="B4066" s="37" t="s">
        <v>24734</v>
      </c>
      <c r="C4066" s="37" t="s">
        <v>2348</v>
      </c>
      <c r="D4066" s="37" t="s">
        <v>2351</v>
      </c>
    </row>
    <row r="4067" spans="1:4" ht="14.25">
      <c r="A4067" s="37">
        <v>7581</v>
      </c>
      <c r="B4067" s="37" t="s">
        <v>24735</v>
      </c>
      <c r="C4067" s="37" t="s">
        <v>2348</v>
      </c>
      <c r="D4067" s="37" t="s">
        <v>2349</v>
      </c>
    </row>
    <row r="4068" spans="1:4" ht="14.25">
      <c r="A4068" s="37">
        <v>4509</v>
      </c>
      <c r="B4068" s="37" t="s">
        <v>24736</v>
      </c>
      <c r="C4068" s="37" t="s">
        <v>2355</v>
      </c>
      <c r="D4068" s="37" t="s">
        <v>2349</v>
      </c>
    </row>
    <row r="4069" spans="1:4" ht="14.25">
      <c r="A4069" s="37">
        <v>4512</v>
      </c>
      <c r="B4069" s="37" t="s">
        <v>24737</v>
      </c>
      <c r="C4069" s="37" t="s">
        <v>2355</v>
      </c>
      <c r="D4069" s="37" t="s">
        <v>2349</v>
      </c>
    </row>
    <row r="4070" spans="1:4" ht="14.25">
      <c r="A4070" s="37">
        <v>4517</v>
      </c>
      <c r="B4070" s="37" t="s">
        <v>24738</v>
      </c>
      <c r="C4070" s="37" t="s">
        <v>2355</v>
      </c>
      <c r="D4070" s="37" t="s">
        <v>2349</v>
      </c>
    </row>
    <row r="4071" spans="1:4" ht="14.25">
      <c r="A4071" s="37">
        <v>20206</v>
      </c>
      <c r="B4071" s="37" t="s">
        <v>24739</v>
      </c>
      <c r="C4071" s="37" t="s">
        <v>2355</v>
      </c>
      <c r="D4071" s="37" t="s">
        <v>2349</v>
      </c>
    </row>
    <row r="4072" spans="1:4" ht="14.25">
      <c r="A4072" s="37">
        <v>4460</v>
      </c>
      <c r="B4072" s="37" t="s">
        <v>24740</v>
      </c>
      <c r="C4072" s="37" t="s">
        <v>2355</v>
      </c>
      <c r="D4072" s="37" t="s">
        <v>2349</v>
      </c>
    </row>
    <row r="4073" spans="1:4" ht="14.25">
      <c r="A4073" s="37">
        <v>4417</v>
      </c>
      <c r="B4073" s="37" t="s">
        <v>24741</v>
      </c>
      <c r="C4073" s="37" t="s">
        <v>2355</v>
      </c>
      <c r="D4073" s="37" t="s">
        <v>2349</v>
      </c>
    </row>
    <row r="4074" spans="1:4" ht="14.25">
      <c r="A4074" s="37">
        <v>4415</v>
      </c>
      <c r="B4074" s="37" t="s">
        <v>24742</v>
      </c>
      <c r="C4074" s="37" t="s">
        <v>2355</v>
      </c>
      <c r="D4074" s="37" t="s">
        <v>2349</v>
      </c>
    </row>
    <row r="4075" spans="1:4" ht="14.25">
      <c r="A4075" s="37">
        <v>37373</v>
      </c>
      <c r="B4075" s="37" t="s">
        <v>24743</v>
      </c>
      <c r="C4075" s="37" t="s">
        <v>2352</v>
      </c>
      <c r="D4075" s="37" t="s">
        <v>2353</v>
      </c>
    </row>
    <row r="4076" spans="1:4" ht="14.25">
      <c r="A4076" s="37">
        <v>40864</v>
      </c>
      <c r="B4076" s="37" t="s">
        <v>24744</v>
      </c>
      <c r="C4076" s="37" t="s">
        <v>2369</v>
      </c>
      <c r="D4076" s="37" t="s">
        <v>2353</v>
      </c>
    </row>
    <row r="4077" spans="1:4" ht="14.25">
      <c r="A4077" s="37">
        <v>4734</v>
      </c>
      <c r="B4077" s="37" t="s">
        <v>24745</v>
      </c>
      <c r="C4077" s="37" t="s">
        <v>2368</v>
      </c>
      <c r="D4077" s="37" t="s">
        <v>2349</v>
      </c>
    </row>
    <row r="4078" spans="1:4" ht="14.25">
      <c r="A4078" s="37">
        <v>6085</v>
      </c>
      <c r="B4078" s="37" t="s">
        <v>24746</v>
      </c>
      <c r="C4078" s="37" t="s">
        <v>2363</v>
      </c>
      <c r="D4078" s="37" t="s">
        <v>2353</v>
      </c>
    </row>
    <row r="4079" spans="1:4" ht="14.25">
      <c r="A4079" s="37">
        <v>38396</v>
      </c>
      <c r="B4079" s="37" t="s">
        <v>24747</v>
      </c>
      <c r="C4079" s="37" t="s">
        <v>2348</v>
      </c>
      <c r="D4079" s="37" t="s">
        <v>2349</v>
      </c>
    </row>
    <row r="4080" spans="1:4" ht="14.25">
      <c r="A4080" s="37">
        <v>11622</v>
      </c>
      <c r="B4080" s="37" t="s">
        <v>24748</v>
      </c>
      <c r="C4080" s="37" t="s">
        <v>2356</v>
      </c>
      <c r="D4080" s="37" t="s">
        <v>2349</v>
      </c>
    </row>
    <row r="4081" spans="1:4" ht="14.25">
      <c r="A4081" s="37">
        <v>43143</v>
      </c>
      <c r="B4081" s="37" t="s">
        <v>24749</v>
      </c>
      <c r="C4081" s="37" t="s">
        <v>2363</v>
      </c>
      <c r="D4081" s="37" t="s">
        <v>2349</v>
      </c>
    </row>
    <row r="4082" spans="1:4" ht="14.25">
      <c r="A4082" s="37">
        <v>7317</v>
      </c>
      <c r="B4082" s="37" t="s">
        <v>24750</v>
      </c>
      <c r="C4082" s="37" t="s">
        <v>2356</v>
      </c>
      <c r="D4082" s="37" t="s">
        <v>2349</v>
      </c>
    </row>
    <row r="4083" spans="1:4" ht="14.25">
      <c r="A4083" s="37">
        <v>142</v>
      </c>
      <c r="B4083" s="37" t="s">
        <v>24751</v>
      </c>
      <c r="C4083" s="37" t="s">
        <v>2521</v>
      </c>
      <c r="D4083" s="37" t="s">
        <v>2349</v>
      </c>
    </row>
    <row r="4084" spans="1:4" ht="14.25">
      <c r="A4084" s="37">
        <v>43142</v>
      </c>
      <c r="B4084" s="37" t="s">
        <v>24752</v>
      </c>
      <c r="C4084" s="37" t="s">
        <v>2363</v>
      </c>
      <c r="D4084" s="37" t="s">
        <v>2349</v>
      </c>
    </row>
    <row r="4085" spans="1:4" ht="14.25">
      <c r="A4085" s="37">
        <v>38123</v>
      </c>
      <c r="B4085" s="37" t="s">
        <v>24753</v>
      </c>
      <c r="C4085" s="37" t="s">
        <v>2356</v>
      </c>
      <c r="D4085" s="37" t="s">
        <v>2349</v>
      </c>
    </row>
    <row r="4086" spans="1:4" ht="14.25">
      <c r="A4086" s="37">
        <v>42701</v>
      </c>
      <c r="B4086" s="37" t="s">
        <v>24754</v>
      </c>
      <c r="C4086" s="37" t="s">
        <v>2348</v>
      </c>
      <c r="D4086" s="37" t="s">
        <v>2351</v>
      </c>
    </row>
    <row r="4087" spans="1:4" ht="14.25">
      <c r="A4087" s="37">
        <v>42702</v>
      </c>
      <c r="B4087" s="37" t="s">
        <v>24755</v>
      </c>
      <c r="C4087" s="37" t="s">
        <v>2348</v>
      </c>
      <c r="D4087" s="37" t="s">
        <v>2351</v>
      </c>
    </row>
    <row r="4088" spans="1:4" ht="14.25">
      <c r="A4088" s="37">
        <v>37955</v>
      </c>
      <c r="B4088" s="37" t="s">
        <v>24756</v>
      </c>
      <c r="C4088" s="37" t="s">
        <v>2348</v>
      </c>
      <c r="D4088" s="37" t="s">
        <v>2351</v>
      </c>
    </row>
    <row r="4089" spans="1:4" ht="14.25">
      <c r="A4089" s="37">
        <v>42699</v>
      </c>
      <c r="B4089" s="37" t="s">
        <v>24757</v>
      </c>
      <c r="C4089" s="37" t="s">
        <v>2348</v>
      </c>
      <c r="D4089" s="37" t="s">
        <v>2351</v>
      </c>
    </row>
    <row r="4090" spans="1:4" ht="14.25">
      <c r="A4090" s="37">
        <v>42700</v>
      </c>
      <c r="B4090" s="37" t="s">
        <v>24758</v>
      </c>
      <c r="C4090" s="37" t="s">
        <v>2348</v>
      </c>
      <c r="D4090" s="37" t="s">
        <v>2351</v>
      </c>
    </row>
    <row r="4091" spans="1:4" ht="14.25">
      <c r="A4091" s="37">
        <v>37743</v>
      </c>
      <c r="B4091" s="37" t="s">
        <v>24759</v>
      </c>
      <c r="C4091" s="37" t="s">
        <v>2348</v>
      </c>
      <c r="D4091" s="37" t="s">
        <v>2351</v>
      </c>
    </row>
    <row r="4092" spans="1:4" ht="14.25">
      <c r="A4092" s="37">
        <v>37744</v>
      </c>
      <c r="B4092" s="37" t="s">
        <v>24760</v>
      </c>
      <c r="C4092" s="37" t="s">
        <v>2348</v>
      </c>
      <c r="D4092" s="37" t="s">
        <v>2351</v>
      </c>
    </row>
    <row r="4093" spans="1:4" ht="14.25">
      <c r="A4093" s="37">
        <v>37741</v>
      </c>
      <c r="B4093" s="37" t="s">
        <v>24761</v>
      </c>
      <c r="C4093" s="37" t="s">
        <v>2348</v>
      </c>
      <c r="D4093" s="37" t="s">
        <v>2351</v>
      </c>
    </row>
    <row r="4094" spans="1:4" ht="14.25">
      <c r="A4094" s="37">
        <v>39396</v>
      </c>
      <c r="B4094" s="37" t="s">
        <v>24762</v>
      </c>
      <c r="C4094" s="37" t="s">
        <v>2348</v>
      </c>
      <c r="D4094" s="37" t="s">
        <v>2351</v>
      </c>
    </row>
    <row r="4095" spans="1:4" ht="14.25">
      <c r="A4095" s="37">
        <v>39392</v>
      </c>
      <c r="B4095" s="37" t="s">
        <v>24763</v>
      </c>
      <c r="C4095" s="37" t="s">
        <v>2348</v>
      </c>
      <c r="D4095" s="37" t="s">
        <v>2351</v>
      </c>
    </row>
    <row r="4096" spans="1:4" ht="14.25">
      <c r="A4096" s="37">
        <v>39393</v>
      </c>
      <c r="B4096" s="37" t="s">
        <v>24764</v>
      </c>
      <c r="C4096" s="37" t="s">
        <v>2348</v>
      </c>
      <c r="D4096" s="37" t="s">
        <v>2351</v>
      </c>
    </row>
    <row r="4097" spans="1:4" ht="14.25">
      <c r="A4097" s="37">
        <v>39394</v>
      </c>
      <c r="B4097" s="37" t="s">
        <v>24765</v>
      </c>
      <c r="C4097" s="37" t="s">
        <v>2348</v>
      </c>
      <c r="D4097" s="37" t="s">
        <v>2351</v>
      </c>
    </row>
    <row r="4098" spans="1:4" ht="14.25">
      <c r="A4098" s="37">
        <v>39395</v>
      </c>
      <c r="B4098" s="37" t="s">
        <v>24766</v>
      </c>
      <c r="C4098" s="37" t="s">
        <v>2348</v>
      </c>
      <c r="D4098" s="37" t="s">
        <v>2351</v>
      </c>
    </row>
    <row r="4099" spans="1:4" ht="14.25">
      <c r="A4099" s="37">
        <v>14618</v>
      </c>
      <c r="B4099" s="37" t="s">
        <v>24767</v>
      </c>
      <c r="C4099" s="37" t="s">
        <v>2348</v>
      </c>
      <c r="D4099" s="37" t="s">
        <v>2349</v>
      </c>
    </row>
    <row r="4100" spans="1:4" ht="14.25">
      <c r="A4100" s="37">
        <v>40269</v>
      </c>
      <c r="B4100" s="37" t="s">
        <v>24768</v>
      </c>
      <c r="C4100" s="37" t="s">
        <v>2348</v>
      </c>
      <c r="D4100" s="37" t="s">
        <v>2349</v>
      </c>
    </row>
    <row r="4101" spans="1:4" ht="14.25">
      <c r="A4101" s="37">
        <v>6110</v>
      </c>
      <c r="B4101" s="37" t="s">
        <v>24769</v>
      </c>
      <c r="C4101" s="37" t="s">
        <v>2352</v>
      </c>
      <c r="D4101" s="37" t="s">
        <v>2349</v>
      </c>
    </row>
    <row r="4102" spans="1:4" ht="14.25">
      <c r="A4102" s="37">
        <v>40910</v>
      </c>
      <c r="B4102" s="37" t="s">
        <v>24770</v>
      </c>
      <c r="C4102" s="37" t="s">
        <v>2369</v>
      </c>
      <c r="D4102" s="37" t="s">
        <v>2349</v>
      </c>
    </row>
    <row r="4103" spans="1:4" ht="14.25">
      <c r="A4103" s="37">
        <v>6111</v>
      </c>
      <c r="B4103" s="37" t="s">
        <v>24771</v>
      </c>
      <c r="C4103" s="37" t="s">
        <v>2352</v>
      </c>
      <c r="D4103" s="37" t="s">
        <v>2353</v>
      </c>
    </row>
    <row r="4104" spans="1:4" ht="14.25">
      <c r="A4104" s="37">
        <v>41084</v>
      </c>
      <c r="B4104" s="37" t="s">
        <v>24772</v>
      </c>
      <c r="C4104" s="37" t="s">
        <v>2369</v>
      </c>
      <c r="D4104" s="37" t="s">
        <v>2349</v>
      </c>
    </row>
    <row r="4105" spans="1:4" ht="14.25">
      <c r="A4105" s="37">
        <v>44535</v>
      </c>
      <c r="B4105" s="37" t="s">
        <v>28112</v>
      </c>
      <c r="C4105" s="37" t="s">
        <v>2368</v>
      </c>
      <c r="D4105" s="37" t="s">
        <v>2349</v>
      </c>
    </row>
    <row r="4106" spans="1:4" ht="14.25">
      <c r="A4106" s="37">
        <v>38637</v>
      </c>
      <c r="B4106" s="37" t="s">
        <v>24773</v>
      </c>
      <c r="C4106" s="37" t="s">
        <v>2348</v>
      </c>
      <c r="D4106" s="37" t="s">
        <v>2349</v>
      </c>
    </row>
    <row r="4107" spans="1:4" ht="14.25">
      <c r="A4107" s="37">
        <v>6150</v>
      </c>
      <c r="B4107" s="37" t="s">
        <v>24774</v>
      </c>
      <c r="C4107" s="37" t="s">
        <v>2348</v>
      </c>
      <c r="D4107" s="37" t="s">
        <v>2349</v>
      </c>
    </row>
    <row r="4108" spans="1:4" ht="14.25">
      <c r="A4108" s="37">
        <v>6136</v>
      </c>
      <c r="B4108" s="37" t="s">
        <v>24775</v>
      </c>
      <c r="C4108" s="37" t="s">
        <v>2348</v>
      </c>
      <c r="D4108" s="37" t="s">
        <v>2353</v>
      </c>
    </row>
    <row r="4109" spans="1:4" ht="14.25">
      <c r="A4109" s="37">
        <v>38638</v>
      </c>
      <c r="B4109" s="37" t="s">
        <v>24776</v>
      </c>
      <c r="C4109" s="37" t="s">
        <v>2348</v>
      </c>
      <c r="D4109" s="37" t="s">
        <v>2349</v>
      </c>
    </row>
    <row r="4110" spans="1:4" ht="14.25">
      <c r="A4110" s="37">
        <v>20262</v>
      </c>
      <c r="B4110" s="37" t="s">
        <v>24777</v>
      </c>
      <c r="C4110" s="37" t="s">
        <v>2348</v>
      </c>
      <c r="D4110" s="37" t="s">
        <v>2349</v>
      </c>
    </row>
    <row r="4111" spans="1:4" ht="14.25">
      <c r="A4111" s="37">
        <v>6148</v>
      </c>
      <c r="B4111" s="37" t="s">
        <v>24778</v>
      </c>
      <c r="C4111" s="37" t="s">
        <v>2348</v>
      </c>
      <c r="D4111" s="37" t="s">
        <v>2353</v>
      </c>
    </row>
    <row r="4112" spans="1:4" ht="14.25">
      <c r="A4112" s="37">
        <v>6145</v>
      </c>
      <c r="B4112" s="37" t="s">
        <v>24779</v>
      </c>
      <c r="C4112" s="37" t="s">
        <v>2348</v>
      </c>
      <c r="D4112" s="37" t="s">
        <v>2349</v>
      </c>
    </row>
    <row r="4113" spans="1:4" ht="14.25">
      <c r="A4113" s="37">
        <v>6149</v>
      </c>
      <c r="B4113" s="37" t="s">
        <v>24780</v>
      </c>
      <c r="C4113" s="37" t="s">
        <v>2348</v>
      </c>
      <c r="D4113" s="37" t="s">
        <v>2349</v>
      </c>
    </row>
    <row r="4114" spans="1:4" ht="14.25">
      <c r="A4114" s="37">
        <v>6146</v>
      </c>
      <c r="B4114" s="37" t="s">
        <v>24781</v>
      </c>
      <c r="C4114" s="37" t="s">
        <v>2348</v>
      </c>
      <c r="D4114" s="37" t="s">
        <v>2349</v>
      </c>
    </row>
    <row r="4115" spans="1:4" ht="14.25">
      <c r="A4115" s="37">
        <v>44536</v>
      </c>
      <c r="B4115" s="37" t="s">
        <v>28113</v>
      </c>
      <c r="C4115" s="37" t="s">
        <v>2356</v>
      </c>
      <c r="D4115" s="37" t="s">
        <v>2349</v>
      </c>
    </row>
    <row r="4116" spans="1:4" ht="14.25">
      <c r="A4116" s="37">
        <v>39961</v>
      </c>
      <c r="B4116" s="37" t="s">
        <v>24782</v>
      </c>
      <c r="C4116" s="37" t="s">
        <v>2348</v>
      </c>
      <c r="D4116" s="37" t="s">
        <v>2349</v>
      </c>
    </row>
    <row r="4117" spans="1:4" ht="14.25">
      <c r="A4117" s="37">
        <v>42433</v>
      </c>
      <c r="B4117" s="37" t="s">
        <v>24783</v>
      </c>
      <c r="C4117" s="37" t="s">
        <v>2348</v>
      </c>
      <c r="D4117" s="37" t="s">
        <v>2351</v>
      </c>
    </row>
    <row r="4118" spans="1:4" ht="14.25">
      <c r="A4118" s="37">
        <v>42434</v>
      </c>
      <c r="B4118" s="37" t="s">
        <v>24784</v>
      </c>
      <c r="C4118" s="37" t="s">
        <v>2348</v>
      </c>
      <c r="D4118" s="37" t="s">
        <v>2351</v>
      </c>
    </row>
    <row r="4119" spans="1:4" ht="14.25">
      <c r="A4119" s="37">
        <v>42435</v>
      </c>
      <c r="B4119" s="37" t="s">
        <v>24785</v>
      </c>
      <c r="C4119" s="37" t="s">
        <v>2348</v>
      </c>
      <c r="D4119" s="37" t="s">
        <v>2351</v>
      </c>
    </row>
    <row r="4120" spans="1:4" ht="14.25">
      <c r="A4120" s="37">
        <v>38061</v>
      </c>
      <c r="B4120" s="37" t="s">
        <v>24786</v>
      </c>
      <c r="C4120" s="37" t="s">
        <v>2348</v>
      </c>
      <c r="D4120" s="37" t="s">
        <v>2349</v>
      </c>
    </row>
    <row r="4121" spans="1:4" ht="14.25">
      <c r="A4121" s="37">
        <v>20250</v>
      </c>
      <c r="B4121" s="37" t="s">
        <v>24787</v>
      </c>
      <c r="C4121" s="37" t="s">
        <v>2356</v>
      </c>
      <c r="D4121" s="37" t="s">
        <v>2351</v>
      </c>
    </row>
    <row r="4122" spans="1:4" ht="14.25">
      <c r="A4122" s="37">
        <v>13388</v>
      </c>
      <c r="B4122" s="37" t="s">
        <v>24788</v>
      </c>
      <c r="C4122" s="37" t="s">
        <v>2356</v>
      </c>
      <c r="D4122" s="37" t="s">
        <v>2349</v>
      </c>
    </row>
    <row r="4123" spans="1:4" ht="14.25">
      <c r="A4123" s="37">
        <v>39914</v>
      </c>
      <c r="B4123" s="37" t="s">
        <v>24789</v>
      </c>
      <c r="C4123" s="37" t="s">
        <v>2356</v>
      </c>
      <c r="D4123" s="37" t="s">
        <v>2351</v>
      </c>
    </row>
    <row r="4124" spans="1:4" ht="14.25">
      <c r="A4124" s="37">
        <v>12732</v>
      </c>
      <c r="B4124" s="37" t="s">
        <v>24790</v>
      </c>
      <c r="C4124" s="37" t="s">
        <v>2348</v>
      </c>
      <c r="D4124" s="37" t="s">
        <v>2351</v>
      </c>
    </row>
    <row r="4125" spans="1:4" ht="14.25">
      <c r="A4125" s="37">
        <v>6160</v>
      </c>
      <c r="B4125" s="37" t="s">
        <v>24791</v>
      </c>
      <c r="C4125" s="37" t="s">
        <v>2352</v>
      </c>
      <c r="D4125" s="37" t="s">
        <v>2353</v>
      </c>
    </row>
    <row r="4126" spans="1:4" ht="14.25">
      <c r="A4126" s="37">
        <v>41087</v>
      </c>
      <c r="B4126" s="37" t="s">
        <v>24792</v>
      </c>
      <c r="C4126" s="37" t="s">
        <v>2369</v>
      </c>
      <c r="D4126" s="37" t="s">
        <v>2349</v>
      </c>
    </row>
    <row r="4127" spans="1:4" ht="14.25">
      <c r="A4127" s="37">
        <v>6166</v>
      </c>
      <c r="B4127" s="37" t="s">
        <v>24793</v>
      </c>
      <c r="C4127" s="37" t="s">
        <v>2352</v>
      </c>
      <c r="D4127" s="37" t="s">
        <v>2349</v>
      </c>
    </row>
    <row r="4128" spans="1:4" ht="14.25">
      <c r="A4128" s="37">
        <v>41088</v>
      </c>
      <c r="B4128" s="37" t="s">
        <v>24794</v>
      </c>
      <c r="C4128" s="37" t="s">
        <v>2369</v>
      </c>
      <c r="D4128" s="37" t="s">
        <v>2349</v>
      </c>
    </row>
    <row r="4129" spans="1:4" ht="14.25">
      <c r="A4129" s="37">
        <v>20232</v>
      </c>
      <c r="B4129" s="37" t="s">
        <v>24795</v>
      </c>
      <c r="C4129" s="37" t="s">
        <v>2355</v>
      </c>
      <c r="D4129" s="37" t="s">
        <v>2349</v>
      </c>
    </row>
    <row r="4130" spans="1:4" ht="14.25">
      <c r="A4130" s="37">
        <v>10856</v>
      </c>
      <c r="B4130" s="37" t="s">
        <v>24796</v>
      </c>
      <c r="C4130" s="37" t="s">
        <v>2355</v>
      </c>
      <c r="D4130" s="37" t="s">
        <v>2351</v>
      </c>
    </row>
    <row r="4131" spans="1:4" ht="14.25">
      <c r="A4131" s="37">
        <v>4828</v>
      </c>
      <c r="B4131" s="37" t="s">
        <v>24797</v>
      </c>
      <c r="C4131" s="37" t="s">
        <v>2355</v>
      </c>
      <c r="D4131" s="37" t="s">
        <v>2349</v>
      </c>
    </row>
    <row r="4132" spans="1:4" ht="14.25">
      <c r="A4132" s="37">
        <v>20249</v>
      </c>
      <c r="B4132" s="37" t="s">
        <v>24798</v>
      </c>
      <c r="C4132" s="37" t="s">
        <v>2355</v>
      </c>
      <c r="D4132" s="37" t="s">
        <v>2349</v>
      </c>
    </row>
    <row r="4133" spans="1:4" ht="14.25">
      <c r="A4133" s="37">
        <v>11609</v>
      </c>
      <c r="B4133" s="37" t="s">
        <v>24799</v>
      </c>
      <c r="C4133" s="37" t="s">
        <v>2363</v>
      </c>
      <c r="D4133" s="37" t="s">
        <v>2349</v>
      </c>
    </row>
    <row r="4134" spans="1:4" ht="14.25">
      <c r="A4134" s="37">
        <v>20083</v>
      </c>
      <c r="B4134" s="37" t="s">
        <v>24800</v>
      </c>
      <c r="C4134" s="37" t="s">
        <v>2348</v>
      </c>
      <c r="D4134" s="37" t="s">
        <v>2349</v>
      </c>
    </row>
    <row r="4135" spans="1:4" ht="14.25">
      <c r="A4135" s="37">
        <v>10691</v>
      </c>
      <c r="B4135" s="37" t="s">
        <v>24801</v>
      </c>
      <c r="C4135" s="37" t="s">
        <v>2363</v>
      </c>
      <c r="D4135" s="37" t="s">
        <v>2349</v>
      </c>
    </row>
    <row r="4136" spans="1:4" ht="14.25">
      <c r="A4136" s="37">
        <v>12295</v>
      </c>
      <c r="B4136" s="37" t="s">
        <v>24802</v>
      </c>
      <c r="C4136" s="37" t="s">
        <v>2348</v>
      </c>
      <c r="D4136" s="37" t="s">
        <v>2349</v>
      </c>
    </row>
    <row r="4137" spans="1:4" ht="14.25">
      <c r="A4137" s="37">
        <v>12296</v>
      </c>
      <c r="B4137" s="37" t="s">
        <v>24803</v>
      </c>
      <c r="C4137" s="37" t="s">
        <v>2348</v>
      </c>
      <c r="D4137" s="37" t="s">
        <v>2349</v>
      </c>
    </row>
    <row r="4138" spans="1:4" ht="14.25">
      <c r="A4138" s="37">
        <v>12294</v>
      </c>
      <c r="B4138" s="37" t="s">
        <v>24804</v>
      </c>
      <c r="C4138" s="37" t="s">
        <v>2348</v>
      </c>
      <c r="D4138" s="37" t="s">
        <v>2349</v>
      </c>
    </row>
    <row r="4139" spans="1:4" ht="14.25">
      <c r="A4139" s="37">
        <v>14543</v>
      </c>
      <c r="B4139" s="37" t="s">
        <v>24805</v>
      </c>
      <c r="C4139" s="37" t="s">
        <v>2348</v>
      </c>
      <c r="D4139" s="37" t="s">
        <v>2349</v>
      </c>
    </row>
    <row r="4140" spans="1:4" ht="14.25">
      <c r="A4140" s="37">
        <v>13329</v>
      </c>
      <c r="B4140" s="37" t="s">
        <v>24806</v>
      </c>
      <c r="C4140" s="37" t="s">
        <v>2348</v>
      </c>
      <c r="D4140" s="37" t="s">
        <v>2353</v>
      </c>
    </row>
    <row r="4141" spans="1:4" ht="14.25">
      <c r="A4141" s="37">
        <v>21044</v>
      </c>
      <c r="B4141" s="37" t="s">
        <v>24807</v>
      </c>
      <c r="C4141" s="37" t="s">
        <v>2348</v>
      </c>
      <c r="D4141" s="37" t="s">
        <v>2349</v>
      </c>
    </row>
    <row r="4142" spans="1:4" ht="14.25">
      <c r="A4142" s="37">
        <v>21045</v>
      </c>
      <c r="B4142" s="37" t="s">
        <v>24808</v>
      </c>
      <c r="C4142" s="37" t="s">
        <v>2348</v>
      </c>
      <c r="D4142" s="37" t="s">
        <v>2349</v>
      </c>
    </row>
    <row r="4143" spans="1:4" ht="14.25">
      <c r="A4143" s="37">
        <v>21040</v>
      </c>
      <c r="B4143" s="37" t="s">
        <v>24809</v>
      </c>
      <c r="C4143" s="37" t="s">
        <v>2348</v>
      </c>
      <c r="D4143" s="37" t="s">
        <v>2353</v>
      </c>
    </row>
    <row r="4144" spans="1:4" ht="14.25">
      <c r="A4144" s="37">
        <v>21041</v>
      </c>
      <c r="B4144" s="37" t="s">
        <v>24810</v>
      </c>
      <c r="C4144" s="37" t="s">
        <v>2348</v>
      </c>
      <c r="D4144" s="37" t="s">
        <v>2349</v>
      </c>
    </row>
    <row r="4145" spans="1:4" ht="14.25">
      <c r="A4145" s="37">
        <v>21047</v>
      </c>
      <c r="B4145" s="37" t="s">
        <v>24811</v>
      </c>
      <c r="C4145" s="37" t="s">
        <v>2348</v>
      </c>
      <c r="D4145" s="37" t="s">
        <v>2349</v>
      </c>
    </row>
    <row r="4146" spans="1:4" ht="14.25">
      <c r="A4146" s="37">
        <v>21043</v>
      </c>
      <c r="B4146" s="37" t="s">
        <v>24812</v>
      </c>
      <c r="C4146" s="37" t="s">
        <v>2348</v>
      </c>
      <c r="D4146" s="37" t="s">
        <v>2349</v>
      </c>
    </row>
    <row r="4147" spans="1:4" ht="14.25">
      <c r="A4147" s="37">
        <v>21042</v>
      </c>
      <c r="B4147" s="37" t="s">
        <v>24813</v>
      </c>
      <c r="C4147" s="37" t="s">
        <v>2348</v>
      </c>
      <c r="D4147" s="37" t="s">
        <v>2349</v>
      </c>
    </row>
    <row r="4148" spans="1:4" ht="14.25">
      <c r="A4148" s="37">
        <v>14149</v>
      </c>
      <c r="B4148" s="37" t="s">
        <v>24814</v>
      </c>
      <c r="C4148" s="37" t="s">
        <v>2465</v>
      </c>
      <c r="D4148" s="37" t="s">
        <v>2351</v>
      </c>
    </row>
    <row r="4149" spans="1:4" ht="14.25">
      <c r="A4149" s="37">
        <v>38099</v>
      </c>
      <c r="B4149" s="37" t="s">
        <v>24815</v>
      </c>
      <c r="C4149" s="37" t="s">
        <v>2348</v>
      </c>
      <c r="D4149" s="37" t="s">
        <v>2349</v>
      </c>
    </row>
    <row r="4150" spans="1:4" ht="14.25">
      <c r="A4150" s="37">
        <v>38100</v>
      </c>
      <c r="B4150" s="37" t="s">
        <v>24816</v>
      </c>
      <c r="C4150" s="37" t="s">
        <v>2348</v>
      </c>
      <c r="D4150" s="37" t="s">
        <v>2349</v>
      </c>
    </row>
    <row r="4151" spans="1:4" ht="14.25">
      <c r="A4151" s="37">
        <v>20061</v>
      </c>
      <c r="B4151" s="37" t="s">
        <v>24817</v>
      </c>
      <c r="C4151" s="37" t="s">
        <v>2348</v>
      </c>
      <c r="D4151" s="37" t="s">
        <v>2351</v>
      </c>
    </row>
    <row r="4152" spans="1:4" ht="14.25">
      <c r="A4152" s="37">
        <v>7576</v>
      </c>
      <c r="B4152" s="37" t="s">
        <v>24818</v>
      </c>
      <c r="C4152" s="37" t="s">
        <v>2348</v>
      </c>
      <c r="D4152" s="37" t="s">
        <v>2349</v>
      </c>
    </row>
    <row r="4153" spans="1:4" ht="14.25">
      <c r="A4153" s="37">
        <v>3384</v>
      </c>
      <c r="B4153" s="37" t="s">
        <v>24819</v>
      </c>
      <c r="C4153" s="37" t="s">
        <v>2348</v>
      </c>
      <c r="D4153" s="37" t="s">
        <v>2349</v>
      </c>
    </row>
    <row r="4154" spans="1:4" ht="14.25">
      <c r="A4154" s="37">
        <v>7572</v>
      </c>
      <c r="B4154" s="37" t="s">
        <v>24820</v>
      </c>
      <c r="C4154" s="37" t="s">
        <v>2348</v>
      </c>
      <c r="D4154" s="37" t="s">
        <v>2349</v>
      </c>
    </row>
    <row r="4155" spans="1:4" ht="14.25">
      <c r="A4155" s="37">
        <v>3396</v>
      </c>
      <c r="B4155" s="37" t="s">
        <v>24821</v>
      </c>
      <c r="C4155" s="37" t="s">
        <v>2348</v>
      </c>
      <c r="D4155" s="37" t="s">
        <v>2349</v>
      </c>
    </row>
    <row r="4156" spans="1:4" ht="14.25">
      <c r="A4156" s="37">
        <v>37590</v>
      </c>
      <c r="B4156" s="37" t="s">
        <v>24822</v>
      </c>
      <c r="C4156" s="37" t="s">
        <v>2348</v>
      </c>
      <c r="D4156" s="37" t="s">
        <v>2349</v>
      </c>
    </row>
    <row r="4157" spans="1:4" ht="14.25">
      <c r="A4157" s="37">
        <v>37591</v>
      </c>
      <c r="B4157" s="37" t="s">
        <v>24823</v>
      </c>
      <c r="C4157" s="37" t="s">
        <v>2348</v>
      </c>
      <c r="D4157" s="37" t="s">
        <v>2349</v>
      </c>
    </row>
    <row r="4158" spans="1:4" ht="14.25">
      <c r="A4158" s="37">
        <v>12626</v>
      </c>
      <c r="B4158" s="37" t="s">
        <v>24824</v>
      </c>
      <c r="C4158" s="37" t="s">
        <v>2348</v>
      </c>
      <c r="D4158" s="37" t="s">
        <v>2351</v>
      </c>
    </row>
    <row r="4159" spans="1:4" ht="14.25">
      <c r="A4159" s="37">
        <v>11033</v>
      </c>
      <c r="B4159" s="37" t="s">
        <v>24825</v>
      </c>
      <c r="C4159" s="37" t="s">
        <v>2348</v>
      </c>
      <c r="D4159" s="37" t="s">
        <v>2349</v>
      </c>
    </row>
    <row r="4160" spans="1:4" ht="14.25">
      <c r="A4160" s="37">
        <v>390</v>
      </c>
      <c r="B4160" s="37" t="s">
        <v>24826</v>
      </c>
      <c r="C4160" s="37" t="s">
        <v>2348</v>
      </c>
      <c r="D4160" s="37" t="s">
        <v>2349</v>
      </c>
    </row>
    <row r="4161" spans="1:4" ht="14.25">
      <c r="A4161" s="37">
        <v>42436</v>
      </c>
      <c r="B4161" s="37" t="s">
        <v>24827</v>
      </c>
      <c r="C4161" s="37" t="s">
        <v>2348</v>
      </c>
      <c r="D4161" s="37" t="s">
        <v>2351</v>
      </c>
    </row>
    <row r="4162" spans="1:4" ht="14.25">
      <c r="A4162" s="37">
        <v>6193</v>
      </c>
      <c r="B4162" s="37" t="s">
        <v>24828</v>
      </c>
      <c r="C4162" s="37" t="s">
        <v>2355</v>
      </c>
      <c r="D4162" s="37" t="s">
        <v>2349</v>
      </c>
    </row>
    <row r="4163" spans="1:4" ht="14.25">
      <c r="A4163" s="37">
        <v>6194</v>
      </c>
      <c r="B4163" s="37" t="s">
        <v>24829</v>
      </c>
      <c r="C4163" s="37" t="s">
        <v>2355</v>
      </c>
      <c r="D4163" s="37" t="s">
        <v>2349</v>
      </c>
    </row>
    <row r="4164" spans="1:4" ht="14.25">
      <c r="A4164" s="37">
        <v>10567</v>
      </c>
      <c r="B4164" s="37" t="s">
        <v>24830</v>
      </c>
      <c r="C4164" s="37" t="s">
        <v>2355</v>
      </c>
      <c r="D4164" s="37" t="s">
        <v>2349</v>
      </c>
    </row>
    <row r="4165" spans="1:4" ht="14.25">
      <c r="A4165" s="37">
        <v>6212</v>
      </c>
      <c r="B4165" s="37" t="s">
        <v>24831</v>
      </c>
      <c r="C4165" s="37" t="s">
        <v>2355</v>
      </c>
      <c r="D4165" s="37" t="s">
        <v>2353</v>
      </c>
    </row>
    <row r="4166" spans="1:4" ht="14.25">
      <c r="A4166" s="37">
        <v>3993</v>
      </c>
      <c r="B4166" s="37" t="s">
        <v>24832</v>
      </c>
      <c r="C4166" s="37" t="s">
        <v>2350</v>
      </c>
      <c r="D4166" s="37" t="s">
        <v>2349</v>
      </c>
    </row>
    <row r="4167" spans="1:4" ht="14.25">
      <c r="A4167" s="37">
        <v>3990</v>
      </c>
      <c r="B4167" s="37" t="s">
        <v>24833</v>
      </c>
      <c r="C4167" s="37" t="s">
        <v>2355</v>
      </c>
      <c r="D4167" s="37" t="s">
        <v>2349</v>
      </c>
    </row>
    <row r="4168" spans="1:4" ht="14.25">
      <c r="A4168" s="37">
        <v>3992</v>
      </c>
      <c r="B4168" s="37" t="s">
        <v>24834</v>
      </c>
      <c r="C4168" s="37" t="s">
        <v>2355</v>
      </c>
      <c r="D4168" s="37" t="s">
        <v>2349</v>
      </c>
    </row>
    <row r="4169" spans="1:4" ht="14.25">
      <c r="A4169" s="37">
        <v>6178</v>
      </c>
      <c r="B4169" s="37" t="s">
        <v>24835</v>
      </c>
      <c r="C4169" s="37" t="s">
        <v>2350</v>
      </c>
      <c r="D4169" s="37" t="s">
        <v>2349</v>
      </c>
    </row>
    <row r="4170" spans="1:4" ht="14.25">
      <c r="A4170" s="37">
        <v>6180</v>
      </c>
      <c r="B4170" s="37" t="s">
        <v>24836</v>
      </c>
      <c r="C4170" s="37" t="s">
        <v>2350</v>
      </c>
      <c r="D4170" s="37" t="s">
        <v>2353</v>
      </c>
    </row>
    <row r="4171" spans="1:4" ht="14.25">
      <c r="A4171" s="37">
        <v>6182</v>
      </c>
      <c r="B4171" s="37" t="s">
        <v>24837</v>
      </c>
      <c r="C4171" s="37" t="s">
        <v>2350</v>
      </c>
      <c r="D4171" s="37" t="s">
        <v>2349</v>
      </c>
    </row>
    <row r="4172" spans="1:4" ht="14.25">
      <c r="A4172" s="37">
        <v>43614</v>
      </c>
      <c r="B4172" s="37" t="s">
        <v>24838</v>
      </c>
      <c r="C4172" s="37" t="s">
        <v>2355</v>
      </c>
      <c r="D4172" s="37" t="s">
        <v>2349</v>
      </c>
    </row>
    <row r="4173" spans="1:4" ht="14.25">
      <c r="A4173" s="37">
        <v>6189</v>
      </c>
      <c r="B4173" s="37" t="s">
        <v>24839</v>
      </c>
      <c r="C4173" s="37" t="s">
        <v>2355</v>
      </c>
      <c r="D4173" s="37" t="s">
        <v>2349</v>
      </c>
    </row>
    <row r="4174" spans="1:4" ht="14.25">
      <c r="A4174" s="37">
        <v>6214</v>
      </c>
      <c r="B4174" s="37" t="s">
        <v>24840</v>
      </c>
      <c r="C4174" s="37" t="s">
        <v>2350</v>
      </c>
      <c r="D4174" s="37" t="s">
        <v>2349</v>
      </c>
    </row>
    <row r="4175" spans="1:4" ht="14.25">
      <c r="A4175" s="37">
        <v>36153</v>
      </c>
      <c r="B4175" s="37" t="s">
        <v>24841</v>
      </c>
      <c r="C4175" s="37" t="s">
        <v>2348</v>
      </c>
      <c r="D4175" s="37" t="s">
        <v>2349</v>
      </c>
    </row>
    <row r="4176" spans="1:4" ht="14.25">
      <c r="A4176" s="37">
        <v>10740</v>
      </c>
      <c r="B4176" s="37" t="s">
        <v>24842</v>
      </c>
      <c r="C4176" s="37" t="s">
        <v>2348</v>
      </c>
      <c r="D4176" s="37" t="s">
        <v>2351</v>
      </c>
    </row>
    <row r="4177" spans="1:4" ht="14.25">
      <c r="A4177" s="37">
        <v>13914</v>
      </c>
      <c r="B4177" s="37" t="s">
        <v>24843</v>
      </c>
      <c r="C4177" s="37" t="s">
        <v>2348</v>
      </c>
      <c r="D4177" s="37" t="s">
        <v>2351</v>
      </c>
    </row>
    <row r="4178" spans="1:4" ht="14.25">
      <c r="A4178" s="37">
        <v>10742</v>
      </c>
      <c r="B4178" s="37" t="s">
        <v>24844</v>
      </c>
      <c r="C4178" s="37" t="s">
        <v>2348</v>
      </c>
      <c r="D4178" s="37" t="s">
        <v>2351</v>
      </c>
    </row>
    <row r="4179" spans="1:4" ht="14.25">
      <c r="A4179" s="37">
        <v>38465</v>
      </c>
      <c r="B4179" s="37" t="s">
        <v>24845</v>
      </c>
      <c r="C4179" s="37" t="s">
        <v>2348</v>
      </c>
      <c r="D4179" s="37" t="s">
        <v>2349</v>
      </c>
    </row>
    <row r="4180" spans="1:4" ht="14.25">
      <c r="A4180" s="37">
        <v>7543</v>
      </c>
      <c r="B4180" s="37" t="s">
        <v>24846</v>
      </c>
      <c r="C4180" s="37" t="s">
        <v>2348</v>
      </c>
      <c r="D4180" s="37" t="s">
        <v>2349</v>
      </c>
    </row>
    <row r="4181" spans="1:4" ht="14.25">
      <c r="A4181" s="37">
        <v>43427</v>
      </c>
      <c r="B4181" s="37" t="s">
        <v>24847</v>
      </c>
      <c r="C4181" s="37" t="s">
        <v>2348</v>
      </c>
      <c r="D4181" s="37" t="s">
        <v>2349</v>
      </c>
    </row>
    <row r="4182" spans="1:4" ht="14.25">
      <c r="A4182" s="37">
        <v>41613</v>
      </c>
      <c r="B4182" s="37" t="s">
        <v>24848</v>
      </c>
      <c r="C4182" s="37" t="s">
        <v>2348</v>
      </c>
      <c r="D4182" s="37" t="s">
        <v>2349</v>
      </c>
    </row>
    <row r="4183" spans="1:4" ht="14.25">
      <c r="A4183" s="37">
        <v>41614</v>
      </c>
      <c r="B4183" s="37" t="s">
        <v>24849</v>
      </c>
      <c r="C4183" s="37" t="s">
        <v>2348</v>
      </c>
      <c r="D4183" s="37" t="s">
        <v>2349</v>
      </c>
    </row>
    <row r="4184" spans="1:4" ht="14.25">
      <c r="A4184" s="37">
        <v>41615</v>
      </c>
      <c r="B4184" s="37" t="s">
        <v>24850</v>
      </c>
      <c r="C4184" s="37" t="s">
        <v>2348</v>
      </c>
      <c r="D4184" s="37" t="s">
        <v>2349</v>
      </c>
    </row>
    <row r="4185" spans="1:4" ht="14.25">
      <c r="A4185" s="37">
        <v>41616</v>
      </c>
      <c r="B4185" s="37" t="s">
        <v>24851</v>
      </c>
      <c r="C4185" s="37" t="s">
        <v>2348</v>
      </c>
      <c r="D4185" s="37" t="s">
        <v>2349</v>
      </c>
    </row>
    <row r="4186" spans="1:4" ht="14.25">
      <c r="A4186" s="37">
        <v>41617</v>
      </c>
      <c r="B4186" s="37" t="s">
        <v>24852</v>
      </c>
      <c r="C4186" s="37" t="s">
        <v>2348</v>
      </c>
      <c r="D4186" s="37" t="s">
        <v>2349</v>
      </c>
    </row>
    <row r="4187" spans="1:4" ht="14.25">
      <c r="A4187" s="37">
        <v>41618</v>
      </c>
      <c r="B4187" s="37" t="s">
        <v>24853</v>
      </c>
      <c r="C4187" s="37" t="s">
        <v>2348</v>
      </c>
      <c r="D4187" s="37" t="s">
        <v>2349</v>
      </c>
    </row>
    <row r="4188" spans="1:4" ht="14.25">
      <c r="A4188" s="37">
        <v>43428</v>
      </c>
      <c r="B4188" s="37" t="s">
        <v>24854</v>
      </c>
      <c r="C4188" s="37" t="s">
        <v>2348</v>
      </c>
      <c r="D4188" s="37" t="s">
        <v>2349</v>
      </c>
    </row>
    <row r="4189" spans="1:4" ht="14.25">
      <c r="A4189" s="37">
        <v>41619</v>
      </c>
      <c r="B4189" s="37" t="s">
        <v>24855</v>
      </c>
      <c r="C4189" s="37" t="s">
        <v>2348</v>
      </c>
      <c r="D4189" s="37" t="s">
        <v>2349</v>
      </c>
    </row>
    <row r="4190" spans="1:4" ht="14.25">
      <c r="A4190" s="37">
        <v>41620</v>
      </c>
      <c r="B4190" s="37" t="s">
        <v>24856</v>
      </c>
      <c r="C4190" s="37" t="s">
        <v>2348</v>
      </c>
      <c r="D4190" s="37" t="s">
        <v>2349</v>
      </c>
    </row>
    <row r="4191" spans="1:4" ht="14.25">
      <c r="A4191" s="37">
        <v>41622</v>
      </c>
      <c r="B4191" s="37" t="s">
        <v>24857</v>
      </c>
      <c r="C4191" s="37" t="s">
        <v>2348</v>
      </c>
      <c r="D4191" s="37" t="s">
        <v>2349</v>
      </c>
    </row>
    <row r="4192" spans="1:4" ht="14.25">
      <c r="A4192" s="37">
        <v>41623</v>
      </c>
      <c r="B4192" s="37" t="s">
        <v>24858</v>
      </c>
      <c r="C4192" s="37" t="s">
        <v>2348</v>
      </c>
      <c r="D4192" s="37" t="s">
        <v>2349</v>
      </c>
    </row>
    <row r="4193" spans="1:4" ht="14.25">
      <c r="A4193" s="37">
        <v>41624</v>
      </c>
      <c r="B4193" s="37" t="s">
        <v>24859</v>
      </c>
      <c r="C4193" s="37" t="s">
        <v>2348</v>
      </c>
      <c r="D4193" s="37" t="s">
        <v>2349</v>
      </c>
    </row>
    <row r="4194" spans="1:4" ht="14.25">
      <c r="A4194" s="37">
        <v>41625</v>
      </c>
      <c r="B4194" s="37" t="s">
        <v>24860</v>
      </c>
      <c r="C4194" s="37" t="s">
        <v>2348</v>
      </c>
      <c r="D4194" s="37" t="s">
        <v>2349</v>
      </c>
    </row>
    <row r="4195" spans="1:4" ht="14.25">
      <c r="A4195" s="37">
        <v>39352</v>
      </c>
      <c r="B4195" s="37" t="s">
        <v>24861</v>
      </c>
      <c r="C4195" s="37" t="s">
        <v>2348</v>
      </c>
      <c r="D4195" s="37" t="s">
        <v>2349</v>
      </c>
    </row>
    <row r="4196" spans="1:4" ht="14.25">
      <c r="A4196" s="37">
        <v>39346</v>
      </c>
      <c r="B4196" s="37" t="s">
        <v>24862</v>
      </c>
      <c r="C4196" s="37" t="s">
        <v>2348</v>
      </c>
      <c r="D4196" s="37" t="s">
        <v>2349</v>
      </c>
    </row>
    <row r="4197" spans="1:4" ht="14.25">
      <c r="A4197" s="37">
        <v>39350</v>
      </c>
      <c r="B4197" s="37" t="s">
        <v>24863</v>
      </c>
      <c r="C4197" s="37" t="s">
        <v>2348</v>
      </c>
      <c r="D4197" s="37" t="s">
        <v>2349</v>
      </c>
    </row>
    <row r="4198" spans="1:4" ht="14.25">
      <c r="A4198" s="37">
        <v>39351</v>
      </c>
      <c r="B4198" s="37" t="s">
        <v>24864</v>
      </c>
      <c r="C4198" s="37" t="s">
        <v>2348</v>
      </c>
      <c r="D4198" s="37" t="s">
        <v>2349</v>
      </c>
    </row>
    <row r="4199" spans="1:4" ht="14.25">
      <c r="A4199" s="37">
        <v>38952</v>
      </c>
      <c r="B4199" s="37" t="s">
        <v>24865</v>
      </c>
      <c r="C4199" s="37" t="s">
        <v>2348</v>
      </c>
      <c r="D4199" s="37" t="s">
        <v>2351</v>
      </c>
    </row>
    <row r="4200" spans="1:4" ht="14.25">
      <c r="A4200" s="37">
        <v>38953</v>
      </c>
      <c r="B4200" s="37" t="s">
        <v>24866</v>
      </c>
      <c r="C4200" s="37" t="s">
        <v>2348</v>
      </c>
      <c r="D4200" s="37" t="s">
        <v>2351</v>
      </c>
    </row>
    <row r="4201" spans="1:4" ht="14.25">
      <c r="A4201" s="37">
        <v>38835</v>
      </c>
      <c r="B4201" s="37" t="s">
        <v>24867</v>
      </c>
      <c r="C4201" s="37" t="s">
        <v>2348</v>
      </c>
      <c r="D4201" s="37" t="s">
        <v>2351</v>
      </c>
    </row>
    <row r="4202" spans="1:4" ht="14.25">
      <c r="A4202" s="37">
        <v>38837</v>
      </c>
      <c r="B4202" s="37" t="s">
        <v>24868</v>
      </c>
      <c r="C4202" s="37" t="s">
        <v>2348</v>
      </c>
      <c r="D4202" s="37" t="s">
        <v>2351</v>
      </c>
    </row>
    <row r="4203" spans="1:4" ht="14.25">
      <c r="A4203" s="37">
        <v>38836</v>
      </c>
      <c r="B4203" s="37" t="s">
        <v>24869</v>
      </c>
      <c r="C4203" s="37" t="s">
        <v>2348</v>
      </c>
      <c r="D4203" s="37" t="s">
        <v>2351</v>
      </c>
    </row>
    <row r="4204" spans="1:4" ht="14.25">
      <c r="A4204" s="37">
        <v>2666</v>
      </c>
      <c r="B4204" s="37" t="s">
        <v>24870</v>
      </c>
      <c r="C4204" s="37" t="s">
        <v>2348</v>
      </c>
      <c r="D4204" s="37" t="s">
        <v>2349</v>
      </c>
    </row>
    <row r="4205" spans="1:4" ht="14.25">
      <c r="A4205" s="37">
        <v>2668</v>
      </c>
      <c r="B4205" s="37" t="s">
        <v>24871</v>
      </c>
      <c r="C4205" s="37" t="s">
        <v>2348</v>
      </c>
      <c r="D4205" s="37" t="s">
        <v>2349</v>
      </c>
    </row>
    <row r="4206" spans="1:4" ht="14.25">
      <c r="A4206" s="37">
        <v>2664</v>
      </c>
      <c r="B4206" s="37" t="s">
        <v>24872</v>
      </c>
      <c r="C4206" s="37" t="s">
        <v>2348</v>
      </c>
      <c r="D4206" s="37" t="s">
        <v>2349</v>
      </c>
    </row>
    <row r="4207" spans="1:4" ht="14.25">
      <c r="A4207" s="37">
        <v>2662</v>
      </c>
      <c r="B4207" s="37" t="s">
        <v>24873</v>
      </c>
      <c r="C4207" s="37" t="s">
        <v>2348</v>
      </c>
      <c r="D4207" s="37" t="s">
        <v>2349</v>
      </c>
    </row>
    <row r="4208" spans="1:4" ht="14.25">
      <c r="A4208" s="37">
        <v>20964</v>
      </c>
      <c r="B4208" s="37" t="s">
        <v>24874</v>
      </c>
      <c r="C4208" s="37" t="s">
        <v>2348</v>
      </c>
      <c r="D4208" s="37" t="s">
        <v>2349</v>
      </c>
    </row>
    <row r="4209" spans="1:4" ht="14.25">
      <c r="A4209" s="37">
        <v>10905</v>
      </c>
      <c r="B4209" s="37" t="s">
        <v>24875</v>
      </c>
      <c r="C4209" s="37" t="s">
        <v>2348</v>
      </c>
      <c r="D4209" s="37" t="s">
        <v>2349</v>
      </c>
    </row>
    <row r="4210" spans="1:4" ht="14.25">
      <c r="A4210" s="37">
        <v>42703</v>
      </c>
      <c r="B4210" s="37" t="s">
        <v>24876</v>
      </c>
      <c r="C4210" s="37" t="s">
        <v>2348</v>
      </c>
      <c r="D4210" s="37" t="s">
        <v>2351</v>
      </c>
    </row>
    <row r="4211" spans="1:4" ht="14.25">
      <c r="A4211" s="37">
        <v>42704</v>
      </c>
      <c r="B4211" s="37" t="s">
        <v>24877</v>
      </c>
      <c r="C4211" s="37" t="s">
        <v>2348</v>
      </c>
      <c r="D4211" s="37" t="s">
        <v>2351</v>
      </c>
    </row>
    <row r="4212" spans="1:4" ht="14.25">
      <c r="A4212" s="37">
        <v>42705</v>
      </c>
      <c r="B4212" s="37" t="s">
        <v>24878</v>
      </c>
      <c r="C4212" s="37" t="s">
        <v>2348</v>
      </c>
      <c r="D4212" s="37" t="s">
        <v>2351</v>
      </c>
    </row>
    <row r="4213" spans="1:4" ht="14.25">
      <c r="A4213" s="37">
        <v>42706</v>
      </c>
      <c r="B4213" s="37" t="s">
        <v>24879</v>
      </c>
      <c r="C4213" s="37" t="s">
        <v>2348</v>
      </c>
      <c r="D4213" s="37" t="s">
        <v>2351</v>
      </c>
    </row>
    <row r="4214" spans="1:4" ht="14.25">
      <c r="A4214" s="37">
        <v>11289</v>
      </c>
      <c r="B4214" s="37" t="s">
        <v>24880</v>
      </c>
      <c r="C4214" s="37" t="s">
        <v>2348</v>
      </c>
      <c r="D4214" s="37" t="s">
        <v>2351</v>
      </c>
    </row>
    <row r="4215" spans="1:4" ht="14.25">
      <c r="A4215" s="37">
        <v>11241</v>
      </c>
      <c r="B4215" s="37" t="s">
        <v>24881</v>
      </c>
      <c r="C4215" s="37" t="s">
        <v>2348</v>
      </c>
      <c r="D4215" s="37" t="s">
        <v>2351</v>
      </c>
    </row>
    <row r="4216" spans="1:4" ht="14.25">
      <c r="A4216" s="37">
        <v>11301</v>
      </c>
      <c r="B4216" s="37" t="s">
        <v>24882</v>
      </c>
      <c r="C4216" s="37" t="s">
        <v>2348</v>
      </c>
      <c r="D4216" s="37" t="s">
        <v>2351</v>
      </c>
    </row>
    <row r="4217" spans="1:4" ht="14.25">
      <c r="A4217" s="37">
        <v>21090</v>
      </c>
      <c r="B4217" s="37" t="s">
        <v>24883</v>
      </c>
      <c r="C4217" s="37" t="s">
        <v>2348</v>
      </c>
      <c r="D4217" s="37" t="s">
        <v>2351</v>
      </c>
    </row>
    <row r="4218" spans="1:4" ht="14.25">
      <c r="A4218" s="37">
        <v>14112</v>
      </c>
      <c r="B4218" s="37" t="s">
        <v>24884</v>
      </c>
      <c r="C4218" s="37" t="s">
        <v>2348</v>
      </c>
      <c r="D4218" s="37" t="s">
        <v>2351</v>
      </c>
    </row>
    <row r="4219" spans="1:4" ht="14.25">
      <c r="A4219" s="37">
        <v>11315</v>
      </c>
      <c r="B4219" s="37" t="s">
        <v>24885</v>
      </c>
      <c r="C4219" s="37" t="s">
        <v>2348</v>
      </c>
      <c r="D4219" s="37" t="s">
        <v>2351</v>
      </c>
    </row>
    <row r="4220" spans="1:4" ht="14.25">
      <c r="A4220" s="37">
        <v>21071</v>
      </c>
      <c r="B4220" s="37" t="s">
        <v>24886</v>
      </c>
      <c r="C4220" s="37" t="s">
        <v>2348</v>
      </c>
      <c r="D4220" s="37" t="s">
        <v>2351</v>
      </c>
    </row>
    <row r="4221" spans="1:4" ht="14.25">
      <c r="A4221" s="37">
        <v>11316</v>
      </c>
      <c r="B4221" s="37" t="s">
        <v>24887</v>
      </c>
      <c r="C4221" s="37" t="s">
        <v>2348</v>
      </c>
      <c r="D4221" s="37" t="s">
        <v>2351</v>
      </c>
    </row>
    <row r="4222" spans="1:4" ht="14.25">
      <c r="A4222" s="37">
        <v>6243</v>
      </c>
      <c r="B4222" s="37" t="s">
        <v>24888</v>
      </c>
      <c r="C4222" s="37" t="s">
        <v>2348</v>
      </c>
      <c r="D4222" s="37" t="s">
        <v>2351</v>
      </c>
    </row>
    <row r="4223" spans="1:4" ht="14.25">
      <c r="A4223" s="37">
        <v>6240</v>
      </c>
      <c r="B4223" s="37" t="s">
        <v>24889</v>
      </c>
      <c r="C4223" s="37" t="s">
        <v>2348</v>
      </c>
      <c r="D4223" s="37" t="s">
        <v>2351</v>
      </c>
    </row>
    <row r="4224" spans="1:4" ht="14.25">
      <c r="A4224" s="37">
        <v>11296</v>
      </c>
      <c r="B4224" s="37" t="s">
        <v>24890</v>
      </c>
      <c r="C4224" s="37" t="s">
        <v>2348</v>
      </c>
      <c r="D4224" s="37" t="s">
        <v>2351</v>
      </c>
    </row>
    <row r="4225" spans="1:4" ht="14.25">
      <c r="A4225" s="37">
        <v>11299</v>
      </c>
      <c r="B4225" s="37" t="s">
        <v>24891</v>
      </c>
      <c r="C4225" s="37" t="s">
        <v>2348</v>
      </c>
      <c r="D4225" s="37" t="s">
        <v>2351</v>
      </c>
    </row>
    <row r="4226" spans="1:4" ht="14.25">
      <c r="A4226" s="37">
        <v>11688</v>
      </c>
      <c r="B4226" s="37" t="s">
        <v>24892</v>
      </c>
      <c r="C4226" s="37" t="s">
        <v>2348</v>
      </c>
      <c r="D4226" s="37" t="s">
        <v>2349</v>
      </c>
    </row>
    <row r="4227" spans="1:4" ht="14.25">
      <c r="A4227" s="37">
        <v>37736</v>
      </c>
      <c r="B4227" s="37" t="s">
        <v>24893</v>
      </c>
      <c r="C4227" s="37" t="s">
        <v>2348</v>
      </c>
      <c r="D4227" s="37" t="s">
        <v>2351</v>
      </c>
    </row>
    <row r="4228" spans="1:4" ht="14.25">
      <c r="A4228" s="37">
        <v>37739</v>
      </c>
      <c r="B4228" s="37" t="s">
        <v>24894</v>
      </c>
      <c r="C4228" s="37" t="s">
        <v>2348</v>
      </c>
      <c r="D4228" s="37" t="s">
        <v>2351</v>
      </c>
    </row>
    <row r="4229" spans="1:4" ht="14.25">
      <c r="A4229" s="37">
        <v>37740</v>
      </c>
      <c r="B4229" s="37" t="s">
        <v>24895</v>
      </c>
      <c r="C4229" s="37" t="s">
        <v>2348</v>
      </c>
      <c r="D4229" s="37" t="s">
        <v>2351</v>
      </c>
    </row>
    <row r="4230" spans="1:4" ht="14.25">
      <c r="A4230" s="37">
        <v>37738</v>
      </c>
      <c r="B4230" s="37" t="s">
        <v>24896</v>
      </c>
      <c r="C4230" s="37" t="s">
        <v>2348</v>
      </c>
      <c r="D4230" s="37" t="s">
        <v>2351</v>
      </c>
    </row>
    <row r="4231" spans="1:4" ht="14.25">
      <c r="A4231" s="37">
        <v>37737</v>
      </c>
      <c r="B4231" s="37" t="s">
        <v>24897</v>
      </c>
      <c r="C4231" s="37" t="s">
        <v>2348</v>
      </c>
      <c r="D4231" s="37" t="s">
        <v>2351</v>
      </c>
    </row>
    <row r="4232" spans="1:4" ht="14.25">
      <c r="A4232" s="37">
        <v>25014</v>
      </c>
      <c r="B4232" s="37" t="s">
        <v>24898</v>
      </c>
      <c r="C4232" s="37" t="s">
        <v>2348</v>
      </c>
      <c r="D4232" s="37" t="s">
        <v>2351</v>
      </c>
    </row>
    <row r="4233" spans="1:4" ht="14.25">
      <c r="A4233" s="37">
        <v>25013</v>
      </c>
      <c r="B4233" s="37" t="s">
        <v>24899</v>
      </c>
      <c r="C4233" s="37" t="s">
        <v>2348</v>
      </c>
      <c r="D4233" s="37" t="s">
        <v>2351</v>
      </c>
    </row>
    <row r="4234" spans="1:4" ht="14.25">
      <c r="A4234" s="37">
        <v>14405</v>
      </c>
      <c r="B4234" s="37" t="s">
        <v>24900</v>
      </c>
      <c r="C4234" s="37" t="s">
        <v>2348</v>
      </c>
      <c r="D4234" s="37" t="s">
        <v>2351</v>
      </c>
    </row>
    <row r="4235" spans="1:4" ht="14.25">
      <c r="A4235" s="37">
        <v>20271</v>
      </c>
      <c r="B4235" s="37" t="s">
        <v>24901</v>
      </c>
      <c r="C4235" s="37" t="s">
        <v>2348</v>
      </c>
      <c r="D4235" s="37" t="s">
        <v>2349</v>
      </c>
    </row>
    <row r="4236" spans="1:4" ht="14.25">
      <c r="A4236" s="37">
        <v>10423</v>
      </c>
      <c r="B4236" s="37" t="s">
        <v>24902</v>
      </c>
      <c r="C4236" s="37" t="s">
        <v>2348</v>
      </c>
      <c r="D4236" s="37" t="s">
        <v>2349</v>
      </c>
    </row>
    <row r="4237" spans="1:4" ht="14.25">
      <c r="A4237" s="37">
        <v>36790</v>
      </c>
      <c r="B4237" s="37" t="s">
        <v>24903</v>
      </c>
      <c r="C4237" s="37" t="s">
        <v>2348</v>
      </c>
      <c r="D4237" s="37" t="s">
        <v>2349</v>
      </c>
    </row>
    <row r="4238" spans="1:4" ht="14.25">
      <c r="A4238" s="37">
        <v>37589</v>
      </c>
      <c r="B4238" s="37" t="s">
        <v>24904</v>
      </c>
      <c r="C4238" s="37" t="s">
        <v>2348</v>
      </c>
      <c r="D4238" s="37" t="s">
        <v>2349</v>
      </c>
    </row>
    <row r="4239" spans="1:4" ht="14.25">
      <c r="A4239" s="37">
        <v>11690</v>
      </c>
      <c r="B4239" s="37" t="s">
        <v>24905</v>
      </c>
      <c r="C4239" s="37" t="s">
        <v>2348</v>
      </c>
      <c r="D4239" s="37" t="s">
        <v>2349</v>
      </c>
    </row>
    <row r="4240" spans="1:4" ht="14.25">
      <c r="A4240" s="37">
        <v>20234</v>
      </c>
      <c r="B4240" s="37" t="s">
        <v>24906</v>
      </c>
      <c r="C4240" s="37" t="s">
        <v>2348</v>
      </c>
      <c r="D4240" s="37" t="s">
        <v>2349</v>
      </c>
    </row>
    <row r="4241" spans="1:4" ht="14.25">
      <c r="A4241" s="37">
        <v>4763</v>
      </c>
      <c r="B4241" s="37" t="s">
        <v>24907</v>
      </c>
      <c r="C4241" s="37" t="s">
        <v>2352</v>
      </c>
      <c r="D4241" s="37" t="s">
        <v>2349</v>
      </c>
    </row>
    <row r="4242" spans="1:4" ht="14.25">
      <c r="A4242" s="37">
        <v>41070</v>
      </c>
      <c r="B4242" s="37" t="s">
        <v>24908</v>
      </c>
      <c r="C4242" s="37" t="s">
        <v>2369</v>
      </c>
      <c r="D4242" s="37" t="s">
        <v>2349</v>
      </c>
    </row>
    <row r="4243" spans="1:4" ht="14.25">
      <c r="A4243" s="37">
        <v>44480</v>
      </c>
      <c r="B4243" s="37" t="s">
        <v>28114</v>
      </c>
      <c r="C4243" s="37" t="s">
        <v>2368</v>
      </c>
      <c r="D4243" s="37" t="s">
        <v>2349</v>
      </c>
    </row>
    <row r="4244" spans="1:4" ht="14.25">
      <c r="A4244" s="37">
        <v>11457</v>
      </c>
      <c r="B4244" s="37" t="s">
        <v>24909</v>
      </c>
      <c r="C4244" s="37" t="s">
        <v>2348</v>
      </c>
      <c r="D4244" s="37" t="s">
        <v>2349</v>
      </c>
    </row>
    <row r="4245" spans="1:4" ht="14.25">
      <c r="A4245" s="37">
        <v>44073</v>
      </c>
      <c r="B4245" s="37" t="s">
        <v>28115</v>
      </c>
      <c r="C4245" s="37" t="s">
        <v>2355</v>
      </c>
      <c r="D4245" s="37" t="s">
        <v>2349</v>
      </c>
    </row>
    <row r="4246" spans="1:4" ht="14.25">
      <c r="A4246" s="37">
        <v>21121</v>
      </c>
      <c r="B4246" s="37" t="s">
        <v>24910</v>
      </c>
      <c r="C4246" s="37" t="s">
        <v>2348</v>
      </c>
      <c r="D4246" s="37" t="s">
        <v>2349</v>
      </c>
    </row>
    <row r="4247" spans="1:4" ht="14.25">
      <c r="A4247" s="37">
        <v>38010</v>
      </c>
      <c r="B4247" s="37" t="s">
        <v>24911</v>
      </c>
      <c r="C4247" s="37" t="s">
        <v>2348</v>
      </c>
      <c r="D4247" s="37" t="s">
        <v>2349</v>
      </c>
    </row>
    <row r="4248" spans="1:4" ht="14.25">
      <c r="A4248" s="37">
        <v>38011</v>
      </c>
      <c r="B4248" s="37" t="s">
        <v>24912</v>
      </c>
      <c r="C4248" s="37" t="s">
        <v>2348</v>
      </c>
      <c r="D4248" s="37" t="s">
        <v>2349</v>
      </c>
    </row>
    <row r="4249" spans="1:4" ht="14.25">
      <c r="A4249" s="37">
        <v>38012</v>
      </c>
      <c r="B4249" s="37" t="s">
        <v>24913</v>
      </c>
      <c r="C4249" s="37" t="s">
        <v>2348</v>
      </c>
      <c r="D4249" s="37" t="s">
        <v>2349</v>
      </c>
    </row>
    <row r="4250" spans="1:4" ht="14.25">
      <c r="A4250" s="37">
        <v>38013</v>
      </c>
      <c r="B4250" s="37" t="s">
        <v>24914</v>
      </c>
      <c r="C4250" s="37" t="s">
        <v>2348</v>
      </c>
      <c r="D4250" s="37" t="s">
        <v>2349</v>
      </c>
    </row>
    <row r="4251" spans="1:4" ht="14.25">
      <c r="A4251" s="37">
        <v>38014</v>
      </c>
      <c r="B4251" s="37" t="s">
        <v>24915</v>
      </c>
      <c r="C4251" s="37" t="s">
        <v>2348</v>
      </c>
      <c r="D4251" s="37" t="s">
        <v>2349</v>
      </c>
    </row>
    <row r="4252" spans="1:4" ht="14.25">
      <c r="A4252" s="37">
        <v>38015</v>
      </c>
      <c r="B4252" s="37" t="s">
        <v>24916</v>
      </c>
      <c r="C4252" s="37" t="s">
        <v>2348</v>
      </c>
      <c r="D4252" s="37" t="s">
        <v>2349</v>
      </c>
    </row>
    <row r="4253" spans="1:4" ht="14.25">
      <c r="A4253" s="37">
        <v>38016</v>
      </c>
      <c r="B4253" s="37" t="s">
        <v>24917</v>
      </c>
      <c r="C4253" s="37" t="s">
        <v>2348</v>
      </c>
      <c r="D4253" s="37" t="s">
        <v>2349</v>
      </c>
    </row>
    <row r="4254" spans="1:4" ht="14.25">
      <c r="A4254" s="37">
        <v>12741</v>
      </c>
      <c r="B4254" s="37" t="s">
        <v>24918</v>
      </c>
      <c r="C4254" s="37" t="s">
        <v>2348</v>
      </c>
      <c r="D4254" s="37" t="s">
        <v>2351</v>
      </c>
    </row>
    <row r="4255" spans="1:4" ht="14.25">
      <c r="A4255" s="37">
        <v>12733</v>
      </c>
      <c r="B4255" s="37" t="s">
        <v>24919</v>
      </c>
      <c r="C4255" s="37" t="s">
        <v>2348</v>
      </c>
      <c r="D4255" s="37" t="s">
        <v>2351</v>
      </c>
    </row>
    <row r="4256" spans="1:4" ht="14.25">
      <c r="A4256" s="37">
        <v>12734</v>
      </c>
      <c r="B4256" s="37" t="s">
        <v>24920</v>
      </c>
      <c r="C4256" s="37" t="s">
        <v>2348</v>
      </c>
      <c r="D4256" s="37" t="s">
        <v>2351</v>
      </c>
    </row>
    <row r="4257" spans="1:4" ht="14.25">
      <c r="A4257" s="37">
        <v>12735</v>
      </c>
      <c r="B4257" s="37" t="s">
        <v>24921</v>
      </c>
      <c r="C4257" s="37" t="s">
        <v>2348</v>
      </c>
      <c r="D4257" s="37" t="s">
        <v>2351</v>
      </c>
    </row>
    <row r="4258" spans="1:4" ht="14.25">
      <c r="A4258" s="37">
        <v>12736</v>
      </c>
      <c r="B4258" s="37" t="s">
        <v>24922</v>
      </c>
      <c r="C4258" s="37" t="s">
        <v>2348</v>
      </c>
      <c r="D4258" s="37" t="s">
        <v>2351</v>
      </c>
    </row>
    <row r="4259" spans="1:4" ht="14.25">
      <c r="A4259" s="37">
        <v>12737</v>
      </c>
      <c r="B4259" s="37" t="s">
        <v>24923</v>
      </c>
      <c r="C4259" s="37" t="s">
        <v>2348</v>
      </c>
      <c r="D4259" s="37" t="s">
        <v>2351</v>
      </c>
    </row>
    <row r="4260" spans="1:4" ht="14.25">
      <c r="A4260" s="37">
        <v>12738</v>
      </c>
      <c r="B4260" s="37" t="s">
        <v>24924</v>
      </c>
      <c r="C4260" s="37" t="s">
        <v>2348</v>
      </c>
      <c r="D4260" s="37" t="s">
        <v>2351</v>
      </c>
    </row>
    <row r="4261" spans="1:4" ht="14.25">
      <c r="A4261" s="37">
        <v>12739</v>
      </c>
      <c r="B4261" s="37" t="s">
        <v>24925</v>
      </c>
      <c r="C4261" s="37" t="s">
        <v>2348</v>
      </c>
      <c r="D4261" s="37" t="s">
        <v>2351</v>
      </c>
    </row>
    <row r="4262" spans="1:4" ht="14.25">
      <c r="A4262" s="37">
        <v>12740</v>
      </c>
      <c r="B4262" s="37" t="s">
        <v>24926</v>
      </c>
      <c r="C4262" s="37" t="s">
        <v>2348</v>
      </c>
      <c r="D4262" s="37" t="s">
        <v>2351</v>
      </c>
    </row>
    <row r="4263" spans="1:4" ht="14.25">
      <c r="A4263" s="37">
        <v>6297</v>
      </c>
      <c r="B4263" s="37" t="s">
        <v>24927</v>
      </c>
      <c r="C4263" s="37" t="s">
        <v>2348</v>
      </c>
      <c r="D4263" s="37" t="s">
        <v>2351</v>
      </c>
    </row>
    <row r="4264" spans="1:4" ht="14.25">
      <c r="A4264" s="37">
        <v>6296</v>
      </c>
      <c r="B4264" s="37" t="s">
        <v>24928</v>
      </c>
      <c r="C4264" s="37" t="s">
        <v>2348</v>
      </c>
      <c r="D4264" s="37" t="s">
        <v>2351</v>
      </c>
    </row>
    <row r="4265" spans="1:4" ht="14.25">
      <c r="A4265" s="37">
        <v>6294</v>
      </c>
      <c r="B4265" s="37" t="s">
        <v>24929</v>
      </c>
      <c r="C4265" s="37" t="s">
        <v>2348</v>
      </c>
      <c r="D4265" s="37" t="s">
        <v>2351</v>
      </c>
    </row>
    <row r="4266" spans="1:4" ht="14.25">
      <c r="A4266" s="37">
        <v>6323</v>
      </c>
      <c r="B4266" s="37" t="s">
        <v>24930</v>
      </c>
      <c r="C4266" s="37" t="s">
        <v>2348</v>
      </c>
      <c r="D4266" s="37" t="s">
        <v>2351</v>
      </c>
    </row>
    <row r="4267" spans="1:4" ht="14.25">
      <c r="A4267" s="37">
        <v>6299</v>
      </c>
      <c r="B4267" s="37" t="s">
        <v>24931</v>
      </c>
      <c r="C4267" s="37" t="s">
        <v>2348</v>
      </c>
      <c r="D4267" s="37" t="s">
        <v>2351</v>
      </c>
    </row>
    <row r="4268" spans="1:4" ht="14.25">
      <c r="A4268" s="37">
        <v>6298</v>
      </c>
      <c r="B4268" s="37" t="s">
        <v>24932</v>
      </c>
      <c r="C4268" s="37" t="s">
        <v>2348</v>
      </c>
      <c r="D4268" s="37" t="s">
        <v>2351</v>
      </c>
    </row>
    <row r="4269" spans="1:4" ht="14.25">
      <c r="A4269" s="37">
        <v>6295</v>
      </c>
      <c r="B4269" s="37" t="s">
        <v>24933</v>
      </c>
      <c r="C4269" s="37" t="s">
        <v>2348</v>
      </c>
      <c r="D4269" s="37" t="s">
        <v>2351</v>
      </c>
    </row>
    <row r="4270" spans="1:4" ht="14.25">
      <c r="A4270" s="37">
        <v>6322</v>
      </c>
      <c r="B4270" s="37" t="s">
        <v>24934</v>
      </c>
      <c r="C4270" s="37" t="s">
        <v>2348</v>
      </c>
      <c r="D4270" s="37" t="s">
        <v>2351</v>
      </c>
    </row>
    <row r="4271" spans="1:4" ht="14.25">
      <c r="A4271" s="37">
        <v>6300</v>
      </c>
      <c r="B4271" s="37" t="s">
        <v>24935</v>
      </c>
      <c r="C4271" s="37" t="s">
        <v>2348</v>
      </c>
      <c r="D4271" s="37" t="s">
        <v>2351</v>
      </c>
    </row>
    <row r="4272" spans="1:4" ht="14.25">
      <c r="A4272" s="37">
        <v>6321</v>
      </c>
      <c r="B4272" s="37" t="s">
        <v>24936</v>
      </c>
      <c r="C4272" s="37" t="s">
        <v>2348</v>
      </c>
      <c r="D4272" s="37" t="s">
        <v>2351</v>
      </c>
    </row>
    <row r="4273" spans="1:4" ht="14.25">
      <c r="A4273" s="37">
        <v>6301</v>
      </c>
      <c r="B4273" s="37" t="s">
        <v>24937</v>
      </c>
      <c r="C4273" s="37" t="s">
        <v>2348</v>
      </c>
      <c r="D4273" s="37" t="s">
        <v>2351</v>
      </c>
    </row>
    <row r="4274" spans="1:4" ht="14.25">
      <c r="A4274" s="37">
        <v>7105</v>
      </c>
      <c r="B4274" s="37" t="s">
        <v>24938</v>
      </c>
      <c r="C4274" s="37" t="s">
        <v>2348</v>
      </c>
      <c r="D4274" s="37" t="s">
        <v>2349</v>
      </c>
    </row>
    <row r="4275" spans="1:4" ht="14.25">
      <c r="A4275" s="37">
        <v>20183</v>
      </c>
      <c r="B4275" s="37" t="s">
        <v>24939</v>
      </c>
      <c r="C4275" s="37" t="s">
        <v>2348</v>
      </c>
      <c r="D4275" s="37" t="s">
        <v>2349</v>
      </c>
    </row>
    <row r="4276" spans="1:4" ht="14.25">
      <c r="A4276" s="37">
        <v>38448</v>
      </c>
      <c r="B4276" s="37" t="s">
        <v>24940</v>
      </c>
      <c r="C4276" s="37" t="s">
        <v>2348</v>
      </c>
      <c r="D4276" s="37" t="s">
        <v>2349</v>
      </c>
    </row>
    <row r="4277" spans="1:4" ht="14.25">
      <c r="A4277" s="37">
        <v>20182</v>
      </c>
      <c r="B4277" s="37" t="s">
        <v>24941</v>
      </c>
      <c r="C4277" s="37" t="s">
        <v>2348</v>
      </c>
      <c r="D4277" s="37" t="s">
        <v>2349</v>
      </c>
    </row>
    <row r="4278" spans="1:4" ht="14.25">
      <c r="A4278" s="37">
        <v>7119</v>
      </c>
      <c r="B4278" s="37" t="s">
        <v>24942</v>
      </c>
      <c r="C4278" s="37" t="s">
        <v>2348</v>
      </c>
      <c r="D4278" s="37" t="s">
        <v>2349</v>
      </c>
    </row>
    <row r="4279" spans="1:4" ht="14.25">
      <c r="A4279" s="37">
        <v>7120</v>
      </c>
      <c r="B4279" s="37" t="s">
        <v>24943</v>
      </c>
      <c r="C4279" s="37" t="s">
        <v>2348</v>
      </c>
      <c r="D4279" s="37" t="s">
        <v>2349</v>
      </c>
    </row>
    <row r="4280" spans="1:4" ht="14.25">
      <c r="A4280" s="37">
        <v>6319</v>
      </c>
      <c r="B4280" s="37" t="s">
        <v>24944</v>
      </c>
      <c r="C4280" s="37" t="s">
        <v>2348</v>
      </c>
      <c r="D4280" s="37" t="s">
        <v>2351</v>
      </c>
    </row>
    <row r="4281" spans="1:4" ht="14.25">
      <c r="A4281" s="37">
        <v>6304</v>
      </c>
      <c r="B4281" s="37" t="s">
        <v>24945</v>
      </c>
      <c r="C4281" s="37" t="s">
        <v>2348</v>
      </c>
      <c r="D4281" s="37" t="s">
        <v>2351</v>
      </c>
    </row>
    <row r="4282" spans="1:4" ht="14.25">
      <c r="A4282" s="37">
        <v>21116</v>
      </c>
      <c r="B4282" s="37" t="s">
        <v>24946</v>
      </c>
      <c r="C4282" s="37" t="s">
        <v>2348</v>
      </c>
      <c r="D4282" s="37" t="s">
        <v>2351</v>
      </c>
    </row>
    <row r="4283" spans="1:4" ht="14.25">
      <c r="A4283" s="37">
        <v>6320</v>
      </c>
      <c r="B4283" s="37" t="s">
        <v>24947</v>
      </c>
      <c r="C4283" s="37" t="s">
        <v>2348</v>
      </c>
      <c r="D4283" s="37" t="s">
        <v>2351</v>
      </c>
    </row>
    <row r="4284" spans="1:4" ht="14.25">
      <c r="A4284" s="37">
        <v>6303</v>
      </c>
      <c r="B4284" s="37" t="s">
        <v>24948</v>
      </c>
      <c r="C4284" s="37" t="s">
        <v>2348</v>
      </c>
      <c r="D4284" s="37" t="s">
        <v>2351</v>
      </c>
    </row>
    <row r="4285" spans="1:4" ht="14.25">
      <c r="A4285" s="37">
        <v>6308</v>
      </c>
      <c r="B4285" s="37" t="s">
        <v>24949</v>
      </c>
      <c r="C4285" s="37" t="s">
        <v>2348</v>
      </c>
      <c r="D4285" s="37" t="s">
        <v>2351</v>
      </c>
    </row>
    <row r="4286" spans="1:4" ht="14.25">
      <c r="A4286" s="37">
        <v>6317</v>
      </c>
      <c r="B4286" s="37" t="s">
        <v>24950</v>
      </c>
      <c r="C4286" s="37" t="s">
        <v>2348</v>
      </c>
      <c r="D4286" s="37" t="s">
        <v>2351</v>
      </c>
    </row>
    <row r="4287" spans="1:4" ht="14.25">
      <c r="A4287" s="37">
        <v>6307</v>
      </c>
      <c r="B4287" s="37" t="s">
        <v>24951</v>
      </c>
      <c r="C4287" s="37" t="s">
        <v>2348</v>
      </c>
      <c r="D4287" s="37" t="s">
        <v>2351</v>
      </c>
    </row>
    <row r="4288" spans="1:4" ht="14.25">
      <c r="A4288" s="37">
        <v>6309</v>
      </c>
      <c r="B4288" s="37" t="s">
        <v>24952</v>
      </c>
      <c r="C4288" s="37" t="s">
        <v>2348</v>
      </c>
      <c r="D4288" s="37" t="s">
        <v>2351</v>
      </c>
    </row>
    <row r="4289" spans="1:4" ht="14.25">
      <c r="A4289" s="37">
        <v>6318</v>
      </c>
      <c r="B4289" s="37" t="s">
        <v>24953</v>
      </c>
      <c r="C4289" s="37" t="s">
        <v>2348</v>
      </c>
      <c r="D4289" s="37" t="s">
        <v>2351</v>
      </c>
    </row>
    <row r="4290" spans="1:4" ht="14.25">
      <c r="A4290" s="37">
        <v>6306</v>
      </c>
      <c r="B4290" s="37" t="s">
        <v>24954</v>
      </c>
      <c r="C4290" s="37" t="s">
        <v>2348</v>
      </c>
      <c r="D4290" s="37" t="s">
        <v>2351</v>
      </c>
    </row>
    <row r="4291" spans="1:4" ht="14.25">
      <c r="A4291" s="37">
        <v>6305</v>
      </c>
      <c r="B4291" s="37" t="s">
        <v>24955</v>
      </c>
      <c r="C4291" s="37" t="s">
        <v>2348</v>
      </c>
      <c r="D4291" s="37" t="s">
        <v>2351</v>
      </c>
    </row>
    <row r="4292" spans="1:4" ht="14.25">
      <c r="A4292" s="37">
        <v>6302</v>
      </c>
      <c r="B4292" s="37" t="s">
        <v>24956</v>
      </c>
      <c r="C4292" s="37" t="s">
        <v>2348</v>
      </c>
      <c r="D4292" s="37" t="s">
        <v>2351</v>
      </c>
    </row>
    <row r="4293" spans="1:4" ht="14.25">
      <c r="A4293" s="37">
        <v>6312</v>
      </c>
      <c r="B4293" s="37" t="s">
        <v>24957</v>
      </c>
      <c r="C4293" s="37" t="s">
        <v>2348</v>
      </c>
      <c r="D4293" s="37" t="s">
        <v>2351</v>
      </c>
    </row>
    <row r="4294" spans="1:4" ht="14.25">
      <c r="A4294" s="37">
        <v>6311</v>
      </c>
      <c r="B4294" s="37" t="s">
        <v>24958</v>
      </c>
      <c r="C4294" s="37" t="s">
        <v>2348</v>
      </c>
      <c r="D4294" s="37" t="s">
        <v>2351</v>
      </c>
    </row>
    <row r="4295" spans="1:4" ht="14.25">
      <c r="A4295" s="37">
        <v>6310</v>
      </c>
      <c r="B4295" s="37" t="s">
        <v>24959</v>
      </c>
      <c r="C4295" s="37" t="s">
        <v>2348</v>
      </c>
      <c r="D4295" s="37" t="s">
        <v>2351</v>
      </c>
    </row>
    <row r="4296" spans="1:4" ht="14.25">
      <c r="A4296" s="37">
        <v>6314</v>
      </c>
      <c r="B4296" s="37" t="s">
        <v>24960</v>
      </c>
      <c r="C4296" s="37" t="s">
        <v>2348</v>
      </c>
      <c r="D4296" s="37" t="s">
        <v>2351</v>
      </c>
    </row>
    <row r="4297" spans="1:4" ht="14.25">
      <c r="A4297" s="37">
        <v>6313</v>
      </c>
      <c r="B4297" s="37" t="s">
        <v>24961</v>
      </c>
      <c r="C4297" s="37" t="s">
        <v>2348</v>
      </c>
      <c r="D4297" s="37" t="s">
        <v>2351</v>
      </c>
    </row>
    <row r="4298" spans="1:4" ht="14.25">
      <c r="A4298" s="37">
        <v>6315</v>
      </c>
      <c r="B4298" s="37" t="s">
        <v>24962</v>
      </c>
      <c r="C4298" s="37" t="s">
        <v>2348</v>
      </c>
      <c r="D4298" s="37" t="s">
        <v>2351</v>
      </c>
    </row>
    <row r="4299" spans="1:4" ht="14.25">
      <c r="A4299" s="37">
        <v>6316</v>
      </c>
      <c r="B4299" s="37" t="s">
        <v>24963</v>
      </c>
      <c r="C4299" s="37" t="s">
        <v>2348</v>
      </c>
      <c r="D4299" s="37" t="s">
        <v>2351</v>
      </c>
    </row>
    <row r="4300" spans="1:4" ht="14.25">
      <c r="A4300" s="37">
        <v>38878</v>
      </c>
      <c r="B4300" s="37" t="s">
        <v>24964</v>
      </c>
      <c r="C4300" s="37" t="s">
        <v>2348</v>
      </c>
      <c r="D4300" s="37" t="s">
        <v>2351</v>
      </c>
    </row>
    <row r="4301" spans="1:4" ht="14.25">
      <c r="A4301" s="37">
        <v>38879</v>
      </c>
      <c r="B4301" s="37" t="s">
        <v>24965</v>
      </c>
      <c r="C4301" s="37" t="s">
        <v>2348</v>
      </c>
      <c r="D4301" s="37" t="s">
        <v>2351</v>
      </c>
    </row>
    <row r="4302" spans="1:4" ht="14.25">
      <c r="A4302" s="37">
        <v>38881</v>
      </c>
      <c r="B4302" s="37" t="s">
        <v>24966</v>
      </c>
      <c r="C4302" s="37" t="s">
        <v>2348</v>
      </c>
      <c r="D4302" s="37" t="s">
        <v>2351</v>
      </c>
    </row>
    <row r="4303" spans="1:4" ht="14.25">
      <c r="A4303" s="37">
        <v>38880</v>
      </c>
      <c r="B4303" s="37" t="s">
        <v>24967</v>
      </c>
      <c r="C4303" s="37" t="s">
        <v>2348</v>
      </c>
      <c r="D4303" s="37" t="s">
        <v>2351</v>
      </c>
    </row>
    <row r="4304" spans="1:4" ht="14.25">
      <c r="A4304" s="37">
        <v>38882</v>
      </c>
      <c r="B4304" s="37" t="s">
        <v>24968</v>
      </c>
      <c r="C4304" s="37" t="s">
        <v>2348</v>
      </c>
      <c r="D4304" s="37" t="s">
        <v>2351</v>
      </c>
    </row>
    <row r="4305" spans="1:4" ht="14.25">
      <c r="A4305" s="37">
        <v>38883</v>
      </c>
      <c r="B4305" s="37" t="s">
        <v>24969</v>
      </c>
      <c r="C4305" s="37" t="s">
        <v>2348</v>
      </c>
      <c r="D4305" s="37" t="s">
        <v>2351</v>
      </c>
    </row>
    <row r="4306" spans="1:4" ht="14.25">
      <c r="A4306" s="37">
        <v>38884</v>
      </c>
      <c r="B4306" s="37" t="s">
        <v>24970</v>
      </c>
      <c r="C4306" s="37" t="s">
        <v>2348</v>
      </c>
      <c r="D4306" s="37" t="s">
        <v>2351</v>
      </c>
    </row>
    <row r="4307" spans="1:4" ht="14.25">
      <c r="A4307" s="37">
        <v>38885</v>
      </c>
      <c r="B4307" s="37" t="s">
        <v>24971</v>
      </c>
      <c r="C4307" s="37" t="s">
        <v>2348</v>
      </c>
      <c r="D4307" s="37" t="s">
        <v>2351</v>
      </c>
    </row>
    <row r="4308" spans="1:4" ht="14.25">
      <c r="A4308" s="37">
        <v>38886</v>
      </c>
      <c r="B4308" s="37" t="s">
        <v>24972</v>
      </c>
      <c r="C4308" s="37" t="s">
        <v>2348</v>
      </c>
      <c r="D4308" s="37" t="s">
        <v>2351</v>
      </c>
    </row>
    <row r="4309" spans="1:4" ht="14.25">
      <c r="A4309" s="37">
        <v>38887</v>
      </c>
      <c r="B4309" s="37" t="s">
        <v>24973</v>
      </c>
      <c r="C4309" s="37" t="s">
        <v>2348</v>
      </c>
      <c r="D4309" s="37" t="s">
        <v>2351</v>
      </c>
    </row>
    <row r="4310" spans="1:4" ht="14.25">
      <c r="A4310" s="37">
        <v>38888</v>
      </c>
      <c r="B4310" s="37" t="s">
        <v>24974</v>
      </c>
      <c r="C4310" s="37" t="s">
        <v>2348</v>
      </c>
      <c r="D4310" s="37" t="s">
        <v>2351</v>
      </c>
    </row>
    <row r="4311" spans="1:4" ht="14.25">
      <c r="A4311" s="37">
        <v>38890</v>
      </c>
      <c r="B4311" s="37" t="s">
        <v>24975</v>
      </c>
      <c r="C4311" s="37" t="s">
        <v>2348</v>
      </c>
      <c r="D4311" s="37" t="s">
        <v>2351</v>
      </c>
    </row>
    <row r="4312" spans="1:4" ht="14.25">
      <c r="A4312" s="37">
        <v>38893</v>
      </c>
      <c r="B4312" s="37" t="s">
        <v>24976</v>
      </c>
      <c r="C4312" s="37" t="s">
        <v>2348</v>
      </c>
      <c r="D4312" s="37" t="s">
        <v>2351</v>
      </c>
    </row>
    <row r="4313" spans="1:4" ht="14.25">
      <c r="A4313" s="37">
        <v>38894</v>
      </c>
      <c r="B4313" s="37" t="s">
        <v>24977</v>
      </c>
      <c r="C4313" s="37" t="s">
        <v>2348</v>
      </c>
      <c r="D4313" s="37" t="s">
        <v>2351</v>
      </c>
    </row>
    <row r="4314" spans="1:4" ht="14.25">
      <c r="A4314" s="37">
        <v>38896</v>
      </c>
      <c r="B4314" s="37" t="s">
        <v>24978</v>
      </c>
      <c r="C4314" s="37" t="s">
        <v>2348</v>
      </c>
      <c r="D4314" s="37" t="s">
        <v>2351</v>
      </c>
    </row>
    <row r="4315" spans="1:4" ht="14.25">
      <c r="A4315" s="37">
        <v>39324</v>
      </c>
      <c r="B4315" s="37" t="s">
        <v>24979</v>
      </c>
      <c r="C4315" s="37" t="s">
        <v>2348</v>
      </c>
      <c r="D4315" s="37" t="s">
        <v>2349</v>
      </c>
    </row>
    <row r="4316" spans="1:4" ht="14.25">
      <c r="A4316" s="37">
        <v>39325</v>
      </c>
      <c r="B4316" s="37" t="s">
        <v>24980</v>
      </c>
      <c r="C4316" s="37" t="s">
        <v>2348</v>
      </c>
      <c r="D4316" s="37" t="s">
        <v>2349</v>
      </c>
    </row>
    <row r="4317" spans="1:4" ht="14.25">
      <c r="A4317" s="37">
        <v>39326</v>
      </c>
      <c r="B4317" s="37" t="s">
        <v>24981</v>
      </c>
      <c r="C4317" s="37" t="s">
        <v>2348</v>
      </c>
      <c r="D4317" s="37" t="s">
        <v>2349</v>
      </c>
    </row>
    <row r="4318" spans="1:4" ht="14.25">
      <c r="A4318" s="37">
        <v>39327</v>
      </c>
      <c r="B4318" s="37" t="s">
        <v>24982</v>
      </c>
      <c r="C4318" s="37" t="s">
        <v>2348</v>
      </c>
      <c r="D4318" s="37" t="s">
        <v>2349</v>
      </c>
    </row>
    <row r="4319" spans="1:4" ht="14.25">
      <c r="A4319" s="37">
        <v>20176</v>
      </c>
      <c r="B4319" s="37" t="s">
        <v>24983</v>
      </c>
      <c r="C4319" s="37" t="s">
        <v>2348</v>
      </c>
      <c r="D4319" s="37" t="s">
        <v>2349</v>
      </c>
    </row>
    <row r="4320" spans="1:4" ht="14.25">
      <c r="A4320" s="37">
        <v>11378</v>
      </c>
      <c r="B4320" s="37" t="s">
        <v>24984</v>
      </c>
      <c r="C4320" s="37" t="s">
        <v>2348</v>
      </c>
      <c r="D4320" s="37" t="s">
        <v>2351</v>
      </c>
    </row>
    <row r="4321" spans="1:4" ht="14.25">
      <c r="A4321" s="37">
        <v>11379</v>
      </c>
      <c r="B4321" s="37" t="s">
        <v>24985</v>
      </c>
      <c r="C4321" s="37" t="s">
        <v>2348</v>
      </c>
      <c r="D4321" s="37" t="s">
        <v>2351</v>
      </c>
    </row>
    <row r="4322" spans="1:4" ht="14.25">
      <c r="A4322" s="37">
        <v>11493</v>
      </c>
      <c r="B4322" s="37" t="s">
        <v>24986</v>
      </c>
      <c r="C4322" s="37" t="s">
        <v>2348</v>
      </c>
      <c r="D4322" s="37" t="s">
        <v>2351</v>
      </c>
    </row>
    <row r="4323" spans="1:4" ht="14.25">
      <c r="A4323" s="37">
        <v>42717</v>
      </c>
      <c r="B4323" s="37" t="s">
        <v>24987</v>
      </c>
      <c r="C4323" s="37" t="s">
        <v>2348</v>
      </c>
      <c r="D4323" s="37" t="s">
        <v>2351</v>
      </c>
    </row>
    <row r="4324" spans="1:4" ht="14.25">
      <c r="A4324" s="37">
        <v>42718</v>
      </c>
      <c r="B4324" s="37" t="s">
        <v>24988</v>
      </c>
      <c r="C4324" s="37" t="s">
        <v>2348</v>
      </c>
      <c r="D4324" s="37" t="s">
        <v>2351</v>
      </c>
    </row>
    <row r="4325" spans="1:4" ht="14.25">
      <c r="A4325" s="37">
        <v>7106</v>
      </c>
      <c r="B4325" s="37" t="s">
        <v>24989</v>
      </c>
      <c r="C4325" s="37" t="s">
        <v>2348</v>
      </c>
      <c r="D4325" s="37" t="s">
        <v>2349</v>
      </c>
    </row>
    <row r="4326" spans="1:4" ht="14.25">
      <c r="A4326" s="37">
        <v>7104</v>
      </c>
      <c r="B4326" s="37" t="s">
        <v>24990</v>
      </c>
      <c r="C4326" s="37" t="s">
        <v>2348</v>
      </c>
      <c r="D4326" s="37" t="s">
        <v>2349</v>
      </c>
    </row>
    <row r="4327" spans="1:4" ht="14.25">
      <c r="A4327" s="37">
        <v>7136</v>
      </c>
      <c r="B4327" s="37" t="s">
        <v>24991</v>
      </c>
      <c r="C4327" s="37" t="s">
        <v>2348</v>
      </c>
      <c r="D4327" s="37" t="s">
        <v>2349</v>
      </c>
    </row>
    <row r="4328" spans="1:4" ht="14.25">
      <c r="A4328" s="37">
        <v>7128</v>
      </c>
      <c r="B4328" s="37" t="s">
        <v>24992</v>
      </c>
      <c r="C4328" s="37" t="s">
        <v>2348</v>
      </c>
      <c r="D4328" s="37" t="s">
        <v>2349</v>
      </c>
    </row>
    <row r="4329" spans="1:4" ht="14.25">
      <c r="A4329" s="37">
        <v>7108</v>
      </c>
      <c r="B4329" s="37" t="s">
        <v>24993</v>
      </c>
      <c r="C4329" s="37" t="s">
        <v>2348</v>
      </c>
      <c r="D4329" s="37" t="s">
        <v>2349</v>
      </c>
    </row>
    <row r="4330" spans="1:4" ht="14.25">
      <c r="A4330" s="37">
        <v>7129</v>
      </c>
      <c r="B4330" s="37" t="s">
        <v>24994</v>
      </c>
      <c r="C4330" s="37" t="s">
        <v>2348</v>
      </c>
      <c r="D4330" s="37" t="s">
        <v>2349</v>
      </c>
    </row>
    <row r="4331" spans="1:4" ht="14.25">
      <c r="A4331" s="37">
        <v>7130</v>
      </c>
      <c r="B4331" s="37" t="s">
        <v>24995</v>
      </c>
      <c r="C4331" s="37" t="s">
        <v>2348</v>
      </c>
      <c r="D4331" s="37" t="s">
        <v>2349</v>
      </c>
    </row>
    <row r="4332" spans="1:4" ht="14.25">
      <c r="A4332" s="37">
        <v>7131</v>
      </c>
      <c r="B4332" s="37" t="s">
        <v>24996</v>
      </c>
      <c r="C4332" s="37" t="s">
        <v>2348</v>
      </c>
      <c r="D4332" s="37" t="s">
        <v>2349</v>
      </c>
    </row>
    <row r="4333" spans="1:4" ht="14.25">
      <c r="A4333" s="37">
        <v>7132</v>
      </c>
      <c r="B4333" s="37" t="s">
        <v>24997</v>
      </c>
      <c r="C4333" s="37" t="s">
        <v>2348</v>
      </c>
      <c r="D4333" s="37" t="s">
        <v>2349</v>
      </c>
    </row>
    <row r="4334" spans="1:4" ht="14.25">
      <c r="A4334" s="37">
        <v>7133</v>
      </c>
      <c r="B4334" s="37" t="s">
        <v>24998</v>
      </c>
      <c r="C4334" s="37" t="s">
        <v>2348</v>
      </c>
      <c r="D4334" s="37" t="s">
        <v>2349</v>
      </c>
    </row>
    <row r="4335" spans="1:4" ht="14.25">
      <c r="A4335" s="37">
        <v>37420</v>
      </c>
      <c r="B4335" s="37" t="s">
        <v>24999</v>
      </c>
      <c r="C4335" s="37" t="s">
        <v>2348</v>
      </c>
      <c r="D4335" s="37" t="s">
        <v>2351</v>
      </c>
    </row>
    <row r="4336" spans="1:4" ht="14.25">
      <c r="A4336" s="37">
        <v>37421</v>
      </c>
      <c r="B4336" s="37" t="s">
        <v>25000</v>
      </c>
      <c r="C4336" s="37" t="s">
        <v>2348</v>
      </c>
      <c r="D4336" s="37" t="s">
        <v>2351</v>
      </c>
    </row>
    <row r="4337" spans="1:4" ht="14.25">
      <c r="A4337" s="37">
        <v>37422</v>
      </c>
      <c r="B4337" s="37" t="s">
        <v>25001</v>
      </c>
      <c r="C4337" s="37" t="s">
        <v>2348</v>
      </c>
      <c r="D4337" s="37" t="s">
        <v>2351</v>
      </c>
    </row>
    <row r="4338" spans="1:4" ht="14.25">
      <c r="A4338" s="37">
        <v>37443</v>
      </c>
      <c r="B4338" s="37" t="s">
        <v>25002</v>
      </c>
      <c r="C4338" s="37" t="s">
        <v>2348</v>
      </c>
      <c r="D4338" s="37" t="s">
        <v>2351</v>
      </c>
    </row>
    <row r="4339" spans="1:4" ht="14.25">
      <c r="A4339" s="37">
        <v>37444</v>
      </c>
      <c r="B4339" s="37" t="s">
        <v>25003</v>
      </c>
      <c r="C4339" s="37" t="s">
        <v>2348</v>
      </c>
      <c r="D4339" s="37" t="s">
        <v>2351</v>
      </c>
    </row>
    <row r="4340" spans="1:4" ht="14.25">
      <c r="A4340" s="37">
        <v>37445</v>
      </c>
      <c r="B4340" s="37" t="s">
        <v>25004</v>
      </c>
      <c r="C4340" s="37" t="s">
        <v>2348</v>
      </c>
      <c r="D4340" s="37" t="s">
        <v>2351</v>
      </c>
    </row>
    <row r="4341" spans="1:4" ht="14.25">
      <c r="A4341" s="37">
        <v>37446</v>
      </c>
      <c r="B4341" s="37" t="s">
        <v>25005</v>
      </c>
      <c r="C4341" s="37" t="s">
        <v>2348</v>
      </c>
      <c r="D4341" s="37" t="s">
        <v>2351</v>
      </c>
    </row>
    <row r="4342" spans="1:4" ht="14.25">
      <c r="A4342" s="37">
        <v>37447</v>
      </c>
      <c r="B4342" s="37" t="s">
        <v>25006</v>
      </c>
      <c r="C4342" s="37" t="s">
        <v>2348</v>
      </c>
      <c r="D4342" s="37" t="s">
        <v>2351</v>
      </c>
    </row>
    <row r="4343" spans="1:4" ht="14.25">
      <c r="A4343" s="37">
        <v>37448</v>
      </c>
      <c r="B4343" s="37" t="s">
        <v>25007</v>
      </c>
      <c r="C4343" s="37" t="s">
        <v>2348</v>
      </c>
      <c r="D4343" s="37" t="s">
        <v>2351</v>
      </c>
    </row>
    <row r="4344" spans="1:4" ht="14.25">
      <c r="A4344" s="37">
        <v>37440</v>
      </c>
      <c r="B4344" s="37" t="s">
        <v>25008</v>
      </c>
      <c r="C4344" s="37" t="s">
        <v>2348</v>
      </c>
      <c r="D4344" s="37" t="s">
        <v>2351</v>
      </c>
    </row>
    <row r="4345" spans="1:4" ht="14.25">
      <c r="A4345" s="37">
        <v>37441</v>
      </c>
      <c r="B4345" s="37" t="s">
        <v>25009</v>
      </c>
      <c r="C4345" s="37" t="s">
        <v>2348</v>
      </c>
      <c r="D4345" s="37" t="s">
        <v>2351</v>
      </c>
    </row>
    <row r="4346" spans="1:4" ht="14.25">
      <c r="A4346" s="37">
        <v>37442</v>
      </c>
      <c r="B4346" s="37" t="s">
        <v>25010</v>
      </c>
      <c r="C4346" s="37" t="s">
        <v>2348</v>
      </c>
      <c r="D4346" s="37" t="s">
        <v>2351</v>
      </c>
    </row>
    <row r="4347" spans="1:4" ht="14.25">
      <c r="A4347" s="37">
        <v>38017</v>
      </c>
      <c r="B4347" s="37" t="s">
        <v>25011</v>
      </c>
      <c r="C4347" s="37" t="s">
        <v>2348</v>
      </c>
      <c r="D4347" s="37" t="s">
        <v>2349</v>
      </c>
    </row>
    <row r="4348" spans="1:4" ht="14.25">
      <c r="A4348" s="37">
        <v>38018</v>
      </c>
      <c r="B4348" s="37" t="s">
        <v>25012</v>
      </c>
      <c r="C4348" s="37" t="s">
        <v>2348</v>
      </c>
      <c r="D4348" s="37" t="s">
        <v>2349</v>
      </c>
    </row>
    <row r="4349" spans="1:4" ht="14.25">
      <c r="A4349" s="37">
        <v>39895</v>
      </c>
      <c r="B4349" s="37" t="s">
        <v>25013</v>
      </c>
      <c r="C4349" s="37" t="s">
        <v>2348</v>
      </c>
      <c r="D4349" s="37" t="s">
        <v>2351</v>
      </c>
    </row>
    <row r="4350" spans="1:4" ht="14.25">
      <c r="A4350" s="37">
        <v>39896</v>
      </c>
      <c r="B4350" s="37" t="s">
        <v>25014</v>
      </c>
      <c r="C4350" s="37" t="s">
        <v>2348</v>
      </c>
      <c r="D4350" s="37" t="s">
        <v>2351</v>
      </c>
    </row>
    <row r="4351" spans="1:4" ht="14.25">
      <c r="A4351" s="37">
        <v>38873</v>
      </c>
      <c r="B4351" s="37" t="s">
        <v>25015</v>
      </c>
      <c r="C4351" s="37" t="s">
        <v>2348</v>
      </c>
      <c r="D4351" s="37" t="s">
        <v>2351</v>
      </c>
    </row>
    <row r="4352" spans="1:4" ht="14.25">
      <c r="A4352" s="37">
        <v>38874</v>
      </c>
      <c r="B4352" s="37" t="s">
        <v>25016</v>
      </c>
      <c r="C4352" s="37" t="s">
        <v>2348</v>
      </c>
      <c r="D4352" s="37" t="s">
        <v>2351</v>
      </c>
    </row>
    <row r="4353" spans="1:4" ht="14.25">
      <c r="A4353" s="37">
        <v>38875</v>
      </c>
      <c r="B4353" s="37" t="s">
        <v>25017</v>
      </c>
      <c r="C4353" s="37" t="s">
        <v>2348</v>
      </c>
      <c r="D4353" s="37" t="s">
        <v>2351</v>
      </c>
    </row>
    <row r="4354" spans="1:4" ht="14.25">
      <c r="A4354" s="37">
        <v>38876</v>
      </c>
      <c r="B4354" s="37" t="s">
        <v>25018</v>
      </c>
      <c r="C4354" s="37" t="s">
        <v>2348</v>
      </c>
      <c r="D4354" s="37" t="s">
        <v>2351</v>
      </c>
    </row>
    <row r="4355" spans="1:4" ht="14.25">
      <c r="A4355" s="37">
        <v>39000</v>
      </c>
      <c r="B4355" s="37" t="s">
        <v>25019</v>
      </c>
      <c r="C4355" s="37" t="s">
        <v>2348</v>
      </c>
      <c r="D4355" s="37" t="s">
        <v>2351</v>
      </c>
    </row>
    <row r="4356" spans="1:4" ht="14.25">
      <c r="A4356" s="37">
        <v>38674</v>
      </c>
      <c r="B4356" s="37" t="s">
        <v>25020</v>
      </c>
      <c r="C4356" s="37" t="s">
        <v>2348</v>
      </c>
      <c r="D4356" s="37" t="s">
        <v>2349</v>
      </c>
    </row>
    <row r="4357" spans="1:4" ht="14.25">
      <c r="A4357" s="37">
        <v>38911</v>
      </c>
      <c r="B4357" s="37" t="s">
        <v>25021</v>
      </c>
      <c r="C4357" s="37" t="s">
        <v>2348</v>
      </c>
      <c r="D4357" s="37" t="s">
        <v>2351</v>
      </c>
    </row>
    <row r="4358" spans="1:4" ht="14.25">
      <c r="A4358" s="37">
        <v>38912</v>
      </c>
      <c r="B4358" s="37" t="s">
        <v>25022</v>
      </c>
      <c r="C4358" s="37" t="s">
        <v>2348</v>
      </c>
      <c r="D4358" s="37" t="s">
        <v>2351</v>
      </c>
    </row>
    <row r="4359" spans="1:4" ht="14.25">
      <c r="A4359" s="37">
        <v>38019</v>
      </c>
      <c r="B4359" s="37" t="s">
        <v>25023</v>
      </c>
      <c r="C4359" s="37" t="s">
        <v>2348</v>
      </c>
      <c r="D4359" s="37" t="s">
        <v>2349</v>
      </c>
    </row>
    <row r="4360" spans="1:4" ht="14.25">
      <c r="A4360" s="37">
        <v>38020</v>
      </c>
      <c r="B4360" s="37" t="s">
        <v>25024</v>
      </c>
      <c r="C4360" s="37" t="s">
        <v>2348</v>
      </c>
      <c r="D4360" s="37" t="s">
        <v>2349</v>
      </c>
    </row>
    <row r="4361" spans="1:4" ht="14.25">
      <c r="A4361" s="37">
        <v>38454</v>
      </c>
      <c r="B4361" s="37" t="s">
        <v>25025</v>
      </c>
      <c r="C4361" s="37" t="s">
        <v>2348</v>
      </c>
      <c r="D4361" s="37" t="s">
        <v>2351</v>
      </c>
    </row>
    <row r="4362" spans="1:4" ht="14.25">
      <c r="A4362" s="37">
        <v>38455</v>
      </c>
      <c r="B4362" s="37" t="s">
        <v>25026</v>
      </c>
      <c r="C4362" s="37" t="s">
        <v>2348</v>
      </c>
      <c r="D4362" s="37" t="s">
        <v>2351</v>
      </c>
    </row>
    <row r="4363" spans="1:4" ht="14.25">
      <c r="A4363" s="37">
        <v>38462</v>
      </c>
      <c r="B4363" s="37" t="s">
        <v>25027</v>
      </c>
      <c r="C4363" s="37" t="s">
        <v>2348</v>
      </c>
      <c r="D4363" s="37" t="s">
        <v>2351</v>
      </c>
    </row>
    <row r="4364" spans="1:4" ht="14.25">
      <c r="A4364" s="37">
        <v>36362</v>
      </c>
      <c r="B4364" s="37" t="s">
        <v>25028</v>
      </c>
      <c r="C4364" s="37" t="s">
        <v>2348</v>
      </c>
      <c r="D4364" s="37" t="s">
        <v>2351</v>
      </c>
    </row>
    <row r="4365" spans="1:4" ht="14.25">
      <c r="A4365" s="37">
        <v>36298</v>
      </c>
      <c r="B4365" s="37" t="s">
        <v>25029</v>
      </c>
      <c r="C4365" s="37" t="s">
        <v>2348</v>
      </c>
      <c r="D4365" s="37" t="s">
        <v>2351</v>
      </c>
    </row>
    <row r="4366" spans="1:4" ht="14.25">
      <c r="A4366" s="37">
        <v>38456</v>
      </c>
      <c r="B4366" s="37" t="s">
        <v>25030</v>
      </c>
      <c r="C4366" s="37" t="s">
        <v>2348</v>
      </c>
      <c r="D4366" s="37" t="s">
        <v>2351</v>
      </c>
    </row>
    <row r="4367" spans="1:4" ht="14.25">
      <c r="A4367" s="37">
        <v>38457</v>
      </c>
      <c r="B4367" s="37" t="s">
        <v>25031</v>
      </c>
      <c r="C4367" s="37" t="s">
        <v>2348</v>
      </c>
      <c r="D4367" s="37" t="s">
        <v>2351</v>
      </c>
    </row>
    <row r="4368" spans="1:4" ht="14.25">
      <c r="A4368" s="37">
        <v>38458</v>
      </c>
      <c r="B4368" s="37" t="s">
        <v>25032</v>
      </c>
      <c r="C4368" s="37" t="s">
        <v>2348</v>
      </c>
      <c r="D4368" s="37" t="s">
        <v>2351</v>
      </c>
    </row>
    <row r="4369" spans="1:4" ht="14.25">
      <c r="A4369" s="37">
        <v>38459</v>
      </c>
      <c r="B4369" s="37" t="s">
        <v>25033</v>
      </c>
      <c r="C4369" s="37" t="s">
        <v>2348</v>
      </c>
      <c r="D4369" s="37" t="s">
        <v>2351</v>
      </c>
    </row>
    <row r="4370" spans="1:4" ht="14.25">
      <c r="A4370" s="37">
        <v>38460</v>
      </c>
      <c r="B4370" s="37" t="s">
        <v>25034</v>
      </c>
      <c r="C4370" s="37" t="s">
        <v>2348</v>
      </c>
      <c r="D4370" s="37" t="s">
        <v>2351</v>
      </c>
    </row>
    <row r="4371" spans="1:4" ht="14.25">
      <c r="A4371" s="37">
        <v>38461</v>
      </c>
      <c r="B4371" s="37" t="s">
        <v>25035</v>
      </c>
      <c r="C4371" s="37" t="s">
        <v>2348</v>
      </c>
      <c r="D4371" s="37" t="s">
        <v>2351</v>
      </c>
    </row>
    <row r="4372" spans="1:4" ht="14.25">
      <c r="A4372" s="37">
        <v>7094</v>
      </c>
      <c r="B4372" s="37" t="s">
        <v>25036</v>
      </c>
      <c r="C4372" s="37" t="s">
        <v>2348</v>
      </c>
      <c r="D4372" s="37" t="s">
        <v>2349</v>
      </c>
    </row>
    <row r="4373" spans="1:4" ht="14.25">
      <c r="A4373" s="37">
        <v>7116</v>
      </c>
      <c r="B4373" s="37" t="s">
        <v>25037</v>
      </c>
      <c r="C4373" s="37" t="s">
        <v>2348</v>
      </c>
      <c r="D4373" s="37" t="s">
        <v>2349</v>
      </c>
    </row>
    <row r="4374" spans="1:4" ht="14.25">
      <c r="A4374" s="37">
        <v>7118</v>
      </c>
      <c r="B4374" s="37" t="s">
        <v>25038</v>
      </c>
      <c r="C4374" s="37" t="s">
        <v>2348</v>
      </c>
      <c r="D4374" s="37" t="s">
        <v>2349</v>
      </c>
    </row>
    <row r="4375" spans="1:4" ht="14.25">
      <c r="A4375" s="37">
        <v>7117</v>
      </c>
      <c r="B4375" s="37" t="s">
        <v>25039</v>
      </c>
      <c r="C4375" s="37" t="s">
        <v>2348</v>
      </c>
      <c r="D4375" s="37" t="s">
        <v>2349</v>
      </c>
    </row>
    <row r="4376" spans="1:4" ht="14.25">
      <c r="A4376" s="37">
        <v>7098</v>
      </c>
      <c r="B4376" s="37" t="s">
        <v>25040</v>
      </c>
      <c r="C4376" s="37" t="s">
        <v>2348</v>
      </c>
      <c r="D4376" s="37" t="s">
        <v>2349</v>
      </c>
    </row>
    <row r="4377" spans="1:4" ht="14.25">
      <c r="A4377" s="37">
        <v>7110</v>
      </c>
      <c r="B4377" s="37" t="s">
        <v>25041</v>
      </c>
      <c r="C4377" s="37" t="s">
        <v>2348</v>
      </c>
      <c r="D4377" s="37" t="s">
        <v>2349</v>
      </c>
    </row>
    <row r="4378" spans="1:4" ht="14.25">
      <c r="A4378" s="37">
        <v>7123</v>
      </c>
      <c r="B4378" s="37" t="s">
        <v>25042</v>
      </c>
      <c r="C4378" s="37" t="s">
        <v>2348</v>
      </c>
      <c r="D4378" s="37" t="s">
        <v>2349</v>
      </c>
    </row>
    <row r="4379" spans="1:4" ht="14.25">
      <c r="A4379" s="37">
        <v>7121</v>
      </c>
      <c r="B4379" s="37" t="s">
        <v>25043</v>
      </c>
      <c r="C4379" s="37" t="s">
        <v>2348</v>
      </c>
      <c r="D4379" s="37" t="s">
        <v>2349</v>
      </c>
    </row>
    <row r="4380" spans="1:4" ht="14.25">
      <c r="A4380" s="37">
        <v>7137</v>
      </c>
      <c r="B4380" s="37" t="s">
        <v>25044</v>
      </c>
      <c r="C4380" s="37" t="s">
        <v>2348</v>
      </c>
      <c r="D4380" s="37" t="s">
        <v>2349</v>
      </c>
    </row>
    <row r="4381" spans="1:4" ht="14.25">
      <c r="A4381" s="37">
        <v>7122</v>
      </c>
      <c r="B4381" s="37" t="s">
        <v>25045</v>
      </c>
      <c r="C4381" s="37" t="s">
        <v>2348</v>
      </c>
      <c r="D4381" s="37" t="s">
        <v>2349</v>
      </c>
    </row>
    <row r="4382" spans="1:4" ht="14.25">
      <c r="A4382" s="37">
        <v>7114</v>
      </c>
      <c r="B4382" s="37" t="s">
        <v>25046</v>
      </c>
      <c r="C4382" s="37" t="s">
        <v>2348</v>
      </c>
      <c r="D4382" s="37" t="s">
        <v>2349</v>
      </c>
    </row>
    <row r="4383" spans="1:4" ht="14.25">
      <c r="A4383" s="37">
        <v>7109</v>
      </c>
      <c r="B4383" s="37" t="s">
        <v>25047</v>
      </c>
      <c r="C4383" s="37" t="s">
        <v>2348</v>
      </c>
      <c r="D4383" s="37" t="s">
        <v>2349</v>
      </c>
    </row>
    <row r="4384" spans="1:4" ht="14.25">
      <c r="A4384" s="37">
        <v>7135</v>
      </c>
      <c r="B4384" s="37" t="s">
        <v>25048</v>
      </c>
      <c r="C4384" s="37" t="s">
        <v>2348</v>
      </c>
      <c r="D4384" s="37" t="s">
        <v>2349</v>
      </c>
    </row>
    <row r="4385" spans="1:4" ht="14.25">
      <c r="A4385" s="37">
        <v>37947</v>
      </c>
      <c r="B4385" s="37" t="s">
        <v>25049</v>
      </c>
      <c r="C4385" s="37" t="s">
        <v>2348</v>
      </c>
      <c r="D4385" s="37" t="s">
        <v>2349</v>
      </c>
    </row>
    <row r="4386" spans="1:4" ht="14.25">
      <c r="A4386" s="37">
        <v>7103</v>
      </c>
      <c r="B4386" s="37" t="s">
        <v>25050</v>
      </c>
      <c r="C4386" s="37" t="s">
        <v>2348</v>
      </c>
      <c r="D4386" s="37" t="s">
        <v>2349</v>
      </c>
    </row>
    <row r="4387" spans="1:4" ht="14.25">
      <c r="A4387" s="37">
        <v>40419</v>
      </c>
      <c r="B4387" s="37" t="s">
        <v>25051</v>
      </c>
      <c r="C4387" s="37" t="s">
        <v>2348</v>
      </c>
      <c r="D4387" s="37" t="s">
        <v>2351</v>
      </c>
    </row>
    <row r="4388" spans="1:4" ht="14.25">
      <c r="A4388" s="37">
        <v>40420</v>
      </c>
      <c r="B4388" s="37" t="s">
        <v>25052</v>
      </c>
      <c r="C4388" s="37" t="s">
        <v>2348</v>
      </c>
      <c r="D4388" s="37" t="s">
        <v>2351</v>
      </c>
    </row>
    <row r="4389" spans="1:4" ht="14.25">
      <c r="A4389" s="37">
        <v>40421</v>
      </c>
      <c r="B4389" s="37" t="s">
        <v>25053</v>
      </c>
      <c r="C4389" s="37" t="s">
        <v>2348</v>
      </c>
      <c r="D4389" s="37" t="s">
        <v>2351</v>
      </c>
    </row>
    <row r="4390" spans="1:4" ht="14.25">
      <c r="A4390" s="37">
        <v>7126</v>
      </c>
      <c r="B4390" s="37" t="s">
        <v>25054</v>
      </c>
      <c r="C4390" s="37" t="s">
        <v>2348</v>
      </c>
      <c r="D4390" s="37" t="s">
        <v>2349</v>
      </c>
    </row>
    <row r="4391" spans="1:4" ht="14.25">
      <c r="A4391" s="37">
        <v>38905</v>
      </c>
      <c r="B4391" s="37" t="s">
        <v>25055</v>
      </c>
      <c r="C4391" s="37" t="s">
        <v>2348</v>
      </c>
      <c r="D4391" s="37" t="s">
        <v>2351</v>
      </c>
    </row>
    <row r="4392" spans="1:4" ht="14.25">
      <c r="A4392" s="37">
        <v>38907</v>
      </c>
      <c r="B4392" s="37" t="s">
        <v>25056</v>
      </c>
      <c r="C4392" s="37" t="s">
        <v>2348</v>
      </c>
      <c r="D4392" s="37" t="s">
        <v>2351</v>
      </c>
    </row>
    <row r="4393" spans="1:4" ht="14.25">
      <c r="A4393" s="37">
        <v>38908</v>
      </c>
      <c r="B4393" s="37" t="s">
        <v>25057</v>
      </c>
      <c r="C4393" s="37" t="s">
        <v>2348</v>
      </c>
      <c r="D4393" s="37" t="s">
        <v>2351</v>
      </c>
    </row>
    <row r="4394" spans="1:4" ht="14.25">
      <c r="A4394" s="37">
        <v>38909</v>
      </c>
      <c r="B4394" s="37" t="s">
        <v>25058</v>
      </c>
      <c r="C4394" s="37" t="s">
        <v>2348</v>
      </c>
      <c r="D4394" s="37" t="s">
        <v>2351</v>
      </c>
    </row>
    <row r="4395" spans="1:4" ht="14.25">
      <c r="A4395" s="37">
        <v>38910</v>
      </c>
      <c r="B4395" s="37" t="s">
        <v>25059</v>
      </c>
      <c r="C4395" s="37" t="s">
        <v>2348</v>
      </c>
      <c r="D4395" s="37" t="s">
        <v>2351</v>
      </c>
    </row>
    <row r="4396" spans="1:4" ht="14.25">
      <c r="A4396" s="37">
        <v>38897</v>
      </c>
      <c r="B4396" s="37" t="s">
        <v>25060</v>
      </c>
      <c r="C4396" s="37" t="s">
        <v>2348</v>
      </c>
      <c r="D4396" s="37" t="s">
        <v>2351</v>
      </c>
    </row>
    <row r="4397" spans="1:4" ht="14.25">
      <c r="A4397" s="37">
        <v>38899</v>
      </c>
      <c r="B4397" s="37" t="s">
        <v>25061</v>
      </c>
      <c r="C4397" s="37" t="s">
        <v>2348</v>
      </c>
      <c r="D4397" s="37" t="s">
        <v>2351</v>
      </c>
    </row>
    <row r="4398" spans="1:4" ht="14.25">
      <c r="A4398" s="37">
        <v>38900</v>
      </c>
      <c r="B4398" s="37" t="s">
        <v>25062</v>
      </c>
      <c r="C4398" s="37" t="s">
        <v>2348</v>
      </c>
      <c r="D4398" s="37" t="s">
        <v>2351</v>
      </c>
    </row>
    <row r="4399" spans="1:4" ht="14.25">
      <c r="A4399" s="37">
        <v>38901</v>
      </c>
      <c r="B4399" s="37" t="s">
        <v>25063</v>
      </c>
      <c r="C4399" s="37" t="s">
        <v>2348</v>
      </c>
      <c r="D4399" s="37" t="s">
        <v>2351</v>
      </c>
    </row>
    <row r="4400" spans="1:4" ht="14.25">
      <c r="A4400" s="37">
        <v>38904</v>
      </c>
      <c r="B4400" s="37" t="s">
        <v>25064</v>
      </c>
      <c r="C4400" s="37" t="s">
        <v>2348</v>
      </c>
      <c r="D4400" s="37" t="s">
        <v>2351</v>
      </c>
    </row>
    <row r="4401" spans="1:4" ht="14.25">
      <c r="A4401" s="37">
        <v>38903</v>
      </c>
      <c r="B4401" s="37" t="s">
        <v>25065</v>
      </c>
      <c r="C4401" s="37" t="s">
        <v>2348</v>
      </c>
      <c r="D4401" s="37" t="s">
        <v>2351</v>
      </c>
    </row>
    <row r="4402" spans="1:4" ht="14.25">
      <c r="A4402" s="37">
        <v>7091</v>
      </c>
      <c r="B4402" s="37" t="s">
        <v>25066</v>
      </c>
      <c r="C4402" s="37" t="s">
        <v>2348</v>
      </c>
      <c r="D4402" s="37" t="s">
        <v>2349</v>
      </c>
    </row>
    <row r="4403" spans="1:4" ht="14.25">
      <c r="A4403" s="37">
        <v>11655</v>
      </c>
      <c r="B4403" s="37" t="s">
        <v>25067</v>
      </c>
      <c r="C4403" s="37" t="s">
        <v>2348</v>
      </c>
      <c r="D4403" s="37" t="s">
        <v>2349</v>
      </c>
    </row>
    <row r="4404" spans="1:4" ht="14.25">
      <c r="A4404" s="37">
        <v>11656</v>
      </c>
      <c r="B4404" s="37" t="s">
        <v>25068</v>
      </c>
      <c r="C4404" s="37" t="s">
        <v>2348</v>
      </c>
      <c r="D4404" s="37" t="s">
        <v>2349</v>
      </c>
    </row>
    <row r="4405" spans="1:4" ht="14.25">
      <c r="A4405" s="37">
        <v>37948</v>
      </c>
      <c r="B4405" s="37" t="s">
        <v>25069</v>
      </c>
      <c r="C4405" s="37" t="s">
        <v>2348</v>
      </c>
      <c r="D4405" s="37" t="s">
        <v>2349</v>
      </c>
    </row>
    <row r="4406" spans="1:4" ht="14.25">
      <c r="A4406" s="37">
        <v>7097</v>
      </c>
      <c r="B4406" s="37" t="s">
        <v>25070</v>
      </c>
      <c r="C4406" s="37" t="s">
        <v>2348</v>
      </c>
      <c r="D4406" s="37" t="s">
        <v>2349</v>
      </c>
    </row>
    <row r="4407" spans="1:4" ht="14.25">
      <c r="A4407" s="37">
        <v>11657</v>
      </c>
      <c r="B4407" s="37" t="s">
        <v>25071</v>
      </c>
      <c r="C4407" s="37" t="s">
        <v>2348</v>
      </c>
      <c r="D4407" s="37" t="s">
        <v>2349</v>
      </c>
    </row>
    <row r="4408" spans="1:4" ht="14.25">
      <c r="A4408" s="37">
        <v>11658</v>
      </c>
      <c r="B4408" s="37" t="s">
        <v>25072</v>
      </c>
      <c r="C4408" s="37" t="s">
        <v>2348</v>
      </c>
      <c r="D4408" s="37" t="s">
        <v>2349</v>
      </c>
    </row>
    <row r="4409" spans="1:4" ht="14.25">
      <c r="A4409" s="37">
        <v>7146</v>
      </c>
      <c r="B4409" s="37" t="s">
        <v>25073</v>
      </c>
      <c r="C4409" s="37" t="s">
        <v>2348</v>
      </c>
      <c r="D4409" s="37" t="s">
        <v>2349</v>
      </c>
    </row>
    <row r="4410" spans="1:4" ht="14.25">
      <c r="A4410" s="37">
        <v>7138</v>
      </c>
      <c r="B4410" s="37" t="s">
        <v>25074</v>
      </c>
      <c r="C4410" s="37" t="s">
        <v>2348</v>
      </c>
      <c r="D4410" s="37" t="s">
        <v>2349</v>
      </c>
    </row>
    <row r="4411" spans="1:4" ht="14.25">
      <c r="A4411" s="37">
        <v>7139</v>
      </c>
      <c r="B4411" s="37" t="s">
        <v>25075</v>
      </c>
      <c r="C4411" s="37" t="s">
        <v>2348</v>
      </c>
      <c r="D4411" s="37" t="s">
        <v>2349</v>
      </c>
    </row>
    <row r="4412" spans="1:4" ht="14.25">
      <c r="A4412" s="37">
        <v>7140</v>
      </c>
      <c r="B4412" s="37" t="s">
        <v>25076</v>
      </c>
      <c r="C4412" s="37" t="s">
        <v>2348</v>
      </c>
      <c r="D4412" s="37" t="s">
        <v>2349</v>
      </c>
    </row>
    <row r="4413" spans="1:4" ht="14.25">
      <c r="A4413" s="37">
        <v>7141</v>
      </c>
      <c r="B4413" s="37" t="s">
        <v>25077</v>
      </c>
      <c r="C4413" s="37" t="s">
        <v>2348</v>
      </c>
      <c r="D4413" s="37" t="s">
        <v>2349</v>
      </c>
    </row>
    <row r="4414" spans="1:4" ht="14.25">
      <c r="A4414" s="37">
        <v>7143</v>
      </c>
      <c r="B4414" s="37" t="s">
        <v>25078</v>
      </c>
      <c r="C4414" s="37" t="s">
        <v>2348</v>
      </c>
      <c r="D4414" s="37" t="s">
        <v>2349</v>
      </c>
    </row>
    <row r="4415" spans="1:4" ht="14.25">
      <c r="A4415" s="37">
        <v>7144</v>
      </c>
      <c r="B4415" s="37" t="s">
        <v>25079</v>
      </c>
      <c r="C4415" s="37" t="s">
        <v>2348</v>
      </c>
      <c r="D4415" s="37" t="s">
        <v>2349</v>
      </c>
    </row>
    <row r="4416" spans="1:4" ht="14.25">
      <c r="A4416" s="37">
        <v>7145</v>
      </c>
      <c r="B4416" s="37" t="s">
        <v>25080</v>
      </c>
      <c r="C4416" s="37" t="s">
        <v>2348</v>
      </c>
      <c r="D4416" s="37" t="s">
        <v>2349</v>
      </c>
    </row>
    <row r="4417" spans="1:4" ht="14.25">
      <c r="A4417" s="37">
        <v>7142</v>
      </c>
      <c r="B4417" s="37" t="s">
        <v>25081</v>
      </c>
      <c r="C4417" s="37" t="s">
        <v>2348</v>
      </c>
      <c r="D4417" s="37" t="s">
        <v>2349</v>
      </c>
    </row>
    <row r="4418" spans="1:4" ht="14.25">
      <c r="A4418" s="37">
        <v>3593</v>
      </c>
      <c r="B4418" s="37" t="s">
        <v>25082</v>
      </c>
      <c r="C4418" s="37" t="s">
        <v>2348</v>
      </c>
      <c r="D4418" s="37" t="s">
        <v>2351</v>
      </c>
    </row>
    <row r="4419" spans="1:4" ht="14.25">
      <c r="A4419" s="37">
        <v>3588</v>
      </c>
      <c r="B4419" s="37" t="s">
        <v>25083</v>
      </c>
      <c r="C4419" s="37" t="s">
        <v>2348</v>
      </c>
      <c r="D4419" s="37" t="s">
        <v>2351</v>
      </c>
    </row>
    <row r="4420" spans="1:4" ht="14.25">
      <c r="A4420" s="37">
        <v>3585</v>
      </c>
      <c r="B4420" s="37" t="s">
        <v>25084</v>
      </c>
      <c r="C4420" s="37" t="s">
        <v>2348</v>
      </c>
      <c r="D4420" s="37" t="s">
        <v>2351</v>
      </c>
    </row>
    <row r="4421" spans="1:4" ht="14.25">
      <c r="A4421" s="37">
        <v>3587</v>
      </c>
      <c r="B4421" s="37" t="s">
        <v>25085</v>
      </c>
      <c r="C4421" s="37" t="s">
        <v>2348</v>
      </c>
      <c r="D4421" s="37" t="s">
        <v>2351</v>
      </c>
    </row>
    <row r="4422" spans="1:4" ht="14.25">
      <c r="A4422" s="37">
        <v>3590</v>
      </c>
      <c r="B4422" s="37" t="s">
        <v>25086</v>
      </c>
      <c r="C4422" s="37" t="s">
        <v>2348</v>
      </c>
      <c r="D4422" s="37" t="s">
        <v>2351</v>
      </c>
    </row>
    <row r="4423" spans="1:4" ht="14.25">
      <c r="A4423" s="37">
        <v>3589</v>
      </c>
      <c r="B4423" s="37" t="s">
        <v>25087</v>
      </c>
      <c r="C4423" s="37" t="s">
        <v>2348</v>
      </c>
      <c r="D4423" s="37" t="s">
        <v>2351</v>
      </c>
    </row>
    <row r="4424" spans="1:4" ht="14.25">
      <c r="A4424" s="37">
        <v>3586</v>
      </c>
      <c r="B4424" s="37" t="s">
        <v>25088</v>
      </c>
      <c r="C4424" s="37" t="s">
        <v>2348</v>
      </c>
      <c r="D4424" s="37" t="s">
        <v>2351</v>
      </c>
    </row>
    <row r="4425" spans="1:4" ht="14.25">
      <c r="A4425" s="37">
        <v>3592</v>
      </c>
      <c r="B4425" s="37" t="s">
        <v>25089</v>
      </c>
      <c r="C4425" s="37" t="s">
        <v>2348</v>
      </c>
      <c r="D4425" s="37" t="s">
        <v>2351</v>
      </c>
    </row>
    <row r="4426" spans="1:4" ht="14.25">
      <c r="A4426" s="37">
        <v>3591</v>
      </c>
      <c r="B4426" s="37" t="s">
        <v>25090</v>
      </c>
      <c r="C4426" s="37" t="s">
        <v>2348</v>
      </c>
      <c r="D4426" s="37" t="s">
        <v>2351</v>
      </c>
    </row>
    <row r="4427" spans="1:4" ht="14.25">
      <c r="A4427" s="37">
        <v>40396</v>
      </c>
      <c r="B4427" s="37" t="s">
        <v>25091</v>
      </c>
      <c r="C4427" s="37" t="s">
        <v>2348</v>
      </c>
      <c r="D4427" s="37" t="s">
        <v>2349</v>
      </c>
    </row>
    <row r="4428" spans="1:4" ht="14.25">
      <c r="A4428" s="37">
        <v>40395</v>
      </c>
      <c r="B4428" s="37" t="s">
        <v>25092</v>
      </c>
      <c r="C4428" s="37" t="s">
        <v>2348</v>
      </c>
      <c r="D4428" s="37" t="s">
        <v>2349</v>
      </c>
    </row>
    <row r="4429" spans="1:4" ht="14.25">
      <c r="A4429" s="37">
        <v>40392</v>
      </c>
      <c r="B4429" s="37" t="s">
        <v>25093</v>
      </c>
      <c r="C4429" s="37" t="s">
        <v>2348</v>
      </c>
      <c r="D4429" s="37" t="s">
        <v>2349</v>
      </c>
    </row>
    <row r="4430" spans="1:4" ht="14.25">
      <c r="A4430" s="37">
        <v>40394</v>
      </c>
      <c r="B4430" s="37" t="s">
        <v>25094</v>
      </c>
      <c r="C4430" s="37" t="s">
        <v>2348</v>
      </c>
      <c r="D4430" s="37" t="s">
        <v>2349</v>
      </c>
    </row>
    <row r="4431" spans="1:4" ht="14.25">
      <c r="A4431" s="37">
        <v>40398</v>
      </c>
      <c r="B4431" s="37" t="s">
        <v>25095</v>
      </c>
      <c r="C4431" s="37" t="s">
        <v>2348</v>
      </c>
      <c r="D4431" s="37" t="s">
        <v>2349</v>
      </c>
    </row>
    <row r="4432" spans="1:4" ht="14.25">
      <c r="A4432" s="37">
        <v>40397</v>
      </c>
      <c r="B4432" s="37" t="s">
        <v>25096</v>
      </c>
      <c r="C4432" s="37" t="s">
        <v>2348</v>
      </c>
      <c r="D4432" s="37" t="s">
        <v>2349</v>
      </c>
    </row>
    <row r="4433" spans="1:4" ht="14.25">
      <c r="A4433" s="37">
        <v>40393</v>
      </c>
      <c r="B4433" s="37" t="s">
        <v>25097</v>
      </c>
      <c r="C4433" s="37" t="s">
        <v>2348</v>
      </c>
      <c r="D4433" s="37" t="s">
        <v>2349</v>
      </c>
    </row>
    <row r="4434" spans="1:4" ht="14.25">
      <c r="A4434" s="37">
        <v>40399</v>
      </c>
      <c r="B4434" s="37" t="s">
        <v>25098</v>
      </c>
      <c r="C4434" s="37" t="s">
        <v>2348</v>
      </c>
      <c r="D4434" s="37" t="s">
        <v>2349</v>
      </c>
    </row>
    <row r="4435" spans="1:4" ht="14.25">
      <c r="A4435" s="37">
        <v>39322</v>
      </c>
      <c r="B4435" s="37" t="s">
        <v>25099</v>
      </c>
      <c r="C4435" s="37" t="s">
        <v>2348</v>
      </c>
      <c r="D4435" s="37" t="s">
        <v>2351</v>
      </c>
    </row>
    <row r="4436" spans="1:4" ht="14.25">
      <c r="A4436" s="37">
        <v>39289</v>
      </c>
      <c r="B4436" s="37" t="s">
        <v>25100</v>
      </c>
      <c r="C4436" s="37" t="s">
        <v>2348</v>
      </c>
      <c r="D4436" s="37" t="s">
        <v>2351</v>
      </c>
    </row>
    <row r="4437" spans="1:4" ht="14.25">
      <c r="A4437" s="37">
        <v>39290</v>
      </c>
      <c r="B4437" s="37" t="s">
        <v>25101</v>
      </c>
      <c r="C4437" s="37" t="s">
        <v>2348</v>
      </c>
      <c r="D4437" s="37" t="s">
        <v>2351</v>
      </c>
    </row>
    <row r="4438" spans="1:4" ht="14.25">
      <c r="A4438" s="37">
        <v>39291</v>
      </c>
      <c r="B4438" s="37" t="s">
        <v>25102</v>
      </c>
      <c r="C4438" s="37" t="s">
        <v>2348</v>
      </c>
      <c r="D4438" s="37" t="s">
        <v>2351</v>
      </c>
    </row>
    <row r="4439" spans="1:4" ht="14.25">
      <c r="A4439" s="37">
        <v>20174</v>
      </c>
      <c r="B4439" s="37" t="s">
        <v>25103</v>
      </c>
      <c r="C4439" s="37" t="s">
        <v>2348</v>
      </c>
      <c r="D4439" s="37" t="s">
        <v>2349</v>
      </c>
    </row>
    <row r="4440" spans="1:4" ht="14.25">
      <c r="A4440" s="37">
        <v>41892</v>
      </c>
      <c r="B4440" s="37" t="s">
        <v>25104</v>
      </c>
      <c r="C4440" s="37" t="s">
        <v>2348</v>
      </c>
      <c r="D4440" s="37" t="s">
        <v>2351</v>
      </c>
    </row>
    <row r="4441" spans="1:4" ht="14.25">
      <c r="A4441" s="37">
        <v>7048</v>
      </c>
      <c r="B4441" s="37" t="s">
        <v>25105</v>
      </c>
      <c r="C4441" s="37" t="s">
        <v>2348</v>
      </c>
      <c r="D4441" s="37" t="s">
        <v>2351</v>
      </c>
    </row>
    <row r="4442" spans="1:4" ht="14.25">
      <c r="A4442" s="37">
        <v>7088</v>
      </c>
      <c r="B4442" s="37" t="s">
        <v>25106</v>
      </c>
      <c r="C4442" s="37" t="s">
        <v>2348</v>
      </c>
      <c r="D4442" s="37" t="s">
        <v>2351</v>
      </c>
    </row>
    <row r="4443" spans="1:4" ht="14.25">
      <c r="A4443" s="37">
        <v>20179</v>
      </c>
      <c r="B4443" s="37" t="s">
        <v>25107</v>
      </c>
      <c r="C4443" s="37" t="s">
        <v>2348</v>
      </c>
      <c r="D4443" s="37" t="s">
        <v>2349</v>
      </c>
    </row>
    <row r="4444" spans="1:4" ht="14.25">
      <c r="A4444" s="37">
        <v>20178</v>
      </c>
      <c r="B4444" s="37" t="s">
        <v>25108</v>
      </c>
      <c r="C4444" s="37" t="s">
        <v>2348</v>
      </c>
      <c r="D4444" s="37" t="s">
        <v>2349</v>
      </c>
    </row>
    <row r="4445" spans="1:4" ht="14.25">
      <c r="A4445" s="37">
        <v>20180</v>
      </c>
      <c r="B4445" s="37" t="s">
        <v>25109</v>
      </c>
      <c r="C4445" s="37" t="s">
        <v>2348</v>
      </c>
      <c r="D4445" s="37" t="s">
        <v>2349</v>
      </c>
    </row>
    <row r="4446" spans="1:4" ht="14.25">
      <c r="A4446" s="37">
        <v>20181</v>
      </c>
      <c r="B4446" s="37" t="s">
        <v>25110</v>
      </c>
      <c r="C4446" s="37" t="s">
        <v>2348</v>
      </c>
      <c r="D4446" s="37" t="s">
        <v>2349</v>
      </c>
    </row>
    <row r="4447" spans="1:4" ht="14.25">
      <c r="A4447" s="37">
        <v>20177</v>
      </c>
      <c r="B4447" s="37" t="s">
        <v>25111</v>
      </c>
      <c r="C4447" s="37" t="s">
        <v>2348</v>
      </c>
      <c r="D4447" s="37" t="s">
        <v>2349</v>
      </c>
    </row>
    <row r="4448" spans="1:4" ht="14.25">
      <c r="A4448" s="37">
        <v>7082</v>
      </c>
      <c r="B4448" s="37" t="s">
        <v>25112</v>
      </c>
      <c r="C4448" s="37" t="s">
        <v>2348</v>
      </c>
      <c r="D4448" s="37" t="s">
        <v>2351</v>
      </c>
    </row>
    <row r="4449" spans="1:4" ht="14.25">
      <c r="A4449" s="37">
        <v>42707</v>
      </c>
      <c r="B4449" s="37" t="s">
        <v>25113</v>
      </c>
      <c r="C4449" s="37" t="s">
        <v>2348</v>
      </c>
      <c r="D4449" s="37" t="s">
        <v>2351</v>
      </c>
    </row>
    <row r="4450" spans="1:4" ht="14.25">
      <c r="A4450" s="37">
        <v>7069</v>
      </c>
      <c r="B4450" s="37" t="s">
        <v>25114</v>
      </c>
      <c r="C4450" s="37" t="s">
        <v>2348</v>
      </c>
      <c r="D4450" s="37" t="s">
        <v>2351</v>
      </c>
    </row>
    <row r="4451" spans="1:4" ht="14.25">
      <c r="A4451" s="37">
        <v>42708</v>
      </c>
      <c r="B4451" s="37" t="s">
        <v>25115</v>
      </c>
      <c r="C4451" s="37" t="s">
        <v>2348</v>
      </c>
      <c r="D4451" s="37" t="s">
        <v>2351</v>
      </c>
    </row>
    <row r="4452" spans="1:4" ht="14.25">
      <c r="A4452" s="37">
        <v>7070</v>
      </c>
      <c r="B4452" s="37" t="s">
        <v>25116</v>
      </c>
      <c r="C4452" s="37" t="s">
        <v>2348</v>
      </c>
      <c r="D4452" s="37" t="s">
        <v>2351</v>
      </c>
    </row>
    <row r="4453" spans="1:4" ht="14.25">
      <c r="A4453" s="37">
        <v>42709</v>
      </c>
      <c r="B4453" s="37" t="s">
        <v>25117</v>
      </c>
      <c r="C4453" s="37" t="s">
        <v>2348</v>
      </c>
      <c r="D4453" s="37" t="s">
        <v>2351</v>
      </c>
    </row>
    <row r="4454" spans="1:4" ht="14.25">
      <c r="A4454" s="37">
        <v>42710</v>
      </c>
      <c r="B4454" s="37" t="s">
        <v>25118</v>
      </c>
      <c r="C4454" s="37" t="s">
        <v>2348</v>
      </c>
      <c r="D4454" s="37" t="s">
        <v>2351</v>
      </c>
    </row>
    <row r="4455" spans="1:4" ht="14.25">
      <c r="A4455" s="37">
        <v>42716</v>
      </c>
      <c r="B4455" s="37" t="s">
        <v>25119</v>
      </c>
      <c r="C4455" s="37" t="s">
        <v>2348</v>
      </c>
      <c r="D4455" s="37" t="s">
        <v>2351</v>
      </c>
    </row>
    <row r="4456" spans="1:4" ht="14.25">
      <c r="A4456" s="37">
        <v>20172</v>
      </c>
      <c r="B4456" s="37" t="s">
        <v>25120</v>
      </c>
      <c r="C4456" s="37" t="s">
        <v>2348</v>
      </c>
      <c r="D4456" s="37" t="s">
        <v>2351</v>
      </c>
    </row>
    <row r="4457" spans="1:4" ht="14.25">
      <c r="A4457" s="37">
        <v>40945</v>
      </c>
      <c r="B4457" s="37" t="s">
        <v>25121</v>
      </c>
      <c r="C4457" s="37" t="s">
        <v>2352</v>
      </c>
      <c r="D4457" s="37" t="s">
        <v>2349</v>
      </c>
    </row>
    <row r="4458" spans="1:4" ht="14.25">
      <c r="A4458" s="37">
        <v>40946</v>
      </c>
      <c r="B4458" s="37" t="s">
        <v>25122</v>
      </c>
      <c r="C4458" s="37" t="s">
        <v>2369</v>
      </c>
      <c r="D4458" s="37" t="s">
        <v>2349</v>
      </c>
    </row>
    <row r="4459" spans="1:4" ht="14.25">
      <c r="A4459" s="37">
        <v>7153</v>
      </c>
      <c r="B4459" s="37" t="s">
        <v>25123</v>
      </c>
      <c r="C4459" s="37" t="s">
        <v>2352</v>
      </c>
      <c r="D4459" s="37" t="s">
        <v>2349</v>
      </c>
    </row>
    <row r="4460" spans="1:4" ht="14.25">
      <c r="A4460" s="37">
        <v>41089</v>
      </c>
      <c r="B4460" s="37" t="s">
        <v>25124</v>
      </c>
      <c r="C4460" s="37" t="s">
        <v>2369</v>
      </c>
      <c r="D4460" s="37" t="s">
        <v>2349</v>
      </c>
    </row>
    <row r="4461" spans="1:4" ht="14.25">
      <c r="A4461" s="37">
        <v>40943</v>
      </c>
      <c r="B4461" s="37" t="s">
        <v>25125</v>
      </c>
      <c r="C4461" s="37" t="s">
        <v>2352</v>
      </c>
      <c r="D4461" s="37" t="s">
        <v>2349</v>
      </c>
    </row>
    <row r="4462" spans="1:4" ht="14.25">
      <c r="A4462" s="37">
        <v>40944</v>
      </c>
      <c r="B4462" s="37" t="s">
        <v>25126</v>
      </c>
      <c r="C4462" s="37" t="s">
        <v>2369</v>
      </c>
      <c r="D4462" s="37" t="s">
        <v>2349</v>
      </c>
    </row>
    <row r="4463" spans="1:4" ht="14.25">
      <c r="A4463" s="37">
        <v>6175</v>
      </c>
      <c r="B4463" s="37" t="s">
        <v>25127</v>
      </c>
      <c r="C4463" s="37" t="s">
        <v>2352</v>
      </c>
      <c r="D4463" s="37" t="s">
        <v>2349</v>
      </c>
    </row>
    <row r="4464" spans="1:4" ht="14.25">
      <c r="A4464" s="37">
        <v>41092</v>
      </c>
      <c r="B4464" s="37" t="s">
        <v>25128</v>
      </c>
      <c r="C4464" s="37" t="s">
        <v>2369</v>
      </c>
      <c r="D4464" s="37" t="s">
        <v>2349</v>
      </c>
    </row>
    <row r="4465" spans="1:4" ht="14.25">
      <c r="A4465" s="37">
        <v>37712</v>
      </c>
      <c r="B4465" s="37" t="s">
        <v>25129</v>
      </c>
      <c r="C4465" s="37" t="s">
        <v>2350</v>
      </c>
      <c r="D4465" s="37" t="s">
        <v>2351</v>
      </c>
    </row>
    <row r="4466" spans="1:4" ht="14.25">
      <c r="A4466" s="37">
        <v>34547</v>
      </c>
      <c r="B4466" s="37" t="s">
        <v>25130</v>
      </c>
      <c r="C4466" s="37" t="s">
        <v>2355</v>
      </c>
      <c r="D4466" s="37" t="s">
        <v>2349</v>
      </c>
    </row>
    <row r="4467" spans="1:4" ht="14.25">
      <c r="A4467" s="37">
        <v>34548</v>
      </c>
      <c r="B4467" s="37" t="s">
        <v>25131</v>
      </c>
      <c r="C4467" s="37" t="s">
        <v>2355</v>
      </c>
      <c r="D4467" s="37" t="s">
        <v>2349</v>
      </c>
    </row>
    <row r="4468" spans="1:4" ht="14.25">
      <c r="A4468" s="37">
        <v>34558</v>
      </c>
      <c r="B4468" s="37" t="s">
        <v>25132</v>
      </c>
      <c r="C4468" s="37" t="s">
        <v>2355</v>
      </c>
      <c r="D4468" s="37" t="s">
        <v>2349</v>
      </c>
    </row>
    <row r="4469" spans="1:4" ht="14.25">
      <c r="A4469" s="37">
        <v>34550</v>
      </c>
      <c r="B4469" s="37" t="s">
        <v>25133</v>
      </c>
      <c r="C4469" s="37" t="s">
        <v>2355</v>
      </c>
      <c r="D4469" s="37" t="s">
        <v>2349</v>
      </c>
    </row>
    <row r="4470" spans="1:4" ht="14.25">
      <c r="A4470" s="37">
        <v>34557</v>
      </c>
      <c r="B4470" s="37" t="s">
        <v>25134</v>
      </c>
      <c r="C4470" s="37" t="s">
        <v>2355</v>
      </c>
      <c r="D4470" s="37" t="s">
        <v>2349</v>
      </c>
    </row>
    <row r="4471" spans="1:4" ht="14.25">
      <c r="A4471" s="37">
        <v>37411</v>
      </c>
      <c r="B4471" s="37" t="s">
        <v>25135</v>
      </c>
      <c r="C4471" s="37" t="s">
        <v>2350</v>
      </c>
      <c r="D4471" s="37" t="s">
        <v>2349</v>
      </c>
    </row>
    <row r="4472" spans="1:4" ht="14.25">
      <c r="A4472" s="37">
        <v>39508</v>
      </c>
      <c r="B4472" s="37" t="s">
        <v>25136</v>
      </c>
      <c r="C4472" s="37" t="s">
        <v>2350</v>
      </c>
      <c r="D4472" s="37" t="s">
        <v>2349</v>
      </c>
    </row>
    <row r="4473" spans="1:4" ht="14.25">
      <c r="A4473" s="37">
        <v>39507</v>
      </c>
      <c r="B4473" s="37" t="s">
        <v>25137</v>
      </c>
      <c r="C4473" s="37" t="s">
        <v>2350</v>
      </c>
      <c r="D4473" s="37" t="s">
        <v>2349</v>
      </c>
    </row>
    <row r="4474" spans="1:4" ht="14.25">
      <c r="A4474" s="37">
        <v>7155</v>
      </c>
      <c r="B4474" s="37" t="s">
        <v>25138</v>
      </c>
      <c r="C4474" s="37" t="s">
        <v>2350</v>
      </c>
      <c r="D4474" s="37" t="s">
        <v>2349</v>
      </c>
    </row>
    <row r="4475" spans="1:4" ht="14.25">
      <c r="A4475" s="37">
        <v>42406</v>
      </c>
      <c r="B4475" s="37" t="s">
        <v>25139</v>
      </c>
      <c r="C4475" s="37" t="s">
        <v>2350</v>
      </c>
      <c r="D4475" s="37" t="s">
        <v>2349</v>
      </c>
    </row>
    <row r="4476" spans="1:4" ht="14.25">
      <c r="A4476" s="37">
        <v>7156</v>
      </c>
      <c r="B4476" s="37" t="s">
        <v>25140</v>
      </c>
      <c r="C4476" s="37" t="s">
        <v>2350</v>
      </c>
      <c r="D4476" s="37" t="s">
        <v>2353</v>
      </c>
    </row>
    <row r="4477" spans="1:4" ht="14.25">
      <c r="A4477" s="37">
        <v>43127</v>
      </c>
      <c r="B4477" s="37" t="s">
        <v>25141</v>
      </c>
      <c r="C4477" s="37" t="s">
        <v>2350</v>
      </c>
      <c r="D4477" s="37" t="s">
        <v>2349</v>
      </c>
    </row>
    <row r="4478" spans="1:4" ht="14.25">
      <c r="A4478" s="37">
        <v>10917</v>
      </c>
      <c r="B4478" s="37" t="s">
        <v>25142</v>
      </c>
      <c r="C4478" s="37" t="s">
        <v>2350</v>
      </c>
      <c r="D4478" s="37" t="s">
        <v>2349</v>
      </c>
    </row>
    <row r="4479" spans="1:4" ht="14.25">
      <c r="A4479" s="37">
        <v>21141</v>
      </c>
      <c r="B4479" s="37" t="s">
        <v>25143</v>
      </c>
      <c r="C4479" s="37" t="s">
        <v>2350</v>
      </c>
      <c r="D4479" s="37" t="s">
        <v>2349</v>
      </c>
    </row>
    <row r="4480" spans="1:4" ht="14.25">
      <c r="A4480" s="37">
        <v>39509</v>
      </c>
      <c r="B4480" s="37" t="s">
        <v>25144</v>
      </c>
      <c r="C4480" s="37" t="s">
        <v>2350</v>
      </c>
      <c r="D4480" s="37" t="s">
        <v>2349</v>
      </c>
    </row>
    <row r="4481" spans="1:4" ht="14.25">
      <c r="A4481" s="37">
        <v>44529</v>
      </c>
      <c r="B4481" s="37" t="s">
        <v>28116</v>
      </c>
      <c r="C4481" s="37" t="s">
        <v>2350</v>
      </c>
      <c r="D4481" s="37" t="s">
        <v>2351</v>
      </c>
    </row>
    <row r="4482" spans="1:4" ht="14.25">
      <c r="A4482" s="37">
        <v>7167</v>
      </c>
      <c r="B4482" s="37" t="s">
        <v>25145</v>
      </c>
      <c r="C4482" s="37" t="s">
        <v>2350</v>
      </c>
      <c r="D4482" s="37" t="s">
        <v>2351</v>
      </c>
    </row>
    <row r="4483" spans="1:4" ht="14.25">
      <c r="A4483" s="37">
        <v>10928</v>
      </c>
      <c r="B4483" s="37" t="s">
        <v>25146</v>
      </c>
      <c r="C4483" s="37" t="s">
        <v>2350</v>
      </c>
      <c r="D4483" s="37" t="s">
        <v>2351</v>
      </c>
    </row>
    <row r="4484" spans="1:4" ht="14.25">
      <c r="A4484" s="37">
        <v>10933</v>
      </c>
      <c r="B4484" s="37" t="s">
        <v>25147</v>
      </c>
      <c r="C4484" s="37" t="s">
        <v>2350</v>
      </c>
      <c r="D4484" s="37" t="s">
        <v>2351</v>
      </c>
    </row>
    <row r="4485" spans="1:4" ht="14.25">
      <c r="A4485" s="37">
        <v>7158</v>
      </c>
      <c r="B4485" s="37" t="s">
        <v>25148</v>
      </c>
      <c r="C4485" s="37" t="s">
        <v>2350</v>
      </c>
      <c r="D4485" s="37" t="s">
        <v>2351</v>
      </c>
    </row>
    <row r="4486" spans="1:4" ht="14.25">
      <c r="A4486" s="37">
        <v>10927</v>
      </c>
      <c r="B4486" s="37" t="s">
        <v>25149</v>
      </c>
      <c r="C4486" s="37" t="s">
        <v>2350</v>
      </c>
      <c r="D4486" s="37" t="s">
        <v>2351</v>
      </c>
    </row>
    <row r="4487" spans="1:4" ht="14.25">
      <c r="A4487" s="37">
        <v>7162</v>
      </c>
      <c r="B4487" s="37" t="s">
        <v>25150</v>
      </c>
      <c r="C4487" s="37" t="s">
        <v>2350</v>
      </c>
      <c r="D4487" s="37" t="s">
        <v>2351</v>
      </c>
    </row>
    <row r="4488" spans="1:4" ht="14.25">
      <c r="A4488" s="37">
        <v>10932</v>
      </c>
      <c r="B4488" s="37" t="s">
        <v>25151</v>
      </c>
      <c r="C4488" s="37" t="s">
        <v>2350</v>
      </c>
      <c r="D4488" s="37" t="s">
        <v>2351</v>
      </c>
    </row>
    <row r="4489" spans="1:4" ht="14.25">
      <c r="A4489" s="37">
        <v>10937</v>
      </c>
      <c r="B4489" s="37" t="s">
        <v>25152</v>
      </c>
      <c r="C4489" s="37" t="s">
        <v>2350</v>
      </c>
      <c r="D4489" s="37" t="s">
        <v>2351</v>
      </c>
    </row>
    <row r="4490" spans="1:4" ht="14.25">
      <c r="A4490" s="37">
        <v>10935</v>
      </c>
      <c r="B4490" s="37" t="s">
        <v>25153</v>
      </c>
      <c r="C4490" s="37" t="s">
        <v>2350</v>
      </c>
      <c r="D4490" s="37" t="s">
        <v>2351</v>
      </c>
    </row>
    <row r="4491" spans="1:4" ht="14.25">
      <c r="A4491" s="37">
        <v>10931</v>
      </c>
      <c r="B4491" s="37" t="s">
        <v>25154</v>
      </c>
      <c r="C4491" s="37" t="s">
        <v>2350</v>
      </c>
      <c r="D4491" s="37" t="s">
        <v>2351</v>
      </c>
    </row>
    <row r="4492" spans="1:4" ht="14.25">
      <c r="A4492" s="37">
        <v>7164</v>
      </c>
      <c r="B4492" s="37" t="s">
        <v>25155</v>
      </c>
      <c r="C4492" s="37" t="s">
        <v>2350</v>
      </c>
      <c r="D4492" s="37" t="s">
        <v>2351</v>
      </c>
    </row>
    <row r="4493" spans="1:4" ht="14.25">
      <c r="A4493" s="37">
        <v>36887</v>
      </c>
      <c r="B4493" s="37" t="s">
        <v>25156</v>
      </c>
      <c r="C4493" s="37" t="s">
        <v>2350</v>
      </c>
      <c r="D4493" s="37" t="s">
        <v>2349</v>
      </c>
    </row>
    <row r="4494" spans="1:4" ht="14.25">
      <c r="A4494" s="37">
        <v>34630</v>
      </c>
      <c r="B4494" s="37" t="s">
        <v>25157</v>
      </c>
      <c r="C4494" s="37" t="s">
        <v>2348</v>
      </c>
      <c r="D4494" s="37" t="s">
        <v>2351</v>
      </c>
    </row>
    <row r="4495" spans="1:4" ht="14.25">
      <c r="A4495" s="37">
        <v>7161</v>
      </c>
      <c r="B4495" s="37" t="s">
        <v>25158</v>
      </c>
      <c r="C4495" s="37" t="s">
        <v>2350</v>
      </c>
      <c r="D4495" s="37" t="s">
        <v>2351</v>
      </c>
    </row>
    <row r="4496" spans="1:4" ht="14.25">
      <c r="A4496" s="37">
        <v>7170</v>
      </c>
      <c r="B4496" s="37" t="s">
        <v>25159</v>
      </c>
      <c r="C4496" s="37" t="s">
        <v>2350</v>
      </c>
      <c r="D4496" s="37" t="s">
        <v>2349</v>
      </c>
    </row>
    <row r="4497" spans="1:4" ht="14.25">
      <c r="A4497" s="37">
        <v>37524</v>
      </c>
      <c r="B4497" s="37" t="s">
        <v>25160</v>
      </c>
      <c r="C4497" s="37" t="s">
        <v>2355</v>
      </c>
      <c r="D4497" s="37" t="s">
        <v>2353</v>
      </c>
    </row>
    <row r="4498" spans="1:4" ht="14.25">
      <c r="A4498" s="37">
        <v>37525</v>
      </c>
      <c r="B4498" s="37" t="s">
        <v>25161</v>
      </c>
      <c r="C4498" s="37" t="s">
        <v>2355</v>
      </c>
      <c r="D4498" s="37" t="s">
        <v>2349</v>
      </c>
    </row>
    <row r="4499" spans="1:4" ht="14.25">
      <c r="A4499" s="37">
        <v>36789</v>
      </c>
      <c r="B4499" s="37" t="s">
        <v>25162</v>
      </c>
      <c r="C4499" s="37" t="s">
        <v>2348</v>
      </c>
      <c r="D4499" s="37" t="s">
        <v>2349</v>
      </c>
    </row>
    <row r="4500" spans="1:4" ht="14.25">
      <c r="A4500" s="37">
        <v>7173</v>
      </c>
      <c r="B4500" s="37" t="s">
        <v>25163</v>
      </c>
      <c r="C4500" s="37" t="s">
        <v>2387</v>
      </c>
      <c r="D4500" s="37" t="s">
        <v>2353</v>
      </c>
    </row>
    <row r="4501" spans="1:4" ht="14.25">
      <c r="A4501" s="37">
        <v>7175</v>
      </c>
      <c r="B4501" s="37" t="s">
        <v>25164</v>
      </c>
      <c r="C4501" s="37" t="s">
        <v>2348</v>
      </c>
      <c r="D4501" s="37" t="s">
        <v>2349</v>
      </c>
    </row>
    <row r="4502" spans="1:4" ht="14.25">
      <c r="A4502" s="37">
        <v>40741</v>
      </c>
      <c r="B4502" s="37" t="s">
        <v>25165</v>
      </c>
      <c r="C4502" s="37" t="s">
        <v>2348</v>
      </c>
      <c r="D4502" s="37" t="s">
        <v>2349</v>
      </c>
    </row>
    <row r="4503" spans="1:4" ht="14.25">
      <c r="A4503" s="37">
        <v>7184</v>
      </c>
      <c r="B4503" s="37" t="s">
        <v>25166</v>
      </c>
      <c r="C4503" s="37" t="s">
        <v>2350</v>
      </c>
      <c r="D4503" s="37" t="s">
        <v>2351</v>
      </c>
    </row>
    <row r="4504" spans="1:4" ht="14.25">
      <c r="A4504" s="37">
        <v>34458</v>
      </c>
      <c r="B4504" s="37" t="s">
        <v>25167</v>
      </c>
      <c r="C4504" s="37" t="s">
        <v>2348</v>
      </c>
      <c r="D4504" s="37" t="s">
        <v>2349</v>
      </c>
    </row>
    <row r="4505" spans="1:4" ht="14.25">
      <c r="A4505" s="37">
        <v>34464</v>
      </c>
      <c r="B4505" s="37" t="s">
        <v>25168</v>
      </c>
      <c r="C4505" s="37" t="s">
        <v>2348</v>
      </c>
      <c r="D4505" s="37" t="s">
        <v>2349</v>
      </c>
    </row>
    <row r="4506" spans="1:4" ht="14.25">
      <c r="A4506" s="37">
        <v>34468</v>
      </c>
      <c r="B4506" s="37" t="s">
        <v>25169</v>
      </c>
      <c r="C4506" s="37" t="s">
        <v>2348</v>
      </c>
      <c r="D4506" s="37" t="s">
        <v>2349</v>
      </c>
    </row>
    <row r="4507" spans="1:4" ht="14.25">
      <c r="A4507" s="37">
        <v>34473</v>
      </c>
      <c r="B4507" s="37" t="s">
        <v>25170</v>
      </c>
      <c r="C4507" s="37" t="s">
        <v>2348</v>
      </c>
      <c r="D4507" s="37" t="s">
        <v>2349</v>
      </c>
    </row>
    <row r="4508" spans="1:4" ht="14.25">
      <c r="A4508" s="37">
        <v>34480</v>
      </c>
      <c r="B4508" s="37" t="s">
        <v>25171</v>
      </c>
      <c r="C4508" s="37" t="s">
        <v>2348</v>
      </c>
      <c r="D4508" s="37" t="s">
        <v>2349</v>
      </c>
    </row>
    <row r="4509" spans="1:4" ht="14.25">
      <c r="A4509" s="37">
        <v>34486</v>
      </c>
      <c r="B4509" s="37" t="s">
        <v>25172</v>
      </c>
      <c r="C4509" s="37" t="s">
        <v>2348</v>
      </c>
      <c r="D4509" s="37" t="s">
        <v>2349</v>
      </c>
    </row>
    <row r="4510" spans="1:4" ht="14.25">
      <c r="A4510" s="37">
        <v>7190</v>
      </c>
      <c r="B4510" s="37" t="s">
        <v>25173</v>
      </c>
      <c r="C4510" s="37" t="s">
        <v>2348</v>
      </c>
      <c r="D4510" s="37" t="s">
        <v>2349</v>
      </c>
    </row>
    <row r="4511" spans="1:4" ht="14.25">
      <c r="A4511" s="37">
        <v>34417</v>
      </c>
      <c r="B4511" s="37" t="s">
        <v>25174</v>
      </c>
      <c r="C4511" s="37" t="s">
        <v>2348</v>
      </c>
      <c r="D4511" s="37" t="s">
        <v>2349</v>
      </c>
    </row>
    <row r="4512" spans="1:4" ht="14.25">
      <c r="A4512" s="37">
        <v>7213</v>
      </c>
      <c r="B4512" s="37" t="s">
        <v>25175</v>
      </c>
      <c r="C4512" s="37" t="s">
        <v>2350</v>
      </c>
      <c r="D4512" s="37" t="s">
        <v>2349</v>
      </c>
    </row>
    <row r="4513" spans="1:4" ht="14.25">
      <c r="A4513" s="37">
        <v>7195</v>
      </c>
      <c r="B4513" s="37" t="s">
        <v>25176</v>
      </c>
      <c r="C4513" s="37" t="s">
        <v>2348</v>
      </c>
      <c r="D4513" s="37" t="s">
        <v>2349</v>
      </c>
    </row>
    <row r="4514" spans="1:4" ht="14.25">
      <c r="A4514" s="37">
        <v>7186</v>
      </c>
      <c r="B4514" s="37" t="s">
        <v>25177</v>
      </c>
      <c r="C4514" s="37" t="s">
        <v>2348</v>
      </c>
      <c r="D4514" s="37" t="s">
        <v>2353</v>
      </c>
    </row>
    <row r="4515" spans="1:4" ht="14.25">
      <c r="A4515" s="37">
        <v>7194</v>
      </c>
      <c r="B4515" s="37" t="s">
        <v>25178</v>
      </c>
      <c r="C4515" s="37" t="s">
        <v>2350</v>
      </c>
      <c r="D4515" s="37" t="s">
        <v>2349</v>
      </c>
    </row>
    <row r="4516" spans="1:4" ht="14.25">
      <c r="A4516" s="37">
        <v>7197</v>
      </c>
      <c r="B4516" s="37" t="s">
        <v>25179</v>
      </c>
      <c r="C4516" s="37" t="s">
        <v>2348</v>
      </c>
      <c r="D4516" s="37" t="s">
        <v>2349</v>
      </c>
    </row>
    <row r="4517" spans="1:4" ht="14.25">
      <c r="A4517" s="37">
        <v>7192</v>
      </c>
      <c r="B4517" s="37" t="s">
        <v>25180</v>
      </c>
      <c r="C4517" s="37" t="s">
        <v>2348</v>
      </c>
      <c r="D4517" s="37" t="s">
        <v>2349</v>
      </c>
    </row>
    <row r="4518" spans="1:4" ht="14.25">
      <c r="A4518" s="37">
        <v>7193</v>
      </c>
      <c r="B4518" s="37" t="s">
        <v>25181</v>
      </c>
      <c r="C4518" s="37" t="s">
        <v>2348</v>
      </c>
      <c r="D4518" s="37" t="s">
        <v>2349</v>
      </c>
    </row>
    <row r="4519" spans="1:4" ht="14.25">
      <c r="A4519" s="37">
        <v>7189</v>
      </c>
      <c r="B4519" s="37" t="s">
        <v>25182</v>
      </c>
      <c r="C4519" s="37" t="s">
        <v>2348</v>
      </c>
      <c r="D4519" s="37" t="s">
        <v>2349</v>
      </c>
    </row>
    <row r="4520" spans="1:4" ht="14.25">
      <c r="A4520" s="37">
        <v>34402</v>
      </c>
      <c r="B4520" s="37" t="s">
        <v>25183</v>
      </c>
      <c r="C4520" s="37" t="s">
        <v>2348</v>
      </c>
      <c r="D4520" s="37" t="s">
        <v>2349</v>
      </c>
    </row>
    <row r="4521" spans="1:4" ht="14.25">
      <c r="A4521" s="37">
        <v>7245</v>
      </c>
      <c r="B4521" s="37" t="s">
        <v>25184</v>
      </c>
      <c r="C4521" s="37" t="s">
        <v>2348</v>
      </c>
      <c r="D4521" s="37" t="s">
        <v>2349</v>
      </c>
    </row>
    <row r="4522" spans="1:4" ht="14.25">
      <c r="A4522" s="37">
        <v>34425</v>
      </c>
      <c r="B4522" s="37" t="s">
        <v>25185</v>
      </c>
      <c r="C4522" s="37" t="s">
        <v>2348</v>
      </c>
      <c r="D4522" s="37" t="s">
        <v>2349</v>
      </c>
    </row>
    <row r="4523" spans="1:4" ht="14.25">
      <c r="A4523" s="37">
        <v>7223</v>
      </c>
      <c r="B4523" s="37" t="s">
        <v>25186</v>
      </c>
      <c r="C4523" s="37" t="s">
        <v>2348</v>
      </c>
      <c r="D4523" s="37" t="s">
        <v>2349</v>
      </c>
    </row>
    <row r="4524" spans="1:4" ht="14.25">
      <c r="A4524" s="37">
        <v>7234</v>
      </c>
      <c r="B4524" s="37" t="s">
        <v>25187</v>
      </c>
      <c r="C4524" s="37" t="s">
        <v>2348</v>
      </c>
      <c r="D4524" s="37" t="s">
        <v>2349</v>
      </c>
    </row>
    <row r="4525" spans="1:4" ht="14.25">
      <c r="A4525" s="37">
        <v>7224</v>
      </c>
      <c r="B4525" s="37" t="s">
        <v>25188</v>
      </c>
      <c r="C4525" s="37" t="s">
        <v>2348</v>
      </c>
      <c r="D4525" s="37" t="s">
        <v>2349</v>
      </c>
    </row>
    <row r="4526" spans="1:4" ht="14.25">
      <c r="A4526" s="37">
        <v>7225</v>
      </c>
      <c r="B4526" s="37" t="s">
        <v>25189</v>
      </c>
      <c r="C4526" s="37" t="s">
        <v>2348</v>
      </c>
      <c r="D4526" s="37" t="s">
        <v>2349</v>
      </c>
    </row>
    <row r="4527" spans="1:4" ht="14.25">
      <c r="A4527" s="37">
        <v>7226</v>
      </c>
      <c r="B4527" s="37" t="s">
        <v>25190</v>
      </c>
      <c r="C4527" s="37" t="s">
        <v>2348</v>
      </c>
      <c r="D4527" s="37" t="s">
        <v>2349</v>
      </c>
    </row>
    <row r="4528" spans="1:4" ht="14.25">
      <c r="A4528" s="37">
        <v>7227</v>
      </c>
      <c r="B4528" s="37" t="s">
        <v>25191</v>
      </c>
      <c r="C4528" s="37" t="s">
        <v>2348</v>
      </c>
      <c r="D4528" s="37" t="s">
        <v>2349</v>
      </c>
    </row>
    <row r="4529" spans="1:4" ht="14.25">
      <c r="A4529" s="37">
        <v>7212</v>
      </c>
      <c r="B4529" s="37" t="s">
        <v>25192</v>
      </c>
      <c r="C4529" s="37" t="s">
        <v>2348</v>
      </c>
      <c r="D4529" s="37" t="s">
        <v>2349</v>
      </c>
    </row>
    <row r="4530" spans="1:4" ht="14.25">
      <c r="A4530" s="37">
        <v>7229</v>
      </c>
      <c r="B4530" s="37" t="s">
        <v>25193</v>
      </c>
      <c r="C4530" s="37" t="s">
        <v>2348</v>
      </c>
      <c r="D4530" s="37" t="s">
        <v>2349</v>
      </c>
    </row>
    <row r="4531" spans="1:4" ht="14.25">
      <c r="A4531" s="37">
        <v>7230</v>
      </c>
      <c r="B4531" s="37" t="s">
        <v>25194</v>
      </c>
      <c r="C4531" s="37" t="s">
        <v>2348</v>
      </c>
      <c r="D4531" s="37" t="s">
        <v>2349</v>
      </c>
    </row>
    <row r="4532" spans="1:4" ht="14.25">
      <c r="A4532" s="37">
        <v>7231</v>
      </c>
      <c r="B4532" s="37" t="s">
        <v>25195</v>
      </c>
      <c r="C4532" s="37" t="s">
        <v>2348</v>
      </c>
      <c r="D4532" s="37" t="s">
        <v>2349</v>
      </c>
    </row>
    <row r="4533" spans="1:4" ht="14.25">
      <c r="A4533" s="37">
        <v>7220</v>
      </c>
      <c r="B4533" s="37" t="s">
        <v>25196</v>
      </c>
      <c r="C4533" s="37" t="s">
        <v>2348</v>
      </c>
      <c r="D4533" s="37" t="s">
        <v>2349</v>
      </c>
    </row>
    <row r="4534" spans="1:4" ht="14.25">
      <c r="A4534" s="37">
        <v>34447</v>
      </c>
      <c r="B4534" s="37" t="s">
        <v>25197</v>
      </c>
      <c r="C4534" s="37" t="s">
        <v>2348</v>
      </c>
      <c r="D4534" s="37" t="s">
        <v>2349</v>
      </c>
    </row>
    <row r="4535" spans="1:4" ht="14.25">
      <c r="A4535" s="37">
        <v>7233</v>
      </c>
      <c r="B4535" s="37" t="s">
        <v>25198</v>
      </c>
      <c r="C4535" s="37" t="s">
        <v>2348</v>
      </c>
      <c r="D4535" s="37" t="s">
        <v>2349</v>
      </c>
    </row>
    <row r="4536" spans="1:4" ht="14.25">
      <c r="A4536" s="37">
        <v>40740</v>
      </c>
      <c r="B4536" s="37" t="s">
        <v>28117</v>
      </c>
      <c r="C4536" s="37" t="s">
        <v>2350</v>
      </c>
      <c r="D4536" s="37" t="s">
        <v>2351</v>
      </c>
    </row>
    <row r="4537" spans="1:4" ht="14.25">
      <c r="A4537" s="37">
        <v>25007</v>
      </c>
      <c r="B4537" s="37" t="s">
        <v>25199</v>
      </c>
      <c r="C4537" s="37" t="s">
        <v>2350</v>
      </c>
      <c r="D4537" s="37" t="s">
        <v>2351</v>
      </c>
    </row>
    <row r="4538" spans="1:4" ht="14.25">
      <c r="A4538" s="37">
        <v>43071</v>
      </c>
      <c r="B4538" s="37" t="s">
        <v>25200</v>
      </c>
      <c r="C4538" s="37" t="s">
        <v>2350</v>
      </c>
      <c r="D4538" s="37" t="s">
        <v>2351</v>
      </c>
    </row>
    <row r="4539" spans="1:4" ht="14.25">
      <c r="A4539" s="37">
        <v>39520</v>
      </c>
      <c r="B4539" s="37" t="s">
        <v>25201</v>
      </c>
      <c r="C4539" s="37" t="s">
        <v>2350</v>
      </c>
      <c r="D4539" s="37" t="s">
        <v>2351</v>
      </c>
    </row>
    <row r="4540" spans="1:4" ht="14.25">
      <c r="A4540" s="37">
        <v>39521</v>
      </c>
      <c r="B4540" s="37" t="s">
        <v>25202</v>
      </c>
      <c r="C4540" s="37" t="s">
        <v>2350</v>
      </c>
      <c r="D4540" s="37" t="s">
        <v>2351</v>
      </c>
    </row>
    <row r="4541" spans="1:4" ht="14.25">
      <c r="A4541" s="37">
        <v>39522</v>
      </c>
      <c r="B4541" s="37" t="s">
        <v>25203</v>
      </c>
      <c r="C4541" s="37" t="s">
        <v>2350</v>
      </c>
      <c r="D4541" s="37" t="s">
        <v>2351</v>
      </c>
    </row>
    <row r="4542" spans="1:4" ht="14.25">
      <c r="A4542" s="37">
        <v>7243</v>
      </c>
      <c r="B4542" s="37" t="s">
        <v>25204</v>
      </c>
      <c r="C4542" s="37" t="s">
        <v>2350</v>
      </c>
      <c r="D4542" s="37" t="s">
        <v>2351</v>
      </c>
    </row>
    <row r="4543" spans="1:4" ht="14.25">
      <c r="A4543" s="37">
        <v>11067</v>
      </c>
      <c r="B4543" s="37" t="s">
        <v>25205</v>
      </c>
      <c r="C4543" s="37" t="s">
        <v>2348</v>
      </c>
      <c r="D4543" s="37" t="s">
        <v>2351</v>
      </c>
    </row>
    <row r="4544" spans="1:4" ht="14.25">
      <c r="A4544" s="37">
        <v>11068</v>
      </c>
      <c r="B4544" s="37" t="s">
        <v>25206</v>
      </c>
      <c r="C4544" s="37" t="s">
        <v>2348</v>
      </c>
      <c r="D4544" s="37" t="s">
        <v>2351</v>
      </c>
    </row>
    <row r="4545" spans="1:4" ht="14.25">
      <c r="A4545" s="37">
        <v>7246</v>
      </c>
      <c r="B4545" s="37" t="s">
        <v>25207</v>
      </c>
      <c r="C4545" s="37" t="s">
        <v>2348</v>
      </c>
      <c r="D4545" s="37" t="s">
        <v>2349</v>
      </c>
    </row>
    <row r="4546" spans="1:4" ht="14.25">
      <c r="A4546" s="37">
        <v>12869</v>
      </c>
      <c r="B4546" s="37" t="s">
        <v>25208</v>
      </c>
      <c r="C4546" s="37" t="s">
        <v>2352</v>
      </c>
      <c r="D4546" s="37" t="s">
        <v>2349</v>
      </c>
    </row>
    <row r="4547" spans="1:4" ht="14.25">
      <c r="A4547" s="37">
        <v>41097</v>
      </c>
      <c r="B4547" s="37" t="s">
        <v>25209</v>
      </c>
      <c r="C4547" s="37" t="s">
        <v>2369</v>
      </c>
      <c r="D4547" s="37" t="s">
        <v>2349</v>
      </c>
    </row>
    <row r="4548" spans="1:4" ht="14.25">
      <c r="A4548" s="37">
        <v>1574</v>
      </c>
      <c r="B4548" s="37" t="s">
        <v>25210</v>
      </c>
      <c r="C4548" s="37" t="s">
        <v>2348</v>
      </c>
      <c r="D4548" s="37" t="s">
        <v>2349</v>
      </c>
    </row>
    <row r="4549" spans="1:4" ht="14.25">
      <c r="A4549" s="37">
        <v>1581</v>
      </c>
      <c r="B4549" s="37" t="s">
        <v>25211</v>
      </c>
      <c r="C4549" s="37" t="s">
        <v>2348</v>
      </c>
      <c r="D4549" s="37" t="s">
        <v>2349</v>
      </c>
    </row>
    <row r="4550" spans="1:4" ht="14.25">
      <c r="A4550" s="37">
        <v>1575</v>
      </c>
      <c r="B4550" s="37" t="s">
        <v>25212</v>
      </c>
      <c r="C4550" s="37" t="s">
        <v>2348</v>
      </c>
      <c r="D4550" s="37" t="s">
        <v>2349</v>
      </c>
    </row>
    <row r="4551" spans="1:4" ht="14.25">
      <c r="A4551" s="37">
        <v>1570</v>
      </c>
      <c r="B4551" s="37" t="s">
        <v>25213</v>
      </c>
      <c r="C4551" s="37" t="s">
        <v>2348</v>
      </c>
      <c r="D4551" s="37" t="s">
        <v>2349</v>
      </c>
    </row>
    <row r="4552" spans="1:4" ht="14.25">
      <c r="A4552" s="37">
        <v>1576</v>
      </c>
      <c r="B4552" s="37" t="s">
        <v>25214</v>
      </c>
      <c r="C4552" s="37" t="s">
        <v>2348</v>
      </c>
      <c r="D4552" s="37" t="s">
        <v>2349</v>
      </c>
    </row>
    <row r="4553" spans="1:4" ht="14.25">
      <c r="A4553" s="37">
        <v>1577</v>
      </c>
      <c r="B4553" s="37" t="s">
        <v>25215</v>
      </c>
      <c r="C4553" s="37" t="s">
        <v>2348</v>
      </c>
      <c r="D4553" s="37" t="s">
        <v>2349</v>
      </c>
    </row>
    <row r="4554" spans="1:4" ht="14.25">
      <c r="A4554" s="37">
        <v>1571</v>
      </c>
      <c r="B4554" s="37" t="s">
        <v>25216</v>
      </c>
      <c r="C4554" s="37" t="s">
        <v>2348</v>
      </c>
      <c r="D4554" s="37" t="s">
        <v>2349</v>
      </c>
    </row>
    <row r="4555" spans="1:4" ht="14.25">
      <c r="A4555" s="37">
        <v>1578</v>
      </c>
      <c r="B4555" s="37" t="s">
        <v>25217</v>
      </c>
      <c r="C4555" s="37" t="s">
        <v>2348</v>
      </c>
      <c r="D4555" s="37" t="s">
        <v>2349</v>
      </c>
    </row>
    <row r="4556" spans="1:4" ht="14.25">
      <c r="A4556" s="37">
        <v>1573</v>
      </c>
      <c r="B4556" s="37" t="s">
        <v>25218</v>
      </c>
      <c r="C4556" s="37" t="s">
        <v>2348</v>
      </c>
      <c r="D4556" s="37" t="s">
        <v>2349</v>
      </c>
    </row>
    <row r="4557" spans="1:4" ht="14.25">
      <c r="A4557" s="37">
        <v>1579</v>
      </c>
      <c r="B4557" s="37" t="s">
        <v>25219</v>
      </c>
      <c r="C4557" s="37" t="s">
        <v>2348</v>
      </c>
      <c r="D4557" s="37" t="s">
        <v>2349</v>
      </c>
    </row>
    <row r="4558" spans="1:4" ht="14.25">
      <c r="A4558" s="37">
        <v>1580</v>
      </c>
      <c r="B4558" s="37" t="s">
        <v>25220</v>
      </c>
      <c r="C4558" s="37" t="s">
        <v>2348</v>
      </c>
      <c r="D4558" s="37" t="s">
        <v>2349</v>
      </c>
    </row>
    <row r="4559" spans="1:4" ht="14.25">
      <c r="A4559" s="37">
        <v>39321</v>
      </c>
      <c r="B4559" s="37" t="s">
        <v>25221</v>
      </c>
      <c r="C4559" s="37" t="s">
        <v>2348</v>
      </c>
      <c r="D4559" s="37" t="s">
        <v>2349</v>
      </c>
    </row>
    <row r="4560" spans="1:4" ht="14.25">
      <c r="A4560" s="37">
        <v>39319</v>
      </c>
      <c r="B4560" s="37" t="s">
        <v>25222</v>
      </c>
      <c r="C4560" s="37" t="s">
        <v>2348</v>
      </c>
      <c r="D4560" s="37" t="s">
        <v>2349</v>
      </c>
    </row>
    <row r="4561" spans="1:4" ht="14.25">
      <c r="A4561" s="37">
        <v>39320</v>
      </c>
      <c r="B4561" s="37" t="s">
        <v>25223</v>
      </c>
      <c r="C4561" s="37" t="s">
        <v>2348</v>
      </c>
      <c r="D4561" s="37" t="s">
        <v>2349</v>
      </c>
    </row>
    <row r="4562" spans="1:4" ht="14.25">
      <c r="A4562" s="37">
        <v>1591</v>
      </c>
      <c r="B4562" s="37" t="s">
        <v>25224</v>
      </c>
      <c r="C4562" s="37" t="s">
        <v>2348</v>
      </c>
      <c r="D4562" s="37" t="s">
        <v>2349</v>
      </c>
    </row>
    <row r="4563" spans="1:4" ht="14.25">
      <c r="A4563" s="37">
        <v>1547</v>
      </c>
      <c r="B4563" s="37" t="s">
        <v>25225</v>
      </c>
      <c r="C4563" s="37" t="s">
        <v>2348</v>
      </c>
      <c r="D4563" s="37" t="s">
        <v>2349</v>
      </c>
    </row>
    <row r="4564" spans="1:4" ht="14.25">
      <c r="A4564" s="37">
        <v>38196</v>
      </c>
      <c r="B4564" s="37" t="s">
        <v>25226</v>
      </c>
      <c r="C4564" s="37" t="s">
        <v>2348</v>
      </c>
      <c r="D4564" s="37" t="s">
        <v>2349</v>
      </c>
    </row>
    <row r="4565" spans="1:4" ht="14.25">
      <c r="A4565" s="37">
        <v>1543</v>
      </c>
      <c r="B4565" s="37" t="s">
        <v>25227</v>
      </c>
      <c r="C4565" s="37" t="s">
        <v>2348</v>
      </c>
      <c r="D4565" s="37" t="s">
        <v>2349</v>
      </c>
    </row>
    <row r="4566" spans="1:4" ht="14.25">
      <c r="A4566" s="37">
        <v>1585</v>
      </c>
      <c r="B4566" s="37" t="s">
        <v>25228</v>
      </c>
      <c r="C4566" s="37" t="s">
        <v>2348</v>
      </c>
      <c r="D4566" s="37" t="s">
        <v>2349</v>
      </c>
    </row>
    <row r="4567" spans="1:4" ht="14.25">
      <c r="A4567" s="37">
        <v>1593</v>
      </c>
      <c r="B4567" s="37" t="s">
        <v>25229</v>
      </c>
      <c r="C4567" s="37" t="s">
        <v>2348</v>
      </c>
      <c r="D4567" s="37" t="s">
        <v>2349</v>
      </c>
    </row>
    <row r="4568" spans="1:4" ht="14.25">
      <c r="A4568" s="37">
        <v>11838</v>
      </c>
      <c r="B4568" s="37" t="s">
        <v>25230</v>
      </c>
      <c r="C4568" s="37" t="s">
        <v>2348</v>
      </c>
      <c r="D4568" s="37" t="s">
        <v>2349</v>
      </c>
    </row>
    <row r="4569" spans="1:4" ht="14.25">
      <c r="A4569" s="37">
        <v>1594</v>
      </c>
      <c r="B4569" s="37" t="s">
        <v>25231</v>
      </c>
      <c r="C4569" s="37" t="s">
        <v>2348</v>
      </c>
      <c r="D4569" s="37" t="s">
        <v>2349</v>
      </c>
    </row>
    <row r="4570" spans="1:4" ht="14.25">
      <c r="A4570" s="37">
        <v>1586</v>
      </c>
      <c r="B4570" s="37" t="s">
        <v>25232</v>
      </c>
      <c r="C4570" s="37" t="s">
        <v>2348</v>
      </c>
      <c r="D4570" s="37" t="s">
        <v>2349</v>
      </c>
    </row>
    <row r="4571" spans="1:4" ht="14.25">
      <c r="A4571" s="37">
        <v>11839</v>
      </c>
      <c r="B4571" s="37" t="s">
        <v>25233</v>
      </c>
      <c r="C4571" s="37" t="s">
        <v>2348</v>
      </c>
      <c r="D4571" s="37" t="s">
        <v>2349</v>
      </c>
    </row>
    <row r="4572" spans="1:4" ht="14.25">
      <c r="A4572" s="37">
        <v>1587</v>
      </c>
      <c r="B4572" s="37" t="s">
        <v>25234</v>
      </c>
      <c r="C4572" s="37" t="s">
        <v>2348</v>
      </c>
      <c r="D4572" s="37" t="s">
        <v>2349</v>
      </c>
    </row>
    <row r="4573" spans="1:4" ht="14.25">
      <c r="A4573" s="37">
        <v>1545</v>
      </c>
      <c r="B4573" s="37" t="s">
        <v>25235</v>
      </c>
      <c r="C4573" s="37" t="s">
        <v>2348</v>
      </c>
      <c r="D4573" s="37" t="s">
        <v>2349</v>
      </c>
    </row>
    <row r="4574" spans="1:4" ht="14.25">
      <c r="A4574" s="37">
        <v>1588</v>
      </c>
      <c r="B4574" s="37" t="s">
        <v>25236</v>
      </c>
      <c r="C4574" s="37" t="s">
        <v>2348</v>
      </c>
      <c r="D4574" s="37" t="s">
        <v>2349</v>
      </c>
    </row>
    <row r="4575" spans="1:4" ht="14.25">
      <c r="A4575" s="37">
        <v>1535</v>
      </c>
      <c r="B4575" s="37" t="s">
        <v>25237</v>
      </c>
      <c r="C4575" s="37" t="s">
        <v>2348</v>
      </c>
      <c r="D4575" s="37" t="s">
        <v>2349</v>
      </c>
    </row>
    <row r="4576" spans="1:4" ht="14.25">
      <c r="A4576" s="37">
        <v>1589</v>
      </c>
      <c r="B4576" s="37" t="s">
        <v>25238</v>
      </c>
      <c r="C4576" s="37" t="s">
        <v>2348</v>
      </c>
      <c r="D4576" s="37" t="s">
        <v>2349</v>
      </c>
    </row>
    <row r="4577" spans="1:4" ht="14.25">
      <c r="A4577" s="37">
        <v>1546</v>
      </c>
      <c r="B4577" s="37" t="s">
        <v>25239</v>
      </c>
      <c r="C4577" s="37" t="s">
        <v>2348</v>
      </c>
      <c r="D4577" s="37" t="s">
        <v>2349</v>
      </c>
    </row>
    <row r="4578" spans="1:4" ht="14.25">
      <c r="A4578" s="37">
        <v>1590</v>
      </c>
      <c r="B4578" s="37" t="s">
        <v>25240</v>
      </c>
      <c r="C4578" s="37" t="s">
        <v>2348</v>
      </c>
      <c r="D4578" s="37" t="s">
        <v>2349</v>
      </c>
    </row>
    <row r="4579" spans="1:4" ht="14.25">
      <c r="A4579" s="37">
        <v>1542</v>
      </c>
      <c r="B4579" s="37" t="s">
        <v>25241</v>
      </c>
      <c r="C4579" s="37" t="s">
        <v>2348</v>
      </c>
      <c r="D4579" s="37" t="s">
        <v>2349</v>
      </c>
    </row>
    <row r="4580" spans="1:4" ht="14.25">
      <c r="A4580" s="37">
        <v>38415</v>
      </c>
      <c r="B4580" s="37" t="s">
        <v>25242</v>
      </c>
      <c r="C4580" s="37" t="s">
        <v>2348</v>
      </c>
      <c r="D4580" s="37" t="s">
        <v>2349</v>
      </c>
    </row>
    <row r="4581" spans="1:4" ht="14.25">
      <c r="A4581" s="37">
        <v>38414</v>
      </c>
      <c r="B4581" s="37" t="s">
        <v>25243</v>
      </c>
      <c r="C4581" s="37" t="s">
        <v>2348</v>
      </c>
      <c r="D4581" s="37" t="s">
        <v>2349</v>
      </c>
    </row>
    <row r="4582" spans="1:4" ht="14.25">
      <c r="A4582" s="37">
        <v>38128</v>
      </c>
      <c r="B4582" s="37" t="s">
        <v>25244</v>
      </c>
      <c r="C4582" s="37" t="s">
        <v>2356</v>
      </c>
      <c r="D4582" s="37" t="s">
        <v>2353</v>
      </c>
    </row>
    <row r="4583" spans="1:4" ht="14.25">
      <c r="A4583" s="37">
        <v>7253</v>
      </c>
      <c r="B4583" s="37" t="s">
        <v>25245</v>
      </c>
      <c r="C4583" s="37" t="s">
        <v>2368</v>
      </c>
      <c r="D4583" s="37" t="s">
        <v>2349</v>
      </c>
    </row>
    <row r="4584" spans="1:4" ht="14.25">
      <c r="A4584" s="37">
        <v>4806</v>
      </c>
      <c r="B4584" s="37" t="s">
        <v>25246</v>
      </c>
      <c r="C4584" s="37" t="s">
        <v>2355</v>
      </c>
      <c r="D4584" s="37" t="s">
        <v>2349</v>
      </c>
    </row>
    <row r="4585" spans="1:4" ht="14.25">
      <c r="A4585" s="37">
        <v>34401</v>
      </c>
      <c r="B4585" s="37" t="s">
        <v>25247</v>
      </c>
      <c r="C4585" s="37" t="s">
        <v>2348</v>
      </c>
      <c r="D4585" s="37" t="s">
        <v>2349</v>
      </c>
    </row>
    <row r="4586" spans="1:4" ht="14.25">
      <c r="A4586" s="37">
        <v>7260</v>
      </c>
      <c r="B4586" s="37" t="s">
        <v>25248</v>
      </c>
      <c r="C4586" s="37" t="s">
        <v>2348</v>
      </c>
      <c r="D4586" s="37" t="s">
        <v>2349</v>
      </c>
    </row>
    <row r="4587" spans="1:4" ht="14.25">
      <c r="A4587" s="37">
        <v>7256</v>
      </c>
      <c r="B4587" s="37" t="s">
        <v>25249</v>
      </c>
      <c r="C4587" s="37" t="s">
        <v>2348</v>
      </c>
      <c r="D4587" s="37" t="s">
        <v>2349</v>
      </c>
    </row>
    <row r="4588" spans="1:4" ht="14.25">
      <c r="A4588" s="37">
        <v>7258</v>
      </c>
      <c r="B4588" s="37" t="s">
        <v>25250</v>
      </c>
      <c r="C4588" s="37" t="s">
        <v>2348</v>
      </c>
      <c r="D4588" s="37" t="s">
        <v>2349</v>
      </c>
    </row>
    <row r="4589" spans="1:4" ht="14.25">
      <c r="A4589" s="37">
        <v>34400</v>
      </c>
      <c r="B4589" s="37" t="s">
        <v>25251</v>
      </c>
      <c r="C4589" s="37" t="s">
        <v>2348</v>
      </c>
      <c r="D4589" s="37" t="s">
        <v>2349</v>
      </c>
    </row>
    <row r="4590" spans="1:4" ht="14.25">
      <c r="A4590" s="37">
        <v>10617</v>
      </c>
      <c r="B4590" s="37" t="s">
        <v>25252</v>
      </c>
      <c r="C4590" s="37" t="s">
        <v>2348</v>
      </c>
      <c r="D4590" s="37" t="s">
        <v>2349</v>
      </c>
    </row>
    <row r="4591" spans="1:4" ht="14.25">
      <c r="A4591" s="37">
        <v>7274</v>
      </c>
      <c r="B4591" s="37" t="s">
        <v>25253</v>
      </c>
      <c r="C4591" s="37" t="s">
        <v>2348</v>
      </c>
      <c r="D4591" s="37" t="s">
        <v>2351</v>
      </c>
    </row>
    <row r="4592" spans="1:4" ht="14.25">
      <c r="A4592" s="37">
        <v>11663</v>
      </c>
      <c r="B4592" s="37" t="s">
        <v>25254</v>
      </c>
      <c r="C4592" s="37" t="s">
        <v>2348</v>
      </c>
      <c r="D4592" s="37" t="s">
        <v>2351</v>
      </c>
    </row>
    <row r="4593" spans="1:4" ht="14.25">
      <c r="A4593" s="37">
        <v>154</v>
      </c>
      <c r="B4593" s="37" t="s">
        <v>25255</v>
      </c>
      <c r="C4593" s="37" t="s">
        <v>2363</v>
      </c>
      <c r="D4593" s="37" t="s">
        <v>2349</v>
      </c>
    </row>
    <row r="4594" spans="1:4" ht="14.25">
      <c r="A4594" s="37">
        <v>38121</v>
      </c>
      <c r="B4594" s="37" t="s">
        <v>25256</v>
      </c>
      <c r="C4594" s="37" t="s">
        <v>2363</v>
      </c>
      <c r="D4594" s="37" t="s">
        <v>2349</v>
      </c>
    </row>
    <row r="4595" spans="1:4" ht="14.25">
      <c r="A4595" s="37">
        <v>43776</v>
      </c>
      <c r="B4595" s="37" t="s">
        <v>25257</v>
      </c>
      <c r="C4595" s="37" t="s">
        <v>2363</v>
      </c>
      <c r="D4595" s="37" t="s">
        <v>2349</v>
      </c>
    </row>
    <row r="4596" spans="1:4" ht="14.25">
      <c r="A4596" s="37">
        <v>7343</v>
      </c>
      <c r="B4596" s="37" t="s">
        <v>25258</v>
      </c>
      <c r="C4596" s="37" t="s">
        <v>2363</v>
      </c>
      <c r="D4596" s="37" t="s">
        <v>2349</v>
      </c>
    </row>
    <row r="4597" spans="1:4" ht="14.25">
      <c r="A4597" s="37">
        <v>7348</v>
      </c>
      <c r="B4597" s="37" t="s">
        <v>25259</v>
      </c>
      <c r="C4597" s="37" t="s">
        <v>2363</v>
      </c>
      <c r="D4597" s="37" t="s">
        <v>2349</v>
      </c>
    </row>
    <row r="4598" spans="1:4" ht="14.25">
      <c r="A4598" s="37">
        <v>7313</v>
      </c>
      <c r="B4598" s="37" t="s">
        <v>25260</v>
      </c>
      <c r="C4598" s="37" t="s">
        <v>2363</v>
      </c>
      <c r="D4598" s="37" t="s">
        <v>2349</v>
      </c>
    </row>
    <row r="4599" spans="1:4" ht="14.25">
      <c r="A4599" s="37">
        <v>7319</v>
      </c>
      <c r="B4599" s="37" t="s">
        <v>25261</v>
      </c>
      <c r="C4599" s="37" t="s">
        <v>2363</v>
      </c>
      <c r="D4599" s="37" t="s">
        <v>2349</v>
      </c>
    </row>
    <row r="4600" spans="1:4" ht="14.25">
      <c r="A4600" s="37">
        <v>7314</v>
      </c>
      <c r="B4600" s="37" t="s">
        <v>25262</v>
      </c>
      <c r="C4600" s="37" t="s">
        <v>2363</v>
      </c>
      <c r="D4600" s="37" t="s">
        <v>2349</v>
      </c>
    </row>
    <row r="4601" spans="1:4" ht="14.25">
      <c r="A4601" s="37">
        <v>7304</v>
      </c>
      <c r="B4601" s="37" t="s">
        <v>25263</v>
      </c>
      <c r="C4601" s="37" t="s">
        <v>2363</v>
      </c>
      <c r="D4601" s="37" t="s">
        <v>2349</v>
      </c>
    </row>
    <row r="4602" spans="1:4" ht="14.25">
      <c r="A4602" s="37">
        <v>43649</v>
      </c>
      <c r="B4602" s="37" t="s">
        <v>25264</v>
      </c>
      <c r="C4602" s="37" t="s">
        <v>2363</v>
      </c>
      <c r="D4602" s="37" t="s">
        <v>2349</v>
      </c>
    </row>
    <row r="4603" spans="1:4" ht="14.25">
      <c r="A4603" s="37">
        <v>43650</v>
      </c>
      <c r="B4603" s="37" t="s">
        <v>25265</v>
      </c>
      <c r="C4603" s="37" t="s">
        <v>2363</v>
      </c>
      <c r="D4603" s="37" t="s">
        <v>2349</v>
      </c>
    </row>
    <row r="4604" spans="1:4" ht="14.25">
      <c r="A4604" s="37">
        <v>7311</v>
      </c>
      <c r="B4604" s="37" t="s">
        <v>25266</v>
      </c>
      <c r="C4604" s="37" t="s">
        <v>2363</v>
      </c>
      <c r="D4604" s="37" t="s">
        <v>2349</v>
      </c>
    </row>
    <row r="4605" spans="1:4" ht="14.25">
      <c r="A4605" s="37">
        <v>7292</v>
      </c>
      <c r="B4605" s="37" t="s">
        <v>25267</v>
      </c>
      <c r="C4605" s="37" t="s">
        <v>2363</v>
      </c>
      <c r="D4605" s="37" t="s">
        <v>2353</v>
      </c>
    </row>
    <row r="4606" spans="1:4" ht="14.25">
      <c r="A4606" s="37">
        <v>7293</v>
      </c>
      <c r="B4606" s="37" t="s">
        <v>25268</v>
      </c>
      <c r="C4606" s="37" t="s">
        <v>2363</v>
      </c>
      <c r="D4606" s="37" t="s">
        <v>2349</v>
      </c>
    </row>
    <row r="4607" spans="1:4" ht="14.25">
      <c r="A4607" s="37">
        <v>7306</v>
      </c>
      <c r="B4607" s="37" t="s">
        <v>25269</v>
      </c>
      <c r="C4607" s="37" t="s">
        <v>2363</v>
      </c>
      <c r="D4607" s="37" t="s">
        <v>2349</v>
      </c>
    </row>
    <row r="4608" spans="1:4" ht="14.25">
      <c r="A4608" s="37">
        <v>7288</v>
      </c>
      <c r="B4608" s="37" t="s">
        <v>25270</v>
      </c>
      <c r="C4608" s="37" t="s">
        <v>2363</v>
      </c>
      <c r="D4608" s="37" t="s">
        <v>2349</v>
      </c>
    </row>
    <row r="4609" spans="1:4" ht="14.25">
      <c r="A4609" s="37">
        <v>43625</v>
      </c>
      <c r="B4609" s="37" t="s">
        <v>25271</v>
      </c>
      <c r="C4609" s="37" t="s">
        <v>2363</v>
      </c>
      <c r="D4609" s="37" t="s">
        <v>2349</v>
      </c>
    </row>
    <row r="4610" spans="1:4" ht="14.25">
      <c r="A4610" s="37">
        <v>43647</v>
      </c>
      <c r="B4610" s="37" t="s">
        <v>25272</v>
      </c>
      <c r="C4610" s="37" t="s">
        <v>2363</v>
      </c>
      <c r="D4610" s="37" t="s">
        <v>2349</v>
      </c>
    </row>
    <row r="4611" spans="1:4" ht="14.25">
      <c r="A4611" s="37">
        <v>43648</v>
      </c>
      <c r="B4611" s="37" t="s">
        <v>25273</v>
      </c>
      <c r="C4611" s="37" t="s">
        <v>2363</v>
      </c>
      <c r="D4611" s="37" t="s">
        <v>2349</v>
      </c>
    </row>
    <row r="4612" spans="1:4" ht="14.25">
      <c r="A4612" s="37">
        <v>35693</v>
      </c>
      <c r="B4612" s="37" t="s">
        <v>25274</v>
      </c>
      <c r="C4612" s="37" t="s">
        <v>2363</v>
      </c>
      <c r="D4612" s="37" t="s">
        <v>2349</v>
      </c>
    </row>
    <row r="4613" spans="1:4" ht="14.25">
      <c r="A4613" s="37">
        <v>7356</v>
      </c>
      <c r="B4613" s="37" t="s">
        <v>28118</v>
      </c>
      <c r="C4613" s="37" t="s">
        <v>2363</v>
      </c>
      <c r="D4613" s="37" t="s">
        <v>2353</v>
      </c>
    </row>
    <row r="4614" spans="1:4" ht="14.25">
      <c r="A4614" s="37">
        <v>35692</v>
      </c>
      <c r="B4614" s="37" t="s">
        <v>25275</v>
      </c>
      <c r="C4614" s="37" t="s">
        <v>2363</v>
      </c>
      <c r="D4614" s="37" t="s">
        <v>2349</v>
      </c>
    </row>
    <row r="4615" spans="1:4" ht="14.25">
      <c r="A4615" s="37">
        <v>43624</v>
      </c>
      <c r="B4615" s="37" t="s">
        <v>28119</v>
      </c>
      <c r="C4615" s="37" t="s">
        <v>2363</v>
      </c>
      <c r="D4615" s="37" t="s">
        <v>2349</v>
      </c>
    </row>
    <row r="4616" spans="1:4" ht="14.25">
      <c r="A4616" s="37">
        <v>7342</v>
      </c>
      <c r="B4616" s="37" t="s">
        <v>25276</v>
      </c>
      <c r="C4616" s="37" t="s">
        <v>2356</v>
      </c>
      <c r="D4616" s="37" t="s">
        <v>2349</v>
      </c>
    </row>
    <row r="4617" spans="1:4" ht="14.25">
      <c r="A4617" s="37">
        <v>7350</v>
      </c>
      <c r="B4617" s="37" t="s">
        <v>28120</v>
      </c>
      <c r="C4617" s="37" t="s">
        <v>2363</v>
      </c>
      <c r="D4617" s="37" t="s">
        <v>2349</v>
      </c>
    </row>
    <row r="4618" spans="1:4" ht="14.25">
      <c r="A4618" s="37">
        <v>39574</v>
      </c>
      <c r="B4618" s="37" t="s">
        <v>25277</v>
      </c>
      <c r="C4618" s="37" t="s">
        <v>2348</v>
      </c>
      <c r="D4618" s="37" t="s">
        <v>2349</v>
      </c>
    </row>
    <row r="4619" spans="1:4" ht="14.25">
      <c r="A4619" s="37">
        <v>11060</v>
      </c>
      <c r="B4619" s="37" t="s">
        <v>25278</v>
      </c>
      <c r="C4619" s="37" t="s">
        <v>2348</v>
      </c>
      <c r="D4619" s="37" t="s">
        <v>2349</v>
      </c>
    </row>
    <row r="4620" spans="1:4" ht="14.25">
      <c r="A4620" s="37">
        <v>37401</v>
      </c>
      <c r="B4620" s="37" t="s">
        <v>25279</v>
      </c>
      <c r="C4620" s="37" t="s">
        <v>2348</v>
      </c>
      <c r="D4620" s="37" t="s">
        <v>2349</v>
      </c>
    </row>
    <row r="4621" spans="1:4" ht="14.25">
      <c r="A4621" s="37">
        <v>7525</v>
      </c>
      <c r="B4621" s="37" t="s">
        <v>25280</v>
      </c>
      <c r="C4621" s="37" t="s">
        <v>2348</v>
      </c>
      <c r="D4621" s="37" t="s">
        <v>2349</v>
      </c>
    </row>
    <row r="4622" spans="1:4" ht="14.25">
      <c r="A4622" s="37">
        <v>7524</v>
      </c>
      <c r="B4622" s="37" t="s">
        <v>25281</v>
      </c>
      <c r="C4622" s="37" t="s">
        <v>2348</v>
      </c>
      <c r="D4622" s="37" t="s">
        <v>2349</v>
      </c>
    </row>
    <row r="4623" spans="1:4" ht="14.25">
      <c r="A4623" s="37">
        <v>38105</v>
      </c>
      <c r="B4623" s="37" t="s">
        <v>25282</v>
      </c>
      <c r="C4623" s="37" t="s">
        <v>2348</v>
      </c>
      <c r="D4623" s="37" t="s">
        <v>2349</v>
      </c>
    </row>
    <row r="4624" spans="1:4" ht="14.25">
      <c r="A4624" s="37">
        <v>38084</v>
      </c>
      <c r="B4624" s="37" t="s">
        <v>25283</v>
      </c>
      <c r="C4624" s="37" t="s">
        <v>2348</v>
      </c>
      <c r="D4624" s="37" t="s">
        <v>2349</v>
      </c>
    </row>
    <row r="4625" spans="1:4" ht="14.25">
      <c r="A4625" s="37">
        <v>38103</v>
      </c>
      <c r="B4625" s="37" t="s">
        <v>25284</v>
      </c>
      <c r="C4625" s="37" t="s">
        <v>2348</v>
      </c>
      <c r="D4625" s="37" t="s">
        <v>2349</v>
      </c>
    </row>
    <row r="4626" spans="1:4" ht="14.25">
      <c r="A4626" s="37">
        <v>38082</v>
      </c>
      <c r="B4626" s="37" t="s">
        <v>25285</v>
      </c>
      <c r="C4626" s="37" t="s">
        <v>2348</v>
      </c>
      <c r="D4626" s="37" t="s">
        <v>2349</v>
      </c>
    </row>
    <row r="4627" spans="1:4" ht="14.25">
      <c r="A4627" s="37">
        <v>38104</v>
      </c>
      <c r="B4627" s="37" t="s">
        <v>25286</v>
      </c>
      <c r="C4627" s="37" t="s">
        <v>2348</v>
      </c>
      <c r="D4627" s="37" t="s">
        <v>2349</v>
      </c>
    </row>
    <row r="4628" spans="1:4" ht="14.25">
      <c r="A4628" s="37">
        <v>38083</v>
      </c>
      <c r="B4628" s="37" t="s">
        <v>25287</v>
      </c>
      <c r="C4628" s="37" t="s">
        <v>2348</v>
      </c>
      <c r="D4628" s="37" t="s">
        <v>2349</v>
      </c>
    </row>
    <row r="4629" spans="1:4" ht="14.25">
      <c r="A4629" s="37">
        <v>38101</v>
      </c>
      <c r="B4629" s="37" t="s">
        <v>25288</v>
      </c>
      <c r="C4629" s="37" t="s">
        <v>2348</v>
      </c>
      <c r="D4629" s="37" t="s">
        <v>2349</v>
      </c>
    </row>
    <row r="4630" spans="1:4" ht="14.25">
      <c r="A4630" s="37">
        <v>7528</v>
      </c>
      <c r="B4630" s="37" t="s">
        <v>25289</v>
      </c>
      <c r="C4630" s="37" t="s">
        <v>2348</v>
      </c>
      <c r="D4630" s="37" t="s">
        <v>2353</v>
      </c>
    </row>
    <row r="4631" spans="1:4" ht="14.25">
      <c r="A4631" s="37">
        <v>12147</v>
      </c>
      <c r="B4631" s="37" t="s">
        <v>25290</v>
      </c>
      <c r="C4631" s="37" t="s">
        <v>2348</v>
      </c>
      <c r="D4631" s="37" t="s">
        <v>2349</v>
      </c>
    </row>
    <row r="4632" spans="1:4" ht="14.25">
      <c r="A4632" s="37">
        <v>38075</v>
      </c>
      <c r="B4632" s="37" t="s">
        <v>25291</v>
      </c>
      <c r="C4632" s="37" t="s">
        <v>2348</v>
      </c>
      <c r="D4632" s="37" t="s">
        <v>2349</v>
      </c>
    </row>
    <row r="4633" spans="1:4" ht="14.25">
      <c r="A4633" s="37">
        <v>38102</v>
      </c>
      <c r="B4633" s="37" t="s">
        <v>25292</v>
      </c>
      <c r="C4633" s="37" t="s">
        <v>2348</v>
      </c>
      <c r="D4633" s="37" t="s">
        <v>2349</v>
      </c>
    </row>
    <row r="4634" spans="1:4" ht="14.25">
      <c r="A4634" s="37">
        <v>38076</v>
      </c>
      <c r="B4634" s="37" t="s">
        <v>25293</v>
      </c>
      <c r="C4634" s="37" t="s">
        <v>2348</v>
      </c>
      <c r="D4634" s="37" t="s">
        <v>2349</v>
      </c>
    </row>
    <row r="4635" spans="1:4" ht="14.25">
      <c r="A4635" s="37">
        <v>7592</v>
      </c>
      <c r="B4635" s="37" t="s">
        <v>25294</v>
      </c>
      <c r="C4635" s="37" t="s">
        <v>2352</v>
      </c>
      <c r="D4635" s="37" t="s">
        <v>2353</v>
      </c>
    </row>
    <row r="4636" spans="1:4" ht="14.25">
      <c r="A4636" s="37">
        <v>40820</v>
      </c>
      <c r="B4636" s="37" t="s">
        <v>25295</v>
      </c>
      <c r="C4636" s="37" t="s">
        <v>2369</v>
      </c>
      <c r="D4636" s="37" t="s">
        <v>2349</v>
      </c>
    </row>
    <row r="4637" spans="1:4" ht="14.25">
      <c r="A4637" s="37">
        <v>13417</v>
      </c>
      <c r="B4637" s="37" t="s">
        <v>28121</v>
      </c>
      <c r="C4637" s="37" t="s">
        <v>2348</v>
      </c>
      <c r="D4637" s="37" t="s">
        <v>2349</v>
      </c>
    </row>
    <row r="4638" spans="1:4" ht="14.25">
      <c r="A4638" s="37">
        <v>36791</v>
      </c>
      <c r="B4638" s="37" t="s">
        <v>28122</v>
      </c>
      <c r="C4638" s="37" t="s">
        <v>2348</v>
      </c>
      <c r="D4638" s="37" t="s">
        <v>2349</v>
      </c>
    </row>
    <row r="4639" spans="1:4" ht="14.25">
      <c r="A4639" s="37">
        <v>36795</v>
      </c>
      <c r="B4639" s="37" t="s">
        <v>28123</v>
      </c>
      <c r="C4639" s="37" t="s">
        <v>2348</v>
      </c>
      <c r="D4639" s="37" t="s">
        <v>2349</v>
      </c>
    </row>
    <row r="4640" spans="1:4" ht="14.25">
      <c r="A4640" s="37">
        <v>44045</v>
      </c>
      <c r="B4640" s="37" t="s">
        <v>28124</v>
      </c>
      <c r="C4640" s="37" t="s">
        <v>2348</v>
      </c>
      <c r="D4640" s="37" t="s">
        <v>2349</v>
      </c>
    </row>
    <row r="4641" spans="1:4" ht="14.25">
      <c r="A4641" s="37">
        <v>11772</v>
      </c>
      <c r="B4641" s="37" t="s">
        <v>28125</v>
      </c>
      <c r="C4641" s="37" t="s">
        <v>2348</v>
      </c>
      <c r="D4641" s="37" t="s">
        <v>2349</v>
      </c>
    </row>
    <row r="4642" spans="1:4" ht="14.25">
      <c r="A4642" s="37">
        <v>36796</v>
      </c>
      <c r="B4642" s="37" t="s">
        <v>28126</v>
      </c>
      <c r="C4642" s="37" t="s">
        <v>2348</v>
      </c>
      <c r="D4642" s="37" t="s">
        <v>2349</v>
      </c>
    </row>
    <row r="4643" spans="1:4" ht="14.25">
      <c r="A4643" s="37">
        <v>36792</v>
      </c>
      <c r="B4643" s="37" t="s">
        <v>28127</v>
      </c>
      <c r="C4643" s="37" t="s">
        <v>2348</v>
      </c>
      <c r="D4643" s="37" t="s">
        <v>2349</v>
      </c>
    </row>
    <row r="4644" spans="1:4" ht="14.25">
      <c r="A4644" s="37">
        <v>11773</v>
      </c>
      <c r="B4644" s="37" t="s">
        <v>28128</v>
      </c>
      <c r="C4644" s="37" t="s">
        <v>2348</v>
      </c>
      <c r="D4644" s="37" t="s">
        <v>2349</v>
      </c>
    </row>
    <row r="4645" spans="1:4" ht="14.25">
      <c r="A4645" s="37">
        <v>11762</v>
      </c>
      <c r="B4645" s="37" t="s">
        <v>28129</v>
      </c>
      <c r="C4645" s="37" t="s">
        <v>2348</v>
      </c>
      <c r="D4645" s="37" t="s">
        <v>2349</v>
      </c>
    </row>
    <row r="4646" spans="1:4" ht="14.25">
      <c r="A4646" s="37">
        <v>7604</v>
      </c>
      <c r="B4646" s="37" t="s">
        <v>28130</v>
      </c>
      <c r="C4646" s="37" t="s">
        <v>2348</v>
      </c>
      <c r="D4646" s="37" t="s">
        <v>2349</v>
      </c>
    </row>
    <row r="4647" spans="1:4" ht="14.25">
      <c r="A4647" s="37">
        <v>13984</v>
      </c>
      <c r="B4647" s="37" t="s">
        <v>28131</v>
      </c>
      <c r="C4647" s="37" t="s">
        <v>2348</v>
      </c>
      <c r="D4647" s="37" t="s">
        <v>2349</v>
      </c>
    </row>
    <row r="4648" spans="1:4" ht="14.25">
      <c r="A4648" s="37">
        <v>13983</v>
      </c>
      <c r="B4648" s="37" t="s">
        <v>28132</v>
      </c>
      <c r="C4648" s="37" t="s">
        <v>2348</v>
      </c>
      <c r="D4648" s="37" t="s">
        <v>2349</v>
      </c>
    </row>
    <row r="4649" spans="1:4" ht="14.25">
      <c r="A4649" s="37">
        <v>13416</v>
      </c>
      <c r="B4649" s="37" t="s">
        <v>28133</v>
      </c>
      <c r="C4649" s="37" t="s">
        <v>2348</v>
      </c>
      <c r="D4649" s="37" t="s">
        <v>2349</v>
      </c>
    </row>
    <row r="4650" spans="1:4" ht="14.25">
      <c r="A4650" s="37">
        <v>11826</v>
      </c>
      <c r="B4650" s="37" t="s">
        <v>25296</v>
      </c>
      <c r="C4650" s="37" t="s">
        <v>2348</v>
      </c>
      <c r="D4650" s="37" t="s">
        <v>2349</v>
      </c>
    </row>
    <row r="4651" spans="1:4" ht="14.25">
      <c r="A4651" s="37">
        <v>7606</v>
      </c>
      <c r="B4651" s="37" t="s">
        <v>25297</v>
      </c>
      <c r="C4651" s="37" t="s">
        <v>2348</v>
      </c>
      <c r="D4651" s="37" t="s">
        <v>2349</v>
      </c>
    </row>
    <row r="4652" spans="1:4" ht="14.25">
      <c r="A4652" s="37">
        <v>11763</v>
      </c>
      <c r="B4652" s="37" t="s">
        <v>25298</v>
      </c>
      <c r="C4652" s="37" t="s">
        <v>2348</v>
      </c>
      <c r="D4652" s="37" t="s">
        <v>2349</v>
      </c>
    </row>
    <row r="4653" spans="1:4" ht="14.25">
      <c r="A4653" s="37">
        <v>11764</v>
      </c>
      <c r="B4653" s="37" t="s">
        <v>25299</v>
      </c>
      <c r="C4653" s="37" t="s">
        <v>2348</v>
      </c>
      <c r="D4653" s="37" t="s">
        <v>2349</v>
      </c>
    </row>
    <row r="4654" spans="1:4" ht="14.25">
      <c r="A4654" s="37">
        <v>11829</v>
      </c>
      <c r="B4654" s="37" t="s">
        <v>25300</v>
      </c>
      <c r="C4654" s="37" t="s">
        <v>2348</v>
      </c>
      <c r="D4654" s="37" t="s">
        <v>2349</v>
      </c>
    </row>
    <row r="4655" spans="1:4" ht="14.25">
      <c r="A4655" s="37">
        <v>11830</v>
      </c>
      <c r="B4655" s="37" t="s">
        <v>25301</v>
      </c>
      <c r="C4655" s="37" t="s">
        <v>2348</v>
      </c>
      <c r="D4655" s="37" t="s">
        <v>2349</v>
      </c>
    </row>
    <row r="4656" spans="1:4" ht="14.25">
      <c r="A4656" s="37">
        <v>11825</v>
      </c>
      <c r="B4656" s="37" t="s">
        <v>25302</v>
      </c>
      <c r="C4656" s="37" t="s">
        <v>2348</v>
      </c>
      <c r="D4656" s="37" t="s">
        <v>2349</v>
      </c>
    </row>
    <row r="4657" spans="1:4" ht="14.25">
      <c r="A4657" s="37">
        <v>11767</v>
      </c>
      <c r="B4657" s="37" t="s">
        <v>25303</v>
      </c>
      <c r="C4657" s="37" t="s">
        <v>2348</v>
      </c>
      <c r="D4657" s="37" t="s">
        <v>2349</v>
      </c>
    </row>
    <row r="4658" spans="1:4" ht="14.25">
      <c r="A4658" s="37">
        <v>11766</v>
      </c>
      <c r="B4658" s="37" t="s">
        <v>25304</v>
      </c>
      <c r="C4658" s="37" t="s">
        <v>2348</v>
      </c>
      <c r="D4658" s="37" t="s">
        <v>2349</v>
      </c>
    </row>
    <row r="4659" spans="1:4" ht="14.25">
      <c r="A4659" s="37">
        <v>11765</v>
      </c>
      <c r="B4659" s="37" t="s">
        <v>25305</v>
      </c>
      <c r="C4659" s="37" t="s">
        <v>2348</v>
      </c>
      <c r="D4659" s="37" t="s">
        <v>2349</v>
      </c>
    </row>
    <row r="4660" spans="1:4" ht="14.25">
      <c r="A4660" s="37">
        <v>11824</v>
      </c>
      <c r="B4660" s="37" t="s">
        <v>25306</v>
      </c>
      <c r="C4660" s="37" t="s">
        <v>2348</v>
      </c>
      <c r="D4660" s="37" t="s">
        <v>2349</v>
      </c>
    </row>
    <row r="4661" spans="1:4" ht="14.25">
      <c r="A4661" s="37">
        <v>39702</v>
      </c>
      <c r="B4661" s="37" t="s">
        <v>28134</v>
      </c>
      <c r="C4661" s="37" t="s">
        <v>2348</v>
      </c>
      <c r="D4661" s="37" t="s">
        <v>2349</v>
      </c>
    </row>
    <row r="4662" spans="1:4" ht="14.25">
      <c r="A4662" s="37">
        <v>13415</v>
      </c>
      <c r="B4662" s="37" t="s">
        <v>28135</v>
      </c>
      <c r="C4662" s="37" t="s">
        <v>2348</v>
      </c>
      <c r="D4662" s="37" t="s">
        <v>2353</v>
      </c>
    </row>
    <row r="4663" spans="1:4" ht="14.25">
      <c r="A4663" s="37">
        <v>7602</v>
      </c>
      <c r="B4663" s="37" t="s">
        <v>28136</v>
      </c>
      <c r="C4663" s="37" t="s">
        <v>2348</v>
      </c>
      <c r="D4663" s="37" t="s">
        <v>2349</v>
      </c>
    </row>
    <row r="4664" spans="1:4" ht="14.25">
      <c r="A4664" s="37">
        <v>7603</v>
      </c>
      <c r="B4664" s="37" t="s">
        <v>28137</v>
      </c>
      <c r="C4664" s="37" t="s">
        <v>2348</v>
      </c>
      <c r="D4664" s="37" t="s">
        <v>2349</v>
      </c>
    </row>
    <row r="4665" spans="1:4" ht="14.25">
      <c r="A4665" s="37">
        <v>11777</v>
      </c>
      <c r="B4665" s="37" t="s">
        <v>25307</v>
      </c>
      <c r="C4665" s="37" t="s">
        <v>2348</v>
      </c>
      <c r="D4665" s="37" t="s">
        <v>2349</v>
      </c>
    </row>
    <row r="4666" spans="1:4" ht="14.25">
      <c r="A4666" s="37">
        <v>40329</v>
      </c>
      <c r="B4666" s="37" t="s">
        <v>25308</v>
      </c>
      <c r="C4666" s="37" t="s">
        <v>2348</v>
      </c>
      <c r="D4666" s="37" t="s">
        <v>2353</v>
      </c>
    </row>
    <row r="4667" spans="1:4" ht="14.25">
      <c r="A4667" s="37">
        <v>11823</v>
      </c>
      <c r="B4667" s="37" t="s">
        <v>25309</v>
      </c>
      <c r="C4667" s="37" t="s">
        <v>2348</v>
      </c>
      <c r="D4667" s="37" t="s">
        <v>2349</v>
      </c>
    </row>
    <row r="4668" spans="1:4" ht="14.25">
      <c r="A4668" s="37">
        <v>11822</v>
      </c>
      <c r="B4668" s="37" t="s">
        <v>25310</v>
      </c>
      <c r="C4668" s="37" t="s">
        <v>2348</v>
      </c>
      <c r="D4668" s="37" t="s">
        <v>2349</v>
      </c>
    </row>
    <row r="4669" spans="1:4" ht="14.25">
      <c r="A4669" s="37">
        <v>11831</v>
      </c>
      <c r="B4669" s="37" t="s">
        <v>25311</v>
      </c>
      <c r="C4669" s="37" t="s">
        <v>2348</v>
      </c>
      <c r="D4669" s="37" t="s">
        <v>2349</v>
      </c>
    </row>
    <row r="4670" spans="1:4" ht="14.25">
      <c r="A4670" s="37">
        <v>7613</v>
      </c>
      <c r="B4670" s="37" t="s">
        <v>25312</v>
      </c>
      <c r="C4670" s="37" t="s">
        <v>2348</v>
      </c>
      <c r="D4670" s="37" t="s">
        <v>2351</v>
      </c>
    </row>
    <row r="4671" spans="1:4" ht="14.25">
      <c r="A4671" s="37">
        <v>7619</v>
      </c>
      <c r="B4671" s="37" t="s">
        <v>25313</v>
      </c>
      <c r="C4671" s="37" t="s">
        <v>2348</v>
      </c>
      <c r="D4671" s="37" t="s">
        <v>2351</v>
      </c>
    </row>
    <row r="4672" spans="1:4" ht="14.25">
      <c r="A4672" s="37">
        <v>12076</v>
      </c>
      <c r="B4672" s="37" t="s">
        <v>25314</v>
      </c>
      <c r="C4672" s="37" t="s">
        <v>2348</v>
      </c>
      <c r="D4672" s="37" t="s">
        <v>2351</v>
      </c>
    </row>
    <row r="4673" spans="1:4" ht="14.25">
      <c r="A4673" s="37">
        <v>7614</v>
      </c>
      <c r="B4673" s="37" t="s">
        <v>25315</v>
      </c>
      <c r="C4673" s="37" t="s">
        <v>2348</v>
      </c>
      <c r="D4673" s="37" t="s">
        <v>2351</v>
      </c>
    </row>
    <row r="4674" spans="1:4" ht="14.25">
      <c r="A4674" s="37">
        <v>7618</v>
      </c>
      <c r="B4674" s="37" t="s">
        <v>25316</v>
      </c>
      <c r="C4674" s="37" t="s">
        <v>2348</v>
      </c>
      <c r="D4674" s="37" t="s">
        <v>2351</v>
      </c>
    </row>
    <row r="4675" spans="1:4" ht="14.25">
      <c r="A4675" s="37">
        <v>7620</v>
      </c>
      <c r="B4675" s="37" t="s">
        <v>25317</v>
      </c>
      <c r="C4675" s="37" t="s">
        <v>2348</v>
      </c>
      <c r="D4675" s="37" t="s">
        <v>2351</v>
      </c>
    </row>
    <row r="4676" spans="1:4" ht="14.25">
      <c r="A4676" s="37">
        <v>7610</v>
      </c>
      <c r="B4676" s="37" t="s">
        <v>25318</v>
      </c>
      <c r="C4676" s="37" t="s">
        <v>2348</v>
      </c>
      <c r="D4676" s="37" t="s">
        <v>2351</v>
      </c>
    </row>
    <row r="4677" spans="1:4" ht="14.25">
      <c r="A4677" s="37">
        <v>7615</v>
      </c>
      <c r="B4677" s="37" t="s">
        <v>25319</v>
      </c>
      <c r="C4677" s="37" t="s">
        <v>2348</v>
      </c>
      <c r="D4677" s="37" t="s">
        <v>2351</v>
      </c>
    </row>
    <row r="4678" spans="1:4" ht="14.25">
      <c r="A4678" s="37">
        <v>7617</v>
      </c>
      <c r="B4678" s="37" t="s">
        <v>25320</v>
      </c>
      <c r="C4678" s="37" t="s">
        <v>2348</v>
      </c>
      <c r="D4678" s="37" t="s">
        <v>2351</v>
      </c>
    </row>
    <row r="4679" spans="1:4" ht="14.25">
      <c r="A4679" s="37">
        <v>7616</v>
      </c>
      <c r="B4679" s="37" t="s">
        <v>25321</v>
      </c>
      <c r="C4679" s="37" t="s">
        <v>2348</v>
      </c>
      <c r="D4679" s="37" t="s">
        <v>2351</v>
      </c>
    </row>
    <row r="4680" spans="1:4" ht="14.25">
      <c r="A4680" s="37">
        <v>7611</v>
      </c>
      <c r="B4680" s="37" t="s">
        <v>25322</v>
      </c>
      <c r="C4680" s="37" t="s">
        <v>2348</v>
      </c>
      <c r="D4680" s="37" t="s">
        <v>2351</v>
      </c>
    </row>
    <row r="4681" spans="1:4" ht="14.25">
      <c r="A4681" s="37">
        <v>7612</v>
      </c>
      <c r="B4681" s="37" t="s">
        <v>25323</v>
      </c>
      <c r="C4681" s="37" t="s">
        <v>2348</v>
      </c>
      <c r="D4681" s="37" t="s">
        <v>2351</v>
      </c>
    </row>
    <row r="4682" spans="1:4" ht="14.25">
      <c r="A4682" s="37">
        <v>37371</v>
      </c>
      <c r="B4682" s="37" t="s">
        <v>25324</v>
      </c>
      <c r="C4682" s="37" t="s">
        <v>2352</v>
      </c>
      <c r="D4682" s="37" t="s">
        <v>2353</v>
      </c>
    </row>
    <row r="4683" spans="1:4" ht="14.25">
      <c r="A4683" s="37">
        <v>40861</v>
      </c>
      <c r="B4683" s="37" t="s">
        <v>25325</v>
      </c>
      <c r="C4683" s="37" t="s">
        <v>2369</v>
      </c>
      <c r="D4683" s="37" t="s">
        <v>2353</v>
      </c>
    </row>
    <row r="4684" spans="1:4" ht="14.25">
      <c r="A4684" s="37">
        <v>36510</v>
      </c>
      <c r="B4684" s="37" t="s">
        <v>25326</v>
      </c>
      <c r="C4684" s="37" t="s">
        <v>2348</v>
      </c>
      <c r="D4684" s="37" t="s">
        <v>2351</v>
      </c>
    </row>
    <row r="4685" spans="1:4" ht="14.25">
      <c r="A4685" s="37">
        <v>25020</v>
      </c>
      <c r="B4685" s="37" t="s">
        <v>25327</v>
      </c>
      <c r="C4685" s="37" t="s">
        <v>2348</v>
      </c>
      <c r="D4685" s="37" t="s">
        <v>2351</v>
      </c>
    </row>
    <row r="4686" spans="1:4" ht="14.25">
      <c r="A4686" s="37">
        <v>7622</v>
      </c>
      <c r="B4686" s="37" t="s">
        <v>25328</v>
      </c>
      <c r="C4686" s="37" t="s">
        <v>2348</v>
      </c>
      <c r="D4686" s="37" t="s">
        <v>2351</v>
      </c>
    </row>
    <row r="4687" spans="1:4" ht="14.25">
      <c r="A4687" s="37">
        <v>7624</v>
      </c>
      <c r="B4687" s="37" t="s">
        <v>25329</v>
      </c>
      <c r="C4687" s="37" t="s">
        <v>2348</v>
      </c>
      <c r="D4687" s="37" t="s">
        <v>2351</v>
      </c>
    </row>
    <row r="4688" spans="1:4" ht="14.25">
      <c r="A4688" s="37">
        <v>7625</v>
      </c>
      <c r="B4688" s="37" t="s">
        <v>25330</v>
      </c>
      <c r="C4688" s="37" t="s">
        <v>2348</v>
      </c>
      <c r="D4688" s="37" t="s">
        <v>2351</v>
      </c>
    </row>
    <row r="4689" spans="1:4" ht="14.25">
      <c r="A4689" s="37">
        <v>7623</v>
      </c>
      <c r="B4689" s="37" t="s">
        <v>25331</v>
      </c>
      <c r="C4689" s="37" t="s">
        <v>2348</v>
      </c>
      <c r="D4689" s="37" t="s">
        <v>2351</v>
      </c>
    </row>
    <row r="4690" spans="1:4" ht="14.25">
      <c r="A4690" s="37">
        <v>36508</v>
      </c>
      <c r="B4690" s="37" t="s">
        <v>25332</v>
      </c>
      <c r="C4690" s="37" t="s">
        <v>2348</v>
      </c>
      <c r="D4690" s="37" t="s">
        <v>2351</v>
      </c>
    </row>
    <row r="4691" spans="1:4" ht="14.25">
      <c r="A4691" s="37">
        <v>36509</v>
      </c>
      <c r="B4691" s="37" t="s">
        <v>25333</v>
      </c>
      <c r="C4691" s="37" t="s">
        <v>2348</v>
      </c>
      <c r="D4691" s="37" t="s">
        <v>2351</v>
      </c>
    </row>
    <row r="4692" spans="1:4" ht="14.25">
      <c r="A4692" s="37">
        <v>13238</v>
      </c>
      <c r="B4692" s="37" t="s">
        <v>25334</v>
      </c>
      <c r="C4692" s="37" t="s">
        <v>2348</v>
      </c>
      <c r="D4692" s="37" t="s">
        <v>2351</v>
      </c>
    </row>
    <row r="4693" spans="1:4" ht="14.25">
      <c r="A4693" s="37">
        <v>36511</v>
      </c>
      <c r="B4693" s="37" t="s">
        <v>25335</v>
      </c>
      <c r="C4693" s="37" t="s">
        <v>2348</v>
      </c>
      <c r="D4693" s="37" t="s">
        <v>2351</v>
      </c>
    </row>
    <row r="4694" spans="1:4" ht="14.25">
      <c r="A4694" s="37">
        <v>36515</v>
      </c>
      <c r="B4694" s="37" t="s">
        <v>25336</v>
      </c>
      <c r="C4694" s="37" t="s">
        <v>2348</v>
      </c>
      <c r="D4694" s="37" t="s">
        <v>2351</v>
      </c>
    </row>
    <row r="4695" spans="1:4" ht="14.25">
      <c r="A4695" s="37">
        <v>10598</v>
      </c>
      <c r="B4695" s="37" t="s">
        <v>25337</v>
      </c>
      <c r="C4695" s="37" t="s">
        <v>2348</v>
      </c>
      <c r="D4695" s="37" t="s">
        <v>2351</v>
      </c>
    </row>
    <row r="4696" spans="1:4" ht="14.25">
      <c r="A4696" s="37">
        <v>7640</v>
      </c>
      <c r="B4696" s="37" t="s">
        <v>25338</v>
      </c>
      <c r="C4696" s="37" t="s">
        <v>2348</v>
      </c>
      <c r="D4696" s="37" t="s">
        <v>2351</v>
      </c>
    </row>
    <row r="4697" spans="1:4" ht="14.25">
      <c r="A4697" s="37">
        <v>36513</v>
      </c>
      <c r="B4697" s="37" t="s">
        <v>25339</v>
      </c>
      <c r="C4697" s="37" t="s">
        <v>2348</v>
      </c>
      <c r="D4697" s="37" t="s">
        <v>2351</v>
      </c>
    </row>
    <row r="4698" spans="1:4" ht="14.25">
      <c r="A4698" s="37">
        <v>36514</v>
      </c>
      <c r="B4698" s="37" t="s">
        <v>25340</v>
      </c>
      <c r="C4698" s="37" t="s">
        <v>2348</v>
      </c>
      <c r="D4698" s="37" t="s">
        <v>2351</v>
      </c>
    </row>
    <row r="4699" spans="1:4" ht="14.25">
      <c r="A4699" s="37">
        <v>11572</v>
      </c>
      <c r="B4699" s="37" t="s">
        <v>25341</v>
      </c>
      <c r="C4699" s="37" t="s">
        <v>2348</v>
      </c>
      <c r="D4699" s="37" t="s">
        <v>2349</v>
      </c>
    </row>
    <row r="4700" spans="1:4" ht="14.25">
      <c r="A4700" s="37">
        <v>36149</v>
      </c>
      <c r="B4700" s="37" t="s">
        <v>25342</v>
      </c>
      <c r="C4700" s="37" t="s">
        <v>2348</v>
      </c>
      <c r="D4700" s="37" t="s">
        <v>2349</v>
      </c>
    </row>
    <row r="4701" spans="1:4" ht="14.25">
      <c r="A4701" s="37">
        <v>42407</v>
      </c>
      <c r="B4701" s="37" t="s">
        <v>25343</v>
      </c>
      <c r="C4701" s="37" t="s">
        <v>2355</v>
      </c>
      <c r="D4701" s="37" t="s">
        <v>2349</v>
      </c>
    </row>
    <row r="4702" spans="1:4" ht="14.25">
      <c r="A4702" s="37">
        <v>11581</v>
      </c>
      <c r="B4702" s="37" t="s">
        <v>25344</v>
      </c>
      <c r="C4702" s="37" t="s">
        <v>2355</v>
      </c>
      <c r="D4702" s="37" t="s">
        <v>2349</v>
      </c>
    </row>
    <row r="4703" spans="1:4" ht="14.25">
      <c r="A4703" s="37">
        <v>43605</v>
      </c>
      <c r="B4703" s="37" t="s">
        <v>25345</v>
      </c>
      <c r="C4703" s="37" t="s">
        <v>2355</v>
      </c>
      <c r="D4703" s="37" t="s">
        <v>2349</v>
      </c>
    </row>
    <row r="4704" spans="1:4" ht="14.25">
      <c r="A4704" s="37">
        <v>11580</v>
      </c>
      <c r="B4704" s="37" t="s">
        <v>25346</v>
      </c>
      <c r="C4704" s="37" t="s">
        <v>2355</v>
      </c>
      <c r="D4704" s="37" t="s">
        <v>2349</v>
      </c>
    </row>
    <row r="4705" spans="1:4" ht="14.25">
      <c r="A4705" s="37">
        <v>10743</v>
      </c>
      <c r="B4705" s="37" t="s">
        <v>25347</v>
      </c>
      <c r="C4705" s="37" t="s">
        <v>2348</v>
      </c>
      <c r="D4705" s="37" t="s">
        <v>2351</v>
      </c>
    </row>
    <row r="4706" spans="1:4" ht="14.25">
      <c r="A4706" s="37">
        <v>39848</v>
      </c>
      <c r="B4706" s="37" t="s">
        <v>25348</v>
      </c>
      <c r="C4706" s="37" t="s">
        <v>2355</v>
      </c>
      <c r="D4706" s="37" t="s">
        <v>2351</v>
      </c>
    </row>
    <row r="4707" spans="1:4" ht="14.25">
      <c r="A4707" s="37">
        <v>20999</v>
      </c>
      <c r="B4707" s="37" t="s">
        <v>25349</v>
      </c>
      <c r="C4707" s="37" t="s">
        <v>2355</v>
      </c>
      <c r="D4707" s="37" t="s">
        <v>2349</v>
      </c>
    </row>
    <row r="4708" spans="1:4" ht="14.25">
      <c r="A4708" s="37">
        <v>21001</v>
      </c>
      <c r="B4708" s="37" t="s">
        <v>25350</v>
      </c>
      <c r="C4708" s="37" t="s">
        <v>2355</v>
      </c>
      <c r="D4708" s="37" t="s">
        <v>2353</v>
      </c>
    </row>
    <row r="4709" spans="1:4" ht="14.25">
      <c r="A4709" s="37">
        <v>21003</v>
      </c>
      <c r="B4709" s="37" t="s">
        <v>25351</v>
      </c>
      <c r="C4709" s="37" t="s">
        <v>2355</v>
      </c>
      <c r="D4709" s="37" t="s">
        <v>2349</v>
      </c>
    </row>
    <row r="4710" spans="1:4" ht="14.25">
      <c r="A4710" s="37">
        <v>21006</v>
      </c>
      <c r="B4710" s="37" t="s">
        <v>25352</v>
      </c>
      <c r="C4710" s="37" t="s">
        <v>2355</v>
      </c>
      <c r="D4710" s="37" t="s">
        <v>2349</v>
      </c>
    </row>
    <row r="4711" spans="1:4" ht="14.25">
      <c r="A4711" s="37">
        <v>21019</v>
      </c>
      <c r="B4711" s="37" t="s">
        <v>25353</v>
      </c>
      <c r="C4711" s="37" t="s">
        <v>2355</v>
      </c>
      <c r="D4711" s="37" t="s">
        <v>2349</v>
      </c>
    </row>
    <row r="4712" spans="1:4" ht="14.25">
      <c r="A4712" s="37">
        <v>21021</v>
      </c>
      <c r="B4712" s="37" t="s">
        <v>25354</v>
      </c>
      <c r="C4712" s="37" t="s">
        <v>2355</v>
      </c>
      <c r="D4712" s="37" t="s">
        <v>2349</v>
      </c>
    </row>
    <row r="4713" spans="1:4" ht="14.25">
      <c r="A4713" s="37">
        <v>21024</v>
      </c>
      <c r="B4713" s="37" t="s">
        <v>25355</v>
      </c>
      <c r="C4713" s="37" t="s">
        <v>2355</v>
      </c>
      <c r="D4713" s="37" t="s">
        <v>2349</v>
      </c>
    </row>
    <row r="4714" spans="1:4" ht="14.25">
      <c r="A4714" s="37">
        <v>40624</v>
      </c>
      <c r="B4714" s="37" t="s">
        <v>25356</v>
      </c>
      <c r="C4714" s="37" t="s">
        <v>2355</v>
      </c>
      <c r="D4714" s="37" t="s">
        <v>2349</v>
      </c>
    </row>
    <row r="4715" spans="1:4" ht="14.25">
      <c r="A4715" s="37">
        <v>42575</v>
      </c>
      <c r="B4715" s="37" t="s">
        <v>25357</v>
      </c>
      <c r="C4715" s="37" t="s">
        <v>2355</v>
      </c>
      <c r="D4715" s="37" t="s">
        <v>2349</v>
      </c>
    </row>
    <row r="4716" spans="1:4" ht="14.25">
      <c r="A4716" s="37">
        <v>13127</v>
      </c>
      <c r="B4716" s="37" t="s">
        <v>25358</v>
      </c>
      <c r="C4716" s="37" t="s">
        <v>2355</v>
      </c>
      <c r="D4716" s="37" t="s">
        <v>2349</v>
      </c>
    </row>
    <row r="4717" spans="1:4" ht="14.25">
      <c r="A4717" s="37">
        <v>13137</v>
      </c>
      <c r="B4717" s="37" t="s">
        <v>25359</v>
      </c>
      <c r="C4717" s="37" t="s">
        <v>2355</v>
      </c>
      <c r="D4717" s="37" t="s">
        <v>2349</v>
      </c>
    </row>
    <row r="4718" spans="1:4" ht="14.25">
      <c r="A4718" s="37">
        <v>42574</v>
      </c>
      <c r="B4718" s="37" t="s">
        <v>25360</v>
      </c>
      <c r="C4718" s="37" t="s">
        <v>2355</v>
      </c>
      <c r="D4718" s="37" t="s">
        <v>2349</v>
      </c>
    </row>
    <row r="4719" spans="1:4" ht="14.25">
      <c r="A4719" s="37">
        <v>20989</v>
      </c>
      <c r="B4719" s="37" t="s">
        <v>25361</v>
      </c>
      <c r="C4719" s="37" t="s">
        <v>2355</v>
      </c>
      <c r="D4719" s="37" t="s">
        <v>2349</v>
      </c>
    </row>
    <row r="4720" spans="1:4" ht="14.25">
      <c r="A4720" s="37">
        <v>21147</v>
      </c>
      <c r="B4720" s="37" t="s">
        <v>25362</v>
      </c>
      <c r="C4720" s="37" t="s">
        <v>2355</v>
      </c>
      <c r="D4720" s="37" t="s">
        <v>2349</v>
      </c>
    </row>
    <row r="4721" spans="1:4" ht="14.25">
      <c r="A4721" s="37">
        <v>21148</v>
      </c>
      <c r="B4721" s="37" t="s">
        <v>25363</v>
      </c>
      <c r="C4721" s="37" t="s">
        <v>2355</v>
      </c>
      <c r="D4721" s="37" t="s">
        <v>2353</v>
      </c>
    </row>
    <row r="4722" spans="1:4" ht="14.25">
      <c r="A4722" s="37">
        <v>20984</v>
      </c>
      <c r="B4722" s="37" t="s">
        <v>25364</v>
      </c>
      <c r="C4722" s="37" t="s">
        <v>2355</v>
      </c>
      <c r="D4722" s="37" t="s">
        <v>2349</v>
      </c>
    </row>
    <row r="4723" spans="1:4" ht="14.25">
      <c r="A4723" s="37">
        <v>13042</v>
      </c>
      <c r="B4723" s="37" t="s">
        <v>25365</v>
      </c>
      <c r="C4723" s="37" t="s">
        <v>2355</v>
      </c>
      <c r="D4723" s="37" t="s">
        <v>2349</v>
      </c>
    </row>
    <row r="4724" spans="1:4" ht="14.25">
      <c r="A4724" s="37">
        <v>21150</v>
      </c>
      <c r="B4724" s="37" t="s">
        <v>25366</v>
      </c>
      <c r="C4724" s="37" t="s">
        <v>2355</v>
      </c>
      <c r="D4724" s="37" t="s">
        <v>2349</v>
      </c>
    </row>
    <row r="4725" spans="1:4" ht="14.25">
      <c r="A4725" s="37">
        <v>13141</v>
      </c>
      <c r="B4725" s="37" t="s">
        <v>25367</v>
      </c>
      <c r="C4725" s="37" t="s">
        <v>2355</v>
      </c>
      <c r="D4725" s="37" t="s">
        <v>2349</v>
      </c>
    </row>
    <row r="4726" spans="1:4" ht="14.25">
      <c r="A4726" s="37">
        <v>42576</v>
      </c>
      <c r="B4726" s="37" t="s">
        <v>25368</v>
      </c>
      <c r="C4726" s="37" t="s">
        <v>2355</v>
      </c>
      <c r="D4726" s="37" t="s">
        <v>2349</v>
      </c>
    </row>
    <row r="4727" spans="1:4" ht="14.25">
      <c r="A4727" s="37">
        <v>21151</v>
      </c>
      <c r="B4727" s="37" t="s">
        <v>25369</v>
      </c>
      <c r="C4727" s="37" t="s">
        <v>2355</v>
      </c>
      <c r="D4727" s="37" t="s">
        <v>2349</v>
      </c>
    </row>
    <row r="4728" spans="1:4" ht="14.25">
      <c r="A4728" s="37">
        <v>13142</v>
      </c>
      <c r="B4728" s="37" t="s">
        <v>25370</v>
      </c>
      <c r="C4728" s="37" t="s">
        <v>2355</v>
      </c>
      <c r="D4728" s="37" t="s">
        <v>2349</v>
      </c>
    </row>
    <row r="4729" spans="1:4" ht="14.25">
      <c r="A4729" s="37">
        <v>42577</v>
      </c>
      <c r="B4729" s="37" t="s">
        <v>25371</v>
      </c>
      <c r="C4729" s="37" t="s">
        <v>2355</v>
      </c>
      <c r="D4729" s="37" t="s">
        <v>2349</v>
      </c>
    </row>
    <row r="4730" spans="1:4" ht="14.25">
      <c r="A4730" s="37">
        <v>20994</v>
      </c>
      <c r="B4730" s="37" t="s">
        <v>25372</v>
      </c>
      <c r="C4730" s="37" t="s">
        <v>2355</v>
      </c>
      <c r="D4730" s="37" t="s">
        <v>2349</v>
      </c>
    </row>
    <row r="4731" spans="1:4" ht="14.25">
      <c r="A4731" s="37">
        <v>7672</v>
      </c>
      <c r="B4731" s="37" t="s">
        <v>25373</v>
      </c>
      <c r="C4731" s="37" t="s">
        <v>2355</v>
      </c>
      <c r="D4731" s="37" t="s">
        <v>2349</v>
      </c>
    </row>
    <row r="4732" spans="1:4" ht="14.25">
      <c r="A4732" s="37">
        <v>20995</v>
      </c>
      <c r="B4732" s="37" t="s">
        <v>25374</v>
      </c>
      <c r="C4732" s="37" t="s">
        <v>2355</v>
      </c>
      <c r="D4732" s="37" t="s">
        <v>2349</v>
      </c>
    </row>
    <row r="4733" spans="1:4" ht="14.25">
      <c r="A4733" s="37">
        <v>7690</v>
      </c>
      <c r="B4733" s="37" t="s">
        <v>25375</v>
      </c>
      <c r="C4733" s="37" t="s">
        <v>2355</v>
      </c>
      <c r="D4733" s="37" t="s">
        <v>2349</v>
      </c>
    </row>
    <row r="4734" spans="1:4" ht="14.25">
      <c r="A4734" s="37">
        <v>20980</v>
      </c>
      <c r="B4734" s="37" t="s">
        <v>25376</v>
      </c>
      <c r="C4734" s="37" t="s">
        <v>2355</v>
      </c>
      <c r="D4734" s="37" t="s">
        <v>2349</v>
      </c>
    </row>
    <row r="4735" spans="1:4" ht="14.25">
      <c r="A4735" s="37">
        <v>7661</v>
      </c>
      <c r="B4735" s="37" t="s">
        <v>25377</v>
      </c>
      <c r="C4735" s="37" t="s">
        <v>2355</v>
      </c>
      <c r="D4735" s="37" t="s">
        <v>2349</v>
      </c>
    </row>
    <row r="4736" spans="1:4" ht="14.25">
      <c r="A4736" s="37">
        <v>21016</v>
      </c>
      <c r="B4736" s="37" t="s">
        <v>25378</v>
      </c>
      <c r="C4736" s="37" t="s">
        <v>2355</v>
      </c>
      <c r="D4736" s="37" t="s">
        <v>2349</v>
      </c>
    </row>
    <row r="4737" spans="1:4" ht="14.25">
      <c r="A4737" s="37">
        <v>21008</v>
      </c>
      <c r="B4737" s="37" t="s">
        <v>25379</v>
      </c>
      <c r="C4737" s="37" t="s">
        <v>2355</v>
      </c>
      <c r="D4737" s="37" t="s">
        <v>2349</v>
      </c>
    </row>
    <row r="4738" spans="1:4" ht="14.25">
      <c r="A4738" s="37">
        <v>21009</v>
      </c>
      <c r="B4738" s="37" t="s">
        <v>25380</v>
      </c>
      <c r="C4738" s="37" t="s">
        <v>2355</v>
      </c>
      <c r="D4738" s="37" t="s">
        <v>2349</v>
      </c>
    </row>
    <row r="4739" spans="1:4" ht="14.25">
      <c r="A4739" s="37">
        <v>21010</v>
      </c>
      <c r="B4739" s="37" t="s">
        <v>25381</v>
      </c>
      <c r="C4739" s="37" t="s">
        <v>2355</v>
      </c>
      <c r="D4739" s="37" t="s">
        <v>2353</v>
      </c>
    </row>
    <row r="4740" spans="1:4" ht="14.25">
      <c r="A4740" s="37">
        <v>21011</v>
      </c>
      <c r="B4740" s="37" t="s">
        <v>25382</v>
      </c>
      <c r="C4740" s="37" t="s">
        <v>2355</v>
      </c>
      <c r="D4740" s="37" t="s">
        <v>2349</v>
      </c>
    </row>
    <row r="4741" spans="1:4" ht="14.25">
      <c r="A4741" s="37">
        <v>21012</v>
      </c>
      <c r="B4741" s="37" t="s">
        <v>25383</v>
      </c>
      <c r="C4741" s="37" t="s">
        <v>2355</v>
      </c>
      <c r="D4741" s="37" t="s">
        <v>2349</v>
      </c>
    </row>
    <row r="4742" spans="1:4" ht="14.25">
      <c r="A4742" s="37">
        <v>21013</v>
      </c>
      <c r="B4742" s="37" t="s">
        <v>25384</v>
      </c>
      <c r="C4742" s="37" t="s">
        <v>2355</v>
      </c>
      <c r="D4742" s="37" t="s">
        <v>2349</v>
      </c>
    </row>
    <row r="4743" spans="1:4" ht="14.25">
      <c r="A4743" s="37">
        <v>21014</v>
      </c>
      <c r="B4743" s="37" t="s">
        <v>25385</v>
      </c>
      <c r="C4743" s="37" t="s">
        <v>2355</v>
      </c>
      <c r="D4743" s="37" t="s">
        <v>2349</v>
      </c>
    </row>
    <row r="4744" spans="1:4" ht="14.25">
      <c r="A4744" s="37">
        <v>21015</v>
      </c>
      <c r="B4744" s="37" t="s">
        <v>25386</v>
      </c>
      <c r="C4744" s="37" t="s">
        <v>2355</v>
      </c>
      <c r="D4744" s="37" t="s">
        <v>2349</v>
      </c>
    </row>
    <row r="4745" spans="1:4" ht="14.25">
      <c r="A4745" s="37">
        <v>7697</v>
      </c>
      <c r="B4745" s="37" t="s">
        <v>25387</v>
      </c>
      <c r="C4745" s="37" t="s">
        <v>2355</v>
      </c>
      <c r="D4745" s="37" t="s">
        <v>2349</v>
      </c>
    </row>
    <row r="4746" spans="1:4" ht="14.25">
      <c r="A4746" s="37">
        <v>7698</v>
      </c>
      <c r="B4746" s="37" t="s">
        <v>25388</v>
      </c>
      <c r="C4746" s="37" t="s">
        <v>2355</v>
      </c>
      <c r="D4746" s="37" t="s">
        <v>2349</v>
      </c>
    </row>
    <row r="4747" spans="1:4" ht="14.25">
      <c r="A4747" s="37">
        <v>7691</v>
      </c>
      <c r="B4747" s="37" t="s">
        <v>25389</v>
      </c>
      <c r="C4747" s="37" t="s">
        <v>2355</v>
      </c>
      <c r="D4747" s="37" t="s">
        <v>2349</v>
      </c>
    </row>
    <row r="4748" spans="1:4" ht="14.25">
      <c r="A4748" s="37">
        <v>40626</v>
      </c>
      <c r="B4748" s="37" t="s">
        <v>25390</v>
      </c>
      <c r="C4748" s="37" t="s">
        <v>2355</v>
      </c>
      <c r="D4748" s="37" t="s">
        <v>2349</v>
      </c>
    </row>
    <row r="4749" spans="1:4" ht="14.25">
      <c r="A4749" s="37">
        <v>7701</v>
      </c>
      <c r="B4749" s="37" t="s">
        <v>25391</v>
      </c>
      <c r="C4749" s="37" t="s">
        <v>2355</v>
      </c>
      <c r="D4749" s="37" t="s">
        <v>2349</v>
      </c>
    </row>
    <row r="4750" spans="1:4" ht="14.25">
      <c r="A4750" s="37">
        <v>7696</v>
      </c>
      <c r="B4750" s="37" t="s">
        <v>25392</v>
      </c>
      <c r="C4750" s="37" t="s">
        <v>2355</v>
      </c>
      <c r="D4750" s="37" t="s">
        <v>2349</v>
      </c>
    </row>
    <row r="4751" spans="1:4" ht="14.25">
      <c r="A4751" s="37">
        <v>7700</v>
      </c>
      <c r="B4751" s="37" t="s">
        <v>25393</v>
      </c>
      <c r="C4751" s="37" t="s">
        <v>2355</v>
      </c>
      <c r="D4751" s="37" t="s">
        <v>2349</v>
      </c>
    </row>
    <row r="4752" spans="1:4" ht="14.25">
      <c r="A4752" s="37">
        <v>7694</v>
      </c>
      <c r="B4752" s="37" t="s">
        <v>25394</v>
      </c>
      <c r="C4752" s="37" t="s">
        <v>2355</v>
      </c>
      <c r="D4752" s="37" t="s">
        <v>2349</v>
      </c>
    </row>
    <row r="4753" spans="1:4" ht="14.25">
      <c r="A4753" s="37">
        <v>7693</v>
      </c>
      <c r="B4753" s="37" t="s">
        <v>25395</v>
      </c>
      <c r="C4753" s="37" t="s">
        <v>2355</v>
      </c>
      <c r="D4753" s="37" t="s">
        <v>2349</v>
      </c>
    </row>
    <row r="4754" spans="1:4" ht="14.25">
      <c r="A4754" s="37">
        <v>7692</v>
      </c>
      <c r="B4754" s="37" t="s">
        <v>25396</v>
      </c>
      <c r="C4754" s="37" t="s">
        <v>2355</v>
      </c>
      <c r="D4754" s="37" t="s">
        <v>2349</v>
      </c>
    </row>
    <row r="4755" spans="1:4" ht="14.25">
      <c r="A4755" s="37">
        <v>7695</v>
      </c>
      <c r="B4755" s="37" t="s">
        <v>25397</v>
      </c>
      <c r="C4755" s="37" t="s">
        <v>2355</v>
      </c>
      <c r="D4755" s="37" t="s">
        <v>2349</v>
      </c>
    </row>
    <row r="4756" spans="1:4" ht="14.25">
      <c r="A4756" s="37">
        <v>13356</v>
      </c>
      <c r="B4756" s="37" t="s">
        <v>25398</v>
      </c>
      <c r="C4756" s="37" t="s">
        <v>2355</v>
      </c>
      <c r="D4756" s="37" t="s">
        <v>2349</v>
      </c>
    </row>
    <row r="4757" spans="1:4" ht="14.25">
      <c r="A4757" s="37">
        <v>36365</v>
      </c>
      <c r="B4757" s="37" t="s">
        <v>25399</v>
      </c>
      <c r="C4757" s="37" t="s">
        <v>2355</v>
      </c>
      <c r="D4757" s="37" t="s">
        <v>2351</v>
      </c>
    </row>
    <row r="4758" spans="1:4" ht="14.25">
      <c r="A4758" s="37">
        <v>41930</v>
      </c>
      <c r="B4758" s="37" t="s">
        <v>25400</v>
      </c>
      <c r="C4758" s="37" t="s">
        <v>2355</v>
      </c>
      <c r="D4758" s="37" t="s">
        <v>2351</v>
      </c>
    </row>
    <row r="4759" spans="1:4" ht="14.25">
      <c r="A4759" s="37">
        <v>41931</v>
      </c>
      <c r="B4759" s="37" t="s">
        <v>25401</v>
      </c>
      <c r="C4759" s="37" t="s">
        <v>2355</v>
      </c>
      <c r="D4759" s="37" t="s">
        <v>2351</v>
      </c>
    </row>
    <row r="4760" spans="1:4" ht="14.25">
      <c r="A4760" s="37">
        <v>41932</v>
      </c>
      <c r="B4760" s="37" t="s">
        <v>25402</v>
      </c>
      <c r="C4760" s="37" t="s">
        <v>2355</v>
      </c>
      <c r="D4760" s="37" t="s">
        <v>2351</v>
      </c>
    </row>
    <row r="4761" spans="1:4" ht="14.25">
      <c r="A4761" s="37">
        <v>41933</v>
      </c>
      <c r="B4761" s="37" t="s">
        <v>25403</v>
      </c>
      <c r="C4761" s="37" t="s">
        <v>2355</v>
      </c>
      <c r="D4761" s="37" t="s">
        <v>2351</v>
      </c>
    </row>
    <row r="4762" spans="1:4" ht="14.25">
      <c r="A4762" s="37">
        <v>41934</v>
      </c>
      <c r="B4762" s="37" t="s">
        <v>25404</v>
      </c>
      <c r="C4762" s="37" t="s">
        <v>2355</v>
      </c>
      <c r="D4762" s="37" t="s">
        <v>2351</v>
      </c>
    </row>
    <row r="4763" spans="1:4" ht="14.25">
      <c r="A4763" s="37">
        <v>41936</v>
      </c>
      <c r="B4763" s="37" t="s">
        <v>25405</v>
      </c>
      <c r="C4763" s="37" t="s">
        <v>2355</v>
      </c>
      <c r="D4763" s="37" t="s">
        <v>2351</v>
      </c>
    </row>
    <row r="4764" spans="1:4" ht="14.25">
      <c r="A4764" s="37">
        <v>41785</v>
      </c>
      <c r="B4764" s="37" t="s">
        <v>28138</v>
      </c>
      <c r="C4764" s="37" t="s">
        <v>2355</v>
      </c>
      <c r="D4764" s="37" t="s">
        <v>2351</v>
      </c>
    </row>
    <row r="4765" spans="1:4" ht="14.25">
      <c r="A4765" s="37">
        <v>41781</v>
      </c>
      <c r="B4765" s="37" t="s">
        <v>28139</v>
      </c>
      <c r="C4765" s="37" t="s">
        <v>2355</v>
      </c>
      <c r="D4765" s="37" t="s">
        <v>2351</v>
      </c>
    </row>
    <row r="4766" spans="1:4" ht="14.25">
      <c r="A4766" s="37">
        <v>41783</v>
      </c>
      <c r="B4766" s="37" t="s">
        <v>28140</v>
      </c>
      <c r="C4766" s="37" t="s">
        <v>2355</v>
      </c>
      <c r="D4766" s="37" t="s">
        <v>2351</v>
      </c>
    </row>
    <row r="4767" spans="1:4" ht="14.25">
      <c r="A4767" s="37">
        <v>41786</v>
      </c>
      <c r="B4767" s="37" t="s">
        <v>28141</v>
      </c>
      <c r="C4767" s="37" t="s">
        <v>2355</v>
      </c>
      <c r="D4767" s="37" t="s">
        <v>2351</v>
      </c>
    </row>
    <row r="4768" spans="1:4" ht="14.25">
      <c r="A4768" s="37">
        <v>41779</v>
      </c>
      <c r="B4768" s="37" t="s">
        <v>28142</v>
      </c>
      <c r="C4768" s="37" t="s">
        <v>2355</v>
      </c>
      <c r="D4768" s="37" t="s">
        <v>2351</v>
      </c>
    </row>
    <row r="4769" spans="1:4" ht="14.25">
      <c r="A4769" s="37">
        <v>41780</v>
      </c>
      <c r="B4769" s="37" t="s">
        <v>28143</v>
      </c>
      <c r="C4769" s="37" t="s">
        <v>2355</v>
      </c>
      <c r="D4769" s="37" t="s">
        <v>2351</v>
      </c>
    </row>
    <row r="4770" spans="1:4" ht="14.25">
      <c r="A4770" s="37">
        <v>41782</v>
      </c>
      <c r="B4770" s="37" t="s">
        <v>28144</v>
      </c>
      <c r="C4770" s="37" t="s">
        <v>2355</v>
      </c>
      <c r="D4770" s="37" t="s">
        <v>2351</v>
      </c>
    </row>
    <row r="4771" spans="1:4" ht="14.25">
      <c r="A4771" s="37">
        <v>38130</v>
      </c>
      <c r="B4771" s="37" t="s">
        <v>25406</v>
      </c>
      <c r="C4771" s="37" t="s">
        <v>2355</v>
      </c>
      <c r="D4771" s="37" t="s">
        <v>2349</v>
      </c>
    </row>
    <row r="4772" spans="1:4" ht="14.25">
      <c r="A4772" s="37">
        <v>21123</v>
      </c>
      <c r="B4772" s="37" t="s">
        <v>25407</v>
      </c>
      <c r="C4772" s="37" t="s">
        <v>2355</v>
      </c>
      <c r="D4772" s="37" t="s">
        <v>2353</v>
      </c>
    </row>
    <row r="4773" spans="1:4" ht="14.25">
      <c r="A4773" s="37">
        <v>21124</v>
      </c>
      <c r="B4773" s="37" t="s">
        <v>25408</v>
      </c>
      <c r="C4773" s="37" t="s">
        <v>2355</v>
      </c>
      <c r="D4773" s="37" t="s">
        <v>2349</v>
      </c>
    </row>
    <row r="4774" spans="1:4" ht="14.25">
      <c r="A4774" s="37">
        <v>21125</v>
      </c>
      <c r="B4774" s="37" t="s">
        <v>25409</v>
      </c>
      <c r="C4774" s="37" t="s">
        <v>2355</v>
      </c>
      <c r="D4774" s="37" t="s">
        <v>2349</v>
      </c>
    </row>
    <row r="4775" spans="1:4" ht="14.25">
      <c r="A4775" s="37">
        <v>38028</v>
      </c>
      <c r="B4775" s="37" t="s">
        <v>25410</v>
      </c>
      <c r="C4775" s="37" t="s">
        <v>2355</v>
      </c>
      <c r="D4775" s="37" t="s">
        <v>2349</v>
      </c>
    </row>
    <row r="4776" spans="1:4" ht="14.25">
      <c r="A4776" s="37">
        <v>38029</v>
      </c>
      <c r="B4776" s="37" t="s">
        <v>25411</v>
      </c>
      <c r="C4776" s="37" t="s">
        <v>2355</v>
      </c>
      <c r="D4776" s="37" t="s">
        <v>2349</v>
      </c>
    </row>
    <row r="4777" spans="1:4" ht="14.25">
      <c r="A4777" s="37">
        <v>38030</v>
      </c>
      <c r="B4777" s="37" t="s">
        <v>25412</v>
      </c>
      <c r="C4777" s="37" t="s">
        <v>2355</v>
      </c>
      <c r="D4777" s="37" t="s">
        <v>2349</v>
      </c>
    </row>
    <row r="4778" spans="1:4" ht="14.25">
      <c r="A4778" s="37">
        <v>38031</v>
      </c>
      <c r="B4778" s="37" t="s">
        <v>25413</v>
      </c>
      <c r="C4778" s="37" t="s">
        <v>2355</v>
      </c>
      <c r="D4778" s="37" t="s">
        <v>2349</v>
      </c>
    </row>
    <row r="4779" spans="1:4" ht="14.25">
      <c r="A4779" s="37">
        <v>39735</v>
      </c>
      <c r="B4779" s="37" t="s">
        <v>25414</v>
      </c>
      <c r="C4779" s="37" t="s">
        <v>2355</v>
      </c>
      <c r="D4779" s="37" t="s">
        <v>2349</v>
      </c>
    </row>
    <row r="4780" spans="1:4" ht="14.25">
      <c r="A4780" s="37">
        <v>39734</v>
      </c>
      <c r="B4780" s="37" t="s">
        <v>25415</v>
      </c>
      <c r="C4780" s="37" t="s">
        <v>2355</v>
      </c>
      <c r="D4780" s="37" t="s">
        <v>2349</v>
      </c>
    </row>
    <row r="4781" spans="1:4" ht="14.25">
      <c r="A4781" s="37">
        <v>39736</v>
      </c>
      <c r="B4781" s="37" t="s">
        <v>25416</v>
      </c>
      <c r="C4781" s="37" t="s">
        <v>2355</v>
      </c>
      <c r="D4781" s="37" t="s">
        <v>2349</v>
      </c>
    </row>
    <row r="4782" spans="1:4" ht="14.25">
      <c r="A4782" s="37">
        <v>39737</v>
      </c>
      <c r="B4782" s="37" t="s">
        <v>25417</v>
      </c>
      <c r="C4782" s="37" t="s">
        <v>2355</v>
      </c>
      <c r="D4782" s="37" t="s">
        <v>2349</v>
      </c>
    </row>
    <row r="4783" spans="1:4" ht="14.25">
      <c r="A4783" s="37">
        <v>39738</v>
      </c>
      <c r="B4783" s="37" t="s">
        <v>25418</v>
      </c>
      <c r="C4783" s="37" t="s">
        <v>2355</v>
      </c>
      <c r="D4783" s="37" t="s">
        <v>2349</v>
      </c>
    </row>
    <row r="4784" spans="1:4" ht="14.25">
      <c r="A4784" s="37">
        <v>39739</v>
      </c>
      <c r="B4784" s="37" t="s">
        <v>25419</v>
      </c>
      <c r="C4784" s="37" t="s">
        <v>2355</v>
      </c>
      <c r="D4784" s="37" t="s">
        <v>2349</v>
      </c>
    </row>
    <row r="4785" spans="1:4" ht="14.25">
      <c r="A4785" s="37">
        <v>39733</v>
      </c>
      <c r="B4785" s="37" t="s">
        <v>25420</v>
      </c>
      <c r="C4785" s="37" t="s">
        <v>2355</v>
      </c>
      <c r="D4785" s="37" t="s">
        <v>2349</v>
      </c>
    </row>
    <row r="4786" spans="1:4" ht="14.25">
      <c r="A4786" s="37">
        <v>39854</v>
      </c>
      <c r="B4786" s="37" t="s">
        <v>25421</v>
      </c>
      <c r="C4786" s="37" t="s">
        <v>2355</v>
      </c>
      <c r="D4786" s="37" t="s">
        <v>2349</v>
      </c>
    </row>
    <row r="4787" spans="1:4" ht="14.25">
      <c r="A4787" s="37">
        <v>39740</v>
      </c>
      <c r="B4787" s="37" t="s">
        <v>25422</v>
      </c>
      <c r="C4787" s="37" t="s">
        <v>2355</v>
      </c>
      <c r="D4787" s="37" t="s">
        <v>2349</v>
      </c>
    </row>
    <row r="4788" spans="1:4" ht="14.25">
      <c r="A4788" s="37">
        <v>39741</v>
      </c>
      <c r="B4788" s="37" t="s">
        <v>25423</v>
      </c>
      <c r="C4788" s="37" t="s">
        <v>2355</v>
      </c>
      <c r="D4788" s="37" t="s">
        <v>2349</v>
      </c>
    </row>
    <row r="4789" spans="1:4" ht="14.25">
      <c r="A4789" s="37">
        <v>39853</v>
      </c>
      <c r="B4789" s="37" t="s">
        <v>25424</v>
      </c>
      <c r="C4789" s="37" t="s">
        <v>2355</v>
      </c>
      <c r="D4789" s="37" t="s">
        <v>2349</v>
      </c>
    </row>
    <row r="4790" spans="1:4" ht="14.25">
      <c r="A4790" s="37">
        <v>39742</v>
      </c>
      <c r="B4790" s="37" t="s">
        <v>25425</v>
      </c>
      <c r="C4790" s="37" t="s">
        <v>2355</v>
      </c>
      <c r="D4790" s="37" t="s">
        <v>2349</v>
      </c>
    </row>
    <row r="4791" spans="1:4" ht="14.25">
      <c r="A4791" s="37">
        <v>39749</v>
      </c>
      <c r="B4791" s="37" t="s">
        <v>25426</v>
      </c>
      <c r="C4791" s="37" t="s">
        <v>2355</v>
      </c>
      <c r="D4791" s="37" t="s">
        <v>2351</v>
      </c>
    </row>
    <row r="4792" spans="1:4" ht="14.25">
      <c r="A4792" s="37">
        <v>39751</v>
      </c>
      <c r="B4792" s="37" t="s">
        <v>25427</v>
      </c>
      <c r="C4792" s="37" t="s">
        <v>2355</v>
      </c>
      <c r="D4792" s="37" t="s">
        <v>2351</v>
      </c>
    </row>
    <row r="4793" spans="1:4" ht="14.25">
      <c r="A4793" s="37">
        <v>39750</v>
      </c>
      <c r="B4793" s="37" t="s">
        <v>25428</v>
      </c>
      <c r="C4793" s="37" t="s">
        <v>2355</v>
      </c>
      <c r="D4793" s="37" t="s">
        <v>2351</v>
      </c>
    </row>
    <row r="4794" spans="1:4" ht="14.25">
      <c r="A4794" s="37">
        <v>39747</v>
      </c>
      <c r="B4794" s="37" t="s">
        <v>25429</v>
      </c>
      <c r="C4794" s="37" t="s">
        <v>2355</v>
      </c>
      <c r="D4794" s="37" t="s">
        <v>2351</v>
      </c>
    </row>
    <row r="4795" spans="1:4" ht="14.25">
      <c r="A4795" s="37">
        <v>39753</v>
      </c>
      <c r="B4795" s="37" t="s">
        <v>25430</v>
      </c>
      <c r="C4795" s="37" t="s">
        <v>2355</v>
      </c>
      <c r="D4795" s="37" t="s">
        <v>2351</v>
      </c>
    </row>
    <row r="4796" spans="1:4" ht="14.25">
      <c r="A4796" s="37">
        <v>39754</v>
      </c>
      <c r="B4796" s="37" t="s">
        <v>25431</v>
      </c>
      <c r="C4796" s="37" t="s">
        <v>2355</v>
      </c>
      <c r="D4796" s="37" t="s">
        <v>2351</v>
      </c>
    </row>
    <row r="4797" spans="1:4" ht="14.25">
      <c r="A4797" s="37">
        <v>39748</v>
      </c>
      <c r="B4797" s="37" t="s">
        <v>25432</v>
      </c>
      <c r="C4797" s="37" t="s">
        <v>2355</v>
      </c>
      <c r="D4797" s="37" t="s">
        <v>2351</v>
      </c>
    </row>
    <row r="4798" spans="1:4" ht="14.25">
      <c r="A4798" s="37">
        <v>39755</v>
      </c>
      <c r="B4798" s="37" t="s">
        <v>25433</v>
      </c>
      <c r="C4798" s="37" t="s">
        <v>2355</v>
      </c>
      <c r="D4798" s="37" t="s">
        <v>2351</v>
      </c>
    </row>
    <row r="4799" spans="1:4" ht="14.25">
      <c r="A4799" s="37">
        <v>12742</v>
      </c>
      <c r="B4799" s="37" t="s">
        <v>25434</v>
      </c>
      <c r="C4799" s="37" t="s">
        <v>2355</v>
      </c>
      <c r="D4799" s="37" t="s">
        <v>2351</v>
      </c>
    </row>
    <row r="4800" spans="1:4" ht="14.25">
      <c r="A4800" s="37">
        <v>12713</v>
      </c>
      <c r="B4800" s="37" t="s">
        <v>25435</v>
      </c>
      <c r="C4800" s="37" t="s">
        <v>2355</v>
      </c>
      <c r="D4800" s="37" t="s">
        <v>2351</v>
      </c>
    </row>
    <row r="4801" spans="1:4" ht="14.25">
      <c r="A4801" s="37">
        <v>12743</v>
      </c>
      <c r="B4801" s="37" t="s">
        <v>25436</v>
      </c>
      <c r="C4801" s="37" t="s">
        <v>2355</v>
      </c>
      <c r="D4801" s="37" t="s">
        <v>2351</v>
      </c>
    </row>
    <row r="4802" spans="1:4" ht="14.25">
      <c r="A4802" s="37">
        <v>12744</v>
      </c>
      <c r="B4802" s="37" t="s">
        <v>25437</v>
      </c>
      <c r="C4802" s="37" t="s">
        <v>2355</v>
      </c>
      <c r="D4802" s="37" t="s">
        <v>2351</v>
      </c>
    </row>
    <row r="4803" spans="1:4" ht="14.25">
      <c r="A4803" s="37">
        <v>12745</v>
      </c>
      <c r="B4803" s="37" t="s">
        <v>25438</v>
      </c>
      <c r="C4803" s="37" t="s">
        <v>2355</v>
      </c>
      <c r="D4803" s="37" t="s">
        <v>2351</v>
      </c>
    </row>
    <row r="4804" spans="1:4" ht="14.25">
      <c r="A4804" s="37">
        <v>12746</v>
      </c>
      <c r="B4804" s="37" t="s">
        <v>25439</v>
      </c>
      <c r="C4804" s="37" t="s">
        <v>2355</v>
      </c>
      <c r="D4804" s="37" t="s">
        <v>2351</v>
      </c>
    </row>
    <row r="4805" spans="1:4" ht="14.25">
      <c r="A4805" s="37">
        <v>12747</v>
      </c>
      <c r="B4805" s="37" t="s">
        <v>25440</v>
      </c>
      <c r="C4805" s="37" t="s">
        <v>2355</v>
      </c>
      <c r="D4805" s="37" t="s">
        <v>2351</v>
      </c>
    </row>
    <row r="4806" spans="1:4" ht="14.25">
      <c r="A4806" s="37">
        <v>12748</v>
      </c>
      <c r="B4806" s="37" t="s">
        <v>25441</v>
      </c>
      <c r="C4806" s="37" t="s">
        <v>2355</v>
      </c>
      <c r="D4806" s="37" t="s">
        <v>2351</v>
      </c>
    </row>
    <row r="4807" spans="1:4" ht="14.25">
      <c r="A4807" s="37">
        <v>12749</v>
      </c>
      <c r="B4807" s="37" t="s">
        <v>25442</v>
      </c>
      <c r="C4807" s="37" t="s">
        <v>2355</v>
      </c>
      <c r="D4807" s="37" t="s">
        <v>2351</v>
      </c>
    </row>
    <row r="4808" spans="1:4" ht="14.25">
      <c r="A4808" s="37">
        <v>39726</v>
      </c>
      <c r="B4808" s="37" t="s">
        <v>25443</v>
      </c>
      <c r="C4808" s="37" t="s">
        <v>2355</v>
      </c>
      <c r="D4808" s="37" t="s">
        <v>2351</v>
      </c>
    </row>
    <row r="4809" spans="1:4" ht="14.25">
      <c r="A4809" s="37">
        <v>39728</v>
      </c>
      <c r="B4809" s="37" t="s">
        <v>25444</v>
      </c>
      <c r="C4809" s="37" t="s">
        <v>2355</v>
      </c>
      <c r="D4809" s="37" t="s">
        <v>2351</v>
      </c>
    </row>
    <row r="4810" spans="1:4" ht="14.25">
      <c r="A4810" s="37">
        <v>39727</v>
      </c>
      <c r="B4810" s="37" t="s">
        <v>25445</v>
      </c>
      <c r="C4810" s="37" t="s">
        <v>2355</v>
      </c>
      <c r="D4810" s="37" t="s">
        <v>2351</v>
      </c>
    </row>
    <row r="4811" spans="1:4" ht="14.25">
      <c r="A4811" s="37">
        <v>39724</v>
      </c>
      <c r="B4811" s="37" t="s">
        <v>25446</v>
      </c>
      <c r="C4811" s="37" t="s">
        <v>2355</v>
      </c>
      <c r="D4811" s="37" t="s">
        <v>2351</v>
      </c>
    </row>
    <row r="4812" spans="1:4" ht="14.25">
      <c r="A4812" s="37">
        <v>39729</v>
      </c>
      <c r="B4812" s="37" t="s">
        <v>25447</v>
      </c>
      <c r="C4812" s="37" t="s">
        <v>2355</v>
      </c>
      <c r="D4812" s="37" t="s">
        <v>2351</v>
      </c>
    </row>
    <row r="4813" spans="1:4" ht="14.25">
      <c r="A4813" s="37">
        <v>39730</v>
      </c>
      <c r="B4813" s="37" t="s">
        <v>25448</v>
      </c>
      <c r="C4813" s="37" t="s">
        <v>2355</v>
      </c>
      <c r="D4813" s="37" t="s">
        <v>2351</v>
      </c>
    </row>
    <row r="4814" spans="1:4" ht="14.25">
      <c r="A4814" s="37">
        <v>39731</v>
      </c>
      <c r="B4814" s="37" t="s">
        <v>25449</v>
      </c>
      <c r="C4814" s="37" t="s">
        <v>2355</v>
      </c>
      <c r="D4814" s="37" t="s">
        <v>2351</v>
      </c>
    </row>
    <row r="4815" spans="1:4" ht="14.25">
      <c r="A4815" s="37">
        <v>39725</v>
      </c>
      <c r="B4815" s="37" t="s">
        <v>25450</v>
      </c>
      <c r="C4815" s="37" t="s">
        <v>2355</v>
      </c>
      <c r="D4815" s="37" t="s">
        <v>2351</v>
      </c>
    </row>
    <row r="4816" spans="1:4" ht="14.25">
      <c r="A4816" s="37">
        <v>39732</v>
      </c>
      <c r="B4816" s="37" t="s">
        <v>25451</v>
      </c>
      <c r="C4816" s="37" t="s">
        <v>2355</v>
      </c>
      <c r="D4816" s="37" t="s">
        <v>2351</v>
      </c>
    </row>
    <row r="4817" spans="1:4" ht="14.25">
      <c r="A4817" s="37">
        <v>39660</v>
      </c>
      <c r="B4817" s="37" t="s">
        <v>25452</v>
      </c>
      <c r="C4817" s="37" t="s">
        <v>2355</v>
      </c>
      <c r="D4817" s="37" t="s">
        <v>2351</v>
      </c>
    </row>
    <row r="4818" spans="1:4" ht="14.25">
      <c r="A4818" s="37">
        <v>39662</v>
      </c>
      <c r="B4818" s="37" t="s">
        <v>25453</v>
      </c>
      <c r="C4818" s="37" t="s">
        <v>2355</v>
      </c>
      <c r="D4818" s="37" t="s">
        <v>2351</v>
      </c>
    </row>
    <row r="4819" spans="1:4" ht="14.25">
      <c r="A4819" s="37">
        <v>39661</v>
      </c>
      <c r="B4819" s="37" t="s">
        <v>25454</v>
      </c>
      <c r="C4819" s="37" t="s">
        <v>2355</v>
      </c>
      <c r="D4819" s="37" t="s">
        <v>2351</v>
      </c>
    </row>
    <row r="4820" spans="1:4" ht="14.25">
      <c r="A4820" s="37">
        <v>39666</v>
      </c>
      <c r="B4820" s="37" t="s">
        <v>25455</v>
      </c>
      <c r="C4820" s="37" t="s">
        <v>2355</v>
      </c>
      <c r="D4820" s="37" t="s">
        <v>2351</v>
      </c>
    </row>
    <row r="4821" spans="1:4" ht="14.25">
      <c r="A4821" s="37">
        <v>39664</v>
      </c>
      <c r="B4821" s="37" t="s">
        <v>25456</v>
      </c>
      <c r="C4821" s="37" t="s">
        <v>2355</v>
      </c>
      <c r="D4821" s="37" t="s">
        <v>2351</v>
      </c>
    </row>
    <row r="4822" spans="1:4" ht="14.25">
      <c r="A4822" s="37">
        <v>39663</v>
      </c>
      <c r="B4822" s="37" t="s">
        <v>25457</v>
      </c>
      <c r="C4822" s="37" t="s">
        <v>2355</v>
      </c>
      <c r="D4822" s="37" t="s">
        <v>2351</v>
      </c>
    </row>
    <row r="4823" spans="1:4" ht="14.25">
      <c r="A4823" s="37">
        <v>39665</v>
      </c>
      <c r="B4823" s="37" t="s">
        <v>25458</v>
      </c>
      <c r="C4823" s="37" t="s">
        <v>2355</v>
      </c>
      <c r="D4823" s="37" t="s">
        <v>2351</v>
      </c>
    </row>
    <row r="4824" spans="1:4" ht="14.25">
      <c r="A4824" s="37">
        <v>39752</v>
      </c>
      <c r="B4824" s="37" t="s">
        <v>25459</v>
      </c>
      <c r="C4824" s="37" t="s">
        <v>2355</v>
      </c>
      <c r="D4824" s="37" t="s">
        <v>2351</v>
      </c>
    </row>
    <row r="4825" spans="1:4" ht="14.25">
      <c r="A4825" s="37">
        <v>7725</v>
      </c>
      <c r="B4825" s="37" t="s">
        <v>25460</v>
      </c>
      <c r="C4825" s="37" t="s">
        <v>2355</v>
      </c>
      <c r="D4825" s="37" t="s">
        <v>2353</v>
      </c>
    </row>
    <row r="4826" spans="1:4" ht="14.25">
      <c r="A4826" s="37">
        <v>7753</v>
      </c>
      <c r="B4826" s="37" t="s">
        <v>25461</v>
      </c>
      <c r="C4826" s="37" t="s">
        <v>2355</v>
      </c>
      <c r="D4826" s="37" t="s">
        <v>2349</v>
      </c>
    </row>
    <row r="4827" spans="1:4" ht="14.25">
      <c r="A4827" s="37">
        <v>13256</v>
      </c>
      <c r="B4827" s="37" t="s">
        <v>25462</v>
      </c>
      <c r="C4827" s="37" t="s">
        <v>2355</v>
      </c>
      <c r="D4827" s="37" t="s">
        <v>2349</v>
      </c>
    </row>
    <row r="4828" spans="1:4" ht="14.25">
      <c r="A4828" s="37">
        <v>7757</v>
      </c>
      <c r="B4828" s="37" t="s">
        <v>25463</v>
      </c>
      <c r="C4828" s="37" t="s">
        <v>2355</v>
      </c>
      <c r="D4828" s="37" t="s">
        <v>2349</v>
      </c>
    </row>
    <row r="4829" spans="1:4" ht="14.25">
      <c r="A4829" s="37">
        <v>7758</v>
      </c>
      <c r="B4829" s="37" t="s">
        <v>25464</v>
      </c>
      <c r="C4829" s="37" t="s">
        <v>2355</v>
      </c>
      <c r="D4829" s="37" t="s">
        <v>2349</v>
      </c>
    </row>
    <row r="4830" spans="1:4" ht="14.25">
      <c r="A4830" s="37">
        <v>7759</v>
      </c>
      <c r="B4830" s="37" t="s">
        <v>25465</v>
      </c>
      <c r="C4830" s="37" t="s">
        <v>2355</v>
      </c>
      <c r="D4830" s="37" t="s">
        <v>2349</v>
      </c>
    </row>
    <row r="4831" spans="1:4" ht="14.25">
      <c r="A4831" s="37">
        <v>40334</v>
      </c>
      <c r="B4831" s="37" t="s">
        <v>25466</v>
      </c>
      <c r="C4831" s="37" t="s">
        <v>2355</v>
      </c>
      <c r="D4831" s="37" t="s">
        <v>2349</v>
      </c>
    </row>
    <row r="4832" spans="1:4" ht="14.25">
      <c r="A4832" s="37">
        <v>7745</v>
      </c>
      <c r="B4832" s="37" t="s">
        <v>25467</v>
      </c>
      <c r="C4832" s="37" t="s">
        <v>2355</v>
      </c>
      <c r="D4832" s="37" t="s">
        <v>2349</v>
      </c>
    </row>
    <row r="4833" spans="1:4" ht="14.25">
      <c r="A4833" s="37">
        <v>7714</v>
      </c>
      <c r="B4833" s="37" t="s">
        <v>25468</v>
      </c>
      <c r="C4833" s="37" t="s">
        <v>2355</v>
      </c>
      <c r="D4833" s="37" t="s">
        <v>2349</v>
      </c>
    </row>
    <row r="4834" spans="1:4" ht="14.25">
      <c r="A4834" s="37">
        <v>7742</v>
      </c>
      <c r="B4834" s="37" t="s">
        <v>25469</v>
      </c>
      <c r="C4834" s="37" t="s">
        <v>2355</v>
      </c>
      <c r="D4834" s="37" t="s">
        <v>2349</v>
      </c>
    </row>
    <row r="4835" spans="1:4" ht="14.25">
      <c r="A4835" s="37">
        <v>7750</v>
      </c>
      <c r="B4835" s="37" t="s">
        <v>25470</v>
      </c>
      <c r="C4835" s="37" t="s">
        <v>2355</v>
      </c>
      <c r="D4835" s="37" t="s">
        <v>2349</v>
      </c>
    </row>
    <row r="4836" spans="1:4" ht="14.25">
      <c r="A4836" s="37">
        <v>7756</v>
      </c>
      <c r="B4836" s="37" t="s">
        <v>25471</v>
      </c>
      <c r="C4836" s="37" t="s">
        <v>2355</v>
      </c>
      <c r="D4836" s="37" t="s">
        <v>2349</v>
      </c>
    </row>
    <row r="4837" spans="1:4" ht="14.25">
      <c r="A4837" s="37">
        <v>7765</v>
      </c>
      <c r="B4837" s="37" t="s">
        <v>25472</v>
      </c>
      <c r="C4837" s="37" t="s">
        <v>2355</v>
      </c>
      <c r="D4837" s="37" t="s">
        <v>2349</v>
      </c>
    </row>
    <row r="4838" spans="1:4" ht="14.25">
      <c r="A4838" s="37">
        <v>12569</v>
      </c>
      <c r="B4838" s="37" t="s">
        <v>25473</v>
      </c>
      <c r="C4838" s="37" t="s">
        <v>2355</v>
      </c>
      <c r="D4838" s="37" t="s">
        <v>2349</v>
      </c>
    </row>
    <row r="4839" spans="1:4" ht="14.25">
      <c r="A4839" s="37">
        <v>7766</v>
      </c>
      <c r="B4839" s="37" t="s">
        <v>25474</v>
      </c>
      <c r="C4839" s="37" t="s">
        <v>2355</v>
      </c>
      <c r="D4839" s="37" t="s">
        <v>2349</v>
      </c>
    </row>
    <row r="4840" spans="1:4" ht="14.25">
      <c r="A4840" s="37">
        <v>7767</v>
      </c>
      <c r="B4840" s="37" t="s">
        <v>25475</v>
      </c>
      <c r="C4840" s="37" t="s">
        <v>2355</v>
      </c>
      <c r="D4840" s="37" t="s">
        <v>2349</v>
      </c>
    </row>
    <row r="4841" spans="1:4" ht="14.25">
      <c r="A4841" s="37">
        <v>7727</v>
      </c>
      <c r="B4841" s="37" t="s">
        <v>25476</v>
      </c>
      <c r="C4841" s="37" t="s">
        <v>2355</v>
      </c>
      <c r="D4841" s="37" t="s">
        <v>2349</v>
      </c>
    </row>
    <row r="4842" spans="1:4" ht="14.25">
      <c r="A4842" s="37">
        <v>7760</v>
      </c>
      <c r="B4842" s="37" t="s">
        <v>25477</v>
      </c>
      <c r="C4842" s="37" t="s">
        <v>2355</v>
      </c>
      <c r="D4842" s="37" t="s">
        <v>2349</v>
      </c>
    </row>
    <row r="4843" spans="1:4" ht="14.25">
      <c r="A4843" s="37">
        <v>7761</v>
      </c>
      <c r="B4843" s="37" t="s">
        <v>25478</v>
      </c>
      <c r="C4843" s="37" t="s">
        <v>2355</v>
      </c>
      <c r="D4843" s="37" t="s">
        <v>2349</v>
      </c>
    </row>
    <row r="4844" spans="1:4" ht="14.25">
      <c r="A4844" s="37">
        <v>7752</v>
      </c>
      <c r="B4844" s="37" t="s">
        <v>25479</v>
      </c>
      <c r="C4844" s="37" t="s">
        <v>2355</v>
      </c>
      <c r="D4844" s="37" t="s">
        <v>2349</v>
      </c>
    </row>
    <row r="4845" spans="1:4" ht="14.25">
      <c r="A4845" s="37">
        <v>7762</v>
      </c>
      <c r="B4845" s="37" t="s">
        <v>25480</v>
      </c>
      <c r="C4845" s="37" t="s">
        <v>2355</v>
      </c>
      <c r="D4845" s="37" t="s">
        <v>2349</v>
      </c>
    </row>
    <row r="4846" spans="1:4" ht="14.25">
      <c r="A4846" s="37">
        <v>7722</v>
      </c>
      <c r="B4846" s="37" t="s">
        <v>25481</v>
      </c>
      <c r="C4846" s="37" t="s">
        <v>2355</v>
      </c>
      <c r="D4846" s="37" t="s">
        <v>2349</v>
      </c>
    </row>
    <row r="4847" spans="1:4" ht="14.25">
      <c r="A4847" s="37">
        <v>7763</v>
      </c>
      <c r="B4847" s="37" t="s">
        <v>25482</v>
      </c>
      <c r="C4847" s="37" t="s">
        <v>2355</v>
      </c>
      <c r="D4847" s="37" t="s">
        <v>2349</v>
      </c>
    </row>
    <row r="4848" spans="1:4" ht="14.25">
      <c r="A4848" s="37">
        <v>7764</v>
      </c>
      <c r="B4848" s="37" t="s">
        <v>25483</v>
      </c>
      <c r="C4848" s="37" t="s">
        <v>2355</v>
      </c>
      <c r="D4848" s="37" t="s">
        <v>2349</v>
      </c>
    </row>
    <row r="4849" spans="1:4" ht="14.25">
      <c r="A4849" s="37">
        <v>12572</v>
      </c>
      <c r="B4849" s="37" t="s">
        <v>25484</v>
      </c>
      <c r="C4849" s="37" t="s">
        <v>2355</v>
      </c>
      <c r="D4849" s="37" t="s">
        <v>2349</v>
      </c>
    </row>
    <row r="4850" spans="1:4" ht="14.25">
      <c r="A4850" s="37">
        <v>12573</v>
      </c>
      <c r="B4850" s="37" t="s">
        <v>25485</v>
      </c>
      <c r="C4850" s="37" t="s">
        <v>2355</v>
      </c>
      <c r="D4850" s="37" t="s">
        <v>2349</v>
      </c>
    </row>
    <row r="4851" spans="1:4" ht="14.25">
      <c r="A4851" s="37">
        <v>12574</v>
      </c>
      <c r="B4851" s="37" t="s">
        <v>25486</v>
      </c>
      <c r="C4851" s="37" t="s">
        <v>2355</v>
      </c>
      <c r="D4851" s="37" t="s">
        <v>2349</v>
      </c>
    </row>
    <row r="4852" spans="1:4" ht="14.25">
      <c r="A4852" s="37">
        <v>12575</v>
      </c>
      <c r="B4852" s="37" t="s">
        <v>25487</v>
      </c>
      <c r="C4852" s="37" t="s">
        <v>2355</v>
      </c>
      <c r="D4852" s="37" t="s">
        <v>2349</v>
      </c>
    </row>
    <row r="4853" spans="1:4" ht="14.25">
      <c r="A4853" s="37">
        <v>12576</v>
      </c>
      <c r="B4853" s="37" t="s">
        <v>25488</v>
      </c>
      <c r="C4853" s="37" t="s">
        <v>2355</v>
      </c>
      <c r="D4853" s="37" t="s">
        <v>2349</v>
      </c>
    </row>
    <row r="4854" spans="1:4" ht="14.25">
      <c r="A4854" s="37">
        <v>12577</v>
      </c>
      <c r="B4854" s="37" t="s">
        <v>25489</v>
      </c>
      <c r="C4854" s="37" t="s">
        <v>2355</v>
      </c>
      <c r="D4854" s="37" t="s">
        <v>2349</v>
      </c>
    </row>
    <row r="4855" spans="1:4" ht="14.25">
      <c r="A4855" s="37">
        <v>12578</v>
      </c>
      <c r="B4855" s="37" t="s">
        <v>25490</v>
      </c>
      <c r="C4855" s="37" t="s">
        <v>2355</v>
      </c>
      <c r="D4855" s="37" t="s">
        <v>2349</v>
      </c>
    </row>
    <row r="4856" spans="1:4" ht="14.25">
      <c r="A4856" s="37">
        <v>12579</v>
      </c>
      <c r="B4856" s="37" t="s">
        <v>25491</v>
      </c>
      <c r="C4856" s="37" t="s">
        <v>2355</v>
      </c>
      <c r="D4856" s="37" t="s">
        <v>2349</v>
      </c>
    </row>
    <row r="4857" spans="1:4" ht="14.25">
      <c r="A4857" s="37">
        <v>12580</v>
      </c>
      <c r="B4857" s="37" t="s">
        <v>25492</v>
      </c>
      <c r="C4857" s="37" t="s">
        <v>2355</v>
      </c>
      <c r="D4857" s="37" t="s">
        <v>2349</v>
      </c>
    </row>
    <row r="4858" spans="1:4" ht="14.25">
      <c r="A4858" s="37">
        <v>12581</v>
      </c>
      <c r="B4858" s="37" t="s">
        <v>25493</v>
      </c>
      <c r="C4858" s="37" t="s">
        <v>2355</v>
      </c>
      <c r="D4858" s="37" t="s">
        <v>2349</v>
      </c>
    </row>
    <row r="4859" spans="1:4" ht="14.25">
      <c r="A4859" s="37">
        <v>7720</v>
      </c>
      <c r="B4859" s="37" t="s">
        <v>25494</v>
      </c>
      <c r="C4859" s="37" t="s">
        <v>2355</v>
      </c>
      <c r="D4859" s="37" t="s">
        <v>2349</v>
      </c>
    </row>
    <row r="4860" spans="1:4" ht="14.25">
      <c r="A4860" s="37">
        <v>40335</v>
      </c>
      <c r="B4860" s="37" t="s">
        <v>25495</v>
      </c>
      <c r="C4860" s="37" t="s">
        <v>2355</v>
      </c>
      <c r="D4860" s="37" t="s">
        <v>2349</v>
      </c>
    </row>
    <row r="4861" spans="1:4" ht="14.25">
      <c r="A4861" s="37">
        <v>7740</v>
      </c>
      <c r="B4861" s="37" t="s">
        <v>25496</v>
      </c>
      <c r="C4861" s="37" t="s">
        <v>2355</v>
      </c>
      <c r="D4861" s="37" t="s">
        <v>2349</v>
      </c>
    </row>
    <row r="4862" spans="1:4" ht="14.25">
      <c r="A4862" s="37">
        <v>7741</v>
      </c>
      <c r="B4862" s="37" t="s">
        <v>25497</v>
      </c>
      <c r="C4862" s="37" t="s">
        <v>2355</v>
      </c>
      <c r="D4862" s="37" t="s">
        <v>2349</v>
      </c>
    </row>
    <row r="4863" spans="1:4" ht="14.25">
      <c r="A4863" s="37">
        <v>7774</v>
      </c>
      <c r="B4863" s="37" t="s">
        <v>25498</v>
      </c>
      <c r="C4863" s="37" t="s">
        <v>2355</v>
      </c>
      <c r="D4863" s="37" t="s">
        <v>2349</v>
      </c>
    </row>
    <row r="4864" spans="1:4" ht="14.25">
      <c r="A4864" s="37">
        <v>7744</v>
      </c>
      <c r="B4864" s="37" t="s">
        <v>25499</v>
      </c>
      <c r="C4864" s="37" t="s">
        <v>2355</v>
      </c>
      <c r="D4864" s="37" t="s">
        <v>2349</v>
      </c>
    </row>
    <row r="4865" spans="1:4" ht="14.25">
      <c r="A4865" s="37">
        <v>7773</v>
      </c>
      <c r="B4865" s="37" t="s">
        <v>25500</v>
      </c>
      <c r="C4865" s="37" t="s">
        <v>2355</v>
      </c>
      <c r="D4865" s="37" t="s">
        <v>2349</v>
      </c>
    </row>
    <row r="4866" spans="1:4" ht="14.25">
      <c r="A4866" s="37">
        <v>7754</v>
      </c>
      <c r="B4866" s="37" t="s">
        <v>25501</v>
      </c>
      <c r="C4866" s="37" t="s">
        <v>2355</v>
      </c>
      <c r="D4866" s="37" t="s">
        <v>2349</v>
      </c>
    </row>
    <row r="4867" spans="1:4" ht="14.25">
      <c r="A4867" s="37">
        <v>7735</v>
      </c>
      <c r="B4867" s="37" t="s">
        <v>25502</v>
      </c>
      <c r="C4867" s="37" t="s">
        <v>2355</v>
      </c>
      <c r="D4867" s="37" t="s">
        <v>2349</v>
      </c>
    </row>
    <row r="4868" spans="1:4" ht="14.25">
      <c r="A4868" s="37">
        <v>7755</v>
      </c>
      <c r="B4868" s="37" t="s">
        <v>25503</v>
      </c>
      <c r="C4868" s="37" t="s">
        <v>2355</v>
      </c>
      <c r="D4868" s="37" t="s">
        <v>2349</v>
      </c>
    </row>
    <row r="4869" spans="1:4" ht="14.25">
      <c r="A4869" s="37">
        <v>7776</v>
      </c>
      <c r="B4869" s="37" t="s">
        <v>25504</v>
      </c>
      <c r="C4869" s="37" t="s">
        <v>2355</v>
      </c>
      <c r="D4869" s="37" t="s">
        <v>2349</v>
      </c>
    </row>
    <row r="4870" spans="1:4" ht="14.25">
      <c r="A4870" s="37">
        <v>7743</v>
      </c>
      <c r="B4870" s="37" t="s">
        <v>25505</v>
      </c>
      <c r="C4870" s="37" t="s">
        <v>2355</v>
      </c>
      <c r="D4870" s="37" t="s">
        <v>2349</v>
      </c>
    </row>
    <row r="4871" spans="1:4" ht="14.25">
      <c r="A4871" s="37">
        <v>7733</v>
      </c>
      <c r="B4871" s="37" t="s">
        <v>25506</v>
      </c>
      <c r="C4871" s="37" t="s">
        <v>2355</v>
      </c>
      <c r="D4871" s="37" t="s">
        <v>2349</v>
      </c>
    </row>
    <row r="4872" spans="1:4" ht="14.25">
      <c r="A4872" s="37">
        <v>7775</v>
      </c>
      <c r="B4872" s="37" t="s">
        <v>25507</v>
      </c>
      <c r="C4872" s="37" t="s">
        <v>2355</v>
      </c>
      <c r="D4872" s="37" t="s">
        <v>2349</v>
      </c>
    </row>
    <row r="4873" spans="1:4" ht="14.25">
      <c r="A4873" s="37">
        <v>7734</v>
      </c>
      <c r="B4873" s="37" t="s">
        <v>25508</v>
      </c>
      <c r="C4873" s="37" t="s">
        <v>2355</v>
      </c>
      <c r="D4873" s="37" t="s">
        <v>2349</v>
      </c>
    </row>
    <row r="4874" spans="1:4" ht="14.25">
      <c r="A4874" s="37">
        <v>37449</v>
      </c>
      <c r="B4874" s="37" t="s">
        <v>25509</v>
      </c>
      <c r="C4874" s="37" t="s">
        <v>2355</v>
      </c>
      <c r="D4874" s="37" t="s">
        <v>2351</v>
      </c>
    </row>
    <row r="4875" spans="1:4" ht="14.25">
      <c r="A4875" s="37">
        <v>37450</v>
      </c>
      <c r="B4875" s="37" t="s">
        <v>25510</v>
      </c>
      <c r="C4875" s="37" t="s">
        <v>2355</v>
      </c>
      <c r="D4875" s="37" t="s">
        <v>2351</v>
      </c>
    </row>
    <row r="4876" spans="1:4" ht="14.25">
      <c r="A4876" s="37">
        <v>37451</v>
      </c>
      <c r="B4876" s="37" t="s">
        <v>25511</v>
      </c>
      <c r="C4876" s="37" t="s">
        <v>2355</v>
      </c>
      <c r="D4876" s="37" t="s">
        <v>2351</v>
      </c>
    </row>
    <row r="4877" spans="1:4" ht="14.25">
      <c r="A4877" s="37">
        <v>37452</v>
      </c>
      <c r="B4877" s="37" t="s">
        <v>25512</v>
      </c>
      <c r="C4877" s="37" t="s">
        <v>2355</v>
      </c>
      <c r="D4877" s="37" t="s">
        <v>2351</v>
      </c>
    </row>
    <row r="4878" spans="1:4" ht="14.25">
      <c r="A4878" s="37">
        <v>37453</v>
      </c>
      <c r="B4878" s="37" t="s">
        <v>25513</v>
      </c>
      <c r="C4878" s="37" t="s">
        <v>2355</v>
      </c>
      <c r="D4878" s="37" t="s">
        <v>2351</v>
      </c>
    </row>
    <row r="4879" spans="1:4" ht="14.25">
      <c r="A4879" s="37">
        <v>7778</v>
      </c>
      <c r="B4879" s="37" t="s">
        <v>25514</v>
      </c>
      <c r="C4879" s="37" t="s">
        <v>2355</v>
      </c>
      <c r="D4879" s="37" t="s">
        <v>2351</v>
      </c>
    </row>
    <row r="4880" spans="1:4" ht="14.25">
      <c r="A4880" s="37">
        <v>7796</v>
      </c>
      <c r="B4880" s="37" t="s">
        <v>25515</v>
      </c>
      <c r="C4880" s="37" t="s">
        <v>2355</v>
      </c>
      <c r="D4880" s="37" t="s">
        <v>2351</v>
      </c>
    </row>
    <row r="4881" spans="1:4" ht="14.25">
      <c r="A4881" s="37">
        <v>7781</v>
      </c>
      <c r="B4881" s="37" t="s">
        <v>25516</v>
      </c>
      <c r="C4881" s="37" t="s">
        <v>2355</v>
      </c>
      <c r="D4881" s="37" t="s">
        <v>2351</v>
      </c>
    </row>
    <row r="4882" spans="1:4" ht="14.25">
      <c r="A4882" s="37">
        <v>7795</v>
      </c>
      <c r="B4882" s="37" t="s">
        <v>25517</v>
      </c>
      <c r="C4882" s="37" t="s">
        <v>2355</v>
      </c>
      <c r="D4882" s="37" t="s">
        <v>2351</v>
      </c>
    </row>
    <row r="4883" spans="1:4" ht="14.25">
      <c r="A4883" s="37">
        <v>7791</v>
      </c>
      <c r="B4883" s="37" t="s">
        <v>25518</v>
      </c>
      <c r="C4883" s="37" t="s">
        <v>2355</v>
      </c>
      <c r="D4883" s="37" t="s">
        <v>2351</v>
      </c>
    </row>
    <row r="4884" spans="1:4" ht="14.25">
      <c r="A4884" s="37">
        <v>7783</v>
      </c>
      <c r="B4884" s="37" t="s">
        <v>25519</v>
      </c>
      <c r="C4884" s="37" t="s">
        <v>2355</v>
      </c>
      <c r="D4884" s="37" t="s">
        <v>2351</v>
      </c>
    </row>
    <row r="4885" spans="1:4" ht="14.25">
      <c r="A4885" s="37">
        <v>7790</v>
      </c>
      <c r="B4885" s="37" t="s">
        <v>25520</v>
      </c>
      <c r="C4885" s="37" t="s">
        <v>2355</v>
      </c>
      <c r="D4885" s="37" t="s">
        <v>2351</v>
      </c>
    </row>
    <row r="4886" spans="1:4" ht="14.25">
      <c r="A4886" s="37">
        <v>7785</v>
      </c>
      <c r="B4886" s="37" t="s">
        <v>25521</v>
      </c>
      <c r="C4886" s="37" t="s">
        <v>2355</v>
      </c>
      <c r="D4886" s="37" t="s">
        <v>2351</v>
      </c>
    </row>
    <row r="4887" spans="1:4" ht="14.25">
      <c r="A4887" s="37">
        <v>7792</v>
      </c>
      <c r="B4887" s="37" t="s">
        <v>25522</v>
      </c>
      <c r="C4887" s="37" t="s">
        <v>2355</v>
      </c>
      <c r="D4887" s="37" t="s">
        <v>2351</v>
      </c>
    </row>
    <row r="4888" spans="1:4" ht="14.25">
      <c r="A4888" s="37">
        <v>7793</v>
      </c>
      <c r="B4888" s="37" t="s">
        <v>25523</v>
      </c>
      <c r="C4888" s="37" t="s">
        <v>2355</v>
      </c>
      <c r="D4888" s="37" t="s">
        <v>2351</v>
      </c>
    </row>
    <row r="4889" spans="1:4" ht="14.25">
      <c r="A4889" s="37">
        <v>13159</v>
      </c>
      <c r="B4889" s="37" t="s">
        <v>25524</v>
      </c>
      <c r="C4889" s="37" t="s">
        <v>2355</v>
      </c>
      <c r="D4889" s="37" t="s">
        <v>2351</v>
      </c>
    </row>
    <row r="4890" spans="1:4" ht="14.25">
      <c r="A4890" s="37">
        <v>13168</v>
      </c>
      <c r="B4890" s="37" t="s">
        <v>25525</v>
      </c>
      <c r="C4890" s="37" t="s">
        <v>2355</v>
      </c>
      <c r="D4890" s="37" t="s">
        <v>2351</v>
      </c>
    </row>
    <row r="4891" spans="1:4" ht="14.25">
      <c r="A4891" s="37">
        <v>13173</v>
      </c>
      <c r="B4891" s="37" t="s">
        <v>25526</v>
      </c>
      <c r="C4891" s="37" t="s">
        <v>2355</v>
      </c>
      <c r="D4891" s="37" t="s">
        <v>2351</v>
      </c>
    </row>
    <row r="4892" spans="1:4" ht="14.25">
      <c r="A4892" s="37">
        <v>12583</v>
      </c>
      <c r="B4892" s="37" t="s">
        <v>25527</v>
      </c>
      <c r="C4892" s="37" t="s">
        <v>2355</v>
      </c>
      <c r="D4892" s="37" t="s">
        <v>2351</v>
      </c>
    </row>
    <row r="4893" spans="1:4" ht="14.25">
      <c r="A4893" s="37">
        <v>12584</v>
      </c>
      <c r="B4893" s="37" t="s">
        <v>25528</v>
      </c>
      <c r="C4893" s="37" t="s">
        <v>2355</v>
      </c>
      <c r="D4893" s="37" t="s">
        <v>2351</v>
      </c>
    </row>
    <row r="4894" spans="1:4" ht="14.25">
      <c r="A4894" s="37">
        <v>12613</v>
      </c>
      <c r="B4894" s="37" t="s">
        <v>25529</v>
      </c>
      <c r="C4894" s="37" t="s">
        <v>2348</v>
      </c>
      <c r="D4894" s="37" t="s">
        <v>2349</v>
      </c>
    </row>
    <row r="4895" spans="1:4" ht="14.25">
      <c r="A4895" s="37">
        <v>1031</v>
      </c>
      <c r="B4895" s="37" t="s">
        <v>25530</v>
      </c>
      <c r="C4895" s="37" t="s">
        <v>2348</v>
      </c>
      <c r="D4895" s="37" t="s">
        <v>2349</v>
      </c>
    </row>
    <row r="4896" spans="1:4" ht="14.25">
      <c r="A4896" s="37">
        <v>39707</v>
      </c>
      <c r="B4896" s="37" t="s">
        <v>25531</v>
      </c>
      <c r="C4896" s="37" t="s">
        <v>2355</v>
      </c>
      <c r="D4896" s="37" t="s">
        <v>2349</v>
      </c>
    </row>
    <row r="4897" spans="1:4" ht="14.25">
      <c r="A4897" s="37">
        <v>39708</v>
      </c>
      <c r="B4897" s="37" t="s">
        <v>25532</v>
      </c>
      <c r="C4897" s="37" t="s">
        <v>2355</v>
      </c>
      <c r="D4897" s="37" t="s">
        <v>2349</v>
      </c>
    </row>
    <row r="4898" spans="1:4" ht="14.25">
      <c r="A4898" s="37">
        <v>39710</v>
      </c>
      <c r="B4898" s="37" t="s">
        <v>25533</v>
      </c>
      <c r="C4898" s="37" t="s">
        <v>2355</v>
      </c>
      <c r="D4898" s="37" t="s">
        <v>2349</v>
      </c>
    </row>
    <row r="4899" spans="1:4" ht="14.25">
      <c r="A4899" s="37">
        <v>39709</v>
      </c>
      <c r="B4899" s="37" t="s">
        <v>25534</v>
      </c>
      <c r="C4899" s="37" t="s">
        <v>2355</v>
      </c>
      <c r="D4899" s="37" t="s">
        <v>2349</v>
      </c>
    </row>
    <row r="4900" spans="1:4" ht="14.25">
      <c r="A4900" s="37">
        <v>39711</v>
      </c>
      <c r="B4900" s="37" t="s">
        <v>25535</v>
      </c>
      <c r="C4900" s="37" t="s">
        <v>2355</v>
      </c>
      <c r="D4900" s="37" t="s">
        <v>2349</v>
      </c>
    </row>
    <row r="4901" spans="1:4" ht="14.25">
      <c r="A4901" s="37">
        <v>39712</v>
      </c>
      <c r="B4901" s="37" t="s">
        <v>25536</v>
      </c>
      <c r="C4901" s="37" t="s">
        <v>2355</v>
      </c>
      <c r="D4901" s="37" t="s">
        <v>2353</v>
      </c>
    </row>
    <row r="4902" spans="1:4" ht="14.25">
      <c r="A4902" s="37">
        <v>39713</v>
      </c>
      <c r="B4902" s="37" t="s">
        <v>25537</v>
      </c>
      <c r="C4902" s="37" t="s">
        <v>2355</v>
      </c>
      <c r="D4902" s="37" t="s">
        <v>2349</v>
      </c>
    </row>
    <row r="4903" spans="1:4" ht="14.25">
      <c r="A4903" s="37">
        <v>39714</v>
      </c>
      <c r="B4903" s="37" t="s">
        <v>25538</v>
      </c>
      <c r="C4903" s="37" t="s">
        <v>2355</v>
      </c>
      <c r="D4903" s="37" t="s">
        <v>2349</v>
      </c>
    </row>
    <row r="4904" spans="1:4" ht="14.25">
      <c r="A4904" s="37">
        <v>39715</v>
      </c>
      <c r="B4904" s="37" t="s">
        <v>25539</v>
      </c>
      <c r="C4904" s="37" t="s">
        <v>2355</v>
      </c>
      <c r="D4904" s="37" t="s">
        <v>2349</v>
      </c>
    </row>
    <row r="4905" spans="1:4" ht="14.25">
      <c r="A4905" s="37">
        <v>39716</v>
      </c>
      <c r="B4905" s="37" t="s">
        <v>25540</v>
      </c>
      <c r="C4905" s="37" t="s">
        <v>2355</v>
      </c>
      <c r="D4905" s="37" t="s">
        <v>2349</v>
      </c>
    </row>
    <row r="4906" spans="1:4" ht="14.25">
      <c r="A4906" s="37">
        <v>39718</v>
      </c>
      <c r="B4906" s="37" t="s">
        <v>25541</v>
      </c>
      <c r="C4906" s="37" t="s">
        <v>2355</v>
      </c>
      <c r="D4906" s="37" t="s">
        <v>2349</v>
      </c>
    </row>
    <row r="4907" spans="1:4" ht="14.25">
      <c r="A4907" s="37">
        <v>9813</v>
      </c>
      <c r="B4907" s="37" t="s">
        <v>25542</v>
      </c>
      <c r="C4907" s="37" t="s">
        <v>2355</v>
      </c>
      <c r="D4907" s="37" t="s">
        <v>2351</v>
      </c>
    </row>
    <row r="4908" spans="1:4" ht="14.25">
      <c r="A4908" s="37">
        <v>9815</v>
      </c>
      <c r="B4908" s="37" t="s">
        <v>25543</v>
      </c>
      <c r="C4908" s="37" t="s">
        <v>2355</v>
      </c>
      <c r="D4908" s="37" t="s">
        <v>2351</v>
      </c>
    </row>
    <row r="4909" spans="1:4" ht="14.25">
      <c r="A4909" s="37">
        <v>44543</v>
      </c>
      <c r="B4909" s="37" t="s">
        <v>28145</v>
      </c>
      <c r="C4909" s="37" t="s">
        <v>2355</v>
      </c>
      <c r="D4909" s="37" t="s">
        <v>2351</v>
      </c>
    </row>
    <row r="4910" spans="1:4" ht="14.25">
      <c r="A4910" s="37">
        <v>44526</v>
      </c>
      <c r="B4910" s="37" t="s">
        <v>28146</v>
      </c>
      <c r="C4910" s="37" t="s">
        <v>2355</v>
      </c>
      <c r="D4910" s="37" t="s">
        <v>2351</v>
      </c>
    </row>
    <row r="4911" spans="1:4" ht="14.25">
      <c r="A4911" s="37">
        <v>44518</v>
      </c>
      <c r="B4911" s="37" t="s">
        <v>28147</v>
      </c>
      <c r="C4911" s="37" t="s">
        <v>2355</v>
      </c>
      <c r="D4911" s="37" t="s">
        <v>2351</v>
      </c>
    </row>
    <row r="4912" spans="1:4" ht="14.25">
      <c r="A4912" s="37">
        <v>44544</v>
      </c>
      <c r="B4912" s="37" t="s">
        <v>28148</v>
      </c>
      <c r="C4912" s="37" t="s">
        <v>2355</v>
      </c>
      <c r="D4912" s="37" t="s">
        <v>2351</v>
      </c>
    </row>
    <row r="4913" spans="1:4" ht="14.25">
      <c r="A4913" s="37">
        <v>44545</v>
      </c>
      <c r="B4913" s="37" t="s">
        <v>28149</v>
      </c>
      <c r="C4913" s="37" t="s">
        <v>2355</v>
      </c>
      <c r="D4913" s="37" t="s">
        <v>2351</v>
      </c>
    </row>
    <row r="4914" spans="1:4" ht="14.25">
      <c r="A4914" s="37">
        <v>44546</v>
      </c>
      <c r="B4914" s="37" t="s">
        <v>28150</v>
      </c>
      <c r="C4914" s="37" t="s">
        <v>2355</v>
      </c>
      <c r="D4914" s="37" t="s">
        <v>2351</v>
      </c>
    </row>
    <row r="4915" spans="1:4" ht="14.25">
      <c r="A4915" s="37">
        <v>44525</v>
      </c>
      <c r="B4915" s="37" t="s">
        <v>28151</v>
      </c>
      <c r="C4915" s="37" t="s">
        <v>2355</v>
      </c>
      <c r="D4915" s="37" t="s">
        <v>2351</v>
      </c>
    </row>
    <row r="4916" spans="1:4" ht="14.25">
      <c r="A4916" s="37">
        <v>44547</v>
      </c>
      <c r="B4916" s="37" t="s">
        <v>28152</v>
      </c>
      <c r="C4916" s="37" t="s">
        <v>2355</v>
      </c>
      <c r="D4916" s="37" t="s">
        <v>2351</v>
      </c>
    </row>
    <row r="4917" spans="1:4" ht="14.25">
      <c r="A4917" s="37">
        <v>44519</v>
      </c>
      <c r="B4917" s="37" t="s">
        <v>28153</v>
      </c>
      <c r="C4917" s="37" t="s">
        <v>2355</v>
      </c>
      <c r="D4917" s="37" t="s">
        <v>2351</v>
      </c>
    </row>
    <row r="4918" spans="1:4" ht="14.25">
      <c r="A4918" s="37">
        <v>44520</v>
      </c>
      <c r="B4918" s="37" t="s">
        <v>28154</v>
      </c>
      <c r="C4918" s="37" t="s">
        <v>2355</v>
      </c>
      <c r="D4918" s="37" t="s">
        <v>2351</v>
      </c>
    </row>
    <row r="4919" spans="1:4" ht="14.25">
      <c r="A4919" s="37">
        <v>44521</v>
      </c>
      <c r="B4919" s="37" t="s">
        <v>28155</v>
      </c>
      <c r="C4919" s="37" t="s">
        <v>2355</v>
      </c>
      <c r="D4919" s="37" t="s">
        <v>2351</v>
      </c>
    </row>
    <row r="4920" spans="1:4" ht="14.25">
      <c r="A4920" s="37">
        <v>44522</v>
      </c>
      <c r="B4920" s="37" t="s">
        <v>28156</v>
      </c>
      <c r="C4920" s="37" t="s">
        <v>2355</v>
      </c>
      <c r="D4920" s="37" t="s">
        <v>2351</v>
      </c>
    </row>
    <row r="4921" spans="1:4" ht="14.25">
      <c r="A4921" s="37">
        <v>44523</v>
      </c>
      <c r="B4921" s="37" t="s">
        <v>28157</v>
      </c>
      <c r="C4921" s="37" t="s">
        <v>2355</v>
      </c>
      <c r="D4921" s="37" t="s">
        <v>2351</v>
      </c>
    </row>
    <row r="4922" spans="1:4" ht="14.25">
      <c r="A4922" s="37">
        <v>44527</v>
      </c>
      <c r="B4922" s="37" t="s">
        <v>28158</v>
      </c>
      <c r="C4922" s="37" t="s">
        <v>2355</v>
      </c>
      <c r="D4922" s="37" t="s">
        <v>2351</v>
      </c>
    </row>
    <row r="4923" spans="1:4" ht="14.25">
      <c r="A4923" s="37">
        <v>44524</v>
      </c>
      <c r="B4923" s="37" t="s">
        <v>28159</v>
      </c>
      <c r="C4923" s="37" t="s">
        <v>2355</v>
      </c>
      <c r="D4923" s="37" t="s">
        <v>2351</v>
      </c>
    </row>
    <row r="4924" spans="1:4" ht="14.25">
      <c r="A4924" s="37">
        <v>44542</v>
      </c>
      <c r="B4924" s="37" t="s">
        <v>28160</v>
      </c>
      <c r="C4924" s="37" t="s">
        <v>2355</v>
      </c>
      <c r="D4924" s="37" t="s">
        <v>2351</v>
      </c>
    </row>
    <row r="4925" spans="1:4" ht="14.25">
      <c r="A4925" s="37">
        <v>9876</v>
      </c>
      <c r="B4925" s="37" t="s">
        <v>25544</v>
      </c>
      <c r="C4925" s="37" t="s">
        <v>2355</v>
      </c>
      <c r="D4925" s="37" t="s">
        <v>2349</v>
      </c>
    </row>
    <row r="4926" spans="1:4" ht="14.25">
      <c r="A4926" s="37">
        <v>9877</v>
      </c>
      <c r="B4926" s="37" t="s">
        <v>25545</v>
      </c>
      <c r="C4926" s="37" t="s">
        <v>2355</v>
      </c>
      <c r="D4926" s="37" t="s">
        <v>2349</v>
      </c>
    </row>
    <row r="4927" spans="1:4" ht="14.25">
      <c r="A4927" s="37">
        <v>9878</v>
      </c>
      <c r="B4927" s="37" t="s">
        <v>25546</v>
      </c>
      <c r="C4927" s="37" t="s">
        <v>2355</v>
      </c>
      <c r="D4927" s="37" t="s">
        <v>2349</v>
      </c>
    </row>
    <row r="4928" spans="1:4" ht="14.25">
      <c r="A4928" s="37">
        <v>9879</v>
      </c>
      <c r="B4928" s="37" t="s">
        <v>25547</v>
      </c>
      <c r="C4928" s="37" t="s">
        <v>2355</v>
      </c>
      <c r="D4928" s="37" t="s">
        <v>2349</v>
      </c>
    </row>
    <row r="4929" spans="1:4" ht="14.25">
      <c r="A4929" s="37">
        <v>41986</v>
      </c>
      <c r="B4929" s="37" t="s">
        <v>25548</v>
      </c>
      <c r="C4929" s="37" t="s">
        <v>2355</v>
      </c>
      <c r="D4929" s="37" t="s">
        <v>2349</v>
      </c>
    </row>
    <row r="4930" spans="1:4" ht="14.25">
      <c r="A4930" s="37">
        <v>43422</v>
      </c>
      <c r="B4930" s="37" t="s">
        <v>25549</v>
      </c>
      <c r="C4930" s="37" t="s">
        <v>2355</v>
      </c>
      <c r="D4930" s="37" t="s">
        <v>2349</v>
      </c>
    </row>
    <row r="4931" spans="1:4" ht="14.25">
      <c r="A4931" s="37">
        <v>41987</v>
      </c>
      <c r="B4931" s="37" t="s">
        <v>25550</v>
      </c>
      <c r="C4931" s="37" t="s">
        <v>2355</v>
      </c>
      <c r="D4931" s="37" t="s">
        <v>2349</v>
      </c>
    </row>
    <row r="4932" spans="1:4" ht="14.25">
      <c r="A4932" s="37">
        <v>41988</v>
      </c>
      <c r="B4932" s="37" t="s">
        <v>25551</v>
      </c>
      <c r="C4932" s="37" t="s">
        <v>2355</v>
      </c>
      <c r="D4932" s="37" t="s">
        <v>2349</v>
      </c>
    </row>
    <row r="4933" spans="1:4" ht="14.25">
      <c r="A4933" s="37">
        <v>41697</v>
      </c>
      <c r="B4933" s="37" t="s">
        <v>25552</v>
      </c>
      <c r="C4933" s="37" t="s">
        <v>2355</v>
      </c>
      <c r="D4933" s="37" t="s">
        <v>2349</v>
      </c>
    </row>
    <row r="4934" spans="1:4" ht="14.25">
      <c r="A4934" s="37">
        <v>41985</v>
      </c>
      <c r="B4934" s="37" t="s">
        <v>25553</v>
      </c>
      <c r="C4934" s="37" t="s">
        <v>2355</v>
      </c>
      <c r="D4934" s="37" t="s">
        <v>2349</v>
      </c>
    </row>
    <row r="4935" spans="1:4" ht="14.25">
      <c r="A4935" s="37">
        <v>41699</v>
      </c>
      <c r="B4935" s="37" t="s">
        <v>28161</v>
      </c>
      <c r="C4935" s="37" t="s">
        <v>2355</v>
      </c>
      <c r="D4935" s="37" t="s">
        <v>2349</v>
      </c>
    </row>
    <row r="4936" spans="1:4" ht="14.25">
      <c r="A4936" s="37">
        <v>38053</v>
      </c>
      <c r="B4936" s="37" t="s">
        <v>25554</v>
      </c>
      <c r="C4936" s="37" t="s">
        <v>2355</v>
      </c>
      <c r="D4936" s="37" t="s">
        <v>2351</v>
      </c>
    </row>
    <row r="4937" spans="1:4" ht="14.25">
      <c r="A4937" s="37">
        <v>38054</v>
      </c>
      <c r="B4937" s="37" t="s">
        <v>25555</v>
      </c>
      <c r="C4937" s="37" t="s">
        <v>2355</v>
      </c>
      <c r="D4937" s="37" t="s">
        <v>2351</v>
      </c>
    </row>
    <row r="4938" spans="1:4" ht="14.25">
      <c r="A4938" s="37">
        <v>38052</v>
      </c>
      <c r="B4938" s="37" t="s">
        <v>25556</v>
      </c>
      <c r="C4938" s="37" t="s">
        <v>2355</v>
      </c>
      <c r="D4938" s="37" t="s">
        <v>2351</v>
      </c>
    </row>
    <row r="4939" spans="1:4" ht="14.25">
      <c r="A4939" s="37">
        <v>38051</v>
      </c>
      <c r="B4939" s="37" t="s">
        <v>25557</v>
      </c>
      <c r="C4939" s="37" t="s">
        <v>2355</v>
      </c>
      <c r="D4939" s="37" t="s">
        <v>2351</v>
      </c>
    </row>
    <row r="4940" spans="1:4" ht="14.25">
      <c r="A4940" s="37">
        <v>38787</v>
      </c>
      <c r="B4940" s="37" t="s">
        <v>25558</v>
      </c>
      <c r="C4940" s="37" t="s">
        <v>2355</v>
      </c>
      <c r="D4940" s="37" t="s">
        <v>2351</v>
      </c>
    </row>
    <row r="4941" spans="1:4" ht="14.25">
      <c r="A4941" s="37">
        <v>38825</v>
      </c>
      <c r="B4941" s="37" t="s">
        <v>25559</v>
      </c>
      <c r="C4941" s="37" t="s">
        <v>2355</v>
      </c>
      <c r="D4941" s="37" t="s">
        <v>2351</v>
      </c>
    </row>
    <row r="4942" spans="1:4" ht="14.25">
      <c r="A4942" s="37">
        <v>38826</v>
      </c>
      <c r="B4942" s="37" t="s">
        <v>25560</v>
      </c>
      <c r="C4942" s="37" t="s">
        <v>2355</v>
      </c>
      <c r="D4942" s="37" t="s">
        <v>2351</v>
      </c>
    </row>
    <row r="4943" spans="1:4" ht="14.25">
      <c r="A4943" s="37">
        <v>38827</v>
      </c>
      <c r="B4943" s="37" t="s">
        <v>25561</v>
      </c>
      <c r="C4943" s="37" t="s">
        <v>2355</v>
      </c>
      <c r="D4943" s="37" t="s">
        <v>2351</v>
      </c>
    </row>
    <row r="4944" spans="1:4" ht="14.25">
      <c r="A4944" s="37">
        <v>38830</v>
      </c>
      <c r="B4944" s="37" t="s">
        <v>25562</v>
      </c>
      <c r="C4944" s="37" t="s">
        <v>2355</v>
      </c>
      <c r="D4944" s="37" t="s">
        <v>2351</v>
      </c>
    </row>
    <row r="4945" spans="1:4" ht="14.25">
      <c r="A4945" s="37">
        <v>38828</v>
      </c>
      <c r="B4945" s="37" t="s">
        <v>25563</v>
      </c>
      <c r="C4945" s="37" t="s">
        <v>2355</v>
      </c>
      <c r="D4945" s="37" t="s">
        <v>2351</v>
      </c>
    </row>
    <row r="4946" spans="1:4" ht="14.25">
      <c r="A4946" s="37">
        <v>38829</v>
      </c>
      <c r="B4946" s="37" t="s">
        <v>25564</v>
      </c>
      <c r="C4946" s="37" t="s">
        <v>2355</v>
      </c>
      <c r="D4946" s="37" t="s">
        <v>2351</v>
      </c>
    </row>
    <row r="4947" spans="1:4" ht="14.25">
      <c r="A4947" s="37">
        <v>38831</v>
      </c>
      <c r="B4947" s="37" t="s">
        <v>25565</v>
      </c>
      <c r="C4947" s="37" t="s">
        <v>2355</v>
      </c>
      <c r="D4947" s="37" t="s">
        <v>2351</v>
      </c>
    </row>
    <row r="4948" spans="1:4" ht="14.25">
      <c r="A4948" s="37">
        <v>36274</v>
      </c>
      <c r="B4948" s="37" t="s">
        <v>25566</v>
      </c>
      <c r="C4948" s="37" t="s">
        <v>2355</v>
      </c>
      <c r="D4948" s="37" t="s">
        <v>2351</v>
      </c>
    </row>
    <row r="4949" spans="1:4" ht="14.25">
      <c r="A4949" s="37">
        <v>36278</v>
      </c>
      <c r="B4949" s="37" t="s">
        <v>25567</v>
      </c>
      <c r="C4949" s="37" t="s">
        <v>2355</v>
      </c>
      <c r="D4949" s="37" t="s">
        <v>2351</v>
      </c>
    </row>
    <row r="4950" spans="1:4" ht="14.25">
      <c r="A4950" s="37">
        <v>38977</v>
      </c>
      <c r="B4950" s="37" t="s">
        <v>25568</v>
      </c>
      <c r="C4950" s="37" t="s">
        <v>2355</v>
      </c>
      <c r="D4950" s="37" t="s">
        <v>2351</v>
      </c>
    </row>
    <row r="4951" spans="1:4" ht="14.25">
      <c r="A4951" s="37">
        <v>38971</v>
      </c>
      <c r="B4951" s="37" t="s">
        <v>25569</v>
      </c>
      <c r="C4951" s="37" t="s">
        <v>2355</v>
      </c>
      <c r="D4951" s="37" t="s">
        <v>2351</v>
      </c>
    </row>
    <row r="4952" spans="1:4" ht="14.25">
      <c r="A4952" s="37">
        <v>38972</v>
      </c>
      <c r="B4952" s="37" t="s">
        <v>25570</v>
      </c>
      <c r="C4952" s="37" t="s">
        <v>2355</v>
      </c>
      <c r="D4952" s="37" t="s">
        <v>2351</v>
      </c>
    </row>
    <row r="4953" spans="1:4" ht="14.25">
      <c r="A4953" s="37">
        <v>38973</v>
      </c>
      <c r="B4953" s="37" t="s">
        <v>25571</v>
      </c>
      <c r="C4953" s="37" t="s">
        <v>2355</v>
      </c>
      <c r="D4953" s="37" t="s">
        <v>2351</v>
      </c>
    </row>
    <row r="4954" spans="1:4" ht="14.25">
      <c r="A4954" s="37">
        <v>38974</v>
      </c>
      <c r="B4954" s="37" t="s">
        <v>25572</v>
      </c>
      <c r="C4954" s="37" t="s">
        <v>2355</v>
      </c>
      <c r="D4954" s="37" t="s">
        <v>2351</v>
      </c>
    </row>
    <row r="4955" spans="1:4" ht="14.25">
      <c r="A4955" s="37">
        <v>38975</v>
      </c>
      <c r="B4955" s="37" t="s">
        <v>25573</v>
      </c>
      <c r="C4955" s="37" t="s">
        <v>2355</v>
      </c>
      <c r="D4955" s="37" t="s">
        <v>2351</v>
      </c>
    </row>
    <row r="4956" spans="1:4" ht="14.25">
      <c r="A4956" s="37">
        <v>38976</v>
      </c>
      <c r="B4956" s="37" t="s">
        <v>25574</v>
      </c>
      <c r="C4956" s="37" t="s">
        <v>2355</v>
      </c>
      <c r="D4956" s="37" t="s">
        <v>2351</v>
      </c>
    </row>
    <row r="4957" spans="1:4" ht="14.25">
      <c r="A4957" s="37">
        <v>38986</v>
      </c>
      <c r="B4957" s="37" t="s">
        <v>25575</v>
      </c>
      <c r="C4957" s="37" t="s">
        <v>2355</v>
      </c>
      <c r="D4957" s="37" t="s">
        <v>2351</v>
      </c>
    </row>
    <row r="4958" spans="1:4" ht="14.25">
      <c r="A4958" s="37">
        <v>38978</v>
      </c>
      <c r="B4958" s="37" t="s">
        <v>25576</v>
      </c>
      <c r="C4958" s="37" t="s">
        <v>2355</v>
      </c>
      <c r="D4958" s="37" t="s">
        <v>2351</v>
      </c>
    </row>
    <row r="4959" spans="1:4" ht="14.25">
      <c r="A4959" s="37">
        <v>38979</v>
      </c>
      <c r="B4959" s="37" t="s">
        <v>25577</v>
      </c>
      <c r="C4959" s="37" t="s">
        <v>2355</v>
      </c>
      <c r="D4959" s="37" t="s">
        <v>2351</v>
      </c>
    </row>
    <row r="4960" spans="1:4" ht="14.25">
      <c r="A4960" s="37">
        <v>38980</v>
      </c>
      <c r="B4960" s="37" t="s">
        <v>25578</v>
      </c>
      <c r="C4960" s="37" t="s">
        <v>2355</v>
      </c>
      <c r="D4960" s="37" t="s">
        <v>2351</v>
      </c>
    </row>
    <row r="4961" spans="1:4" ht="14.25">
      <c r="A4961" s="37">
        <v>38981</v>
      </c>
      <c r="B4961" s="37" t="s">
        <v>25579</v>
      </c>
      <c r="C4961" s="37" t="s">
        <v>2355</v>
      </c>
      <c r="D4961" s="37" t="s">
        <v>2351</v>
      </c>
    </row>
    <row r="4962" spans="1:4" ht="14.25">
      <c r="A4962" s="37">
        <v>38982</v>
      </c>
      <c r="B4962" s="37" t="s">
        <v>25580</v>
      </c>
      <c r="C4962" s="37" t="s">
        <v>2355</v>
      </c>
      <c r="D4962" s="37" t="s">
        <v>2351</v>
      </c>
    </row>
    <row r="4963" spans="1:4" ht="14.25">
      <c r="A4963" s="37">
        <v>38983</v>
      </c>
      <c r="B4963" s="37" t="s">
        <v>25581</v>
      </c>
      <c r="C4963" s="37" t="s">
        <v>2355</v>
      </c>
      <c r="D4963" s="37" t="s">
        <v>2351</v>
      </c>
    </row>
    <row r="4964" spans="1:4" ht="14.25">
      <c r="A4964" s="37">
        <v>38984</v>
      </c>
      <c r="B4964" s="37" t="s">
        <v>25582</v>
      </c>
      <c r="C4964" s="37" t="s">
        <v>2355</v>
      </c>
      <c r="D4964" s="37" t="s">
        <v>2351</v>
      </c>
    </row>
    <row r="4965" spans="1:4" ht="14.25">
      <c r="A4965" s="37">
        <v>38985</v>
      </c>
      <c r="B4965" s="37" t="s">
        <v>25583</v>
      </c>
      <c r="C4965" s="37" t="s">
        <v>2355</v>
      </c>
      <c r="D4965" s="37" t="s">
        <v>2351</v>
      </c>
    </row>
    <row r="4966" spans="1:4" ht="14.25">
      <c r="A4966" s="37">
        <v>9836</v>
      </c>
      <c r="B4966" s="37" t="s">
        <v>25584</v>
      </c>
      <c r="C4966" s="37" t="s">
        <v>2355</v>
      </c>
      <c r="D4966" s="37" t="s">
        <v>2353</v>
      </c>
    </row>
    <row r="4967" spans="1:4" ht="14.25">
      <c r="A4967" s="37">
        <v>20065</v>
      </c>
      <c r="B4967" s="37" t="s">
        <v>25585</v>
      </c>
      <c r="C4967" s="37" t="s">
        <v>2355</v>
      </c>
      <c r="D4967" s="37" t="s">
        <v>2349</v>
      </c>
    </row>
    <row r="4968" spans="1:4" ht="14.25">
      <c r="A4968" s="37">
        <v>9835</v>
      </c>
      <c r="B4968" s="37" t="s">
        <v>25586</v>
      </c>
      <c r="C4968" s="37" t="s">
        <v>2355</v>
      </c>
      <c r="D4968" s="37" t="s">
        <v>2349</v>
      </c>
    </row>
    <row r="4969" spans="1:4" ht="14.25">
      <c r="A4969" s="37">
        <v>38032</v>
      </c>
      <c r="B4969" s="37" t="s">
        <v>25587</v>
      </c>
      <c r="C4969" s="37" t="s">
        <v>2355</v>
      </c>
      <c r="D4969" s="37" t="s">
        <v>2351</v>
      </c>
    </row>
    <row r="4970" spans="1:4" ht="14.25">
      <c r="A4970" s="37">
        <v>38033</v>
      </c>
      <c r="B4970" s="37" t="s">
        <v>25588</v>
      </c>
      <c r="C4970" s="37" t="s">
        <v>2355</v>
      </c>
      <c r="D4970" s="37" t="s">
        <v>2351</v>
      </c>
    </row>
    <row r="4971" spans="1:4" ht="14.25">
      <c r="A4971" s="37">
        <v>38034</v>
      </c>
      <c r="B4971" s="37" t="s">
        <v>25589</v>
      </c>
      <c r="C4971" s="37" t="s">
        <v>2355</v>
      </c>
      <c r="D4971" s="37" t="s">
        <v>2351</v>
      </c>
    </row>
    <row r="4972" spans="1:4" ht="14.25">
      <c r="A4972" s="37">
        <v>38035</v>
      </c>
      <c r="B4972" s="37" t="s">
        <v>25590</v>
      </c>
      <c r="C4972" s="37" t="s">
        <v>2355</v>
      </c>
      <c r="D4972" s="37" t="s">
        <v>2351</v>
      </c>
    </row>
    <row r="4973" spans="1:4" ht="14.25">
      <c r="A4973" s="37">
        <v>38036</v>
      </c>
      <c r="B4973" s="37" t="s">
        <v>25591</v>
      </c>
      <c r="C4973" s="37" t="s">
        <v>2355</v>
      </c>
      <c r="D4973" s="37" t="s">
        <v>2351</v>
      </c>
    </row>
    <row r="4974" spans="1:4" ht="14.25">
      <c r="A4974" s="37">
        <v>38037</v>
      </c>
      <c r="B4974" s="37" t="s">
        <v>25592</v>
      </c>
      <c r="C4974" s="37" t="s">
        <v>2355</v>
      </c>
      <c r="D4974" s="37" t="s">
        <v>2351</v>
      </c>
    </row>
    <row r="4975" spans="1:4" ht="14.25">
      <c r="A4975" s="37">
        <v>9850</v>
      </c>
      <c r="B4975" s="37" t="s">
        <v>25593</v>
      </c>
      <c r="C4975" s="37" t="s">
        <v>2355</v>
      </c>
      <c r="D4975" s="37" t="s">
        <v>2351</v>
      </c>
    </row>
    <row r="4976" spans="1:4" ht="14.25">
      <c r="A4976" s="37">
        <v>9853</v>
      </c>
      <c r="B4976" s="37" t="s">
        <v>25594</v>
      </c>
      <c r="C4976" s="37" t="s">
        <v>2355</v>
      </c>
      <c r="D4976" s="37" t="s">
        <v>2351</v>
      </c>
    </row>
    <row r="4977" spans="1:4" ht="14.25">
      <c r="A4977" s="37">
        <v>9854</v>
      </c>
      <c r="B4977" s="37" t="s">
        <v>25595</v>
      </c>
      <c r="C4977" s="37" t="s">
        <v>2355</v>
      </c>
      <c r="D4977" s="37" t="s">
        <v>2351</v>
      </c>
    </row>
    <row r="4978" spans="1:4" ht="14.25">
      <c r="A4978" s="37">
        <v>9851</v>
      </c>
      <c r="B4978" s="37" t="s">
        <v>25596</v>
      </c>
      <c r="C4978" s="37" t="s">
        <v>2355</v>
      </c>
      <c r="D4978" s="37" t="s">
        <v>2351</v>
      </c>
    </row>
    <row r="4979" spans="1:4" ht="14.25">
      <c r="A4979" s="37">
        <v>9855</v>
      </c>
      <c r="B4979" s="37" t="s">
        <v>25597</v>
      </c>
      <c r="C4979" s="37" t="s">
        <v>2355</v>
      </c>
      <c r="D4979" s="37" t="s">
        <v>2351</v>
      </c>
    </row>
    <row r="4980" spans="1:4" ht="14.25">
      <c r="A4980" s="37">
        <v>9825</v>
      </c>
      <c r="B4980" s="37" t="s">
        <v>25598</v>
      </c>
      <c r="C4980" s="37" t="s">
        <v>2355</v>
      </c>
      <c r="D4980" s="37" t="s">
        <v>2351</v>
      </c>
    </row>
    <row r="4981" spans="1:4" ht="14.25">
      <c r="A4981" s="37">
        <v>9828</v>
      </c>
      <c r="B4981" s="37" t="s">
        <v>25599</v>
      </c>
      <c r="C4981" s="37" t="s">
        <v>2355</v>
      </c>
      <c r="D4981" s="37" t="s">
        <v>2351</v>
      </c>
    </row>
    <row r="4982" spans="1:4" ht="14.25">
      <c r="A4982" s="37">
        <v>9829</v>
      </c>
      <c r="B4982" s="37" t="s">
        <v>25600</v>
      </c>
      <c r="C4982" s="37" t="s">
        <v>2355</v>
      </c>
      <c r="D4982" s="37" t="s">
        <v>2351</v>
      </c>
    </row>
    <row r="4983" spans="1:4" ht="14.25">
      <c r="A4983" s="37">
        <v>9826</v>
      </c>
      <c r="B4983" s="37" t="s">
        <v>25601</v>
      </c>
      <c r="C4983" s="37" t="s">
        <v>2355</v>
      </c>
      <c r="D4983" s="37" t="s">
        <v>2351</v>
      </c>
    </row>
    <row r="4984" spans="1:4" ht="14.25">
      <c r="A4984" s="37">
        <v>9827</v>
      </c>
      <c r="B4984" s="37" t="s">
        <v>25602</v>
      </c>
      <c r="C4984" s="37" t="s">
        <v>2355</v>
      </c>
      <c r="D4984" s="37" t="s">
        <v>2351</v>
      </c>
    </row>
    <row r="4985" spans="1:4" ht="14.25">
      <c r="A4985" s="37">
        <v>36374</v>
      </c>
      <c r="B4985" s="37" t="s">
        <v>25603</v>
      </c>
      <c r="C4985" s="37" t="s">
        <v>2355</v>
      </c>
      <c r="D4985" s="37" t="s">
        <v>2351</v>
      </c>
    </row>
    <row r="4986" spans="1:4" ht="14.25">
      <c r="A4986" s="37">
        <v>36084</v>
      </c>
      <c r="B4986" s="37" t="s">
        <v>25604</v>
      </c>
      <c r="C4986" s="37" t="s">
        <v>2355</v>
      </c>
      <c r="D4986" s="37" t="s">
        <v>2351</v>
      </c>
    </row>
    <row r="4987" spans="1:4" ht="14.25">
      <c r="A4987" s="37">
        <v>36373</v>
      </c>
      <c r="B4987" s="37" t="s">
        <v>25605</v>
      </c>
      <c r="C4987" s="37" t="s">
        <v>2355</v>
      </c>
      <c r="D4987" s="37" t="s">
        <v>2351</v>
      </c>
    </row>
    <row r="4988" spans="1:4" ht="14.25">
      <c r="A4988" s="37">
        <v>36377</v>
      </c>
      <c r="B4988" s="37" t="s">
        <v>25606</v>
      </c>
      <c r="C4988" s="37" t="s">
        <v>2355</v>
      </c>
      <c r="D4988" s="37" t="s">
        <v>2351</v>
      </c>
    </row>
    <row r="4989" spans="1:4" ht="14.25">
      <c r="A4989" s="37">
        <v>36375</v>
      </c>
      <c r="B4989" s="37" t="s">
        <v>25607</v>
      </c>
      <c r="C4989" s="37" t="s">
        <v>2355</v>
      </c>
      <c r="D4989" s="37" t="s">
        <v>2351</v>
      </c>
    </row>
    <row r="4990" spans="1:4" ht="14.25">
      <c r="A4990" s="37">
        <v>36376</v>
      </c>
      <c r="B4990" s="37" t="s">
        <v>25608</v>
      </c>
      <c r="C4990" s="37" t="s">
        <v>2355</v>
      </c>
      <c r="D4990" s="37" t="s">
        <v>2351</v>
      </c>
    </row>
    <row r="4991" spans="1:4" ht="14.25">
      <c r="A4991" s="37">
        <v>36380</v>
      </c>
      <c r="B4991" s="37" t="s">
        <v>25609</v>
      </c>
      <c r="C4991" s="37" t="s">
        <v>2355</v>
      </c>
      <c r="D4991" s="37" t="s">
        <v>2351</v>
      </c>
    </row>
    <row r="4992" spans="1:4" ht="14.25">
      <c r="A4992" s="37">
        <v>36378</v>
      </c>
      <c r="B4992" s="37" t="s">
        <v>25610</v>
      </c>
      <c r="C4992" s="37" t="s">
        <v>2355</v>
      </c>
      <c r="D4992" s="37" t="s">
        <v>2351</v>
      </c>
    </row>
    <row r="4993" spans="1:4" ht="14.25">
      <c r="A4993" s="37">
        <v>36379</v>
      </c>
      <c r="B4993" s="37" t="s">
        <v>25611</v>
      </c>
      <c r="C4993" s="37" t="s">
        <v>2355</v>
      </c>
      <c r="D4993" s="37" t="s">
        <v>2351</v>
      </c>
    </row>
    <row r="4994" spans="1:4" ht="14.25">
      <c r="A4994" s="37">
        <v>9859</v>
      </c>
      <c r="B4994" s="37" t="s">
        <v>25612</v>
      </c>
      <c r="C4994" s="37" t="s">
        <v>2355</v>
      </c>
      <c r="D4994" s="37" t="s">
        <v>2349</v>
      </c>
    </row>
    <row r="4995" spans="1:4" ht="14.25">
      <c r="A4995" s="37">
        <v>9838</v>
      </c>
      <c r="B4995" s="37" t="s">
        <v>25613</v>
      </c>
      <c r="C4995" s="37" t="s">
        <v>2355</v>
      </c>
      <c r="D4995" s="37" t="s">
        <v>2349</v>
      </c>
    </row>
    <row r="4996" spans="1:4" ht="14.25">
      <c r="A4996" s="37">
        <v>9837</v>
      </c>
      <c r="B4996" s="37" t="s">
        <v>25614</v>
      </c>
      <c r="C4996" s="37" t="s">
        <v>2355</v>
      </c>
      <c r="D4996" s="37" t="s">
        <v>2349</v>
      </c>
    </row>
    <row r="4997" spans="1:4" ht="14.25">
      <c r="A4997" s="37">
        <v>9833</v>
      </c>
      <c r="B4997" s="37" t="s">
        <v>25615</v>
      </c>
      <c r="C4997" s="37" t="s">
        <v>2355</v>
      </c>
      <c r="D4997" s="37" t="s">
        <v>2351</v>
      </c>
    </row>
    <row r="4998" spans="1:4" ht="14.25">
      <c r="A4998" s="37">
        <v>9830</v>
      </c>
      <c r="B4998" s="37" t="s">
        <v>25616</v>
      </c>
      <c r="C4998" s="37" t="s">
        <v>2355</v>
      </c>
      <c r="D4998" s="37" t="s">
        <v>2351</v>
      </c>
    </row>
    <row r="4999" spans="1:4" ht="14.25">
      <c r="A4999" s="37">
        <v>9834</v>
      </c>
      <c r="B4999" s="37" t="s">
        <v>25617</v>
      </c>
      <c r="C4999" s="37" t="s">
        <v>2355</v>
      </c>
      <c r="D4999" s="37" t="s">
        <v>2351</v>
      </c>
    </row>
    <row r="5000" spans="1:4" ht="14.25">
      <c r="A5000" s="37">
        <v>9863</v>
      </c>
      <c r="B5000" s="37" t="s">
        <v>25618</v>
      </c>
      <c r="C5000" s="37" t="s">
        <v>2355</v>
      </c>
      <c r="D5000" s="37" t="s">
        <v>2349</v>
      </c>
    </row>
    <row r="5001" spans="1:4" ht="14.25">
      <c r="A5001" s="37">
        <v>9860</v>
      </c>
      <c r="B5001" s="37" t="s">
        <v>25619</v>
      </c>
      <c r="C5001" s="37" t="s">
        <v>2355</v>
      </c>
      <c r="D5001" s="37" t="s">
        <v>2349</v>
      </c>
    </row>
    <row r="5002" spans="1:4" ht="14.25">
      <c r="A5002" s="37">
        <v>9862</v>
      </c>
      <c r="B5002" s="37" t="s">
        <v>25620</v>
      </c>
      <c r="C5002" s="37" t="s">
        <v>2355</v>
      </c>
      <c r="D5002" s="37" t="s">
        <v>2349</v>
      </c>
    </row>
    <row r="5003" spans="1:4" ht="14.25">
      <c r="A5003" s="37">
        <v>9861</v>
      </c>
      <c r="B5003" s="37" t="s">
        <v>25621</v>
      </c>
      <c r="C5003" s="37" t="s">
        <v>2355</v>
      </c>
      <c r="D5003" s="37" t="s">
        <v>2349</v>
      </c>
    </row>
    <row r="5004" spans="1:4" ht="14.25">
      <c r="A5004" s="37">
        <v>9856</v>
      </c>
      <c r="B5004" s="37" t="s">
        <v>25622</v>
      </c>
      <c r="C5004" s="37" t="s">
        <v>2355</v>
      </c>
      <c r="D5004" s="37" t="s">
        <v>2349</v>
      </c>
    </row>
    <row r="5005" spans="1:4" ht="14.25">
      <c r="A5005" s="37">
        <v>9866</v>
      </c>
      <c r="B5005" s="37" t="s">
        <v>25623</v>
      </c>
      <c r="C5005" s="37" t="s">
        <v>2355</v>
      </c>
      <c r="D5005" s="37" t="s">
        <v>2349</v>
      </c>
    </row>
    <row r="5006" spans="1:4" ht="14.25">
      <c r="A5006" s="37">
        <v>9857</v>
      </c>
      <c r="B5006" s="37" t="s">
        <v>25624</v>
      </c>
      <c r="C5006" s="37" t="s">
        <v>2355</v>
      </c>
      <c r="D5006" s="37" t="s">
        <v>2349</v>
      </c>
    </row>
    <row r="5007" spans="1:4" ht="14.25">
      <c r="A5007" s="37">
        <v>9864</v>
      </c>
      <c r="B5007" s="37" t="s">
        <v>25625</v>
      </c>
      <c r="C5007" s="37" t="s">
        <v>2355</v>
      </c>
      <c r="D5007" s="37" t="s">
        <v>2349</v>
      </c>
    </row>
    <row r="5008" spans="1:4" ht="14.25">
      <c r="A5008" s="37">
        <v>9865</v>
      </c>
      <c r="B5008" s="37" t="s">
        <v>25626</v>
      </c>
      <c r="C5008" s="37" t="s">
        <v>2355</v>
      </c>
      <c r="D5008" s="37" t="s">
        <v>2349</v>
      </c>
    </row>
    <row r="5009" spans="1:4" ht="14.25">
      <c r="A5009" s="37">
        <v>9858</v>
      </c>
      <c r="B5009" s="37" t="s">
        <v>25627</v>
      </c>
      <c r="C5009" s="37" t="s">
        <v>2355</v>
      </c>
      <c r="D5009" s="37" t="s">
        <v>2349</v>
      </c>
    </row>
    <row r="5010" spans="1:4" ht="14.25">
      <c r="A5010" s="37">
        <v>9841</v>
      </c>
      <c r="B5010" s="37" t="s">
        <v>25628</v>
      </c>
      <c r="C5010" s="37" t="s">
        <v>2355</v>
      </c>
      <c r="D5010" s="37" t="s">
        <v>2349</v>
      </c>
    </row>
    <row r="5011" spans="1:4" ht="14.25">
      <c r="A5011" s="37">
        <v>9840</v>
      </c>
      <c r="B5011" s="37" t="s">
        <v>25629</v>
      </c>
      <c r="C5011" s="37" t="s">
        <v>2355</v>
      </c>
      <c r="D5011" s="37" t="s">
        <v>2349</v>
      </c>
    </row>
    <row r="5012" spans="1:4" ht="14.25">
      <c r="A5012" s="37">
        <v>20067</v>
      </c>
      <c r="B5012" s="37" t="s">
        <v>25630</v>
      </c>
      <c r="C5012" s="37" t="s">
        <v>2355</v>
      </c>
      <c r="D5012" s="37" t="s">
        <v>2349</v>
      </c>
    </row>
    <row r="5013" spans="1:4" ht="14.25">
      <c r="A5013" s="37">
        <v>20068</v>
      </c>
      <c r="B5013" s="37" t="s">
        <v>25631</v>
      </c>
      <c r="C5013" s="37" t="s">
        <v>2355</v>
      </c>
      <c r="D5013" s="37" t="s">
        <v>2349</v>
      </c>
    </row>
    <row r="5014" spans="1:4" ht="14.25">
      <c r="A5014" s="37">
        <v>9839</v>
      </c>
      <c r="B5014" s="37" t="s">
        <v>25632</v>
      </c>
      <c r="C5014" s="37" t="s">
        <v>2355</v>
      </c>
      <c r="D5014" s="37" t="s">
        <v>2349</v>
      </c>
    </row>
    <row r="5015" spans="1:4" ht="14.25">
      <c r="A5015" s="37">
        <v>9870</v>
      </c>
      <c r="B5015" s="37" t="s">
        <v>28162</v>
      </c>
      <c r="C5015" s="37" t="s">
        <v>2355</v>
      </c>
      <c r="D5015" s="37" t="s">
        <v>2349</v>
      </c>
    </row>
    <row r="5016" spans="1:4" ht="14.25">
      <c r="A5016" s="37">
        <v>9867</v>
      </c>
      <c r="B5016" s="37" t="s">
        <v>25633</v>
      </c>
      <c r="C5016" s="37" t="s">
        <v>2355</v>
      </c>
      <c r="D5016" s="37" t="s">
        <v>2349</v>
      </c>
    </row>
    <row r="5017" spans="1:4" ht="14.25">
      <c r="A5017" s="37">
        <v>9868</v>
      </c>
      <c r="B5017" s="37" t="s">
        <v>25634</v>
      </c>
      <c r="C5017" s="37" t="s">
        <v>2355</v>
      </c>
      <c r="D5017" s="37" t="s">
        <v>2353</v>
      </c>
    </row>
    <row r="5018" spans="1:4" ht="14.25">
      <c r="A5018" s="37">
        <v>9869</v>
      </c>
      <c r="B5018" s="37" t="s">
        <v>25635</v>
      </c>
      <c r="C5018" s="37" t="s">
        <v>2355</v>
      </c>
      <c r="D5018" s="37" t="s">
        <v>2349</v>
      </c>
    </row>
    <row r="5019" spans="1:4" ht="14.25">
      <c r="A5019" s="37">
        <v>9874</v>
      </c>
      <c r="B5019" s="37" t="s">
        <v>25636</v>
      </c>
      <c r="C5019" s="37" t="s">
        <v>2355</v>
      </c>
      <c r="D5019" s="37" t="s">
        <v>2349</v>
      </c>
    </row>
    <row r="5020" spans="1:4" ht="14.25">
      <c r="A5020" s="37">
        <v>9875</v>
      </c>
      <c r="B5020" s="37" t="s">
        <v>25637</v>
      </c>
      <c r="C5020" s="37" t="s">
        <v>2355</v>
      </c>
      <c r="D5020" s="37" t="s">
        <v>2349</v>
      </c>
    </row>
    <row r="5021" spans="1:4" ht="14.25">
      <c r="A5021" s="37">
        <v>9873</v>
      </c>
      <c r="B5021" s="37" t="s">
        <v>25638</v>
      </c>
      <c r="C5021" s="37" t="s">
        <v>2355</v>
      </c>
      <c r="D5021" s="37" t="s">
        <v>2349</v>
      </c>
    </row>
    <row r="5022" spans="1:4" ht="14.25">
      <c r="A5022" s="37">
        <v>9871</v>
      </c>
      <c r="B5022" s="37" t="s">
        <v>25639</v>
      </c>
      <c r="C5022" s="37" t="s">
        <v>2355</v>
      </c>
      <c r="D5022" s="37" t="s">
        <v>2349</v>
      </c>
    </row>
    <row r="5023" spans="1:4" ht="14.25">
      <c r="A5023" s="37">
        <v>9872</v>
      </c>
      <c r="B5023" s="37" t="s">
        <v>25640</v>
      </c>
      <c r="C5023" s="37" t="s">
        <v>2355</v>
      </c>
      <c r="D5023" s="37" t="s">
        <v>2349</v>
      </c>
    </row>
    <row r="5024" spans="1:4" ht="14.25">
      <c r="A5024" s="37">
        <v>7667</v>
      </c>
      <c r="B5024" s="37" t="s">
        <v>25641</v>
      </c>
      <c r="C5024" s="37" t="s">
        <v>2355</v>
      </c>
      <c r="D5024" s="37" t="s">
        <v>2349</v>
      </c>
    </row>
    <row r="5025" spans="1:4" ht="14.25">
      <c r="A5025" s="37">
        <v>7660</v>
      </c>
      <c r="B5025" s="37" t="s">
        <v>25642</v>
      </c>
      <c r="C5025" s="37" t="s">
        <v>2355</v>
      </c>
      <c r="D5025" s="37" t="s">
        <v>2349</v>
      </c>
    </row>
    <row r="5026" spans="1:4" ht="14.25">
      <c r="A5026" s="37">
        <v>7676</v>
      </c>
      <c r="B5026" s="37" t="s">
        <v>25643</v>
      </c>
      <c r="C5026" s="37" t="s">
        <v>2355</v>
      </c>
      <c r="D5026" s="37" t="s">
        <v>2349</v>
      </c>
    </row>
    <row r="5027" spans="1:4" ht="14.25">
      <c r="A5027" s="37">
        <v>12426</v>
      </c>
      <c r="B5027" s="37" t="s">
        <v>25644</v>
      </c>
      <c r="C5027" s="37" t="s">
        <v>2348</v>
      </c>
      <c r="D5027" s="37" t="s">
        <v>2351</v>
      </c>
    </row>
    <row r="5028" spans="1:4" ht="14.25">
      <c r="A5028" s="37">
        <v>12425</v>
      </c>
      <c r="B5028" s="37" t="s">
        <v>25645</v>
      </c>
      <c r="C5028" s="37" t="s">
        <v>2348</v>
      </c>
      <c r="D5028" s="37" t="s">
        <v>2351</v>
      </c>
    </row>
    <row r="5029" spans="1:4" ht="14.25">
      <c r="A5029" s="37">
        <v>12427</v>
      </c>
      <c r="B5029" s="37" t="s">
        <v>25646</v>
      </c>
      <c r="C5029" s="37" t="s">
        <v>2348</v>
      </c>
      <c r="D5029" s="37" t="s">
        <v>2351</v>
      </c>
    </row>
    <row r="5030" spans="1:4" ht="14.25">
      <c r="A5030" s="37">
        <v>12428</v>
      </c>
      <c r="B5030" s="37" t="s">
        <v>25647</v>
      </c>
      <c r="C5030" s="37" t="s">
        <v>2348</v>
      </c>
      <c r="D5030" s="37" t="s">
        <v>2351</v>
      </c>
    </row>
    <row r="5031" spans="1:4" ht="14.25">
      <c r="A5031" s="37">
        <v>12430</v>
      </c>
      <c r="B5031" s="37" t="s">
        <v>25648</v>
      </c>
      <c r="C5031" s="37" t="s">
        <v>2348</v>
      </c>
      <c r="D5031" s="37" t="s">
        <v>2351</v>
      </c>
    </row>
    <row r="5032" spans="1:4" ht="14.25">
      <c r="A5032" s="37">
        <v>12429</v>
      </c>
      <c r="B5032" s="37" t="s">
        <v>25649</v>
      </c>
      <c r="C5032" s="37" t="s">
        <v>2348</v>
      </c>
      <c r="D5032" s="37" t="s">
        <v>2351</v>
      </c>
    </row>
    <row r="5033" spans="1:4" ht="14.25">
      <c r="A5033" s="37">
        <v>12431</v>
      </c>
      <c r="B5033" s="37" t="s">
        <v>25650</v>
      </c>
      <c r="C5033" s="37" t="s">
        <v>2348</v>
      </c>
      <c r="D5033" s="37" t="s">
        <v>2351</v>
      </c>
    </row>
    <row r="5034" spans="1:4" ht="14.25">
      <c r="A5034" s="37">
        <v>12432</v>
      </c>
      <c r="B5034" s="37" t="s">
        <v>25651</v>
      </c>
      <c r="C5034" s="37" t="s">
        <v>2348</v>
      </c>
      <c r="D5034" s="37" t="s">
        <v>2351</v>
      </c>
    </row>
    <row r="5035" spans="1:4" ht="14.25">
      <c r="A5035" s="37">
        <v>12434</v>
      </c>
      <c r="B5035" s="37" t="s">
        <v>25652</v>
      </c>
      <c r="C5035" s="37" t="s">
        <v>2348</v>
      </c>
      <c r="D5035" s="37" t="s">
        <v>2351</v>
      </c>
    </row>
    <row r="5036" spans="1:4" ht="14.25">
      <c r="A5036" s="37">
        <v>12433</v>
      </c>
      <c r="B5036" s="37" t="s">
        <v>25653</v>
      </c>
      <c r="C5036" s="37" t="s">
        <v>2348</v>
      </c>
      <c r="D5036" s="37" t="s">
        <v>2351</v>
      </c>
    </row>
    <row r="5037" spans="1:4" ht="14.25">
      <c r="A5037" s="37">
        <v>12435</v>
      </c>
      <c r="B5037" s="37" t="s">
        <v>25654</v>
      </c>
      <c r="C5037" s="37" t="s">
        <v>2348</v>
      </c>
      <c r="D5037" s="37" t="s">
        <v>2351</v>
      </c>
    </row>
    <row r="5038" spans="1:4" ht="14.25">
      <c r="A5038" s="37">
        <v>12437</v>
      </c>
      <c r="B5038" s="37" t="s">
        <v>25655</v>
      </c>
      <c r="C5038" s="37" t="s">
        <v>2348</v>
      </c>
      <c r="D5038" s="37" t="s">
        <v>2351</v>
      </c>
    </row>
    <row r="5039" spans="1:4" ht="14.25">
      <c r="A5039" s="37">
        <v>12439</v>
      </c>
      <c r="B5039" s="37" t="s">
        <v>25656</v>
      </c>
      <c r="C5039" s="37" t="s">
        <v>2348</v>
      </c>
      <c r="D5039" s="37" t="s">
        <v>2351</v>
      </c>
    </row>
    <row r="5040" spans="1:4" ht="14.25">
      <c r="A5040" s="37">
        <v>12438</v>
      </c>
      <c r="B5040" s="37" t="s">
        <v>25657</v>
      </c>
      <c r="C5040" s="37" t="s">
        <v>2348</v>
      </c>
      <c r="D5040" s="37" t="s">
        <v>2351</v>
      </c>
    </row>
    <row r="5041" spans="1:4" ht="14.25">
      <c r="A5041" s="37">
        <v>12436</v>
      </c>
      <c r="B5041" s="37" t="s">
        <v>25658</v>
      </c>
      <c r="C5041" s="37" t="s">
        <v>2348</v>
      </c>
      <c r="D5041" s="37" t="s">
        <v>2351</v>
      </c>
    </row>
    <row r="5042" spans="1:4" ht="14.25">
      <c r="A5042" s="37">
        <v>36357</v>
      </c>
      <c r="B5042" s="37" t="s">
        <v>25659</v>
      </c>
      <c r="C5042" s="37" t="s">
        <v>2348</v>
      </c>
      <c r="D5042" s="37" t="s">
        <v>2351</v>
      </c>
    </row>
    <row r="5043" spans="1:4" ht="14.25">
      <c r="A5043" s="37">
        <v>12424</v>
      </c>
      <c r="B5043" s="37" t="s">
        <v>25660</v>
      </c>
      <c r="C5043" s="37" t="s">
        <v>2348</v>
      </c>
      <c r="D5043" s="37" t="s">
        <v>2351</v>
      </c>
    </row>
    <row r="5044" spans="1:4" ht="14.25">
      <c r="A5044" s="37">
        <v>12440</v>
      </c>
      <c r="B5044" s="37" t="s">
        <v>25661</v>
      </c>
      <c r="C5044" s="37" t="s">
        <v>2348</v>
      </c>
      <c r="D5044" s="37" t="s">
        <v>2351</v>
      </c>
    </row>
    <row r="5045" spans="1:4" ht="14.25">
      <c r="A5045" s="37">
        <v>9884</v>
      </c>
      <c r="B5045" s="37" t="s">
        <v>25662</v>
      </c>
      <c r="C5045" s="37" t="s">
        <v>2348</v>
      </c>
      <c r="D5045" s="37" t="s">
        <v>2351</v>
      </c>
    </row>
    <row r="5046" spans="1:4" ht="14.25">
      <c r="A5046" s="37">
        <v>9888</v>
      </c>
      <c r="B5046" s="37" t="s">
        <v>25663</v>
      </c>
      <c r="C5046" s="37" t="s">
        <v>2348</v>
      </c>
      <c r="D5046" s="37" t="s">
        <v>2351</v>
      </c>
    </row>
    <row r="5047" spans="1:4" ht="14.25">
      <c r="A5047" s="37">
        <v>9883</v>
      </c>
      <c r="B5047" s="37" t="s">
        <v>25664</v>
      </c>
      <c r="C5047" s="37" t="s">
        <v>2348</v>
      </c>
      <c r="D5047" s="37" t="s">
        <v>2351</v>
      </c>
    </row>
    <row r="5048" spans="1:4" ht="14.25">
      <c r="A5048" s="37">
        <v>9886</v>
      </c>
      <c r="B5048" s="37" t="s">
        <v>25665</v>
      </c>
      <c r="C5048" s="37" t="s">
        <v>2348</v>
      </c>
      <c r="D5048" s="37" t="s">
        <v>2351</v>
      </c>
    </row>
    <row r="5049" spans="1:4" ht="14.25">
      <c r="A5049" s="37">
        <v>9889</v>
      </c>
      <c r="B5049" s="37" t="s">
        <v>25666</v>
      </c>
      <c r="C5049" s="37" t="s">
        <v>2348</v>
      </c>
      <c r="D5049" s="37" t="s">
        <v>2351</v>
      </c>
    </row>
    <row r="5050" spans="1:4" ht="14.25">
      <c r="A5050" s="37">
        <v>9887</v>
      </c>
      <c r="B5050" s="37" t="s">
        <v>25667</v>
      </c>
      <c r="C5050" s="37" t="s">
        <v>2348</v>
      </c>
      <c r="D5050" s="37" t="s">
        <v>2351</v>
      </c>
    </row>
    <row r="5051" spans="1:4" ht="14.25">
      <c r="A5051" s="37">
        <v>9885</v>
      </c>
      <c r="B5051" s="37" t="s">
        <v>25668</v>
      </c>
      <c r="C5051" s="37" t="s">
        <v>2348</v>
      </c>
      <c r="D5051" s="37" t="s">
        <v>2351</v>
      </c>
    </row>
    <row r="5052" spans="1:4" ht="14.25">
      <c r="A5052" s="37">
        <v>9890</v>
      </c>
      <c r="B5052" s="37" t="s">
        <v>25669</v>
      </c>
      <c r="C5052" s="37" t="s">
        <v>2348</v>
      </c>
      <c r="D5052" s="37" t="s">
        <v>2351</v>
      </c>
    </row>
    <row r="5053" spans="1:4" ht="14.25">
      <c r="A5053" s="37">
        <v>9891</v>
      </c>
      <c r="B5053" s="37" t="s">
        <v>25670</v>
      </c>
      <c r="C5053" s="37" t="s">
        <v>2348</v>
      </c>
      <c r="D5053" s="37" t="s">
        <v>2351</v>
      </c>
    </row>
    <row r="5054" spans="1:4" ht="14.25">
      <c r="A5054" s="37">
        <v>39292</v>
      </c>
      <c r="B5054" s="37" t="s">
        <v>25671</v>
      </c>
      <c r="C5054" s="37" t="s">
        <v>2348</v>
      </c>
      <c r="D5054" s="37" t="s">
        <v>2351</v>
      </c>
    </row>
    <row r="5055" spans="1:4" ht="14.25">
      <c r="A5055" s="37">
        <v>39293</v>
      </c>
      <c r="B5055" s="37" t="s">
        <v>25672</v>
      </c>
      <c r="C5055" s="37" t="s">
        <v>2348</v>
      </c>
      <c r="D5055" s="37" t="s">
        <v>2351</v>
      </c>
    </row>
    <row r="5056" spans="1:4" ht="14.25">
      <c r="A5056" s="37">
        <v>39294</v>
      </c>
      <c r="B5056" s="37" t="s">
        <v>25673</v>
      </c>
      <c r="C5056" s="37" t="s">
        <v>2348</v>
      </c>
      <c r="D5056" s="37" t="s">
        <v>2351</v>
      </c>
    </row>
    <row r="5057" spans="1:4" ht="14.25">
      <c r="A5057" s="37">
        <v>39295</v>
      </c>
      <c r="B5057" s="37" t="s">
        <v>25674</v>
      </c>
      <c r="C5057" s="37" t="s">
        <v>2348</v>
      </c>
      <c r="D5057" s="37" t="s">
        <v>2351</v>
      </c>
    </row>
    <row r="5058" spans="1:4" ht="14.25">
      <c r="A5058" s="37">
        <v>36313</v>
      </c>
      <c r="B5058" s="37" t="s">
        <v>25675</v>
      </c>
      <c r="C5058" s="37" t="s">
        <v>2348</v>
      </c>
      <c r="D5058" s="37" t="s">
        <v>2351</v>
      </c>
    </row>
    <row r="5059" spans="1:4" ht="14.25">
      <c r="A5059" s="37">
        <v>36316</v>
      </c>
      <c r="B5059" s="37" t="s">
        <v>25676</v>
      </c>
      <c r="C5059" s="37" t="s">
        <v>2348</v>
      </c>
      <c r="D5059" s="37" t="s">
        <v>2351</v>
      </c>
    </row>
    <row r="5060" spans="1:4" ht="14.25">
      <c r="A5060" s="37">
        <v>64</v>
      </c>
      <c r="B5060" s="37" t="s">
        <v>25677</v>
      </c>
      <c r="C5060" s="37" t="s">
        <v>2348</v>
      </c>
      <c r="D5060" s="37" t="s">
        <v>2351</v>
      </c>
    </row>
    <row r="5061" spans="1:4" ht="14.25">
      <c r="A5061" s="37">
        <v>37423</v>
      </c>
      <c r="B5061" s="37" t="s">
        <v>25678</v>
      </c>
      <c r="C5061" s="37" t="s">
        <v>2348</v>
      </c>
      <c r="D5061" s="37" t="s">
        <v>2351</v>
      </c>
    </row>
    <row r="5062" spans="1:4" ht="14.25">
      <c r="A5062" s="37">
        <v>39296</v>
      </c>
      <c r="B5062" s="37" t="s">
        <v>25679</v>
      </c>
      <c r="C5062" s="37" t="s">
        <v>2348</v>
      </c>
      <c r="D5062" s="37" t="s">
        <v>2351</v>
      </c>
    </row>
    <row r="5063" spans="1:4" ht="14.25">
      <c r="A5063" s="37">
        <v>39297</v>
      </c>
      <c r="B5063" s="37" t="s">
        <v>25680</v>
      </c>
      <c r="C5063" s="37" t="s">
        <v>2348</v>
      </c>
      <c r="D5063" s="37" t="s">
        <v>2351</v>
      </c>
    </row>
    <row r="5064" spans="1:4" ht="14.25">
      <c r="A5064" s="37">
        <v>39298</v>
      </c>
      <c r="B5064" s="37" t="s">
        <v>25681</v>
      </c>
      <c r="C5064" s="37" t="s">
        <v>2348</v>
      </c>
      <c r="D5064" s="37" t="s">
        <v>2351</v>
      </c>
    </row>
    <row r="5065" spans="1:4" ht="14.25">
      <c r="A5065" s="37">
        <v>39299</v>
      </c>
      <c r="B5065" s="37" t="s">
        <v>25682</v>
      </c>
      <c r="C5065" s="37" t="s">
        <v>2348</v>
      </c>
      <c r="D5065" s="37" t="s">
        <v>2351</v>
      </c>
    </row>
    <row r="5066" spans="1:4" ht="14.25">
      <c r="A5066" s="37">
        <v>9892</v>
      </c>
      <c r="B5066" s="37" t="s">
        <v>25683</v>
      </c>
      <c r="C5066" s="37" t="s">
        <v>2348</v>
      </c>
      <c r="D5066" s="37" t="s">
        <v>2349</v>
      </c>
    </row>
    <row r="5067" spans="1:4" ht="14.25">
      <c r="A5067" s="37">
        <v>9893</v>
      </c>
      <c r="B5067" s="37" t="s">
        <v>25684</v>
      </c>
      <c r="C5067" s="37" t="s">
        <v>2348</v>
      </c>
      <c r="D5067" s="37" t="s">
        <v>2349</v>
      </c>
    </row>
    <row r="5068" spans="1:4" ht="14.25">
      <c r="A5068" s="37">
        <v>9901</v>
      </c>
      <c r="B5068" s="37" t="s">
        <v>25685</v>
      </c>
      <c r="C5068" s="37" t="s">
        <v>2348</v>
      </c>
      <c r="D5068" s="37" t="s">
        <v>2349</v>
      </c>
    </row>
    <row r="5069" spans="1:4" ht="14.25">
      <c r="A5069" s="37">
        <v>9896</v>
      </c>
      <c r="B5069" s="37" t="s">
        <v>25686</v>
      </c>
      <c r="C5069" s="37" t="s">
        <v>2348</v>
      </c>
      <c r="D5069" s="37" t="s">
        <v>2349</v>
      </c>
    </row>
    <row r="5070" spans="1:4" ht="14.25">
      <c r="A5070" s="37">
        <v>9900</v>
      </c>
      <c r="B5070" s="37" t="s">
        <v>25687</v>
      </c>
      <c r="C5070" s="37" t="s">
        <v>2348</v>
      </c>
      <c r="D5070" s="37" t="s">
        <v>2349</v>
      </c>
    </row>
    <row r="5071" spans="1:4" ht="14.25">
      <c r="A5071" s="37">
        <v>9898</v>
      </c>
      <c r="B5071" s="37" t="s">
        <v>25688</v>
      </c>
      <c r="C5071" s="37" t="s">
        <v>2348</v>
      </c>
      <c r="D5071" s="37" t="s">
        <v>2349</v>
      </c>
    </row>
    <row r="5072" spans="1:4" ht="14.25">
      <c r="A5072" s="37">
        <v>9899</v>
      </c>
      <c r="B5072" s="37" t="s">
        <v>25689</v>
      </c>
      <c r="C5072" s="37" t="s">
        <v>2348</v>
      </c>
      <c r="D5072" s="37" t="s">
        <v>2349</v>
      </c>
    </row>
    <row r="5073" spans="1:4" ht="14.25">
      <c r="A5073" s="37">
        <v>9902</v>
      </c>
      <c r="B5073" s="37" t="s">
        <v>25690</v>
      </c>
      <c r="C5073" s="37" t="s">
        <v>2348</v>
      </c>
      <c r="D5073" s="37" t="s">
        <v>2349</v>
      </c>
    </row>
    <row r="5074" spans="1:4" ht="14.25">
      <c r="A5074" s="37">
        <v>9908</v>
      </c>
      <c r="B5074" s="37" t="s">
        <v>25691</v>
      </c>
      <c r="C5074" s="37" t="s">
        <v>2348</v>
      </c>
      <c r="D5074" s="37" t="s">
        <v>2349</v>
      </c>
    </row>
    <row r="5075" spans="1:4" ht="14.25">
      <c r="A5075" s="37">
        <v>9905</v>
      </c>
      <c r="B5075" s="37" t="s">
        <v>25692</v>
      </c>
      <c r="C5075" s="37" t="s">
        <v>2348</v>
      </c>
      <c r="D5075" s="37" t="s">
        <v>2349</v>
      </c>
    </row>
    <row r="5076" spans="1:4" ht="14.25">
      <c r="A5076" s="37">
        <v>9906</v>
      </c>
      <c r="B5076" s="37" t="s">
        <v>25693</v>
      </c>
      <c r="C5076" s="37" t="s">
        <v>2348</v>
      </c>
      <c r="D5076" s="37" t="s">
        <v>2349</v>
      </c>
    </row>
    <row r="5077" spans="1:4" ht="14.25">
      <c r="A5077" s="37">
        <v>9895</v>
      </c>
      <c r="B5077" s="37" t="s">
        <v>25694</v>
      </c>
      <c r="C5077" s="37" t="s">
        <v>2348</v>
      </c>
      <c r="D5077" s="37" t="s">
        <v>2349</v>
      </c>
    </row>
    <row r="5078" spans="1:4" ht="14.25">
      <c r="A5078" s="37">
        <v>9894</v>
      </c>
      <c r="B5078" s="37" t="s">
        <v>25695</v>
      </c>
      <c r="C5078" s="37" t="s">
        <v>2348</v>
      </c>
      <c r="D5078" s="37" t="s">
        <v>2349</v>
      </c>
    </row>
    <row r="5079" spans="1:4" ht="14.25">
      <c r="A5079" s="37">
        <v>9897</v>
      </c>
      <c r="B5079" s="37" t="s">
        <v>25696</v>
      </c>
      <c r="C5079" s="37" t="s">
        <v>2348</v>
      </c>
      <c r="D5079" s="37" t="s">
        <v>2349</v>
      </c>
    </row>
    <row r="5080" spans="1:4" ht="14.25">
      <c r="A5080" s="37">
        <v>9910</v>
      </c>
      <c r="B5080" s="37" t="s">
        <v>25697</v>
      </c>
      <c r="C5080" s="37" t="s">
        <v>2348</v>
      </c>
      <c r="D5080" s="37" t="s">
        <v>2349</v>
      </c>
    </row>
    <row r="5081" spans="1:4" ht="14.25">
      <c r="A5081" s="37">
        <v>9909</v>
      </c>
      <c r="B5081" s="37" t="s">
        <v>25698</v>
      </c>
      <c r="C5081" s="37" t="s">
        <v>2348</v>
      </c>
      <c r="D5081" s="37" t="s">
        <v>2349</v>
      </c>
    </row>
    <row r="5082" spans="1:4" ht="14.25">
      <c r="A5082" s="37">
        <v>9907</v>
      </c>
      <c r="B5082" s="37" t="s">
        <v>25699</v>
      </c>
      <c r="C5082" s="37" t="s">
        <v>2348</v>
      </c>
      <c r="D5082" s="37" t="s">
        <v>2349</v>
      </c>
    </row>
    <row r="5083" spans="1:4" ht="14.25">
      <c r="A5083" s="37">
        <v>20973</v>
      </c>
      <c r="B5083" s="37" t="s">
        <v>25700</v>
      </c>
      <c r="C5083" s="37" t="s">
        <v>2348</v>
      </c>
      <c r="D5083" s="37" t="s">
        <v>2349</v>
      </c>
    </row>
    <row r="5084" spans="1:4" ht="14.25">
      <c r="A5084" s="37">
        <v>20974</v>
      </c>
      <c r="B5084" s="37" t="s">
        <v>25701</v>
      </c>
      <c r="C5084" s="37" t="s">
        <v>2348</v>
      </c>
      <c r="D5084" s="37" t="s">
        <v>2349</v>
      </c>
    </row>
    <row r="5085" spans="1:4" ht="14.25">
      <c r="A5085" s="37">
        <v>37989</v>
      </c>
      <c r="B5085" s="37" t="s">
        <v>25702</v>
      </c>
      <c r="C5085" s="37" t="s">
        <v>2348</v>
      </c>
      <c r="D5085" s="37" t="s">
        <v>2349</v>
      </c>
    </row>
    <row r="5086" spans="1:4" ht="14.25">
      <c r="A5086" s="37">
        <v>37990</v>
      </c>
      <c r="B5086" s="37" t="s">
        <v>25703</v>
      </c>
      <c r="C5086" s="37" t="s">
        <v>2348</v>
      </c>
      <c r="D5086" s="37" t="s">
        <v>2349</v>
      </c>
    </row>
    <row r="5087" spans="1:4" ht="14.25">
      <c r="A5087" s="37">
        <v>37991</v>
      </c>
      <c r="B5087" s="37" t="s">
        <v>25704</v>
      </c>
      <c r="C5087" s="37" t="s">
        <v>2348</v>
      </c>
      <c r="D5087" s="37" t="s">
        <v>2349</v>
      </c>
    </row>
    <row r="5088" spans="1:4" ht="14.25">
      <c r="A5088" s="37">
        <v>37992</v>
      </c>
      <c r="B5088" s="37" t="s">
        <v>25705</v>
      </c>
      <c r="C5088" s="37" t="s">
        <v>2348</v>
      </c>
      <c r="D5088" s="37" t="s">
        <v>2349</v>
      </c>
    </row>
    <row r="5089" spans="1:4" ht="14.25">
      <c r="A5089" s="37">
        <v>37993</v>
      </c>
      <c r="B5089" s="37" t="s">
        <v>25706</v>
      </c>
      <c r="C5089" s="37" t="s">
        <v>2348</v>
      </c>
      <c r="D5089" s="37" t="s">
        <v>2349</v>
      </c>
    </row>
    <row r="5090" spans="1:4" ht="14.25">
      <c r="A5090" s="37">
        <v>37994</v>
      </c>
      <c r="B5090" s="37" t="s">
        <v>25707</v>
      </c>
      <c r="C5090" s="37" t="s">
        <v>2348</v>
      </c>
      <c r="D5090" s="37" t="s">
        <v>2349</v>
      </c>
    </row>
    <row r="5091" spans="1:4" ht="14.25">
      <c r="A5091" s="37">
        <v>37995</v>
      </c>
      <c r="B5091" s="37" t="s">
        <v>25708</v>
      </c>
      <c r="C5091" s="37" t="s">
        <v>2348</v>
      </c>
      <c r="D5091" s="37" t="s">
        <v>2349</v>
      </c>
    </row>
    <row r="5092" spans="1:4" ht="14.25">
      <c r="A5092" s="37">
        <v>37996</v>
      </c>
      <c r="B5092" s="37" t="s">
        <v>25709</v>
      </c>
      <c r="C5092" s="37" t="s">
        <v>2348</v>
      </c>
      <c r="D5092" s="37" t="s">
        <v>2349</v>
      </c>
    </row>
    <row r="5093" spans="1:4" ht="14.25">
      <c r="A5093" s="37">
        <v>13883</v>
      </c>
      <c r="B5093" s="37" t="s">
        <v>25710</v>
      </c>
      <c r="C5093" s="37" t="s">
        <v>2348</v>
      </c>
      <c r="D5093" s="37" t="s">
        <v>2351</v>
      </c>
    </row>
    <row r="5094" spans="1:4" ht="14.25">
      <c r="A5094" s="37">
        <v>38604</v>
      </c>
      <c r="B5094" s="37" t="s">
        <v>25711</v>
      </c>
      <c r="C5094" s="37" t="s">
        <v>2348</v>
      </c>
      <c r="D5094" s="37" t="s">
        <v>2351</v>
      </c>
    </row>
    <row r="5095" spans="1:4" ht="14.25">
      <c r="A5095" s="37">
        <v>10601</v>
      </c>
      <c r="B5095" s="37" t="s">
        <v>25712</v>
      </c>
      <c r="C5095" s="37" t="s">
        <v>2348</v>
      </c>
      <c r="D5095" s="37" t="s">
        <v>2351</v>
      </c>
    </row>
    <row r="5096" spans="1:4" ht="14.25">
      <c r="A5096" s="37">
        <v>44469</v>
      </c>
      <c r="B5096" s="37" t="s">
        <v>28163</v>
      </c>
      <c r="C5096" s="37" t="s">
        <v>2348</v>
      </c>
      <c r="D5096" s="37" t="s">
        <v>2351</v>
      </c>
    </row>
    <row r="5097" spans="1:4" ht="14.25">
      <c r="A5097" s="37">
        <v>13894</v>
      </c>
      <c r="B5097" s="37" t="s">
        <v>25713</v>
      </c>
      <c r="C5097" s="37" t="s">
        <v>2348</v>
      </c>
      <c r="D5097" s="37" t="s">
        <v>2351</v>
      </c>
    </row>
    <row r="5098" spans="1:4" ht="14.25">
      <c r="A5098" s="37">
        <v>13895</v>
      </c>
      <c r="B5098" s="37" t="s">
        <v>25714</v>
      </c>
      <c r="C5098" s="37" t="s">
        <v>2348</v>
      </c>
      <c r="D5098" s="37" t="s">
        <v>2351</v>
      </c>
    </row>
    <row r="5099" spans="1:4" ht="14.25">
      <c r="A5099" s="37">
        <v>13892</v>
      </c>
      <c r="B5099" s="37" t="s">
        <v>25715</v>
      </c>
      <c r="C5099" s="37" t="s">
        <v>2348</v>
      </c>
      <c r="D5099" s="37" t="s">
        <v>2351</v>
      </c>
    </row>
    <row r="5100" spans="1:4" ht="14.25">
      <c r="A5100" s="37">
        <v>9914</v>
      </c>
      <c r="B5100" s="37" t="s">
        <v>25716</v>
      </c>
      <c r="C5100" s="37" t="s">
        <v>2348</v>
      </c>
      <c r="D5100" s="37" t="s">
        <v>2351</v>
      </c>
    </row>
    <row r="5101" spans="1:4" ht="14.25">
      <c r="A5101" s="37">
        <v>36485</v>
      </c>
      <c r="B5101" s="37" t="s">
        <v>25717</v>
      </c>
      <c r="C5101" s="37" t="s">
        <v>2348</v>
      </c>
      <c r="D5101" s="37" t="s">
        <v>2351</v>
      </c>
    </row>
    <row r="5102" spans="1:4" ht="14.25">
      <c r="A5102" s="37">
        <v>9912</v>
      </c>
      <c r="B5102" s="37" t="s">
        <v>25718</v>
      </c>
      <c r="C5102" s="37" t="s">
        <v>2348</v>
      </c>
      <c r="D5102" s="37" t="s">
        <v>2351</v>
      </c>
    </row>
    <row r="5103" spans="1:4" ht="14.25">
      <c r="A5103" s="37">
        <v>9921</v>
      </c>
      <c r="B5103" s="37" t="s">
        <v>25719</v>
      </c>
      <c r="C5103" s="37" t="s">
        <v>2348</v>
      </c>
      <c r="D5103" s="37" t="s">
        <v>2351</v>
      </c>
    </row>
    <row r="5104" spans="1:4" ht="14.25">
      <c r="A5104" s="37">
        <v>21112</v>
      </c>
      <c r="B5104" s="37" t="s">
        <v>25720</v>
      </c>
      <c r="C5104" s="37" t="s">
        <v>2348</v>
      </c>
      <c r="D5104" s="37" t="s">
        <v>2349</v>
      </c>
    </row>
    <row r="5105" spans="1:4" ht="14.25">
      <c r="A5105" s="37">
        <v>10228</v>
      </c>
      <c r="B5105" s="37" t="s">
        <v>25721</v>
      </c>
      <c r="C5105" s="37" t="s">
        <v>2348</v>
      </c>
      <c r="D5105" s="37" t="s">
        <v>2353</v>
      </c>
    </row>
    <row r="5106" spans="1:4" ht="14.25">
      <c r="A5106" s="37">
        <v>11781</v>
      </c>
      <c r="B5106" s="37" t="s">
        <v>25722</v>
      </c>
      <c r="C5106" s="37" t="s">
        <v>2348</v>
      </c>
      <c r="D5106" s="37" t="s">
        <v>2349</v>
      </c>
    </row>
    <row r="5107" spans="1:4" ht="14.25">
      <c r="A5107" s="37">
        <v>37588</v>
      </c>
      <c r="B5107" s="37" t="s">
        <v>28164</v>
      </c>
      <c r="C5107" s="37" t="s">
        <v>2348</v>
      </c>
      <c r="D5107" s="37" t="s">
        <v>2349</v>
      </c>
    </row>
    <row r="5108" spans="1:4" ht="14.25">
      <c r="A5108" s="37">
        <v>11746</v>
      </c>
      <c r="B5108" s="37" t="s">
        <v>25723</v>
      </c>
      <c r="C5108" s="37" t="s">
        <v>2348</v>
      </c>
      <c r="D5108" s="37" t="s">
        <v>2349</v>
      </c>
    </row>
    <row r="5109" spans="1:4" ht="14.25">
      <c r="A5109" s="37">
        <v>11751</v>
      </c>
      <c r="B5109" s="37" t="s">
        <v>25724</v>
      </c>
      <c r="C5109" s="37" t="s">
        <v>2348</v>
      </c>
      <c r="D5109" s="37" t="s">
        <v>2349</v>
      </c>
    </row>
    <row r="5110" spans="1:4" ht="14.25">
      <c r="A5110" s="37">
        <v>11750</v>
      </c>
      <c r="B5110" s="37" t="s">
        <v>25725</v>
      </c>
      <c r="C5110" s="37" t="s">
        <v>2348</v>
      </c>
      <c r="D5110" s="37" t="s">
        <v>2349</v>
      </c>
    </row>
    <row r="5111" spans="1:4" ht="14.25">
      <c r="A5111" s="37">
        <v>11748</v>
      </c>
      <c r="B5111" s="37" t="s">
        <v>25726</v>
      </c>
      <c r="C5111" s="37" t="s">
        <v>2348</v>
      </c>
      <c r="D5111" s="37" t="s">
        <v>2349</v>
      </c>
    </row>
    <row r="5112" spans="1:4" ht="14.25">
      <c r="A5112" s="37">
        <v>11747</v>
      </c>
      <c r="B5112" s="37" t="s">
        <v>25727</v>
      </c>
      <c r="C5112" s="37" t="s">
        <v>2348</v>
      </c>
      <c r="D5112" s="37" t="s">
        <v>2349</v>
      </c>
    </row>
    <row r="5113" spans="1:4" ht="14.25">
      <c r="A5113" s="37">
        <v>11749</v>
      </c>
      <c r="B5113" s="37" t="s">
        <v>25728</v>
      </c>
      <c r="C5113" s="37" t="s">
        <v>2348</v>
      </c>
      <c r="D5113" s="37" t="s">
        <v>2349</v>
      </c>
    </row>
    <row r="5114" spans="1:4" ht="14.25">
      <c r="A5114" s="37">
        <v>10236</v>
      </c>
      <c r="B5114" s="37" t="s">
        <v>25729</v>
      </c>
      <c r="C5114" s="37" t="s">
        <v>2348</v>
      </c>
      <c r="D5114" s="37" t="s">
        <v>2349</v>
      </c>
    </row>
    <row r="5115" spans="1:4" ht="14.25">
      <c r="A5115" s="37">
        <v>10233</v>
      </c>
      <c r="B5115" s="37" t="s">
        <v>25730</v>
      </c>
      <c r="C5115" s="37" t="s">
        <v>2348</v>
      </c>
      <c r="D5115" s="37" t="s">
        <v>2349</v>
      </c>
    </row>
    <row r="5116" spans="1:4" ht="14.25">
      <c r="A5116" s="37">
        <v>10234</v>
      </c>
      <c r="B5116" s="37" t="s">
        <v>25731</v>
      </c>
      <c r="C5116" s="37" t="s">
        <v>2348</v>
      </c>
      <c r="D5116" s="37" t="s">
        <v>2349</v>
      </c>
    </row>
    <row r="5117" spans="1:4" ht="14.25">
      <c r="A5117" s="37">
        <v>10231</v>
      </c>
      <c r="B5117" s="37" t="s">
        <v>25732</v>
      </c>
      <c r="C5117" s="37" t="s">
        <v>2348</v>
      </c>
      <c r="D5117" s="37" t="s">
        <v>2349</v>
      </c>
    </row>
    <row r="5118" spans="1:4" ht="14.25">
      <c r="A5118" s="37">
        <v>10232</v>
      </c>
      <c r="B5118" s="37" t="s">
        <v>25733</v>
      </c>
      <c r="C5118" s="37" t="s">
        <v>2348</v>
      </c>
      <c r="D5118" s="37" t="s">
        <v>2349</v>
      </c>
    </row>
    <row r="5119" spans="1:4" ht="14.25">
      <c r="A5119" s="37">
        <v>10229</v>
      </c>
      <c r="B5119" s="37" t="s">
        <v>25734</v>
      </c>
      <c r="C5119" s="37" t="s">
        <v>2348</v>
      </c>
      <c r="D5119" s="37" t="s">
        <v>2353</v>
      </c>
    </row>
    <row r="5120" spans="1:4" ht="14.25">
      <c r="A5120" s="37">
        <v>10235</v>
      </c>
      <c r="B5120" s="37" t="s">
        <v>25735</v>
      </c>
      <c r="C5120" s="37" t="s">
        <v>2348</v>
      </c>
      <c r="D5120" s="37" t="s">
        <v>2349</v>
      </c>
    </row>
    <row r="5121" spans="1:4" ht="14.25">
      <c r="A5121" s="37">
        <v>10230</v>
      </c>
      <c r="B5121" s="37" t="s">
        <v>25736</v>
      </c>
      <c r="C5121" s="37" t="s">
        <v>2348</v>
      </c>
      <c r="D5121" s="37" t="s">
        <v>2349</v>
      </c>
    </row>
    <row r="5122" spans="1:4" ht="14.25">
      <c r="A5122" s="37">
        <v>10409</v>
      </c>
      <c r="B5122" s="37" t="s">
        <v>25737</v>
      </c>
      <c r="C5122" s="37" t="s">
        <v>2348</v>
      </c>
      <c r="D5122" s="37" t="s">
        <v>2349</v>
      </c>
    </row>
    <row r="5123" spans="1:4" ht="14.25">
      <c r="A5123" s="37">
        <v>10411</v>
      </c>
      <c r="B5123" s="37" t="s">
        <v>25738</v>
      </c>
      <c r="C5123" s="37" t="s">
        <v>2348</v>
      </c>
      <c r="D5123" s="37" t="s">
        <v>2349</v>
      </c>
    </row>
    <row r="5124" spans="1:4" ht="14.25">
      <c r="A5124" s="37">
        <v>10404</v>
      </c>
      <c r="B5124" s="37" t="s">
        <v>25739</v>
      </c>
      <c r="C5124" s="37" t="s">
        <v>2348</v>
      </c>
      <c r="D5124" s="37" t="s">
        <v>2349</v>
      </c>
    </row>
    <row r="5125" spans="1:4" ht="14.25">
      <c r="A5125" s="37">
        <v>10410</v>
      </c>
      <c r="B5125" s="37" t="s">
        <v>25740</v>
      </c>
      <c r="C5125" s="37" t="s">
        <v>2348</v>
      </c>
      <c r="D5125" s="37" t="s">
        <v>2349</v>
      </c>
    </row>
    <row r="5126" spans="1:4" ht="14.25">
      <c r="A5126" s="37">
        <v>10405</v>
      </c>
      <c r="B5126" s="37" t="s">
        <v>25741</v>
      </c>
      <c r="C5126" s="37" t="s">
        <v>2348</v>
      </c>
      <c r="D5126" s="37" t="s">
        <v>2349</v>
      </c>
    </row>
    <row r="5127" spans="1:4" ht="14.25">
      <c r="A5127" s="37">
        <v>10408</v>
      </c>
      <c r="B5127" s="37" t="s">
        <v>25742</v>
      </c>
      <c r="C5127" s="37" t="s">
        <v>2348</v>
      </c>
      <c r="D5127" s="37" t="s">
        <v>2349</v>
      </c>
    </row>
    <row r="5128" spans="1:4" ht="14.25">
      <c r="A5128" s="37">
        <v>10412</v>
      </c>
      <c r="B5128" s="37" t="s">
        <v>25743</v>
      </c>
      <c r="C5128" s="37" t="s">
        <v>2348</v>
      </c>
      <c r="D5128" s="37" t="s">
        <v>2349</v>
      </c>
    </row>
    <row r="5129" spans="1:4" ht="14.25">
      <c r="A5129" s="37">
        <v>10406</v>
      </c>
      <c r="B5129" s="37" t="s">
        <v>25744</v>
      </c>
      <c r="C5129" s="37" t="s">
        <v>2348</v>
      </c>
      <c r="D5129" s="37" t="s">
        <v>2349</v>
      </c>
    </row>
    <row r="5130" spans="1:4" ht="14.25">
      <c r="A5130" s="37">
        <v>10407</v>
      </c>
      <c r="B5130" s="37" t="s">
        <v>25745</v>
      </c>
      <c r="C5130" s="37" t="s">
        <v>2348</v>
      </c>
      <c r="D5130" s="37" t="s">
        <v>2349</v>
      </c>
    </row>
    <row r="5131" spans="1:4" ht="14.25">
      <c r="A5131" s="37">
        <v>10416</v>
      </c>
      <c r="B5131" s="37" t="s">
        <v>25746</v>
      </c>
      <c r="C5131" s="37" t="s">
        <v>2348</v>
      </c>
      <c r="D5131" s="37" t="s">
        <v>2349</v>
      </c>
    </row>
    <row r="5132" spans="1:4" ht="14.25">
      <c r="A5132" s="37">
        <v>10419</v>
      </c>
      <c r="B5132" s="37" t="s">
        <v>25747</v>
      </c>
      <c r="C5132" s="37" t="s">
        <v>2348</v>
      </c>
      <c r="D5132" s="37" t="s">
        <v>2349</v>
      </c>
    </row>
    <row r="5133" spans="1:4" ht="14.25">
      <c r="A5133" s="37">
        <v>21092</v>
      </c>
      <c r="B5133" s="37" t="s">
        <v>25748</v>
      </c>
      <c r="C5133" s="37" t="s">
        <v>2348</v>
      </c>
      <c r="D5133" s="37" t="s">
        <v>2349</v>
      </c>
    </row>
    <row r="5134" spans="1:4" ht="14.25">
      <c r="A5134" s="37">
        <v>10418</v>
      </c>
      <c r="B5134" s="37" t="s">
        <v>25749</v>
      </c>
      <c r="C5134" s="37" t="s">
        <v>2348</v>
      </c>
      <c r="D5134" s="37" t="s">
        <v>2349</v>
      </c>
    </row>
    <row r="5135" spans="1:4" ht="14.25">
      <c r="A5135" s="37">
        <v>12657</v>
      </c>
      <c r="B5135" s="37" t="s">
        <v>25750</v>
      </c>
      <c r="C5135" s="37" t="s">
        <v>2348</v>
      </c>
      <c r="D5135" s="37" t="s">
        <v>2349</v>
      </c>
    </row>
    <row r="5136" spans="1:4" ht="14.25">
      <c r="A5136" s="37">
        <v>10417</v>
      </c>
      <c r="B5136" s="37" t="s">
        <v>25751</v>
      </c>
      <c r="C5136" s="37" t="s">
        <v>2348</v>
      </c>
      <c r="D5136" s="37" t="s">
        <v>2349</v>
      </c>
    </row>
    <row r="5137" spans="1:4" ht="14.25">
      <c r="A5137" s="37">
        <v>10413</v>
      </c>
      <c r="B5137" s="37" t="s">
        <v>25752</v>
      </c>
      <c r="C5137" s="37" t="s">
        <v>2348</v>
      </c>
      <c r="D5137" s="37" t="s">
        <v>2349</v>
      </c>
    </row>
    <row r="5138" spans="1:4" ht="14.25">
      <c r="A5138" s="37">
        <v>10414</v>
      </c>
      <c r="B5138" s="37" t="s">
        <v>25753</v>
      </c>
      <c r="C5138" s="37" t="s">
        <v>2348</v>
      </c>
      <c r="D5138" s="37" t="s">
        <v>2349</v>
      </c>
    </row>
    <row r="5139" spans="1:4" ht="14.25">
      <c r="A5139" s="37">
        <v>10415</v>
      </c>
      <c r="B5139" s="37" t="s">
        <v>25754</v>
      </c>
      <c r="C5139" s="37" t="s">
        <v>2348</v>
      </c>
      <c r="D5139" s="37" t="s">
        <v>2349</v>
      </c>
    </row>
    <row r="5140" spans="1:4" ht="14.25">
      <c r="A5140" s="37">
        <v>38643</v>
      </c>
      <c r="B5140" s="37" t="s">
        <v>25755</v>
      </c>
      <c r="C5140" s="37" t="s">
        <v>2348</v>
      </c>
      <c r="D5140" s="37" t="s">
        <v>2349</v>
      </c>
    </row>
    <row r="5141" spans="1:4" ht="14.25">
      <c r="A5141" s="37">
        <v>6157</v>
      </c>
      <c r="B5141" s="37" t="s">
        <v>25756</v>
      </c>
      <c r="C5141" s="37" t="s">
        <v>2348</v>
      </c>
      <c r="D5141" s="37" t="s">
        <v>2349</v>
      </c>
    </row>
    <row r="5142" spans="1:4" ht="14.25">
      <c r="A5142" s="37">
        <v>6152</v>
      </c>
      <c r="B5142" s="37" t="s">
        <v>25757</v>
      </c>
      <c r="C5142" s="37" t="s">
        <v>2348</v>
      </c>
      <c r="D5142" s="37" t="s">
        <v>2349</v>
      </c>
    </row>
    <row r="5143" spans="1:4" ht="14.25">
      <c r="A5143" s="37">
        <v>6158</v>
      </c>
      <c r="B5143" s="37" t="s">
        <v>25758</v>
      </c>
      <c r="C5143" s="37" t="s">
        <v>2348</v>
      </c>
      <c r="D5143" s="37" t="s">
        <v>2349</v>
      </c>
    </row>
    <row r="5144" spans="1:4" ht="14.25">
      <c r="A5144" s="37">
        <v>6153</v>
      </c>
      <c r="B5144" s="37" t="s">
        <v>25759</v>
      </c>
      <c r="C5144" s="37" t="s">
        <v>2348</v>
      </c>
      <c r="D5144" s="37" t="s">
        <v>2349</v>
      </c>
    </row>
    <row r="5145" spans="1:4" ht="14.25">
      <c r="A5145" s="37">
        <v>6156</v>
      </c>
      <c r="B5145" s="37" t="s">
        <v>25760</v>
      </c>
      <c r="C5145" s="37" t="s">
        <v>2348</v>
      </c>
      <c r="D5145" s="37" t="s">
        <v>2349</v>
      </c>
    </row>
    <row r="5146" spans="1:4" ht="14.25">
      <c r="A5146" s="37">
        <v>6154</v>
      </c>
      <c r="B5146" s="37" t="s">
        <v>25761</v>
      </c>
      <c r="C5146" s="37" t="s">
        <v>2348</v>
      </c>
      <c r="D5146" s="37" t="s">
        <v>2349</v>
      </c>
    </row>
    <row r="5147" spans="1:4" ht="14.25">
      <c r="A5147" s="37">
        <v>6155</v>
      </c>
      <c r="B5147" s="37" t="s">
        <v>25762</v>
      </c>
      <c r="C5147" s="37" t="s">
        <v>2348</v>
      </c>
      <c r="D5147" s="37" t="s">
        <v>2349</v>
      </c>
    </row>
    <row r="5148" spans="1:4" ht="14.25">
      <c r="A5148" s="37">
        <v>43595</v>
      </c>
      <c r="B5148" s="37" t="s">
        <v>25763</v>
      </c>
      <c r="C5148" s="37" t="s">
        <v>2348</v>
      </c>
      <c r="D5148" s="37" t="s">
        <v>2349</v>
      </c>
    </row>
    <row r="5149" spans="1:4" ht="14.25">
      <c r="A5149" s="37">
        <v>43596</v>
      </c>
      <c r="B5149" s="37" t="s">
        <v>25764</v>
      </c>
      <c r="C5149" s="37" t="s">
        <v>2348</v>
      </c>
      <c r="D5149" s="37" t="s">
        <v>2349</v>
      </c>
    </row>
    <row r="5150" spans="1:4" ht="14.25">
      <c r="A5150" s="37">
        <v>38108</v>
      </c>
      <c r="B5150" s="37" t="s">
        <v>25765</v>
      </c>
      <c r="C5150" s="37" t="s">
        <v>2348</v>
      </c>
      <c r="D5150" s="37" t="s">
        <v>2349</v>
      </c>
    </row>
    <row r="5151" spans="1:4" ht="14.25">
      <c r="A5151" s="37">
        <v>38087</v>
      </c>
      <c r="B5151" s="37" t="s">
        <v>25766</v>
      </c>
      <c r="C5151" s="37" t="s">
        <v>2348</v>
      </c>
      <c r="D5151" s="37" t="s">
        <v>2349</v>
      </c>
    </row>
    <row r="5152" spans="1:4" ht="14.25">
      <c r="A5152" s="37">
        <v>38109</v>
      </c>
      <c r="B5152" s="37" t="s">
        <v>25767</v>
      </c>
      <c r="C5152" s="37" t="s">
        <v>2348</v>
      </c>
      <c r="D5152" s="37" t="s">
        <v>2349</v>
      </c>
    </row>
    <row r="5153" spans="1:4" ht="14.25">
      <c r="A5153" s="37">
        <v>38088</v>
      </c>
      <c r="B5153" s="37" t="s">
        <v>25768</v>
      </c>
      <c r="C5153" s="37" t="s">
        <v>2348</v>
      </c>
      <c r="D5153" s="37" t="s">
        <v>2349</v>
      </c>
    </row>
    <row r="5154" spans="1:4" ht="14.25">
      <c r="A5154" s="37">
        <v>38110</v>
      </c>
      <c r="B5154" s="37" t="s">
        <v>25769</v>
      </c>
      <c r="C5154" s="37" t="s">
        <v>2348</v>
      </c>
      <c r="D5154" s="37" t="s">
        <v>2349</v>
      </c>
    </row>
    <row r="5155" spans="1:4" ht="14.25">
      <c r="A5155" s="37">
        <v>38089</v>
      </c>
      <c r="B5155" s="37" t="s">
        <v>25770</v>
      </c>
      <c r="C5155" s="37" t="s">
        <v>2348</v>
      </c>
      <c r="D5155" s="37" t="s">
        <v>2349</v>
      </c>
    </row>
    <row r="5156" spans="1:4" ht="14.25">
      <c r="A5156" s="37">
        <v>38111</v>
      </c>
      <c r="B5156" s="37" t="s">
        <v>25771</v>
      </c>
      <c r="C5156" s="37" t="s">
        <v>2348</v>
      </c>
      <c r="D5156" s="37" t="s">
        <v>2349</v>
      </c>
    </row>
    <row r="5157" spans="1:4" ht="14.25">
      <c r="A5157" s="37">
        <v>38090</v>
      </c>
      <c r="B5157" s="37" t="s">
        <v>25772</v>
      </c>
      <c r="C5157" s="37" t="s">
        <v>2348</v>
      </c>
      <c r="D5157" s="37" t="s">
        <v>2349</v>
      </c>
    </row>
    <row r="5158" spans="1:4" ht="14.25">
      <c r="A5158" s="37">
        <v>13726</v>
      </c>
      <c r="B5158" s="37" t="s">
        <v>25773</v>
      </c>
      <c r="C5158" s="37" t="s">
        <v>2348</v>
      </c>
      <c r="D5158" s="37" t="s">
        <v>2351</v>
      </c>
    </row>
    <row r="5159" spans="1:4" ht="14.25">
      <c r="A5159" s="37">
        <v>38400</v>
      </c>
      <c r="B5159" s="37" t="s">
        <v>25774</v>
      </c>
      <c r="C5159" s="37" t="s">
        <v>2348</v>
      </c>
      <c r="D5159" s="37" t="s">
        <v>2349</v>
      </c>
    </row>
    <row r="5160" spans="1:4" ht="14.25">
      <c r="A5160" s="37">
        <v>12627</v>
      </c>
      <c r="B5160" s="37" t="s">
        <v>25775</v>
      </c>
      <c r="C5160" s="37" t="s">
        <v>2348</v>
      </c>
      <c r="D5160" s="37" t="s">
        <v>2351</v>
      </c>
    </row>
    <row r="5161" spans="1:4" ht="14.25">
      <c r="A5161" s="37">
        <v>39996</v>
      </c>
      <c r="B5161" s="37" t="s">
        <v>25776</v>
      </c>
      <c r="C5161" s="37" t="s">
        <v>2355</v>
      </c>
      <c r="D5161" s="37" t="s">
        <v>2349</v>
      </c>
    </row>
    <row r="5162" spans="1:4" ht="14.25">
      <c r="A5162" s="37">
        <v>10478</v>
      </c>
      <c r="B5162" s="37" t="s">
        <v>28165</v>
      </c>
      <c r="C5162" s="37" t="s">
        <v>2363</v>
      </c>
      <c r="D5162" s="37" t="s">
        <v>2353</v>
      </c>
    </row>
    <row r="5163" spans="1:4" ht="14.25">
      <c r="A5163" s="37">
        <v>10481</v>
      </c>
      <c r="B5163" s="37" t="s">
        <v>28166</v>
      </c>
      <c r="C5163" s="37" t="s">
        <v>2363</v>
      </c>
      <c r="D5163" s="37" t="s">
        <v>2349</v>
      </c>
    </row>
    <row r="5164" spans="1:4" ht="14.25">
      <c r="A5164" s="37">
        <v>10475</v>
      </c>
      <c r="B5164" s="37" t="s">
        <v>28167</v>
      </c>
      <c r="C5164" s="37" t="s">
        <v>2363</v>
      </c>
      <c r="D5164" s="37" t="s">
        <v>2349</v>
      </c>
    </row>
    <row r="5165" spans="1:4" ht="14.25">
      <c r="A5165" s="37">
        <v>4031</v>
      </c>
      <c r="B5165" s="37" t="s">
        <v>25777</v>
      </c>
      <c r="C5165" s="37" t="s">
        <v>2350</v>
      </c>
      <c r="D5165" s="37" t="s">
        <v>2349</v>
      </c>
    </row>
    <row r="5166" spans="1:4" ht="14.25">
      <c r="A5166" s="37">
        <v>4030</v>
      </c>
      <c r="B5166" s="37" t="s">
        <v>25778</v>
      </c>
      <c r="C5166" s="37" t="s">
        <v>2350</v>
      </c>
      <c r="D5166" s="37" t="s">
        <v>2349</v>
      </c>
    </row>
    <row r="5167" spans="1:4" ht="14.25">
      <c r="A5167" s="37">
        <v>39399</v>
      </c>
      <c r="B5167" s="37" t="s">
        <v>25779</v>
      </c>
      <c r="C5167" s="37" t="s">
        <v>2348</v>
      </c>
      <c r="D5167" s="37" t="s">
        <v>2351</v>
      </c>
    </row>
    <row r="5168" spans="1:4" ht="14.25">
      <c r="A5168" s="37">
        <v>39400</v>
      </c>
      <c r="B5168" s="37" t="s">
        <v>25780</v>
      </c>
      <c r="C5168" s="37" t="s">
        <v>2348</v>
      </c>
      <c r="D5168" s="37" t="s">
        <v>2351</v>
      </c>
    </row>
    <row r="5169" spans="1:4" ht="14.25">
      <c r="A5169" s="37">
        <v>39401</v>
      </c>
      <c r="B5169" s="37" t="s">
        <v>25781</v>
      </c>
      <c r="C5169" s="37" t="s">
        <v>2348</v>
      </c>
      <c r="D5169" s="37" t="s">
        <v>2351</v>
      </c>
    </row>
    <row r="5170" spans="1:4" ht="14.25">
      <c r="A5170" s="37">
        <v>11652</v>
      </c>
      <c r="B5170" s="37" t="s">
        <v>25782</v>
      </c>
      <c r="C5170" s="37" t="s">
        <v>2348</v>
      </c>
      <c r="D5170" s="37" t="s">
        <v>2351</v>
      </c>
    </row>
    <row r="5171" spans="1:4" ht="14.25">
      <c r="A5171" s="37">
        <v>13896</v>
      </c>
      <c r="B5171" s="37" t="s">
        <v>25783</v>
      </c>
      <c r="C5171" s="37" t="s">
        <v>2348</v>
      </c>
      <c r="D5171" s="37" t="s">
        <v>2351</v>
      </c>
    </row>
    <row r="5172" spans="1:4" ht="14.25">
      <c r="A5172" s="37">
        <v>13475</v>
      </c>
      <c r="B5172" s="37" t="s">
        <v>25784</v>
      </c>
      <c r="C5172" s="37" t="s">
        <v>2348</v>
      </c>
      <c r="D5172" s="37" t="s">
        <v>2351</v>
      </c>
    </row>
    <row r="5173" spans="1:4" ht="14.25">
      <c r="A5173" s="37">
        <v>44491</v>
      </c>
      <c r="B5173" s="37" t="s">
        <v>28168</v>
      </c>
      <c r="C5173" s="37" t="s">
        <v>2348</v>
      </c>
      <c r="D5173" s="37" t="s">
        <v>2351</v>
      </c>
    </row>
    <row r="5174" spans="1:4" ht="14.25">
      <c r="A5174" s="37">
        <v>44470</v>
      </c>
      <c r="B5174" s="37" t="s">
        <v>28169</v>
      </c>
      <c r="C5174" s="37" t="s">
        <v>2348</v>
      </c>
      <c r="D5174" s="37" t="s">
        <v>2351</v>
      </c>
    </row>
    <row r="5175" spans="1:4" ht="14.25">
      <c r="A5175" s="37">
        <v>13476</v>
      </c>
      <c r="B5175" s="37" t="s">
        <v>25785</v>
      </c>
      <c r="C5175" s="37" t="s">
        <v>2348</v>
      </c>
      <c r="D5175" s="37" t="s">
        <v>2351</v>
      </c>
    </row>
    <row r="5176" spans="1:4" ht="14.25">
      <c r="A5176" s="37">
        <v>10488</v>
      </c>
      <c r="B5176" s="37" t="s">
        <v>25786</v>
      </c>
      <c r="C5176" s="37" t="s">
        <v>2348</v>
      </c>
      <c r="D5176" s="37" t="s">
        <v>2351</v>
      </c>
    </row>
    <row r="5177" spans="1:4" ht="14.25">
      <c r="A5177" s="37">
        <v>13606</v>
      </c>
      <c r="B5177" s="37" t="s">
        <v>25787</v>
      </c>
      <c r="C5177" s="37" t="s">
        <v>2348</v>
      </c>
      <c r="D5177" s="37" t="s">
        <v>2351</v>
      </c>
    </row>
    <row r="5178" spans="1:4" ht="14.25">
      <c r="A5178" s="37">
        <v>10489</v>
      </c>
      <c r="B5178" s="37" t="s">
        <v>25788</v>
      </c>
      <c r="C5178" s="37" t="s">
        <v>2352</v>
      </c>
      <c r="D5178" s="37" t="s">
        <v>2349</v>
      </c>
    </row>
    <row r="5179" spans="1:4" ht="14.25">
      <c r="A5179" s="37">
        <v>41073</v>
      </c>
      <c r="B5179" s="37" t="s">
        <v>25789</v>
      </c>
      <c r="C5179" s="37" t="s">
        <v>2369</v>
      </c>
      <c r="D5179" s="37" t="s">
        <v>2349</v>
      </c>
    </row>
    <row r="5180" spans="1:4" ht="14.25">
      <c r="A5180" s="37">
        <v>34391</v>
      </c>
      <c r="B5180" s="37" t="s">
        <v>25790</v>
      </c>
      <c r="C5180" s="37" t="s">
        <v>2350</v>
      </c>
      <c r="D5180" s="37" t="s">
        <v>2349</v>
      </c>
    </row>
    <row r="5181" spans="1:4" ht="14.25">
      <c r="A5181" s="37">
        <v>10496</v>
      </c>
      <c r="B5181" s="37" t="s">
        <v>25791</v>
      </c>
      <c r="C5181" s="37" t="s">
        <v>2350</v>
      </c>
      <c r="D5181" s="37" t="s">
        <v>2349</v>
      </c>
    </row>
    <row r="5182" spans="1:4" ht="14.25">
      <c r="A5182" s="37">
        <v>10497</v>
      </c>
      <c r="B5182" s="37" t="s">
        <v>25792</v>
      </c>
      <c r="C5182" s="37" t="s">
        <v>2350</v>
      </c>
      <c r="D5182" s="37" t="s">
        <v>2349</v>
      </c>
    </row>
    <row r="5183" spans="1:4" ht="14.25">
      <c r="A5183" s="37">
        <v>10504</v>
      </c>
      <c r="B5183" s="37" t="s">
        <v>25793</v>
      </c>
      <c r="C5183" s="37" t="s">
        <v>2350</v>
      </c>
      <c r="D5183" s="37" t="s">
        <v>2349</v>
      </c>
    </row>
    <row r="5184" spans="1:4" ht="14.25">
      <c r="A5184" s="37">
        <v>34390</v>
      </c>
      <c r="B5184" s="37" t="s">
        <v>25794</v>
      </c>
      <c r="C5184" s="37" t="s">
        <v>2350</v>
      </c>
      <c r="D5184" s="37" t="s">
        <v>2349</v>
      </c>
    </row>
    <row r="5185" spans="1:4" ht="14.25">
      <c r="A5185" s="37">
        <v>34389</v>
      </c>
      <c r="B5185" s="37" t="s">
        <v>25795</v>
      </c>
      <c r="C5185" s="37" t="s">
        <v>2350</v>
      </c>
      <c r="D5185" s="37" t="s">
        <v>2349</v>
      </c>
    </row>
    <row r="5186" spans="1:4" ht="14.25">
      <c r="A5186" s="37">
        <v>34388</v>
      </c>
      <c r="B5186" s="37" t="s">
        <v>25796</v>
      </c>
      <c r="C5186" s="37" t="s">
        <v>2350</v>
      </c>
      <c r="D5186" s="37" t="s">
        <v>2349</v>
      </c>
    </row>
    <row r="5187" spans="1:4" ht="14.25">
      <c r="A5187" s="37">
        <v>34387</v>
      </c>
      <c r="B5187" s="37" t="s">
        <v>25797</v>
      </c>
      <c r="C5187" s="37" t="s">
        <v>2350</v>
      </c>
      <c r="D5187" s="37" t="s">
        <v>2349</v>
      </c>
    </row>
    <row r="5188" spans="1:4" ht="14.25">
      <c r="A5188" s="37">
        <v>11188</v>
      </c>
      <c r="B5188" s="37" t="s">
        <v>25798</v>
      </c>
      <c r="C5188" s="37" t="s">
        <v>2350</v>
      </c>
      <c r="D5188" s="37" t="s">
        <v>2349</v>
      </c>
    </row>
    <row r="5189" spans="1:4" ht="14.25">
      <c r="A5189" s="37">
        <v>11189</v>
      </c>
      <c r="B5189" s="37" t="s">
        <v>25799</v>
      </c>
      <c r="C5189" s="37" t="s">
        <v>2350</v>
      </c>
      <c r="D5189" s="37" t="s">
        <v>2349</v>
      </c>
    </row>
    <row r="5190" spans="1:4" ht="14.25">
      <c r="A5190" s="37">
        <v>21107</v>
      </c>
      <c r="B5190" s="37" t="s">
        <v>25800</v>
      </c>
      <c r="C5190" s="37" t="s">
        <v>2350</v>
      </c>
      <c r="D5190" s="37" t="s">
        <v>2349</v>
      </c>
    </row>
    <row r="5191" spans="1:4" ht="14.25">
      <c r="A5191" s="37">
        <v>34386</v>
      </c>
      <c r="B5191" s="37" t="s">
        <v>25801</v>
      </c>
      <c r="C5191" s="37" t="s">
        <v>2350</v>
      </c>
      <c r="D5191" s="37" t="s">
        <v>2349</v>
      </c>
    </row>
    <row r="5192" spans="1:4" ht="14.25">
      <c r="A5192" s="37">
        <v>10490</v>
      </c>
      <c r="B5192" s="37" t="s">
        <v>25802</v>
      </c>
      <c r="C5192" s="37" t="s">
        <v>2350</v>
      </c>
      <c r="D5192" s="37" t="s">
        <v>2353</v>
      </c>
    </row>
    <row r="5193" spans="1:4" ht="14.25">
      <c r="A5193" s="37">
        <v>10492</v>
      </c>
      <c r="B5193" s="37" t="s">
        <v>25803</v>
      </c>
      <c r="C5193" s="37" t="s">
        <v>2350</v>
      </c>
      <c r="D5193" s="37" t="s">
        <v>2349</v>
      </c>
    </row>
    <row r="5194" spans="1:4" ht="14.25">
      <c r="A5194" s="37">
        <v>10493</v>
      </c>
      <c r="B5194" s="37" t="s">
        <v>25804</v>
      </c>
      <c r="C5194" s="37" t="s">
        <v>2350</v>
      </c>
      <c r="D5194" s="37" t="s">
        <v>2349</v>
      </c>
    </row>
    <row r="5195" spans="1:4" ht="14.25">
      <c r="A5195" s="37">
        <v>10491</v>
      </c>
      <c r="B5195" s="37" t="s">
        <v>25805</v>
      </c>
      <c r="C5195" s="37" t="s">
        <v>2350</v>
      </c>
      <c r="D5195" s="37" t="s">
        <v>2349</v>
      </c>
    </row>
    <row r="5196" spans="1:4" ht="14.25">
      <c r="A5196" s="37">
        <v>34385</v>
      </c>
      <c r="B5196" s="37" t="s">
        <v>25806</v>
      </c>
      <c r="C5196" s="37" t="s">
        <v>2350</v>
      </c>
      <c r="D5196" s="37" t="s">
        <v>2349</v>
      </c>
    </row>
    <row r="5197" spans="1:4" ht="14.25">
      <c r="A5197" s="37">
        <v>10499</v>
      </c>
      <c r="B5197" s="37" t="s">
        <v>25807</v>
      </c>
      <c r="C5197" s="37" t="s">
        <v>2350</v>
      </c>
      <c r="D5197" s="37" t="s">
        <v>2349</v>
      </c>
    </row>
    <row r="5198" spans="1:4" ht="14.25">
      <c r="A5198" s="37">
        <v>34384</v>
      </c>
      <c r="B5198" s="37" t="s">
        <v>25808</v>
      </c>
      <c r="C5198" s="37" t="s">
        <v>2350</v>
      </c>
      <c r="D5198" s="37" t="s">
        <v>2349</v>
      </c>
    </row>
    <row r="5199" spans="1:4" ht="14.25">
      <c r="A5199" s="37">
        <v>11185</v>
      </c>
      <c r="B5199" s="37" t="s">
        <v>25809</v>
      </c>
      <c r="C5199" s="37" t="s">
        <v>2350</v>
      </c>
      <c r="D5199" s="37" t="s">
        <v>2349</v>
      </c>
    </row>
    <row r="5200" spans="1:4" ht="14.25">
      <c r="A5200" s="37">
        <v>10507</v>
      </c>
      <c r="B5200" s="37" t="s">
        <v>25810</v>
      </c>
      <c r="C5200" s="37" t="s">
        <v>2350</v>
      </c>
      <c r="D5200" s="37" t="s">
        <v>2349</v>
      </c>
    </row>
    <row r="5201" spans="1:4" ht="14.25">
      <c r="A5201" s="37">
        <v>10505</v>
      </c>
      <c r="B5201" s="37" t="s">
        <v>25811</v>
      </c>
      <c r="C5201" s="37" t="s">
        <v>2350</v>
      </c>
      <c r="D5201" s="37" t="s">
        <v>2349</v>
      </c>
    </row>
    <row r="5202" spans="1:4" ht="14.25">
      <c r="A5202" s="37">
        <v>10506</v>
      </c>
      <c r="B5202" s="37" t="s">
        <v>25812</v>
      </c>
      <c r="C5202" s="37" t="s">
        <v>2350</v>
      </c>
      <c r="D5202" s="37" t="s">
        <v>2349</v>
      </c>
    </row>
    <row r="5203" spans="1:4" ht="14.25">
      <c r="A5203" s="37">
        <v>5031</v>
      </c>
      <c r="B5203" s="37" t="s">
        <v>25813</v>
      </c>
      <c r="C5203" s="37" t="s">
        <v>2350</v>
      </c>
      <c r="D5203" s="37" t="s">
        <v>2353</v>
      </c>
    </row>
    <row r="5204" spans="1:4" ht="14.25">
      <c r="A5204" s="37">
        <v>10502</v>
      </c>
      <c r="B5204" s="37" t="s">
        <v>25814</v>
      </c>
      <c r="C5204" s="37" t="s">
        <v>2350</v>
      </c>
      <c r="D5204" s="37" t="s">
        <v>2349</v>
      </c>
    </row>
    <row r="5205" spans="1:4" ht="14.25">
      <c r="A5205" s="37">
        <v>10501</v>
      </c>
      <c r="B5205" s="37" t="s">
        <v>25815</v>
      </c>
      <c r="C5205" s="37" t="s">
        <v>2350</v>
      </c>
      <c r="D5205" s="37" t="s">
        <v>2349</v>
      </c>
    </row>
    <row r="5206" spans="1:4" ht="14.25">
      <c r="A5206" s="37">
        <v>10503</v>
      </c>
      <c r="B5206" s="37" t="s">
        <v>25816</v>
      </c>
      <c r="C5206" s="37" t="s">
        <v>2350</v>
      </c>
      <c r="D5206" s="37" t="s">
        <v>2349</v>
      </c>
    </row>
    <row r="5207" spans="1:4" ht="14.25">
      <c r="A5207" s="37">
        <v>4500</v>
      </c>
      <c r="B5207" s="37" t="s">
        <v>25817</v>
      </c>
      <c r="C5207" s="37" t="s">
        <v>2355</v>
      </c>
      <c r="D5207" s="37" t="s">
        <v>2349</v>
      </c>
    </row>
    <row r="5208" spans="1:4" ht="14.25">
      <c r="A5208" s="37">
        <v>4448</v>
      </c>
      <c r="B5208" s="37" t="s">
        <v>25818</v>
      </c>
      <c r="C5208" s="37" t="s">
        <v>2355</v>
      </c>
      <c r="D5208" s="37" t="s">
        <v>2349</v>
      </c>
    </row>
    <row r="5209" spans="1:4" ht="14.25">
      <c r="A5209" s="37">
        <v>20213</v>
      </c>
      <c r="B5209" s="37" t="s">
        <v>25819</v>
      </c>
      <c r="C5209" s="37" t="s">
        <v>2355</v>
      </c>
      <c r="D5209" s="37" t="s">
        <v>2349</v>
      </c>
    </row>
    <row r="5210" spans="1:4" ht="14.25">
      <c r="A5210" s="37">
        <v>20211</v>
      </c>
      <c r="B5210" s="37" t="s">
        <v>25820</v>
      </c>
      <c r="C5210" s="37" t="s">
        <v>2355</v>
      </c>
      <c r="D5210" s="37" t="s">
        <v>2349</v>
      </c>
    </row>
    <row r="5211" spans="1:4" ht="14.25">
      <c r="A5211" s="37">
        <v>40270</v>
      </c>
      <c r="B5211" s="37" t="s">
        <v>25821</v>
      </c>
      <c r="C5211" s="37" t="s">
        <v>2355</v>
      </c>
      <c r="D5211" s="37" t="s">
        <v>2351</v>
      </c>
    </row>
    <row r="5212" spans="1:4" ht="14.25">
      <c r="A5212" s="37">
        <v>4425</v>
      </c>
      <c r="B5212" s="37" t="s">
        <v>25822</v>
      </c>
      <c r="C5212" s="37" t="s">
        <v>2355</v>
      </c>
      <c r="D5212" s="37" t="s">
        <v>2349</v>
      </c>
    </row>
    <row r="5213" spans="1:4" ht="14.25">
      <c r="A5213" s="37">
        <v>4472</v>
      </c>
      <c r="B5213" s="37" t="s">
        <v>25823</v>
      </c>
      <c r="C5213" s="37" t="s">
        <v>2355</v>
      </c>
      <c r="D5213" s="37" t="s">
        <v>2349</v>
      </c>
    </row>
    <row r="5214" spans="1:4" ht="14.25">
      <c r="A5214" s="37">
        <v>35272</v>
      </c>
      <c r="B5214" s="37" t="s">
        <v>25824</v>
      </c>
      <c r="C5214" s="37" t="s">
        <v>2355</v>
      </c>
      <c r="D5214" s="37" t="s">
        <v>2349</v>
      </c>
    </row>
    <row r="5215" spans="1:4" ht="14.25">
      <c r="A5215" s="37">
        <v>4481</v>
      </c>
      <c r="B5215" s="37" t="s">
        <v>25825</v>
      </c>
      <c r="C5215" s="37" t="s">
        <v>2355</v>
      </c>
      <c r="D5215" s="37" t="s">
        <v>2349</v>
      </c>
    </row>
    <row r="5216" spans="1:4" ht="14.25">
      <c r="A5216" s="37">
        <v>34345</v>
      </c>
      <c r="B5216" s="37" t="s">
        <v>25826</v>
      </c>
      <c r="C5216" s="37" t="s">
        <v>2352</v>
      </c>
      <c r="D5216" s="37" t="s">
        <v>2349</v>
      </c>
    </row>
    <row r="5217" spans="1:4" ht="14.25">
      <c r="A5217" s="37">
        <v>41096</v>
      </c>
      <c r="B5217" s="37" t="s">
        <v>25827</v>
      </c>
      <c r="C5217" s="37" t="s">
        <v>2369</v>
      </c>
      <c r="D5217" s="37" t="s">
        <v>2349</v>
      </c>
    </row>
    <row r="5218" spans="1:4" ht="14.25">
      <c r="A5218" s="37">
        <v>41776</v>
      </c>
      <c r="B5218" s="37" t="s">
        <v>25828</v>
      </c>
      <c r="C5218" s="37" t="s">
        <v>2352</v>
      </c>
      <c r="D5218" s="37" t="s">
        <v>2349</v>
      </c>
    </row>
    <row r="5219" spans="1:4" ht="14.25">
      <c r="A5219" s="37" t="s">
        <v>2550</v>
      </c>
      <c r="B5219" s="37"/>
      <c r="C5219" s="37"/>
      <c r="D5219" s="37"/>
    </row>
    <row r="5220" spans="1:4" ht="14.25">
      <c r="A5220" s="37" t="s">
        <v>28170</v>
      </c>
      <c r="B5220" s="37"/>
      <c r="C5220" s="37"/>
      <c r="D5220" s="37"/>
    </row>
  </sheetData>
  <autoFilter ref="A3:D1417"/>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572"/>
  <sheetViews>
    <sheetView workbookViewId="0">
      <selection activeCell="B1" sqref="B1"/>
    </sheetView>
  </sheetViews>
  <sheetFormatPr defaultRowHeight="11.25"/>
  <cols>
    <col min="1" max="1" width="10.125" style="13" customWidth="1"/>
    <col min="2" max="2" width="36.625" style="13" bestFit="1" customWidth="1"/>
    <col min="3" max="3" width="7" style="13" bestFit="1" customWidth="1"/>
    <col min="4" max="4" width="13.25" style="13" bestFit="1" customWidth="1"/>
    <col min="5" max="5" width="8.75" style="29" bestFit="1" customWidth="1"/>
    <col min="6" max="16384" width="9" style="13"/>
  </cols>
  <sheetData>
    <row r="1" spans="1:5">
      <c r="A1" s="20" t="s">
        <v>2175</v>
      </c>
      <c r="B1" s="21">
        <v>43800</v>
      </c>
      <c r="E1" s="27"/>
    </row>
    <row r="2" spans="1:5" s="28" customFormat="1">
      <c r="A2" s="28">
        <v>1</v>
      </c>
      <c r="B2" s="28">
        <v>2</v>
      </c>
      <c r="C2" s="28">
        <v>3</v>
      </c>
      <c r="D2" s="28">
        <v>5</v>
      </c>
      <c r="E2" s="28">
        <v>5</v>
      </c>
    </row>
    <row r="3" spans="1:5">
      <c r="A3" s="13" t="s">
        <v>31</v>
      </c>
      <c r="B3" s="13" t="s">
        <v>1025</v>
      </c>
      <c r="C3" s="13" t="s">
        <v>5</v>
      </c>
      <c r="D3" s="13" t="s">
        <v>2342</v>
      </c>
    </row>
    <row r="4" spans="1:5">
      <c r="A4" s="13" t="s">
        <v>17356</v>
      </c>
    </row>
    <row r="5" spans="1:5">
      <c r="A5" s="13">
        <v>7010100010</v>
      </c>
      <c r="B5" s="13" t="s">
        <v>17357</v>
      </c>
      <c r="C5" s="13" t="s">
        <v>9</v>
      </c>
      <c r="D5" s="13" t="s">
        <v>17358</v>
      </c>
    </row>
    <row r="6" spans="1:5">
      <c r="A6" s="13">
        <v>7010100020</v>
      </c>
      <c r="B6" s="13" t="s">
        <v>17359</v>
      </c>
      <c r="C6" s="13" t="s">
        <v>9</v>
      </c>
      <c r="D6" s="13" t="s">
        <v>17360</v>
      </c>
    </row>
    <row r="7" spans="1:5">
      <c r="A7" s="13">
        <v>7010100030</v>
      </c>
      <c r="B7" s="13" t="s">
        <v>17361</v>
      </c>
      <c r="C7" s="13" t="s">
        <v>9</v>
      </c>
      <c r="D7" s="13" t="s">
        <v>17362</v>
      </c>
    </row>
    <row r="8" spans="1:5">
      <c r="A8" s="13">
        <v>7010100040</v>
      </c>
      <c r="B8" s="13" t="s">
        <v>17363</v>
      </c>
      <c r="C8" s="13" t="s">
        <v>9</v>
      </c>
      <c r="D8" s="13" t="s">
        <v>17364</v>
      </c>
    </row>
    <row r="9" spans="1:5">
      <c r="A9" s="13">
        <v>7010100050</v>
      </c>
      <c r="B9" s="13" t="s">
        <v>17365</v>
      </c>
      <c r="C9" s="13" t="s">
        <v>9</v>
      </c>
      <c r="D9" s="13" t="s">
        <v>17366</v>
      </c>
    </row>
    <row r="10" spans="1:5">
      <c r="A10" s="13">
        <v>7010100060</v>
      </c>
      <c r="B10" s="13" t="s">
        <v>17367</v>
      </c>
      <c r="C10" s="13" t="s">
        <v>9</v>
      </c>
      <c r="D10" s="13" t="s">
        <v>17368</v>
      </c>
    </row>
    <row r="11" spans="1:5">
      <c r="A11" s="13">
        <v>7010100070</v>
      </c>
      <c r="B11" s="13" t="s">
        <v>17369</v>
      </c>
      <c r="C11" s="13" t="s">
        <v>7</v>
      </c>
      <c r="D11" s="13" t="s">
        <v>17370</v>
      </c>
    </row>
    <row r="12" spans="1:5">
      <c r="A12" s="13">
        <v>7010100080</v>
      </c>
      <c r="B12" s="13" t="s">
        <v>17371</v>
      </c>
      <c r="C12" s="13" t="s">
        <v>7</v>
      </c>
      <c r="D12" s="13" t="s">
        <v>2537</v>
      </c>
    </row>
    <row r="13" spans="1:5">
      <c r="A13" s="13">
        <v>7010100090</v>
      </c>
      <c r="B13" s="13" t="s">
        <v>17372</v>
      </c>
      <c r="C13" s="13" t="s">
        <v>9</v>
      </c>
      <c r="D13" s="13" t="s">
        <v>2548</v>
      </c>
    </row>
    <row r="14" spans="1:5">
      <c r="A14" s="13">
        <v>7010100100</v>
      </c>
      <c r="B14" s="13" t="s">
        <v>17373</v>
      </c>
      <c r="C14" s="13" t="s">
        <v>6</v>
      </c>
      <c r="D14" s="13" t="s">
        <v>17374</v>
      </c>
    </row>
    <row r="15" spans="1:5">
      <c r="A15" s="13">
        <v>7010100110</v>
      </c>
      <c r="B15" s="13" t="s">
        <v>17375</v>
      </c>
      <c r="C15" s="13" t="s">
        <v>9</v>
      </c>
      <c r="D15" s="13" t="s">
        <v>17376</v>
      </c>
    </row>
    <row r="16" spans="1:5">
      <c r="A16" s="13">
        <v>7010100120</v>
      </c>
      <c r="B16" s="13" t="s">
        <v>17377</v>
      </c>
      <c r="C16" s="13" t="s">
        <v>7</v>
      </c>
      <c r="D16" s="13" t="s">
        <v>17378</v>
      </c>
    </row>
    <row r="17" spans="1:4">
      <c r="A17" s="13">
        <v>7010100130</v>
      </c>
      <c r="B17" s="13" t="s">
        <v>17379</v>
      </c>
      <c r="C17" s="13" t="s">
        <v>7</v>
      </c>
      <c r="D17" s="13" t="s">
        <v>17380</v>
      </c>
    </row>
    <row r="18" spans="1:4">
      <c r="A18" s="13">
        <v>7010100140</v>
      </c>
      <c r="B18" s="13" t="s">
        <v>17381</v>
      </c>
      <c r="C18" s="13" t="s">
        <v>7</v>
      </c>
      <c r="D18" s="13" t="s">
        <v>17382</v>
      </c>
    </row>
    <row r="19" spans="1:4">
      <c r="A19" s="13">
        <v>7010100150</v>
      </c>
      <c r="B19" s="13" t="s">
        <v>17383</v>
      </c>
      <c r="C19" s="13" t="s">
        <v>17384</v>
      </c>
      <c r="D19" s="13" t="s">
        <v>2491</v>
      </c>
    </row>
    <row r="20" spans="1:4">
      <c r="A20" s="13">
        <v>7010100160</v>
      </c>
      <c r="B20" s="13" t="s">
        <v>17385</v>
      </c>
      <c r="C20" s="13" t="s">
        <v>17384</v>
      </c>
      <c r="D20" s="13" t="s">
        <v>2491</v>
      </c>
    </row>
    <row r="21" spans="1:4">
      <c r="A21" s="13">
        <v>7010100170</v>
      </c>
      <c r="B21" s="13" t="s">
        <v>17386</v>
      </c>
      <c r="C21" s="13" t="s">
        <v>17384</v>
      </c>
      <c r="D21" s="13" t="s">
        <v>2492</v>
      </c>
    </row>
    <row r="22" spans="1:4">
      <c r="A22" s="13">
        <v>7010100180</v>
      </c>
      <c r="B22" s="13" t="s">
        <v>17387</v>
      </c>
      <c r="C22" s="13" t="s">
        <v>17384</v>
      </c>
      <c r="D22" s="13" t="s">
        <v>2493</v>
      </c>
    </row>
    <row r="23" spans="1:4">
      <c r="A23" s="13">
        <v>7010100190</v>
      </c>
      <c r="B23" s="13" t="s">
        <v>17388</v>
      </c>
      <c r="C23" s="13" t="s">
        <v>7</v>
      </c>
      <c r="D23" s="13" t="s">
        <v>17389</v>
      </c>
    </row>
    <row r="24" spans="1:4">
      <c r="A24" s="13">
        <v>7010100200</v>
      </c>
      <c r="B24" s="13" t="s">
        <v>17390</v>
      </c>
      <c r="C24" s="13" t="s">
        <v>7</v>
      </c>
      <c r="D24" s="13" t="s">
        <v>17389</v>
      </c>
    </row>
    <row r="25" spans="1:4">
      <c r="A25" s="13">
        <v>7010100210</v>
      </c>
      <c r="B25" s="13" t="s">
        <v>17391</v>
      </c>
      <c r="C25" s="13" t="s">
        <v>17384</v>
      </c>
      <c r="D25" s="13" t="s">
        <v>17392</v>
      </c>
    </row>
    <row r="26" spans="1:4">
      <c r="A26" s="13">
        <v>7010100220</v>
      </c>
      <c r="B26" s="13" t="s">
        <v>17393</v>
      </c>
      <c r="C26" s="13" t="s">
        <v>17384</v>
      </c>
      <c r="D26" s="13" t="s">
        <v>17394</v>
      </c>
    </row>
    <row r="27" spans="1:4">
      <c r="A27" s="13">
        <v>7010100230</v>
      </c>
      <c r="B27" s="13" t="s">
        <v>17395</v>
      </c>
      <c r="C27" s="13" t="s">
        <v>17396</v>
      </c>
      <c r="D27" s="13" t="s">
        <v>3606</v>
      </c>
    </row>
    <row r="28" spans="1:4">
      <c r="A28" s="13">
        <v>7010100240</v>
      </c>
      <c r="B28" s="13" t="s">
        <v>17397</v>
      </c>
      <c r="C28" s="13" t="s">
        <v>17396</v>
      </c>
      <c r="D28" s="13" t="s">
        <v>2391</v>
      </c>
    </row>
    <row r="29" spans="1:4">
      <c r="A29" s="13">
        <v>7010100250</v>
      </c>
      <c r="B29" s="13" t="s">
        <v>17398</v>
      </c>
      <c r="C29" s="13" t="s">
        <v>17396</v>
      </c>
      <c r="D29" s="13" t="s">
        <v>2402</v>
      </c>
    </row>
    <row r="30" spans="1:4">
      <c r="A30" s="13">
        <v>7010100260</v>
      </c>
      <c r="B30" s="13" t="s">
        <v>17399</v>
      </c>
      <c r="C30" s="13" t="s">
        <v>17400</v>
      </c>
      <c r="D30" s="13" t="s">
        <v>17401</v>
      </c>
    </row>
    <row r="31" spans="1:4">
      <c r="A31" s="13">
        <v>7010100270</v>
      </c>
      <c r="B31" s="13" t="s">
        <v>17399</v>
      </c>
      <c r="C31" s="13" t="s">
        <v>6925</v>
      </c>
      <c r="D31" s="13" t="s">
        <v>17402</v>
      </c>
    </row>
    <row r="32" spans="1:4">
      <c r="A32" s="13">
        <v>7010100280</v>
      </c>
      <c r="B32" s="13" t="s">
        <v>17403</v>
      </c>
      <c r="C32" s="13" t="s">
        <v>17400</v>
      </c>
      <c r="D32" s="13" t="s">
        <v>17404</v>
      </c>
    </row>
    <row r="33" spans="1:4">
      <c r="A33" s="13">
        <v>7010100290</v>
      </c>
      <c r="B33" s="13" t="s">
        <v>17403</v>
      </c>
      <c r="C33" s="13" t="s">
        <v>6925</v>
      </c>
      <c r="D33" s="13" t="s">
        <v>17405</v>
      </c>
    </row>
    <row r="34" spans="1:4">
      <c r="A34" s="13">
        <v>7010100300</v>
      </c>
      <c r="B34" s="13" t="s">
        <v>17406</v>
      </c>
      <c r="C34" s="13" t="s">
        <v>17400</v>
      </c>
      <c r="D34" s="13" t="s">
        <v>17407</v>
      </c>
    </row>
    <row r="35" spans="1:4">
      <c r="A35" s="13">
        <v>7010100310</v>
      </c>
      <c r="B35" s="13" t="s">
        <v>17406</v>
      </c>
      <c r="C35" s="13" t="s">
        <v>6925</v>
      </c>
      <c r="D35" s="13" t="s">
        <v>17408</v>
      </c>
    </row>
    <row r="36" spans="1:4">
      <c r="A36" s="13">
        <v>7010100320</v>
      </c>
      <c r="B36" s="13" t="s">
        <v>17409</v>
      </c>
      <c r="C36" s="13" t="s">
        <v>17400</v>
      </c>
      <c r="D36" s="13" t="s">
        <v>17410</v>
      </c>
    </row>
    <row r="37" spans="1:4">
      <c r="A37" s="13">
        <v>7010100330</v>
      </c>
      <c r="B37" s="13" t="s">
        <v>17409</v>
      </c>
      <c r="C37" s="13" t="s">
        <v>6925</v>
      </c>
      <c r="D37" s="13" t="s">
        <v>17411</v>
      </c>
    </row>
    <row r="38" spans="1:4">
      <c r="A38" s="13">
        <v>7010100340</v>
      </c>
      <c r="B38" s="13" t="s">
        <v>17412</v>
      </c>
      <c r="C38" s="13" t="s">
        <v>7</v>
      </c>
      <c r="D38" s="13" t="s">
        <v>17413</v>
      </c>
    </row>
    <row r="39" spans="1:4">
      <c r="A39" s="13">
        <v>7010100350</v>
      </c>
      <c r="B39" s="13" t="s">
        <v>17414</v>
      </c>
      <c r="C39" s="13" t="s">
        <v>17415</v>
      </c>
      <c r="D39" s="13" t="s">
        <v>2403</v>
      </c>
    </row>
    <row r="40" spans="1:4">
      <c r="A40" s="13" t="s">
        <v>17416</v>
      </c>
    </row>
    <row r="41" spans="1:4">
      <c r="A41" s="13">
        <v>7020100010</v>
      </c>
      <c r="B41" s="13" t="s">
        <v>17417</v>
      </c>
      <c r="C41" s="13" t="s">
        <v>6</v>
      </c>
      <c r="D41" s="13" t="s">
        <v>2808</v>
      </c>
    </row>
    <row r="42" spans="1:4">
      <c r="A42" s="13">
        <v>7020100020</v>
      </c>
      <c r="B42" s="13" t="s">
        <v>17418</v>
      </c>
      <c r="C42" s="13" t="s">
        <v>7</v>
      </c>
      <c r="D42" s="13" t="s">
        <v>17419</v>
      </c>
    </row>
    <row r="43" spans="1:4">
      <c r="A43" s="13">
        <v>7020100030</v>
      </c>
      <c r="B43" s="13" t="s">
        <v>17420</v>
      </c>
      <c r="C43" s="13" t="s">
        <v>6</v>
      </c>
      <c r="D43" s="13" t="s">
        <v>2375</v>
      </c>
    </row>
    <row r="44" spans="1:4">
      <c r="A44" s="13">
        <v>7020100040</v>
      </c>
      <c r="B44" s="13" t="s">
        <v>17421</v>
      </c>
      <c r="C44" s="13" t="s">
        <v>6</v>
      </c>
      <c r="D44" s="13" t="s">
        <v>2357</v>
      </c>
    </row>
    <row r="45" spans="1:4">
      <c r="A45" s="13">
        <v>7020100050</v>
      </c>
      <c r="B45" s="13" t="s">
        <v>17422</v>
      </c>
      <c r="C45" s="13" t="s">
        <v>6</v>
      </c>
      <c r="D45" s="13" t="s">
        <v>2362</v>
      </c>
    </row>
    <row r="46" spans="1:4">
      <c r="A46" s="13">
        <v>7020100060</v>
      </c>
      <c r="B46" s="13" t="s">
        <v>17423</v>
      </c>
      <c r="C46" s="13" t="s">
        <v>6</v>
      </c>
      <c r="D46" s="13" t="s">
        <v>2357</v>
      </c>
    </row>
    <row r="47" spans="1:4">
      <c r="A47" s="13">
        <v>7020100070</v>
      </c>
      <c r="B47" s="13" t="s">
        <v>17424</v>
      </c>
      <c r="C47" s="13" t="s">
        <v>6</v>
      </c>
      <c r="D47" s="13" t="s">
        <v>2494</v>
      </c>
    </row>
    <row r="48" spans="1:4">
      <c r="A48" s="13">
        <v>7020100080</v>
      </c>
      <c r="B48" s="13" t="s">
        <v>17425</v>
      </c>
      <c r="C48" s="13" t="s">
        <v>6</v>
      </c>
      <c r="D48" s="13" t="s">
        <v>2389</v>
      </c>
    </row>
    <row r="49" spans="1:4">
      <c r="A49" s="13">
        <v>7020100090</v>
      </c>
      <c r="B49" s="13" t="s">
        <v>17426</v>
      </c>
      <c r="C49" s="13" t="s">
        <v>9</v>
      </c>
      <c r="D49" s="13" t="s">
        <v>17427</v>
      </c>
    </row>
    <row r="50" spans="1:4">
      <c r="A50" s="13">
        <v>7020100100</v>
      </c>
      <c r="B50" s="13" t="s">
        <v>17428</v>
      </c>
      <c r="C50" s="13" t="s">
        <v>9</v>
      </c>
      <c r="D50" s="13" t="s">
        <v>17429</v>
      </c>
    </row>
    <row r="51" spans="1:4">
      <c r="A51" s="13">
        <v>7020100110</v>
      </c>
      <c r="B51" s="13" t="s">
        <v>17430</v>
      </c>
      <c r="C51" s="13" t="s">
        <v>9</v>
      </c>
      <c r="D51" s="13" t="s">
        <v>2478</v>
      </c>
    </row>
    <row r="54" spans="1:4">
      <c r="D54" s="27"/>
    </row>
    <row r="55" spans="1:4">
      <c r="D55" s="27"/>
    </row>
    <row r="56" spans="1:4">
      <c r="A56" s="13">
        <v>7020100120</v>
      </c>
      <c r="B56" s="13" t="s">
        <v>17431</v>
      </c>
      <c r="C56" s="13" t="s">
        <v>17384</v>
      </c>
      <c r="D56" s="13" t="s">
        <v>17432</v>
      </c>
    </row>
    <row r="57" spans="1:4">
      <c r="A57" s="13">
        <v>7020100130</v>
      </c>
      <c r="B57" s="13" t="s">
        <v>17433</v>
      </c>
      <c r="C57" s="13" t="s">
        <v>32</v>
      </c>
      <c r="D57" s="13" t="s">
        <v>17434</v>
      </c>
    </row>
    <row r="58" spans="1:4">
      <c r="A58" s="13">
        <v>7020100140</v>
      </c>
      <c r="B58" s="13" t="s">
        <v>17435</v>
      </c>
      <c r="C58" s="13" t="s">
        <v>7</v>
      </c>
      <c r="D58" s="13" t="s">
        <v>17436</v>
      </c>
    </row>
    <row r="59" spans="1:4">
      <c r="A59" s="13">
        <v>7020100150</v>
      </c>
      <c r="B59" s="13" t="s">
        <v>17437</v>
      </c>
      <c r="C59" s="13" t="s">
        <v>7</v>
      </c>
      <c r="D59" s="13" t="s">
        <v>17438</v>
      </c>
    </row>
    <row r="60" spans="1:4">
      <c r="A60" s="13">
        <v>7020100160</v>
      </c>
      <c r="B60" s="13" t="s">
        <v>17439</v>
      </c>
      <c r="C60" s="13" t="s">
        <v>6</v>
      </c>
      <c r="D60" s="13" t="s">
        <v>2378</v>
      </c>
    </row>
    <row r="61" spans="1:4">
      <c r="A61" s="13" t="s">
        <v>17440</v>
      </c>
    </row>
    <row r="62" spans="1:4">
      <c r="A62" s="13">
        <v>7030100010</v>
      </c>
      <c r="B62" s="13" t="s">
        <v>17441</v>
      </c>
      <c r="C62" s="13" t="s">
        <v>6</v>
      </c>
      <c r="D62" s="13" t="s">
        <v>4445</v>
      </c>
    </row>
    <row r="63" spans="1:4">
      <c r="A63" s="13">
        <v>7030100020</v>
      </c>
      <c r="B63" s="13" t="s">
        <v>17442</v>
      </c>
      <c r="C63" s="13" t="s">
        <v>9</v>
      </c>
      <c r="D63" s="27" t="s">
        <v>2385</v>
      </c>
    </row>
    <row r="64" spans="1:4">
      <c r="A64" s="13">
        <v>7030100030</v>
      </c>
      <c r="B64" s="13" t="s">
        <v>17443</v>
      </c>
      <c r="C64" s="13" t="s">
        <v>6</v>
      </c>
      <c r="D64" s="27" t="s">
        <v>2539</v>
      </c>
    </row>
    <row r="65" spans="1:4">
      <c r="A65" s="13">
        <v>7030100040</v>
      </c>
      <c r="B65" s="13" t="s">
        <v>17444</v>
      </c>
      <c r="C65" s="13" t="s">
        <v>9</v>
      </c>
      <c r="D65" s="13" t="s">
        <v>17445</v>
      </c>
    </row>
    <row r="66" spans="1:4">
      <c r="A66" s="13">
        <v>7030100050</v>
      </c>
      <c r="B66" s="13" t="s">
        <v>17446</v>
      </c>
      <c r="C66" s="13" t="s">
        <v>8</v>
      </c>
      <c r="D66" s="13" t="s">
        <v>2413</v>
      </c>
    </row>
    <row r="67" spans="1:4">
      <c r="A67" s="13">
        <v>7030100060</v>
      </c>
      <c r="B67" s="13" t="s">
        <v>17447</v>
      </c>
      <c r="C67" s="13" t="s">
        <v>9</v>
      </c>
      <c r="D67" s="13" t="s">
        <v>2504</v>
      </c>
    </row>
    <row r="68" spans="1:4">
      <c r="A68" s="13">
        <v>7030100070</v>
      </c>
      <c r="B68" s="13" t="s">
        <v>17448</v>
      </c>
      <c r="C68" s="13" t="s">
        <v>9</v>
      </c>
      <c r="D68" s="13" t="s">
        <v>2366</v>
      </c>
    </row>
    <row r="69" spans="1:4">
      <c r="A69" s="13">
        <v>7030100080</v>
      </c>
      <c r="B69" s="13" t="s">
        <v>17449</v>
      </c>
      <c r="C69" s="13" t="s">
        <v>7</v>
      </c>
      <c r="D69" s="13" t="s">
        <v>17450</v>
      </c>
    </row>
    <row r="70" spans="1:4">
      <c r="A70" s="13">
        <v>7030100090</v>
      </c>
      <c r="B70" s="13" t="s">
        <v>17451</v>
      </c>
      <c r="C70" s="13" t="s">
        <v>7</v>
      </c>
      <c r="D70" s="13" t="s">
        <v>17452</v>
      </c>
    </row>
    <row r="71" spans="1:4">
      <c r="A71" s="13">
        <v>7030100100</v>
      </c>
      <c r="B71" s="13" t="s">
        <v>17453</v>
      </c>
      <c r="C71" s="13" t="s">
        <v>17384</v>
      </c>
      <c r="D71" s="13" t="s">
        <v>2463</v>
      </c>
    </row>
    <row r="72" spans="1:4">
      <c r="A72" s="13">
        <v>7030100110</v>
      </c>
      <c r="B72" s="13" t="s">
        <v>17454</v>
      </c>
      <c r="C72" s="13" t="s">
        <v>7</v>
      </c>
      <c r="D72" s="13" t="s">
        <v>2489</v>
      </c>
    </row>
    <row r="73" spans="1:4">
      <c r="A73" s="13">
        <v>7030100120</v>
      </c>
      <c r="B73" s="13" t="s">
        <v>17455</v>
      </c>
      <c r="C73" s="13" t="s">
        <v>9</v>
      </c>
      <c r="D73" s="13" t="s">
        <v>2454</v>
      </c>
    </row>
    <row r="74" spans="1:4">
      <c r="A74" s="13">
        <v>7030100130</v>
      </c>
      <c r="B74" s="13" t="s">
        <v>17456</v>
      </c>
      <c r="C74" s="13" t="s">
        <v>8</v>
      </c>
      <c r="D74" s="13" t="s">
        <v>2396</v>
      </c>
    </row>
    <row r="75" spans="1:4">
      <c r="A75" s="13">
        <v>7030100140</v>
      </c>
      <c r="B75" s="13" t="s">
        <v>17457</v>
      </c>
      <c r="C75" s="13" t="s">
        <v>8</v>
      </c>
      <c r="D75" s="13" t="s">
        <v>2361</v>
      </c>
    </row>
    <row r="76" spans="1:4">
      <c r="A76" s="13">
        <v>7030100150</v>
      </c>
      <c r="B76" s="13" t="s">
        <v>17458</v>
      </c>
      <c r="C76" s="13" t="s">
        <v>17459</v>
      </c>
      <c r="D76" s="13" t="s">
        <v>17460</v>
      </c>
    </row>
    <row r="77" spans="1:4">
      <c r="A77" s="13">
        <v>7030100160</v>
      </c>
      <c r="B77" s="13" t="s">
        <v>17461</v>
      </c>
      <c r="C77" s="13" t="s">
        <v>7</v>
      </c>
      <c r="D77" s="13" t="s">
        <v>17462</v>
      </c>
    </row>
    <row r="78" spans="1:4">
      <c r="A78" s="13">
        <v>7030100170</v>
      </c>
      <c r="B78" s="13" t="s">
        <v>17463</v>
      </c>
      <c r="C78" s="13" t="s">
        <v>7</v>
      </c>
      <c r="D78" s="13" t="s">
        <v>17464</v>
      </c>
    </row>
    <row r="79" spans="1:4">
      <c r="A79" s="13">
        <v>7030100180</v>
      </c>
      <c r="B79" s="13" t="s">
        <v>17465</v>
      </c>
      <c r="C79" s="13" t="s">
        <v>9</v>
      </c>
      <c r="D79" s="13" t="s">
        <v>2473</v>
      </c>
    </row>
    <row r="80" spans="1:4">
      <c r="A80" s="13">
        <v>7030100190</v>
      </c>
      <c r="B80" s="13" t="s">
        <v>17466</v>
      </c>
      <c r="C80" s="13" t="s">
        <v>9</v>
      </c>
      <c r="D80" s="13" t="s">
        <v>2516</v>
      </c>
    </row>
    <row r="81" spans="1:4">
      <c r="A81" s="13">
        <v>7030100200</v>
      </c>
      <c r="B81" s="13" t="s">
        <v>17467</v>
      </c>
      <c r="C81" s="13" t="s">
        <v>9</v>
      </c>
      <c r="D81" s="13" t="s">
        <v>5193</v>
      </c>
    </row>
    <row r="82" spans="1:4">
      <c r="A82" s="13">
        <v>7030100210</v>
      </c>
      <c r="B82" s="13" t="s">
        <v>17468</v>
      </c>
      <c r="C82" s="13" t="s">
        <v>9</v>
      </c>
      <c r="D82" s="13" t="s">
        <v>17469</v>
      </c>
    </row>
    <row r="83" spans="1:4">
      <c r="A83" s="13">
        <v>7030100220</v>
      </c>
      <c r="B83" s="13" t="s">
        <v>17470</v>
      </c>
      <c r="C83" s="13" t="s">
        <v>9</v>
      </c>
      <c r="D83" s="13" t="s">
        <v>3178</v>
      </c>
    </row>
    <row r="84" spans="1:4">
      <c r="A84" s="13">
        <v>7030100230</v>
      </c>
      <c r="B84" s="13" t="s">
        <v>17471</v>
      </c>
      <c r="C84" s="13" t="s">
        <v>9</v>
      </c>
      <c r="D84" s="13" t="s">
        <v>3300</v>
      </c>
    </row>
    <row r="85" spans="1:4">
      <c r="A85" s="13">
        <v>7030100240</v>
      </c>
      <c r="B85" s="13" t="s">
        <v>17472</v>
      </c>
      <c r="C85" s="13" t="s">
        <v>8</v>
      </c>
      <c r="D85" s="13" t="s">
        <v>2426</v>
      </c>
    </row>
    <row r="86" spans="1:4">
      <c r="A86" s="13">
        <v>7030100250</v>
      </c>
      <c r="B86" s="13" t="s">
        <v>17473</v>
      </c>
      <c r="C86" s="13" t="s">
        <v>9</v>
      </c>
      <c r="D86" s="13" t="s">
        <v>2481</v>
      </c>
    </row>
    <row r="87" spans="1:4">
      <c r="A87" s="13">
        <v>7030100260</v>
      </c>
      <c r="B87" s="13" t="s">
        <v>17474</v>
      </c>
      <c r="C87" s="13" t="s">
        <v>6</v>
      </c>
      <c r="D87" s="13" t="s">
        <v>2482</v>
      </c>
    </row>
    <row r="88" spans="1:4">
      <c r="A88" s="13">
        <v>7030100270</v>
      </c>
      <c r="B88" s="13" t="s">
        <v>17475</v>
      </c>
      <c r="C88" s="13" t="s">
        <v>6</v>
      </c>
      <c r="D88" s="13" t="s">
        <v>2515</v>
      </c>
    </row>
    <row r="89" spans="1:4">
      <c r="A89" s="13">
        <v>7030100280</v>
      </c>
      <c r="B89" s="13" t="s">
        <v>17476</v>
      </c>
      <c r="C89" s="13" t="s">
        <v>9</v>
      </c>
      <c r="D89" s="13" t="s">
        <v>6255</v>
      </c>
    </row>
    <row r="90" spans="1:4">
      <c r="A90" s="13">
        <v>7030100291</v>
      </c>
      <c r="B90" s="13" t="s">
        <v>17477</v>
      </c>
      <c r="C90" s="13" t="s">
        <v>9</v>
      </c>
      <c r="D90" s="13" t="s">
        <v>2469</v>
      </c>
    </row>
    <row r="91" spans="1:4">
      <c r="A91" s="13">
        <v>7030100300</v>
      </c>
      <c r="B91" s="13" t="s">
        <v>17478</v>
      </c>
      <c r="C91" s="13" t="s">
        <v>7</v>
      </c>
      <c r="D91" s="13" t="s">
        <v>17479</v>
      </c>
    </row>
    <row r="92" spans="1:4">
      <c r="A92" s="13">
        <v>7030100310</v>
      </c>
      <c r="B92" s="13" t="s">
        <v>17480</v>
      </c>
      <c r="C92" s="13" t="s">
        <v>7</v>
      </c>
      <c r="D92" s="13" t="s">
        <v>17479</v>
      </c>
    </row>
    <row r="93" spans="1:4">
      <c r="A93" s="13">
        <v>7030100320</v>
      </c>
      <c r="B93" s="13" t="s">
        <v>17481</v>
      </c>
      <c r="C93" s="13" t="s">
        <v>7</v>
      </c>
      <c r="D93" s="13" t="s">
        <v>2420</v>
      </c>
    </row>
    <row r="94" spans="1:4">
      <c r="A94" s="13">
        <v>7030100330</v>
      </c>
      <c r="B94" s="13" t="s">
        <v>17482</v>
      </c>
      <c r="C94" s="13" t="s">
        <v>6</v>
      </c>
      <c r="D94" s="13" t="s">
        <v>6203</v>
      </c>
    </row>
    <row r="95" spans="1:4">
      <c r="A95" s="13">
        <v>7030100340</v>
      </c>
      <c r="B95" s="13" t="s">
        <v>17483</v>
      </c>
      <c r="C95" s="13" t="s">
        <v>6</v>
      </c>
      <c r="D95" s="13" t="s">
        <v>4457</v>
      </c>
    </row>
    <row r="96" spans="1:4">
      <c r="A96" s="13">
        <v>7030100350</v>
      </c>
      <c r="B96" s="13" t="s">
        <v>17484</v>
      </c>
      <c r="C96" s="13" t="s">
        <v>17400</v>
      </c>
      <c r="D96" s="13" t="s">
        <v>17485</v>
      </c>
    </row>
    <row r="97" spans="1:4">
      <c r="A97" s="13">
        <v>7030100360</v>
      </c>
      <c r="B97" s="13" t="s">
        <v>17486</v>
      </c>
      <c r="C97" s="13" t="s">
        <v>12</v>
      </c>
      <c r="D97" s="13" t="s">
        <v>2423</v>
      </c>
    </row>
    <row r="98" spans="1:4">
      <c r="A98" s="13">
        <v>7030100370</v>
      </c>
      <c r="B98" s="13" t="s">
        <v>17487</v>
      </c>
      <c r="C98" s="13" t="s">
        <v>9</v>
      </c>
      <c r="D98" s="13" t="s">
        <v>2374</v>
      </c>
    </row>
    <row r="99" spans="1:4">
      <c r="A99" s="13">
        <v>7030100380</v>
      </c>
      <c r="B99" s="13" t="s">
        <v>17488</v>
      </c>
      <c r="C99" s="13" t="s">
        <v>9</v>
      </c>
      <c r="D99" s="13" t="s">
        <v>2528</v>
      </c>
    </row>
    <row r="100" spans="1:4">
      <c r="A100" s="13">
        <v>7030100390</v>
      </c>
      <c r="B100" s="13" t="s">
        <v>17489</v>
      </c>
      <c r="C100" s="13" t="s">
        <v>9</v>
      </c>
      <c r="D100" s="13" t="s">
        <v>2392</v>
      </c>
    </row>
    <row r="101" spans="1:4">
      <c r="A101" s="13">
        <v>7030100400</v>
      </c>
      <c r="B101" s="13" t="s">
        <v>17490</v>
      </c>
      <c r="C101" s="13" t="s">
        <v>12</v>
      </c>
      <c r="D101" s="13" t="s">
        <v>2354</v>
      </c>
    </row>
    <row r="102" spans="1:4">
      <c r="A102" s="13">
        <v>7030100410</v>
      </c>
      <c r="B102" s="13" t="s">
        <v>17491</v>
      </c>
      <c r="C102" s="13" t="s">
        <v>9</v>
      </c>
      <c r="D102" s="13" t="s">
        <v>2473</v>
      </c>
    </row>
    <row r="103" spans="1:4">
      <c r="A103" s="13">
        <v>7030100420</v>
      </c>
      <c r="B103" s="13" t="s">
        <v>17492</v>
      </c>
      <c r="C103" s="13" t="s">
        <v>9</v>
      </c>
      <c r="D103" s="13" t="s">
        <v>2441</v>
      </c>
    </row>
    <row r="108" spans="1:4">
      <c r="A108" s="13">
        <v>7030100430</v>
      </c>
      <c r="B108" s="13" t="s">
        <v>17493</v>
      </c>
      <c r="C108" s="13" t="s">
        <v>32</v>
      </c>
      <c r="D108" s="13" t="s">
        <v>2457</v>
      </c>
    </row>
    <row r="109" spans="1:4">
      <c r="A109" s="13">
        <v>7030100440</v>
      </c>
      <c r="B109" s="13" t="s">
        <v>17494</v>
      </c>
      <c r="C109" s="13" t="s">
        <v>6</v>
      </c>
      <c r="D109" s="13" t="s">
        <v>2392</v>
      </c>
    </row>
    <row r="110" spans="1:4">
      <c r="A110" s="13">
        <v>7030100450</v>
      </c>
      <c r="B110" s="13" t="s">
        <v>17495</v>
      </c>
      <c r="C110" s="13" t="s">
        <v>32</v>
      </c>
      <c r="D110" s="13" t="s">
        <v>2505</v>
      </c>
    </row>
    <row r="111" spans="1:4">
      <c r="A111" s="13">
        <v>7030100460</v>
      </c>
      <c r="B111" s="13" t="s">
        <v>17496</v>
      </c>
      <c r="C111" s="13" t="s">
        <v>32</v>
      </c>
      <c r="D111" s="13" t="s">
        <v>2453</v>
      </c>
    </row>
    <row r="112" spans="1:4">
      <c r="A112" s="13">
        <v>7030100470</v>
      </c>
      <c r="B112" s="13" t="s">
        <v>17497</v>
      </c>
      <c r="C112" s="13" t="s">
        <v>32</v>
      </c>
      <c r="D112" s="13" t="s">
        <v>17498</v>
      </c>
    </row>
    <row r="113" spans="1:4">
      <c r="A113" s="13">
        <v>7030100480</v>
      </c>
      <c r="B113" s="13" t="s">
        <v>17499</v>
      </c>
      <c r="C113" s="13" t="s">
        <v>32</v>
      </c>
      <c r="D113" s="13" t="s">
        <v>17500</v>
      </c>
    </row>
    <row r="114" spans="1:4">
      <c r="A114" s="13">
        <v>7030100490</v>
      </c>
      <c r="B114" s="13" t="s">
        <v>17501</v>
      </c>
      <c r="C114" s="13" t="s">
        <v>32</v>
      </c>
      <c r="D114" s="13" t="s">
        <v>17502</v>
      </c>
    </row>
    <row r="115" spans="1:4">
      <c r="A115" s="13">
        <v>7030100500</v>
      </c>
      <c r="B115" s="13" t="s">
        <v>17503</v>
      </c>
      <c r="C115" s="13" t="s">
        <v>6</v>
      </c>
      <c r="D115" s="13" t="s">
        <v>2479</v>
      </c>
    </row>
    <row r="116" spans="1:4">
      <c r="A116" s="13">
        <v>7030100510</v>
      </c>
      <c r="B116" s="13" t="s">
        <v>17504</v>
      </c>
      <c r="C116" s="13" t="s">
        <v>9</v>
      </c>
      <c r="D116" s="13" t="s">
        <v>17505</v>
      </c>
    </row>
    <row r="117" spans="1:4">
      <c r="A117" s="13">
        <v>7030100520</v>
      </c>
      <c r="B117" s="13" t="s">
        <v>17506</v>
      </c>
      <c r="C117" s="13" t="s">
        <v>12</v>
      </c>
      <c r="D117" s="13" t="s">
        <v>17507</v>
      </c>
    </row>
    <row r="118" spans="1:4">
      <c r="A118" s="13">
        <v>7030100530</v>
      </c>
      <c r="B118" s="13" t="s">
        <v>17508</v>
      </c>
      <c r="C118" s="13" t="s">
        <v>9</v>
      </c>
      <c r="D118" s="13" t="s">
        <v>3444</v>
      </c>
    </row>
    <row r="119" spans="1:4">
      <c r="A119" s="13">
        <v>7030100540</v>
      </c>
      <c r="B119" s="13" t="s">
        <v>17509</v>
      </c>
      <c r="C119" s="13" t="s">
        <v>12</v>
      </c>
      <c r="D119" s="13" t="s">
        <v>17510</v>
      </c>
    </row>
    <row r="120" spans="1:4">
      <c r="A120" s="13">
        <v>7030100550</v>
      </c>
      <c r="B120" s="13" t="s">
        <v>17511</v>
      </c>
      <c r="C120" s="13" t="s">
        <v>12</v>
      </c>
      <c r="D120" s="13" t="s">
        <v>17512</v>
      </c>
    </row>
    <row r="121" spans="1:4">
      <c r="A121" s="13">
        <v>7030100560</v>
      </c>
      <c r="B121" s="13" t="s">
        <v>17513</v>
      </c>
      <c r="C121" s="13" t="s">
        <v>12</v>
      </c>
      <c r="D121" s="27" t="s">
        <v>17514</v>
      </c>
    </row>
    <row r="122" spans="1:4">
      <c r="A122" s="13">
        <v>7030100570</v>
      </c>
      <c r="B122" s="13" t="s">
        <v>17515</v>
      </c>
      <c r="C122" s="13" t="s">
        <v>9</v>
      </c>
      <c r="D122" s="27" t="s">
        <v>2816</v>
      </c>
    </row>
    <row r="123" spans="1:4">
      <c r="A123" s="13">
        <v>7030100580</v>
      </c>
      <c r="B123" s="13" t="s">
        <v>17516</v>
      </c>
      <c r="C123" s="13" t="s">
        <v>9</v>
      </c>
      <c r="D123" s="13" t="s">
        <v>2523</v>
      </c>
    </row>
    <row r="124" spans="1:4">
      <c r="A124" s="13">
        <v>7030100590</v>
      </c>
      <c r="B124" s="13" t="s">
        <v>17517</v>
      </c>
      <c r="C124" s="13" t="s">
        <v>9</v>
      </c>
      <c r="D124" s="13" t="s">
        <v>17518</v>
      </c>
    </row>
    <row r="125" spans="1:4">
      <c r="A125" s="13">
        <v>7030100600</v>
      </c>
      <c r="B125" s="13" t="s">
        <v>17519</v>
      </c>
      <c r="C125" s="13" t="s">
        <v>9</v>
      </c>
      <c r="D125" s="13" t="s">
        <v>4572</v>
      </c>
    </row>
    <row r="126" spans="1:4">
      <c r="A126" s="13">
        <v>7030100610</v>
      </c>
      <c r="B126" s="13" t="s">
        <v>17520</v>
      </c>
      <c r="C126" s="13" t="s">
        <v>7</v>
      </c>
      <c r="D126" s="13" t="s">
        <v>2455</v>
      </c>
    </row>
    <row r="127" spans="1:4">
      <c r="A127" s="13">
        <v>7030100620</v>
      </c>
      <c r="B127" s="13" t="s">
        <v>17521</v>
      </c>
      <c r="C127" s="13" t="s">
        <v>9</v>
      </c>
      <c r="D127" s="13" t="s">
        <v>2380</v>
      </c>
    </row>
    <row r="128" spans="1:4">
      <c r="A128" s="13">
        <v>7030100630</v>
      </c>
      <c r="B128" s="13" t="s">
        <v>17522</v>
      </c>
      <c r="C128" s="13" t="s">
        <v>9</v>
      </c>
      <c r="D128" s="13" t="s">
        <v>2803</v>
      </c>
    </row>
    <row r="129" spans="1:4">
      <c r="A129" s="13">
        <v>7030100640</v>
      </c>
      <c r="B129" s="13" t="s">
        <v>17523</v>
      </c>
      <c r="C129" s="13" t="s">
        <v>9</v>
      </c>
      <c r="D129" s="13" t="s">
        <v>17401</v>
      </c>
    </row>
    <row r="130" spans="1:4">
      <c r="A130" s="13">
        <v>7030100650</v>
      </c>
      <c r="B130" s="13" t="s">
        <v>17524</v>
      </c>
      <c r="C130" s="13" t="s">
        <v>9</v>
      </c>
      <c r="D130" s="13" t="s">
        <v>2500</v>
      </c>
    </row>
    <row r="131" spans="1:4">
      <c r="A131" s="13">
        <v>7030100660</v>
      </c>
      <c r="B131" s="13" t="s">
        <v>17525</v>
      </c>
      <c r="C131" s="13" t="s">
        <v>6</v>
      </c>
      <c r="D131" s="13" t="s">
        <v>2516</v>
      </c>
    </row>
    <row r="132" spans="1:4">
      <c r="A132" s="13">
        <v>7030100670</v>
      </c>
      <c r="B132" s="13" t="s">
        <v>17526</v>
      </c>
      <c r="C132" s="13" t="s">
        <v>9</v>
      </c>
      <c r="D132" s="13" t="s">
        <v>6255</v>
      </c>
    </row>
    <row r="133" spans="1:4">
      <c r="A133" s="13">
        <v>7030100680</v>
      </c>
      <c r="B133" s="13" t="s">
        <v>17527</v>
      </c>
      <c r="C133" s="13" t="s">
        <v>6</v>
      </c>
      <c r="D133" s="13" t="s">
        <v>2393</v>
      </c>
    </row>
    <row r="134" spans="1:4">
      <c r="A134" s="13">
        <v>7030100690</v>
      </c>
      <c r="B134" s="13" t="s">
        <v>17528</v>
      </c>
      <c r="C134" s="13" t="s">
        <v>9</v>
      </c>
      <c r="D134" s="13" t="s">
        <v>2455</v>
      </c>
    </row>
    <row r="135" spans="1:4">
      <c r="A135" s="13">
        <v>7030100700</v>
      </c>
      <c r="B135" s="13" t="s">
        <v>17529</v>
      </c>
      <c r="C135" s="13" t="s">
        <v>9</v>
      </c>
      <c r="D135" s="13" t="s">
        <v>17530</v>
      </c>
    </row>
    <row r="136" spans="1:4">
      <c r="A136" s="13">
        <v>7030100710</v>
      </c>
      <c r="B136" s="13" t="s">
        <v>17531</v>
      </c>
      <c r="C136" s="13" t="s">
        <v>9</v>
      </c>
      <c r="D136" s="13" t="s">
        <v>2397</v>
      </c>
    </row>
    <row r="137" spans="1:4">
      <c r="A137" s="13">
        <v>7030100720</v>
      </c>
      <c r="B137" s="13" t="s">
        <v>17532</v>
      </c>
      <c r="C137" s="13" t="s">
        <v>6</v>
      </c>
      <c r="D137" s="13" t="s">
        <v>2438</v>
      </c>
    </row>
    <row r="138" spans="1:4">
      <c r="A138" s="13">
        <v>7030100730</v>
      </c>
      <c r="B138" s="13" t="s">
        <v>17533</v>
      </c>
      <c r="C138" s="13" t="s">
        <v>9</v>
      </c>
      <c r="D138" s="13" t="s">
        <v>5136</v>
      </c>
    </row>
    <row r="139" spans="1:4">
      <c r="A139" s="13">
        <v>7030100740</v>
      </c>
      <c r="B139" s="13" t="s">
        <v>17534</v>
      </c>
      <c r="C139" s="13" t="s">
        <v>7</v>
      </c>
      <c r="D139" s="13" t="s">
        <v>17535</v>
      </c>
    </row>
    <row r="140" spans="1:4">
      <c r="A140" s="13">
        <v>7030100750</v>
      </c>
      <c r="B140" s="13" t="s">
        <v>17536</v>
      </c>
      <c r="C140" s="13" t="s">
        <v>9</v>
      </c>
      <c r="D140" s="13" t="s">
        <v>2474</v>
      </c>
    </row>
    <row r="141" spans="1:4">
      <c r="A141" s="13">
        <v>7030100760</v>
      </c>
      <c r="B141" s="13" t="s">
        <v>17537</v>
      </c>
      <c r="C141" s="13" t="s">
        <v>6</v>
      </c>
      <c r="D141" s="13" t="s">
        <v>4572</v>
      </c>
    </row>
    <row r="142" spans="1:4">
      <c r="A142" s="13">
        <v>7030100770</v>
      </c>
      <c r="B142" s="13" t="s">
        <v>17538</v>
      </c>
      <c r="C142" s="13" t="s">
        <v>9</v>
      </c>
      <c r="D142" s="13" t="s">
        <v>2428</v>
      </c>
    </row>
    <row r="143" spans="1:4">
      <c r="A143" s="13">
        <v>7030100780</v>
      </c>
      <c r="B143" s="13" t="s">
        <v>17539</v>
      </c>
      <c r="C143" s="13" t="s">
        <v>7</v>
      </c>
      <c r="D143" s="13" t="s">
        <v>2433</v>
      </c>
    </row>
    <row r="144" spans="1:4">
      <c r="A144" s="13">
        <v>7030100790</v>
      </c>
      <c r="B144" s="13" t="s">
        <v>17540</v>
      </c>
      <c r="C144" s="13" t="s">
        <v>9</v>
      </c>
      <c r="D144" s="13" t="s">
        <v>2432</v>
      </c>
    </row>
    <row r="145" spans="1:4">
      <c r="A145" s="13">
        <v>7030100800</v>
      </c>
      <c r="B145" s="13" t="s">
        <v>17541</v>
      </c>
      <c r="C145" s="13" t="s">
        <v>9</v>
      </c>
      <c r="D145" s="13" t="s">
        <v>2495</v>
      </c>
    </row>
    <row r="146" spans="1:4">
      <c r="A146" s="13">
        <v>7030100810</v>
      </c>
      <c r="B146" s="13" t="s">
        <v>17542</v>
      </c>
      <c r="C146" s="13" t="s">
        <v>7</v>
      </c>
      <c r="D146" s="13" t="s">
        <v>17543</v>
      </c>
    </row>
    <row r="147" spans="1:4">
      <c r="A147" s="13">
        <v>7030100820</v>
      </c>
      <c r="B147" s="13" t="s">
        <v>17544</v>
      </c>
      <c r="C147" s="13" t="s">
        <v>7</v>
      </c>
      <c r="D147" s="13" t="s">
        <v>2399</v>
      </c>
    </row>
    <row r="148" spans="1:4">
      <c r="A148" s="13">
        <v>7030100830</v>
      </c>
      <c r="B148" s="13" t="s">
        <v>17545</v>
      </c>
      <c r="C148" s="13" t="s">
        <v>7</v>
      </c>
      <c r="D148" s="13" t="s">
        <v>2448</v>
      </c>
    </row>
    <row r="149" spans="1:4">
      <c r="A149" s="13">
        <v>7030100840</v>
      </c>
      <c r="B149" s="13" t="s">
        <v>17546</v>
      </c>
      <c r="C149" s="13" t="s">
        <v>6</v>
      </c>
      <c r="D149" s="13" t="s">
        <v>17547</v>
      </c>
    </row>
    <row r="150" spans="1:4">
      <c r="A150" s="13">
        <v>7030100850</v>
      </c>
      <c r="B150" s="13" t="s">
        <v>17548</v>
      </c>
      <c r="C150" s="13" t="s">
        <v>6</v>
      </c>
      <c r="D150" s="13" t="s">
        <v>2367</v>
      </c>
    </row>
    <row r="151" spans="1:4">
      <c r="A151" s="13">
        <v>7030100860</v>
      </c>
      <c r="B151" s="13" t="s">
        <v>17549</v>
      </c>
      <c r="C151" s="13" t="s">
        <v>6</v>
      </c>
      <c r="D151" s="13" t="s">
        <v>2429</v>
      </c>
    </row>
    <row r="152" spans="1:4">
      <c r="A152" s="13">
        <v>7030100870</v>
      </c>
      <c r="B152" s="13" t="s">
        <v>17550</v>
      </c>
      <c r="C152" s="13" t="s">
        <v>12</v>
      </c>
      <c r="D152" s="13" t="s">
        <v>2466</v>
      </c>
    </row>
    <row r="153" spans="1:4">
      <c r="A153" s="13">
        <v>7030100880</v>
      </c>
      <c r="B153" s="13" t="s">
        <v>17551</v>
      </c>
      <c r="C153" s="13" t="s">
        <v>9</v>
      </c>
      <c r="D153" s="13" t="s">
        <v>17479</v>
      </c>
    </row>
    <row r="154" spans="1:4">
      <c r="A154" s="13">
        <v>7030100890</v>
      </c>
      <c r="B154" s="13" t="s">
        <v>17552</v>
      </c>
      <c r="C154" s="13" t="s">
        <v>9</v>
      </c>
      <c r="D154" s="13" t="s">
        <v>2471</v>
      </c>
    </row>
    <row r="155" spans="1:4">
      <c r="A155" s="13">
        <v>7030100900</v>
      </c>
      <c r="B155" s="13" t="s">
        <v>17553</v>
      </c>
      <c r="C155" s="13" t="s">
        <v>7</v>
      </c>
      <c r="D155" s="13" t="s">
        <v>17554</v>
      </c>
    </row>
    <row r="160" spans="1:4">
      <c r="A160" s="13">
        <v>7030100910</v>
      </c>
      <c r="B160" s="13" t="s">
        <v>17555</v>
      </c>
      <c r="C160" s="13" t="s">
        <v>12</v>
      </c>
      <c r="D160" s="13" t="s">
        <v>17479</v>
      </c>
    </row>
    <row r="161" spans="1:4">
      <c r="A161" s="13">
        <v>7030100920</v>
      </c>
      <c r="B161" s="13" t="s">
        <v>17556</v>
      </c>
      <c r="C161" s="13" t="s">
        <v>9</v>
      </c>
      <c r="D161" s="13" t="s">
        <v>17557</v>
      </c>
    </row>
    <row r="162" spans="1:4">
      <c r="A162" s="13">
        <v>7030100930</v>
      </c>
      <c r="B162" s="13" t="s">
        <v>17558</v>
      </c>
      <c r="C162" s="13" t="s">
        <v>9</v>
      </c>
      <c r="D162" s="13" t="s">
        <v>17559</v>
      </c>
    </row>
    <row r="163" spans="1:4">
      <c r="A163" s="13">
        <v>7030100940</v>
      </c>
      <c r="B163" s="13" t="s">
        <v>17560</v>
      </c>
      <c r="C163" s="13" t="s">
        <v>7</v>
      </c>
      <c r="D163" s="13" t="s">
        <v>2467</v>
      </c>
    </row>
    <row r="164" spans="1:4">
      <c r="A164" s="13">
        <v>7030100950</v>
      </c>
      <c r="B164" s="13" t="s">
        <v>17561</v>
      </c>
      <c r="C164" s="13" t="s">
        <v>9</v>
      </c>
      <c r="D164" s="13" t="s">
        <v>17562</v>
      </c>
    </row>
    <row r="165" spans="1:4">
      <c r="A165" s="13">
        <v>7030100960</v>
      </c>
      <c r="B165" s="13" t="s">
        <v>17563</v>
      </c>
      <c r="C165" s="13" t="s">
        <v>6</v>
      </c>
      <c r="D165" s="13" t="s">
        <v>6747</v>
      </c>
    </row>
    <row r="166" spans="1:4">
      <c r="A166" s="13" t="s">
        <v>17564</v>
      </c>
    </row>
    <row r="167" spans="1:4">
      <c r="A167" s="13">
        <v>7040100010</v>
      </c>
      <c r="B167" s="13" t="s">
        <v>17565</v>
      </c>
      <c r="C167" s="13" t="s">
        <v>12</v>
      </c>
      <c r="D167" s="13" t="s">
        <v>17566</v>
      </c>
    </row>
    <row r="168" spans="1:4">
      <c r="A168" s="13">
        <v>7040100020</v>
      </c>
      <c r="B168" s="13" t="s">
        <v>17567</v>
      </c>
      <c r="C168" s="13" t="s">
        <v>12</v>
      </c>
      <c r="D168" s="13" t="s">
        <v>17568</v>
      </c>
    </row>
    <row r="169" spans="1:4">
      <c r="A169" s="13">
        <v>7040100030</v>
      </c>
      <c r="B169" s="13" t="s">
        <v>17569</v>
      </c>
      <c r="C169" s="13" t="s">
        <v>12</v>
      </c>
      <c r="D169" s="13" t="s">
        <v>17570</v>
      </c>
    </row>
    <row r="170" spans="1:4">
      <c r="A170" s="13">
        <v>7040100040</v>
      </c>
      <c r="B170" s="13" t="s">
        <v>17571</v>
      </c>
      <c r="C170" s="13" t="s">
        <v>12</v>
      </c>
      <c r="D170" s="13" t="s">
        <v>17572</v>
      </c>
    </row>
    <row r="171" spans="1:4">
      <c r="A171" s="13">
        <v>7040100050</v>
      </c>
      <c r="B171" s="13" t="s">
        <v>17573</v>
      </c>
      <c r="C171" s="13" t="s">
        <v>12</v>
      </c>
      <c r="D171" s="13" t="s">
        <v>17574</v>
      </c>
    </row>
    <row r="172" spans="1:4">
      <c r="A172" s="13">
        <v>7040100060</v>
      </c>
      <c r="B172" s="13" t="s">
        <v>17575</v>
      </c>
      <c r="C172" s="13" t="s">
        <v>12</v>
      </c>
      <c r="D172" s="13" t="s">
        <v>7035</v>
      </c>
    </row>
    <row r="173" spans="1:4">
      <c r="A173" s="13">
        <v>7040100070</v>
      </c>
      <c r="B173" s="13" t="s">
        <v>17576</v>
      </c>
      <c r="C173" s="13" t="s">
        <v>12</v>
      </c>
      <c r="D173" s="13" t="s">
        <v>2401</v>
      </c>
    </row>
    <row r="174" spans="1:4">
      <c r="A174" s="13">
        <v>7040100080</v>
      </c>
      <c r="B174" s="13" t="s">
        <v>17577</v>
      </c>
      <c r="C174" s="13" t="s">
        <v>12</v>
      </c>
      <c r="D174" s="13" t="s">
        <v>2429</v>
      </c>
    </row>
    <row r="175" spans="1:4">
      <c r="A175" s="13">
        <v>7040100090</v>
      </c>
      <c r="B175" s="13" t="s">
        <v>17578</v>
      </c>
      <c r="C175" s="13" t="s">
        <v>12</v>
      </c>
      <c r="D175" s="13" t="s">
        <v>4829</v>
      </c>
    </row>
    <row r="176" spans="1:4">
      <c r="A176" s="13">
        <v>7040100100</v>
      </c>
      <c r="B176" s="13" t="s">
        <v>17579</v>
      </c>
      <c r="C176" s="13" t="s">
        <v>12</v>
      </c>
      <c r="D176" s="13" t="s">
        <v>2606</v>
      </c>
    </row>
    <row r="177" spans="1:4">
      <c r="A177" s="13">
        <v>7040100110</v>
      </c>
      <c r="B177" s="13" t="s">
        <v>17580</v>
      </c>
      <c r="C177" s="13" t="s">
        <v>12</v>
      </c>
      <c r="D177" s="13" t="s">
        <v>17581</v>
      </c>
    </row>
    <row r="178" spans="1:4">
      <c r="A178" s="13">
        <v>7040100120</v>
      </c>
      <c r="B178" s="13" t="s">
        <v>17582</v>
      </c>
      <c r="C178" s="13" t="s">
        <v>12</v>
      </c>
      <c r="D178" s="13" t="s">
        <v>17583</v>
      </c>
    </row>
    <row r="179" spans="1:4">
      <c r="A179" s="13">
        <v>7040100130</v>
      </c>
      <c r="B179" s="13" t="s">
        <v>17584</v>
      </c>
      <c r="C179" s="13" t="s">
        <v>12</v>
      </c>
      <c r="D179" s="27" t="s">
        <v>17585</v>
      </c>
    </row>
    <row r="180" spans="1:4">
      <c r="A180" s="13">
        <v>7040100140</v>
      </c>
      <c r="B180" s="13" t="s">
        <v>17586</v>
      </c>
      <c r="C180" s="13" t="s">
        <v>12</v>
      </c>
      <c r="D180" s="27" t="s">
        <v>17587</v>
      </c>
    </row>
    <row r="181" spans="1:4">
      <c r="A181" s="13">
        <v>7040100150</v>
      </c>
      <c r="B181" s="13" t="s">
        <v>17588</v>
      </c>
      <c r="C181" s="13" t="s">
        <v>12</v>
      </c>
      <c r="D181" s="13" t="s">
        <v>2559</v>
      </c>
    </row>
    <row r="182" spans="1:4">
      <c r="A182" s="13">
        <v>7040100160</v>
      </c>
      <c r="B182" s="13" t="s">
        <v>17589</v>
      </c>
      <c r="C182" s="13" t="s">
        <v>12</v>
      </c>
      <c r="D182" s="13" t="s">
        <v>17590</v>
      </c>
    </row>
    <row r="183" spans="1:4">
      <c r="A183" s="13">
        <v>7040100170</v>
      </c>
      <c r="B183" s="13" t="s">
        <v>17591</v>
      </c>
      <c r="C183" s="13" t="s">
        <v>12</v>
      </c>
      <c r="D183" s="13" t="s">
        <v>4077</v>
      </c>
    </row>
    <row r="184" spans="1:4">
      <c r="A184" s="13">
        <v>7040100180</v>
      </c>
      <c r="B184" s="13" t="s">
        <v>17592</v>
      </c>
      <c r="C184" s="13" t="s">
        <v>12</v>
      </c>
      <c r="D184" s="13" t="s">
        <v>2437</v>
      </c>
    </row>
    <row r="185" spans="1:4">
      <c r="A185" s="13">
        <v>7040100190</v>
      </c>
      <c r="B185" s="13" t="s">
        <v>17593</v>
      </c>
      <c r="C185" s="13" t="s">
        <v>12</v>
      </c>
      <c r="D185" s="13" t="s">
        <v>2437</v>
      </c>
    </row>
    <row r="186" spans="1:4">
      <c r="A186" s="13">
        <v>7040100200</v>
      </c>
      <c r="B186" s="13" t="s">
        <v>17594</v>
      </c>
      <c r="C186" s="13" t="s">
        <v>12</v>
      </c>
      <c r="D186" s="13" t="s">
        <v>2408</v>
      </c>
    </row>
    <row r="187" spans="1:4">
      <c r="A187" s="13">
        <v>7040100210</v>
      </c>
      <c r="B187" s="13" t="s">
        <v>17595</v>
      </c>
      <c r="C187" s="13" t="s">
        <v>12</v>
      </c>
      <c r="D187" s="13" t="s">
        <v>17572</v>
      </c>
    </row>
    <row r="188" spans="1:4">
      <c r="A188" s="13">
        <v>7040100220</v>
      </c>
      <c r="B188" s="13" t="s">
        <v>17596</v>
      </c>
      <c r="C188" s="13" t="s">
        <v>12</v>
      </c>
      <c r="D188" s="13" t="s">
        <v>2532</v>
      </c>
    </row>
    <row r="189" spans="1:4">
      <c r="A189" s="13">
        <v>7040100230</v>
      </c>
      <c r="B189" s="13" t="s">
        <v>17597</v>
      </c>
      <c r="C189" s="13" t="s">
        <v>12</v>
      </c>
      <c r="D189" s="13" t="s">
        <v>2471</v>
      </c>
    </row>
    <row r="190" spans="1:4">
      <c r="A190" s="13">
        <v>7040100240</v>
      </c>
      <c r="B190" s="13" t="s">
        <v>17598</v>
      </c>
      <c r="C190" s="13" t="s">
        <v>12</v>
      </c>
      <c r="D190" s="13" t="s">
        <v>4642</v>
      </c>
    </row>
    <row r="191" spans="1:4">
      <c r="A191" s="13">
        <v>7040100250</v>
      </c>
      <c r="B191" s="13" t="s">
        <v>17599</v>
      </c>
      <c r="C191" s="13" t="s">
        <v>12</v>
      </c>
      <c r="D191" s="13" t="s">
        <v>17600</v>
      </c>
    </row>
    <row r="192" spans="1:4">
      <c r="A192" s="13">
        <v>7040100260</v>
      </c>
      <c r="B192" s="13" t="s">
        <v>17601</v>
      </c>
      <c r="C192" s="13" t="s">
        <v>12</v>
      </c>
      <c r="D192" s="13" t="s">
        <v>2666</v>
      </c>
    </row>
    <row r="193" spans="1:4">
      <c r="A193" s="13">
        <v>7040100270</v>
      </c>
      <c r="B193" s="13" t="s">
        <v>17602</v>
      </c>
      <c r="C193" s="13" t="s">
        <v>12</v>
      </c>
      <c r="D193" s="13" t="s">
        <v>17603</v>
      </c>
    </row>
    <row r="194" spans="1:4">
      <c r="A194" s="13">
        <v>7040100280</v>
      </c>
      <c r="B194" s="13" t="s">
        <v>17604</v>
      </c>
      <c r="C194" s="13" t="s">
        <v>12</v>
      </c>
      <c r="D194" s="13" t="s">
        <v>17605</v>
      </c>
    </row>
    <row r="195" spans="1:4">
      <c r="A195" s="13">
        <v>7040100290</v>
      </c>
      <c r="B195" s="13" t="s">
        <v>17606</v>
      </c>
      <c r="C195" s="13" t="s">
        <v>12</v>
      </c>
      <c r="D195" s="13" t="s">
        <v>2506</v>
      </c>
    </row>
    <row r="196" spans="1:4">
      <c r="A196" s="13">
        <v>7040100300</v>
      </c>
      <c r="B196" s="13" t="s">
        <v>17607</v>
      </c>
      <c r="C196" s="13" t="s">
        <v>12</v>
      </c>
      <c r="D196" s="13" t="s">
        <v>3101</v>
      </c>
    </row>
    <row r="197" spans="1:4">
      <c r="A197" s="13">
        <v>7040100310</v>
      </c>
      <c r="B197" s="13" t="s">
        <v>17608</v>
      </c>
      <c r="C197" s="13" t="s">
        <v>12</v>
      </c>
      <c r="D197" s="13" t="s">
        <v>3304</v>
      </c>
    </row>
    <row r="198" spans="1:4">
      <c r="A198" s="13">
        <v>7040100320</v>
      </c>
      <c r="B198" s="13" t="s">
        <v>17609</v>
      </c>
      <c r="C198" s="13" t="s">
        <v>12</v>
      </c>
      <c r="D198" s="13" t="s">
        <v>2536</v>
      </c>
    </row>
    <row r="199" spans="1:4">
      <c r="A199" s="13">
        <v>7040100330</v>
      </c>
      <c r="B199" s="13" t="s">
        <v>17610</v>
      </c>
      <c r="C199" s="13" t="s">
        <v>12</v>
      </c>
      <c r="D199" s="13" t="s">
        <v>2427</v>
      </c>
    </row>
    <row r="200" spans="1:4">
      <c r="A200" s="13">
        <v>7040100340</v>
      </c>
      <c r="B200" s="13" t="s">
        <v>17611</v>
      </c>
      <c r="C200" s="13" t="s">
        <v>12</v>
      </c>
      <c r="D200" s="13" t="s">
        <v>17612</v>
      </c>
    </row>
    <row r="201" spans="1:4">
      <c r="A201" s="13">
        <v>7040100350</v>
      </c>
      <c r="B201" s="13" t="s">
        <v>17613</v>
      </c>
      <c r="C201" s="13" t="s">
        <v>12</v>
      </c>
      <c r="D201" s="13" t="s">
        <v>2360</v>
      </c>
    </row>
    <row r="202" spans="1:4">
      <c r="A202" s="13">
        <v>7040100360</v>
      </c>
      <c r="B202" s="13" t="s">
        <v>17614</v>
      </c>
      <c r="C202" s="13" t="s">
        <v>12</v>
      </c>
      <c r="D202" s="13" t="s">
        <v>3136</v>
      </c>
    </row>
    <row r="203" spans="1:4">
      <c r="A203" s="13">
        <v>7040100370</v>
      </c>
      <c r="B203" s="13" t="s">
        <v>17615</v>
      </c>
      <c r="C203" s="13" t="s">
        <v>12</v>
      </c>
      <c r="D203" s="13" t="s">
        <v>3842</v>
      </c>
    </row>
    <row r="204" spans="1:4">
      <c r="A204" s="13">
        <v>7040100380</v>
      </c>
      <c r="B204" s="13" t="s">
        <v>17616</v>
      </c>
      <c r="C204" s="13" t="s">
        <v>17617</v>
      </c>
      <c r="D204" s="13" t="s">
        <v>2388</v>
      </c>
    </row>
    <row r="205" spans="1:4">
      <c r="A205" s="13">
        <v>7040100390</v>
      </c>
      <c r="B205" s="13" t="s">
        <v>17618</v>
      </c>
      <c r="C205" s="13" t="s">
        <v>17617</v>
      </c>
      <c r="D205" s="13" t="s">
        <v>2359</v>
      </c>
    </row>
    <row r="206" spans="1:4">
      <c r="A206" s="13">
        <v>7040100400</v>
      </c>
      <c r="B206" s="13" t="s">
        <v>17619</v>
      </c>
      <c r="C206" s="13" t="s">
        <v>12</v>
      </c>
      <c r="D206" s="13" t="s">
        <v>2358</v>
      </c>
    </row>
    <row r="207" spans="1:4">
      <c r="A207" s="13">
        <v>7040100410</v>
      </c>
      <c r="B207" s="13" t="s">
        <v>17620</v>
      </c>
      <c r="C207" s="13" t="s">
        <v>12</v>
      </c>
      <c r="D207" s="13" t="s">
        <v>2499</v>
      </c>
    </row>
    <row r="212" spans="1:4">
      <c r="A212" s="13">
        <v>7040100420</v>
      </c>
      <c r="B212" s="13" t="s">
        <v>17621</v>
      </c>
      <c r="C212" s="13" t="s">
        <v>12</v>
      </c>
      <c r="D212" s="13" t="s">
        <v>2354</v>
      </c>
    </row>
    <row r="213" spans="1:4">
      <c r="A213" s="13">
        <v>7040100430</v>
      </c>
      <c r="B213" s="13" t="s">
        <v>17622</v>
      </c>
      <c r="C213" s="13" t="s">
        <v>12</v>
      </c>
      <c r="D213" s="13" t="s">
        <v>3056</v>
      </c>
    </row>
    <row r="214" spans="1:4">
      <c r="A214" s="13" t="s">
        <v>17623</v>
      </c>
    </row>
    <row r="215" spans="1:4">
      <c r="A215" s="13">
        <v>7050100010</v>
      </c>
      <c r="B215" s="13" t="s">
        <v>17624</v>
      </c>
      <c r="C215" s="13" t="s">
        <v>9</v>
      </c>
      <c r="D215" s="13" t="s">
        <v>2533</v>
      </c>
    </row>
    <row r="216" spans="1:4">
      <c r="A216" s="13">
        <v>7050100020</v>
      </c>
      <c r="B216" s="13" t="s">
        <v>17625</v>
      </c>
      <c r="C216" s="13" t="s">
        <v>9</v>
      </c>
      <c r="D216" s="13" t="s">
        <v>4571</v>
      </c>
    </row>
    <row r="217" spans="1:4">
      <c r="A217" s="13">
        <v>7050100030</v>
      </c>
      <c r="B217" s="13" t="s">
        <v>17626</v>
      </c>
      <c r="C217" s="13" t="s">
        <v>9</v>
      </c>
      <c r="D217" s="13" t="s">
        <v>17627</v>
      </c>
    </row>
    <row r="218" spans="1:4">
      <c r="A218" s="13">
        <v>7050100040</v>
      </c>
      <c r="B218" s="13" t="s">
        <v>17628</v>
      </c>
      <c r="C218" s="13" t="s">
        <v>12</v>
      </c>
      <c r="D218" s="13" t="s">
        <v>17629</v>
      </c>
    </row>
    <row r="219" spans="1:4">
      <c r="A219" s="13">
        <v>7050100050</v>
      </c>
      <c r="B219" s="13" t="s">
        <v>17630</v>
      </c>
      <c r="C219" s="13" t="s">
        <v>12</v>
      </c>
      <c r="D219" s="13" t="s">
        <v>17631</v>
      </c>
    </row>
    <row r="220" spans="1:4">
      <c r="A220" s="13">
        <v>7050100060</v>
      </c>
      <c r="B220" s="13" t="s">
        <v>17632</v>
      </c>
      <c r="C220" s="13" t="s">
        <v>12</v>
      </c>
      <c r="D220" s="13" t="s">
        <v>5532</v>
      </c>
    </row>
    <row r="221" spans="1:4">
      <c r="A221" s="13">
        <v>7050100070</v>
      </c>
      <c r="B221" s="13" t="s">
        <v>17633</v>
      </c>
      <c r="C221" s="13" t="s">
        <v>9</v>
      </c>
      <c r="D221" s="13" t="s">
        <v>4059</v>
      </c>
    </row>
    <row r="222" spans="1:4">
      <c r="A222" s="13">
        <v>7050100080</v>
      </c>
      <c r="B222" s="13" t="s">
        <v>17634</v>
      </c>
      <c r="C222" s="13" t="s">
        <v>12</v>
      </c>
      <c r="D222" s="13" t="s">
        <v>17635</v>
      </c>
    </row>
    <row r="223" spans="1:4">
      <c r="A223" s="13">
        <v>7050100090</v>
      </c>
      <c r="B223" s="13" t="s">
        <v>17636</v>
      </c>
      <c r="C223" s="13" t="s">
        <v>12</v>
      </c>
      <c r="D223" s="13" t="s">
        <v>17637</v>
      </c>
    </row>
    <row r="224" spans="1:4">
      <c r="A224" s="13">
        <v>7050100100</v>
      </c>
      <c r="B224" s="13" t="s">
        <v>17638</v>
      </c>
      <c r="C224" s="13" t="s">
        <v>6</v>
      </c>
      <c r="D224" s="13" t="s">
        <v>2377</v>
      </c>
    </row>
    <row r="225" spans="1:4">
      <c r="A225" s="13">
        <v>7050100121</v>
      </c>
      <c r="B225" s="13" t="s">
        <v>17639</v>
      </c>
      <c r="C225" s="13" t="s">
        <v>9</v>
      </c>
      <c r="D225" s="13" t="s">
        <v>17640</v>
      </c>
    </row>
    <row r="226" spans="1:4">
      <c r="A226" s="13">
        <v>7050100131</v>
      </c>
      <c r="B226" s="13" t="s">
        <v>17641</v>
      </c>
      <c r="C226" s="13" t="s">
        <v>12</v>
      </c>
      <c r="D226" s="13" t="s">
        <v>17642</v>
      </c>
    </row>
    <row r="227" spans="1:4">
      <c r="A227" s="13">
        <v>7050100140</v>
      </c>
      <c r="B227" s="13" t="s">
        <v>17643</v>
      </c>
      <c r="C227" s="13" t="s">
        <v>9</v>
      </c>
      <c r="D227" s="13" t="s">
        <v>17644</v>
      </c>
    </row>
    <row r="228" spans="1:4">
      <c r="A228" s="13">
        <v>7050100150</v>
      </c>
      <c r="B228" s="13" t="s">
        <v>17645</v>
      </c>
      <c r="C228" s="13" t="s">
        <v>12</v>
      </c>
      <c r="D228" s="13" t="s">
        <v>17646</v>
      </c>
    </row>
    <row r="229" spans="1:4">
      <c r="A229" s="13">
        <v>7050100160</v>
      </c>
      <c r="B229" s="13" t="s">
        <v>17647</v>
      </c>
      <c r="C229" s="13" t="s">
        <v>12</v>
      </c>
      <c r="D229" s="13" t="s">
        <v>17648</v>
      </c>
    </row>
    <row r="230" spans="1:4">
      <c r="A230" s="13" t="s">
        <v>17649</v>
      </c>
    </row>
    <row r="231" spans="1:4">
      <c r="A231" s="13">
        <v>7060100010</v>
      </c>
      <c r="B231" s="13" t="s">
        <v>17650</v>
      </c>
      <c r="C231" s="13" t="s">
        <v>17400</v>
      </c>
      <c r="D231" s="13" t="s">
        <v>4924</v>
      </c>
    </row>
    <row r="232" spans="1:4">
      <c r="A232" s="13">
        <v>7060100020</v>
      </c>
      <c r="B232" s="13" t="s">
        <v>17651</v>
      </c>
      <c r="C232" s="13" t="s">
        <v>17400</v>
      </c>
      <c r="D232" s="13" t="s">
        <v>3698</v>
      </c>
    </row>
    <row r="233" spans="1:4">
      <c r="A233" s="13">
        <v>7060100030</v>
      </c>
      <c r="B233" s="13" t="s">
        <v>17652</v>
      </c>
      <c r="C233" s="13" t="s">
        <v>7</v>
      </c>
      <c r="D233" s="13" t="s">
        <v>17653</v>
      </c>
    </row>
    <row r="234" spans="1:4">
      <c r="A234" s="13">
        <v>7060100040</v>
      </c>
      <c r="B234" s="13" t="s">
        <v>17652</v>
      </c>
      <c r="C234" s="13" t="s">
        <v>6</v>
      </c>
      <c r="D234" s="13" t="s">
        <v>2484</v>
      </c>
    </row>
    <row r="235" spans="1:4">
      <c r="A235" s="13" t="s">
        <v>17654</v>
      </c>
    </row>
    <row r="236" spans="1:4">
      <c r="A236" s="13">
        <v>7070100010</v>
      </c>
      <c r="B236" s="13" t="s">
        <v>17655</v>
      </c>
      <c r="C236" s="13" t="s">
        <v>12</v>
      </c>
      <c r="D236" s="13" t="s">
        <v>17656</v>
      </c>
    </row>
    <row r="237" spans="1:4">
      <c r="A237" s="13">
        <v>7070100020</v>
      </c>
      <c r="B237" s="13" t="s">
        <v>17657</v>
      </c>
      <c r="C237" s="13" t="s">
        <v>12</v>
      </c>
      <c r="D237" s="27" t="s">
        <v>17658</v>
      </c>
    </row>
    <row r="238" spans="1:4">
      <c r="A238" s="13">
        <v>7070100030</v>
      </c>
      <c r="B238" s="13" t="s">
        <v>17659</v>
      </c>
      <c r="C238" s="13" t="s">
        <v>12</v>
      </c>
      <c r="D238" s="27" t="s">
        <v>17660</v>
      </c>
    </row>
    <row r="239" spans="1:4">
      <c r="A239" s="13">
        <v>7070100040</v>
      </c>
      <c r="B239" s="13" t="s">
        <v>17661</v>
      </c>
      <c r="C239" s="13" t="s">
        <v>12</v>
      </c>
      <c r="D239" s="13" t="s">
        <v>17662</v>
      </c>
    </row>
    <row r="240" spans="1:4">
      <c r="A240" s="13">
        <v>7070100050</v>
      </c>
      <c r="B240" s="13" t="s">
        <v>17663</v>
      </c>
      <c r="C240" s="13" t="s">
        <v>12</v>
      </c>
      <c r="D240" s="13" t="s">
        <v>17662</v>
      </c>
    </row>
    <row r="241" spans="1:4">
      <c r="A241" s="13">
        <v>7070100060</v>
      </c>
      <c r="B241" s="13" t="s">
        <v>17664</v>
      </c>
      <c r="C241" s="13" t="s">
        <v>12</v>
      </c>
      <c r="D241" s="13" t="s">
        <v>17665</v>
      </c>
    </row>
    <row r="242" spans="1:4">
      <c r="A242" s="13">
        <v>7070100070</v>
      </c>
      <c r="B242" s="13" t="s">
        <v>17666</v>
      </c>
      <c r="C242" s="13" t="s">
        <v>12</v>
      </c>
      <c r="D242" s="13" t="s">
        <v>17667</v>
      </c>
    </row>
    <row r="243" spans="1:4">
      <c r="A243" s="13">
        <v>7070100080</v>
      </c>
      <c r="B243" s="13" t="s">
        <v>17668</v>
      </c>
      <c r="C243" s="13" t="s">
        <v>9</v>
      </c>
      <c r="D243" s="13" t="s">
        <v>17669</v>
      </c>
    </row>
    <row r="244" spans="1:4">
      <c r="A244" s="13">
        <v>7070100090</v>
      </c>
      <c r="B244" s="13" t="s">
        <v>17670</v>
      </c>
      <c r="C244" s="13" t="s">
        <v>12</v>
      </c>
      <c r="D244" s="13" t="s">
        <v>17671</v>
      </c>
    </row>
    <row r="245" spans="1:4">
      <c r="A245" s="13">
        <v>7070100100</v>
      </c>
      <c r="B245" s="13" t="s">
        <v>17672</v>
      </c>
      <c r="C245" s="13" t="s">
        <v>9</v>
      </c>
      <c r="D245" s="13" t="s">
        <v>17673</v>
      </c>
    </row>
    <row r="246" spans="1:4">
      <c r="A246" s="13">
        <v>7070100110</v>
      </c>
      <c r="B246" s="13" t="s">
        <v>17674</v>
      </c>
      <c r="C246" s="13" t="s">
        <v>9</v>
      </c>
      <c r="D246" s="13" t="s">
        <v>2540</v>
      </c>
    </row>
    <row r="247" spans="1:4">
      <c r="A247" s="13">
        <v>7070100120</v>
      </c>
      <c r="B247" s="13" t="s">
        <v>17675</v>
      </c>
      <c r="C247" s="13" t="s">
        <v>9</v>
      </c>
      <c r="D247" s="13" t="s">
        <v>17676</v>
      </c>
    </row>
    <row r="248" spans="1:4">
      <c r="A248" s="13">
        <v>7070100130</v>
      </c>
      <c r="B248" s="13" t="s">
        <v>17677</v>
      </c>
      <c r="C248" s="13" t="s">
        <v>9</v>
      </c>
      <c r="D248" s="13" t="s">
        <v>17678</v>
      </c>
    </row>
    <row r="249" spans="1:4">
      <c r="A249" s="13">
        <v>7070100140</v>
      </c>
      <c r="B249" s="13" t="s">
        <v>17679</v>
      </c>
      <c r="C249" s="13" t="s">
        <v>9</v>
      </c>
      <c r="D249" s="13" t="s">
        <v>17680</v>
      </c>
    </row>
    <row r="250" spans="1:4">
      <c r="A250" s="13">
        <v>7070100150</v>
      </c>
      <c r="B250" s="13" t="s">
        <v>17681</v>
      </c>
      <c r="C250" s="13" t="s">
        <v>9</v>
      </c>
      <c r="D250" s="13" t="s">
        <v>17682</v>
      </c>
    </row>
    <row r="251" spans="1:4">
      <c r="A251" s="13">
        <v>7070100160</v>
      </c>
      <c r="B251" s="13" t="s">
        <v>17683</v>
      </c>
      <c r="C251" s="13" t="s">
        <v>9</v>
      </c>
      <c r="D251" s="13" t="s">
        <v>17684</v>
      </c>
    </row>
    <row r="252" spans="1:4">
      <c r="A252" s="13">
        <v>7070100170</v>
      </c>
      <c r="B252" s="13" t="s">
        <v>17685</v>
      </c>
      <c r="C252" s="13" t="s">
        <v>12</v>
      </c>
      <c r="D252" s="13" t="s">
        <v>4060</v>
      </c>
    </row>
    <row r="253" spans="1:4">
      <c r="A253" s="13">
        <v>7070100180</v>
      </c>
      <c r="B253" s="13" t="s">
        <v>17686</v>
      </c>
      <c r="C253" s="13" t="s">
        <v>9</v>
      </c>
      <c r="D253" s="13" t="s">
        <v>2407</v>
      </c>
    </row>
    <row r="254" spans="1:4">
      <c r="A254" s="13">
        <v>7070100190</v>
      </c>
      <c r="B254" s="13" t="s">
        <v>17687</v>
      </c>
      <c r="C254" s="13" t="s">
        <v>8</v>
      </c>
      <c r="D254" s="13" t="s">
        <v>4162</v>
      </c>
    </row>
    <row r="255" spans="1:4">
      <c r="A255" s="13">
        <v>7070100200</v>
      </c>
      <c r="B255" s="13" t="s">
        <v>17688</v>
      </c>
      <c r="C255" s="13" t="s">
        <v>8</v>
      </c>
      <c r="D255" s="13" t="s">
        <v>2379</v>
      </c>
    </row>
    <row r="256" spans="1:4">
      <c r="A256" s="13">
        <v>7070100210</v>
      </c>
      <c r="B256" s="13" t="s">
        <v>17689</v>
      </c>
      <c r="C256" s="13" t="s">
        <v>8</v>
      </c>
      <c r="D256" s="13" t="s">
        <v>2430</v>
      </c>
    </row>
    <row r="257" spans="1:4">
      <c r="A257" s="13">
        <v>7070100220</v>
      </c>
      <c r="B257" s="13" t="s">
        <v>17690</v>
      </c>
      <c r="C257" s="13" t="s">
        <v>12</v>
      </c>
      <c r="D257" s="13" t="s">
        <v>17671</v>
      </c>
    </row>
    <row r="258" spans="1:4">
      <c r="A258" s="13">
        <v>7070100230</v>
      </c>
      <c r="B258" s="13" t="s">
        <v>17691</v>
      </c>
      <c r="C258" s="13" t="s">
        <v>12</v>
      </c>
      <c r="D258" s="13" t="s">
        <v>17692</v>
      </c>
    </row>
    <row r="259" spans="1:4">
      <c r="A259" s="13">
        <v>7070100240</v>
      </c>
      <c r="B259" s="13" t="s">
        <v>17693</v>
      </c>
      <c r="C259" s="13" t="s">
        <v>12</v>
      </c>
      <c r="D259" s="13" t="s">
        <v>17694</v>
      </c>
    </row>
    <row r="264" spans="1:4">
      <c r="A264" s="13">
        <v>7070100250</v>
      </c>
      <c r="B264" s="13" t="s">
        <v>17695</v>
      </c>
      <c r="C264" s="13" t="s">
        <v>12</v>
      </c>
      <c r="D264" s="13" t="s">
        <v>17696</v>
      </c>
    </row>
    <row r="265" spans="1:4">
      <c r="A265" s="13">
        <v>7070100260</v>
      </c>
      <c r="B265" s="13" t="s">
        <v>17697</v>
      </c>
      <c r="C265" s="13" t="s">
        <v>12</v>
      </c>
      <c r="D265" s="13" t="s">
        <v>17698</v>
      </c>
    </row>
    <row r="266" spans="1:4">
      <c r="A266" s="13">
        <v>7070100270</v>
      </c>
      <c r="B266" s="13" t="s">
        <v>17699</v>
      </c>
      <c r="C266" s="13" t="s">
        <v>12</v>
      </c>
      <c r="D266" s="13" t="s">
        <v>17700</v>
      </c>
    </row>
    <row r="267" spans="1:4">
      <c r="A267" s="13">
        <v>7070100280</v>
      </c>
      <c r="B267" s="13" t="s">
        <v>17701</v>
      </c>
      <c r="C267" s="13" t="s">
        <v>12</v>
      </c>
      <c r="D267" s="13" t="s">
        <v>17702</v>
      </c>
    </row>
    <row r="268" spans="1:4">
      <c r="A268" s="13">
        <v>7070100290</v>
      </c>
      <c r="B268" s="13" t="s">
        <v>17703</v>
      </c>
      <c r="C268" s="13" t="s">
        <v>12</v>
      </c>
      <c r="D268" s="13" t="s">
        <v>17704</v>
      </c>
    </row>
    <row r="269" spans="1:4">
      <c r="A269" s="13">
        <v>7070100300</v>
      </c>
      <c r="B269" s="13" t="s">
        <v>17705</v>
      </c>
      <c r="C269" s="13" t="s">
        <v>12</v>
      </c>
      <c r="D269" s="13" t="s">
        <v>17706</v>
      </c>
    </row>
    <row r="270" spans="1:4">
      <c r="A270" s="13">
        <v>7070100310</v>
      </c>
      <c r="B270" s="13" t="s">
        <v>17707</v>
      </c>
      <c r="C270" s="13" t="s">
        <v>12</v>
      </c>
      <c r="D270" s="13" t="s">
        <v>17708</v>
      </c>
    </row>
    <row r="271" spans="1:4">
      <c r="A271" s="13">
        <v>7070100320</v>
      </c>
      <c r="B271" s="13" t="s">
        <v>17709</v>
      </c>
      <c r="C271" s="13" t="s">
        <v>12</v>
      </c>
      <c r="D271" s="13" t="s">
        <v>17710</v>
      </c>
    </row>
    <row r="272" spans="1:4">
      <c r="A272" s="13">
        <v>7070100330</v>
      </c>
      <c r="B272" s="13" t="s">
        <v>17711</v>
      </c>
      <c r="C272" s="13" t="s">
        <v>12</v>
      </c>
      <c r="D272" s="13" t="s">
        <v>17712</v>
      </c>
    </row>
    <row r="273" spans="1:4">
      <c r="A273" s="13">
        <v>7070100340</v>
      </c>
      <c r="B273" s="13" t="s">
        <v>17713</v>
      </c>
      <c r="C273" s="13" t="s">
        <v>12</v>
      </c>
      <c r="D273" s="13" t="s">
        <v>17714</v>
      </c>
    </row>
    <row r="274" spans="1:4">
      <c r="A274" s="13">
        <v>7070100350</v>
      </c>
      <c r="B274" s="13" t="s">
        <v>17715</v>
      </c>
      <c r="C274" s="13" t="s">
        <v>12</v>
      </c>
      <c r="D274" s="13" t="s">
        <v>17716</v>
      </c>
    </row>
    <row r="275" spans="1:4">
      <c r="A275" s="13">
        <v>7070100360</v>
      </c>
      <c r="B275" s="13" t="s">
        <v>17717</v>
      </c>
      <c r="C275" s="13" t="s">
        <v>12</v>
      </c>
      <c r="D275" s="13" t="s">
        <v>17718</v>
      </c>
    </row>
    <row r="276" spans="1:4">
      <c r="A276" s="13">
        <v>7070100370</v>
      </c>
      <c r="B276" s="13" t="s">
        <v>17719</v>
      </c>
      <c r="C276" s="13" t="s">
        <v>12</v>
      </c>
      <c r="D276" s="13" t="s">
        <v>17720</v>
      </c>
    </row>
    <row r="277" spans="1:4">
      <c r="A277" s="13">
        <v>7070100380</v>
      </c>
      <c r="B277" s="13" t="s">
        <v>17721</v>
      </c>
      <c r="C277" s="13" t="s">
        <v>9</v>
      </c>
      <c r="D277" s="13" t="s">
        <v>17722</v>
      </c>
    </row>
    <row r="278" spans="1:4">
      <c r="A278" s="13">
        <v>7070100390</v>
      </c>
      <c r="B278" s="13" t="s">
        <v>17723</v>
      </c>
      <c r="C278" s="13" t="s">
        <v>9</v>
      </c>
      <c r="D278" s="13" t="s">
        <v>2496</v>
      </c>
    </row>
    <row r="279" spans="1:4">
      <c r="A279" s="13">
        <v>7070100400</v>
      </c>
      <c r="B279" s="13" t="s">
        <v>17724</v>
      </c>
      <c r="C279" s="13" t="s">
        <v>6</v>
      </c>
      <c r="D279" s="13" t="s">
        <v>17725</v>
      </c>
    </row>
    <row r="280" spans="1:4">
      <c r="A280" s="13">
        <v>7070100410</v>
      </c>
      <c r="B280" s="13" t="s">
        <v>17726</v>
      </c>
      <c r="C280" s="13" t="s">
        <v>6</v>
      </c>
      <c r="D280" s="13" t="s">
        <v>17725</v>
      </c>
    </row>
    <row r="281" spans="1:4">
      <c r="A281" s="13">
        <v>7070100420</v>
      </c>
      <c r="B281" s="13" t="s">
        <v>17727</v>
      </c>
      <c r="C281" s="13" t="s">
        <v>6</v>
      </c>
      <c r="D281" s="13" t="s">
        <v>17728</v>
      </c>
    </row>
    <row r="282" spans="1:4">
      <c r="A282" s="13">
        <v>7070100430</v>
      </c>
      <c r="B282" s="13" t="s">
        <v>17729</v>
      </c>
      <c r="C282" s="13" t="s">
        <v>6</v>
      </c>
      <c r="D282" s="13" t="s">
        <v>17730</v>
      </c>
    </row>
    <row r="283" spans="1:4">
      <c r="A283" s="13">
        <v>7070100440</v>
      </c>
      <c r="B283" s="13" t="s">
        <v>17731</v>
      </c>
      <c r="C283" s="13" t="s">
        <v>6</v>
      </c>
      <c r="D283" s="13" t="s">
        <v>2468</v>
      </c>
    </row>
    <row r="284" spans="1:4">
      <c r="A284" s="13">
        <v>7070100450</v>
      </c>
      <c r="B284" s="13" t="s">
        <v>17732</v>
      </c>
      <c r="C284" s="13" t="s">
        <v>6</v>
      </c>
      <c r="D284" s="13" t="s">
        <v>17733</v>
      </c>
    </row>
    <row r="285" spans="1:4">
      <c r="A285" s="13">
        <v>7070100460</v>
      </c>
      <c r="B285" s="13" t="s">
        <v>17734</v>
      </c>
      <c r="C285" s="13" t="s">
        <v>6</v>
      </c>
      <c r="D285" s="13" t="s">
        <v>17735</v>
      </c>
    </row>
    <row r="286" spans="1:4">
      <c r="A286" s="13">
        <v>7070100470</v>
      </c>
      <c r="B286" s="13" t="s">
        <v>17736</v>
      </c>
      <c r="C286" s="13" t="s">
        <v>6</v>
      </c>
      <c r="D286" s="13" t="s">
        <v>17737</v>
      </c>
    </row>
    <row r="287" spans="1:4">
      <c r="A287" s="13">
        <v>7070100480</v>
      </c>
      <c r="B287" s="13" t="s">
        <v>17738</v>
      </c>
      <c r="C287" s="13" t="s">
        <v>6</v>
      </c>
      <c r="D287" s="13" t="s">
        <v>17739</v>
      </c>
    </row>
    <row r="288" spans="1:4">
      <c r="A288" s="13">
        <v>7070100490</v>
      </c>
      <c r="B288" s="13" t="s">
        <v>17740</v>
      </c>
      <c r="C288" s="13" t="s">
        <v>6</v>
      </c>
      <c r="D288" s="13" t="s">
        <v>17741</v>
      </c>
    </row>
    <row r="289" spans="1:4">
      <c r="A289" s="13">
        <v>7070100500</v>
      </c>
      <c r="B289" s="13" t="s">
        <v>17742</v>
      </c>
      <c r="C289" s="13" t="s">
        <v>6</v>
      </c>
      <c r="D289" s="13" t="s">
        <v>17743</v>
      </c>
    </row>
    <row r="290" spans="1:4">
      <c r="A290" s="13">
        <v>7070100510</v>
      </c>
      <c r="B290" s="13" t="s">
        <v>17744</v>
      </c>
      <c r="C290" s="13" t="s">
        <v>6</v>
      </c>
      <c r="D290" s="13" t="s">
        <v>17745</v>
      </c>
    </row>
    <row r="291" spans="1:4">
      <c r="A291" s="13">
        <v>7070100520</v>
      </c>
      <c r="B291" s="13" t="s">
        <v>17746</v>
      </c>
      <c r="C291" s="13" t="s">
        <v>7</v>
      </c>
      <c r="D291" s="13" t="s">
        <v>17747</v>
      </c>
    </row>
    <row r="292" spans="1:4">
      <c r="A292" s="13">
        <v>7070100530</v>
      </c>
      <c r="B292" s="13" t="s">
        <v>17748</v>
      </c>
      <c r="C292" s="13" t="s">
        <v>7</v>
      </c>
      <c r="D292" s="13" t="s">
        <v>17749</v>
      </c>
    </row>
    <row r="293" spans="1:4">
      <c r="A293" s="13">
        <v>7070100540</v>
      </c>
      <c r="B293" s="13" t="s">
        <v>17750</v>
      </c>
      <c r="C293" s="13" t="s">
        <v>7</v>
      </c>
      <c r="D293" s="13" t="s">
        <v>17751</v>
      </c>
    </row>
    <row r="294" spans="1:4">
      <c r="A294" s="13">
        <v>7070100550</v>
      </c>
      <c r="B294" s="13" t="s">
        <v>17752</v>
      </c>
      <c r="C294" s="13" t="s">
        <v>12</v>
      </c>
      <c r="D294" s="13" t="s">
        <v>17753</v>
      </c>
    </row>
    <row r="295" spans="1:4">
      <c r="A295" s="13" t="s">
        <v>17754</v>
      </c>
      <c r="D295" s="27"/>
    </row>
    <row r="296" spans="1:4">
      <c r="A296" s="13">
        <v>7080100010</v>
      </c>
      <c r="B296" s="13" t="s">
        <v>17755</v>
      </c>
      <c r="C296" s="13" t="s">
        <v>7</v>
      </c>
      <c r="D296" s="27" t="s">
        <v>17756</v>
      </c>
    </row>
    <row r="297" spans="1:4">
      <c r="A297" s="13">
        <v>7080100020</v>
      </c>
      <c r="B297" s="13" t="s">
        <v>17757</v>
      </c>
      <c r="C297" s="13" t="s">
        <v>7</v>
      </c>
      <c r="D297" s="13" t="s">
        <v>17758</v>
      </c>
    </row>
    <row r="298" spans="1:4">
      <c r="A298" s="13">
        <v>7080100030</v>
      </c>
      <c r="B298" s="13" t="s">
        <v>17759</v>
      </c>
      <c r="C298" s="13" t="s">
        <v>7</v>
      </c>
      <c r="D298" s="13" t="s">
        <v>17760</v>
      </c>
    </row>
    <row r="299" spans="1:4">
      <c r="A299" s="13">
        <v>7080100040</v>
      </c>
      <c r="B299" s="13" t="s">
        <v>17761</v>
      </c>
      <c r="C299" s="13" t="s">
        <v>7</v>
      </c>
      <c r="D299" s="13" t="s">
        <v>17762</v>
      </c>
    </row>
    <row r="300" spans="1:4">
      <c r="A300" s="13">
        <v>7080100050</v>
      </c>
      <c r="B300" s="13" t="s">
        <v>17763</v>
      </c>
      <c r="C300" s="13" t="s">
        <v>7</v>
      </c>
      <c r="D300" s="13" t="s">
        <v>17764</v>
      </c>
    </row>
    <row r="301" spans="1:4">
      <c r="A301" s="13">
        <v>7080100060</v>
      </c>
      <c r="B301" s="13" t="s">
        <v>17765</v>
      </c>
      <c r="C301" s="13" t="s">
        <v>7</v>
      </c>
      <c r="D301" s="13" t="s">
        <v>17766</v>
      </c>
    </row>
    <row r="302" spans="1:4">
      <c r="A302" s="13">
        <v>7080100070</v>
      </c>
      <c r="B302" s="13" t="s">
        <v>17767</v>
      </c>
      <c r="C302" s="13" t="s">
        <v>7</v>
      </c>
      <c r="D302" s="13" t="s">
        <v>17768</v>
      </c>
    </row>
    <row r="303" spans="1:4">
      <c r="A303" s="13">
        <v>7080100080</v>
      </c>
      <c r="B303" s="13" t="s">
        <v>17769</v>
      </c>
      <c r="C303" s="13" t="s">
        <v>7</v>
      </c>
      <c r="D303" s="13" t="s">
        <v>17770</v>
      </c>
    </row>
    <row r="304" spans="1:4">
      <c r="A304" s="13">
        <v>7080100090</v>
      </c>
      <c r="B304" s="13" t="s">
        <v>17771</v>
      </c>
      <c r="C304" s="13" t="s">
        <v>7</v>
      </c>
      <c r="D304" s="13" t="s">
        <v>17772</v>
      </c>
    </row>
    <row r="305" spans="1:4">
      <c r="A305" s="13">
        <v>7080100100</v>
      </c>
      <c r="B305" s="13" t="s">
        <v>17773</v>
      </c>
      <c r="C305" s="13" t="s">
        <v>7</v>
      </c>
      <c r="D305" s="13" t="s">
        <v>17774</v>
      </c>
    </row>
    <row r="306" spans="1:4">
      <c r="A306" s="13">
        <v>7080100110</v>
      </c>
      <c r="B306" s="13" t="s">
        <v>17775</v>
      </c>
      <c r="C306" s="13" t="s">
        <v>7</v>
      </c>
      <c r="D306" s="13" t="s">
        <v>17776</v>
      </c>
    </row>
    <row r="307" spans="1:4">
      <c r="A307" s="13">
        <v>7080100120</v>
      </c>
      <c r="B307" s="13" t="s">
        <v>17777</v>
      </c>
      <c r="C307" s="13" t="s">
        <v>7</v>
      </c>
      <c r="D307" s="13" t="s">
        <v>17778</v>
      </c>
    </row>
    <row r="308" spans="1:4">
      <c r="A308" s="13">
        <v>7080100130</v>
      </c>
      <c r="B308" s="13" t="s">
        <v>17779</v>
      </c>
      <c r="C308" s="13" t="s">
        <v>7</v>
      </c>
      <c r="D308" s="13" t="s">
        <v>17780</v>
      </c>
    </row>
    <row r="309" spans="1:4">
      <c r="A309" s="13">
        <v>7080100140</v>
      </c>
      <c r="B309" s="13" t="s">
        <v>17781</v>
      </c>
      <c r="C309" s="13" t="s">
        <v>7</v>
      </c>
      <c r="D309" s="13" t="s">
        <v>17782</v>
      </c>
    </row>
    <row r="310" spans="1:4">
      <c r="A310" s="13">
        <v>7080100145</v>
      </c>
      <c r="B310" s="13" t="s">
        <v>17783</v>
      </c>
      <c r="C310" s="13" t="s">
        <v>7</v>
      </c>
      <c r="D310" s="13" t="s">
        <v>17784</v>
      </c>
    </row>
    <row r="311" spans="1:4">
      <c r="A311" s="13">
        <v>7080100150</v>
      </c>
      <c r="B311" s="13" t="s">
        <v>17785</v>
      </c>
      <c r="C311" s="13" t="s">
        <v>7</v>
      </c>
      <c r="D311" s="13" t="s">
        <v>17786</v>
      </c>
    </row>
    <row r="316" spans="1:4">
      <c r="A316" s="13">
        <v>7080100160</v>
      </c>
      <c r="B316" s="13" t="s">
        <v>17787</v>
      </c>
      <c r="C316" s="13" t="s">
        <v>7</v>
      </c>
      <c r="D316" s="13" t="s">
        <v>17788</v>
      </c>
    </row>
    <row r="317" spans="1:4">
      <c r="A317" s="13">
        <v>7080100170</v>
      </c>
      <c r="B317" s="13" t="s">
        <v>17789</v>
      </c>
      <c r="C317" s="13" t="s">
        <v>7</v>
      </c>
      <c r="D317" s="13" t="s">
        <v>17790</v>
      </c>
    </row>
    <row r="318" spans="1:4">
      <c r="A318" s="13">
        <v>7080100180</v>
      </c>
      <c r="B318" s="13" t="s">
        <v>17791</v>
      </c>
      <c r="C318" s="13" t="s">
        <v>7</v>
      </c>
      <c r="D318" s="13" t="s">
        <v>17792</v>
      </c>
    </row>
    <row r="319" spans="1:4">
      <c r="A319" s="13">
        <v>7080100190</v>
      </c>
      <c r="B319" s="13" t="s">
        <v>17793</v>
      </c>
      <c r="C319" s="13" t="s">
        <v>7</v>
      </c>
      <c r="D319" s="13" t="s">
        <v>17794</v>
      </c>
    </row>
    <row r="320" spans="1:4">
      <c r="A320" s="13">
        <v>7080100200</v>
      </c>
      <c r="B320" s="13" t="s">
        <v>17795</v>
      </c>
      <c r="C320" s="13" t="s">
        <v>7</v>
      </c>
      <c r="D320" s="13" t="s">
        <v>17796</v>
      </c>
    </row>
    <row r="321" spans="1:4">
      <c r="A321" s="13">
        <v>7080100210</v>
      </c>
      <c r="B321" s="13" t="s">
        <v>17797</v>
      </c>
      <c r="C321" s="13" t="s">
        <v>7</v>
      </c>
      <c r="D321" s="13" t="s">
        <v>17798</v>
      </c>
    </row>
    <row r="322" spans="1:4">
      <c r="A322" s="13">
        <v>7080100220</v>
      </c>
      <c r="B322" s="13" t="s">
        <v>17799</v>
      </c>
      <c r="C322" s="13" t="s">
        <v>7</v>
      </c>
      <c r="D322" s="13" t="s">
        <v>17800</v>
      </c>
    </row>
    <row r="323" spans="1:4">
      <c r="A323" s="13">
        <v>7080100230</v>
      </c>
      <c r="B323" s="13" t="s">
        <v>17801</v>
      </c>
      <c r="C323" s="13" t="s">
        <v>7</v>
      </c>
      <c r="D323" s="13" t="s">
        <v>17802</v>
      </c>
    </row>
    <row r="324" spans="1:4">
      <c r="A324" s="13">
        <v>7080100240</v>
      </c>
      <c r="B324" s="13" t="s">
        <v>17803</v>
      </c>
      <c r="C324" s="13" t="s">
        <v>7</v>
      </c>
      <c r="D324" s="13" t="s">
        <v>17804</v>
      </c>
    </row>
    <row r="325" spans="1:4">
      <c r="A325" s="13">
        <v>7080100250</v>
      </c>
      <c r="B325" s="13" t="s">
        <v>17805</v>
      </c>
      <c r="C325" s="13" t="s">
        <v>7</v>
      </c>
      <c r="D325" s="13" t="s">
        <v>17806</v>
      </c>
    </row>
    <row r="326" spans="1:4">
      <c r="A326" s="13">
        <v>7080100260</v>
      </c>
      <c r="B326" s="13" t="s">
        <v>17807</v>
      </c>
      <c r="C326" s="13" t="s">
        <v>7</v>
      </c>
      <c r="D326" s="13" t="s">
        <v>17808</v>
      </c>
    </row>
    <row r="327" spans="1:4">
      <c r="A327" s="13">
        <v>7080100270</v>
      </c>
      <c r="B327" s="13" t="s">
        <v>17809</v>
      </c>
      <c r="C327" s="13" t="s">
        <v>7</v>
      </c>
      <c r="D327" s="13" t="s">
        <v>17810</v>
      </c>
    </row>
    <row r="328" spans="1:4">
      <c r="A328" s="13">
        <v>7080100280</v>
      </c>
      <c r="B328" s="13" t="s">
        <v>17811</v>
      </c>
      <c r="C328" s="13" t="s">
        <v>7</v>
      </c>
      <c r="D328" s="13" t="s">
        <v>17812</v>
      </c>
    </row>
    <row r="329" spans="1:4">
      <c r="A329" s="13">
        <v>7080100290</v>
      </c>
      <c r="B329" s="13" t="s">
        <v>17813</v>
      </c>
      <c r="C329" s="13" t="s">
        <v>7</v>
      </c>
      <c r="D329" s="13" t="s">
        <v>17814</v>
      </c>
    </row>
    <row r="330" spans="1:4">
      <c r="A330" s="13">
        <v>7080100300</v>
      </c>
      <c r="B330" s="13" t="s">
        <v>17815</v>
      </c>
      <c r="C330" s="13" t="s">
        <v>7</v>
      </c>
      <c r="D330" s="13" t="s">
        <v>17816</v>
      </c>
    </row>
    <row r="331" spans="1:4">
      <c r="A331" s="13">
        <v>7080100310</v>
      </c>
      <c r="B331" s="13" t="s">
        <v>17817</v>
      </c>
      <c r="C331" s="13" t="s">
        <v>7</v>
      </c>
      <c r="D331" s="13" t="s">
        <v>17818</v>
      </c>
    </row>
    <row r="332" spans="1:4">
      <c r="A332" s="13">
        <v>7080100320</v>
      </c>
      <c r="B332" s="13" t="s">
        <v>17819</v>
      </c>
      <c r="C332" s="13" t="s">
        <v>7</v>
      </c>
      <c r="D332" s="13" t="s">
        <v>17820</v>
      </c>
    </row>
    <row r="333" spans="1:4">
      <c r="A333" s="13" t="s">
        <v>17821</v>
      </c>
    </row>
    <row r="334" spans="1:4">
      <c r="A334" s="13">
        <v>7090100010</v>
      </c>
      <c r="B334" s="13" t="s">
        <v>17822</v>
      </c>
      <c r="C334" s="13" t="s">
        <v>9</v>
      </c>
      <c r="D334" s="13" t="s">
        <v>17823</v>
      </c>
    </row>
    <row r="335" spans="1:4">
      <c r="A335" s="13">
        <v>7090100020</v>
      </c>
      <c r="B335" s="13" t="s">
        <v>17824</v>
      </c>
      <c r="C335" s="13" t="s">
        <v>9</v>
      </c>
      <c r="D335" s="13" t="s">
        <v>17825</v>
      </c>
    </row>
    <row r="336" spans="1:4">
      <c r="A336" s="13">
        <v>7090100030</v>
      </c>
      <c r="B336" s="13" t="s">
        <v>17826</v>
      </c>
      <c r="C336" s="13" t="s">
        <v>9</v>
      </c>
      <c r="D336" s="13" t="s">
        <v>2510</v>
      </c>
    </row>
    <row r="337" spans="1:4">
      <c r="A337" s="13">
        <v>7090100040</v>
      </c>
      <c r="B337" s="13" t="s">
        <v>17827</v>
      </c>
      <c r="C337" s="13" t="s">
        <v>9</v>
      </c>
      <c r="D337" s="13" t="s">
        <v>17828</v>
      </c>
    </row>
    <row r="338" spans="1:4">
      <c r="A338" s="13">
        <v>7090100050</v>
      </c>
      <c r="B338" s="13" t="s">
        <v>17829</v>
      </c>
      <c r="C338" s="13" t="s">
        <v>9</v>
      </c>
      <c r="D338" s="13" t="s">
        <v>17830</v>
      </c>
    </row>
    <row r="339" spans="1:4">
      <c r="A339" s="13">
        <v>7090100060</v>
      </c>
      <c r="B339" s="13" t="s">
        <v>17831</v>
      </c>
      <c r="C339" s="13" t="s">
        <v>9</v>
      </c>
      <c r="D339" s="13" t="s">
        <v>2406</v>
      </c>
    </row>
    <row r="340" spans="1:4">
      <c r="A340" s="13">
        <v>7090100070</v>
      </c>
      <c r="B340" s="13" t="s">
        <v>17832</v>
      </c>
      <c r="C340" s="13" t="s">
        <v>9</v>
      </c>
      <c r="D340" s="13" t="s">
        <v>2841</v>
      </c>
    </row>
    <row r="341" spans="1:4">
      <c r="A341" s="13">
        <v>7090100080</v>
      </c>
      <c r="B341" s="13" t="s">
        <v>17833</v>
      </c>
      <c r="C341" s="13" t="s">
        <v>9</v>
      </c>
      <c r="D341" s="13" t="s">
        <v>4775</v>
      </c>
    </row>
    <row r="342" spans="1:4">
      <c r="A342" s="13">
        <v>7090100090</v>
      </c>
      <c r="B342" s="13" t="s">
        <v>17834</v>
      </c>
      <c r="C342" s="13" t="s">
        <v>9</v>
      </c>
      <c r="D342" s="13" t="s">
        <v>5970</v>
      </c>
    </row>
    <row r="343" spans="1:4">
      <c r="A343" s="13">
        <v>7090100100</v>
      </c>
      <c r="B343" s="13" t="s">
        <v>17835</v>
      </c>
      <c r="C343" s="13" t="s">
        <v>9</v>
      </c>
      <c r="D343" s="13" t="s">
        <v>6052</v>
      </c>
    </row>
    <row r="344" spans="1:4">
      <c r="A344" s="13">
        <v>7090100110</v>
      </c>
      <c r="B344" s="13" t="s">
        <v>17836</v>
      </c>
      <c r="C344" s="13" t="s">
        <v>9</v>
      </c>
      <c r="D344" s="13" t="s">
        <v>17837</v>
      </c>
    </row>
    <row r="345" spans="1:4">
      <c r="A345" s="13">
        <v>7090100120</v>
      </c>
      <c r="B345" s="13" t="s">
        <v>17838</v>
      </c>
      <c r="C345" s="13" t="s">
        <v>9</v>
      </c>
      <c r="D345" s="13" t="s">
        <v>17839</v>
      </c>
    </row>
    <row r="346" spans="1:4">
      <c r="A346" s="13">
        <v>7090100130</v>
      </c>
      <c r="B346" s="13" t="s">
        <v>17840</v>
      </c>
      <c r="C346" s="13" t="s">
        <v>9</v>
      </c>
      <c r="D346" s="13" t="s">
        <v>17841</v>
      </c>
    </row>
    <row r="347" spans="1:4">
      <c r="A347" s="13">
        <v>7090100140</v>
      </c>
      <c r="B347" s="13" t="s">
        <v>17842</v>
      </c>
      <c r="C347" s="13" t="s">
        <v>9</v>
      </c>
      <c r="D347" s="13" t="s">
        <v>4056</v>
      </c>
    </row>
    <row r="348" spans="1:4">
      <c r="A348" s="13">
        <v>7090100150</v>
      </c>
      <c r="B348" s="13" t="s">
        <v>17843</v>
      </c>
      <c r="C348" s="13" t="s">
        <v>6</v>
      </c>
      <c r="D348" s="13" t="s">
        <v>17844</v>
      </c>
    </row>
    <row r="349" spans="1:4">
      <c r="A349" s="13">
        <v>7090100160</v>
      </c>
      <c r="B349" s="13" t="s">
        <v>17845</v>
      </c>
      <c r="C349" s="13" t="s">
        <v>6</v>
      </c>
      <c r="D349" s="13" t="s">
        <v>17846</v>
      </c>
    </row>
    <row r="350" spans="1:4">
      <c r="A350" s="13">
        <v>7090100170</v>
      </c>
      <c r="B350" s="13" t="s">
        <v>17847</v>
      </c>
      <c r="C350" s="13" t="s">
        <v>9</v>
      </c>
      <c r="D350" s="13" t="s">
        <v>17848</v>
      </c>
    </row>
    <row r="351" spans="1:4">
      <c r="A351" s="13">
        <v>7090100180</v>
      </c>
      <c r="B351" s="13" t="s">
        <v>17849</v>
      </c>
      <c r="C351" s="13" t="s">
        <v>9</v>
      </c>
      <c r="D351" s="13" t="s">
        <v>17850</v>
      </c>
    </row>
    <row r="352" spans="1:4">
      <c r="A352" s="13">
        <v>7090100190</v>
      </c>
      <c r="B352" s="13" t="s">
        <v>17851</v>
      </c>
      <c r="C352" s="13" t="s">
        <v>9</v>
      </c>
      <c r="D352" s="13" t="s">
        <v>17852</v>
      </c>
    </row>
    <row r="353" spans="1:4">
      <c r="A353" s="13">
        <v>7090100200</v>
      </c>
      <c r="B353" s="13" t="s">
        <v>17853</v>
      </c>
      <c r="C353" s="13" t="s">
        <v>6</v>
      </c>
      <c r="D353" s="27" t="s">
        <v>17854</v>
      </c>
    </row>
    <row r="354" spans="1:4">
      <c r="A354" s="13">
        <v>7090100210</v>
      </c>
      <c r="B354" s="13" t="s">
        <v>17855</v>
      </c>
      <c r="C354" s="13" t="s">
        <v>6</v>
      </c>
      <c r="D354" s="27" t="s">
        <v>17856</v>
      </c>
    </row>
    <row r="355" spans="1:4">
      <c r="A355" s="13">
        <v>7090100220</v>
      </c>
      <c r="B355" s="13" t="s">
        <v>17857</v>
      </c>
      <c r="C355" s="13" t="s">
        <v>6</v>
      </c>
      <c r="D355" s="13" t="s">
        <v>17858</v>
      </c>
    </row>
    <row r="356" spans="1:4">
      <c r="A356" s="13">
        <v>7090100230</v>
      </c>
      <c r="B356" s="13" t="s">
        <v>17859</v>
      </c>
      <c r="C356" s="13" t="s">
        <v>6</v>
      </c>
      <c r="D356" s="13" t="s">
        <v>17860</v>
      </c>
    </row>
    <row r="357" spans="1:4">
      <c r="A357" s="13">
        <v>7090100240</v>
      </c>
      <c r="B357" s="13" t="s">
        <v>17861</v>
      </c>
      <c r="C357" s="13" t="s">
        <v>6</v>
      </c>
      <c r="D357" s="13" t="s">
        <v>17862</v>
      </c>
    </row>
    <row r="358" spans="1:4">
      <c r="A358" s="13">
        <v>7090100250</v>
      </c>
      <c r="B358" s="13" t="s">
        <v>17863</v>
      </c>
      <c r="C358" s="13" t="s">
        <v>9</v>
      </c>
      <c r="D358" s="13" t="s">
        <v>2509</v>
      </c>
    </row>
    <row r="359" spans="1:4">
      <c r="A359" s="13">
        <v>7090100260</v>
      </c>
      <c r="B359" s="13" t="s">
        <v>17864</v>
      </c>
      <c r="C359" s="13" t="s">
        <v>9</v>
      </c>
      <c r="D359" s="13" t="s">
        <v>17865</v>
      </c>
    </row>
    <row r="360" spans="1:4">
      <c r="A360" s="13">
        <v>7090100270</v>
      </c>
      <c r="B360" s="13" t="s">
        <v>17866</v>
      </c>
      <c r="C360" s="13" t="s">
        <v>6</v>
      </c>
      <c r="D360" s="13" t="s">
        <v>5415</v>
      </c>
    </row>
    <row r="361" spans="1:4">
      <c r="A361" s="13" t="s">
        <v>17867</v>
      </c>
    </row>
    <row r="362" spans="1:4">
      <c r="A362" s="13">
        <v>7100100010</v>
      </c>
      <c r="B362" s="13" t="s">
        <v>17868</v>
      </c>
      <c r="C362" s="13" t="s">
        <v>9</v>
      </c>
      <c r="D362" s="13" t="s">
        <v>17869</v>
      </c>
    </row>
    <row r="363" spans="1:4">
      <c r="A363" s="13">
        <v>7100100020</v>
      </c>
      <c r="B363" s="13" t="s">
        <v>17870</v>
      </c>
      <c r="C363" s="13" t="s">
        <v>9</v>
      </c>
      <c r="D363" s="13" t="s">
        <v>17871</v>
      </c>
    </row>
    <row r="368" spans="1:4">
      <c r="A368" s="13">
        <v>7100100030</v>
      </c>
      <c r="B368" s="13" t="s">
        <v>17872</v>
      </c>
      <c r="C368" s="13" t="s">
        <v>9</v>
      </c>
      <c r="D368" s="13" t="s">
        <v>17873</v>
      </c>
    </row>
    <row r="369" spans="1:4">
      <c r="A369" s="13">
        <v>7100100040</v>
      </c>
      <c r="B369" s="13" t="s">
        <v>17874</v>
      </c>
      <c r="C369" s="13" t="s">
        <v>7</v>
      </c>
      <c r="D369" s="13" t="s">
        <v>17875</v>
      </c>
    </row>
    <row r="370" spans="1:4">
      <c r="A370" s="13">
        <v>7100100050</v>
      </c>
      <c r="B370" s="13" t="s">
        <v>17876</v>
      </c>
      <c r="C370" s="13" t="s">
        <v>7</v>
      </c>
      <c r="D370" s="13" t="s">
        <v>2546</v>
      </c>
    </row>
    <row r="371" spans="1:4">
      <c r="A371" s="13">
        <v>7100100060</v>
      </c>
      <c r="B371" s="13" t="s">
        <v>17877</v>
      </c>
      <c r="C371" s="13" t="s">
        <v>9</v>
      </c>
      <c r="D371" s="13" t="s">
        <v>17878</v>
      </c>
    </row>
    <row r="372" spans="1:4">
      <c r="A372" s="13">
        <v>7100100070</v>
      </c>
      <c r="B372" s="13" t="s">
        <v>17879</v>
      </c>
      <c r="C372" s="13" t="s">
        <v>9</v>
      </c>
      <c r="D372" s="13" t="s">
        <v>17880</v>
      </c>
    </row>
    <row r="373" spans="1:4">
      <c r="A373" s="13">
        <v>7100100080</v>
      </c>
      <c r="B373" s="13" t="s">
        <v>17881</v>
      </c>
      <c r="C373" s="13" t="s">
        <v>6</v>
      </c>
      <c r="D373" s="13" t="s">
        <v>3905</v>
      </c>
    </row>
    <row r="374" spans="1:4">
      <c r="A374" s="13">
        <v>7100100090</v>
      </c>
      <c r="B374" s="13" t="s">
        <v>17882</v>
      </c>
      <c r="C374" s="13" t="s">
        <v>6</v>
      </c>
      <c r="D374" s="13" t="s">
        <v>17883</v>
      </c>
    </row>
    <row r="375" spans="1:4">
      <c r="A375" s="13">
        <v>7100100100</v>
      </c>
      <c r="B375" s="13" t="s">
        <v>17884</v>
      </c>
      <c r="C375" s="13" t="s">
        <v>9</v>
      </c>
      <c r="D375" s="13" t="s">
        <v>17885</v>
      </c>
    </row>
    <row r="376" spans="1:4">
      <c r="A376" s="13">
        <v>7100100110</v>
      </c>
      <c r="B376" s="13" t="s">
        <v>17886</v>
      </c>
      <c r="C376" s="13" t="s">
        <v>9</v>
      </c>
      <c r="D376" s="13" t="s">
        <v>4061</v>
      </c>
    </row>
    <row r="377" spans="1:4">
      <c r="A377" s="13">
        <v>7100100120</v>
      </c>
      <c r="B377" s="13" t="s">
        <v>17887</v>
      </c>
      <c r="C377" s="13" t="s">
        <v>9</v>
      </c>
      <c r="D377" s="13" t="s">
        <v>17888</v>
      </c>
    </row>
    <row r="378" spans="1:4">
      <c r="A378" s="13">
        <v>7100100125</v>
      </c>
      <c r="B378" s="13" t="s">
        <v>17889</v>
      </c>
      <c r="C378" s="13" t="s">
        <v>9</v>
      </c>
      <c r="D378" s="13" t="s">
        <v>2522</v>
      </c>
    </row>
    <row r="379" spans="1:4">
      <c r="A379" s="13">
        <v>7100100130</v>
      </c>
      <c r="B379" s="13" t="s">
        <v>17890</v>
      </c>
      <c r="C379" s="13" t="s">
        <v>9</v>
      </c>
      <c r="D379" s="13" t="s">
        <v>17891</v>
      </c>
    </row>
    <row r="380" spans="1:4">
      <c r="A380" s="13">
        <v>7100100140</v>
      </c>
      <c r="B380" s="13" t="s">
        <v>17892</v>
      </c>
      <c r="C380" s="13" t="s">
        <v>9</v>
      </c>
      <c r="D380" s="13" t="s">
        <v>2458</v>
      </c>
    </row>
    <row r="381" spans="1:4">
      <c r="A381" s="13">
        <v>7100100150</v>
      </c>
      <c r="B381" s="13" t="s">
        <v>17893</v>
      </c>
      <c r="C381" s="13" t="s">
        <v>9</v>
      </c>
      <c r="D381" s="13" t="s">
        <v>17894</v>
      </c>
    </row>
    <row r="382" spans="1:4">
      <c r="A382" s="13">
        <v>7100100160</v>
      </c>
      <c r="B382" s="13" t="s">
        <v>17895</v>
      </c>
      <c r="C382" s="13" t="s">
        <v>9</v>
      </c>
      <c r="D382" s="13" t="s">
        <v>2519</v>
      </c>
    </row>
    <row r="383" spans="1:4">
      <c r="A383" s="13">
        <v>7100100170</v>
      </c>
      <c r="B383" s="13" t="s">
        <v>17896</v>
      </c>
      <c r="C383" s="13" t="s">
        <v>9</v>
      </c>
      <c r="D383" s="13" t="s">
        <v>5138</v>
      </c>
    </row>
    <row r="384" spans="1:4">
      <c r="A384" s="13">
        <v>7100100180</v>
      </c>
      <c r="B384" s="13" t="s">
        <v>17897</v>
      </c>
      <c r="C384" s="13" t="s">
        <v>9</v>
      </c>
      <c r="D384" s="13" t="s">
        <v>2364</v>
      </c>
    </row>
    <row r="385" spans="1:4">
      <c r="A385" s="13">
        <v>7100100190</v>
      </c>
      <c r="B385" s="13" t="s">
        <v>17898</v>
      </c>
      <c r="C385" s="13" t="s">
        <v>9</v>
      </c>
      <c r="D385" s="13" t="s">
        <v>2367</v>
      </c>
    </row>
    <row r="386" spans="1:4">
      <c r="A386" s="13">
        <v>7100100200</v>
      </c>
      <c r="B386" s="13" t="s">
        <v>17899</v>
      </c>
      <c r="C386" s="13" t="s">
        <v>9</v>
      </c>
      <c r="D386" s="13" t="s">
        <v>2395</v>
      </c>
    </row>
    <row r="387" spans="1:4">
      <c r="A387" s="13">
        <v>7100100210</v>
      </c>
      <c r="B387" s="13" t="s">
        <v>17900</v>
      </c>
      <c r="C387" s="13" t="s">
        <v>9</v>
      </c>
      <c r="D387" s="13" t="s">
        <v>2370</v>
      </c>
    </row>
    <row r="388" spans="1:4">
      <c r="A388" s="13">
        <v>7100100220</v>
      </c>
      <c r="B388" s="13" t="s">
        <v>17901</v>
      </c>
      <c r="C388" s="13" t="s">
        <v>9</v>
      </c>
      <c r="D388" s="13" t="s">
        <v>2520</v>
      </c>
    </row>
    <row r="389" spans="1:4">
      <c r="A389" s="13">
        <v>7100100230</v>
      </c>
      <c r="B389" s="13" t="s">
        <v>17902</v>
      </c>
      <c r="C389" s="13" t="s">
        <v>9</v>
      </c>
      <c r="D389" s="13" t="s">
        <v>2390</v>
      </c>
    </row>
    <row r="390" spans="1:4">
      <c r="A390" s="13">
        <v>7100100240</v>
      </c>
      <c r="B390" s="13" t="s">
        <v>17903</v>
      </c>
      <c r="C390" s="13" t="s">
        <v>9</v>
      </c>
      <c r="D390" s="13" t="s">
        <v>3138</v>
      </c>
    </row>
    <row r="391" spans="1:4">
      <c r="A391" s="13">
        <v>7100100250</v>
      </c>
      <c r="B391" s="13" t="s">
        <v>17904</v>
      </c>
      <c r="C391" s="13" t="s">
        <v>9</v>
      </c>
      <c r="D391" s="13" t="s">
        <v>2435</v>
      </c>
    </row>
    <row r="392" spans="1:4">
      <c r="A392" s="13">
        <v>7100100260</v>
      </c>
      <c r="B392" s="13" t="s">
        <v>17905</v>
      </c>
      <c r="C392" s="13" t="s">
        <v>9</v>
      </c>
      <c r="D392" s="13" t="s">
        <v>17906</v>
      </c>
    </row>
    <row r="393" spans="1:4">
      <c r="A393" s="13">
        <v>7100100270</v>
      </c>
      <c r="B393" s="13" t="s">
        <v>17907</v>
      </c>
      <c r="C393" s="13" t="s">
        <v>9</v>
      </c>
      <c r="D393" s="13" t="s">
        <v>17908</v>
      </c>
    </row>
    <row r="394" spans="1:4">
      <c r="A394" s="13">
        <v>7100100280</v>
      </c>
      <c r="B394" s="13" t="s">
        <v>17909</v>
      </c>
      <c r="C394" s="13" t="s">
        <v>9</v>
      </c>
      <c r="D394" s="13" t="s">
        <v>17910</v>
      </c>
    </row>
    <row r="395" spans="1:4">
      <c r="A395" s="13">
        <v>7100100290</v>
      </c>
      <c r="B395" s="13" t="s">
        <v>17911</v>
      </c>
      <c r="C395" s="13" t="s">
        <v>9</v>
      </c>
      <c r="D395" s="13" t="s">
        <v>17912</v>
      </c>
    </row>
    <row r="396" spans="1:4">
      <c r="A396" s="13">
        <v>7100100300</v>
      </c>
      <c r="B396" s="13" t="s">
        <v>17913</v>
      </c>
      <c r="C396" s="13" t="s">
        <v>9</v>
      </c>
      <c r="D396" s="13" t="s">
        <v>5681</v>
      </c>
    </row>
    <row r="397" spans="1:4">
      <c r="A397" s="13">
        <v>7100100310</v>
      </c>
      <c r="B397" s="13" t="s">
        <v>17914</v>
      </c>
      <c r="C397" s="13" t="s">
        <v>9</v>
      </c>
      <c r="D397" s="13" t="s">
        <v>2508</v>
      </c>
    </row>
    <row r="398" spans="1:4">
      <c r="A398" s="13">
        <v>7100100320</v>
      </c>
      <c r="B398" s="13" t="s">
        <v>17915</v>
      </c>
      <c r="C398" s="13" t="s">
        <v>9</v>
      </c>
      <c r="D398" s="13" t="s">
        <v>5147</v>
      </c>
    </row>
    <row r="399" spans="1:4">
      <c r="A399" s="13">
        <v>7100100330</v>
      </c>
      <c r="B399" s="13" t="s">
        <v>17916</v>
      </c>
      <c r="C399" s="13" t="s">
        <v>9</v>
      </c>
      <c r="D399" s="13" t="s">
        <v>2629</v>
      </c>
    </row>
    <row r="400" spans="1:4">
      <c r="A400" s="13">
        <v>7100100340</v>
      </c>
      <c r="B400" s="13" t="s">
        <v>17917</v>
      </c>
      <c r="C400" s="13" t="s">
        <v>9</v>
      </c>
      <c r="D400" s="13" t="s">
        <v>17918</v>
      </c>
    </row>
    <row r="401" spans="1:4">
      <c r="A401" s="13">
        <v>7100100350</v>
      </c>
      <c r="B401" s="13" t="s">
        <v>17919</v>
      </c>
      <c r="C401" s="13" t="s">
        <v>9</v>
      </c>
      <c r="D401" s="13" t="s">
        <v>2418</v>
      </c>
    </row>
    <row r="402" spans="1:4">
      <c r="A402" s="13">
        <v>7100100360</v>
      </c>
      <c r="B402" s="13" t="s">
        <v>17920</v>
      </c>
      <c r="C402" s="13" t="s">
        <v>9</v>
      </c>
      <c r="D402" s="13" t="s">
        <v>2373</v>
      </c>
    </row>
    <row r="403" spans="1:4">
      <c r="A403" s="13">
        <v>7100100370</v>
      </c>
      <c r="B403" s="13" t="s">
        <v>17921</v>
      </c>
      <c r="C403" s="13" t="s">
        <v>9</v>
      </c>
      <c r="D403" s="13" t="s">
        <v>2422</v>
      </c>
    </row>
    <row r="404" spans="1:4">
      <c r="A404" s="13">
        <v>7100100380</v>
      </c>
      <c r="B404" s="13" t="s">
        <v>17922</v>
      </c>
      <c r="C404" s="13" t="s">
        <v>9</v>
      </c>
      <c r="D404" s="13" t="s">
        <v>4219</v>
      </c>
    </row>
    <row r="405" spans="1:4">
      <c r="A405" s="13">
        <v>7100100390</v>
      </c>
      <c r="B405" s="13" t="s">
        <v>17923</v>
      </c>
      <c r="C405" s="13" t="s">
        <v>9</v>
      </c>
      <c r="D405" s="13" t="s">
        <v>2424</v>
      </c>
    </row>
    <row r="406" spans="1:4">
      <c r="A406" s="13">
        <v>7100100400</v>
      </c>
      <c r="B406" s="13" t="s">
        <v>17924</v>
      </c>
      <c r="C406" s="13" t="s">
        <v>9</v>
      </c>
      <c r="D406" s="13" t="s">
        <v>5199</v>
      </c>
    </row>
    <row r="407" spans="1:4">
      <c r="A407" s="13">
        <v>7100100410</v>
      </c>
      <c r="B407" s="13" t="s">
        <v>17925</v>
      </c>
      <c r="C407" s="13" t="s">
        <v>9</v>
      </c>
      <c r="D407" s="13" t="s">
        <v>2517</v>
      </c>
    </row>
    <row r="408" spans="1:4">
      <c r="A408" s="13">
        <v>7100100420</v>
      </c>
      <c r="B408" s="13" t="s">
        <v>17926</v>
      </c>
      <c r="C408" s="13" t="s">
        <v>9</v>
      </c>
      <c r="D408" s="13" t="s">
        <v>17927</v>
      </c>
    </row>
    <row r="409" spans="1:4">
      <c r="A409" s="13">
        <v>7100100450</v>
      </c>
      <c r="B409" s="13" t="s">
        <v>17928</v>
      </c>
      <c r="C409" s="13" t="s">
        <v>9</v>
      </c>
      <c r="D409" s="13" t="s">
        <v>2483</v>
      </c>
    </row>
    <row r="410" spans="1:4">
      <c r="A410" s="13">
        <v>7100100460</v>
      </c>
      <c r="B410" s="13" t="s">
        <v>17929</v>
      </c>
      <c r="C410" s="13" t="s">
        <v>9</v>
      </c>
      <c r="D410" s="13" t="s">
        <v>17930</v>
      </c>
    </row>
    <row r="411" spans="1:4">
      <c r="A411" s="13">
        <v>7100100470</v>
      </c>
      <c r="B411" s="13" t="s">
        <v>17931</v>
      </c>
      <c r="C411" s="13" t="s">
        <v>9</v>
      </c>
      <c r="D411" s="27" t="s">
        <v>2525</v>
      </c>
    </row>
    <row r="412" spans="1:4">
      <c r="A412" s="13">
        <v>7100100480</v>
      </c>
      <c r="B412" s="13" t="s">
        <v>17932</v>
      </c>
      <c r="C412" s="13" t="s">
        <v>9</v>
      </c>
      <c r="D412" s="27" t="s">
        <v>17933</v>
      </c>
    </row>
    <row r="413" spans="1:4">
      <c r="A413" s="13" t="s">
        <v>17934</v>
      </c>
    </row>
    <row r="414" spans="1:4">
      <c r="A414" s="13">
        <v>7110100010</v>
      </c>
      <c r="B414" s="13" t="s">
        <v>17935</v>
      </c>
      <c r="C414" s="13" t="s">
        <v>8</v>
      </c>
      <c r="D414" s="13" t="s">
        <v>2524</v>
      </c>
    </row>
    <row r="415" spans="1:4">
      <c r="A415" s="13">
        <v>7110100020</v>
      </c>
      <c r="B415" s="13" t="s">
        <v>17936</v>
      </c>
      <c r="C415" s="13" t="s">
        <v>8</v>
      </c>
      <c r="D415" s="13" t="s">
        <v>17937</v>
      </c>
    </row>
    <row r="420" spans="1:4">
      <c r="A420" s="13">
        <v>7110100030</v>
      </c>
      <c r="B420" s="13" t="s">
        <v>17938</v>
      </c>
      <c r="C420" s="13" t="s">
        <v>8</v>
      </c>
      <c r="D420" s="13" t="s">
        <v>2484</v>
      </c>
    </row>
    <row r="421" spans="1:4">
      <c r="A421" s="13">
        <v>7110100040</v>
      </c>
      <c r="B421" s="13" t="s">
        <v>17939</v>
      </c>
      <c r="C421" s="13" t="s">
        <v>12</v>
      </c>
      <c r="D421" s="13" t="s">
        <v>17940</v>
      </c>
    </row>
    <row r="422" spans="1:4">
      <c r="A422" s="13">
        <v>7110100050</v>
      </c>
      <c r="B422" s="13" t="s">
        <v>17941</v>
      </c>
      <c r="C422" s="13" t="s">
        <v>9</v>
      </c>
      <c r="D422" s="13" t="s">
        <v>17942</v>
      </c>
    </row>
    <row r="423" spans="1:4">
      <c r="A423" s="13">
        <v>7110100060</v>
      </c>
      <c r="B423" s="13" t="s">
        <v>17943</v>
      </c>
      <c r="C423" s="13" t="s">
        <v>9</v>
      </c>
      <c r="D423" s="13" t="s">
        <v>2462</v>
      </c>
    </row>
    <row r="424" spans="1:4">
      <c r="A424" s="13">
        <v>7110100070</v>
      </c>
      <c r="B424" s="13" t="s">
        <v>17944</v>
      </c>
      <c r="C424" s="13" t="s">
        <v>9</v>
      </c>
      <c r="D424" s="13" t="s">
        <v>17945</v>
      </c>
    </row>
    <row r="425" spans="1:4">
      <c r="A425" s="13">
        <v>7110100080</v>
      </c>
      <c r="B425" s="13" t="s">
        <v>17946</v>
      </c>
      <c r="C425" s="13" t="s">
        <v>9</v>
      </c>
      <c r="D425" s="13" t="s">
        <v>2405</v>
      </c>
    </row>
    <row r="426" spans="1:4">
      <c r="A426" s="13">
        <v>7110100090</v>
      </c>
      <c r="B426" s="13" t="s">
        <v>17947</v>
      </c>
      <c r="C426" s="13" t="s">
        <v>9</v>
      </c>
      <c r="D426" s="13" t="s">
        <v>17948</v>
      </c>
    </row>
    <row r="427" spans="1:4">
      <c r="A427" s="13">
        <v>7110100100</v>
      </c>
      <c r="B427" s="13" t="s">
        <v>17949</v>
      </c>
      <c r="C427" s="13" t="s">
        <v>9</v>
      </c>
      <c r="D427" s="13" t="s">
        <v>3377</v>
      </c>
    </row>
    <row r="428" spans="1:4">
      <c r="A428" s="13">
        <v>7110100110</v>
      </c>
      <c r="B428" s="13" t="s">
        <v>17950</v>
      </c>
      <c r="C428" s="13" t="s">
        <v>9</v>
      </c>
      <c r="D428" s="13" t="s">
        <v>3384</v>
      </c>
    </row>
    <row r="429" spans="1:4">
      <c r="A429" s="13">
        <v>7110100120</v>
      </c>
      <c r="B429" s="13" t="s">
        <v>17951</v>
      </c>
      <c r="C429" s="13" t="s">
        <v>9</v>
      </c>
      <c r="D429" s="13" t="s">
        <v>2464</v>
      </c>
    </row>
    <row r="430" spans="1:4">
      <c r="A430" s="13">
        <v>7110100130</v>
      </c>
      <c r="B430" s="13" t="s">
        <v>17952</v>
      </c>
      <c r="C430" s="13" t="s">
        <v>9</v>
      </c>
      <c r="D430" s="13" t="s">
        <v>17953</v>
      </c>
    </row>
    <row r="431" spans="1:4">
      <c r="A431" s="13">
        <v>7110100140</v>
      </c>
      <c r="B431" s="13" t="s">
        <v>17954</v>
      </c>
      <c r="C431" s="13" t="s">
        <v>9</v>
      </c>
      <c r="D431" s="13" t="s">
        <v>2365</v>
      </c>
    </row>
    <row r="432" spans="1:4">
      <c r="A432" s="13">
        <v>7110100150</v>
      </c>
      <c r="B432" s="13" t="s">
        <v>17955</v>
      </c>
      <c r="C432" s="13" t="s">
        <v>9</v>
      </c>
      <c r="D432" s="13" t="s">
        <v>17956</v>
      </c>
    </row>
    <row r="433" spans="1:4">
      <c r="A433" s="13">
        <v>7110100160</v>
      </c>
      <c r="B433" s="13" t="s">
        <v>17957</v>
      </c>
      <c r="C433" s="13" t="s">
        <v>9</v>
      </c>
      <c r="D433" s="13" t="s">
        <v>2662</v>
      </c>
    </row>
    <row r="434" spans="1:4">
      <c r="A434" s="13">
        <v>7110100170</v>
      </c>
      <c r="B434" s="13" t="s">
        <v>17958</v>
      </c>
      <c r="C434" s="13" t="s">
        <v>9</v>
      </c>
      <c r="D434" s="13" t="s">
        <v>17959</v>
      </c>
    </row>
    <row r="435" spans="1:4">
      <c r="A435" s="13">
        <v>7110100180</v>
      </c>
      <c r="B435" s="13" t="s">
        <v>17960</v>
      </c>
      <c r="C435" s="13" t="s">
        <v>9</v>
      </c>
      <c r="D435" s="13" t="s">
        <v>17961</v>
      </c>
    </row>
    <row r="436" spans="1:4">
      <c r="A436" s="13">
        <v>7110100190</v>
      </c>
      <c r="B436" s="13" t="s">
        <v>17962</v>
      </c>
      <c r="C436" s="13" t="s">
        <v>6</v>
      </c>
      <c r="D436" s="13" t="s">
        <v>2419</v>
      </c>
    </row>
    <row r="437" spans="1:4">
      <c r="A437" s="13">
        <v>7110100200</v>
      </c>
      <c r="B437" s="13" t="s">
        <v>17963</v>
      </c>
      <c r="C437" s="13" t="s">
        <v>9</v>
      </c>
      <c r="D437" s="13" t="s">
        <v>17964</v>
      </c>
    </row>
    <row r="438" spans="1:4">
      <c r="A438" s="13">
        <v>7110100210</v>
      </c>
      <c r="B438" s="13" t="s">
        <v>17965</v>
      </c>
      <c r="C438" s="13" t="s">
        <v>9</v>
      </c>
      <c r="D438" s="13" t="s">
        <v>4125</v>
      </c>
    </row>
    <row r="439" spans="1:4">
      <c r="A439" s="13">
        <v>7110100220</v>
      </c>
      <c r="B439" s="13" t="s">
        <v>17966</v>
      </c>
      <c r="C439" s="13" t="s">
        <v>9</v>
      </c>
      <c r="D439" s="13" t="s">
        <v>17502</v>
      </c>
    </row>
    <row r="440" spans="1:4">
      <c r="A440" s="13">
        <v>7110100230</v>
      </c>
      <c r="B440" s="13" t="s">
        <v>17967</v>
      </c>
      <c r="C440" s="13" t="s">
        <v>9</v>
      </c>
      <c r="D440" s="13" t="s">
        <v>2447</v>
      </c>
    </row>
    <row r="441" spans="1:4">
      <c r="A441" s="13">
        <v>7110100240</v>
      </c>
      <c r="B441" s="13" t="s">
        <v>17968</v>
      </c>
      <c r="C441" s="13" t="s">
        <v>6</v>
      </c>
      <c r="D441" s="13" t="s">
        <v>17969</v>
      </c>
    </row>
    <row r="442" spans="1:4">
      <c r="A442" s="13">
        <v>7110100250</v>
      </c>
      <c r="B442" s="13" t="s">
        <v>17970</v>
      </c>
      <c r="C442" s="13" t="s">
        <v>9</v>
      </c>
      <c r="D442" s="13" t="s">
        <v>17971</v>
      </c>
    </row>
    <row r="443" spans="1:4">
      <c r="A443" s="13">
        <v>7110100280</v>
      </c>
      <c r="B443" s="13" t="s">
        <v>17972</v>
      </c>
      <c r="C443" s="13" t="s">
        <v>9</v>
      </c>
      <c r="D443" s="13" t="s">
        <v>17973</v>
      </c>
    </row>
    <row r="444" spans="1:4">
      <c r="A444" s="13">
        <v>7110100290</v>
      </c>
      <c r="B444" s="13" t="s">
        <v>17974</v>
      </c>
      <c r="C444" s="13" t="s">
        <v>9</v>
      </c>
      <c r="D444" s="13" t="s">
        <v>2445</v>
      </c>
    </row>
    <row r="445" spans="1:4">
      <c r="A445" s="13" t="s">
        <v>17975</v>
      </c>
    </row>
    <row r="446" spans="1:4">
      <c r="A446" s="13">
        <v>7120100010</v>
      </c>
      <c r="B446" s="13" t="s">
        <v>17976</v>
      </c>
      <c r="C446" s="13" t="s">
        <v>9</v>
      </c>
      <c r="D446" s="13" t="s">
        <v>17977</v>
      </c>
    </row>
    <row r="447" spans="1:4">
      <c r="A447" s="13">
        <v>7120100020</v>
      </c>
      <c r="B447" s="13" t="s">
        <v>17978</v>
      </c>
      <c r="C447" s="13" t="s">
        <v>9</v>
      </c>
      <c r="D447" s="13" t="s">
        <v>17979</v>
      </c>
    </row>
    <row r="448" spans="1:4">
      <c r="A448" s="13">
        <v>7120100030</v>
      </c>
      <c r="B448" s="13" t="s">
        <v>17980</v>
      </c>
      <c r="C448" s="13" t="s">
        <v>9</v>
      </c>
      <c r="D448" s="13" t="s">
        <v>17981</v>
      </c>
    </row>
    <row r="449" spans="1:4">
      <c r="A449" s="13">
        <v>7120100040</v>
      </c>
      <c r="B449" s="13" t="s">
        <v>17982</v>
      </c>
      <c r="C449" s="13" t="s">
        <v>9</v>
      </c>
      <c r="D449" s="13" t="s">
        <v>17983</v>
      </c>
    </row>
    <row r="450" spans="1:4">
      <c r="A450" s="13">
        <v>7120100050</v>
      </c>
      <c r="B450" s="13" t="s">
        <v>17984</v>
      </c>
      <c r="C450" s="13" t="s">
        <v>9</v>
      </c>
      <c r="D450" s="13" t="s">
        <v>17985</v>
      </c>
    </row>
    <row r="451" spans="1:4">
      <c r="A451" s="13">
        <v>7120100060</v>
      </c>
      <c r="B451" s="13" t="s">
        <v>17986</v>
      </c>
      <c r="C451" s="13" t="s">
        <v>9</v>
      </c>
      <c r="D451" s="13" t="s">
        <v>17987</v>
      </c>
    </row>
    <row r="452" spans="1:4">
      <c r="A452" s="13">
        <v>7120100070</v>
      </c>
      <c r="B452" s="13" t="s">
        <v>17988</v>
      </c>
      <c r="C452" s="13" t="s">
        <v>9</v>
      </c>
      <c r="D452" s="13" t="s">
        <v>17989</v>
      </c>
    </row>
    <row r="453" spans="1:4">
      <c r="A453" s="13" t="s">
        <v>17990</v>
      </c>
    </row>
    <row r="454" spans="1:4">
      <c r="A454" s="13">
        <v>7130100010</v>
      </c>
      <c r="B454" s="13" t="s">
        <v>17991</v>
      </c>
      <c r="C454" s="13" t="s">
        <v>9</v>
      </c>
      <c r="D454" s="13" t="s">
        <v>17992</v>
      </c>
    </row>
    <row r="455" spans="1:4">
      <c r="A455" s="13">
        <v>7130100020</v>
      </c>
      <c r="B455" s="13" t="s">
        <v>17993</v>
      </c>
      <c r="C455" s="13" t="s">
        <v>9</v>
      </c>
      <c r="D455" s="13" t="s">
        <v>4539</v>
      </c>
    </row>
    <row r="456" spans="1:4">
      <c r="A456" s="13">
        <v>7130100030</v>
      </c>
      <c r="B456" s="13" t="s">
        <v>17994</v>
      </c>
      <c r="C456" s="13" t="s">
        <v>9</v>
      </c>
      <c r="D456" s="13" t="s">
        <v>17995</v>
      </c>
    </row>
    <row r="457" spans="1:4">
      <c r="A457" s="13">
        <v>7130100040</v>
      </c>
      <c r="B457" s="13" t="s">
        <v>17996</v>
      </c>
      <c r="C457" s="13" t="s">
        <v>9</v>
      </c>
      <c r="D457" s="13" t="s">
        <v>17997</v>
      </c>
    </row>
    <row r="458" spans="1:4">
      <c r="A458" s="13">
        <v>7130100050</v>
      </c>
      <c r="B458" s="13" t="s">
        <v>17998</v>
      </c>
      <c r="C458" s="13" t="s">
        <v>9</v>
      </c>
      <c r="D458" s="13" t="s">
        <v>17999</v>
      </c>
    </row>
    <row r="459" spans="1:4">
      <c r="A459" s="13">
        <v>7130100060</v>
      </c>
      <c r="B459" s="13" t="s">
        <v>18000</v>
      </c>
      <c r="C459" s="13" t="s">
        <v>9</v>
      </c>
      <c r="D459" s="13" t="s">
        <v>6247</v>
      </c>
    </row>
    <row r="460" spans="1:4">
      <c r="A460" s="13">
        <v>7130100070</v>
      </c>
      <c r="B460" s="13" t="s">
        <v>18001</v>
      </c>
      <c r="C460" s="13" t="s">
        <v>9</v>
      </c>
      <c r="D460" s="13" t="s">
        <v>2541</v>
      </c>
    </row>
    <row r="461" spans="1:4">
      <c r="A461" s="13">
        <v>7130100080</v>
      </c>
      <c r="B461" s="13" t="s">
        <v>18002</v>
      </c>
      <c r="C461" s="13" t="s">
        <v>9</v>
      </c>
      <c r="D461" s="13" t="s">
        <v>18003</v>
      </c>
    </row>
    <row r="462" spans="1:4">
      <c r="A462" s="13">
        <v>7130100090</v>
      </c>
      <c r="B462" s="13" t="s">
        <v>18004</v>
      </c>
      <c r="C462" s="13" t="s">
        <v>9</v>
      </c>
      <c r="D462" s="13" t="s">
        <v>3449</v>
      </c>
    </row>
    <row r="463" spans="1:4">
      <c r="A463" s="13">
        <v>7130100100</v>
      </c>
      <c r="B463" s="13" t="s">
        <v>18005</v>
      </c>
      <c r="C463" s="13" t="s">
        <v>9</v>
      </c>
      <c r="D463" s="13" t="s">
        <v>18006</v>
      </c>
    </row>
    <row r="464" spans="1:4">
      <c r="A464" s="13">
        <v>7130100110</v>
      </c>
      <c r="B464" s="13" t="s">
        <v>18007</v>
      </c>
      <c r="C464" s="13" t="s">
        <v>9</v>
      </c>
      <c r="D464" s="13" t="s">
        <v>18008</v>
      </c>
    </row>
    <row r="465" spans="1:4">
      <c r="A465" s="13">
        <v>7130100120</v>
      </c>
      <c r="B465" s="13" t="s">
        <v>18009</v>
      </c>
      <c r="C465" s="13" t="s">
        <v>9</v>
      </c>
      <c r="D465" s="13" t="s">
        <v>18010</v>
      </c>
    </row>
    <row r="466" spans="1:4">
      <c r="A466" s="13">
        <v>7130100130</v>
      </c>
      <c r="B466" s="13" t="s">
        <v>18011</v>
      </c>
      <c r="C466" s="13" t="s">
        <v>9</v>
      </c>
      <c r="D466" s="13" t="s">
        <v>2449</v>
      </c>
    </row>
    <row r="467" spans="1:4">
      <c r="A467" s="13">
        <v>7130100140</v>
      </c>
      <c r="B467" s="13" t="s">
        <v>18012</v>
      </c>
      <c r="C467" s="13" t="s">
        <v>6</v>
      </c>
      <c r="D467" s="13" t="s">
        <v>18013</v>
      </c>
    </row>
    <row r="469" spans="1:4">
      <c r="D469" s="27"/>
    </row>
    <row r="470" spans="1:4">
      <c r="D470" s="27"/>
    </row>
    <row r="472" spans="1:4">
      <c r="A472" s="13">
        <v>7130100150</v>
      </c>
      <c r="B472" s="13" t="s">
        <v>18014</v>
      </c>
      <c r="C472" s="13" t="s">
        <v>6</v>
      </c>
      <c r="D472" s="13" t="s">
        <v>2597</v>
      </c>
    </row>
    <row r="473" spans="1:4">
      <c r="A473" s="13" t="s">
        <v>18015</v>
      </c>
    </row>
    <row r="474" spans="1:4">
      <c r="A474" s="13">
        <v>7140100010</v>
      </c>
      <c r="B474" s="13" t="s">
        <v>18016</v>
      </c>
      <c r="C474" s="13" t="s">
        <v>7</v>
      </c>
      <c r="D474" s="13" t="s">
        <v>18017</v>
      </c>
    </row>
    <row r="475" spans="1:4">
      <c r="A475" s="13">
        <v>7140100020</v>
      </c>
      <c r="B475" s="13" t="s">
        <v>18018</v>
      </c>
      <c r="C475" s="13" t="s">
        <v>7</v>
      </c>
      <c r="D475" s="13" t="s">
        <v>18019</v>
      </c>
    </row>
    <row r="476" spans="1:4">
      <c r="A476" s="13">
        <v>7140100030</v>
      </c>
      <c r="B476" s="13" t="s">
        <v>18020</v>
      </c>
      <c r="C476" s="13" t="s">
        <v>7</v>
      </c>
      <c r="D476" s="13" t="s">
        <v>18021</v>
      </c>
    </row>
    <row r="477" spans="1:4">
      <c r="A477" s="13">
        <v>7140100040</v>
      </c>
      <c r="B477" s="13" t="s">
        <v>18022</v>
      </c>
      <c r="C477" s="13" t="s">
        <v>7</v>
      </c>
      <c r="D477" s="13" t="s">
        <v>18023</v>
      </c>
    </row>
    <row r="478" spans="1:4">
      <c r="A478" s="13">
        <v>7140100050</v>
      </c>
      <c r="B478" s="13" t="s">
        <v>18024</v>
      </c>
      <c r="C478" s="13" t="s">
        <v>7</v>
      </c>
      <c r="D478" s="13" t="s">
        <v>18025</v>
      </c>
    </row>
    <row r="479" spans="1:4">
      <c r="A479" s="13">
        <v>7140100060</v>
      </c>
      <c r="B479" s="13" t="s">
        <v>18026</v>
      </c>
      <c r="C479" s="13" t="s">
        <v>7</v>
      </c>
      <c r="D479" s="13" t="s">
        <v>18027</v>
      </c>
    </row>
    <row r="480" spans="1:4">
      <c r="A480" s="13">
        <v>7140100070</v>
      </c>
      <c r="B480" s="13" t="s">
        <v>18028</v>
      </c>
      <c r="C480" s="13" t="s">
        <v>7</v>
      </c>
      <c r="D480" s="13" t="s">
        <v>18029</v>
      </c>
    </row>
    <row r="481" spans="1:4">
      <c r="A481" s="13">
        <v>7140100080</v>
      </c>
      <c r="B481" s="13" t="s">
        <v>18030</v>
      </c>
      <c r="C481" s="13" t="s">
        <v>7</v>
      </c>
      <c r="D481" s="13" t="s">
        <v>18031</v>
      </c>
    </row>
    <row r="482" spans="1:4">
      <c r="A482" s="13">
        <v>7140100090</v>
      </c>
      <c r="B482" s="13" t="s">
        <v>18032</v>
      </c>
      <c r="C482" s="13" t="s">
        <v>7</v>
      </c>
      <c r="D482" s="13" t="s">
        <v>18033</v>
      </c>
    </row>
    <row r="483" spans="1:4">
      <c r="A483" s="13">
        <v>7140100100</v>
      </c>
      <c r="B483" s="13" t="s">
        <v>18034</v>
      </c>
      <c r="C483" s="13" t="s">
        <v>7</v>
      </c>
      <c r="D483" s="13" t="s">
        <v>18035</v>
      </c>
    </row>
    <row r="484" spans="1:4">
      <c r="A484" s="13">
        <v>7140100110</v>
      </c>
      <c r="B484" s="13" t="s">
        <v>18036</v>
      </c>
      <c r="C484" s="13" t="s">
        <v>7</v>
      </c>
      <c r="D484" s="13" t="s">
        <v>18037</v>
      </c>
    </row>
    <row r="485" spans="1:4">
      <c r="A485" s="13">
        <v>7140100120</v>
      </c>
      <c r="B485" s="13" t="s">
        <v>18038</v>
      </c>
      <c r="C485" s="13" t="s">
        <v>7</v>
      </c>
      <c r="D485" s="13" t="s">
        <v>2416</v>
      </c>
    </row>
    <row r="486" spans="1:4">
      <c r="A486" s="13">
        <v>7140100130</v>
      </c>
      <c r="B486" s="13" t="s">
        <v>18039</v>
      </c>
      <c r="C486" s="13" t="s">
        <v>7</v>
      </c>
      <c r="D486" s="13" t="s">
        <v>18040</v>
      </c>
    </row>
    <row r="487" spans="1:4">
      <c r="A487" s="13">
        <v>7140100140</v>
      </c>
      <c r="B487" s="13" t="s">
        <v>18041</v>
      </c>
      <c r="C487" s="13" t="s">
        <v>7</v>
      </c>
      <c r="D487" s="13" t="s">
        <v>2470</v>
      </c>
    </row>
    <row r="488" spans="1:4">
      <c r="A488" s="13">
        <v>7140100150</v>
      </c>
      <c r="B488" s="13" t="s">
        <v>18042</v>
      </c>
      <c r="C488" s="13" t="s">
        <v>7</v>
      </c>
      <c r="D488" s="13" t="s">
        <v>18043</v>
      </c>
    </row>
    <row r="489" spans="1:4">
      <c r="A489" s="13">
        <v>7140100160</v>
      </c>
      <c r="B489" s="13" t="s">
        <v>18044</v>
      </c>
      <c r="C489" s="13" t="s">
        <v>7</v>
      </c>
      <c r="D489" s="13" t="s">
        <v>18045</v>
      </c>
    </row>
    <row r="490" spans="1:4">
      <c r="A490" s="13">
        <v>7140100170</v>
      </c>
      <c r="B490" s="13" t="s">
        <v>18046</v>
      </c>
      <c r="C490" s="13" t="s">
        <v>7</v>
      </c>
      <c r="D490" s="13" t="s">
        <v>18047</v>
      </c>
    </row>
    <row r="491" spans="1:4">
      <c r="A491" s="13">
        <v>7140100180</v>
      </c>
      <c r="B491" s="13" t="s">
        <v>18048</v>
      </c>
      <c r="C491" s="13" t="s">
        <v>7</v>
      </c>
      <c r="D491" s="13" t="s">
        <v>5100</v>
      </c>
    </row>
    <row r="492" spans="1:4">
      <c r="A492" s="13">
        <v>7140100190</v>
      </c>
      <c r="B492" s="13" t="s">
        <v>18049</v>
      </c>
      <c r="C492" s="13" t="s">
        <v>7</v>
      </c>
      <c r="D492" s="13" t="s">
        <v>18050</v>
      </c>
    </row>
    <row r="493" spans="1:4">
      <c r="A493" s="13">
        <v>7140100200</v>
      </c>
      <c r="B493" s="13" t="s">
        <v>18051</v>
      </c>
      <c r="C493" s="13" t="s">
        <v>7</v>
      </c>
      <c r="D493" s="13" t="s">
        <v>18052</v>
      </c>
    </row>
    <row r="494" spans="1:4">
      <c r="A494" s="13">
        <v>7140100210</v>
      </c>
      <c r="B494" s="13" t="s">
        <v>18053</v>
      </c>
      <c r="C494" s="13" t="s">
        <v>7</v>
      </c>
      <c r="D494" s="13" t="s">
        <v>18052</v>
      </c>
    </row>
    <row r="495" spans="1:4">
      <c r="A495" s="13">
        <v>7140100220</v>
      </c>
      <c r="B495" s="13" t="s">
        <v>18054</v>
      </c>
      <c r="C495" s="13" t="s">
        <v>7</v>
      </c>
      <c r="D495" s="13" t="s">
        <v>18055</v>
      </c>
    </row>
    <row r="496" spans="1:4">
      <c r="A496" s="13">
        <v>7140100230</v>
      </c>
      <c r="B496" s="13" t="s">
        <v>18056</v>
      </c>
      <c r="C496" s="13" t="s">
        <v>7</v>
      </c>
      <c r="D496" s="13" t="s">
        <v>3265</v>
      </c>
    </row>
    <row r="497" spans="1:4">
      <c r="A497" s="13">
        <v>7140100240</v>
      </c>
      <c r="B497" s="13" t="s">
        <v>18057</v>
      </c>
      <c r="C497" s="13" t="s">
        <v>7</v>
      </c>
      <c r="D497" s="13" t="s">
        <v>2451</v>
      </c>
    </row>
    <row r="498" spans="1:4">
      <c r="A498" s="13">
        <v>7140100250</v>
      </c>
      <c r="B498" s="13" t="s">
        <v>18058</v>
      </c>
      <c r="C498" s="13" t="s">
        <v>7</v>
      </c>
      <c r="D498" s="13" t="s">
        <v>18059</v>
      </c>
    </row>
    <row r="499" spans="1:4">
      <c r="A499" s="13">
        <v>7140100260</v>
      </c>
      <c r="B499" s="13" t="s">
        <v>18060</v>
      </c>
      <c r="C499" s="13" t="s">
        <v>7</v>
      </c>
      <c r="D499" s="13" t="s">
        <v>18061</v>
      </c>
    </row>
    <row r="500" spans="1:4">
      <c r="A500" s="13">
        <v>7140100270</v>
      </c>
      <c r="B500" s="13" t="s">
        <v>18062</v>
      </c>
      <c r="C500" s="13" t="s">
        <v>7</v>
      </c>
      <c r="D500" s="13" t="s">
        <v>18063</v>
      </c>
    </row>
    <row r="501" spans="1:4">
      <c r="A501" s="13">
        <v>7140100280</v>
      </c>
      <c r="B501" s="13" t="s">
        <v>18064</v>
      </c>
      <c r="C501" s="13" t="s">
        <v>7</v>
      </c>
      <c r="D501" s="13" t="s">
        <v>18065</v>
      </c>
    </row>
    <row r="502" spans="1:4">
      <c r="A502" s="13">
        <v>7140100290</v>
      </c>
      <c r="B502" s="13" t="s">
        <v>18066</v>
      </c>
      <c r="C502" s="13" t="s">
        <v>7</v>
      </c>
      <c r="D502" s="13" t="s">
        <v>18067</v>
      </c>
    </row>
    <row r="503" spans="1:4">
      <c r="A503" s="13">
        <v>7140100300</v>
      </c>
      <c r="B503" s="13" t="s">
        <v>18068</v>
      </c>
      <c r="C503" s="13" t="s">
        <v>7</v>
      </c>
      <c r="D503" s="13" t="s">
        <v>18069</v>
      </c>
    </row>
    <row r="504" spans="1:4">
      <c r="A504" s="13">
        <v>7140100310</v>
      </c>
      <c r="B504" s="13" t="s">
        <v>18070</v>
      </c>
      <c r="C504" s="13" t="s">
        <v>7</v>
      </c>
      <c r="D504" s="13" t="s">
        <v>18071</v>
      </c>
    </row>
    <row r="505" spans="1:4">
      <c r="A505" s="13">
        <v>7140100320</v>
      </c>
      <c r="B505" s="13" t="s">
        <v>18072</v>
      </c>
      <c r="C505" s="13" t="s">
        <v>7</v>
      </c>
      <c r="D505" s="13" t="s">
        <v>2529</v>
      </c>
    </row>
    <row r="506" spans="1:4">
      <c r="A506" s="13">
        <v>7140100330</v>
      </c>
      <c r="B506" s="13" t="s">
        <v>18073</v>
      </c>
      <c r="C506" s="13" t="s">
        <v>7</v>
      </c>
      <c r="D506" s="13" t="s">
        <v>18074</v>
      </c>
    </row>
    <row r="507" spans="1:4">
      <c r="A507" s="13">
        <v>7140100340</v>
      </c>
      <c r="B507" s="13" t="s">
        <v>18075</v>
      </c>
      <c r="C507" s="13" t="s">
        <v>7</v>
      </c>
      <c r="D507" s="13" t="s">
        <v>5754</v>
      </c>
    </row>
    <row r="508" spans="1:4">
      <c r="A508" s="13">
        <v>7140100350</v>
      </c>
      <c r="B508" s="13" t="s">
        <v>18076</v>
      </c>
      <c r="C508" s="13" t="s">
        <v>7</v>
      </c>
      <c r="D508" s="13" t="s">
        <v>18077</v>
      </c>
    </row>
    <row r="509" spans="1:4">
      <c r="A509" s="13">
        <v>7140100360</v>
      </c>
      <c r="B509" s="13" t="s">
        <v>18078</v>
      </c>
      <c r="C509" s="13" t="s">
        <v>7</v>
      </c>
      <c r="D509" s="13" t="s">
        <v>18079</v>
      </c>
    </row>
    <row r="510" spans="1:4">
      <c r="A510" s="13">
        <v>7140100370</v>
      </c>
      <c r="B510" s="13" t="s">
        <v>18080</v>
      </c>
      <c r="C510" s="13" t="s">
        <v>7</v>
      </c>
      <c r="D510" s="13" t="s">
        <v>18081</v>
      </c>
    </row>
    <row r="511" spans="1:4">
      <c r="A511" s="13">
        <v>7140100380</v>
      </c>
      <c r="B511" s="13" t="s">
        <v>18082</v>
      </c>
      <c r="C511" s="13" t="s">
        <v>7</v>
      </c>
      <c r="D511" s="13" t="s">
        <v>18083</v>
      </c>
    </row>
    <row r="512" spans="1:4">
      <c r="A512" s="13">
        <v>7140100390</v>
      </c>
      <c r="B512" s="13" t="s">
        <v>18084</v>
      </c>
      <c r="C512" s="13" t="s">
        <v>7</v>
      </c>
      <c r="D512" s="13" t="s">
        <v>18085</v>
      </c>
    </row>
    <row r="513" spans="1:4">
      <c r="A513" s="13">
        <v>7140100400</v>
      </c>
      <c r="B513" s="13" t="s">
        <v>18086</v>
      </c>
      <c r="C513" s="13" t="s">
        <v>7</v>
      </c>
      <c r="D513" s="13" t="s">
        <v>18087</v>
      </c>
    </row>
    <row r="514" spans="1:4">
      <c r="A514" s="13">
        <v>7140100410</v>
      </c>
      <c r="B514" s="13" t="s">
        <v>18088</v>
      </c>
      <c r="C514" s="13" t="s">
        <v>7</v>
      </c>
      <c r="D514" s="13" t="s">
        <v>18089</v>
      </c>
    </row>
    <row r="515" spans="1:4">
      <c r="A515" s="13">
        <v>7140100420</v>
      </c>
      <c r="B515" s="13" t="s">
        <v>18090</v>
      </c>
      <c r="C515" s="13" t="s">
        <v>7</v>
      </c>
      <c r="D515" s="13" t="s">
        <v>18091</v>
      </c>
    </row>
    <row r="516" spans="1:4">
      <c r="A516" s="13">
        <v>7140100430</v>
      </c>
      <c r="B516" s="13" t="s">
        <v>18092</v>
      </c>
      <c r="C516" s="13" t="s">
        <v>6</v>
      </c>
      <c r="D516" s="13" t="s">
        <v>2452</v>
      </c>
    </row>
    <row r="517" spans="1:4">
      <c r="A517" s="13">
        <v>7140100440</v>
      </c>
      <c r="B517" s="13" t="s">
        <v>18093</v>
      </c>
      <c r="C517" s="13" t="s">
        <v>6</v>
      </c>
      <c r="D517" s="13" t="s">
        <v>2507</v>
      </c>
    </row>
    <row r="518" spans="1:4">
      <c r="A518" s="13">
        <v>7140100450</v>
      </c>
      <c r="B518" s="13" t="s">
        <v>18094</v>
      </c>
      <c r="C518" s="13" t="s">
        <v>6</v>
      </c>
      <c r="D518" s="13" t="s">
        <v>4428</v>
      </c>
    </row>
    <row r="519" spans="1:4">
      <c r="A519" s="13">
        <v>7140100460</v>
      </c>
      <c r="B519" s="13" t="s">
        <v>18095</v>
      </c>
      <c r="C519" s="13" t="s">
        <v>6</v>
      </c>
      <c r="D519" s="13" t="s">
        <v>18096</v>
      </c>
    </row>
    <row r="524" spans="1:4">
      <c r="A524" s="13">
        <v>7140100470</v>
      </c>
      <c r="B524" s="13" t="s">
        <v>18097</v>
      </c>
      <c r="C524" s="13" t="s">
        <v>6</v>
      </c>
      <c r="D524" s="13" t="s">
        <v>2464</v>
      </c>
    </row>
    <row r="525" spans="1:4">
      <c r="A525" s="13">
        <v>7140100480</v>
      </c>
      <c r="B525" s="13" t="s">
        <v>18098</v>
      </c>
      <c r="C525" s="13" t="s">
        <v>6</v>
      </c>
      <c r="D525" s="13" t="s">
        <v>18099</v>
      </c>
    </row>
    <row r="526" spans="1:4">
      <c r="A526" s="13">
        <v>7140100490</v>
      </c>
      <c r="B526" s="13" t="s">
        <v>18100</v>
      </c>
      <c r="C526" s="13" t="s">
        <v>6</v>
      </c>
      <c r="D526" s="13" t="s">
        <v>18101</v>
      </c>
    </row>
    <row r="527" spans="1:4">
      <c r="A527" s="13">
        <v>7140100500</v>
      </c>
      <c r="B527" s="13" t="s">
        <v>18102</v>
      </c>
      <c r="C527" s="13" t="s">
        <v>6</v>
      </c>
      <c r="D527" s="27" t="s">
        <v>18103</v>
      </c>
    </row>
    <row r="528" spans="1:4">
      <c r="A528" s="13">
        <v>7140100510</v>
      </c>
      <c r="B528" s="13" t="s">
        <v>18104</v>
      </c>
      <c r="C528" s="13" t="s">
        <v>6</v>
      </c>
      <c r="D528" s="27" t="s">
        <v>18105</v>
      </c>
    </row>
    <row r="529" spans="1:4">
      <c r="A529" s="13">
        <v>7140100520</v>
      </c>
      <c r="B529" s="13" t="s">
        <v>18106</v>
      </c>
      <c r="C529" s="13" t="s">
        <v>7</v>
      </c>
      <c r="D529" s="13" t="s">
        <v>18107</v>
      </c>
    </row>
    <row r="530" spans="1:4">
      <c r="A530" s="13" t="s">
        <v>18108</v>
      </c>
    </row>
    <row r="531" spans="1:4">
      <c r="A531" s="13">
        <v>7150100010</v>
      </c>
      <c r="B531" s="13" t="s">
        <v>18109</v>
      </c>
      <c r="C531" s="13" t="s">
        <v>7</v>
      </c>
      <c r="D531" s="13" t="s">
        <v>18110</v>
      </c>
    </row>
    <row r="532" spans="1:4">
      <c r="A532" s="13">
        <v>7150100020</v>
      </c>
      <c r="B532" s="13" t="s">
        <v>18111</v>
      </c>
      <c r="C532" s="13" t="s">
        <v>7</v>
      </c>
      <c r="D532" s="13" t="s">
        <v>18112</v>
      </c>
    </row>
    <row r="533" spans="1:4">
      <c r="A533" s="13">
        <v>7150100030</v>
      </c>
      <c r="B533" s="13" t="s">
        <v>18113</v>
      </c>
      <c r="C533" s="13" t="s">
        <v>7</v>
      </c>
      <c r="D533" s="13" t="s">
        <v>18114</v>
      </c>
    </row>
    <row r="534" spans="1:4">
      <c r="A534" s="13">
        <v>7150100040</v>
      </c>
      <c r="B534" s="13" t="s">
        <v>18115</v>
      </c>
      <c r="C534" s="13" t="s">
        <v>7</v>
      </c>
      <c r="D534" s="13" t="s">
        <v>18116</v>
      </c>
    </row>
    <row r="535" spans="1:4">
      <c r="A535" s="13">
        <v>7150100050</v>
      </c>
      <c r="B535" s="13" t="s">
        <v>18117</v>
      </c>
      <c r="C535" s="13" t="s">
        <v>7</v>
      </c>
      <c r="D535" s="13" t="s">
        <v>18118</v>
      </c>
    </row>
    <row r="536" spans="1:4">
      <c r="A536" s="13">
        <v>7150100060</v>
      </c>
      <c r="B536" s="13" t="s">
        <v>18119</v>
      </c>
      <c r="C536" s="13" t="s">
        <v>7</v>
      </c>
      <c r="D536" s="13" t="s">
        <v>18120</v>
      </c>
    </row>
    <row r="537" spans="1:4">
      <c r="A537" s="13">
        <v>7150100070</v>
      </c>
      <c r="B537" s="13" t="s">
        <v>18121</v>
      </c>
      <c r="C537" s="13" t="s">
        <v>7</v>
      </c>
      <c r="D537" s="13" t="s">
        <v>18122</v>
      </c>
    </row>
    <row r="538" spans="1:4">
      <c r="A538" s="13">
        <v>7150100080</v>
      </c>
      <c r="B538" s="13" t="s">
        <v>18123</v>
      </c>
      <c r="C538" s="13" t="s">
        <v>7</v>
      </c>
      <c r="D538" s="13" t="s">
        <v>18124</v>
      </c>
    </row>
    <row r="539" spans="1:4">
      <c r="A539" s="13">
        <v>7150100090</v>
      </c>
      <c r="B539" s="13" t="s">
        <v>18125</v>
      </c>
      <c r="C539" s="13" t="s">
        <v>7</v>
      </c>
      <c r="D539" s="13" t="s">
        <v>18126</v>
      </c>
    </row>
    <row r="540" spans="1:4">
      <c r="A540" s="13">
        <v>7150100100</v>
      </c>
      <c r="B540" s="13" t="s">
        <v>18127</v>
      </c>
      <c r="C540" s="13" t="s">
        <v>7</v>
      </c>
      <c r="D540" s="13" t="s">
        <v>18128</v>
      </c>
    </row>
    <row r="541" spans="1:4">
      <c r="A541" s="13">
        <v>7150100110</v>
      </c>
      <c r="B541" s="13" t="s">
        <v>18129</v>
      </c>
      <c r="C541" s="13" t="s">
        <v>7</v>
      </c>
      <c r="D541" s="13" t="s">
        <v>18122</v>
      </c>
    </row>
    <row r="542" spans="1:4">
      <c r="A542" s="13">
        <v>7150100120</v>
      </c>
      <c r="B542" s="13" t="s">
        <v>18130</v>
      </c>
      <c r="C542" s="13" t="s">
        <v>7</v>
      </c>
      <c r="D542" s="13" t="s">
        <v>18131</v>
      </c>
    </row>
    <row r="543" spans="1:4">
      <c r="A543" s="13">
        <v>7150100130</v>
      </c>
      <c r="B543" s="13" t="s">
        <v>18132</v>
      </c>
      <c r="C543" s="13" t="s">
        <v>7</v>
      </c>
      <c r="D543" s="13" t="s">
        <v>18133</v>
      </c>
    </row>
    <row r="544" spans="1:4">
      <c r="A544" s="13">
        <v>7150100520</v>
      </c>
      <c r="B544" s="13" t="s">
        <v>18134</v>
      </c>
      <c r="C544" s="13" t="s">
        <v>7</v>
      </c>
      <c r="D544" s="13" t="s">
        <v>18135</v>
      </c>
    </row>
    <row r="545" spans="1:4">
      <c r="A545" s="13">
        <v>7150100530</v>
      </c>
      <c r="B545" s="13" t="s">
        <v>18136</v>
      </c>
      <c r="C545" s="13" t="s">
        <v>7</v>
      </c>
      <c r="D545" s="13" t="s">
        <v>18137</v>
      </c>
    </row>
    <row r="546" spans="1:4">
      <c r="A546" s="13">
        <v>7150100580</v>
      </c>
      <c r="B546" s="13" t="s">
        <v>18138</v>
      </c>
      <c r="C546" s="13" t="s">
        <v>7</v>
      </c>
      <c r="D546" s="13" t="s">
        <v>18139</v>
      </c>
    </row>
    <row r="547" spans="1:4">
      <c r="A547" s="13" t="s">
        <v>18140</v>
      </c>
    </row>
    <row r="548" spans="1:4">
      <c r="A548" s="13">
        <v>7160100010</v>
      </c>
      <c r="B548" s="13" t="s">
        <v>18141</v>
      </c>
      <c r="C548" s="13" t="s">
        <v>7</v>
      </c>
      <c r="D548" s="13" t="s">
        <v>18142</v>
      </c>
    </row>
    <row r="549" spans="1:4">
      <c r="A549" s="13">
        <v>7160100020</v>
      </c>
      <c r="B549" s="13" t="s">
        <v>18143</v>
      </c>
      <c r="C549" s="13" t="s">
        <v>7</v>
      </c>
      <c r="D549" s="13" t="s">
        <v>18144</v>
      </c>
    </row>
    <row r="550" spans="1:4">
      <c r="A550" s="13">
        <v>7160100030</v>
      </c>
      <c r="B550" s="13" t="s">
        <v>18145</v>
      </c>
      <c r="C550" s="13" t="s">
        <v>7</v>
      </c>
      <c r="D550" s="13" t="s">
        <v>18146</v>
      </c>
    </row>
    <row r="551" spans="1:4">
      <c r="A551" s="13">
        <v>7160100040</v>
      </c>
      <c r="B551" s="13" t="s">
        <v>18147</v>
      </c>
      <c r="C551" s="13" t="s">
        <v>7</v>
      </c>
      <c r="D551" s="13" t="s">
        <v>18148</v>
      </c>
    </row>
    <row r="552" spans="1:4">
      <c r="A552" s="13">
        <v>7160100050</v>
      </c>
      <c r="B552" s="13" t="s">
        <v>18149</v>
      </c>
      <c r="C552" s="13" t="s">
        <v>7</v>
      </c>
      <c r="D552" s="13" t="s">
        <v>18150</v>
      </c>
    </row>
    <row r="553" spans="1:4">
      <c r="A553" s="13">
        <v>7160100060</v>
      </c>
      <c r="B553" s="13" t="s">
        <v>18151</v>
      </c>
      <c r="C553" s="13" t="s">
        <v>7</v>
      </c>
      <c r="D553" s="13" t="s">
        <v>18152</v>
      </c>
    </row>
    <row r="554" spans="1:4">
      <c r="A554" s="13">
        <v>7160100070</v>
      </c>
      <c r="B554" s="13" t="s">
        <v>18153</v>
      </c>
      <c r="C554" s="13" t="s">
        <v>7</v>
      </c>
      <c r="D554" s="13" t="s">
        <v>18154</v>
      </c>
    </row>
    <row r="555" spans="1:4">
      <c r="A555" s="13">
        <v>7160100080</v>
      </c>
      <c r="B555" s="13" t="s">
        <v>18155</v>
      </c>
      <c r="C555" s="13" t="s">
        <v>7</v>
      </c>
      <c r="D555" s="13" t="s">
        <v>18156</v>
      </c>
    </row>
    <row r="556" spans="1:4">
      <c r="A556" s="13">
        <v>7160100090</v>
      </c>
      <c r="B556" s="13" t="s">
        <v>18157</v>
      </c>
      <c r="C556" s="13" t="s">
        <v>7</v>
      </c>
      <c r="D556" s="13" t="s">
        <v>18158</v>
      </c>
    </row>
    <row r="557" spans="1:4">
      <c r="A557" s="13">
        <v>7160100100</v>
      </c>
      <c r="B557" s="13" t="s">
        <v>18159</v>
      </c>
      <c r="C557" s="13" t="s">
        <v>7</v>
      </c>
      <c r="D557" s="13" t="s">
        <v>18160</v>
      </c>
    </row>
    <row r="558" spans="1:4">
      <c r="A558" s="13">
        <v>7160100110</v>
      </c>
      <c r="B558" s="13" t="s">
        <v>18161</v>
      </c>
      <c r="C558" s="13" t="s">
        <v>7</v>
      </c>
      <c r="D558" s="13" t="s">
        <v>18162</v>
      </c>
    </row>
    <row r="559" spans="1:4">
      <c r="A559" s="13">
        <v>7160100120</v>
      </c>
      <c r="B559" s="13" t="s">
        <v>18163</v>
      </c>
      <c r="C559" s="13" t="s">
        <v>7</v>
      </c>
      <c r="D559" s="13" t="s">
        <v>18164</v>
      </c>
    </row>
    <row r="560" spans="1:4">
      <c r="A560" s="13">
        <v>7160100130</v>
      </c>
      <c r="B560" s="13" t="s">
        <v>18165</v>
      </c>
      <c r="C560" s="13" t="s">
        <v>7</v>
      </c>
      <c r="D560" s="13" t="s">
        <v>18166</v>
      </c>
    </row>
    <row r="561" spans="1:4">
      <c r="A561" s="13">
        <v>7160100140</v>
      </c>
      <c r="B561" s="13" t="s">
        <v>18167</v>
      </c>
      <c r="C561" s="13" t="s">
        <v>7</v>
      </c>
      <c r="D561" s="13" t="s">
        <v>18168</v>
      </c>
    </row>
    <row r="562" spans="1:4">
      <c r="A562" s="13">
        <v>7160100150</v>
      </c>
      <c r="B562" s="13" t="s">
        <v>18169</v>
      </c>
      <c r="C562" s="13" t="s">
        <v>7</v>
      </c>
      <c r="D562" s="13" t="s">
        <v>18170</v>
      </c>
    </row>
    <row r="563" spans="1:4">
      <c r="A563" s="13">
        <v>7160100160</v>
      </c>
      <c r="B563" s="13" t="s">
        <v>18171</v>
      </c>
      <c r="C563" s="13" t="s">
        <v>7</v>
      </c>
      <c r="D563" s="13" t="s">
        <v>18172</v>
      </c>
    </row>
    <row r="564" spans="1:4">
      <c r="A564" s="13">
        <v>7160100180</v>
      </c>
      <c r="B564" s="13" t="s">
        <v>18173</v>
      </c>
      <c r="C564" s="13" t="s">
        <v>12</v>
      </c>
      <c r="D564" s="13" t="s">
        <v>18174</v>
      </c>
    </row>
    <row r="565" spans="1:4">
      <c r="A565" s="13">
        <v>7160100190</v>
      </c>
      <c r="B565" s="13" t="s">
        <v>18175</v>
      </c>
      <c r="C565" s="13" t="s">
        <v>9</v>
      </c>
      <c r="D565" s="13" t="s">
        <v>18176</v>
      </c>
    </row>
    <row r="566" spans="1:4">
      <c r="A566" s="13">
        <v>7160100200</v>
      </c>
      <c r="B566" s="13" t="s">
        <v>18177</v>
      </c>
      <c r="C566" s="13" t="s">
        <v>9</v>
      </c>
      <c r="D566" s="13" t="s">
        <v>18178</v>
      </c>
    </row>
    <row r="567" spans="1:4">
      <c r="A567" s="13">
        <v>7160100210</v>
      </c>
      <c r="B567" s="13" t="s">
        <v>18179</v>
      </c>
      <c r="C567" s="13" t="s">
        <v>9</v>
      </c>
      <c r="D567" s="13" t="s">
        <v>18180</v>
      </c>
    </row>
    <row r="568" spans="1:4">
      <c r="A568" s="13">
        <v>7160100220</v>
      </c>
      <c r="B568" s="13" t="s">
        <v>18181</v>
      </c>
      <c r="C568" s="13" t="s">
        <v>9</v>
      </c>
      <c r="D568" s="13" t="s">
        <v>18182</v>
      </c>
    </row>
    <row r="569" spans="1:4">
      <c r="A569" s="13">
        <v>7160100230</v>
      </c>
      <c r="B569" s="13" t="s">
        <v>18183</v>
      </c>
      <c r="C569" s="13" t="s">
        <v>9</v>
      </c>
      <c r="D569" s="13" t="s">
        <v>18184</v>
      </c>
    </row>
    <row r="570" spans="1:4">
      <c r="A570" s="13">
        <v>7160100240</v>
      </c>
      <c r="B570" s="13" t="s">
        <v>18185</v>
      </c>
      <c r="C570" s="13" t="s">
        <v>9</v>
      </c>
      <c r="D570" s="13" t="s">
        <v>18186</v>
      </c>
    </row>
    <row r="571" spans="1:4">
      <c r="A571" s="13">
        <v>7160100250</v>
      </c>
      <c r="B571" s="13" t="s">
        <v>18187</v>
      </c>
      <c r="C571" s="13" t="s">
        <v>9</v>
      </c>
      <c r="D571" s="13" t="s">
        <v>18188</v>
      </c>
    </row>
    <row r="576" spans="1:4">
      <c r="A576" s="13">
        <v>7160100260</v>
      </c>
      <c r="B576" s="13" t="s">
        <v>18189</v>
      </c>
      <c r="C576" s="13" t="s">
        <v>9</v>
      </c>
      <c r="D576" s="13" t="s">
        <v>18190</v>
      </c>
    </row>
    <row r="577" spans="1:4">
      <c r="A577" s="13">
        <v>7160100270</v>
      </c>
      <c r="B577" s="13" t="s">
        <v>18191</v>
      </c>
      <c r="C577" s="13" t="s">
        <v>9</v>
      </c>
      <c r="D577" s="13" t="s">
        <v>18192</v>
      </c>
    </row>
    <row r="578" spans="1:4">
      <c r="A578" s="13">
        <v>7160100280</v>
      </c>
      <c r="B578" s="13" t="s">
        <v>18193</v>
      </c>
      <c r="C578" s="13" t="s">
        <v>9</v>
      </c>
      <c r="D578" s="13" t="s">
        <v>18194</v>
      </c>
    </row>
    <row r="579" spans="1:4">
      <c r="A579" s="13">
        <v>7160100290</v>
      </c>
      <c r="B579" s="13" t="s">
        <v>18195</v>
      </c>
      <c r="C579" s="13" t="s">
        <v>9</v>
      </c>
      <c r="D579" s="13" t="s">
        <v>18196</v>
      </c>
    </row>
    <row r="580" spans="1:4">
      <c r="A580" s="13">
        <v>7160100300</v>
      </c>
      <c r="B580" s="13" t="s">
        <v>18197</v>
      </c>
      <c r="C580" s="13" t="s">
        <v>9</v>
      </c>
      <c r="D580" s="13" t="s">
        <v>18198</v>
      </c>
    </row>
    <row r="581" spans="1:4">
      <c r="A581" s="13">
        <v>7160100310</v>
      </c>
      <c r="B581" s="13" t="s">
        <v>18199</v>
      </c>
      <c r="C581" s="13" t="s">
        <v>9</v>
      </c>
      <c r="D581" s="13" t="s">
        <v>18200</v>
      </c>
    </row>
    <row r="582" spans="1:4">
      <c r="A582" s="13">
        <v>7160100320</v>
      </c>
      <c r="B582" s="13" t="s">
        <v>18201</v>
      </c>
      <c r="C582" s="13" t="s">
        <v>9</v>
      </c>
      <c r="D582" s="13" t="s">
        <v>18202</v>
      </c>
    </row>
    <row r="583" spans="1:4">
      <c r="A583" s="13">
        <v>7160100330</v>
      </c>
      <c r="B583" s="13" t="s">
        <v>18203</v>
      </c>
      <c r="C583" s="13" t="s">
        <v>7</v>
      </c>
      <c r="D583" s="13" t="s">
        <v>18204</v>
      </c>
    </row>
    <row r="584" spans="1:4">
      <c r="A584" s="13">
        <v>7160100340</v>
      </c>
      <c r="B584" s="13" t="s">
        <v>18205</v>
      </c>
      <c r="C584" s="13" t="s">
        <v>7</v>
      </c>
      <c r="D584" s="13" t="s">
        <v>18206</v>
      </c>
    </row>
    <row r="585" spans="1:4">
      <c r="A585" s="13">
        <v>7160100350</v>
      </c>
      <c r="B585" s="13" t="s">
        <v>18207</v>
      </c>
      <c r="C585" s="13" t="s">
        <v>7</v>
      </c>
      <c r="D585" s="27" t="s">
        <v>18208</v>
      </c>
    </row>
    <row r="586" spans="1:4">
      <c r="A586" s="13">
        <v>7160100360</v>
      </c>
      <c r="B586" s="13" t="s">
        <v>18209</v>
      </c>
      <c r="C586" s="13" t="s">
        <v>7</v>
      </c>
      <c r="D586" s="27" t="s">
        <v>18210</v>
      </c>
    </row>
    <row r="587" spans="1:4">
      <c r="A587" s="13">
        <v>7160100370</v>
      </c>
      <c r="B587" s="13" t="s">
        <v>18211</v>
      </c>
      <c r="C587" s="13" t="s">
        <v>7</v>
      </c>
      <c r="D587" s="13" t="s">
        <v>18212</v>
      </c>
    </row>
    <row r="588" spans="1:4">
      <c r="A588" s="13">
        <v>7160100380</v>
      </c>
      <c r="B588" s="13" t="s">
        <v>18213</v>
      </c>
      <c r="C588" s="13" t="s">
        <v>7</v>
      </c>
      <c r="D588" s="13" t="s">
        <v>18214</v>
      </c>
    </row>
    <row r="589" spans="1:4">
      <c r="A589" s="13">
        <v>7160100390</v>
      </c>
      <c r="B589" s="13" t="s">
        <v>18215</v>
      </c>
      <c r="C589" s="13" t="s">
        <v>9</v>
      </c>
      <c r="D589" s="13" t="s">
        <v>18216</v>
      </c>
    </row>
    <row r="590" spans="1:4">
      <c r="A590" s="13" t="s">
        <v>18217</v>
      </c>
    </row>
    <row r="591" spans="1:4">
      <c r="A591" s="13">
        <v>7170100010</v>
      </c>
      <c r="B591" s="13" t="s">
        <v>18218</v>
      </c>
      <c r="C591" s="13" t="s">
        <v>6</v>
      </c>
      <c r="D591" s="13" t="s">
        <v>18219</v>
      </c>
    </row>
    <row r="592" spans="1:4">
      <c r="A592" s="13">
        <v>7170100020</v>
      </c>
      <c r="B592" s="13" t="s">
        <v>18220</v>
      </c>
      <c r="C592" s="13" t="s">
        <v>6</v>
      </c>
      <c r="D592" s="13" t="s">
        <v>2439</v>
      </c>
    </row>
    <row r="593" spans="1:4">
      <c r="A593" s="13">
        <v>7170100030</v>
      </c>
      <c r="B593" s="13" t="s">
        <v>18221</v>
      </c>
      <c r="C593" s="13" t="s">
        <v>6</v>
      </c>
      <c r="D593" s="13" t="s">
        <v>18222</v>
      </c>
    </row>
    <row r="594" spans="1:4">
      <c r="A594" s="13">
        <v>7170100040</v>
      </c>
      <c r="B594" s="13" t="s">
        <v>18223</v>
      </c>
      <c r="C594" s="13" t="s">
        <v>6</v>
      </c>
      <c r="D594" s="13" t="s">
        <v>2549</v>
      </c>
    </row>
    <row r="595" spans="1:4">
      <c r="A595" s="13">
        <v>7170100050</v>
      </c>
      <c r="B595" s="13" t="s">
        <v>18224</v>
      </c>
      <c r="C595" s="13" t="s">
        <v>6</v>
      </c>
      <c r="D595" s="13" t="s">
        <v>2531</v>
      </c>
    </row>
    <row r="596" spans="1:4">
      <c r="A596" s="13">
        <v>7170100060</v>
      </c>
      <c r="B596" s="13" t="s">
        <v>18225</v>
      </c>
      <c r="C596" s="13" t="s">
        <v>6</v>
      </c>
      <c r="D596" s="13" t="s">
        <v>5415</v>
      </c>
    </row>
    <row r="597" spans="1:4">
      <c r="A597" s="13">
        <v>7170100070</v>
      </c>
      <c r="B597" s="13" t="s">
        <v>18226</v>
      </c>
      <c r="C597" s="13" t="s">
        <v>6</v>
      </c>
      <c r="D597" s="13" t="s">
        <v>2446</v>
      </c>
    </row>
    <row r="598" spans="1:4">
      <c r="A598" s="13">
        <v>7170100080</v>
      </c>
      <c r="B598" s="13" t="s">
        <v>18227</v>
      </c>
      <c r="C598" s="13" t="s">
        <v>6</v>
      </c>
      <c r="D598" s="13" t="s">
        <v>2514</v>
      </c>
    </row>
    <row r="599" spans="1:4">
      <c r="A599" s="13">
        <v>7170100090</v>
      </c>
      <c r="B599" s="13" t="s">
        <v>18228</v>
      </c>
      <c r="C599" s="13" t="s">
        <v>6</v>
      </c>
      <c r="D599" s="13" t="s">
        <v>5232</v>
      </c>
    </row>
    <row r="600" spans="1:4">
      <c r="A600" s="13">
        <v>7170100100</v>
      </c>
      <c r="B600" s="13" t="s">
        <v>18229</v>
      </c>
      <c r="C600" s="13" t="s">
        <v>6</v>
      </c>
      <c r="D600" s="13" t="s">
        <v>6250</v>
      </c>
    </row>
    <row r="601" spans="1:4">
      <c r="A601" s="13">
        <v>7170100110</v>
      </c>
      <c r="B601" s="13" t="s">
        <v>18230</v>
      </c>
      <c r="C601" s="13" t="s">
        <v>6</v>
      </c>
      <c r="D601" s="13" t="s">
        <v>2486</v>
      </c>
    </row>
    <row r="602" spans="1:4">
      <c r="A602" s="13">
        <v>7170100120</v>
      </c>
      <c r="B602" s="13" t="s">
        <v>18231</v>
      </c>
      <c r="C602" s="13" t="s">
        <v>6</v>
      </c>
      <c r="D602" s="13" t="s">
        <v>18232</v>
      </c>
    </row>
    <row r="603" spans="1:4">
      <c r="A603" s="13">
        <v>7170100130</v>
      </c>
      <c r="B603" s="13" t="s">
        <v>18233</v>
      </c>
      <c r="C603" s="13" t="s">
        <v>6</v>
      </c>
      <c r="D603" s="13" t="s">
        <v>18234</v>
      </c>
    </row>
    <row r="604" spans="1:4">
      <c r="A604" s="13">
        <v>7170100140</v>
      </c>
      <c r="B604" s="13" t="s">
        <v>18235</v>
      </c>
      <c r="C604" s="13" t="s">
        <v>6</v>
      </c>
      <c r="D604" s="13" t="s">
        <v>18236</v>
      </c>
    </row>
    <row r="605" spans="1:4">
      <c r="A605" s="13">
        <v>7170100141</v>
      </c>
      <c r="B605" s="13" t="s">
        <v>18237</v>
      </c>
      <c r="C605" s="13" t="s">
        <v>6</v>
      </c>
      <c r="D605" s="13" t="s">
        <v>18238</v>
      </c>
    </row>
    <row r="606" spans="1:4">
      <c r="A606" s="13">
        <v>7170100142</v>
      </c>
      <c r="B606" s="13" t="s">
        <v>18239</v>
      </c>
      <c r="C606" s="13" t="s">
        <v>6</v>
      </c>
      <c r="D606" s="13" t="s">
        <v>18240</v>
      </c>
    </row>
    <row r="607" spans="1:4">
      <c r="A607" s="13">
        <v>7170100143</v>
      </c>
      <c r="B607" s="13" t="s">
        <v>18241</v>
      </c>
      <c r="C607" s="13" t="s">
        <v>6</v>
      </c>
      <c r="D607" s="13" t="s">
        <v>18242</v>
      </c>
    </row>
    <row r="608" spans="1:4">
      <c r="A608" s="13">
        <v>7170100150</v>
      </c>
      <c r="B608" s="13" t="s">
        <v>18243</v>
      </c>
      <c r="C608" s="13" t="s">
        <v>6</v>
      </c>
      <c r="D608" s="13" t="s">
        <v>2412</v>
      </c>
    </row>
    <row r="609" spans="1:4">
      <c r="A609" s="13">
        <v>7170100160</v>
      </c>
      <c r="B609" s="13" t="s">
        <v>18244</v>
      </c>
      <c r="C609" s="13" t="s">
        <v>6</v>
      </c>
      <c r="D609" s="13" t="s">
        <v>5951</v>
      </c>
    </row>
    <row r="610" spans="1:4">
      <c r="A610" s="13">
        <v>7170100170</v>
      </c>
      <c r="B610" s="13" t="s">
        <v>18245</v>
      </c>
      <c r="C610" s="13" t="s">
        <v>6</v>
      </c>
      <c r="D610" s="13" t="s">
        <v>4914</v>
      </c>
    </row>
    <row r="611" spans="1:4">
      <c r="A611" s="13">
        <v>7170100180</v>
      </c>
      <c r="B611" s="13" t="s">
        <v>18246</v>
      </c>
      <c r="C611" s="13" t="s">
        <v>6</v>
      </c>
      <c r="D611" s="13" t="s">
        <v>4914</v>
      </c>
    </row>
    <row r="612" spans="1:4">
      <c r="A612" s="13">
        <v>7170100190</v>
      </c>
      <c r="B612" s="13" t="s">
        <v>18247</v>
      </c>
      <c r="C612" s="13" t="s">
        <v>6</v>
      </c>
      <c r="D612" s="13" t="s">
        <v>2480</v>
      </c>
    </row>
    <row r="613" spans="1:4">
      <c r="A613" s="13">
        <v>7170100200</v>
      </c>
      <c r="B613" s="13" t="s">
        <v>18248</v>
      </c>
      <c r="C613" s="13" t="s">
        <v>6</v>
      </c>
      <c r="D613" s="13" t="s">
        <v>4118</v>
      </c>
    </row>
    <row r="614" spans="1:4">
      <c r="A614" s="13">
        <v>7170100210</v>
      </c>
      <c r="B614" s="13" t="s">
        <v>18249</v>
      </c>
      <c r="C614" s="13" t="s">
        <v>6</v>
      </c>
      <c r="D614" s="13" t="s">
        <v>2553</v>
      </c>
    </row>
    <row r="615" spans="1:4">
      <c r="A615" s="13">
        <v>7170100220</v>
      </c>
      <c r="B615" s="13" t="s">
        <v>18250</v>
      </c>
      <c r="C615" s="13" t="s">
        <v>6</v>
      </c>
      <c r="D615" s="13" t="s">
        <v>4085</v>
      </c>
    </row>
    <row r="616" spans="1:4">
      <c r="A616" s="13">
        <v>7170100230</v>
      </c>
      <c r="B616" s="13" t="s">
        <v>18251</v>
      </c>
      <c r="C616" s="13" t="s">
        <v>6</v>
      </c>
      <c r="D616" s="13" t="s">
        <v>4231</v>
      </c>
    </row>
    <row r="617" spans="1:4">
      <c r="A617" s="13">
        <v>7170100240</v>
      </c>
      <c r="B617" s="13" t="s">
        <v>18252</v>
      </c>
      <c r="C617" s="13" t="s">
        <v>6</v>
      </c>
      <c r="D617" s="13" t="s">
        <v>5424</v>
      </c>
    </row>
    <row r="618" spans="1:4">
      <c r="A618" s="13">
        <v>7170100250</v>
      </c>
      <c r="B618" s="13" t="s">
        <v>18253</v>
      </c>
      <c r="C618" s="13" t="s">
        <v>6</v>
      </c>
      <c r="D618" s="13" t="s">
        <v>18254</v>
      </c>
    </row>
    <row r="619" spans="1:4">
      <c r="A619" s="13">
        <v>7170100260</v>
      </c>
      <c r="B619" s="13" t="s">
        <v>18255</v>
      </c>
      <c r="C619" s="13" t="s">
        <v>6</v>
      </c>
      <c r="D619" s="13" t="s">
        <v>2400</v>
      </c>
    </row>
    <row r="620" spans="1:4">
      <c r="A620" s="13">
        <v>7170100270</v>
      </c>
      <c r="B620" s="13" t="s">
        <v>18256</v>
      </c>
      <c r="C620" s="13" t="s">
        <v>6</v>
      </c>
      <c r="D620" s="13" t="s">
        <v>2538</v>
      </c>
    </row>
    <row r="621" spans="1:4">
      <c r="A621" s="13">
        <v>7170100280</v>
      </c>
      <c r="B621" s="13" t="s">
        <v>18257</v>
      </c>
      <c r="C621" s="13" t="s">
        <v>6</v>
      </c>
      <c r="D621" s="13" t="s">
        <v>2498</v>
      </c>
    </row>
    <row r="622" spans="1:4">
      <c r="A622" s="13">
        <v>7170100290</v>
      </c>
      <c r="B622" s="13" t="s">
        <v>18258</v>
      </c>
      <c r="C622" s="13" t="s">
        <v>6</v>
      </c>
      <c r="D622" s="13" t="s">
        <v>2431</v>
      </c>
    </row>
    <row r="623" spans="1:4">
      <c r="A623" s="13">
        <v>7170100300</v>
      </c>
      <c r="B623" s="13" t="s">
        <v>18259</v>
      </c>
      <c r="C623" s="13" t="s">
        <v>6</v>
      </c>
      <c r="D623" s="13" t="s">
        <v>5659</v>
      </c>
    </row>
    <row r="628" spans="1:4">
      <c r="A628" s="13">
        <v>7170100310</v>
      </c>
      <c r="B628" s="13" t="s">
        <v>18260</v>
      </c>
      <c r="C628" s="13" t="s">
        <v>6</v>
      </c>
      <c r="D628" s="13" t="s">
        <v>2472</v>
      </c>
    </row>
    <row r="629" spans="1:4">
      <c r="A629" s="13">
        <v>7170100320</v>
      </c>
      <c r="B629" s="13" t="s">
        <v>18261</v>
      </c>
      <c r="C629" s="13" t="s">
        <v>6</v>
      </c>
      <c r="D629" s="13" t="s">
        <v>2429</v>
      </c>
    </row>
    <row r="630" spans="1:4">
      <c r="A630" s="13">
        <v>7170100330</v>
      </c>
      <c r="B630" s="13" t="s">
        <v>18262</v>
      </c>
      <c r="C630" s="13" t="s">
        <v>6</v>
      </c>
      <c r="D630" s="13" t="s">
        <v>2376</v>
      </c>
    </row>
    <row r="631" spans="1:4">
      <c r="A631" s="13">
        <v>7170100340</v>
      </c>
      <c r="B631" s="13" t="s">
        <v>18263</v>
      </c>
      <c r="C631" s="13" t="s">
        <v>6</v>
      </c>
      <c r="D631" s="13" t="s">
        <v>2412</v>
      </c>
    </row>
    <row r="632" spans="1:4">
      <c r="A632" s="13">
        <v>7170100350</v>
      </c>
      <c r="B632" s="13" t="s">
        <v>18264</v>
      </c>
      <c r="C632" s="13" t="s">
        <v>6</v>
      </c>
      <c r="D632" s="13" t="s">
        <v>2547</v>
      </c>
    </row>
    <row r="633" spans="1:4">
      <c r="A633" s="13">
        <v>7170100360</v>
      </c>
      <c r="B633" s="13" t="s">
        <v>18265</v>
      </c>
      <c r="C633" s="13" t="s">
        <v>6</v>
      </c>
      <c r="D633" s="13" t="s">
        <v>4914</v>
      </c>
    </row>
    <row r="634" spans="1:4">
      <c r="A634" s="13">
        <v>7170100370</v>
      </c>
      <c r="B634" s="13" t="s">
        <v>18266</v>
      </c>
      <c r="C634" s="13" t="s">
        <v>6</v>
      </c>
      <c r="D634" s="13" t="s">
        <v>2410</v>
      </c>
    </row>
    <row r="635" spans="1:4">
      <c r="A635" s="13">
        <v>7170100380</v>
      </c>
      <c r="B635" s="13" t="s">
        <v>18267</v>
      </c>
      <c r="C635" s="13" t="s">
        <v>6</v>
      </c>
      <c r="D635" s="13" t="s">
        <v>2459</v>
      </c>
    </row>
    <row r="636" spans="1:4">
      <c r="A636" s="13">
        <v>7170100390</v>
      </c>
      <c r="B636" s="13" t="s">
        <v>18268</v>
      </c>
      <c r="C636" s="13" t="s">
        <v>6</v>
      </c>
      <c r="D636" s="13" t="s">
        <v>2398</v>
      </c>
    </row>
    <row r="637" spans="1:4">
      <c r="A637" s="13">
        <v>7170100400</v>
      </c>
      <c r="B637" s="13" t="s">
        <v>18269</v>
      </c>
      <c r="C637" s="13" t="s">
        <v>6</v>
      </c>
      <c r="D637" s="13" t="s">
        <v>2547</v>
      </c>
    </row>
    <row r="638" spans="1:4">
      <c r="A638" s="13">
        <v>7170100410</v>
      </c>
      <c r="B638" s="13" t="s">
        <v>18270</v>
      </c>
      <c r="C638" s="13" t="s">
        <v>6</v>
      </c>
      <c r="D638" s="13" t="s">
        <v>4914</v>
      </c>
    </row>
    <row r="639" spans="1:4">
      <c r="A639" s="13">
        <v>7170100420</v>
      </c>
      <c r="B639" s="13" t="s">
        <v>18271</v>
      </c>
      <c r="C639" s="13" t="s">
        <v>6</v>
      </c>
      <c r="D639" s="13" t="s">
        <v>2425</v>
      </c>
    </row>
    <row r="640" spans="1:4">
      <c r="A640" s="13">
        <v>7170100430</v>
      </c>
      <c r="B640" s="13" t="s">
        <v>18272</v>
      </c>
      <c r="C640" s="13" t="s">
        <v>6</v>
      </c>
      <c r="D640" s="13" t="s">
        <v>2461</v>
      </c>
    </row>
    <row r="641" spans="1:4">
      <c r="A641" s="13">
        <v>7170100440</v>
      </c>
      <c r="B641" s="13" t="s">
        <v>18273</v>
      </c>
      <c r="C641" s="13" t="s">
        <v>6</v>
      </c>
      <c r="D641" s="13" t="s">
        <v>18274</v>
      </c>
    </row>
    <row r="642" spans="1:4">
      <c r="A642" s="13">
        <v>7170100450</v>
      </c>
      <c r="B642" s="13" t="s">
        <v>18275</v>
      </c>
      <c r="C642" s="13" t="s">
        <v>6</v>
      </c>
      <c r="D642" s="13" t="s">
        <v>18276</v>
      </c>
    </row>
    <row r="643" spans="1:4">
      <c r="A643" s="13">
        <v>7170100460</v>
      </c>
      <c r="B643" s="13" t="s">
        <v>18277</v>
      </c>
      <c r="C643" s="13" t="s">
        <v>6</v>
      </c>
      <c r="D643" s="27" t="s">
        <v>2607</v>
      </c>
    </row>
    <row r="644" spans="1:4">
      <c r="A644" s="13">
        <v>7170100470</v>
      </c>
      <c r="B644" s="13" t="s">
        <v>18278</v>
      </c>
      <c r="C644" s="13" t="s">
        <v>6</v>
      </c>
      <c r="D644" s="27" t="s">
        <v>2497</v>
      </c>
    </row>
    <row r="645" spans="1:4">
      <c r="A645" s="13">
        <v>7170100480</v>
      </c>
      <c r="B645" s="13" t="s">
        <v>18279</v>
      </c>
      <c r="C645" s="13" t="s">
        <v>6</v>
      </c>
      <c r="D645" s="13" t="s">
        <v>2409</v>
      </c>
    </row>
    <row r="646" spans="1:4">
      <c r="A646" s="13">
        <v>7170100490</v>
      </c>
      <c r="B646" s="13" t="s">
        <v>18280</v>
      </c>
      <c r="C646" s="13" t="s">
        <v>6</v>
      </c>
      <c r="D646" s="13" t="s">
        <v>2412</v>
      </c>
    </row>
    <row r="647" spans="1:4">
      <c r="A647" s="13">
        <v>7170100500</v>
      </c>
      <c r="B647" s="13" t="s">
        <v>18281</v>
      </c>
      <c r="C647" s="13" t="s">
        <v>6</v>
      </c>
      <c r="D647" s="13" t="s">
        <v>5951</v>
      </c>
    </row>
    <row r="648" spans="1:4">
      <c r="A648" s="13">
        <v>7170100510</v>
      </c>
      <c r="B648" s="13" t="s">
        <v>18282</v>
      </c>
      <c r="C648" s="13" t="s">
        <v>6</v>
      </c>
      <c r="D648" s="13" t="s">
        <v>2434</v>
      </c>
    </row>
    <row r="649" spans="1:4">
      <c r="A649" s="13">
        <v>7170100520</v>
      </c>
      <c r="B649" s="13" t="s">
        <v>18283</v>
      </c>
      <c r="C649" s="13" t="s">
        <v>6</v>
      </c>
      <c r="D649" s="13" t="s">
        <v>4914</v>
      </c>
    </row>
    <row r="650" spans="1:4">
      <c r="A650" s="13">
        <v>7170100530</v>
      </c>
      <c r="B650" s="13" t="s">
        <v>18284</v>
      </c>
      <c r="C650" s="13" t="s">
        <v>6</v>
      </c>
      <c r="D650" s="13" t="s">
        <v>2547</v>
      </c>
    </row>
    <row r="651" spans="1:4">
      <c r="A651" s="13">
        <v>7170100540</v>
      </c>
      <c r="B651" s="13" t="s">
        <v>18285</v>
      </c>
      <c r="C651" s="13" t="s">
        <v>6</v>
      </c>
      <c r="D651" s="13" t="s">
        <v>4914</v>
      </c>
    </row>
    <row r="652" spans="1:4">
      <c r="A652" s="13">
        <v>7170100550</v>
      </c>
      <c r="B652" s="13" t="s">
        <v>18286</v>
      </c>
      <c r="C652" s="13" t="s">
        <v>6</v>
      </c>
      <c r="D652" s="13" t="s">
        <v>2803</v>
      </c>
    </row>
    <row r="653" spans="1:4">
      <c r="A653" s="13">
        <v>7170100560</v>
      </c>
      <c r="B653" s="13" t="s">
        <v>18287</v>
      </c>
      <c r="C653" s="13" t="s">
        <v>6</v>
      </c>
      <c r="D653" s="13" t="s">
        <v>2427</v>
      </c>
    </row>
    <row r="654" spans="1:4">
      <c r="A654" s="13">
        <v>7170100570</v>
      </c>
      <c r="B654" s="13" t="s">
        <v>18288</v>
      </c>
      <c r="C654" s="13" t="s">
        <v>6</v>
      </c>
      <c r="D654" s="13" t="s">
        <v>2477</v>
      </c>
    </row>
    <row r="655" spans="1:4">
      <c r="A655" s="13">
        <v>7170100580</v>
      </c>
      <c r="B655" s="13" t="s">
        <v>18289</v>
      </c>
      <c r="C655" s="13" t="s">
        <v>6</v>
      </c>
      <c r="D655" s="13" t="s">
        <v>4328</v>
      </c>
    </row>
    <row r="656" spans="1:4">
      <c r="A656" s="13">
        <v>7170100590</v>
      </c>
      <c r="B656" s="13" t="s">
        <v>18290</v>
      </c>
      <c r="C656" s="13" t="s">
        <v>6</v>
      </c>
      <c r="D656" s="13" t="s">
        <v>5369</v>
      </c>
    </row>
    <row r="657" spans="1:4">
      <c r="A657" s="13">
        <v>7170100600</v>
      </c>
      <c r="B657" s="13" t="s">
        <v>18291</v>
      </c>
      <c r="C657" s="13" t="s">
        <v>6</v>
      </c>
      <c r="D657" s="13" t="s">
        <v>18292</v>
      </c>
    </row>
    <row r="658" spans="1:4">
      <c r="A658" s="13">
        <v>7170100610</v>
      </c>
      <c r="B658" s="13" t="s">
        <v>18293</v>
      </c>
      <c r="C658" s="13" t="s">
        <v>6</v>
      </c>
      <c r="D658" s="13" t="s">
        <v>18294</v>
      </c>
    </row>
    <row r="659" spans="1:4">
      <c r="A659" s="13">
        <v>7170100620</v>
      </c>
      <c r="B659" s="13" t="s">
        <v>18295</v>
      </c>
      <c r="C659" s="13" t="s">
        <v>6</v>
      </c>
      <c r="D659" s="13" t="s">
        <v>18296</v>
      </c>
    </row>
    <row r="660" spans="1:4">
      <c r="A660" s="13">
        <v>7170100630</v>
      </c>
      <c r="B660" s="13" t="s">
        <v>18297</v>
      </c>
      <c r="C660" s="13" t="s">
        <v>6</v>
      </c>
      <c r="D660" s="13" t="s">
        <v>2535</v>
      </c>
    </row>
    <row r="661" spans="1:4">
      <c r="A661" s="13">
        <v>7170100640</v>
      </c>
      <c r="B661" s="13" t="s">
        <v>18298</v>
      </c>
      <c r="C661" s="13" t="s">
        <v>6</v>
      </c>
      <c r="D661" s="13" t="s">
        <v>2383</v>
      </c>
    </row>
    <row r="662" spans="1:4">
      <c r="A662" s="13">
        <v>7170100650</v>
      </c>
      <c r="B662" s="13" t="s">
        <v>18299</v>
      </c>
      <c r="C662" s="13" t="s">
        <v>6</v>
      </c>
      <c r="D662" s="13" t="s">
        <v>18300</v>
      </c>
    </row>
    <row r="663" spans="1:4">
      <c r="A663" s="13">
        <v>7170100660</v>
      </c>
      <c r="B663" s="13" t="s">
        <v>18301</v>
      </c>
      <c r="C663" s="13" t="s">
        <v>6</v>
      </c>
      <c r="D663" s="13" t="s">
        <v>18302</v>
      </c>
    </row>
    <row r="664" spans="1:4">
      <c r="A664" s="13">
        <v>7170100670</v>
      </c>
      <c r="B664" s="13" t="s">
        <v>18303</v>
      </c>
      <c r="C664" s="13" t="s">
        <v>6</v>
      </c>
      <c r="D664" s="13" t="s">
        <v>18304</v>
      </c>
    </row>
    <row r="665" spans="1:4">
      <c r="A665" s="13">
        <v>7170100680</v>
      </c>
      <c r="B665" s="13" t="s">
        <v>18305</v>
      </c>
      <c r="C665" s="13" t="s">
        <v>6</v>
      </c>
      <c r="D665" s="13" t="s">
        <v>18306</v>
      </c>
    </row>
    <row r="666" spans="1:4">
      <c r="A666" s="13">
        <v>7170100690</v>
      </c>
      <c r="B666" s="13" t="s">
        <v>18307</v>
      </c>
      <c r="C666" s="13" t="s">
        <v>6</v>
      </c>
      <c r="D666" s="13" t="s">
        <v>18308</v>
      </c>
    </row>
    <row r="667" spans="1:4">
      <c r="A667" s="13">
        <v>7170100700</v>
      </c>
      <c r="B667" s="13" t="s">
        <v>18309</v>
      </c>
      <c r="C667" s="13" t="s">
        <v>6</v>
      </c>
      <c r="D667" s="13" t="s">
        <v>18310</v>
      </c>
    </row>
    <row r="668" spans="1:4">
      <c r="A668" s="13">
        <v>7170100710</v>
      </c>
      <c r="B668" s="13" t="s">
        <v>18311</v>
      </c>
      <c r="C668" s="13" t="s">
        <v>6</v>
      </c>
      <c r="D668" s="13" t="s">
        <v>2513</v>
      </c>
    </row>
    <row r="669" spans="1:4">
      <c r="A669" s="13">
        <v>7170100720</v>
      </c>
      <c r="B669" s="13" t="s">
        <v>18312</v>
      </c>
      <c r="C669" s="13" t="s">
        <v>6</v>
      </c>
      <c r="D669" s="13" t="s">
        <v>18313</v>
      </c>
    </row>
    <row r="670" spans="1:4">
      <c r="A670" s="13">
        <v>7170100730</v>
      </c>
      <c r="B670" s="13" t="s">
        <v>18314</v>
      </c>
      <c r="C670" s="13" t="s">
        <v>6</v>
      </c>
      <c r="D670" s="13" t="s">
        <v>2485</v>
      </c>
    </row>
    <row r="671" spans="1:4">
      <c r="A671" s="13">
        <v>7170100740</v>
      </c>
      <c r="B671" s="13" t="s">
        <v>18315</v>
      </c>
      <c r="C671" s="13" t="s">
        <v>6</v>
      </c>
      <c r="D671" s="13" t="s">
        <v>2544</v>
      </c>
    </row>
    <row r="672" spans="1:4">
      <c r="A672" s="13">
        <v>7170100750</v>
      </c>
      <c r="B672" s="13" t="s">
        <v>18316</v>
      </c>
      <c r="C672" s="13" t="s">
        <v>6</v>
      </c>
      <c r="D672" s="13" t="s">
        <v>5498</v>
      </c>
    </row>
    <row r="673" spans="1:4">
      <c r="A673" s="13">
        <v>7170100760</v>
      </c>
      <c r="B673" s="13" t="s">
        <v>18317</v>
      </c>
      <c r="C673" s="13" t="s">
        <v>6</v>
      </c>
      <c r="D673" s="13" t="s">
        <v>18318</v>
      </c>
    </row>
    <row r="674" spans="1:4">
      <c r="A674" s="13">
        <v>7170100770</v>
      </c>
      <c r="B674" s="13" t="s">
        <v>18319</v>
      </c>
      <c r="C674" s="13" t="s">
        <v>6</v>
      </c>
      <c r="D674" s="13" t="s">
        <v>2450</v>
      </c>
    </row>
    <row r="675" spans="1:4">
      <c r="A675" s="13">
        <v>7170100780</v>
      </c>
      <c r="B675" s="13" t="s">
        <v>18320</v>
      </c>
      <c r="C675" s="13" t="s">
        <v>6</v>
      </c>
      <c r="D675" s="13" t="s">
        <v>2530</v>
      </c>
    </row>
    <row r="680" spans="1:4">
      <c r="A680" s="13" t="s">
        <v>18321</v>
      </c>
    </row>
    <row r="681" spans="1:4">
      <c r="A681" s="13">
        <v>7180100010</v>
      </c>
      <c r="B681" s="13" t="s">
        <v>18322</v>
      </c>
      <c r="C681" s="13" t="s">
        <v>8</v>
      </c>
      <c r="D681" s="13" t="s">
        <v>6891</v>
      </c>
    </row>
    <row r="682" spans="1:4">
      <c r="A682" s="13">
        <v>7180100020</v>
      </c>
      <c r="B682" s="13" t="s">
        <v>18323</v>
      </c>
      <c r="C682" s="13" t="s">
        <v>8</v>
      </c>
      <c r="D682" s="13" t="s">
        <v>4525</v>
      </c>
    </row>
    <row r="683" spans="1:4">
      <c r="A683" s="13">
        <v>7180100030</v>
      </c>
      <c r="B683" s="13" t="s">
        <v>18324</v>
      </c>
      <c r="C683" s="13" t="s">
        <v>8</v>
      </c>
      <c r="D683" s="13" t="s">
        <v>18325</v>
      </c>
    </row>
    <row r="684" spans="1:4">
      <c r="A684" s="13">
        <v>7180100040</v>
      </c>
      <c r="B684" s="13" t="s">
        <v>18326</v>
      </c>
      <c r="C684" s="13" t="s">
        <v>8</v>
      </c>
      <c r="D684" s="13" t="s">
        <v>18327</v>
      </c>
    </row>
    <row r="685" spans="1:4">
      <c r="A685" s="13">
        <v>7180100050</v>
      </c>
      <c r="B685" s="13" t="s">
        <v>18328</v>
      </c>
      <c r="C685" s="13" t="s">
        <v>8</v>
      </c>
      <c r="D685" s="13" t="s">
        <v>18329</v>
      </c>
    </row>
    <row r="686" spans="1:4">
      <c r="A686" s="13">
        <v>7180100060</v>
      </c>
      <c r="B686" s="13" t="s">
        <v>18330</v>
      </c>
      <c r="C686" s="13" t="s">
        <v>8</v>
      </c>
      <c r="D686" s="13" t="s">
        <v>2503</v>
      </c>
    </row>
    <row r="687" spans="1:4">
      <c r="A687" s="13">
        <v>7180100070</v>
      </c>
      <c r="B687" s="13" t="s">
        <v>18331</v>
      </c>
      <c r="C687" s="13" t="s">
        <v>7</v>
      </c>
      <c r="D687" s="13" t="s">
        <v>5966</v>
      </c>
    </row>
    <row r="688" spans="1:4">
      <c r="A688" s="13">
        <v>7180100080</v>
      </c>
      <c r="B688" s="13" t="s">
        <v>18332</v>
      </c>
      <c r="C688" s="13" t="s">
        <v>7</v>
      </c>
      <c r="D688" s="13" t="s">
        <v>18333</v>
      </c>
    </row>
    <row r="689" spans="1:4">
      <c r="A689" s="13">
        <v>7180100090</v>
      </c>
      <c r="B689" s="13" t="s">
        <v>18334</v>
      </c>
      <c r="C689" s="13" t="s">
        <v>7</v>
      </c>
      <c r="D689" s="13" t="s">
        <v>18335</v>
      </c>
    </row>
    <row r="690" spans="1:4">
      <c r="A690" s="13">
        <v>7180100100</v>
      </c>
      <c r="B690" s="13" t="s">
        <v>18336</v>
      </c>
      <c r="C690" s="13" t="s">
        <v>7</v>
      </c>
      <c r="D690" s="13" t="s">
        <v>18337</v>
      </c>
    </row>
    <row r="691" spans="1:4">
      <c r="A691" s="13">
        <v>7180100110</v>
      </c>
      <c r="B691" s="13" t="s">
        <v>18338</v>
      </c>
      <c r="C691" s="13" t="s">
        <v>7</v>
      </c>
      <c r="D691" s="13" t="s">
        <v>18339</v>
      </c>
    </row>
    <row r="692" spans="1:4">
      <c r="A692" s="13">
        <v>7180100120</v>
      </c>
      <c r="B692" s="13" t="s">
        <v>18340</v>
      </c>
      <c r="C692" s="13" t="s">
        <v>7</v>
      </c>
      <c r="D692" s="13" t="s">
        <v>18341</v>
      </c>
    </row>
    <row r="693" spans="1:4">
      <c r="A693" s="13">
        <v>7180100130</v>
      </c>
      <c r="B693" s="13" t="s">
        <v>18342</v>
      </c>
      <c r="C693" s="13" t="s">
        <v>7</v>
      </c>
      <c r="D693" s="13" t="s">
        <v>18343</v>
      </c>
    </row>
    <row r="694" spans="1:4">
      <c r="A694" s="13">
        <v>7180100140</v>
      </c>
      <c r="B694" s="13" t="s">
        <v>18344</v>
      </c>
      <c r="C694" s="13" t="s">
        <v>7</v>
      </c>
      <c r="D694" s="13" t="s">
        <v>18345</v>
      </c>
    </row>
    <row r="695" spans="1:4">
      <c r="A695" s="13" t="s">
        <v>18346</v>
      </c>
    </row>
    <row r="696" spans="1:4">
      <c r="A696" s="13">
        <v>7190100010</v>
      </c>
      <c r="B696" s="13" t="s">
        <v>18347</v>
      </c>
      <c r="C696" s="13" t="s">
        <v>7</v>
      </c>
      <c r="D696" s="13" t="s">
        <v>18348</v>
      </c>
    </row>
    <row r="697" spans="1:4">
      <c r="A697" s="13">
        <v>7190100020</v>
      </c>
      <c r="B697" s="13" t="s">
        <v>18349</v>
      </c>
      <c r="C697" s="13" t="s">
        <v>7</v>
      </c>
      <c r="D697" s="13" t="s">
        <v>18350</v>
      </c>
    </row>
    <row r="698" spans="1:4">
      <c r="A698" s="13">
        <v>7190100030</v>
      </c>
      <c r="B698" s="13" t="s">
        <v>18351</v>
      </c>
      <c r="C698" s="13" t="s">
        <v>7</v>
      </c>
      <c r="D698" s="13" t="s">
        <v>18352</v>
      </c>
    </row>
    <row r="699" spans="1:4">
      <c r="A699" s="13">
        <v>7190100040</v>
      </c>
      <c r="B699" s="13" t="s">
        <v>18353</v>
      </c>
      <c r="C699" s="13" t="s">
        <v>7</v>
      </c>
      <c r="D699" s="13" t="s">
        <v>18354</v>
      </c>
    </row>
    <row r="700" spans="1:4">
      <c r="A700" s="13">
        <v>7190100050</v>
      </c>
      <c r="B700" s="13" t="s">
        <v>18355</v>
      </c>
      <c r="C700" s="13" t="s">
        <v>7</v>
      </c>
      <c r="D700" s="13" t="s">
        <v>18356</v>
      </c>
    </row>
    <row r="701" spans="1:4">
      <c r="A701" s="13">
        <v>7190100060</v>
      </c>
      <c r="B701" s="13" t="s">
        <v>18357</v>
      </c>
      <c r="C701" s="13" t="s">
        <v>7</v>
      </c>
      <c r="D701" s="27" t="s">
        <v>18358</v>
      </c>
    </row>
    <row r="702" spans="1:4">
      <c r="A702" s="13">
        <v>7190100070</v>
      </c>
      <c r="B702" s="13" t="s">
        <v>18359</v>
      </c>
      <c r="C702" s="13" t="s">
        <v>7</v>
      </c>
      <c r="D702" s="27" t="s">
        <v>18360</v>
      </c>
    </row>
    <row r="703" spans="1:4">
      <c r="A703" s="13">
        <v>7190100080</v>
      </c>
      <c r="B703" s="13" t="s">
        <v>18361</v>
      </c>
      <c r="C703" s="13" t="s">
        <v>7</v>
      </c>
      <c r="D703" s="13" t="s">
        <v>18362</v>
      </c>
    </row>
    <row r="704" spans="1:4">
      <c r="A704" s="13">
        <v>7190100090</v>
      </c>
      <c r="B704" s="13" t="s">
        <v>18363</v>
      </c>
      <c r="C704" s="13" t="s">
        <v>7</v>
      </c>
      <c r="D704" s="13" t="s">
        <v>18364</v>
      </c>
    </row>
    <row r="705" spans="1:4">
      <c r="A705" s="13">
        <v>7190100100</v>
      </c>
      <c r="B705" s="13" t="s">
        <v>18365</v>
      </c>
      <c r="C705" s="13" t="s">
        <v>7</v>
      </c>
      <c r="D705" s="13" t="s">
        <v>18366</v>
      </c>
    </row>
    <row r="706" spans="1:4">
      <c r="A706" s="13">
        <v>7190100110</v>
      </c>
      <c r="B706" s="13" t="s">
        <v>18367</v>
      </c>
      <c r="C706" s="13" t="s">
        <v>7</v>
      </c>
      <c r="D706" s="13" t="s">
        <v>18368</v>
      </c>
    </row>
    <row r="707" spans="1:4">
      <c r="A707" s="13">
        <v>7190100120</v>
      </c>
      <c r="B707" s="13" t="s">
        <v>18369</v>
      </c>
      <c r="C707" s="13" t="s">
        <v>7</v>
      </c>
      <c r="D707" s="13" t="s">
        <v>18370</v>
      </c>
    </row>
    <row r="708" spans="1:4">
      <c r="A708" s="13">
        <v>7190100130</v>
      </c>
      <c r="B708" s="13" t="s">
        <v>18371</v>
      </c>
      <c r="C708" s="13" t="s">
        <v>7</v>
      </c>
      <c r="D708" s="13" t="s">
        <v>18372</v>
      </c>
    </row>
    <row r="709" spans="1:4">
      <c r="A709" s="13">
        <v>7190100140</v>
      </c>
      <c r="B709" s="13" t="s">
        <v>18373</v>
      </c>
      <c r="C709" s="13" t="s">
        <v>7</v>
      </c>
      <c r="D709" s="13" t="s">
        <v>18374</v>
      </c>
    </row>
    <row r="710" spans="1:4">
      <c r="A710" s="13">
        <v>7190100150</v>
      </c>
      <c r="B710" s="13" t="s">
        <v>18375</v>
      </c>
      <c r="C710" s="13" t="s">
        <v>7</v>
      </c>
      <c r="D710" s="13" t="s">
        <v>18376</v>
      </c>
    </row>
    <row r="711" spans="1:4">
      <c r="A711" s="13" t="s">
        <v>18377</v>
      </c>
    </row>
    <row r="712" spans="1:4">
      <c r="A712" s="13">
        <v>7200100010</v>
      </c>
      <c r="B712" s="13" t="s">
        <v>18378</v>
      </c>
      <c r="C712" s="13" t="s">
        <v>7</v>
      </c>
      <c r="D712" s="13" t="s">
        <v>18379</v>
      </c>
    </row>
    <row r="713" spans="1:4">
      <c r="A713" s="13">
        <v>7200100020</v>
      </c>
      <c r="B713" s="13" t="s">
        <v>18380</v>
      </c>
      <c r="C713" s="13" t="s">
        <v>7</v>
      </c>
      <c r="D713" s="13" t="s">
        <v>18381</v>
      </c>
    </row>
    <row r="714" spans="1:4">
      <c r="A714" s="13">
        <v>7200100030</v>
      </c>
      <c r="B714" s="13" t="s">
        <v>18382</v>
      </c>
      <c r="C714" s="13" t="s">
        <v>7</v>
      </c>
      <c r="D714" s="13" t="s">
        <v>18383</v>
      </c>
    </row>
    <row r="715" spans="1:4">
      <c r="A715" s="13">
        <v>7200100040</v>
      </c>
      <c r="B715" s="13" t="s">
        <v>18384</v>
      </c>
      <c r="C715" s="13" t="s">
        <v>7</v>
      </c>
      <c r="D715" s="13" t="s">
        <v>18385</v>
      </c>
    </row>
    <row r="716" spans="1:4">
      <c r="A716" s="13">
        <v>7200100050</v>
      </c>
      <c r="B716" s="13" t="s">
        <v>18386</v>
      </c>
      <c r="C716" s="13" t="s">
        <v>7</v>
      </c>
      <c r="D716" s="13" t="s">
        <v>18387</v>
      </c>
    </row>
    <row r="717" spans="1:4">
      <c r="A717" s="13">
        <v>7200100060</v>
      </c>
      <c r="B717" s="13" t="s">
        <v>18388</v>
      </c>
      <c r="C717" s="13" t="s">
        <v>7</v>
      </c>
      <c r="D717" s="13" t="s">
        <v>18389</v>
      </c>
    </row>
    <row r="718" spans="1:4">
      <c r="A718" s="13">
        <v>7200100070</v>
      </c>
      <c r="B718" s="13" t="s">
        <v>18390</v>
      </c>
      <c r="C718" s="13" t="s">
        <v>7</v>
      </c>
      <c r="D718" s="13" t="s">
        <v>18391</v>
      </c>
    </row>
    <row r="719" spans="1:4">
      <c r="A719" s="13">
        <v>7200100080</v>
      </c>
      <c r="B719" s="13" t="s">
        <v>18392</v>
      </c>
      <c r="C719" s="13" t="s">
        <v>7</v>
      </c>
      <c r="D719" s="13" t="s">
        <v>18393</v>
      </c>
    </row>
    <row r="720" spans="1:4">
      <c r="A720" s="13">
        <v>7200100090</v>
      </c>
      <c r="B720" s="13" t="s">
        <v>18394</v>
      </c>
      <c r="C720" s="13" t="s">
        <v>7</v>
      </c>
      <c r="D720" s="13" t="s">
        <v>18395</v>
      </c>
    </row>
    <row r="721" spans="1:4">
      <c r="A721" s="13">
        <v>7200100100</v>
      </c>
      <c r="B721" s="13" t="s">
        <v>18396</v>
      </c>
      <c r="C721" s="13" t="s">
        <v>7</v>
      </c>
      <c r="D721" s="13" t="s">
        <v>18397</v>
      </c>
    </row>
    <row r="722" spans="1:4">
      <c r="A722" s="13">
        <v>7200100110</v>
      </c>
      <c r="B722" s="13" t="s">
        <v>18398</v>
      </c>
      <c r="C722" s="13" t="s">
        <v>7</v>
      </c>
      <c r="D722" s="13" t="s">
        <v>18399</v>
      </c>
    </row>
    <row r="723" spans="1:4">
      <c r="A723" s="13">
        <v>7200100120</v>
      </c>
      <c r="B723" s="13" t="s">
        <v>18400</v>
      </c>
      <c r="C723" s="13" t="s">
        <v>7</v>
      </c>
      <c r="D723" s="13" t="s">
        <v>18401</v>
      </c>
    </row>
    <row r="724" spans="1:4">
      <c r="A724" s="13">
        <v>7200100130</v>
      </c>
      <c r="B724" s="13" t="s">
        <v>18402</v>
      </c>
      <c r="C724" s="13" t="s">
        <v>7</v>
      </c>
      <c r="D724" s="13" t="s">
        <v>18403</v>
      </c>
    </row>
    <row r="725" spans="1:4">
      <c r="A725" s="13">
        <v>7200100140</v>
      </c>
      <c r="B725" s="13" t="s">
        <v>18404</v>
      </c>
      <c r="C725" s="13" t="s">
        <v>7</v>
      </c>
      <c r="D725" s="13" t="s">
        <v>18405</v>
      </c>
    </row>
    <row r="726" spans="1:4">
      <c r="A726" s="13">
        <v>7200100150</v>
      </c>
      <c r="B726" s="13" t="s">
        <v>18406</v>
      </c>
      <c r="C726" s="13" t="s">
        <v>7</v>
      </c>
      <c r="D726" s="13" t="s">
        <v>18407</v>
      </c>
    </row>
    <row r="727" spans="1:4">
      <c r="A727" s="13">
        <v>7200100160</v>
      </c>
      <c r="B727" s="13" t="s">
        <v>18408</v>
      </c>
      <c r="C727" s="13" t="s">
        <v>7</v>
      </c>
      <c r="D727" s="13" t="s">
        <v>18409</v>
      </c>
    </row>
    <row r="732" spans="1:4">
      <c r="A732" s="13">
        <v>7200100170</v>
      </c>
      <c r="B732" s="13" t="s">
        <v>18410</v>
      </c>
      <c r="C732" s="13" t="s">
        <v>7</v>
      </c>
      <c r="D732" s="13" t="s">
        <v>18411</v>
      </c>
    </row>
    <row r="733" spans="1:4">
      <c r="A733" s="13">
        <v>7200100180</v>
      </c>
      <c r="B733" s="13" t="s">
        <v>18412</v>
      </c>
      <c r="C733" s="13" t="s">
        <v>7</v>
      </c>
      <c r="D733" s="13" t="s">
        <v>6522</v>
      </c>
    </row>
    <row r="734" spans="1:4">
      <c r="A734" s="13">
        <v>7200100190</v>
      </c>
      <c r="B734" s="13" t="s">
        <v>18413</v>
      </c>
      <c r="C734" s="13" t="s">
        <v>7</v>
      </c>
      <c r="D734" s="13" t="s">
        <v>18414</v>
      </c>
    </row>
    <row r="735" spans="1:4">
      <c r="A735" s="13">
        <v>7200100200</v>
      </c>
      <c r="B735" s="13" t="s">
        <v>18415</v>
      </c>
      <c r="C735" s="13" t="s">
        <v>7</v>
      </c>
      <c r="D735" s="13" t="s">
        <v>18416</v>
      </c>
    </row>
    <row r="736" spans="1:4">
      <c r="A736" s="13">
        <v>7200100210</v>
      </c>
      <c r="B736" s="13" t="s">
        <v>18417</v>
      </c>
      <c r="C736" s="13" t="s">
        <v>7</v>
      </c>
      <c r="D736" s="13" t="s">
        <v>18418</v>
      </c>
    </row>
    <row r="737" spans="1:4">
      <c r="A737" s="13">
        <v>7200100220</v>
      </c>
      <c r="B737" s="13" t="s">
        <v>18419</v>
      </c>
      <c r="C737" s="13" t="s">
        <v>7</v>
      </c>
      <c r="D737" s="13" t="s">
        <v>18420</v>
      </c>
    </row>
    <row r="738" spans="1:4">
      <c r="A738" s="13">
        <v>7200100230</v>
      </c>
      <c r="B738" s="13" t="s">
        <v>18421</v>
      </c>
      <c r="C738" s="13" t="s">
        <v>7</v>
      </c>
      <c r="D738" s="13" t="s">
        <v>18422</v>
      </c>
    </row>
    <row r="739" spans="1:4">
      <c r="A739" s="13">
        <v>7200100240</v>
      </c>
      <c r="B739" s="13" t="s">
        <v>18423</v>
      </c>
      <c r="C739" s="13" t="s">
        <v>7</v>
      </c>
      <c r="D739" s="13" t="s">
        <v>18424</v>
      </c>
    </row>
    <row r="740" spans="1:4">
      <c r="A740" s="13">
        <v>7200100250</v>
      </c>
      <c r="B740" s="13" t="s">
        <v>18425</v>
      </c>
      <c r="C740" s="13" t="s">
        <v>7</v>
      </c>
      <c r="D740" s="13" t="s">
        <v>18426</v>
      </c>
    </row>
    <row r="741" spans="1:4">
      <c r="A741" s="13">
        <v>7200100260</v>
      </c>
      <c r="B741" s="13" t="s">
        <v>18427</v>
      </c>
      <c r="C741" s="13" t="s">
        <v>7</v>
      </c>
      <c r="D741" s="13" t="s">
        <v>18428</v>
      </c>
    </row>
    <row r="742" spans="1:4">
      <c r="A742" s="13">
        <v>7200100270</v>
      </c>
      <c r="B742" s="13" t="s">
        <v>18429</v>
      </c>
      <c r="C742" s="13" t="s">
        <v>7</v>
      </c>
      <c r="D742" s="13" t="s">
        <v>18430</v>
      </c>
    </row>
    <row r="743" spans="1:4">
      <c r="A743" s="13">
        <v>7200100280</v>
      </c>
      <c r="B743" s="13" t="s">
        <v>18431</v>
      </c>
      <c r="C743" s="13" t="s">
        <v>7</v>
      </c>
      <c r="D743" s="13" t="s">
        <v>18432</v>
      </c>
    </row>
    <row r="744" spans="1:4">
      <c r="A744" s="13">
        <v>7200100290</v>
      </c>
      <c r="B744" s="13" t="s">
        <v>18433</v>
      </c>
      <c r="C744" s="13" t="s">
        <v>7</v>
      </c>
      <c r="D744" s="13" t="s">
        <v>18434</v>
      </c>
    </row>
    <row r="745" spans="1:4">
      <c r="A745" s="13">
        <v>7200100300</v>
      </c>
      <c r="B745" s="13" t="s">
        <v>18435</v>
      </c>
      <c r="C745" s="13" t="s">
        <v>7</v>
      </c>
      <c r="D745" s="13" t="s">
        <v>3720</v>
      </c>
    </row>
    <row r="746" spans="1:4">
      <c r="A746" s="13">
        <v>7200100310</v>
      </c>
      <c r="B746" s="13" t="s">
        <v>18436</v>
      </c>
      <c r="C746" s="13" t="s">
        <v>7</v>
      </c>
      <c r="D746" s="13" t="s">
        <v>18437</v>
      </c>
    </row>
    <row r="747" spans="1:4">
      <c r="A747" s="13">
        <v>7200100320</v>
      </c>
      <c r="B747" s="13" t="s">
        <v>18438</v>
      </c>
      <c r="C747" s="13" t="s">
        <v>7</v>
      </c>
      <c r="D747" s="13" t="s">
        <v>18439</v>
      </c>
    </row>
    <row r="748" spans="1:4">
      <c r="A748" s="13">
        <v>7200100330</v>
      </c>
      <c r="B748" s="13" t="s">
        <v>18440</v>
      </c>
      <c r="C748" s="13" t="s">
        <v>7</v>
      </c>
      <c r="D748" s="13" t="s">
        <v>18441</v>
      </c>
    </row>
    <row r="749" spans="1:4">
      <c r="A749" s="13">
        <v>7200100340</v>
      </c>
      <c r="B749" s="13" t="s">
        <v>18442</v>
      </c>
      <c r="C749" s="13" t="s">
        <v>7</v>
      </c>
      <c r="D749" s="13" t="s">
        <v>18443</v>
      </c>
    </row>
    <row r="750" spans="1:4">
      <c r="A750" s="13">
        <v>7200100350</v>
      </c>
      <c r="B750" s="13" t="s">
        <v>18444</v>
      </c>
      <c r="C750" s="13" t="s">
        <v>7</v>
      </c>
      <c r="D750" s="13" t="s">
        <v>18445</v>
      </c>
    </row>
    <row r="751" spans="1:4">
      <c r="A751" s="13">
        <v>7200100360</v>
      </c>
      <c r="B751" s="13" t="s">
        <v>18446</v>
      </c>
      <c r="C751" s="13" t="s">
        <v>7</v>
      </c>
      <c r="D751" s="13" t="s">
        <v>18447</v>
      </c>
    </row>
    <row r="752" spans="1:4">
      <c r="A752" s="13">
        <v>7200100370</v>
      </c>
      <c r="B752" s="13" t="s">
        <v>18448</v>
      </c>
      <c r="C752" s="13" t="s">
        <v>6</v>
      </c>
      <c r="D752" s="13" t="s">
        <v>18449</v>
      </c>
    </row>
    <row r="753" spans="1:4">
      <c r="A753" s="13">
        <v>7200100375</v>
      </c>
      <c r="B753" s="13" t="s">
        <v>18450</v>
      </c>
      <c r="C753" s="13" t="s">
        <v>6</v>
      </c>
      <c r="D753" s="13" t="s">
        <v>18451</v>
      </c>
    </row>
    <row r="754" spans="1:4">
      <c r="A754" s="13">
        <v>7200100380</v>
      </c>
      <c r="B754" s="13" t="s">
        <v>18452</v>
      </c>
      <c r="C754" s="13" t="s">
        <v>7</v>
      </c>
      <c r="D754" s="13" t="s">
        <v>18453</v>
      </c>
    </row>
    <row r="755" spans="1:4">
      <c r="A755" s="13">
        <v>7200100390</v>
      </c>
      <c r="B755" s="13" t="s">
        <v>18454</v>
      </c>
      <c r="C755" s="13" t="s">
        <v>7</v>
      </c>
      <c r="D755" s="13" t="s">
        <v>18455</v>
      </c>
    </row>
    <row r="756" spans="1:4">
      <c r="A756" s="13">
        <v>7200100400</v>
      </c>
      <c r="B756" s="13" t="s">
        <v>18456</v>
      </c>
      <c r="C756" s="13" t="s">
        <v>7</v>
      </c>
      <c r="D756" s="13" t="s">
        <v>18457</v>
      </c>
    </row>
    <row r="757" spans="1:4">
      <c r="A757" s="13">
        <v>7200100410</v>
      </c>
      <c r="B757" s="13" t="s">
        <v>18458</v>
      </c>
      <c r="C757" s="13" t="s">
        <v>7</v>
      </c>
      <c r="D757" s="13" t="s">
        <v>18459</v>
      </c>
    </row>
    <row r="758" spans="1:4">
      <c r="A758" s="13">
        <v>7200100420</v>
      </c>
      <c r="B758" s="13" t="s">
        <v>18460</v>
      </c>
      <c r="C758" s="13" t="s">
        <v>7</v>
      </c>
      <c r="D758" s="13" t="s">
        <v>18461</v>
      </c>
    </row>
    <row r="759" spans="1:4">
      <c r="A759" s="13">
        <v>7200100430</v>
      </c>
      <c r="B759" s="13" t="s">
        <v>18462</v>
      </c>
      <c r="C759" s="13" t="s">
        <v>7</v>
      </c>
      <c r="D759" s="27" t="s">
        <v>18463</v>
      </c>
    </row>
    <row r="760" spans="1:4">
      <c r="A760" s="13">
        <v>7200100440</v>
      </c>
      <c r="B760" s="13" t="s">
        <v>18464</v>
      </c>
      <c r="C760" s="13" t="s">
        <v>7</v>
      </c>
      <c r="D760" s="27" t="s">
        <v>18465</v>
      </c>
    </row>
    <row r="761" spans="1:4">
      <c r="A761" s="13">
        <v>7200100450</v>
      </c>
      <c r="B761" s="13" t="s">
        <v>18466</v>
      </c>
      <c r="C761" s="13" t="s">
        <v>7</v>
      </c>
      <c r="D761" s="13" t="s">
        <v>18467</v>
      </c>
    </row>
    <row r="762" spans="1:4">
      <c r="A762" s="13">
        <v>7200100460</v>
      </c>
      <c r="B762" s="13" t="s">
        <v>18468</v>
      </c>
      <c r="C762" s="13" t="s">
        <v>7</v>
      </c>
      <c r="D762" s="13" t="s">
        <v>18469</v>
      </c>
    </row>
    <row r="763" spans="1:4">
      <c r="A763" s="13">
        <v>7200100470</v>
      </c>
      <c r="B763" s="13" t="s">
        <v>18470</v>
      </c>
      <c r="C763" s="13" t="s">
        <v>7</v>
      </c>
      <c r="D763" s="13" t="s">
        <v>18471</v>
      </c>
    </row>
    <row r="764" spans="1:4">
      <c r="A764" s="13">
        <v>7200100480</v>
      </c>
      <c r="B764" s="13" t="s">
        <v>18472</v>
      </c>
      <c r="C764" s="13" t="s">
        <v>7</v>
      </c>
      <c r="D764" s="13" t="s">
        <v>18473</v>
      </c>
    </row>
    <row r="765" spans="1:4">
      <c r="A765" s="13">
        <v>7200100490</v>
      </c>
      <c r="B765" s="13" t="s">
        <v>18474</v>
      </c>
      <c r="C765" s="13" t="s">
        <v>7</v>
      </c>
      <c r="D765" s="13" t="s">
        <v>18475</v>
      </c>
    </row>
    <row r="766" spans="1:4">
      <c r="A766" s="13" t="s">
        <v>18476</v>
      </c>
    </row>
    <row r="767" spans="1:4">
      <c r="A767" s="13">
        <v>7210100010</v>
      </c>
      <c r="B767" s="13" t="s">
        <v>18477</v>
      </c>
      <c r="C767" s="13" t="s">
        <v>9</v>
      </c>
      <c r="D767" s="13" t="s">
        <v>2417</v>
      </c>
    </row>
    <row r="768" spans="1:4">
      <c r="A768" s="13">
        <v>7210100020</v>
      </c>
      <c r="B768" s="13" t="s">
        <v>18478</v>
      </c>
      <c r="C768" s="13" t="s">
        <v>9</v>
      </c>
      <c r="D768" s="13" t="s">
        <v>6196</v>
      </c>
    </row>
    <row r="769" spans="1:4">
      <c r="A769" s="13">
        <v>7210100030</v>
      </c>
      <c r="B769" s="13" t="s">
        <v>18479</v>
      </c>
      <c r="C769" s="13" t="s">
        <v>9</v>
      </c>
      <c r="D769" s="13" t="s">
        <v>2411</v>
      </c>
    </row>
    <row r="770" spans="1:4">
      <c r="A770" s="13">
        <v>7210100040</v>
      </c>
      <c r="B770" s="13" t="s">
        <v>18480</v>
      </c>
      <c r="C770" s="13" t="s">
        <v>9</v>
      </c>
      <c r="D770" s="13" t="s">
        <v>2487</v>
      </c>
    </row>
    <row r="771" spans="1:4">
      <c r="A771" s="13">
        <v>7210100050</v>
      </c>
      <c r="B771" s="13" t="s">
        <v>18481</v>
      </c>
      <c r="C771" s="13" t="s">
        <v>9</v>
      </c>
      <c r="D771" s="13" t="s">
        <v>2456</v>
      </c>
    </row>
    <row r="772" spans="1:4">
      <c r="A772" s="13">
        <v>7210100060</v>
      </c>
      <c r="B772" s="13" t="s">
        <v>18482</v>
      </c>
      <c r="C772" s="13" t="s">
        <v>9</v>
      </c>
      <c r="D772" s="13" t="s">
        <v>3444</v>
      </c>
    </row>
    <row r="773" spans="1:4">
      <c r="A773" s="13">
        <v>7210100070</v>
      </c>
      <c r="B773" s="13" t="s">
        <v>18483</v>
      </c>
      <c r="C773" s="13" t="s">
        <v>9</v>
      </c>
      <c r="D773" s="13" t="s">
        <v>3444</v>
      </c>
    </row>
    <row r="774" spans="1:4">
      <c r="A774" s="13">
        <v>7210100080</v>
      </c>
      <c r="B774" s="13" t="s">
        <v>18484</v>
      </c>
      <c r="C774" s="13" t="s">
        <v>9</v>
      </c>
      <c r="D774" s="13" t="s">
        <v>2545</v>
      </c>
    </row>
    <row r="775" spans="1:4">
      <c r="A775" s="13">
        <v>7210100090</v>
      </c>
      <c r="B775" s="13" t="s">
        <v>18485</v>
      </c>
      <c r="C775" s="13" t="s">
        <v>9</v>
      </c>
      <c r="D775" s="13" t="s">
        <v>7044</v>
      </c>
    </row>
    <row r="776" spans="1:4">
      <c r="A776" s="13">
        <v>7210100100</v>
      </c>
      <c r="B776" s="13" t="s">
        <v>18486</v>
      </c>
      <c r="C776" s="13" t="s">
        <v>9</v>
      </c>
      <c r="D776" s="13" t="s">
        <v>2527</v>
      </c>
    </row>
    <row r="777" spans="1:4">
      <c r="A777" s="13">
        <v>7210100110</v>
      </c>
      <c r="B777" s="13" t="s">
        <v>18487</v>
      </c>
      <c r="C777" s="13" t="s">
        <v>6</v>
      </c>
      <c r="D777" s="13" t="s">
        <v>2414</v>
      </c>
    </row>
    <row r="778" spans="1:4">
      <c r="A778" s="13">
        <v>7210100120</v>
      </c>
      <c r="B778" s="13" t="s">
        <v>18488</v>
      </c>
      <c r="C778" s="13" t="s">
        <v>6</v>
      </c>
      <c r="D778" s="13" t="s">
        <v>2495</v>
      </c>
    </row>
    <row r="779" spans="1:4">
      <c r="A779" s="13">
        <v>7210100130</v>
      </c>
      <c r="B779" s="13" t="s">
        <v>18489</v>
      </c>
      <c r="C779" s="13" t="s">
        <v>9</v>
      </c>
      <c r="D779" s="13" t="s">
        <v>2542</v>
      </c>
    </row>
    <row r="784" spans="1:4">
      <c r="A784" s="13">
        <v>7210100140</v>
      </c>
      <c r="B784" s="13" t="s">
        <v>18490</v>
      </c>
      <c r="C784" s="13" t="s">
        <v>9</v>
      </c>
      <c r="D784" s="13" t="s">
        <v>6881</v>
      </c>
    </row>
    <row r="785" spans="1:4">
      <c r="A785" s="13">
        <v>7210100150</v>
      </c>
      <c r="B785" s="13" t="s">
        <v>18491</v>
      </c>
      <c r="C785" s="13" t="s">
        <v>9</v>
      </c>
      <c r="D785" s="13" t="s">
        <v>2608</v>
      </c>
    </row>
    <row r="786" spans="1:4">
      <c r="A786" s="13">
        <v>7210100160</v>
      </c>
      <c r="B786" s="13" t="s">
        <v>18492</v>
      </c>
      <c r="C786" s="13" t="s">
        <v>9</v>
      </c>
      <c r="D786" s="13" t="s">
        <v>18493</v>
      </c>
    </row>
    <row r="787" spans="1:4">
      <c r="A787" s="13">
        <v>7210100170</v>
      </c>
      <c r="B787" s="13" t="s">
        <v>18494</v>
      </c>
      <c r="C787" s="13" t="s">
        <v>9</v>
      </c>
      <c r="D787" s="13" t="s">
        <v>2436</v>
      </c>
    </row>
    <row r="788" spans="1:4">
      <c r="A788" s="13">
        <v>7210100180</v>
      </c>
      <c r="B788" s="13" t="s">
        <v>18495</v>
      </c>
      <c r="C788" s="13" t="s">
        <v>9</v>
      </c>
      <c r="D788" s="13" t="s">
        <v>18496</v>
      </c>
    </row>
    <row r="789" spans="1:4">
      <c r="A789" s="13">
        <v>7210100190</v>
      </c>
      <c r="B789" s="13" t="s">
        <v>18497</v>
      </c>
      <c r="C789" s="13" t="s">
        <v>9</v>
      </c>
      <c r="D789" s="13" t="s">
        <v>18498</v>
      </c>
    </row>
    <row r="790" spans="1:4">
      <c r="A790" s="13">
        <v>7210100200</v>
      </c>
      <c r="B790" s="13" t="s">
        <v>18499</v>
      </c>
      <c r="C790" s="13" t="s">
        <v>6</v>
      </c>
      <c r="D790" s="13" t="s">
        <v>5364</v>
      </c>
    </row>
    <row r="791" spans="1:4">
      <c r="A791" s="13">
        <v>7210100210</v>
      </c>
      <c r="B791" s="13" t="s">
        <v>18500</v>
      </c>
      <c r="C791" s="13" t="s">
        <v>6</v>
      </c>
      <c r="D791" s="13" t="s">
        <v>4775</v>
      </c>
    </row>
    <row r="792" spans="1:4">
      <c r="A792" s="13">
        <v>7210100220</v>
      </c>
      <c r="B792" s="13" t="s">
        <v>18501</v>
      </c>
      <c r="C792" s="13" t="s">
        <v>12</v>
      </c>
      <c r="D792" s="13" t="s">
        <v>18502</v>
      </c>
    </row>
    <row r="793" spans="1:4">
      <c r="A793" s="13">
        <v>7210100230</v>
      </c>
      <c r="B793" s="13" t="s">
        <v>18503</v>
      </c>
      <c r="C793" s="13" t="s">
        <v>9</v>
      </c>
      <c r="D793" s="13" t="s">
        <v>2376</v>
      </c>
    </row>
    <row r="794" spans="1:4">
      <c r="A794" s="13">
        <v>7210100240</v>
      </c>
      <c r="B794" s="13" t="s">
        <v>18504</v>
      </c>
      <c r="C794" s="13" t="s">
        <v>12</v>
      </c>
      <c r="D794" s="13" t="s">
        <v>18505</v>
      </c>
    </row>
    <row r="795" spans="1:4">
      <c r="A795" s="13">
        <v>7210100250</v>
      </c>
      <c r="B795" s="13" t="s">
        <v>18506</v>
      </c>
      <c r="C795" s="13" t="s">
        <v>12</v>
      </c>
      <c r="D795" s="13" t="s">
        <v>18507</v>
      </c>
    </row>
    <row r="796" spans="1:4">
      <c r="A796" s="13">
        <v>7210100260</v>
      </c>
      <c r="B796" s="13" t="s">
        <v>18508</v>
      </c>
      <c r="C796" s="13" t="s">
        <v>17617</v>
      </c>
      <c r="D796" s="13" t="s">
        <v>2511</v>
      </c>
    </row>
    <row r="797" spans="1:4">
      <c r="A797" s="13">
        <v>7210100270</v>
      </c>
      <c r="B797" s="13" t="s">
        <v>18509</v>
      </c>
      <c r="C797" s="13" t="s">
        <v>9</v>
      </c>
      <c r="D797" s="13" t="s">
        <v>4495</v>
      </c>
    </row>
    <row r="798" spans="1:4">
      <c r="A798" s="13">
        <v>7210100280</v>
      </c>
      <c r="B798" s="13" t="s">
        <v>18510</v>
      </c>
      <c r="C798" s="13" t="s">
        <v>9</v>
      </c>
      <c r="D798" s="13" t="s">
        <v>2394</v>
      </c>
    </row>
    <row r="799" spans="1:4">
      <c r="A799" s="13">
        <v>7210100290</v>
      </c>
      <c r="B799" s="13" t="s">
        <v>18511</v>
      </c>
      <c r="C799" s="13" t="s">
        <v>9</v>
      </c>
      <c r="D799" s="13" t="s">
        <v>18512</v>
      </c>
    </row>
    <row r="800" spans="1:4">
      <c r="A800" s="13">
        <v>7210100300</v>
      </c>
      <c r="B800" s="13" t="s">
        <v>18513</v>
      </c>
      <c r="C800" s="13" t="s">
        <v>9</v>
      </c>
      <c r="D800" s="13" t="s">
        <v>18514</v>
      </c>
    </row>
    <row r="801" spans="1:4">
      <c r="A801" s="13">
        <v>7210100310</v>
      </c>
      <c r="B801" s="13" t="s">
        <v>18515</v>
      </c>
      <c r="C801" s="13" t="s">
        <v>9</v>
      </c>
      <c r="D801" s="13" t="s">
        <v>6734</v>
      </c>
    </row>
    <row r="802" spans="1:4">
      <c r="A802" s="13">
        <v>7210100320</v>
      </c>
      <c r="B802" s="13" t="s">
        <v>18516</v>
      </c>
      <c r="C802" s="13" t="s">
        <v>6</v>
      </c>
      <c r="D802" s="13" t="s">
        <v>3107</v>
      </c>
    </row>
    <row r="803" spans="1:4">
      <c r="A803" s="13">
        <v>7210100330</v>
      </c>
      <c r="B803" s="13" t="s">
        <v>18517</v>
      </c>
      <c r="C803" s="13" t="s">
        <v>9</v>
      </c>
      <c r="D803" s="13" t="s">
        <v>2518</v>
      </c>
    </row>
    <row r="804" spans="1:4">
      <c r="A804" s="13">
        <v>7210100340</v>
      </c>
      <c r="B804" s="13" t="s">
        <v>18518</v>
      </c>
      <c r="C804" s="13" t="s">
        <v>9</v>
      </c>
      <c r="D804" s="13" t="s">
        <v>2421</v>
      </c>
    </row>
    <row r="805" spans="1:4">
      <c r="A805" s="13">
        <v>7210100350</v>
      </c>
      <c r="B805" s="13" t="s">
        <v>18519</v>
      </c>
      <c r="C805" s="13" t="s">
        <v>6</v>
      </c>
      <c r="D805" s="13" t="s">
        <v>18520</v>
      </c>
    </row>
    <row r="806" spans="1:4">
      <c r="A806" s="13">
        <v>7210100360</v>
      </c>
      <c r="B806" s="13" t="s">
        <v>18521</v>
      </c>
      <c r="C806" s="13" t="s">
        <v>6</v>
      </c>
      <c r="D806" s="13" t="s">
        <v>18522</v>
      </c>
    </row>
    <row r="807" spans="1:4">
      <c r="A807" s="13">
        <v>7210100370</v>
      </c>
      <c r="B807" s="13" t="s">
        <v>18523</v>
      </c>
      <c r="C807" s="13" t="s">
        <v>6</v>
      </c>
      <c r="D807" s="13" t="s">
        <v>18524</v>
      </c>
    </row>
    <row r="808" spans="1:4">
      <c r="A808" s="13">
        <v>7210100380</v>
      </c>
      <c r="B808" s="13" t="s">
        <v>18525</v>
      </c>
      <c r="C808" s="13" t="s">
        <v>6</v>
      </c>
      <c r="D808" s="13" t="s">
        <v>18526</v>
      </c>
    </row>
    <row r="809" spans="1:4">
      <c r="A809" s="13">
        <v>7210100390</v>
      </c>
      <c r="B809" s="13" t="s">
        <v>18527</v>
      </c>
      <c r="C809" s="13" t="s">
        <v>6</v>
      </c>
      <c r="D809" s="13" t="s">
        <v>18528</v>
      </c>
    </row>
    <row r="810" spans="1:4">
      <c r="A810" s="13">
        <v>7210100400</v>
      </c>
      <c r="B810" s="13" t="s">
        <v>18529</v>
      </c>
      <c r="C810" s="13" t="s">
        <v>6</v>
      </c>
      <c r="D810" s="13" t="s">
        <v>17518</v>
      </c>
    </row>
    <row r="811" spans="1:4">
      <c r="A811" s="13">
        <v>7210100410</v>
      </c>
      <c r="B811" s="13" t="s">
        <v>18530</v>
      </c>
      <c r="C811" s="13" t="s">
        <v>6</v>
      </c>
      <c r="D811" s="13" t="s">
        <v>2404</v>
      </c>
    </row>
    <row r="812" spans="1:4">
      <c r="A812" s="13">
        <v>7210100420</v>
      </c>
      <c r="B812" s="13" t="s">
        <v>18531</v>
      </c>
      <c r="C812" s="13" t="s">
        <v>7</v>
      </c>
      <c r="D812" s="13" t="s">
        <v>18532</v>
      </c>
    </row>
    <row r="813" spans="1:4">
      <c r="A813" s="13">
        <v>7210100430</v>
      </c>
      <c r="B813" s="13" t="s">
        <v>18533</v>
      </c>
      <c r="C813" s="13" t="s">
        <v>7</v>
      </c>
      <c r="D813" s="13" t="s">
        <v>18534</v>
      </c>
    </row>
    <row r="814" spans="1:4">
      <c r="A814" s="13">
        <v>7210100440</v>
      </c>
      <c r="B814" s="13" t="s">
        <v>18535</v>
      </c>
      <c r="C814" s="13" t="s">
        <v>7</v>
      </c>
      <c r="D814" s="13" t="s">
        <v>18536</v>
      </c>
    </row>
    <row r="815" spans="1:4">
      <c r="A815" s="13">
        <v>7210100450</v>
      </c>
      <c r="B815" s="13" t="s">
        <v>18537</v>
      </c>
      <c r="C815" s="13" t="s">
        <v>9</v>
      </c>
      <c r="D815" s="13" t="s">
        <v>18538</v>
      </c>
    </row>
    <row r="816" spans="1:4">
      <c r="A816" s="13">
        <v>7210100460</v>
      </c>
      <c r="B816" s="13" t="s">
        <v>18539</v>
      </c>
      <c r="C816" s="13" t="s">
        <v>9</v>
      </c>
      <c r="D816" s="13" t="s">
        <v>2534</v>
      </c>
    </row>
    <row r="817" spans="1:4">
      <c r="A817" s="13">
        <v>7210100470</v>
      </c>
      <c r="B817" s="13" t="s">
        <v>18540</v>
      </c>
      <c r="C817" s="13" t="s">
        <v>7</v>
      </c>
      <c r="D817" s="27" t="s">
        <v>2371</v>
      </c>
    </row>
    <row r="818" spans="1:4">
      <c r="A818" s="13">
        <v>7210100480</v>
      </c>
      <c r="B818" s="13" t="s">
        <v>18541</v>
      </c>
      <c r="C818" s="13" t="s">
        <v>7</v>
      </c>
      <c r="D818" s="27" t="s">
        <v>18542</v>
      </c>
    </row>
    <row r="819" spans="1:4">
      <c r="A819" s="13">
        <v>7210100490</v>
      </c>
      <c r="B819" s="13" t="s">
        <v>18543</v>
      </c>
      <c r="C819" s="13" t="s">
        <v>7</v>
      </c>
      <c r="D819" s="13" t="s">
        <v>18544</v>
      </c>
    </row>
    <row r="820" spans="1:4">
      <c r="A820" s="13">
        <v>7210100500</v>
      </c>
      <c r="B820" s="13" t="s">
        <v>18545</v>
      </c>
      <c r="C820" s="13" t="s">
        <v>6</v>
      </c>
      <c r="D820" s="13" t="s">
        <v>5686</v>
      </c>
    </row>
    <row r="821" spans="1:4">
      <c r="A821" s="13">
        <v>7210100510</v>
      </c>
      <c r="B821" s="13" t="s">
        <v>18546</v>
      </c>
      <c r="C821" s="13" t="s">
        <v>6</v>
      </c>
      <c r="D821" s="13" t="s">
        <v>18547</v>
      </c>
    </row>
    <row r="822" spans="1:4">
      <c r="A822" s="13">
        <v>7210100520</v>
      </c>
      <c r="B822" s="13" t="s">
        <v>18548</v>
      </c>
      <c r="C822" s="13" t="s">
        <v>6</v>
      </c>
      <c r="D822" s="13" t="s">
        <v>18549</v>
      </c>
    </row>
    <row r="823" spans="1:4">
      <c r="A823" s="13">
        <v>7210100530</v>
      </c>
      <c r="B823" s="13" t="s">
        <v>18550</v>
      </c>
      <c r="C823" s="13" t="s">
        <v>6</v>
      </c>
      <c r="D823" s="13" t="s">
        <v>18551</v>
      </c>
    </row>
    <row r="824" spans="1:4">
      <c r="A824" s="13">
        <v>7210100540</v>
      </c>
      <c r="B824" s="13" t="s">
        <v>18552</v>
      </c>
      <c r="C824" s="13" t="s">
        <v>6</v>
      </c>
      <c r="D824" s="13" t="s">
        <v>18553</v>
      </c>
    </row>
    <row r="825" spans="1:4">
      <c r="A825" s="13">
        <v>7210100550</v>
      </c>
      <c r="B825" s="13" t="s">
        <v>18554</v>
      </c>
      <c r="C825" s="13" t="s">
        <v>6</v>
      </c>
      <c r="D825" s="13" t="s">
        <v>18555</v>
      </c>
    </row>
    <row r="826" spans="1:4">
      <c r="A826" s="13">
        <v>7210100580</v>
      </c>
      <c r="B826" s="13" t="s">
        <v>18556</v>
      </c>
      <c r="C826" s="13" t="s">
        <v>6</v>
      </c>
      <c r="D826" s="13" t="s">
        <v>18557</v>
      </c>
    </row>
    <row r="827" spans="1:4">
      <c r="A827" s="13">
        <v>7210100640</v>
      </c>
      <c r="B827" s="13" t="s">
        <v>18558</v>
      </c>
      <c r="C827" s="13" t="s">
        <v>6</v>
      </c>
      <c r="D827" s="13" t="s">
        <v>18559</v>
      </c>
    </row>
    <row r="828" spans="1:4">
      <c r="A828" s="13">
        <v>7210100650</v>
      </c>
      <c r="B828" s="13" t="s">
        <v>18560</v>
      </c>
      <c r="C828" s="13" t="s">
        <v>6</v>
      </c>
      <c r="D828" s="13" t="s">
        <v>18561</v>
      </c>
    </row>
    <row r="829" spans="1:4">
      <c r="A829" s="13">
        <v>7210100720</v>
      </c>
      <c r="B829" s="13" t="s">
        <v>18562</v>
      </c>
      <c r="C829" s="13" t="s">
        <v>7</v>
      </c>
      <c r="D829" s="13" t="s">
        <v>18563</v>
      </c>
    </row>
    <row r="830" spans="1:4">
      <c r="A830" s="13">
        <v>7210100725</v>
      </c>
      <c r="B830" s="13" t="s">
        <v>18564</v>
      </c>
      <c r="C830" s="13" t="s">
        <v>7</v>
      </c>
      <c r="D830" s="13" t="s">
        <v>18565</v>
      </c>
    </row>
    <row r="831" spans="1:4">
      <c r="A831" s="13">
        <v>7210100740</v>
      </c>
      <c r="B831" s="13" t="s">
        <v>18566</v>
      </c>
      <c r="C831" s="13" t="s">
        <v>6</v>
      </c>
      <c r="D831" s="13" t="s">
        <v>18567</v>
      </c>
    </row>
    <row r="836" spans="1:4">
      <c r="A836" s="13">
        <v>7210100750</v>
      </c>
      <c r="B836" s="13" t="s">
        <v>18568</v>
      </c>
      <c r="C836" s="13" t="s">
        <v>9</v>
      </c>
      <c r="D836" s="13" t="s">
        <v>18569</v>
      </c>
    </row>
    <row r="837" spans="1:4">
      <c r="A837" s="13">
        <v>7210100760</v>
      </c>
      <c r="B837" s="13" t="s">
        <v>18570</v>
      </c>
      <c r="C837" s="13" t="s">
        <v>8</v>
      </c>
      <c r="D837" s="13" t="s">
        <v>3201</v>
      </c>
    </row>
    <row r="838" spans="1:4">
      <c r="A838" s="13">
        <v>7210100770</v>
      </c>
      <c r="B838" s="13" t="s">
        <v>18571</v>
      </c>
      <c r="C838" s="13" t="s">
        <v>9</v>
      </c>
      <c r="D838" s="13" t="s">
        <v>2354</v>
      </c>
    </row>
    <row r="839" spans="1:4">
      <c r="A839" s="13">
        <v>7210100780</v>
      </c>
      <c r="B839" s="13" t="s">
        <v>18572</v>
      </c>
      <c r="C839" s="13" t="s">
        <v>9</v>
      </c>
      <c r="D839" s="13" t="s">
        <v>2640</v>
      </c>
    </row>
    <row r="840" spans="1:4">
      <c r="A840" s="13">
        <v>7210100790</v>
      </c>
      <c r="B840" s="13" t="s">
        <v>18573</v>
      </c>
      <c r="C840" s="13" t="s">
        <v>12</v>
      </c>
      <c r="D840" s="13" t="s">
        <v>18574</v>
      </c>
    </row>
    <row r="841" spans="1:4">
      <c r="A841" s="13">
        <v>7210100800</v>
      </c>
      <c r="B841" s="13" t="s">
        <v>18575</v>
      </c>
      <c r="C841" s="13" t="s">
        <v>9</v>
      </c>
      <c r="D841" s="13" t="s">
        <v>18576</v>
      </c>
    </row>
    <row r="842" spans="1:4">
      <c r="A842" s="13" t="s">
        <v>18577</v>
      </c>
    </row>
    <row r="843" spans="1:4">
      <c r="A843" s="13">
        <v>7230100010</v>
      </c>
      <c r="B843" s="13" t="s">
        <v>18578</v>
      </c>
      <c r="C843" s="13" t="s">
        <v>12</v>
      </c>
      <c r="D843" s="13" t="s">
        <v>18579</v>
      </c>
    </row>
    <row r="844" spans="1:4">
      <c r="A844" s="13">
        <v>7230100020</v>
      </c>
      <c r="B844" s="13" t="s">
        <v>18580</v>
      </c>
      <c r="C844" s="13" t="s">
        <v>12</v>
      </c>
      <c r="D844" s="13" t="s">
        <v>18581</v>
      </c>
    </row>
    <row r="845" spans="1:4">
      <c r="A845" s="13">
        <v>7230100030</v>
      </c>
      <c r="B845" s="13" t="s">
        <v>18582</v>
      </c>
      <c r="C845" s="13" t="s">
        <v>12</v>
      </c>
      <c r="D845" s="13" t="s">
        <v>18581</v>
      </c>
    </row>
    <row r="846" spans="1:4">
      <c r="A846" s="13">
        <v>7230100040</v>
      </c>
      <c r="B846" s="13" t="s">
        <v>18583</v>
      </c>
      <c r="C846" s="13" t="s">
        <v>12</v>
      </c>
      <c r="D846" s="13" t="s">
        <v>18584</v>
      </c>
    </row>
    <row r="847" spans="1:4">
      <c r="A847" s="13">
        <v>7230100050</v>
      </c>
      <c r="B847" s="13" t="s">
        <v>18585</v>
      </c>
      <c r="C847" s="13" t="s">
        <v>9</v>
      </c>
      <c r="D847" s="13" t="s">
        <v>18586</v>
      </c>
    </row>
    <row r="848" spans="1:4">
      <c r="A848" s="13">
        <v>7230100060</v>
      </c>
      <c r="B848" s="13" t="s">
        <v>18587</v>
      </c>
      <c r="C848" s="13" t="s">
        <v>12</v>
      </c>
      <c r="D848" s="13" t="s">
        <v>5251</v>
      </c>
    </row>
    <row r="849" spans="1:4">
      <c r="A849" s="13">
        <v>7230100070</v>
      </c>
      <c r="B849" s="13" t="s">
        <v>18588</v>
      </c>
      <c r="C849" s="13" t="s">
        <v>12</v>
      </c>
      <c r="D849" s="13" t="s">
        <v>18589</v>
      </c>
    </row>
    <row r="850" spans="1:4">
      <c r="A850" s="13">
        <v>7230100080</v>
      </c>
      <c r="B850" s="13" t="s">
        <v>18590</v>
      </c>
      <c r="C850" s="13" t="s">
        <v>7</v>
      </c>
      <c r="D850" s="13" t="s">
        <v>18591</v>
      </c>
    </row>
    <row r="851" spans="1:4">
      <c r="A851" s="13">
        <v>7230100090</v>
      </c>
      <c r="B851" s="13" t="s">
        <v>18592</v>
      </c>
      <c r="C851" s="13" t="s">
        <v>6</v>
      </c>
      <c r="D851" s="13" t="s">
        <v>18593</v>
      </c>
    </row>
    <row r="852" spans="1:4">
      <c r="A852" s="13">
        <v>7230100100</v>
      </c>
      <c r="B852" s="13" t="s">
        <v>18594</v>
      </c>
      <c r="C852" s="13" t="s">
        <v>12</v>
      </c>
      <c r="D852" s="13" t="s">
        <v>18595</v>
      </c>
    </row>
    <row r="853" spans="1:4">
      <c r="A853" s="13">
        <v>7230100110</v>
      </c>
      <c r="B853" s="13" t="s">
        <v>18596</v>
      </c>
      <c r="C853" s="13" t="s">
        <v>12</v>
      </c>
      <c r="D853" s="13" t="s">
        <v>18597</v>
      </c>
    </row>
    <row r="854" spans="1:4">
      <c r="A854" s="13">
        <v>7230100120</v>
      </c>
      <c r="B854" s="13" t="s">
        <v>18598</v>
      </c>
      <c r="C854" s="13" t="s">
        <v>12</v>
      </c>
      <c r="D854" s="13" t="s">
        <v>18599</v>
      </c>
    </row>
    <row r="855" spans="1:4">
      <c r="A855" s="13">
        <v>7230100130</v>
      </c>
      <c r="B855" s="13" t="s">
        <v>18600</v>
      </c>
      <c r="C855" s="13" t="s">
        <v>12</v>
      </c>
      <c r="D855" s="13" t="s">
        <v>18599</v>
      </c>
    </row>
    <row r="856" spans="1:4">
      <c r="A856" s="13">
        <v>7230100140</v>
      </c>
      <c r="B856" s="13" t="s">
        <v>18601</v>
      </c>
      <c r="C856" s="13" t="s">
        <v>12</v>
      </c>
      <c r="D856" s="13" t="s">
        <v>18599</v>
      </c>
    </row>
    <row r="857" spans="1:4">
      <c r="A857" s="13">
        <v>7230100150</v>
      </c>
      <c r="B857" s="13" t="s">
        <v>18602</v>
      </c>
      <c r="C857" s="13" t="s">
        <v>12</v>
      </c>
      <c r="D857" s="13" t="s">
        <v>18599</v>
      </c>
    </row>
    <row r="858" spans="1:4">
      <c r="A858" s="13">
        <v>7230100160</v>
      </c>
      <c r="B858" s="13" t="s">
        <v>18603</v>
      </c>
      <c r="C858" s="13" t="s">
        <v>12</v>
      </c>
      <c r="D858" s="13" t="s">
        <v>18604</v>
      </c>
    </row>
    <row r="859" spans="1:4">
      <c r="A859" s="13" t="s">
        <v>18605</v>
      </c>
    </row>
    <row r="860" spans="1:4">
      <c r="A860" s="13">
        <v>7250100010</v>
      </c>
      <c r="B860" s="13" t="s">
        <v>18606</v>
      </c>
      <c r="C860" s="13" t="s">
        <v>6</v>
      </c>
      <c r="D860" s="13" t="s">
        <v>18607</v>
      </c>
    </row>
    <row r="861" spans="1:4">
      <c r="A861" s="13">
        <v>7250100020</v>
      </c>
      <c r="B861" s="13" t="s">
        <v>18608</v>
      </c>
      <c r="C861" s="13" t="s">
        <v>6</v>
      </c>
      <c r="D861" s="13" t="s">
        <v>18609</v>
      </c>
    </row>
    <row r="862" spans="1:4">
      <c r="A862" s="13">
        <v>7250100030</v>
      </c>
      <c r="B862" s="13" t="s">
        <v>18610</v>
      </c>
      <c r="C862" s="13" t="s">
        <v>6</v>
      </c>
      <c r="D862" s="13" t="s">
        <v>5941</v>
      </c>
    </row>
    <row r="863" spans="1:4">
      <c r="A863" s="13">
        <v>7250100040</v>
      </c>
      <c r="B863" s="13" t="s">
        <v>18611</v>
      </c>
      <c r="C863" s="13" t="s">
        <v>6</v>
      </c>
      <c r="D863" s="13" t="s">
        <v>18612</v>
      </c>
    </row>
    <row r="864" spans="1:4">
      <c r="A864" s="13">
        <v>7250100050</v>
      </c>
      <c r="B864" s="13" t="s">
        <v>18613</v>
      </c>
      <c r="C864" s="13" t="s">
        <v>6</v>
      </c>
      <c r="D864" s="13" t="s">
        <v>18614</v>
      </c>
    </row>
    <row r="865" spans="1:4">
      <c r="A865" s="13">
        <v>7250100060</v>
      </c>
      <c r="B865" s="13" t="s">
        <v>18615</v>
      </c>
      <c r="C865" s="13" t="s">
        <v>6</v>
      </c>
      <c r="D865" s="13" t="s">
        <v>2372</v>
      </c>
    </row>
    <row r="866" spans="1:4">
      <c r="A866" s="13">
        <v>7250100070</v>
      </c>
      <c r="B866" s="13" t="s">
        <v>18616</v>
      </c>
      <c r="C866" s="13" t="s">
        <v>6</v>
      </c>
      <c r="D866" s="13" t="s">
        <v>5363</v>
      </c>
    </row>
    <row r="867" spans="1:4">
      <c r="A867" s="13">
        <v>7250100080</v>
      </c>
      <c r="B867" s="13" t="s">
        <v>18617</v>
      </c>
      <c r="C867" s="13" t="s">
        <v>6</v>
      </c>
      <c r="D867" s="13" t="s">
        <v>18618</v>
      </c>
    </row>
    <row r="868" spans="1:4">
      <c r="A868" s="13">
        <v>7250100090</v>
      </c>
      <c r="B868" s="13" t="s">
        <v>18619</v>
      </c>
      <c r="C868" s="13" t="s">
        <v>6</v>
      </c>
      <c r="D868" s="13" t="s">
        <v>18620</v>
      </c>
    </row>
    <row r="869" spans="1:4">
      <c r="A869" s="13">
        <v>7250100100</v>
      </c>
      <c r="B869" s="13" t="s">
        <v>18621</v>
      </c>
      <c r="C869" s="13" t="s">
        <v>6</v>
      </c>
      <c r="D869" s="13" t="s">
        <v>18622</v>
      </c>
    </row>
    <row r="870" spans="1:4">
      <c r="A870" s="13">
        <v>7250100110</v>
      </c>
      <c r="B870" s="13" t="s">
        <v>18623</v>
      </c>
      <c r="C870" s="13" t="s">
        <v>6</v>
      </c>
      <c r="D870" s="13" t="s">
        <v>18624</v>
      </c>
    </row>
    <row r="871" spans="1:4">
      <c r="A871" s="13">
        <v>7250100120</v>
      </c>
      <c r="B871" s="13" t="s">
        <v>18625</v>
      </c>
      <c r="C871" s="13" t="s">
        <v>6</v>
      </c>
      <c r="D871" s="13" t="s">
        <v>18626</v>
      </c>
    </row>
    <row r="872" spans="1:4">
      <c r="A872" s="13">
        <v>7250100130</v>
      </c>
      <c r="B872" s="13" t="s">
        <v>18627</v>
      </c>
      <c r="C872" s="13" t="s">
        <v>6</v>
      </c>
      <c r="D872" s="13" t="s">
        <v>18628</v>
      </c>
    </row>
    <row r="873" spans="1:4">
      <c r="A873" s="13">
        <v>7250100140</v>
      </c>
      <c r="B873" s="13" t="s">
        <v>18629</v>
      </c>
      <c r="C873" s="13" t="s">
        <v>6</v>
      </c>
      <c r="D873" s="13" t="s">
        <v>18630</v>
      </c>
    </row>
    <row r="874" spans="1:4">
      <c r="A874" s="13">
        <v>7250100150</v>
      </c>
      <c r="B874" s="13" t="s">
        <v>18631</v>
      </c>
      <c r="C874" s="13" t="s">
        <v>6</v>
      </c>
      <c r="D874" s="13" t="s">
        <v>18632</v>
      </c>
    </row>
    <row r="875" spans="1:4">
      <c r="A875" s="13">
        <v>7250100160</v>
      </c>
      <c r="B875" s="13" t="s">
        <v>18633</v>
      </c>
      <c r="C875" s="13" t="s">
        <v>6</v>
      </c>
      <c r="D875" s="27" t="s">
        <v>17839</v>
      </c>
    </row>
    <row r="876" spans="1:4">
      <c r="A876" s="13">
        <v>7250100170</v>
      </c>
      <c r="B876" s="13" t="s">
        <v>18634</v>
      </c>
      <c r="C876" s="13" t="s">
        <v>6</v>
      </c>
      <c r="D876" s="27" t="s">
        <v>18635</v>
      </c>
    </row>
    <row r="877" spans="1:4">
      <c r="A877" s="13">
        <v>7250100180</v>
      </c>
      <c r="B877" s="13" t="s">
        <v>18636</v>
      </c>
      <c r="C877" s="13" t="s">
        <v>6</v>
      </c>
      <c r="D877" s="13" t="s">
        <v>18637</v>
      </c>
    </row>
    <row r="878" spans="1:4">
      <c r="A878" s="13">
        <v>7250100190</v>
      </c>
      <c r="B878" s="13" t="s">
        <v>18638</v>
      </c>
      <c r="C878" s="13" t="s">
        <v>6</v>
      </c>
      <c r="D878" s="13" t="s">
        <v>18639</v>
      </c>
    </row>
    <row r="879" spans="1:4">
      <c r="A879" s="13">
        <v>7250100200</v>
      </c>
      <c r="B879" s="13" t="s">
        <v>18640</v>
      </c>
      <c r="C879" s="13" t="s">
        <v>6</v>
      </c>
      <c r="D879" s="13" t="s">
        <v>18641</v>
      </c>
    </row>
    <row r="880" spans="1:4">
      <c r="A880" s="13">
        <v>7250100210</v>
      </c>
      <c r="B880" s="13" t="s">
        <v>18642</v>
      </c>
      <c r="C880" s="13" t="s">
        <v>6</v>
      </c>
      <c r="D880" s="13" t="s">
        <v>18643</v>
      </c>
    </row>
    <row r="881" spans="1:4">
      <c r="A881" s="13">
        <v>7250100220</v>
      </c>
      <c r="B881" s="13" t="s">
        <v>18644</v>
      </c>
      <c r="C881" s="13" t="s">
        <v>6</v>
      </c>
      <c r="D881" s="13" t="s">
        <v>18645</v>
      </c>
    </row>
    <row r="882" spans="1:4">
      <c r="A882" s="13">
        <v>7250100230</v>
      </c>
      <c r="B882" s="13" t="s">
        <v>18646</v>
      </c>
      <c r="C882" s="13" t="s">
        <v>6</v>
      </c>
      <c r="D882" s="13" t="s">
        <v>18647</v>
      </c>
    </row>
    <row r="883" spans="1:4">
      <c r="A883" s="13">
        <v>7250100240</v>
      </c>
      <c r="B883" s="13" t="s">
        <v>18648</v>
      </c>
      <c r="C883" s="13" t="s">
        <v>6</v>
      </c>
      <c r="D883" s="13" t="s">
        <v>18649</v>
      </c>
    </row>
    <row r="888" spans="1:4">
      <c r="A888" s="13">
        <v>7250200010</v>
      </c>
      <c r="B888" s="13" t="s">
        <v>18650</v>
      </c>
      <c r="C888" s="13" t="s">
        <v>6</v>
      </c>
      <c r="D888" s="13" t="s">
        <v>2444</v>
      </c>
    </row>
    <row r="889" spans="1:4">
      <c r="A889" s="13">
        <v>7250200020</v>
      </c>
      <c r="B889" s="13" t="s">
        <v>18651</v>
      </c>
      <c r="C889" s="13" t="s">
        <v>6</v>
      </c>
      <c r="D889" s="13" t="s">
        <v>18652</v>
      </c>
    </row>
    <row r="890" spans="1:4">
      <c r="A890" s="13">
        <v>7250200030</v>
      </c>
      <c r="B890" s="13" t="s">
        <v>18653</v>
      </c>
      <c r="C890" s="13" t="s">
        <v>6</v>
      </c>
      <c r="D890" s="13" t="s">
        <v>18654</v>
      </c>
    </row>
    <row r="891" spans="1:4">
      <c r="A891" s="13">
        <v>7250200040</v>
      </c>
      <c r="B891" s="13" t="s">
        <v>18655</v>
      </c>
      <c r="C891" s="13" t="s">
        <v>6</v>
      </c>
      <c r="D891" s="13" t="s">
        <v>18656</v>
      </c>
    </row>
    <row r="892" spans="1:4">
      <c r="A892" s="13">
        <v>7250200050</v>
      </c>
      <c r="B892" s="13" t="s">
        <v>18657</v>
      </c>
      <c r="C892" s="13" t="s">
        <v>6</v>
      </c>
      <c r="D892" s="13" t="s">
        <v>18658</v>
      </c>
    </row>
    <row r="893" spans="1:4">
      <c r="A893" s="13">
        <v>7250200060</v>
      </c>
      <c r="B893" s="13" t="s">
        <v>18659</v>
      </c>
      <c r="C893" s="13" t="s">
        <v>6</v>
      </c>
      <c r="D893" s="13" t="s">
        <v>18660</v>
      </c>
    </row>
    <row r="894" spans="1:4">
      <c r="A894" s="13">
        <v>7250200070</v>
      </c>
      <c r="B894" s="13" t="s">
        <v>18661</v>
      </c>
      <c r="C894" s="13" t="s">
        <v>6</v>
      </c>
      <c r="D894" s="13" t="s">
        <v>18662</v>
      </c>
    </row>
    <row r="895" spans="1:4">
      <c r="A895" s="13">
        <v>7250200080</v>
      </c>
      <c r="B895" s="13" t="s">
        <v>18663</v>
      </c>
      <c r="C895" s="13" t="s">
        <v>6</v>
      </c>
      <c r="D895" s="13" t="s">
        <v>18664</v>
      </c>
    </row>
    <row r="896" spans="1:4">
      <c r="A896" s="13">
        <v>7250200090</v>
      </c>
      <c r="B896" s="13" t="s">
        <v>18665</v>
      </c>
      <c r="C896" s="13" t="s">
        <v>6</v>
      </c>
      <c r="D896" s="13" t="s">
        <v>18666</v>
      </c>
    </row>
    <row r="897" spans="1:4">
      <c r="A897" s="13">
        <v>7250200100</v>
      </c>
      <c r="B897" s="13" t="s">
        <v>18667</v>
      </c>
      <c r="C897" s="13" t="s">
        <v>6</v>
      </c>
      <c r="D897" s="13" t="s">
        <v>18668</v>
      </c>
    </row>
    <row r="898" spans="1:4">
      <c r="A898" s="13">
        <v>7250200110</v>
      </c>
      <c r="B898" s="13" t="s">
        <v>18669</v>
      </c>
      <c r="C898" s="13" t="s">
        <v>6</v>
      </c>
      <c r="D898" s="13" t="s">
        <v>18670</v>
      </c>
    </row>
    <row r="899" spans="1:4">
      <c r="A899" s="13">
        <v>7250200120</v>
      </c>
      <c r="B899" s="13" t="s">
        <v>18671</v>
      </c>
      <c r="C899" s="13" t="s">
        <v>6</v>
      </c>
      <c r="D899" s="13" t="s">
        <v>18672</v>
      </c>
    </row>
    <row r="900" spans="1:4">
      <c r="A900" s="13">
        <v>7250200130</v>
      </c>
      <c r="B900" s="13" t="s">
        <v>18673</v>
      </c>
      <c r="C900" s="13" t="s">
        <v>6</v>
      </c>
      <c r="D900" s="13" t="s">
        <v>18674</v>
      </c>
    </row>
    <row r="901" spans="1:4">
      <c r="A901" s="13">
        <v>7250200140</v>
      </c>
      <c r="B901" s="13" t="s">
        <v>18675</v>
      </c>
      <c r="C901" s="13" t="s">
        <v>6</v>
      </c>
      <c r="D901" s="13" t="s">
        <v>18676</v>
      </c>
    </row>
    <row r="902" spans="1:4">
      <c r="A902" s="13">
        <v>7250200150</v>
      </c>
      <c r="B902" s="13" t="s">
        <v>18677</v>
      </c>
      <c r="C902" s="13" t="s">
        <v>6</v>
      </c>
      <c r="D902" s="13" t="s">
        <v>6483</v>
      </c>
    </row>
    <row r="903" spans="1:4">
      <c r="A903" s="13">
        <v>7250200160</v>
      </c>
      <c r="B903" s="13" t="s">
        <v>18678</v>
      </c>
      <c r="C903" s="13" t="s">
        <v>6</v>
      </c>
      <c r="D903" s="13" t="s">
        <v>18679</v>
      </c>
    </row>
    <row r="904" spans="1:4">
      <c r="A904" s="13">
        <v>7250200170</v>
      </c>
      <c r="B904" s="13" t="s">
        <v>18680</v>
      </c>
      <c r="C904" s="13" t="s">
        <v>6</v>
      </c>
      <c r="D904" s="13" t="s">
        <v>18681</v>
      </c>
    </row>
    <row r="905" spans="1:4">
      <c r="A905" s="13">
        <v>7250200180</v>
      </c>
      <c r="B905" s="13" t="s">
        <v>18682</v>
      </c>
      <c r="C905" s="13" t="s">
        <v>6</v>
      </c>
      <c r="D905" s="13" t="s">
        <v>18683</v>
      </c>
    </row>
    <row r="906" spans="1:4">
      <c r="A906" s="13">
        <v>7250200190</v>
      </c>
      <c r="B906" s="13" t="s">
        <v>18684</v>
      </c>
      <c r="C906" s="13" t="s">
        <v>6</v>
      </c>
      <c r="D906" s="13" t="s">
        <v>18685</v>
      </c>
    </row>
    <row r="907" spans="1:4">
      <c r="A907" s="13">
        <v>7250200200</v>
      </c>
      <c r="B907" s="13" t="s">
        <v>18686</v>
      </c>
      <c r="C907" s="13" t="s">
        <v>6</v>
      </c>
      <c r="D907" s="13" t="s">
        <v>18687</v>
      </c>
    </row>
    <row r="908" spans="1:4">
      <c r="A908" s="13">
        <v>7250200210</v>
      </c>
      <c r="B908" s="13" t="s">
        <v>18688</v>
      </c>
      <c r="C908" s="13" t="s">
        <v>6</v>
      </c>
      <c r="D908" s="13" t="s">
        <v>18689</v>
      </c>
    </row>
    <row r="909" spans="1:4">
      <c r="A909" s="13">
        <v>7250200220</v>
      </c>
      <c r="B909" s="13" t="s">
        <v>18690</v>
      </c>
      <c r="C909" s="13" t="s">
        <v>6</v>
      </c>
      <c r="D909" s="13" t="s">
        <v>2526</v>
      </c>
    </row>
    <row r="910" spans="1:4">
      <c r="A910" s="13">
        <v>7250200230</v>
      </c>
      <c r="B910" s="13" t="s">
        <v>18691</v>
      </c>
      <c r="C910" s="13" t="s">
        <v>6</v>
      </c>
      <c r="D910" s="13" t="s">
        <v>18692</v>
      </c>
    </row>
    <row r="911" spans="1:4">
      <c r="A911" s="13">
        <v>7250200240</v>
      </c>
      <c r="B911" s="13" t="s">
        <v>18693</v>
      </c>
      <c r="C911" s="13" t="s">
        <v>6</v>
      </c>
      <c r="D911" s="13" t="s">
        <v>18694</v>
      </c>
    </row>
    <row r="912" spans="1:4">
      <c r="A912" s="13">
        <v>7250200250</v>
      </c>
      <c r="B912" s="13" t="s">
        <v>18695</v>
      </c>
      <c r="C912" s="13" t="s">
        <v>6</v>
      </c>
      <c r="D912" s="13" t="s">
        <v>18696</v>
      </c>
    </row>
    <row r="913" spans="1:4">
      <c r="A913" s="13">
        <v>7250200260</v>
      </c>
      <c r="B913" s="13" t="s">
        <v>18697</v>
      </c>
      <c r="C913" s="13" t="s">
        <v>6</v>
      </c>
      <c r="D913" s="13" t="s">
        <v>18698</v>
      </c>
    </row>
    <row r="914" spans="1:4">
      <c r="A914" s="13">
        <v>7250200270</v>
      </c>
      <c r="B914" s="13" t="s">
        <v>18699</v>
      </c>
      <c r="C914" s="13" t="s">
        <v>6</v>
      </c>
      <c r="D914" s="13" t="s">
        <v>18700</v>
      </c>
    </row>
    <row r="915" spans="1:4">
      <c r="A915" s="13">
        <v>7250200280</v>
      </c>
      <c r="B915" s="13" t="s">
        <v>18701</v>
      </c>
      <c r="C915" s="13" t="s">
        <v>6</v>
      </c>
      <c r="D915" s="13" t="s">
        <v>18702</v>
      </c>
    </row>
    <row r="916" spans="1:4">
      <c r="A916" s="13">
        <v>7250300010</v>
      </c>
      <c r="B916" s="13" t="s">
        <v>18703</v>
      </c>
      <c r="C916" s="13" t="s">
        <v>6</v>
      </c>
      <c r="D916" s="13" t="s">
        <v>18704</v>
      </c>
    </row>
    <row r="917" spans="1:4">
      <c r="A917" s="13">
        <v>7250300020</v>
      </c>
      <c r="B917" s="13" t="s">
        <v>18705</v>
      </c>
      <c r="C917" s="13" t="s">
        <v>6</v>
      </c>
      <c r="D917" s="13" t="s">
        <v>18706</v>
      </c>
    </row>
    <row r="918" spans="1:4">
      <c r="A918" s="13">
        <v>7250300030</v>
      </c>
      <c r="B918" s="13" t="s">
        <v>18707</v>
      </c>
      <c r="C918" s="13" t="s">
        <v>6</v>
      </c>
      <c r="D918" s="13" t="s">
        <v>18708</v>
      </c>
    </row>
    <row r="919" spans="1:4">
      <c r="A919" s="13">
        <v>7250300040</v>
      </c>
      <c r="B919" s="13" t="s">
        <v>18709</v>
      </c>
      <c r="C919" s="13" t="s">
        <v>6</v>
      </c>
      <c r="D919" s="13" t="s">
        <v>18710</v>
      </c>
    </row>
    <row r="920" spans="1:4">
      <c r="A920" s="13">
        <v>7250300050</v>
      </c>
      <c r="B920" s="13" t="s">
        <v>18711</v>
      </c>
      <c r="C920" s="13" t="s">
        <v>6</v>
      </c>
      <c r="D920" s="13" t="s">
        <v>18712</v>
      </c>
    </row>
    <row r="921" spans="1:4">
      <c r="A921" s="13">
        <v>7250300060</v>
      </c>
      <c r="B921" s="13" t="s">
        <v>18713</v>
      </c>
      <c r="C921" s="13" t="s">
        <v>6</v>
      </c>
      <c r="D921" s="13" t="s">
        <v>18714</v>
      </c>
    </row>
    <row r="922" spans="1:4">
      <c r="A922" s="13">
        <v>7250300070</v>
      </c>
      <c r="B922" s="13" t="s">
        <v>18715</v>
      </c>
      <c r="C922" s="13" t="s">
        <v>6</v>
      </c>
      <c r="D922" s="13" t="s">
        <v>18716</v>
      </c>
    </row>
    <row r="923" spans="1:4">
      <c r="A923" s="13">
        <v>7250300080</v>
      </c>
      <c r="B923" s="13" t="s">
        <v>18717</v>
      </c>
      <c r="C923" s="13" t="s">
        <v>6</v>
      </c>
      <c r="D923" s="13" t="s">
        <v>18718</v>
      </c>
    </row>
    <row r="924" spans="1:4">
      <c r="A924" s="13">
        <v>7250300090</v>
      </c>
      <c r="B924" s="13" t="s">
        <v>18719</v>
      </c>
      <c r="C924" s="13" t="s">
        <v>6</v>
      </c>
      <c r="D924" s="13" t="s">
        <v>18720</v>
      </c>
    </row>
    <row r="925" spans="1:4">
      <c r="A925" s="13">
        <v>7250300100</v>
      </c>
      <c r="B925" s="13" t="s">
        <v>18721</v>
      </c>
      <c r="C925" s="13" t="s">
        <v>6</v>
      </c>
      <c r="D925" s="13" t="s">
        <v>18722</v>
      </c>
    </row>
    <row r="926" spans="1:4">
      <c r="A926" s="13">
        <v>7250300110</v>
      </c>
      <c r="B926" s="13" t="s">
        <v>18723</v>
      </c>
      <c r="C926" s="13" t="s">
        <v>6</v>
      </c>
      <c r="D926" s="13" t="s">
        <v>18724</v>
      </c>
    </row>
    <row r="927" spans="1:4">
      <c r="A927" s="13">
        <v>7250300120</v>
      </c>
      <c r="B927" s="13" t="s">
        <v>18725</v>
      </c>
      <c r="C927" s="13" t="s">
        <v>6</v>
      </c>
      <c r="D927" s="13" t="s">
        <v>18726</v>
      </c>
    </row>
    <row r="928" spans="1:4">
      <c r="A928" s="13">
        <v>7250300130</v>
      </c>
      <c r="B928" s="13" t="s">
        <v>18727</v>
      </c>
      <c r="C928" s="13" t="s">
        <v>6</v>
      </c>
      <c r="D928" s="13" t="s">
        <v>2501</v>
      </c>
    </row>
    <row r="929" spans="1:4">
      <c r="A929" s="13">
        <v>7250300140</v>
      </c>
      <c r="B929" s="13" t="s">
        <v>18728</v>
      </c>
      <c r="C929" s="13" t="s">
        <v>6</v>
      </c>
      <c r="D929" s="13" t="s">
        <v>18729</v>
      </c>
    </row>
    <row r="930" spans="1:4">
      <c r="A930" s="13">
        <v>7250300150</v>
      </c>
      <c r="B930" s="13" t="s">
        <v>18730</v>
      </c>
      <c r="C930" s="13" t="s">
        <v>6</v>
      </c>
      <c r="D930" s="13" t="s">
        <v>18731</v>
      </c>
    </row>
    <row r="931" spans="1:4">
      <c r="A931" s="13">
        <v>7250300160</v>
      </c>
      <c r="B931" s="13" t="s">
        <v>18732</v>
      </c>
      <c r="C931" s="13" t="s">
        <v>6</v>
      </c>
      <c r="D931" s="13" t="s">
        <v>18733</v>
      </c>
    </row>
    <row r="932" spans="1:4">
      <c r="A932" s="13">
        <v>7250300170</v>
      </c>
      <c r="B932" s="13" t="s">
        <v>18734</v>
      </c>
      <c r="C932" s="13" t="s">
        <v>6</v>
      </c>
      <c r="D932" s="13" t="s">
        <v>18735</v>
      </c>
    </row>
    <row r="933" spans="1:4">
      <c r="A933" s="13">
        <v>7250300180</v>
      </c>
      <c r="B933" s="13" t="s">
        <v>18736</v>
      </c>
      <c r="C933" s="13" t="s">
        <v>6</v>
      </c>
      <c r="D933" s="27" t="s">
        <v>18737</v>
      </c>
    </row>
    <row r="934" spans="1:4">
      <c r="A934" s="13">
        <v>7250300190</v>
      </c>
      <c r="B934" s="13" t="s">
        <v>18738</v>
      </c>
      <c r="C934" s="13" t="s">
        <v>6</v>
      </c>
      <c r="D934" s="27" t="s">
        <v>18739</v>
      </c>
    </row>
    <row r="935" spans="1:4">
      <c r="A935" s="13">
        <v>7250300200</v>
      </c>
      <c r="B935" s="13" t="s">
        <v>18740</v>
      </c>
      <c r="C935" s="13" t="s">
        <v>6</v>
      </c>
      <c r="D935" s="13" t="s">
        <v>18741</v>
      </c>
    </row>
    <row r="940" spans="1:4">
      <c r="A940" s="13">
        <v>7250300210</v>
      </c>
      <c r="B940" s="13" t="s">
        <v>18742</v>
      </c>
      <c r="C940" s="13" t="s">
        <v>6</v>
      </c>
      <c r="D940" s="13" t="s">
        <v>18743</v>
      </c>
    </row>
    <row r="941" spans="1:4">
      <c r="A941" s="13">
        <v>7250300220</v>
      </c>
      <c r="B941" s="13" t="s">
        <v>18744</v>
      </c>
      <c r="C941" s="13" t="s">
        <v>6</v>
      </c>
      <c r="D941" s="13" t="s">
        <v>18745</v>
      </c>
    </row>
    <row r="942" spans="1:4">
      <c r="A942" s="13">
        <v>7250300230</v>
      </c>
      <c r="B942" s="13" t="s">
        <v>18746</v>
      </c>
      <c r="C942" s="13" t="s">
        <v>6</v>
      </c>
      <c r="D942" s="13" t="s">
        <v>18747</v>
      </c>
    </row>
    <row r="943" spans="1:4">
      <c r="A943" s="13">
        <v>7250300240</v>
      </c>
      <c r="B943" s="13" t="s">
        <v>18748</v>
      </c>
      <c r="C943" s="13" t="s">
        <v>6</v>
      </c>
      <c r="D943" s="13" t="s">
        <v>18749</v>
      </c>
    </row>
    <row r="944" spans="1:4">
      <c r="A944" s="13">
        <v>7250300250</v>
      </c>
      <c r="B944" s="13" t="s">
        <v>18750</v>
      </c>
      <c r="C944" s="13" t="s">
        <v>6</v>
      </c>
      <c r="D944" s="13" t="s">
        <v>18751</v>
      </c>
    </row>
    <row r="945" spans="1:4">
      <c r="A945" s="13">
        <v>7250300260</v>
      </c>
      <c r="B945" s="13" t="s">
        <v>18752</v>
      </c>
      <c r="C945" s="13" t="s">
        <v>6</v>
      </c>
      <c r="D945" s="13" t="s">
        <v>18753</v>
      </c>
    </row>
    <row r="946" spans="1:4">
      <c r="A946" s="13">
        <v>7250300270</v>
      </c>
      <c r="B946" s="13" t="s">
        <v>18754</v>
      </c>
      <c r="C946" s="13" t="s">
        <v>6</v>
      </c>
      <c r="D946" s="13" t="s">
        <v>18755</v>
      </c>
    </row>
    <row r="947" spans="1:4">
      <c r="A947" s="13">
        <v>7250300280</v>
      </c>
      <c r="B947" s="13" t="s">
        <v>18756</v>
      </c>
      <c r="C947" s="13" t="s">
        <v>6</v>
      </c>
      <c r="D947" s="13" t="s">
        <v>18757</v>
      </c>
    </row>
    <row r="948" spans="1:4">
      <c r="A948" s="13">
        <v>7250300290</v>
      </c>
      <c r="B948" s="13" t="s">
        <v>18758</v>
      </c>
      <c r="C948" s="13" t="s">
        <v>6</v>
      </c>
      <c r="D948" s="13" t="s">
        <v>18759</v>
      </c>
    </row>
    <row r="949" spans="1:4">
      <c r="A949" s="13">
        <v>7250300300</v>
      </c>
      <c r="B949" s="13" t="s">
        <v>18760</v>
      </c>
      <c r="C949" s="13" t="s">
        <v>6</v>
      </c>
      <c r="D949" s="13" t="s">
        <v>18761</v>
      </c>
    </row>
    <row r="950" spans="1:4">
      <c r="A950" s="13">
        <v>7250300310</v>
      </c>
      <c r="B950" s="13" t="s">
        <v>18762</v>
      </c>
      <c r="C950" s="13" t="s">
        <v>6</v>
      </c>
      <c r="D950" s="13" t="s">
        <v>18763</v>
      </c>
    </row>
    <row r="951" spans="1:4">
      <c r="A951" s="13">
        <v>7250300320</v>
      </c>
      <c r="B951" s="13" t="s">
        <v>18764</v>
      </c>
      <c r="C951" s="13" t="s">
        <v>6</v>
      </c>
      <c r="D951" s="13" t="s">
        <v>18765</v>
      </c>
    </row>
    <row r="952" spans="1:4">
      <c r="A952" s="13">
        <v>7250350010</v>
      </c>
      <c r="B952" s="13" t="s">
        <v>18766</v>
      </c>
      <c r="C952" s="13" t="s">
        <v>6</v>
      </c>
      <c r="D952" s="13" t="s">
        <v>5576</v>
      </c>
    </row>
    <row r="953" spans="1:4">
      <c r="A953" s="13">
        <v>7250350020</v>
      </c>
      <c r="B953" s="13" t="s">
        <v>18767</v>
      </c>
      <c r="C953" s="13" t="s">
        <v>6</v>
      </c>
      <c r="D953" s="13" t="s">
        <v>18768</v>
      </c>
    </row>
    <row r="954" spans="1:4">
      <c r="A954" s="13">
        <v>7250350030</v>
      </c>
      <c r="B954" s="13" t="s">
        <v>18769</v>
      </c>
      <c r="C954" s="13" t="s">
        <v>6</v>
      </c>
      <c r="D954" s="13" t="s">
        <v>18770</v>
      </c>
    </row>
    <row r="955" spans="1:4">
      <c r="A955" s="13">
        <v>7250350040</v>
      </c>
      <c r="B955" s="13" t="s">
        <v>18771</v>
      </c>
      <c r="C955" s="13" t="s">
        <v>6</v>
      </c>
      <c r="D955" s="13" t="s">
        <v>18772</v>
      </c>
    </row>
    <row r="956" spans="1:4">
      <c r="A956" s="13">
        <v>7250350050</v>
      </c>
      <c r="B956" s="13" t="s">
        <v>18773</v>
      </c>
      <c r="C956" s="13" t="s">
        <v>6</v>
      </c>
      <c r="D956" s="13" t="s">
        <v>6211</v>
      </c>
    </row>
    <row r="957" spans="1:4">
      <c r="A957" s="13">
        <v>7250350060</v>
      </c>
      <c r="B957" s="13" t="s">
        <v>18774</v>
      </c>
      <c r="C957" s="13" t="s">
        <v>6</v>
      </c>
      <c r="D957" s="13" t="s">
        <v>18775</v>
      </c>
    </row>
    <row r="958" spans="1:4">
      <c r="A958" s="13">
        <v>7250350070</v>
      </c>
      <c r="B958" s="13" t="s">
        <v>18776</v>
      </c>
      <c r="C958" s="13" t="s">
        <v>6</v>
      </c>
      <c r="D958" s="13" t="s">
        <v>18777</v>
      </c>
    </row>
    <row r="959" spans="1:4">
      <c r="A959" s="13">
        <v>7250350080</v>
      </c>
      <c r="B959" s="13" t="s">
        <v>18778</v>
      </c>
      <c r="C959" s="13" t="s">
        <v>6</v>
      </c>
      <c r="D959" s="13" t="s">
        <v>18553</v>
      </c>
    </row>
    <row r="960" spans="1:4">
      <c r="A960" s="13">
        <v>7250350090</v>
      </c>
      <c r="B960" s="13" t="s">
        <v>18779</v>
      </c>
      <c r="C960" s="13" t="s">
        <v>6</v>
      </c>
      <c r="D960" s="13" t="s">
        <v>18780</v>
      </c>
    </row>
    <row r="961" spans="1:4">
      <c r="A961" s="13">
        <v>7250350100</v>
      </c>
      <c r="B961" s="13" t="s">
        <v>18781</v>
      </c>
      <c r="C961" s="13" t="s">
        <v>6</v>
      </c>
      <c r="D961" s="13" t="s">
        <v>17498</v>
      </c>
    </row>
    <row r="962" spans="1:4">
      <c r="A962" s="13">
        <v>7250350110</v>
      </c>
      <c r="B962" s="13" t="s">
        <v>18782</v>
      </c>
      <c r="C962" s="13" t="s">
        <v>6</v>
      </c>
      <c r="D962" s="13" t="s">
        <v>2384</v>
      </c>
    </row>
    <row r="963" spans="1:4">
      <c r="A963" s="13">
        <v>7250350120</v>
      </c>
      <c r="B963" s="13" t="s">
        <v>18783</v>
      </c>
      <c r="C963" s="13" t="s">
        <v>6</v>
      </c>
      <c r="D963" s="13" t="s">
        <v>18784</v>
      </c>
    </row>
    <row r="964" spans="1:4">
      <c r="A964" s="13">
        <v>7250350130</v>
      </c>
      <c r="B964" s="13" t="s">
        <v>18785</v>
      </c>
      <c r="C964" s="13" t="s">
        <v>6</v>
      </c>
      <c r="D964" s="13" t="s">
        <v>18786</v>
      </c>
    </row>
    <row r="965" spans="1:4">
      <c r="A965" s="13">
        <v>7250350140</v>
      </c>
      <c r="B965" s="13" t="s">
        <v>18787</v>
      </c>
      <c r="C965" s="13" t="s">
        <v>6</v>
      </c>
      <c r="D965" s="13" t="s">
        <v>18788</v>
      </c>
    </row>
    <row r="966" spans="1:4">
      <c r="A966" s="13">
        <v>7250350150</v>
      </c>
      <c r="B966" s="13" t="s">
        <v>18789</v>
      </c>
      <c r="C966" s="13" t="s">
        <v>6</v>
      </c>
      <c r="D966" s="13" t="s">
        <v>18790</v>
      </c>
    </row>
    <row r="967" spans="1:4">
      <c r="A967" s="13">
        <v>7250350160</v>
      </c>
      <c r="B967" s="13" t="s">
        <v>18791</v>
      </c>
      <c r="C967" s="13" t="s">
        <v>6</v>
      </c>
      <c r="D967" s="13" t="s">
        <v>18792</v>
      </c>
    </row>
    <row r="968" spans="1:4">
      <c r="A968" s="13">
        <v>7250350170</v>
      </c>
      <c r="B968" s="13" t="s">
        <v>18793</v>
      </c>
      <c r="C968" s="13" t="s">
        <v>6</v>
      </c>
      <c r="D968" s="13" t="s">
        <v>6348</v>
      </c>
    </row>
    <row r="969" spans="1:4">
      <c r="A969" s="13">
        <v>7250350180</v>
      </c>
      <c r="B969" s="13" t="s">
        <v>18794</v>
      </c>
      <c r="C969" s="13" t="s">
        <v>6</v>
      </c>
      <c r="D969" s="13" t="s">
        <v>4894</v>
      </c>
    </row>
    <row r="970" spans="1:4">
      <c r="A970" s="13">
        <v>7250350190</v>
      </c>
      <c r="B970" s="13" t="s">
        <v>18795</v>
      </c>
      <c r="C970" s="13" t="s">
        <v>6</v>
      </c>
      <c r="D970" s="13" t="s">
        <v>18796</v>
      </c>
    </row>
    <row r="971" spans="1:4">
      <c r="A971" s="13">
        <v>7250350200</v>
      </c>
      <c r="B971" s="13" t="s">
        <v>18797</v>
      </c>
      <c r="C971" s="13" t="s">
        <v>6</v>
      </c>
      <c r="D971" s="13" t="s">
        <v>18798</v>
      </c>
    </row>
    <row r="972" spans="1:4">
      <c r="A972" s="13">
        <v>7250350210</v>
      </c>
      <c r="B972" s="13" t="s">
        <v>18799</v>
      </c>
      <c r="C972" s="13" t="s">
        <v>6</v>
      </c>
      <c r="D972" s="13" t="s">
        <v>6076</v>
      </c>
    </row>
    <row r="973" spans="1:4">
      <c r="A973" s="13">
        <v>7250350220</v>
      </c>
      <c r="B973" s="13" t="s">
        <v>18800</v>
      </c>
      <c r="C973" s="13" t="s">
        <v>6</v>
      </c>
      <c r="D973" s="13" t="s">
        <v>18801</v>
      </c>
    </row>
    <row r="974" spans="1:4">
      <c r="A974" s="13">
        <v>7250350230</v>
      </c>
      <c r="B974" s="13" t="s">
        <v>18802</v>
      </c>
      <c r="C974" s="13" t="s">
        <v>6</v>
      </c>
      <c r="D974" s="13" t="s">
        <v>18803</v>
      </c>
    </row>
    <row r="975" spans="1:4">
      <c r="A975" s="13">
        <v>7250350240</v>
      </c>
      <c r="B975" s="13" t="s">
        <v>18804</v>
      </c>
      <c r="C975" s="13" t="s">
        <v>6</v>
      </c>
      <c r="D975" s="13" t="s">
        <v>2880</v>
      </c>
    </row>
    <row r="976" spans="1:4">
      <c r="A976" s="13">
        <v>7250350250</v>
      </c>
      <c r="B976" s="13" t="s">
        <v>18805</v>
      </c>
      <c r="C976" s="13" t="s">
        <v>6</v>
      </c>
      <c r="D976" s="13" t="s">
        <v>18806</v>
      </c>
    </row>
    <row r="977" spans="1:4">
      <c r="A977" s="13">
        <v>7250350260</v>
      </c>
      <c r="B977" s="13" t="s">
        <v>18807</v>
      </c>
      <c r="C977" s="13" t="s">
        <v>6</v>
      </c>
      <c r="D977" s="13" t="s">
        <v>18808</v>
      </c>
    </row>
    <row r="978" spans="1:4">
      <c r="A978" s="13">
        <v>7250350270</v>
      </c>
      <c r="B978" s="13" t="s">
        <v>18809</v>
      </c>
      <c r="C978" s="13" t="s">
        <v>6</v>
      </c>
      <c r="D978" s="13" t="s">
        <v>18810</v>
      </c>
    </row>
    <row r="979" spans="1:4">
      <c r="A979" s="13">
        <v>7250350280</v>
      </c>
      <c r="B979" s="13" t="s">
        <v>18811</v>
      </c>
      <c r="C979" s="13" t="s">
        <v>6</v>
      </c>
      <c r="D979" s="13" t="s">
        <v>18812</v>
      </c>
    </row>
    <row r="980" spans="1:4">
      <c r="A980" s="13">
        <v>7250350290</v>
      </c>
      <c r="B980" s="13" t="s">
        <v>18813</v>
      </c>
      <c r="C980" s="13" t="s">
        <v>6</v>
      </c>
      <c r="D980" s="13" t="s">
        <v>18814</v>
      </c>
    </row>
    <row r="981" spans="1:4">
      <c r="A981" s="13">
        <v>7250350300</v>
      </c>
      <c r="B981" s="13" t="s">
        <v>18815</v>
      </c>
      <c r="C981" s="13" t="s">
        <v>6</v>
      </c>
      <c r="D981" s="13" t="s">
        <v>18816</v>
      </c>
    </row>
    <row r="982" spans="1:4">
      <c r="A982" s="13">
        <v>7250350310</v>
      </c>
      <c r="B982" s="13" t="s">
        <v>18817</v>
      </c>
      <c r="C982" s="13" t="s">
        <v>6</v>
      </c>
      <c r="D982" s="13" t="s">
        <v>18818</v>
      </c>
    </row>
    <row r="983" spans="1:4">
      <c r="A983" s="13">
        <v>7250350320</v>
      </c>
      <c r="B983" s="13" t="s">
        <v>18819</v>
      </c>
      <c r="C983" s="13" t="s">
        <v>6</v>
      </c>
      <c r="D983" s="13" t="s">
        <v>18820</v>
      </c>
    </row>
    <row r="984" spans="1:4">
      <c r="A984" s="13">
        <v>7250400010</v>
      </c>
      <c r="B984" s="13" t="s">
        <v>18821</v>
      </c>
      <c r="C984" s="13" t="s">
        <v>6</v>
      </c>
      <c r="D984" s="13" t="s">
        <v>4690</v>
      </c>
    </row>
    <row r="985" spans="1:4">
      <c r="A985" s="13">
        <v>7250400020</v>
      </c>
      <c r="B985" s="13" t="s">
        <v>18822</v>
      </c>
      <c r="C985" s="13" t="s">
        <v>6</v>
      </c>
      <c r="D985" s="13" t="s">
        <v>18823</v>
      </c>
    </row>
    <row r="986" spans="1:4">
      <c r="A986" s="13">
        <v>7250400030</v>
      </c>
      <c r="B986" s="13" t="s">
        <v>18824</v>
      </c>
      <c r="C986" s="13" t="s">
        <v>6</v>
      </c>
      <c r="D986" s="13" t="s">
        <v>18825</v>
      </c>
    </row>
    <row r="987" spans="1:4">
      <c r="A987" s="13">
        <v>7250400040</v>
      </c>
      <c r="B987" s="13" t="s">
        <v>18826</v>
      </c>
      <c r="C987" s="13" t="s">
        <v>6</v>
      </c>
      <c r="D987" s="13" t="s">
        <v>18827</v>
      </c>
    </row>
    <row r="991" spans="1:4">
      <c r="D991" s="27"/>
    </row>
    <row r="992" spans="1:4">
      <c r="A992" s="13">
        <v>7250400050</v>
      </c>
      <c r="B992" s="13" t="s">
        <v>18828</v>
      </c>
      <c r="C992" s="13" t="s">
        <v>6</v>
      </c>
      <c r="D992" s="27" t="s">
        <v>18829</v>
      </c>
    </row>
    <row r="993" spans="1:4">
      <c r="A993" s="13">
        <v>7250400060</v>
      </c>
      <c r="B993" s="13" t="s">
        <v>18830</v>
      </c>
      <c r="C993" s="13" t="s">
        <v>6</v>
      </c>
      <c r="D993" s="13" t="s">
        <v>18831</v>
      </c>
    </row>
    <row r="994" spans="1:4">
      <c r="A994" s="13">
        <v>7250450010</v>
      </c>
      <c r="B994" s="13" t="s">
        <v>18832</v>
      </c>
      <c r="C994" s="13" t="s">
        <v>6</v>
      </c>
      <c r="D994" s="13" t="s">
        <v>18833</v>
      </c>
    </row>
    <row r="995" spans="1:4">
      <c r="A995" s="13">
        <v>7250450020</v>
      </c>
      <c r="B995" s="13" t="s">
        <v>18834</v>
      </c>
      <c r="C995" s="13" t="s">
        <v>6</v>
      </c>
      <c r="D995" s="13" t="s">
        <v>2606</v>
      </c>
    </row>
    <row r="996" spans="1:4">
      <c r="A996" s="13">
        <v>7250450030</v>
      </c>
      <c r="B996" s="13" t="s">
        <v>18835</v>
      </c>
      <c r="C996" s="13" t="s">
        <v>6</v>
      </c>
      <c r="D996" s="13" t="s">
        <v>18836</v>
      </c>
    </row>
    <row r="997" spans="1:4">
      <c r="A997" s="13">
        <v>7250450040</v>
      </c>
      <c r="B997" s="13" t="s">
        <v>18837</v>
      </c>
      <c r="C997" s="13" t="s">
        <v>6</v>
      </c>
      <c r="D997" s="13" t="s">
        <v>18838</v>
      </c>
    </row>
    <row r="998" spans="1:4">
      <c r="A998" s="13">
        <v>7250450050</v>
      </c>
      <c r="B998" s="13" t="s">
        <v>18839</v>
      </c>
      <c r="C998" s="13" t="s">
        <v>6</v>
      </c>
      <c r="D998" s="13" t="s">
        <v>3058</v>
      </c>
    </row>
    <row r="999" spans="1:4">
      <c r="A999" s="13">
        <v>7250450060</v>
      </c>
      <c r="B999" s="13" t="s">
        <v>18840</v>
      </c>
      <c r="C999" s="13" t="s">
        <v>6</v>
      </c>
      <c r="D999" s="13" t="s">
        <v>18841</v>
      </c>
    </row>
    <row r="1000" spans="1:4">
      <c r="A1000" s="13" t="s">
        <v>18842</v>
      </c>
    </row>
    <row r="1001" spans="1:4">
      <c r="A1001" s="13">
        <v>7260100010</v>
      </c>
      <c r="B1001" s="13" t="s">
        <v>18843</v>
      </c>
      <c r="C1001" s="13" t="s">
        <v>6</v>
      </c>
      <c r="D1001" s="13" t="s">
        <v>2443</v>
      </c>
    </row>
    <row r="1002" spans="1:4">
      <c r="A1002" s="13">
        <v>7260100020</v>
      </c>
      <c r="B1002" s="13" t="s">
        <v>18844</v>
      </c>
      <c r="C1002" s="13" t="s">
        <v>6</v>
      </c>
      <c r="D1002" s="13" t="s">
        <v>18845</v>
      </c>
    </row>
    <row r="1003" spans="1:4">
      <c r="A1003" s="13">
        <v>7260100030</v>
      </c>
      <c r="B1003" s="13" t="s">
        <v>18846</v>
      </c>
      <c r="C1003" s="13" t="s">
        <v>6</v>
      </c>
      <c r="D1003" s="13" t="s">
        <v>18847</v>
      </c>
    </row>
    <row r="1004" spans="1:4">
      <c r="A1004" s="13">
        <v>7260100040</v>
      </c>
      <c r="B1004" s="13" t="s">
        <v>18848</v>
      </c>
      <c r="C1004" s="13" t="s">
        <v>6</v>
      </c>
      <c r="D1004" s="13" t="s">
        <v>18849</v>
      </c>
    </row>
    <row r="1005" spans="1:4">
      <c r="A1005" s="13">
        <v>7260100050</v>
      </c>
      <c r="B1005" s="13" t="s">
        <v>18850</v>
      </c>
      <c r="C1005" s="13" t="s">
        <v>6</v>
      </c>
      <c r="D1005" s="13" t="s">
        <v>18851</v>
      </c>
    </row>
    <row r="1006" spans="1:4">
      <c r="A1006" s="13">
        <v>7260100060</v>
      </c>
      <c r="B1006" s="13" t="s">
        <v>18852</v>
      </c>
      <c r="C1006" s="13" t="s">
        <v>6</v>
      </c>
      <c r="D1006" s="13" t="s">
        <v>18853</v>
      </c>
    </row>
    <row r="1007" spans="1:4">
      <c r="A1007" s="13">
        <v>7260100070</v>
      </c>
      <c r="B1007" s="13" t="s">
        <v>18854</v>
      </c>
      <c r="C1007" s="13" t="s">
        <v>6</v>
      </c>
      <c r="D1007" s="13" t="s">
        <v>18855</v>
      </c>
    </row>
    <row r="1008" spans="1:4">
      <c r="A1008" s="13">
        <v>7260100080</v>
      </c>
      <c r="B1008" s="13" t="s">
        <v>18856</v>
      </c>
      <c r="C1008" s="13" t="s">
        <v>6</v>
      </c>
      <c r="D1008" s="13" t="s">
        <v>18857</v>
      </c>
    </row>
    <row r="1009" spans="1:4">
      <c r="A1009" s="13">
        <v>7260100090</v>
      </c>
      <c r="B1009" s="13" t="s">
        <v>18858</v>
      </c>
      <c r="C1009" s="13" t="s">
        <v>6</v>
      </c>
      <c r="D1009" s="13" t="s">
        <v>18859</v>
      </c>
    </row>
    <row r="1010" spans="1:4">
      <c r="A1010" s="13">
        <v>7260100100</v>
      </c>
      <c r="B1010" s="13" t="s">
        <v>18860</v>
      </c>
      <c r="C1010" s="13" t="s">
        <v>6</v>
      </c>
      <c r="D1010" s="13" t="s">
        <v>18861</v>
      </c>
    </row>
    <row r="1011" spans="1:4">
      <c r="A1011" s="13">
        <v>7260100110</v>
      </c>
      <c r="B1011" s="13" t="s">
        <v>18862</v>
      </c>
      <c r="C1011" s="13" t="s">
        <v>6</v>
      </c>
      <c r="D1011" s="13" t="s">
        <v>18863</v>
      </c>
    </row>
    <row r="1012" spans="1:4">
      <c r="A1012" s="13">
        <v>7260100120</v>
      </c>
      <c r="B1012" s="13" t="s">
        <v>18864</v>
      </c>
      <c r="C1012" s="13" t="s">
        <v>6</v>
      </c>
      <c r="D1012" s="13" t="s">
        <v>18865</v>
      </c>
    </row>
    <row r="1013" spans="1:4">
      <c r="A1013" s="13">
        <v>7260100130</v>
      </c>
      <c r="B1013" s="13" t="s">
        <v>18866</v>
      </c>
      <c r="C1013" s="13" t="s">
        <v>6</v>
      </c>
      <c r="D1013" s="13" t="s">
        <v>18867</v>
      </c>
    </row>
    <row r="1014" spans="1:4">
      <c r="A1014" s="13">
        <v>7260100140</v>
      </c>
      <c r="B1014" s="13" t="s">
        <v>18868</v>
      </c>
      <c r="C1014" s="13" t="s">
        <v>6</v>
      </c>
      <c r="D1014" s="13" t="s">
        <v>18869</v>
      </c>
    </row>
    <row r="1015" spans="1:4">
      <c r="A1015" s="13">
        <v>7260100150</v>
      </c>
      <c r="B1015" s="13" t="s">
        <v>18870</v>
      </c>
      <c r="C1015" s="13" t="s">
        <v>6</v>
      </c>
      <c r="D1015" s="13" t="s">
        <v>18871</v>
      </c>
    </row>
    <row r="1016" spans="1:4">
      <c r="A1016" s="13">
        <v>7260100160</v>
      </c>
      <c r="B1016" s="13" t="s">
        <v>18872</v>
      </c>
      <c r="C1016" s="13" t="s">
        <v>6</v>
      </c>
      <c r="D1016" s="13" t="s">
        <v>18873</v>
      </c>
    </row>
    <row r="1017" spans="1:4">
      <c r="A1017" s="13">
        <v>7260100170</v>
      </c>
      <c r="B1017" s="13" t="s">
        <v>18874</v>
      </c>
      <c r="C1017" s="13" t="s">
        <v>6</v>
      </c>
      <c r="D1017" s="13" t="s">
        <v>18875</v>
      </c>
    </row>
    <row r="1018" spans="1:4">
      <c r="A1018" s="13">
        <v>7260100180</v>
      </c>
      <c r="B1018" s="13" t="s">
        <v>18876</v>
      </c>
      <c r="C1018" s="13" t="s">
        <v>6</v>
      </c>
      <c r="D1018" s="13" t="s">
        <v>18877</v>
      </c>
    </row>
    <row r="1019" spans="1:4">
      <c r="A1019" s="13">
        <v>7260100190</v>
      </c>
      <c r="B1019" s="13" t="s">
        <v>18878</v>
      </c>
      <c r="C1019" s="13" t="s">
        <v>6</v>
      </c>
      <c r="D1019" s="13" t="s">
        <v>3847</v>
      </c>
    </row>
    <row r="1020" spans="1:4">
      <c r="A1020" s="13">
        <v>7260100200</v>
      </c>
      <c r="B1020" s="13" t="s">
        <v>18879</v>
      </c>
      <c r="C1020" s="13" t="s">
        <v>6</v>
      </c>
      <c r="D1020" s="13" t="s">
        <v>18880</v>
      </c>
    </row>
    <row r="1021" spans="1:4">
      <c r="A1021" s="13">
        <v>7260100210</v>
      </c>
      <c r="B1021" s="13" t="s">
        <v>18881</v>
      </c>
      <c r="C1021" s="13" t="s">
        <v>6</v>
      </c>
      <c r="D1021" s="13" t="s">
        <v>18882</v>
      </c>
    </row>
    <row r="1022" spans="1:4">
      <c r="A1022" s="13">
        <v>7260100220</v>
      </c>
      <c r="B1022" s="13" t="s">
        <v>18883</v>
      </c>
      <c r="C1022" s="13" t="s">
        <v>6</v>
      </c>
      <c r="D1022" s="13" t="s">
        <v>18884</v>
      </c>
    </row>
    <row r="1023" spans="1:4">
      <c r="A1023" s="13">
        <v>7260100230</v>
      </c>
      <c r="B1023" s="13" t="s">
        <v>18885</v>
      </c>
      <c r="C1023" s="13" t="s">
        <v>6</v>
      </c>
      <c r="D1023" s="13" t="s">
        <v>18886</v>
      </c>
    </row>
    <row r="1024" spans="1:4">
      <c r="A1024" s="13">
        <v>7260100240</v>
      </c>
      <c r="B1024" s="13" t="s">
        <v>18887</v>
      </c>
      <c r="C1024" s="13" t="s">
        <v>6</v>
      </c>
      <c r="D1024" s="13" t="s">
        <v>18888</v>
      </c>
    </row>
    <row r="1025" spans="1:4">
      <c r="A1025" s="13">
        <v>7260100250</v>
      </c>
      <c r="B1025" s="13" t="s">
        <v>18889</v>
      </c>
      <c r="C1025" s="13" t="s">
        <v>6</v>
      </c>
      <c r="D1025" s="13" t="s">
        <v>18890</v>
      </c>
    </row>
    <row r="1026" spans="1:4">
      <c r="A1026" s="13">
        <v>7260100260</v>
      </c>
      <c r="B1026" s="13" t="s">
        <v>18891</v>
      </c>
      <c r="C1026" s="13" t="s">
        <v>6</v>
      </c>
      <c r="D1026" s="13" t="s">
        <v>18892</v>
      </c>
    </row>
    <row r="1027" spans="1:4">
      <c r="A1027" s="13">
        <v>7260100270</v>
      </c>
      <c r="B1027" s="13" t="s">
        <v>18893</v>
      </c>
      <c r="C1027" s="13" t="s">
        <v>6</v>
      </c>
      <c r="D1027" s="13" t="s">
        <v>18894</v>
      </c>
    </row>
    <row r="1028" spans="1:4">
      <c r="A1028" s="13">
        <v>7260100280</v>
      </c>
      <c r="B1028" s="13" t="s">
        <v>18895</v>
      </c>
      <c r="C1028" s="13" t="s">
        <v>6</v>
      </c>
      <c r="D1028" s="13" t="s">
        <v>18896</v>
      </c>
    </row>
    <row r="1029" spans="1:4">
      <c r="A1029" s="13">
        <v>7260100290</v>
      </c>
      <c r="B1029" s="13" t="s">
        <v>18897</v>
      </c>
      <c r="C1029" s="13" t="s">
        <v>6</v>
      </c>
      <c r="D1029" s="13" t="s">
        <v>18898</v>
      </c>
    </row>
    <row r="1030" spans="1:4">
      <c r="A1030" s="13">
        <v>7260100300</v>
      </c>
      <c r="B1030" s="13" t="s">
        <v>18899</v>
      </c>
      <c r="C1030" s="13" t="s">
        <v>6</v>
      </c>
      <c r="D1030" s="13" t="s">
        <v>18900</v>
      </c>
    </row>
    <row r="1031" spans="1:4">
      <c r="A1031" s="13">
        <v>7260100310</v>
      </c>
      <c r="B1031" s="13" t="s">
        <v>18901</v>
      </c>
      <c r="C1031" s="13" t="s">
        <v>6</v>
      </c>
      <c r="D1031" s="13" t="s">
        <v>18902</v>
      </c>
    </row>
    <row r="1032" spans="1:4">
      <c r="A1032" s="13">
        <v>7260100320</v>
      </c>
      <c r="B1032" s="13" t="s">
        <v>18903</v>
      </c>
      <c r="C1032" s="13" t="s">
        <v>6</v>
      </c>
      <c r="D1032" s="13" t="s">
        <v>18904</v>
      </c>
    </row>
    <row r="1033" spans="1:4">
      <c r="A1033" s="13">
        <v>7260100330</v>
      </c>
      <c r="B1033" s="13" t="s">
        <v>18905</v>
      </c>
      <c r="C1033" s="13" t="s">
        <v>6</v>
      </c>
      <c r="D1033" s="13" t="s">
        <v>18906</v>
      </c>
    </row>
    <row r="1034" spans="1:4">
      <c r="A1034" s="13">
        <v>7260100340</v>
      </c>
      <c r="B1034" s="13" t="s">
        <v>18907</v>
      </c>
      <c r="C1034" s="13" t="s">
        <v>6</v>
      </c>
      <c r="D1034" s="13" t="s">
        <v>18908</v>
      </c>
    </row>
    <row r="1035" spans="1:4">
      <c r="A1035" s="13">
        <v>7260100350</v>
      </c>
      <c r="B1035" s="13" t="s">
        <v>18909</v>
      </c>
      <c r="C1035" s="13" t="s">
        <v>6</v>
      </c>
      <c r="D1035" s="13" t="s">
        <v>18910</v>
      </c>
    </row>
    <row r="1036" spans="1:4">
      <c r="A1036" s="13">
        <v>7260100360</v>
      </c>
      <c r="B1036" s="13" t="s">
        <v>18911</v>
      </c>
      <c r="C1036" s="13" t="s">
        <v>6</v>
      </c>
      <c r="D1036" s="13" t="s">
        <v>18912</v>
      </c>
    </row>
    <row r="1037" spans="1:4">
      <c r="A1037" s="13">
        <v>7260100370</v>
      </c>
      <c r="B1037" s="13" t="s">
        <v>18913</v>
      </c>
      <c r="C1037" s="13" t="s">
        <v>6</v>
      </c>
      <c r="D1037" s="13" t="s">
        <v>18914</v>
      </c>
    </row>
    <row r="1038" spans="1:4">
      <c r="A1038" s="13">
        <v>7260100380</v>
      </c>
      <c r="B1038" s="13" t="s">
        <v>18915</v>
      </c>
      <c r="C1038" s="13" t="s">
        <v>6</v>
      </c>
      <c r="D1038" s="13" t="s">
        <v>18916</v>
      </c>
    </row>
    <row r="1039" spans="1:4">
      <c r="A1039" s="13">
        <v>7260100390</v>
      </c>
      <c r="B1039" s="13" t="s">
        <v>18917</v>
      </c>
      <c r="C1039" s="13" t="s">
        <v>6</v>
      </c>
      <c r="D1039" s="13" t="s">
        <v>18918</v>
      </c>
    </row>
    <row r="1044" spans="1:4">
      <c r="A1044" s="13">
        <v>7260100400</v>
      </c>
      <c r="B1044" s="13" t="s">
        <v>18919</v>
      </c>
      <c r="C1044" s="13" t="s">
        <v>6</v>
      </c>
      <c r="D1044" s="13" t="s">
        <v>18920</v>
      </c>
    </row>
    <row r="1045" spans="1:4">
      <c r="A1045" s="13">
        <v>7260100410</v>
      </c>
      <c r="B1045" s="13" t="s">
        <v>18921</v>
      </c>
      <c r="C1045" s="13" t="s">
        <v>6</v>
      </c>
      <c r="D1045" s="13" t="s">
        <v>18922</v>
      </c>
    </row>
    <row r="1046" spans="1:4">
      <c r="A1046" s="13">
        <v>7260100420</v>
      </c>
      <c r="B1046" s="13" t="s">
        <v>18923</v>
      </c>
      <c r="C1046" s="13" t="s">
        <v>6</v>
      </c>
      <c r="D1046" s="13" t="s">
        <v>18924</v>
      </c>
    </row>
    <row r="1047" spans="1:4">
      <c r="A1047" s="13">
        <v>7260100430</v>
      </c>
      <c r="B1047" s="13" t="s">
        <v>18925</v>
      </c>
      <c r="C1047" s="13" t="s">
        <v>6</v>
      </c>
      <c r="D1047" s="13" t="s">
        <v>18926</v>
      </c>
    </row>
    <row r="1048" spans="1:4">
      <c r="A1048" s="13">
        <v>7260100440</v>
      </c>
      <c r="B1048" s="13" t="s">
        <v>18927</v>
      </c>
      <c r="C1048" s="13" t="s">
        <v>6</v>
      </c>
      <c r="D1048" s="13" t="s">
        <v>18928</v>
      </c>
    </row>
    <row r="1049" spans="1:4">
      <c r="A1049" s="13">
        <v>7260100450</v>
      </c>
      <c r="B1049" s="13" t="s">
        <v>18929</v>
      </c>
      <c r="C1049" s="13" t="s">
        <v>6</v>
      </c>
      <c r="D1049" s="27" t="s">
        <v>18930</v>
      </c>
    </row>
    <row r="1050" spans="1:4">
      <c r="A1050" s="13">
        <v>7260100460</v>
      </c>
      <c r="B1050" s="13" t="s">
        <v>18931</v>
      </c>
      <c r="C1050" s="13" t="s">
        <v>6</v>
      </c>
      <c r="D1050" s="27" t="s">
        <v>18932</v>
      </c>
    </row>
    <row r="1051" spans="1:4">
      <c r="A1051" s="13">
        <v>7260100470</v>
      </c>
      <c r="B1051" s="13" t="s">
        <v>18933</v>
      </c>
      <c r="C1051" s="13" t="s">
        <v>6</v>
      </c>
      <c r="D1051" s="13" t="s">
        <v>18934</v>
      </c>
    </row>
    <row r="1052" spans="1:4">
      <c r="A1052" s="13">
        <v>7260100480</v>
      </c>
      <c r="B1052" s="13" t="s">
        <v>18935</v>
      </c>
      <c r="C1052" s="13" t="s">
        <v>6</v>
      </c>
      <c r="D1052" s="13" t="s">
        <v>18936</v>
      </c>
    </row>
    <row r="1053" spans="1:4">
      <c r="A1053" s="13">
        <v>7260100490</v>
      </c>
      <c r="B1053" s="13" t="s">
        <v>18937</v>
      </c>
      <c r="C1053" s="13" t="s">
        <v>6</v>
      </c>
      <c r="D1053" s="13" t="s">
        <v>18938</v>
      </c>
    </row>
    <row r="1054" spans="1:4">
      <c r="A1054" s="13">
        <v>7260100500</v>
      </c>
      <c r="B1054" s="13" t="s">
        <v>18939</v>
      </c>
      <c r="C1054" s="13" t="s">
        <v>6</v>
      </c>
      <c r="D1054" s="13" t="s">
        <v>18940</v>
      </c>
    </row>
    <row r="1055" spans="1:4">
      <c r="A1055" s="13">
        <v>7260100510</v>
      </c>
      <c r="B1055" s="13" t="s">
        <v>18941</v>
      </c>
      <c r="C1055" s="13" t="s">
        <v>6</v>
      </c>
      <c r="D1055" s="13" t="s">
        <v>18942</v>
      </c>
    </row>
    <row r="1056" spans="1:4">
      <c r="A1056" s="13">
        <v>7260100520</v>
      </c>
      <c r="B1056" s="13" t="s">
        <v>18943</v>
      </c>
      <c r="C1056" s="13" t="s">
        <v>6</v>
      </c>
      <c r="D1056" s="13" t="s">
        <v>18944</v>
      </c>
    </row>
    <row r="1057" spans="1:4">
      <c r="A1057" s="13">
        <v>7260100530</v>
      </c>
      <c r="B1057" s="13" t="s">
        <v>18945</v>
      </c>
      <c r="C1057" s="13" t="s">
        <v>6</v>
      </c>
      <c r="D1057" s="13" t="s">
        <v>18946</v>
      </c>
    </row>
    <row r="1058" spans="1:4">
      <c r="A1058" s="13">
        <v>7260100540</v>
      </c>
      <c r="B1058" s="13" t="s">
        <v>18947</v>
      </c>
      <c r="C1058" s="13" t="s">
        <v>6</v>
      </c>
      <c r="D1058" s="13" t="s">
        <v>18948</v>
      </c>
    </row>
    <row r="1059" spans="1:4">
      <c r="A1059" s="13">
        <v>7260100550</v>
      </c>
      <c r="B1059" s="13" t="s">
        <v>18949</v>
      </c>
      <c r="C1059" s="13" t="s">
        <v>6</v>
      </c>
      <c r="D1059" s="13" t="s">
        <v>18950</v>
      </c>
    </row>
    <row r="1060" spans="1:4">
      <c r="A1060" s="13">
        <v>7260100560</v>
      </c>
      <c r="B1060" s="13" t="s">
        <v>18951</v>
      </c>
      <c r="C1060" s="13" t="s">
        <v>6</v>
      </c>
      <c r="D1060" s="13" t="s">
        <v>18952</v>
      </c>
    </row>
    <row r="1061" spans="1:4">
      <c r="A1061" s="13">
        <v>7260100570</v>
      </c>
      <c r="B1061" s="13" t="s">
        <v>18953</v>
      </c>
      <c r="C1061" s="13" t="s">
        <v>6</v>
      </c>
      <c r="D1061" s="13" t="s">
        <v>18954</v>
      </c>
    </row>
    <row r="1062" spans="1:4">
      <c r="A1062" s="13">
        <v>7260100580</v>
      </c>
      <c r="B1062" s="13" t="s">
        <v>18955</v>
      </c>
      <c r="C1062" s="13" t="s">
        <v>6</v>
      </c>
      <c r="D1062" s="13" t="s">
        <v>18956</v>
      </c>
    </row>
    <row r="1063" spans="1:4">
      <c r="A1063" s="13">
        <v>7260100590</v>
      </c>
      <c r="B1063" s="13" t="s">
        <v>18957</v>
      </c>
      <c r="C1063" s="13" t="s">
        <v>6</v>
      </c>
      <c r="D1063" s="13" t="s">
        <v>18958</v>
      </c>
    </row>
    <row r="1064" spans="1:4">
      <c r="A1064" s="13">
        <v>7260100600</v>
      </c>
      <c r="B1064" s="13" t="s">
        <v>18959</v>
      </c>
      <c r="C1064" s="13" t="s">
        <v>6</v>
      </c>
      <c r="D1064" s="13" t="s">
        <v>18960</v>
      </c>
    </row>
    <row r="1065" spans="1:4">
      <c r="A1065" s="13">
        <v>7260100610</v>
      </c>
      <c r="B1065" s="13" t="s">
        <v>18961</v>
      </c>
      <c r="C1065" s="13" t="s">
        <v>6</v>
      </c>
      <c r="D1065" s="13" t="s">
        <v>18962</v>
      </c>
    </row>
    <row r="1066" spans="1:4">
      <c r="A1066" s="13">
        <v>7260100620</v>
      </c>
      <c r="B1066" s="13" t="s">
        <v>18963</v>
      </c>
      <c r="C1066" s="13" t="s">
        <v>6</v>
      </c>
      <c r="D1066" s="13" t="s">
        <v>18964</v>
      </c>
    </row>
    <row r="1067" spans="1:4">
      <c r="A1067" s="13">
        <v>7260100630</v>
      </c>
      <c r="B1067" s="13" t="s">
        <v>18965</v>
      </c>
      <c r="C1067" s="13" t="s">
        <v>6</v>
      </c>
      <c r="D1067" s="13" t="s">
        <v>18966</v>
      </c>
    </row>
    <row r="1068" spans="1:4">
      <c r="A1068" s="13">
        <v>7260100640</v>
      </c>
      <c r="B1068" s="13" t="s">
        <v>18967</v>
      </c>
      <c r="C1068" s="13" t="s">
        <v>6</v>
      </c>
      <c r="D1068" s="13" t="s">
        <v>18968</v>
      </c>
    </row>
    <row r="1069" spans="1:4">
      <c r="A1069" s="13">
        <v>7260100650</v>
      </c>
      <c r="B1069" s="13" t="s">
        <v>18969</v>
      </c>
      <c r="C1069" s="13" t="s">
        <v>6</v>
      </c>
      <c r="D1069" s="13" t="s">
        <v>18970</v>
      </c>
    </row>
    <row r="1070" spans="1:4">
      <c r="A1070" s="13">
        <v>7260100660</v>
      </c>
      <c r="B1070" s="13" t="s">
        <v>18971</v>
      </c>
      <c r="C1070" s="13" t="s">
        <v>6</v>
      </c>
      <c r="D1070" s="13" t="s">
        <v>6436</v>
      </c>
    </row>
    <row r="1071" spans="1:4">
      <c r="A1071" s="13">
        <v>7260100670</v>
      </c>
      <c r="B1071" s="13" t="s">
        <v>18972</v>
      </c>
      <c r="C1071" s="13" t="s">
        <v>6</v>
      </c>
      <c r="D1071" s="13" t="s">
        <v>18973</v>
      </c>
    </row>
    <row r="1072" spans="1:4">
      <c r="A1072" s="13">
        <v>7260100680</v>
      </c>
      <c r="B1072" s="13" t="s">
        <v>18974</v>
      </c>
      <c r="C1072" s="13" t="s">
        <v>6</v>
      </c>
      <c r="D1072" s="13" t="s">
        <v>18975</v>
      </c>
    </row>
    <row r="1073" spans="1:4">
      <c r="A1073" s="13">
        <v>7260100690</v>
      </c>
      <c r="B1073" s="13" t="s">
        <v>18976</v>
      </c>
      <c r="C1073" s="13" t="s">
        <v>6</v>
      </c>
      <c r="D1073" s="13" t="s">
        <v>18977</v>
      </c>
    </row>
    <row r="1074" spans="1:4">
      <c r="A1074" s="13">
        <v>7260100700</v>
      </c>
      <c r="B1074" s="13" t="s">
        <v>18978</v>
      </c>
      <c r="C1074" s="13" t="s">
        <v>6</v>
      </c>
      <c r="D1074" s="13" t="s">
        <v>18979</v>
      </c>
    </row>
    <row r="1075" spans="1:4">
      <c r="A1075" s="13">
        <v>7260100710</v>
      </c>
      <c r="B1075" s="13" t="s">
        <v>18980</v>
      </c>
      <c r="C1075" s="13" t="s">
        <v>6</v>
      </c>
      <c r="D1075" s="13" t="s">
        <v>18981</v>
      </c>
    </row>
    <row r="1076" spans="1:4">
      <c r="A1076" s="13">
        <v>7260100720</v>
      </c>
      <c r="B1076" s="13" t="s">
        <v>18982</v>
      </c>
      <c r="C1076" s="13" t="s">
        <v>6</v>
      </c>
      <c r="D1076" s="13" t="s">
        <v>18983</v>
      </c>
    </row>
    <row r="1077" spans="1:4">
      <c r="A1077" s="13">
        <v>7260100730</v>
      </c>
      <c r="B1077" s="13" t="s">
        <v>18984</v>
      </c>
      <c r="C1077" s="13" t="s">
        <v>6</v>
      </c>
      <c r="D1077" s="13" t="s">
        <v>18985</v>
      </c>
    </row>
    <row r="1078" spans="1:4">
      <c r="A1078" s="13">
        <v>7260100740</v>
      </c>
      <c r="B1078" s="13" t="s">
        <v>18986</v>
      </c>
      <c r="C1078" s="13" t="s">
        <v>6</v>
      </c>
      <c r="D1078" s="13" t="s">
        <v>18987</v>
      </c>
    </row>
    <row r="1079" spans="1:4">
      <c r="A1079" s="13">
        <v>7260100750</v>
      </c>
      <c r="B1079" s="13" t="s">
        <v>18988</v>
      </c>
      <c r="C1079" s="13" t="s">
        <v>6</v>
      </c>
      <c r="D1079" s="13" t="s">
        <v>18989</v>
      </c>
    </row>
    <row r="1080" spans="1:4">
      <c r="A1080" s="13">
        <v>7260100760</v>
      </c>
      <c r="B1080" s="13" t="s">
        <v>18990</v>
      </c>
      <c r="C1080" s="13" t="s">
        <v>6</v>
      </c>
      <c r="D1080" s="13" t="s">
        <v>18991</v>
      </c>
    </row>
    <row r="1081" spans="1:4">
      <c r="A1081" s="13">
        <v>7260100770</v>
      </c>
      <c r="B1081" s="13" t="s">
        <v>18992</v>
      </c>
      <c r="C1081" s="13" t="s">
        <v>6</v>
      </c>
      <c r="D1081" s="13" t="s">
        <v>18993</v>
      </c>
    </row>
    <row r="1082" spans="1:4">
      <c r="A1082" s="13">
        <v>7260100780</v>
      </c>
      <c r="B1082" s="13" t="s">
        <v>18994</v>
      </c>
      <c r="C1082" s="13" t="s">
        <v>6</v>
      </c>
      <c r="D1082" s="13" t="s">
        <v>18995</v>
      </c>
    </row>
    <row r="1083" spans="1:4">
      <c r="A1083" s="13">
        <v>7260100790</v>
      </c>
      <c r="B1083" s="13" t="s">
        <v>18996</v>
      </c>
      <c r="C1083" s="13" t="s">
        <v>6</v>
      </c>
      <c r="D1083" s="13" t="s">
        <v>18997</v>
      </c>
    </row>
    <row r="1084" spans="1:4">
      <c r="A1084" s="13">
        <v>7260100800</v>
      </c>
      <c r="B1084" s="13" t="s">
        <v>18998</v>
      </c>
      <c r="C1084" s="13" t="s">
        <v>6</v>
      </c>
      <c r="D1084" s="13" t="s">
        <v>18999</v>
      </c>
    </row>
    <row r="1085" spans="1:4">
      <c r="A1085" s="13">
        <v>7260100810</v>
      </c>
      <c r="B1085" s="13" t="s">
        <v>19000</v>
      </c>
      <c r="C1085" s="13" t="s">
        <v>6</v>
      </c>
      <c r="D1085" s="13" t="s">
        <v>19001</v>
      </c>
    </row>
    <row r="1086" spans="1:4">
      <c r="A1086" s="13">
        <v>7260100820</v>
      </c>
      <c r="B1086" s="13" t="s">
        <v>19002</v>
      </c>
      <c r="C1086" s="13" t="s">
        <v>6</v>
      </c>
      <c r="D1086" s="13" t="s">
        <v>19003</v>
      </c>
    </row>
    <row r="1087" spans="1:4">
      <c r="A1087" s="13">
        <v>7260100830</v>
      </c>
      <c r="B1087" s="13" t="s">
        <v>19004</v>
      </c>
      <c r="C1087" s="13" t="s">
        <v>6</v>
      </c>
      <c r="D1087" s="13" t="s">
        <v>19005</v>
      </c>
    </row>
    <row r="1088" spans="1:4">
      <c r="A1088" s="13">
        <v>7260100840</v>
      </c>
      <c r="B1088" s="13" t="s">
        <v>19006</v>
      </c>
      <c r="C1088" s="13" t="s">
        <v>6</v>
      </c>
      <c r="D1088" s="13" t="s">
        <v>19007</v>
      </c>
    </row>
    <row r="1089" spans="1:4">
      <c r="A1089" s="13">
        <v>7260100850</v>
      </c>
      <c r="B1089" s="13" t="s">
        <v>19008</v>
      </c>
      <c r="C1089" s="13" t="s">
        <v>6</v>
      </c>
      <c r="D1089" s="13" t="s">
        <v>2512</v>
      </c>
    </row>
    <row r="1090" spans="1:4">
      <c r="A1090" s="13">
        <v>7260100860</v>
      </c>
      <c r="B1090" s="13" t="s">
        <v>19009</v>
      </c>
      <c r="C1090" s="13" t="s">
        <v>6</v>
      </c>
      <c r="D1090" s="13" t="s">
        <v>19010</v>
      </c>
    </row>
    <row r="1091" spans="1:4">
      <c r="A1091" s="13">
        <v>7260100870</v>
      </c>
      <c r="B1091" s="13" t="s">
        <v>19011</v>
      </c>
      <c r="C1091" s="13" t="s">
        <v>6</v>
      </c>
      <c r="D1091" s="13" t="s">
        <v>19012</v>
      </c>
    </row>
    <row r="1096" spans="1:4">
      <c r="A1096" s="13">
        <v>7260100880</v>
      </c>
      <c r="B1096" s="13" t="s">
        <v>19013</v>
      </c>
      <c r="C1096" s="13" t="s">
        <v>6</v>
      </c>
      <c r="D1096" s="13" t="s">
        <v>19014</v>
      </c>
    </row>
    <row r="1097" spans="1:4">
      <c r="A1097" s="13">
        <v>7260100890</v>
      </c>
      <c r="B1097" s="13" t="s">
        <v>19015</v>
      </c>
      <c r="C1097" s="13" t="s">
        <v>6</v>
      </c>
      <c r="D1097" s="13" t="s">
        <v>19016</v>
      </c>
    </row>
    <row r="1098" spans="1:4">
      <c r="A1098" s="13">
        <v>7260100900</v>
      </c>
      <c r="B1098" s="13" t="s">
        <v>19017</v>
      </c>
      <c r="C1098" s="13" t="s">
        <v>6</v>
      </c>
      <c r="D1098" s="13" t="s">
        <v>19018</v>
      </c>
    </row>
    <row r="1099" spans="1:4">
      <c r="A1099" s="13">
        <v>7260100910</v>
      </c>
      <c r="B1099" s="13" t="s">
        <v>19019</v>
      </c>
      <c r="C1099" s="13" t="s">
        <v>6</v>
      </c>
      <c r="D1099" s="13" t="s">
        <v>19020</v>
      </c>
    </row>
    <row r="1100" spans="1:4">
      <c r="A1100" s="13">
        <v>7260100920</v>
      </c>
      <c r="B1100" s="13" t="s">
        <v>19021</v>
      </c>
      <c r="C1100" s="13" t="s">
        <v>6</v>
      </c>
      <c r="D1100" s="13" t="s">
        <v>19022</v>
      </c>
    </row>
    <row r="1101" spans="1:4">
      <c r="A1101" s="13">
        <v>7260100930</v>
      </c>
      <c r="B1101" s="13" t="s">
        <v>19023</v>
      </c>
      <c r="C1101" s="13" t="s">
        <v>6</v>
      </c>
      <c r="D1101" s="13" t="s">
        <v>19024</v>
      </c>
    </row>
    <row r="1102" spans="1:4">
      <c r="A1102" s="13">
        <v>7260100940</v>
      </c>
      <c r="B1102" s="13" t="s">
        <v>19025</v>
      </c>
      <c r="C1102" s="13" t="s">
        <v>6</v>
      </c>
      <c r="D1102" s="13" t="s">
        <v>19026</v>
      </c>
    </row>
    <row r="1103" spans="1:4">
      <c r="A1103" s="13">
        <v>7260100950</v>
      </c>
      <c r="B1103" s="13" t="s">
        <v>19027</v>
      </c>
      <c r="C1103" s="13" t="s">
        <v>6</v>
      </c>
      <c r="D1103" s="13" t="s">
        <v>19028</v>
      </c>
    </row>
    <row r="1104" spans="1:4">
      <c r="A1104" s="13">
        <v>7260100960</v>
      </c>
      <c r="B1104" s="13" t="s">
        <v>19029</v>
      </c>
      <c r="C1104" s="13" t="s">
        <v>6</v>
      </c>
      <c r="D1104" s="13" t="s">
        <v>6542</v>
      </c>
    </row>
    <row r="1105" spans="1:4">
      <c r="A1105" s="13">
        <v>7260100970</v>
      </c>
      <c r="B1105" s="13" t="s">
        <v>19030</v>
      </c>
      <c r="C1105" s="13" t="s">
        <v>6</v>
      </c>
      <c r="D1105" s="13" t="s">
        <v>19031</v>
      </c>
    </row>
    <row r="1106" spans="1:4">
      <c r="A1106" s="13">
        <v>7260100980</v>
      </c>
      <c r="B1106" s="13" t="s">
        <v>19032</v>
      </c>
      <c r="C1106" s="13" t="s">
        <v>6</v>
      </c>
      <c r="D1106" s="13" t="s">
        <v>19033</v>
      </c>
    </row>
    <row r="1107" spans="1:4">
      <c r="A1107" s="13">
        <v>7260100990</v>
      </c>
      <c r="B1107" s="13" t="s">
        <v>19034</v>
      </c>
      <c r="C1107" s="13" t="s">
        <v>6</v>
      </c>
      <c r="D1107" s="27" t="s">
        <v>19035</v>
      </c>
    </row>
    <row r="1108" spans="1:4">
      <c r="A1108" s="13">
        <v>7260101000</v>
      </c>
      <c r="B1108" s="13" t="s">
        <v>19036</v>
      </c>
      <c r="C1108" s="13" t="s">
        <v>6</v>
      </c>
      <c r="D1108" s="27" t="s">
        <v>19037</v>
      </c>
    </row>
    <row r="1109" spans="1:4">
      <c r="A1109" s="13">
        <v>7260101010</v>
      </c>
      <c r="B1109" s="13" t="s">
        <v>19038</v>
      </c>
      <c r="C1109" s="13" t="s">
        <v>6</v>
      </c>
      <c r="D1109" s="13" t="s">
        <v>19039</v>
      </c>
    </row>
    <row r="1110" spans="1:4">
      <c r="A1110" s="13">
        <v>7260101020</v>
      </c>
      <c r="B1110" s="13" t="s">
        <v>19040</v>
      </c>
      <c r="C1110" s="13" t="s">
        <v>6</v>
      </c>
      <c r="D1110" s="13" t="s">
        <v>19041</v>
      </c>
    </row>
    <row r="1111" spans="1:4">
      <c r="A1111" s="13">
        <v>7260101030</v>
      </c>
      <c r="B1111" s="13" t="s">
        <v>19042</v>
      </c>
      <c r="C1111" s="13" t="s">
        <v>6</v>
      </c>
      <c r="D1111" s="13" t="s">
        <v>19043</v>
      </c>
    </row>
    <row r="1112" spans="1:4">
      <c r="A1112" s="13">
        <v>7260101040</v>
      </c>
      <c r="B1112" s="13" t="s">
        <v>19044</v>
      </c>
      <c r="C1112" s="13" t="s">
        <v>6</v>
      </c>
      <c r="D1112" s="13" t="s">
        <v>19045</v>
      </c>
    </row>
    <row r="1113" spans="1:4">
      <c r="A1113" s="13">
        <v>7260101050</v>
      </c>
      <c r="B1113" s="13" t="s">
        <v>19046</v>
      </c>
      <c r="C1113" s="13" t="s">
        <v>6</v>
      </c>
      <c r="D1113" s="13" t="s">
        <v>19047</v>
      </c>
    </row>
    <row r="1114" spans="1:4">
      <c r="A1114" s="13">
        <v>7260101060</v>
      </c>
      <c r="B1114" s="13" t="s">
        <v>19048</v>
      </c>
      <c r="C1114" s="13" t="s">
        <v>6</v>
      </c>
      <c r="D1114" s="13" t="s">
        <v>19049</v>
      </c>
    </row>
    <row r="1115" spans="1:4">
      <c r="A1115" s="13">
        <v>7260101070</v>
      </c>
      <c r="B1115" s="13" t="s">
        <v>19050</v>
      </c>
      <c r="C1115" s="13" t="s">
        <v>6</v>
      </c>
      <c r="D1115" s="13" t="s">
        <v>19051</v>
      </c>
    </row>
    <row r="1116" spans="1:4">
      <c r="A1116" s="13">
        <v>7260101080</v>
      </c>
      <c r="B1116" s="13" t="s">
        <v>19052</v>
      </c>
      <c r="C1116" s="13" t="s">
        <v>6</v>
      </c>
      <c r="D1116" s="13" t="s">
        <v>19053</v>
      </c>
    </row>
    <row r="1117" spans="1:4">
      <c r="A1117" s="13">
        <v>7260101090</v>
      </c>
      <c r="B1117" s="13" t="s">
        <v>19054</v>
      </c>
      <c r="C1117" s="13" t="s">
        <v>6</v>
      </c>
      <c r="D1117" s="13" t="s">
        <v>19055</v>
      </c>
    </row>
    <row r="1118" spans="1:4">
      <c r="A1118" s="13">
        <v>7260101100</v>
      </c>
      <c r="B1118" s="13" t="s">
        <v>19056</v>
      </c>
      <c r="C1118" s="13" t="s">
        <v>6</v>
      </c>
      <c r="D1118" s="13" t="s">
        <v>19057</v>
      </c>
    </row>
    <row r="1119" spans="1:4">
      <c r="A1119" s="13">
        <v>7260101110</v>
      </c>
      <c r="B1119" s="13" t="s">
        <v>19058</v>
      </c>
      <c r="C1119" s="13" t="s">
        <v>6</v>
      </c>
      <c r="D1119" s="13" t="s">
        <v>19059</v>
      </c>
    </row>
    <row r="1120" spans="1:4">
      <c r="A1120" s="13">
        <v>7260101120</v>
      </c>
      <c r="B1120" s="13" t="s">
        <v>19060</v>
      </c>
      <c r="C1120" s="13" t="s">
        <v>6</v>
      </c>
      <c r="D1120" s="13" t="s">
        <v>19061</v>
      </c>
    </row>
    <row r="1121" spans="1:4">
      <c r="A1121" s="13">
        <v>7260101130</v>
      </c>
      <c r="B1121" s="13" t="s">
        <v>19062</v>
      </c>
      <c r="C1121" s="13" t="s">
        <v>6</v>
      </c>
      <c r="D1121" s="13" t="s">
        <v>19063</v>
      </c>
    </row>
    <row r="1122" spans="1:4">
      <c r="A1122" s="13">
        <v>7260101140</v>
      </c>
      <c r="B1122" s="13" t="s">
        <v>19064</v>
      </c>
      <c r="C1122" s="13" t="s">
        <v>6</v>
      </c>
      <c r="D1122" s="13" t="s">
        <v>19065</v>
      </c>
    </row>
    <row r="1123" spans="1:4">
      <c r="A1123" s="13">
        <v>7260101150</v>
      </c>
      <c r="B1123" s="13" t="s">
        <v>19066</v>
      </c>
      <c r="C1123" s="13" t="s">
        <v>6</v>
      </c>
      <c r="D1123" s="13" t="s">
        <v>19067</v>
      </c>
    </row>
    <row r="1124" spans="1:4">
      <c r="A1124" s="13">
        <v>7260101160</v>
      </c>
      <c r="B1124" s="13" t="s">
        <v>19068</v>
      </c>
      <c r="C1124" s="13" t="s">
        <v>6</v>
      </c>
      <c r="D1124" s="13" t="s">
        <v>19069</v>
      </c>
    </row>
    <row r="1125" spans="1:4">
      <c r="A1125" s="13">
        <v>7260101170</v>
      </c>
      <c r="B1125" s="13" t="s">
        <v>19070</v>
      </c>
      <c r="C1125" s="13" t="s">
        <v>6</v>
      </c>
      <c r="D1125" s="13" t="s">
        <v>19071</v>
      </c>
    </row>
    <row r="1126" spans="1:4">
      <c r="A1126" s="13">
        <v>7260101180</v>
      </c>
      <c r="B1126" s="13" t="s">
        <v>19072</v>
      </c>
      <c r="C1126" s="13" t="s">
        <v>6</v>
      </c>
      <c r="D1126" s="13" t="s">
        <v>19073</v>
      </c>
    </row>
    <row r="1127" spans="1:4">
      <c r="A1127" s="13">
        <v>7260101190</v>
      </c>
      <c r="B1127" s="13" t="s">
        <v>19074</v>
      </c>
      <c r="C1127" s="13" t="s">
        <v>6</v>
      </c>
      <c r="D1127" s="13" t="s">
        <v>19075</v>
      </c>
    </row>
    <row r="1128" spans="1:4">
      <c r="A1128" s="13">
        <v>7260101200</v>
      </c>
      <c r="B1128" s="13" t="s">
        <v>19076</v>
      </c>
      <c r="C1128" s="13" t="s">
        <v>6</v>
      </c>
      <c r="D1128" s="13" t="s">
        <v>19077</v>
      </c>
    </row>
    <row r="1129" spans="1:4">
      <c r="A1129" s="13">
        <v>7260101210</v>
      </c>
      <c r="B1129" s="13" t="s">
        <v>19078</v>
      </c>
      <c r="C1129" s="13" t="s">
        <v>6</v>
      </c>
      <c r="D1129" s="13" t="s">
        <v>19079</v>
      </c>
    </row>
    <row r="1130" spans="1:4">
      <c r="A1130" s="13">
        <v>7260101220</v>
      </c>
      <c r="B1130" s="13" t="s">
        <v>19080</v>
      </c>
      <c r="C1130" s="13" t="s">
        <v>6</v>
      </c>
      <c r="D1130" s="13" t="s">
        <v>19081</v>
      </c>
    </row>
    <row r="1131" spans="1:4">
      <c r="A1131" s="13">
        <v>7260101230</v>
      </c>
      <c r="B1131" s="13" t="s">
        <v>19082</v>
      </c>
      <c r="C1131" s="13" t="s">
        <v>6</v>
      </c>
      <c r="D1131" s="13" t="s">
        <v>19083</v>
      </c>
    </row>
    <row r="1132" spans="1:4">
      <c r="A1132" s="13">
        <v>7260101240</v>
      </c>
      <c r="B1132" s="13" t="s">
        <v>19084</v>
      </c>
      <c r="C1132" s="13" t="s">
        <v>6</v>
      </c>
      <c r="D1132" s="13" t="s">
        <v>19085</v>
      </c>
    </row>
    <row r="1133" spans="1:4">
      <c r="A1133" s="13">
        <v>7260101250</v>
      </c>
      <c r="B1133" s="13" t="s">
        <v>19086</v>
      </c>
      <c r="C1133" s="13" t="s">
        <v>6</v>
      </c>
      <c r="D1133" s="13" t="s">
        <v>19087</v>
      </c>
    </row>
    <row r="1134" spans="1:4">
      <c r="A1134" s="13">
        <v>7260101260</v>
      </c>
      <c r="B1134" s="13" t="s">
        <v>19088</v>
      </c>
      <c r="C1134" s="13" t="s">
        <v>6</v>
      </c>
      <c r="D1134" s="13" t="s">
        <v>19089</v>
      </c>
    </row>
    <row r="1135" spans="1:4">
      <c r="A1135" s="13">
        <v>7260101270</v>
      </c>
      <c r="B1135" s="13" t="s">
        <v>19090</v>
      </c>
      <c r="C1135" s="13" t="s">
        <v>6</v>
      </c>
      <c r="D1135" s="13" t="s">
        <v>19091</v>
      </c>
    </row>
    <row r="1136" spans="1:4">
      <c r="A1136" s="13">
        <v>7260101280</v>
      </c>
      <c r="B1136" s="13" t="s">
        <v>19092</v>
      </c>
      <c r="C1136" s="13" t="s">
        <v>6</v>
      </c>
      <c r="D1136" s="13" t="s">
        <v>19093</v>
      </c>
    </row>
    <row r="1137" spans="1:4">
      <c r="A1137" s="13">
        <v>7260101290</v>
      </c>
      <c r="B1137" s="13" t="s">
        <v>19094</v>
      </c>
      <c r="C1137" s="13" t="s">
        <v>6</v>
      </c>
      <c r="D1137" s="13" t="s">
        <v>19095</v>
      </c>
    </row>
    <row r="1138" spans="1:4">
      <c r="A1138" s="13">
        <v>7260101300</v>
      </c>
      <c r="B1138" s="13" t="s">
        <v>19096</v>
      </c>
      <c r="C1138" s="13" t="s">
        <v>6</v>
      </c>
      <c r="D1138" s="13" t="s">
        <v>19097</v>
      </c>
    </row>
    <row r="1139" spans="1:4">
      <c r="A1139" s="13">
        <v>7260101310</v>
      </c>
      <c r="B1139" s="13" t="s">
        <v>19098</v>
      </c>
      <c r="C1139" s="13" t="s">
        <v>6</v>
      </c>
      <c r="D1139" s="13" t="s">
        <v>19099</v>
      </c>
    </row>
    <row r="1140" spans="1:4">
      <c r="A1140" s="13">
        <v>7260101320</v>
      </c>
      <c r="B1140" s="13" t="s">
        <v>19100</v>
      </c>
      <c r="C1140" s="13" t="s">
        <v>6</v>
      </c>
      <c r="D1140" s="13" t="s">
        <v>19101</v>
      </c>
    </row>
    <row r="1141" spans="1:4">
      <c r="A1141" s="13">
        <v>7260101330</v>
      </c>
      <c r="B1141" s="13" t="s">
        <v>19102</v>
      </c>
      <c r="C1141" s="13" t="s">
        <v>6</v>
      </c>
      <c r="D1141" s="13" t="s">
        <v>19103</v>
      </c>
    </row>
    <row r="1142" spans="1:4">
      <c r="A1142" s="13">
        <v>7260101340</v>
      </c>
      <c r="B1142" s="13" t="s">
        <v>19104</v>
      </c>
      <c r="C1142" s="13" t="s">
        <v>6</v>
      </c>
      <c r="D1142" s="13" t="s">
        <v>19105</v>
      </c>
    </row>
    <row r="1143" spans="1:4">
      <c r="A1143" s="13">
        <v>7260101350</v>
      </c>
      <c r="B1143" s="13" t="s">
        <v>19106</v>
      </c>
      <c r="C1143" s="13" t="s">
        <v>6</v>
      </c>
      <c r="D1143" s="13" t="s">
        <v>19107</v>
      </c>
    </row>
    <row r="1148" spans="1:4">
      <c r="A1148" s="13">
        <v>7260101360</v>
      </c>
      <c r="B1148" s="13" t="s">
        <v>19108</v>
      </c>
      <c r="C1148" s="13" t="s">
        <v>6</v>
      </c>
      <c r="D1148" s="13" t="s">
        <v>19109</v>
      </c>
    </row>
    <row r="1149" spans="1:4">
      <c r="A1149" s="13">
        <v>7260101370</v>
      </c>
      <c r="B1149" s="13" t="s">
        <v>19110</v>
      </c>
      <c r="C1149" s="13" t="s">
        <v>6</v>
      </c>
      <c r="D1149" s="13" t="s">
        <v>19111</v>
      </c>
    </row>
    <row r="1150" spans="1:4">
      <c r="A1150" s="13">
        <v>7260101380</v>
      </c>
      <c r="B1150" s="13" t="s">
        <v>19112</v>
      </c>
      <c r="C1150" s="13" t="s">
        <v>6</v>
      </c>
      <c r="D1150" s="13" t="s">
        <v>19113</v>
      </c>
    </row>
    <row r="1151" spans="1:4">
      <c r="A1151" s="13">
        <v>7260101390</v>
      </c>
      <c r="B1151" s="13" t="s">
        <v>19114</v>
      </c>
      <c r="C1151" s="13" t="s">
        <v>6</v>
      </c>
      <c r="D1151" s="13" t="s">
        <v>19115</v>
      </c>
    </row>
    <row r="1152" spans="1:4">
      <c r="A1152" s="13">
        <v>7260101400</v>
      </c>
      <c r="B1152" s="13" t="s">
        <v>19116</v>
      </c>
      <c r="C1152" s="13" t="s">
        <v>6</v>
      </c>
      <c r="D1152" s="13" t="s">
        <v>19117</v>
      </c>
    </row>
    <row r="1153" spans="1:4">
      <c r="A1153" s="13">
        <v>7260101410</v>
      </c>
      <c r="B1153" s="13" t="s">
        <v>19118</v>
      </c>
      <c r="C1153" s="13" t="s">
        <v>6</v>
      </c>
      <c r="D1153" s="13" t="s">
        <v>19119</v>
      </c>
    </row>
    <row r="1154" spans="1:4">
      <c r="A1154" s="13">
        <v>7260101420</v>
      </c>
      <c r="B1154" s="13" t="s">
        <v>19120</v>
      </c>
      <c r="C1154" s="13" t="s">
        <v>6</v>
      </c>
      <c r="D1154" s="13" t="s">
        <v>19121</v>
      </c>
    </row>
    <row r="1155" spans="1:4">
      <c r="A1155" s="13">
        <v>7260101430</v>
      </c>
      <c r="B1155" s="13" t="s">
        <v>19122</v>
      </c>
      <c r="C1155" s="13" t="s">
        <v>6</v>
      </c>
      <c r="D1155" s="13" t="s">
        <v>19123</v>
      </c>
    </row>
    <row r="1156" spans="1:4">
      <c r="A1156" s="13">
        <v>7260101440</v>
      </c>
      <c r="B1156" s="13" t="s">
        <v>19124</v>
      </c>
      <c r="C1156" s="13" t="s">
        <v>6</v>
      </c>
      <c r="D1156" s="13" t="s">
        <v>19125</v>
      </c>
    </row>
    <row r="1157" spans="1:4">
      <c r="A1157" s="13">
        <v>7260101450</v>
      </c>
      <c r="B1157" s="13" t="s">
        <v>19126</v>
      </c>
      <c r="C1157" s="13" t="s">
        <v>6</v>
      </c>
      <c r="D1157" s="13" t="s">
        <v>19127</v>
      </c>
    </row>
    <row r="1158" spans="1:4">
      <c r="A1158" s="13">
        <v>7260101460</v>
      </c>
      <c r="B1158" s="13" t="s">
        <v>19128</v>
      </c>
      <c r="C1158" s="13" t="s">
        <v>6</v>
      </c>
      <c r="D1158" s="13" t="s">
        <v>19129</v>
      </c>
    </row>
    <row r="1159" spans="1:4">
      <c r="A1159" s="13">
        <v>7260101470</v>
      </c>
      <c r="B1159" s="13" t="s">
        <v>19130</v>
      </c>
      <c r="C1159" s="13" t="s">
        <v>6</v>
      </c>
      <c r="D1159" s="13" t="s">
        <v>19131</v>
      </c>
    </row>
    <row r="1160" spans="1:4">
      <c r="A1160" s="13">
        <v>7260101480</v>
      </c>
      <c r="B1160" s="13" t="s">
        <v>19132</v>
      </c>
      <c r="C1160" s="13" t="s">
        <v>6</v>
      </c>
      <c r="D1160" s="13" t="s">
        <v>19133</v>
      </c>
    </row>
    <row r="1161" spans="1:4">
      <c r="A1161" s="13">
        <v>7260101490</v>
      </c>
      <c r="B1161" s="13" t="s">
        <v>19134</v>
      </c>
      <c r="C1161" s="13" t="s">
        <v>6</v>
      </c>
      <c r="D1161" s="13" t="s">
        <v>19135</v>
      </c>
    </row>
    <row r="1162" spans="1:4">
      <c r="A1162" s="13">
        <v>7260101500</v>
      </c>
      <c r="B1162" s="13" t="s">
        <v>19136</v>
      </c>
      <c r="C1162" s="13" t="s">
        <v>6</v>
      </c>
      <c r="D1162" s="13" t="s">
        <v>19137</v>
      </c>
    </row>
    <row r="1163" spans="1:4">
      <c r="A1163" s="13">
        <v>7260101510</v>
      </c>
      <c r="B1163" s="13" t="s">
        <v>19138</v>
      </c>
      <c r="C1163" s="13" t="s">
        <v>6</v>
      </c>
      <c r="D1163" s="13" t="s">
        <v>19139</v>
      </c>
    </row>
    <row r="1164" spans="1:4">
      <c r="A1164" s="13">
        <v>7260101520</v>
      </c>
      <c r="B1164" s="13" t="s">
        <v>19140</v>
      </c>
      <c r="C1164" s="13" t="s">
        <v>6</v>
      </c>
      <c r="D1164" s="13" t="s">
        <v>2502</v>
      </c>
    </row>
    <row r="1165" spans="1:4">
      <c r="A1165" s="13">
        <v>7260101530</v>
      </c>
      <c r="B1165" s="13" t="s">
        <v>19141</v>
      </c>
      <c r="C1165" s="13" t="s">
        <v>6</v>
      </c>
      <c r="D1165" s="27" t="s">
        <v>19142</v>
      </c>
    </row>
    <row r="1166" spans="1:4">
      <c r="A1166" s="13">
        <v>7260101540</v>
      </c>
      <c r="B1166" s="13" t="s">
        <v>19143</v>
      </c>
      <c r="C1166" s="13" t="s">
        <v>6</v>
      </c>
      <c r="D1166" s="27" t="s">
        <v>19144</v>
      </c>
    </row>
    <row r="1167" spans="1:4">
      <c r="A1167" s="13">
        <v>7260101550</v>
      </c>
      <c r="B1167" s="13" t="s">
        <v>19145</v>
      </c>
      <c r="C1167" s="13" t="s">
        <v>6</v>
      </c>
      <c r="D1167" s="13" t="s">
        <v>19146</v>
      </c>
    </row>
    <row r="1168" spans="1:4">
      <c r="A1168" s="13">
        <v>7260101560</v>
      </c>
      <c r="B1168" s="13" t="s">
        <v>19147</v>
      </c>
      <c r="C1168" s="13" t="s">
        <v>6</v>
      </c>
      <c r="D1168" s="13" t="s">
        <v>19148</v>
      </c>
    </row>
    <row r="1169" spans="1:4">
      <c r="A1169" s="13">
        <v>7260101570</v>
      </c>
      <c r="B1169" s="13" t="s">
        <v>19149</v>
      </c>
      <c r="C1169" s="13" t="s">
        <v>6</v>
      </c>
      <c r="D1169" s="13" t="s">
        <v>19150</v>
      </c>
    </row>
    <row r="1170" spans="1:4">
      <c r="A1170" s="13">
        <v>7260101580</v>
      </c>
      <c r="B1170" s="13" t="s">
        <v>19151</v>
      </c>
      <c r="C1170" s="13" t="s">
        <v>6</v>
      </c>
      <c r="D1170" s="13" t="s">
        <v>2476</v>
      </c>
    </row>
    <row r="1171" spans="1:4">
      <c r="A1171" s="13">
        <v>7260101590</v>
      </c>
      <c r="B1171" s="13" t="s">
        <v>19152</v>
      </c>
      <c r="C1171" s="13" t="s">
        <v>6</v>
      </c>
      <c r="D1171" s="13" t="s">
        <v>19153</v>
      </c>
    </row>
    <row r="1172" spans="1:4">
      <c r="A1172" s="13">
        <v>7260101600</v>
      </c>
      <c r="B1172" s="13" t="s">
        <v>19154</v>
      </c>
      <c r="C1172" s="13" t="s">
        <v>6</v>
      </c>
      <c r="D1172" s="13" t="s">
        <v>19155</v>
      </c>
    </row>
    <row r="1173" spans="1:4">
      <c r="A1173" s="13">
        <v>7260101610</v>
      </c>
      <c r="B1173" s="13" t="s">
        <v>19156</v>
      </c>
      <c r="C1173" s="13" t="s">
        <v>6</v>
      </c>
      <c r="D1173" s="13" t="s">
        <v>19157</v>
      </c>
    </row>
    <row r="1174" spans="1:4">
      <c r="A1174" s="13">
        <v>7260101620</v>
      </c>
      <c r="B1174" s="13" t="s">
        <v>19158</v>
      </c>
      <c r="C1174" s="13" t="s">
        <v>6</v>
      </c>
      <c r="D1174" s="13" t="s">
        <v>19159</v>
      </c>
    </row>
    <row r="1175" spans="1:4">
      <c r="A1175" s="13">
        <v>7260101630</v>
      </c>
      <c r="B1175" s="13" t="s">
        <v>19160</v>
      </c>
      <c r="C1175" s="13" t="s">
        <v>6</v>
      </c>
      <c r="D1175" s="13" t="s">
        <v>19161</v>
      </c>
    </row>
    <row r="1176" spans="1:4">
      <c r="A1176" s="13">
        <v>7260101640</v>
      </c>
      <c r="B1176" s="13" t="s">
        <v>19162</v>
      </c>
      <c r="C1176" s="13" t="s">
        <v>6</v>
      </c>
      <c r="D1176" s="13" t="s">
        <v>19163</v>
      </c>
    </row>
    <row r="1177" spans="1:4">
      <c r="A1177" s="13">
        <v>7260101650</v>
      </c>
      <c r="B1177" s="13" t="s">
        <v>19164</v>
      </c>
      <c r="C1177" s="13" t="s">
        <v>6</v>
      </c>
      <c r="D1177" s="13" t="s">
        <v>19165</v>
      </c>
    </row>
    <row r="1178" spans="1:4">
      <c r="A1178" s="13">
        <v>7260101660</v>
      </c>
      <c r="B1178" s="13" t="s">
        <v>19166</v>
      </c>
      <c r="C1178" s="13" t="s">
        <v>6</v>
      </c>
      <c r="D1178" s="13" t="s">
        <v>19167</v>
      </c>
    </row>
    <row r="1179" spans="1:4">
      <c r="A1179" s="13">
        <v>7260101670</v>
      </c>
      <c r="B1179" s="13" t="s">
        <v>19168</v>
      </c>
      <c r="C1179" s="13" t="s">
        <v>6</v>
      </c>
      <c r="D1179" s="13" t="s">
        <v>19169</v>
      </c>
    </row>
    <row r="1180" spans="1:4">
      <c r="A1180" s="13">
        <v>7260101680</v>
      </c>
      <c r="B1180" s="13" t="s">
        <v>19170</v>
      </c>
      <c r="C1180" s="13" t="s">
        <v>6</v>
      </c>
      <c r="D1180" s="13" t="s">
        <v>19171</v>
      </c>
    </row>
    <row r="1181" spans="1:4">
      <c r="A1181" s="13">
        <v>7260200040</v>
      </c>
      <c r="B1181" s="13" t="s">
        <v>19172</v>
      </c>
      <c r="C1181" s="13" t="s">
        <v>6</v>
      </c>
      <c r="D1181" s="13" t="s">
        <v>19173</v>
      </c>
    </row>
    <row r="1182" spans="1:4">
      <c r="A1182" s="13">
        <v>7260200320</v>
      </c>
      <c r="B1182" s="13" t="s">
        <v>19174</v>
      </c>
      <c r="C1182" s="13" t="s">
        <v>6</v>
      </c>
      <c r="D1182" s="13" t="s">
        <v>19175</v>
      </c>
    </row>
    <row r="1183" spans="1:4">
      <c r="A1183" s="13">
        <v>7260250010</v>
      </c>
      <c r="B1183" s="13" t="s">
        <v>19176</v>
      </c>
      <c r="C1183" s="13" t="s">
        <v>6</v>
      </c>
      <c r="D1183" s="13" t="s">
        <v>19177</v>
      </c>
    </row>
    <row r="1184" spans="1:4">
      <c r="A1184" s="13">
        <v>7260250040</v>
      </c>
      <c r="B1184" s="13" t="s">
        <v>19178</v>
      </c>
      <c r="C1184" s="13" t="s">
        <v>6</v>
      </c>
      <c r="D1184" s="13" t="s">
        <v>19179</v>
      </c>
    </row>
    <row r="1185" spans="1:4">
      <c r="A1185" s="13">
        <v>7260250080</v>
      </c>
      <c r="B1185" s="13" t="s">
        <v>19180</v>
      </c>
      <c r="C1185" s="13" t="s">
        <v>6</v>
      </c>
      <c r="D1185" s="13" t="s">
        <v>18559</v>
      </c>
    </row>
    <row r="1186" spans="1:4">
      <c r="A1186" s="13">
        <v>7260250320</v>
      </c>
      <c r="B1186" s="13" t="s">
        <v>19181</v>
      </c>
      <c r="C1186" s="13" t="s">
        <v>6</v>
      </c>
      <c r="D1186" s="13" t="s">
        <v>6228</v>
      </c>
    </row>
    <row r="1187" spans="1:4">
      <c r="A1187" s="13">
        <v>7260250360</v>
      </c>
      <c r="B1187" s="13" t="s">
        <v>19182</v>
      </c>
      <c r="C1187" s="13" t="s">
        <v>6</v>
      </c>
      <c r="D1187" s="13" t="s">
        <v>19183</v>
      </c>
    </row>
    <row r="1188" spans="1:4">
      <c r="A1188" s="13">
        <v>7260300010</v>
      </c>
      <c r="B1188" s="13" t="s">
        <v>19184</v>
      </c>
      <c r="C1188" s="13" t="s">
        <v>6</v>
      </c>
      <c r="D1188" s="13" t="s">
        <v>19185</v>
      </c>
    </row>
    <row r="1189" spans="1:4">
      <c r="A1189" s="13">
        <v>7260300020</v>
      </c>
      <c r="B1189" s="13" t="s">
        <v>19186</v>
      </c>
      <c r="C1189" s="13" t="s">
        <v>6</v>
      </c>
      <c r="D1189" s="13" t="s">
        <v>19187</v>
      </c>
    </row>
    <row r="1190" spans="1:4">
      <c r="A1190" s="13">
        <v>7260300030</v>
      </c>
      <c r="B1190" s="13" t="s">
        <v>19188</v>
      </c>
      <c r="C1190" s="13" t="s">
        <v>6</v>
      </c>
      <c r="D1190" s="13" t="s">
        <v>19189</v>
      </c>
    </row>
    <row r="1191" spans="1:4">
      <c r="A1191" s="13">
        <v>7260300040</v>
      </c>
      <c r="B1191" s="13" t="s">
        <v>19190</v>
      </c>
      <c r="C1191" s="13" t="s">
        <v>6</v>
      </c>
      <c r="D1191" s="13" t="s">
        <v>19191</v>
      </c>
    </row>
    <row r="1192" spans="1:4">
      <c r="A1192" s="13">
        <v>7260300050</v>
      </c>
      <c r="B1192" s="13" t="s">
        <v>19192</v>
      </c>
      <c r="C1192" s="13" t="s">
        <v>6</v>
      </c>
      <c r="D1192" s="13" t="s">
        <v>19193</v>
      </c>
    </row>
    <row r="1193" spans="1:4">
      <c r="A1193" s="13">
        <v>7260300060</v>
      </c>
      <c r="B1193" s="13" t="s">
        <v>19194</v>
      </c>
      <c r="C1193" s="13" t="s">
        <v>6</v>
      </c>
      <c r="D1193" s="13" t="s">
        <v>19195</v>
      </c>
    </row>
    <row r="1194" spans="1:4">
      <c r="A1194" s="13">
        <v>7260300070</v>
      </c>
      <c r="B1194" s="13" t="s">
        <v>19196</v>
      </c>
      <c r="C1194" s="13" t="s">
        <v>6</v>
      </c>
      <c r="D1194" s="13" t="s">
        <v>19197</v>
      </c>
    </row>
    <row r="1195" spans="1:4">
      <c r="A1195" s="13">
        <v>7260300080</v>
      </c>
      <c r="B1195" s="13" t="s">
        <v>19198</v>
      </c>
      <c r="C1195" s="13" t="s">
        <v>6</v>
      </c>
      <c r="D1195" s="13" t="s">
        <v>19199</v>
      </c>
    </row>
    <row r="1200" spans="1:4">
      <c r="A1200" s="13">
        <v>7260300090</v>
      </c>
      <c r="B1200" s="13" t="s">
        <v>19200</v>
      </c>
      <c r="C1200" s="13" t="s">
        <v>6</v>
      </c>
      <c r="D1200" s="13" t="s">
        <v>19201</v>
      </c>
    </row>
    <row r="1201" spans="1:4">
      <c r="A1201" s="13">
        <v>7260300100</v>
      </c>
      <c r="B1201" s="13" t="s">
        <v>19202</v>
      </c>
      <c r="C1201" s="13" t="s">
        <v>6</v>
      </c>
      <c r="D1201" s="13" t="s">
        <v>19203</v>
      </c>
    </row>
    <row r="1202" spans="1:4">
      <c r="A1202" s="13">
        <v>7260300110</v>
      </c>
      <c r="B1202" s="13" t="s">
        <v>19204</v>
      </c>
      <c r="C1202" s="13" t="s">
        <v>6</v>
      </c>
      <c r="D1202" s="13" t="s">
        <v>19205</v>
      </c>
    </row>
    <row r="1203" spans="1:4">
      <c r="A1203" s="13">
        <v>7260300120</v>
      </c>
      <c r="B1203" s="13" t="s">
        <v>19206</v>
      </c>
      <c r="C1203" s="13" t="s">
        <v>6</v>
      </c>
      <c r="D1203" s="13" t="s">
        <v>19207</v>
      </c>
    </row>
    <row r="1204" spans="1:4">
      <c r="A1204" s="13">
        <v>7260300130</v>
      </c>
      <c r="B1204" s="13" t="s">
        <v>19208</v>
      </c>
      <c r="C1204" s="13" t="s">
        <v>6</v>
      </c>
      <c r="D1204" s="13" t="s">
        <v>19209</v>
      </c>
    </row>
    <row r="1205" spans="1:4">
      <c r="A1205" s="13">
        <v>7260300140</v>
      </c>
      <c r="B1205" s="13" t="s">
        <v>19210</v>
      </c>
      <c r="C1205" s="13" t="s">
        <v>6</v>
      </c>
      <c r="D1205" s="13" t="s">
        <v>19211</v>
      </c>
    </row>
    <row r="1206" spans="1:4">
      <c r="A1206" s="13">
        <v>7260300150</v>
      </c>
      <c r="B1206" s="13" t="s">
        <v>19212</v>
      </c>
      <c r="C1206" s="13" t="s">
        <v>6</v>
      </c>
      <c r="D1206" s="13" t="s">
        <v>19213</v>
      </c>
    </row>
    <row r="1207" spans="1:4">
      <c r="A1207" s="13">
        <v>7260300160</v>
      </c>
      <c r="B1207" s="13" t="s">
        <v>19214</v>
      </c>
      <c r="C1207" s="13" t="s">
        <v>6</v>
      </c>
      <c r="D1207" s="13" t="s">
        <v>19215</v>
      </c>
    </row>
    <row r="1208" spans="1:4">
      <c r="A1208" s="13">
        <v>7260300170</v>
      </c>
      <c r="B1208" s="13" t="s">
        <v>19216</v>
      </c>
      <c r="C1208" s="13" t="s">
        <v>6</v>
      </c>
      <c r="D1208" s="13" t="s">
        <v>19217</v>
      </c>
    </row>
    <row r="1209" spans="1:4">
      <c r="A1209" s="13">
        <v>7260300180</v>
      </c>
      <c r="B1209" s="13" t="s">
        <v>19218</v>
      </c>
      <c r="C1209" s="13" t="s">
        <v>6</v>
      </c>
      <c r="D1209" s="13" t="s">
        <v>19219</v>
      </c>
    </row>
    <row r="1210" spans="1:4">
      <c r="A1210" s="13">
        <v>7260300190</v>
      </c>
      <c r="B1210" s="13" t="s">
        <v>19220</v>
      </c>
      <c r="C1210" s="13" t="s">
        <v>6</v>
      </c>
      <c r="D1210" s="13" t="s">
        <v>19221</v>
      </c>
    </row>
    <row r="1211" spans="1:4">
      <c r="A1211" s="13">
        <v>7260300200</v>
      </c>
      <c r="B1211" s="13" t="s">
        <v>19222</v>
      </c>
      <c r="C1211" s="13" t="s">
        <v>6</v>
      </c>
      <c r="D1211" s="13" t="s">
        <v>19223</v>
      </c>
    </row>
    <row r="1212" spans="1:4">
      <c r="A1212" s="13">
        <v>7260300210</v>
      </c>
      <c r="B1212" s="13" t="s">
        <v>19224</v>
      </c>
      <c r="C1212" s="13" t="s">
        <v>6</v>
      </c>
      <c r="D1212" s="13" t="s">
        <v>19225</v>
      </c>
    </row>
    <row r="1213" spans="1:4">
      <c r="A1213" s="13">
        <v>7260300220</v>
      </c>
      <c r="B1213" s="13" t="s">
        <v>19226</v>
      </c>
      <c r="C1213" s="13" t="s">
        <v>6</v>
      </c>
      <c r="D1213" s="13" t="s">
        <v>19227</v>
      </c>
    </row>
    <row r="1214" spans="1:4">
      <c r="A1214" s="13">
        <v>7260300230</v>
      </c>
      <c r="B1214" s="13" t="s">
        <v>19228</v>
      </c>
      <c r="C1214" s="13" t="s">
        <v>6</v>
      </c>
      <c r="D1214" s="13" t="s">
        <v>19229</v>
      </c>
    </row>
    <row r="1215" spans="1:4">
      <c r="A1215" s="13">
        <v>7260300240</v>
      </c>
      <c r="B1215" s="13" t="s">
        <v>19230</v>
      </c>
      <c r="C1215" s="13" t="s">
        <v>6</v>
      </c>
      <c r="D1215" s="13" t="s">
        <v>19231</v>
      </c>
    </row>
    <row r="1216" spans="1:4">
      <c r="A1216" s="13">
        <v>7260300250</v>
      </c>
      <c r="B1216" s="13" t="s">
        <v>19232</v>
      </c>
      <c r="C1216" s="13" t="s">
        <v>6</v>
      </c>
      <c r="D1216" s="13" t="s">
        <v>19233</v>
      </c>
    </row>
    <row r="1217" spans="1:4">
      <c r="A1217" s="13">
        <v>7260300260</v>
      </c>
      <c r="B1217" s="13" t="s">
        <v>19234</v>
      </c>
      <c r="C1217" s="13" t="s">
        <v>6</v>
      </c>
      <c r="D1217" s="13" t="s">
        <v>19235</v>
      </c>
    </row>
    <row r="1218" spans="1:4">
      <c r="A1218" s="13">
        <v>7260300270</v>
      </c>
      <c r="B1218" s="13" t="s">
        <v>19236</v>
      </c>
      <c r="C1218" s="13" t="s">
        <v>6</v>
      </c>
      <c r="D1218" s="13" t="s">
        <v>19237</v>
      </c>
    </row>
    <row r="1219" spans="1:4">
      <c r="A1219" s="13">
        <v>7260300280</v>
      </c>
      <c r="B1219" s="13" t="s">
        <v>19238</v>
      </c>
      <c r="C1219" s="13" t="s">
        <v>6</v>
      </c>
      <c r="D1219" s="13" t="s">
        <v>19239</v>
      </c>
    </row>
    <row r="1220" spans="1:4">
      <c r="A1220" s="13">
        <v>7260300290</v>
      </c>
      <c r="B1220" s="13" t="s">
        <v>19240</v>
      </c>
      <c r="C1220" s="13" t="s">
        <v>6</v>
      </c>
      <c r="D1220" s="13" t="s">
        <v>19241</v>
      </c>
    </row>
    <row r="1221" spans="1:4">
      <c r="A1221" s="13">
        <v>7260300300</v>
      </c>
      <c r="B1221" s="13" t="s">
        <v>19242</v>
      </c>
      <c r="C1221" s="13" t="s">
        <v>6</v>
      </c>
      <c r="D1221" s="13" t="s">
        <v>19243</v>
      </c>
    </row>
    <row r="1222" spans="1:4">
      <c r="A1222" s="13">
        <v>7260300310</v>
      </c>
      <c r="B1222" s="13" t="s">
        <v>19244</v>
      </c>
      <c r="C1222" s="13" t="s">
        <v>6</v>
      </c>
      <c r="D1222" s="13" t="s">
        <v>19245</v>
      </c>
    </row>
    <row r="1223" spans="1:4">
      <c r="A1223" s="13">
        <v>7260300320</v>
      </c>
      <c r="B1223" s="13" t="s">
        <v>19246</v>
      </c>
      <c r="C1223" s="13" t="s">
        <v>6</v>
      </c>
      <c r="D1223" s="27" t="s">
        <v>19247</v>
      </c>
    </row>
    <row r="1224" spans="1:4">
      <c r="A1224" s="13">
        <v>7260300330</v>
      </c>
      <c r="B1224" s="13" t="s">
        <v>19248</v>
      </c>
      <c r="C1224" s="13" t="s">
        <v>6</v>
      </c>
      <c r="D1224" s="27" t="s">
        <v>19249</v>
      </c>
    </row>
    <row r="1225" spans="1:4">
      <c r="A1225" s="13">
        <v>7260300340</v>
      </c>
      <c r="B1225" s="13" t="s">
        <v>19250</v>
      </c>
      <c r="C1225" s="13" t="s">
        <v>6</v>
      </c>
      <c r="D1225" s="13" t="s">
        <v>19251</v>
      </c>
    </row>
    <row r="1226" spans="1:4">
      <c r="A1226" s="13">
        <v>7260300350</v>
      </c>
      <c r="B1226" s="13" t="s">
        <v>19252</v>
      </c>
      <c r="C1226" s="13" t="s">
        <v>6</v>
      </c>
      <c r="D1226" s="13" t="s">
        <v>19253</v>
      </c>
    </row>
    <row r="1227" spans="1:4">
      <c r="A1227" s="13">
        <v>7260300360</v>
      </c>
      <c r="B1227" s="13" t="s">
        <v>19254</v>
      </c>
      <c r="C1227" s="13" t="s">
        <v>6</v>
      </c>
      <c r="D1227" s="13" t="s">
        <v>19255</v>
      </c>
    </row>
    <row r="1228" spans="1:4">
      <c r="A1228" s="13">
        <v>7260300370</v>
      </c>
      <c r="B1228" s="13" t="s">
        <v>19256</v>
      </c>
      <c r="C1228" s="13" t="s">
        <v>6</v>
      </c>
      <c r="D1228" s="13" t="s">
        <v>19257</v>
      </c>
    </row>
    <row r="1229" spans="1:4">
      <c r="A1229" s="13">
        <v>7260300380</v>
      </c>
      <c r="B1229" s="13" t="s">
        <v>19258</v>
      </c>
      <c r="C1229" s="13" t="s">
        <v>6</v>
      </c>
      <c r="D1229" s="13" t="s">
        <v>19259</v>
      </c>
    </row>
    <row r="1230" spans="1:4">
      <c r="A1230" s="13">
        <v>7260300390</v>
      </c>
      <c r="B1230" s="13" t="s">
        <v>19260</v>
      </c>
      <c r="C1230" s="13" t="s">
        <v>6</v>
      </c>
      <c r="D1230" s="13" t="s">
        <v>19261</v>
      </c>
    </row>
    <row r="1231" spans="1:4">
      <c r="A1231" s="13">
        <v>7260300400</v>
      </c>
      <c r="B1231" s="13" t="s">
        <v>19262</v>
      </c>
      <c r="C1231" s="13" t="s">
        <v>6</v>
      </c>
      <c r="D1231" s="13" t="s">
        <v>19263</v>
      </c>
    </row>
    <row r="1232" spans="1:4">
      <c r="A1232" s="13">
        <v>7260300410</v>
      </c>
      <c r="B1232" s="13" t="s">
        <v>19264</v>
      </c>
      <c r="C1232" s="13" t="s">
        <v>6</v>
      </c>
      <c r="D1232" s="13" t="s">
        <v>19265</v>
      </c>
    </row>
    <row r="1233" spans="1:4">
      <c r="A1233" s="13">
        <v>7260300420</v>
      </c>
      <c r="B1233" s="13" t="s">
        <v>19266</v>
      </c>
      <c r="C1233" s="13" t="s">
        <v>6</v>
      </c>
      <c r="D1233" s="13" t="s">
        <v>19267</v>
      </c>
    </row>
    <row r="1234" spans="1:4">
      <c r="A1234" s="13">
        <v>7260300430</v>
      </c>
      <c r="B1234" s="13" t="s">
        <v>19268</v>
      </c>
      <c r="C1234" s="13" t="s">
        <v>6</v>
      </c>
      <c r="D1234" s="13" t="s">
        <v>19269</v>
      </c>
    </row>
    <row r="1235" spans="1:4">
      <c r="A1235" s="13">
        <v>7260300440</v>
      </c>
      <c r="B1235" s="13" t="s">
        <v>19270</v>
      </c>
      <c r="C1235" s="13" t="s">
        <v>6</v>
      </c>
      <c r="D1235" s="13" t="s">
        <v>19271</v>
      </c>
    </row>
    <row r="1236" spans="1:4">
      <c r="A1236" s="13">
        <v>7260300450</v>
      </c>
      <c r="B1236" s="13" t="s">
        <v>19272</v>
      </c>
      <c r="C1236" s="13" t="s">
        <v>6</v>
      </c>
      <c r="D1236" s="13" t="s">
        <v>19273</v>
      </c>
    </row>
    <row r="1237" spans="1:4">
      <c r="A1237" s="13">
        <v>7260300460</v>
      </c>
      <c r="B1237" s="13" t="s">
        <v>19274</v>
      </c>
      <c r="C1237" s="13" t="s">
        <v>6</v>
      </c>
      <c r="D1237" s="13" t="s">
        <v>19275</v>
      </c>
    </row>
    <row r="1238" spans="1:4">
      <c r="A1238" s="13">
        <v>7260300470</v>
      </c>
      <c r="B1238" s="13" t="s">
        <v>19276</v>
      </c>
      <c r="C1238" s="13" t="s">
        <v>6</v>
      </c>
      <c r="D1238" s="13" t="s">
        <v>19277</v>
      </c>
    </row>
    <row r="1239" spans="1:4">
      <c r="A1239" s="13">
        <v>7260300480</v>
      </c>
      <c r="B1239" s="13" t="s">
        <v>19278</v>
      </c>
      <c r="C1239" s="13" t="s">
        <v>6</v>
      </c>
      <c r="D1239" s="13" t="s">
        <v>19279</v>
      </c>
    </row>
    <row r="1240" spans="1:4">
      <c r="A1240" s="13">
        <v>7260300490</v>
      </c>
      <c r="B1240" s="13" t="s">
        <v>19280</v>
      </c>
      <c r="C1240" s="13" t="s">
        <v>6</v>
      </c>
      <c r="D1240" s="13" t="s">
        <v>19281</v>
      </c>
    </row>
    <row r="1241" spans="1:4">
      <c r="A1241" s="13">
        <v>7260300500</v>
      </c>
      <c r="B1241" s="13" t="s">
        <v>19282</v>
      </c>
      <c r="C1241" s="13" t="s">
        <v>6</v>
      </c>
      <c r="D1241" s="13" t="s">
        <v>19283</v>
      </c>
    </row>
    <row r="1242" spans="1:4">
      <c r="A1242" s="13">
        <v>7260300510</v>
      </c>
      <c r="B1242" s="13" t="s">
        <v>19284</v>
      </c>
      <c r="C1242" s="13" t="s">
        <v>6</v>
      </c>
      <c r="D1242" s="13" t="s">
        <v>19285</v>
      </c>
    </row>
    <row r="1243" spans="1:4">
      <c r="A1243" s="13">
        <v>7260300520</v>
      </c>
      <c r="B1243" s="13" t="s">
        <v>19286</v>
      </c>
      <c r="C1243" s="13" t="s">
        <v>6</v>
      </c>
      <c r="D1243" s="13" t="s">
        <v>19287</v>
      </c>
    </row>
    <row r="1244" spans="1:4">
      <c r="A1244" s="13">
        <v>7260300530</v>
      </c>
      <c r="B1244" s="13" t="s">
        <v>19288</v>
      </c>
      <c r="C1244" s="13" t="s">
        <v>6</v>
      </c>
      <c r="D1244" s="13" t="s">
        <v>19289</v>
      </c>
    </row>
    <row r="1245" spans="1:4">
      <c r="A1245" s="13">
        <v>7260300540</v>
      </c>
      <c r="B1245" s="13" t="s">
        <v>19290</v>
      </c>
      <c r="C1245" s="13" t="s">
        <v>6</v>
      </c>
      <c r="D1245" s="13" t="s">
        <v>19291</v>
      </c>
    </row>
    <row r="1246" spans="1:4">
      <c r="A1246" s="13">
        <v>7260300550</v>
      </c>
      <c r="B1246" s="13" t="s">
        <v>19292</v>
      </c>
      <c r="C1246" s="13" t="s">
        <v>6</v>
      </c>
      <c r="D1246" s="13" t="s">
        <v>19293</v>
      </c>
    </row>
    <row r="1247" spans="1:4">
      <c r="A1247" s="13">
        <v>7260300560</v>
      </c>
      <c r="B1247" s="13" t="s">
        <v>19294</v>
      </c>
      <c r="C1247" s="13" t="s">
        <v>6</v>
      </c>
      <c r="D1247" s="13" t="s">
        <v>19295</v>
      </c>
    </row>
    <row r="1252" spans="1:4">
      <c r="A1252" s="13">
        <v>7260300570</v>
      </c>
      <c r="B1252" s="13" t="s">
        <v>19296</v>
      </c>
      <c r="C1252" s="13" t="s">
        <v>6</v>
      </c>
      <c r="D1252" s="13" t="s">
        <v>19297</v>
      </c>
    </row>
    <row r="1253" spans="1:4">
      <c r="A1253" s="13">
        <v>7260300580</v>
      </c>
      <c r="B1253" s="13" t="s">
        <v>19298</v>
      </c>
      <c r="C1253" s="13" t="s">
        <v>6</v>
      </c>
      <c r="D1253" s="13" t="s">
        <v>19299</v>
      </c>
    </row>
    <row r="1254" spans="1:4">
      <c r="A1254" s="13">
        <v>7260300590</v>
      </c>
      <c r="B1254" s="13" t="s">
        <v>19300</v>
      </c>
      <c r="C1254" s="13" t="s">
        <v>6</v>
      </c>
      <c r="D1254" s="13" t="s">
        <v>19301</v>
      </c>
    </row>
    <row r="1255" spans="1:4">
      <c r="A1255" s="13">
        <v>7260300600</v>
      </c>
      <c r="B1255" s="13" t="s">
        <v>19302</v>
      </c>
      <c r="C1255" s="13" t="s">
        <v>6</v>
      </c>
      <c r="D1255" s="13" t="s">
        <v>19303</v>
      </c>
    </row>
    <row r="1256" spans="1:4">
      <c r="A1256" s="13">
        <v>7260300610</v>
      </c>
      <c r="B1256" s="13" t="s">
        <v>19304</v>
      </c>
      <c r="C1256" s="13" t="s">
        <v>6</v>
      </c>
      <c r="D1256" s="13" t="s">
        <v>19305</v>
      </c>
    </row>
    <row r="1257" spans="1:4">
      <c r="A1257" s="13">
        <v>7260300620</v>
      </c>
      <c r="B1257" s="13" t="s">
        <v>19306</v>
      </c>
      <c r="C1257" s="13" t="s">
        <v>6</v>
      </c>
      <c r="D1257" s="13" t="s">
        <v>19307</v>
      </c>
    </row>
    <row r="1258" spans="1:4">
      <c r="A1258" s="13">
        <v>7260300630</v>
      </c>
      <c r="B1258" s="13" t="s">
        <v>19308</v>
      </c>
      <c r="C1258" s="13" t="s">
        <v>6</v>
      </c>
      <c r="D1258" s="13" t="s">
        <v>19309</v>
      </c>
    </row>
    <row r="1259" spans="1:4">
      <c r="A1259" s="13">
        <v>7260300640</v>
      </c>
      <c r="B1259" s="13" t="s">
        <v>19310</v>
      </c>
      <c r="C1259" s="13" t="s">
        <v>6</v>
      </c>
      <c r="D1259" s="13" t="s">
        <v>19311</v>
      </c>
    </row>
    <row r="1260" spans="1:4">
      <c r="A1260" s="13">
        <v>7260300650</v>
      </c>
      <c r="B1260" s="13" t="s">
        <v>19312</v>
      </c>
      <c r="C1260" s="13" t="s">
        <v>6</v>
      </c>
      <c r="D1260" s="13" t="s">
        <v>19313</v>
      </c>
    </row>
    <row r="1261" spans="1:4">
      <c r="A1261" s="13">
        <v>7260300660</v>
      </c>
      <c r="B1261" s="13" t="s">
        <v>19314</v>
      </c>
      <c r="C1261" s="13" t="s">
        <v>6</v>
      </c>
      <c r="D1261" s="13" t="s">
        <v>19315</v>
      </c>
    </row>
    <row r="1262" spans="1:4">
      <c r="A1262" s="13">
        <v>7260300670</v>
      </c>
      <c r="B1262" s="13" t="s">
        <v>19316</v>
      </c>
      <c r="C1262" s="13" t="s">
        <v>6</v>
      </c>
      <c r="D1262" s="13" t="s">
        <v>19317</v>
      </c>
    </row>
    <row r="1263" spans="1:4">
      <c r="A1263" s="13">
        <v>7260300680</v>
      </c>
      <c r="B1263" s="13" t="s">
        <v>19318</v>
      </c>
      <c r="C1263" s="13" t="s">
        <v>6</v>
      </c>
      <c r="D1263" s="13" t="s">
        <v>19319</v>
      </c>
    </row>
    <row r="1264" spans="1:4">
      <c r="A1264" s="13">
        <v>7260300690</v>
      </c>
      <c r="B1264" s="13" t="s">
        <v>19320</v>
      </c>
      <c r="C1264" s="13" t="s">
        <v>6</v>
      </c>
      <c r="D1264" s="13" t="s">
        <v>19321</v>
      </c>
    </row>
    <row r="1265" spans="1:4">
      <c r="A1265" s="13">
        <v>7260300700</v>
      </c>
      <c r="B1265" s="13" t="s">
        <v>19322</v>
      </c>
      <c r="C1265" s="13" t="s">
        <v>6</v>
      </c>
      <c r="D1265" s="13" t="s">
        <v>19323</v>
      </c>
    </row>
    <row r="1266" spans="1:4">
      <c r="A1266" s="13">
        <v>7260300710</v>
      </c>
      <c r="B1266" s="13" t="s">
        <v>19324</v>
      </c>
      <c r="C1266" s="13" t="s">
        <v>6</v>
      </c>
      <c r="D1266" s="13" t="s">
        <v>19325</v>
      </c>
    </row>
    <row r="1267" spans="1:4">
      <c r="A1267" s="13">
        <v>7260300720</v>
      </c>
      <c r="B1267" s="13" t="s">
        <v>19326</v>
      </c>
      <c r="C1267" s="13" t="s">
        <v>6</v>
      </c>
      <c r="D1267" s="13" t="s">
        <v>19327</v>
      </c>
    </row>
    <row r="1268" spans="1:4">
      <c r="A1268" s="13">
        <v>7260300730</v>
      </c>
      <c r="B1268" s="13" t="s">
        <v>19328</v>
      </c>
      <c r="C1268" s="13" t="s">
        <v>6</v>
      </c>
      <c r="D1268" s="13" t="s">
        <v>19329</v>
      </c>
    </row>
    <row r="1269" spans="1:4">
      <c r="A1269" s="13">
        <v>7260300740</v>
      </c>
      <c r="B1269" s="13" t="s">
        <v>19330</v>
      </c>
      <c r="C1269" s="13" t="s">
        <v>6</v>
      </c>
      <c r="D1269" s="13" t="s">
        <v>19331</v>
      </c>
    </row>
    <row r="1270" spans="1:4">
      <c r="A1270" s="13">
        <v>7260300750</v>
      </c>
      <c r="B1270" s="13" t="s">
        <v>19332</v>
      </c>
      <c r="C1270" s="13" t="s">
        <v>6</v>
      </c>
      <c r="D1270" s="13" t="s">
        <v>19333</v>
      </c>
    </row>
    <row r="1271" spans="1:4">
      <c r="A1271" s="13">
        <v>7260300760</v>
      </c>
      <c r="B1271" s="13" t="s">
        <v>19334</v>
      </c>
      <c r="C1271" s="13" t="s">
        <v>6</v>
      </c>
      <c r="D1271" s="13" t="s">
        <v>19335</v>
      </c>
    </row>
    <row r="1272" spans="1:4">
      <c r="A1272" s="13">
        <v>7260300770</v>
      </c>
      <c r="B1272" s="13" t="s">
        <v>19336</v>
      </c>
      <c r="C1272" s="13" t="s">
        <v>6</v>
      </c>
      <c r="D1272" s="13" t="s">
        <v>3978</v>
      </c>
    </row>
    <row r="1273" spans="1:4">
      <c r="A1273" s="13">
        <v>7260300780</v>
      </c>
      <c r="B1273" s="13" t="s">
        <v>19337</v>
      </c>
      <c r="C1273" s="13" t="s">
        <v>6</v>
      </c>
      <c r="D1273" s="13" t="s">
        <v>19338</v>
      </c>
    </row>
    <row r="1274" spans="1:4">
      <c r="A1274" s="13">
        <v>7260300790</v>
      </c>
      <c r="B1274" s="13" t="s">
        <v>19339</v>
      </c>
      <c r="C1274" s="13" t="s">
        <v>6</v>
      </c>
      <c r="D1274" s="13" t="s">
        <v>19340</v>
      </c>
    </row>
    <row r="1275" spans="1:4">
      <c r="A1275" s="13">
        <v>7260300800</v>
      </c>
      <c r="B1275" s="13" t="s">
        <v>19341</v>
      </c>
      <c r="C1275" s="13" t="s">
        <v>6</v>
      </c>
      <c r="D1275" s="13" t="s">
        <v>19342</v>
      </c>
    </row>
    <row r="1276" spans="1:4">
      <c r="A1276" s="13">
        <v>7260300810</v>
      </c>
      <c r="B1276" s="13" t="s">
        <v>19343</v>
      </c>
      <c r="C1276" s="13" t="s">
        <v>6</v>
      </c>
      <c r="D1276" s="13" t="s">
        <v>19344</v>
      </c>
    </row>
    <row r="1277" spans="1:4">
      <c r="A1277" s="13">
        <v>7260300820</v>
      </c>
      <c r="B1277" s="13" t="s">
        <v>19345</v>
      </c>
      <c r="C1277" s="13" t="s">
        <v>6</v>
      </c>
      <c r="D1277" s="13" t="s">
        <v>19346</v>
      </c>
    </row>
    <row r="1278" spans="1:4">
      <c r="A1278" s="13">
        <v>7260300830</v>
      </c>
      <c r="B1278" s="13" t="s">
        <v>19347</v>
      </c>
      <c r="C1278" s="13" t="s">
        <v>6</v>
      </c>
      <c r="D1278" s="13" t="s">
        <v>19348</v>
      </c>
    </row>
    <row r="1279" spans="1:4">
      <c r="A1279" s="13">
        <v>7260300840</v>
      </c>
      <c r="B1279" s="13" t="s">
        <v>19349</v>
      </c>
      <c r="C1279" s="13" t="s">
        <v>6</v>
      </c>
      <c r="D1279" s="13" t="s">
        <v>19350</v>
      </c>
    </row>
    <row r="1280" spans="1:4">
      <c r="A1280" s="13">
        <v>7260300850</v>
      </c>
      <c r="B1280" s="13" t="s">
        <v>19351</v>
      </c>
      <c r="C1280" s="13" t="s">
        <v>6</v>
      </c>
      <c r="D1280" s="13" t="s">
        <v>19352</v>
      </c>
    </row>
    <row r="1281" spans="1:4">
      <c r="A1281" s="13">
        <v>7260300860</v>
      </c>
      <c r="B1281" s="13" t="s">
        <v>19353</v>
      </c>
      <c r="C1281" s="13" t="s">
        <v>6</v>
      </c>
      <c r="D1281" s="27" t="s">
        <v>19354</v>
      </c>
    </row>
    <row r="1282" spans="1:4">
      <c r="A1282" s="13">
        <v>7260300870</v>
      </c>
      <c r="B1282" s="13" t="s">
        <v>19355</v>
      </c>
      <c r="C1282" s="13" t="s">
        <v>6</v>
      </c>
      <c r="D1282" s="27" t="s">
        <v>19356</v>
      </c>
    </row>
    <row r="1283" spans="1:4">
      <c r="A1283" s="13">
        <v>7260300880</v>
      </c>
      <c r="B1283" s="13" t="s">
        <v>19357</v>
      </c>
      <c r="C1283" s="13" t="s">
        <v>6</v>
      </c>
      <c r="D1283" s="13" t="s">
        <v>19358</v>
      </c>
    </row>
    <row r="1284" spans="1:4">
      <c r="A1284" s="13">
        <v>7260300890</v>
      </c>
      <c r="B1284" s="13" t="s">
        <v>19359</v>
      </c>
      <c r="C1284" s="13" t="s">
        <v>6</v>
      </c>
      <c r="D1284" s="13" t="s">
        <v>19360</v>
      </c>
    </row>
    <row r="1285" spans="1:4">
      <c r="A1285" s="13">
        <v>7260300900</v>
      </c>
      <c r="B1285" s="13" t="s">
        <v>19361</v>
      </c>
      <c r="C1285" s="13" t="s">
        <v>6</v>
      </c>
      <c r="D1285" s="13" t="s">
        <v>19362</v>
      </c>
    </row>
    <row r="1286" spans="1:4">
      <c r="A1286" s="13">
        <v>7260300910</v>
      </c>
      <c r="B1286" s="13" t="s">
        <v>19363</v>
      </c>
      <c r="C1286" s="13" t="s">
        <v>6</v>
      </c>
      <c r="D1286" s="13" t="s">
        <v>19364</v>
      </c>
    </row>
    <row r="1287" spans="1:4">
      <c r="A1287" s="13">
        <v>7260300920</v>
      </c>
      <c r="B1287" s="13" t="s">
        <v>19365</v>
      </c>
      <c r="C1287" s="13" t="s">
        <v>6</v>
      </c>
      <c r="D1287" s="13" t="s">
        <v>19366</v>
      </c>
    </row>
    <row r="1288" spans="1:4">
      <c r="A1288" s="13">
        <v>7260300930</v>
      </c>
      <c r="B1288" s="13" t="s">
        <v>19367</v>
      </c>
      <c r="C1288" s="13" t="s">
        <v>6</v>
      </c>
      <c r="D1288" s="13" t="s">
        <v>19368</v>
      </c>
    </row>
    <row r="1289" spans="1:4">
      <c r="A1289" s="13">
        <v>7260300940</v>
      </c>
      <c r="B1289" s="13" t="s">
        <v>19369</v>
      </c>
      <c r="C1289" s="13" t="s">
        <v>6</v>
      </c>
      <c r="D1289" s="13" t="s">
        <v>19370</v>
      </c>
    </row>
    <row r="1290" spans="1:4">
      <c r="A1290" s="13">
        <v>7260300950</v>
      </c>
      <c r="B1290" s="13" t="s">
        <v>19371</v>
      </c>
      <c r="C1290" s="13" t="s">
        <v>6</v>
      </c>
      <c r="D1290" s="13" t="s">
        <v>19372</v>
      </c>
    </row>
    <row r="1291" spans="1:4">
      <c r="A1291" s="13">
        <v>7260300960</v>
      </c>
      <c r="B1291" s="13" t="s">
        <v>19373</v>
      </c>
      <c r="C1291" s="13" t="s">
        <v>6</v>
      </c>
      <c r="D1291" s="13" t="s">
        <v>19374</v>
      </c>
    </row>
    <row r="1292" spans="1:4">
      <c r="A1292" s="13">
        <v>7260300970</v>
      </c>
      <c r="B1292" s="13" t="s">
        <v>19375</v>
      </c>
      <c r="C1292" s="13" t="s">
        <v>6</v>
      </c>
      <c r="D1292" s="13" t="s">
        <v>19376</v>
      </c>
    </row>
    <row r="1293" spans="1:4">
      <c r="A1293" s="13">
        <v>7260300980</v>
      </c>
      <c r="B1293" s="13" t="s">
        <v>19377</v>
      </c>
      <c r="C1293" s="13" t="s">
        <v>6</v>
      </c>
      <c r="D1293" s="13" t="s">
        <v>19378</v>
      </c>
    </row>
    <row r="1294" spans="1:4">
      <c r="A1294" s="13">
        <v>7260300990</v>
      </c>
      <c r="B1294" s="13" t="s">
        <v>19379</v>
      </c>
      <c r="C1294" s="13" t="s">
        <v>6</v>
      </c>
      <c r="D1294" s="13" t="s">
        <v>19380</v>
      </c>
    </row>
    <row r="1295" spans="1:4">
      <c r="A1295" s="13">
        <v>7260301000</v>
      </c>
      <c r="B1295" s="13" t="s">
        <v>19381</v>
      </c>
      <c r="C1295" s="13" t="s">
        <v>6</v>
      </c>
      <c r="D1295" s="13" t="s">
        <v>19382</v>
      </c>
    </row>
    <row r="1296" spans="1:4">
      <c r="A1296" s="13">
        <v>7260301010</v>
      </c>
      <c r="B1296" s="13" t="s">
        <v>19383</v>
      </c>
      <c r="C1296" s="13" t="s">
        <v>6</v>
      </c>
      <c r="D1296" s="13" t="s">
        <v>18755</v>
      </c>
    </row>
    <row r="1297" spans="1:4">
      <c r="A1297" s="13">
        <v>7260301020</v>
      </c>
      <c r="B1297" s="13" t="s">
        <v>19384</v>
      </c>
      <c r="C1297" s="13" t="s">
        <v>6</v>
      </c>
      <c r="D1297" s="13" t="s">
        <v>19385</v>
      </c>
    </row>
    <row r="1298" spans="1:4">
      <c r="A1298" s="13">
        <v>7260301030</v>
      </c>
      <c r="B1298" s="13" t="s">
        <v>19386</v>
      </c>
      <c r="C1298" s="13" t="s">
        <v>6</v>
      </c>
      <c r="D1298" s="13" t="s">
        <v>19387</v>
      </c>
    </row>
    <row r="1299" spans="1:4">
      <c r="A1299" s="13">
        <v>7260301040</v>
      </c>
      <c r="B1299" s="13" t="s">
        <v>19388</v>
      </c>
      <c r="C1299" s="13" t="s">
        <v>6</v>
      </c>
      <c r="D1299" s="13" t="s">
        <v>19389</v>
      </c>
    </row>
    <row r="1304" spans="1:4">
      <c r="A1304" s="13">
        <v>7260301050</v>
      </c>
      <c r="B1304" s="13" t="s">
        <v>19390</v>
      </c>
      <c r="C1304" s="13" t="s">
        <v>6</v>
      </c>
      <c r="D1304" s="13" t="s">
        <v>19391</v>
      </c>
    </row>
    <row r="1305" spans="1:4">
      <c r="A1305" s="13">
        <v>7260301060</v>
      </c>
      <c r="B1305" s="13" t="s">
        <v>19392</v>
      </c>
      <c r="C1305" s="13" t="s">
        <v>6</v>
      </c>
      <c r="D1305" s="13" t="s">
        <v>19393</v>
      </c>
    </row>
    <row r="1306" spans="1:4">
      <c r="A1306" s="13">
        <v>7260301070</v>
      </c>
      <c r="B1306" s="13" t="s">
        <v>19394</v>
      </c>
      <c r="C1306" s="13" t="s">
        <v>6</v>
      </c>
      <c r="D1306" s="13" t="s">
        <v>19395</v>
      </c>
    </row>
    <row r="1307" spans="1:4">
      <c r="A1307" s="13">
        <v>7260301080</v>
      </c>
      <c r="B1307" s="13" t="s">
        <v>19396</v>
      </c>
      <c r="C1307" s="13" t="s">
        <v>6</v>
      </c>
      <c r="D1307" s="13" t="s">
        <v>19397</v>
      </c>
    </row>
    <row r="1308" spans="1:4">
      <c r="A1308" s="13">
        <v>7260301090</v>
      </c>
      <c r="B1308" s="13" t="s">
        <v>19398</v>
      </c>
      <c r="C1308" s="13" t="s">
        <v>6</v>
      </c>
      <c r="D1308" s="13" t="s">
        <v>19399</v>
      </c>
    </row>
    <row r="1309" spans="1:4">
      <c r="A1309" s="13">
        <v>7260301100</v>
      </c>
      <c r="B1309" s="13" t="s">
        <v>19400</v>
      </c>
      <c r="C1309" s="13" t="s">
        <v>6</v>
      </c>
      <c r="D1309" s="13" t="s">
        <v>19401</v>
      </c>
    </row>
    <row r="1310" spans="1:4">
      <c r="A1310" s="13">
        <v>7260301110</v>
      </c>
      <c r="B1310" s="13" t="s">
        <v>19402</v>
      </c>
      <c r="C1310" s="13" t="s">
        <v>6</v>
      </c>
      <c r="D1310" s="13" t="s">
        <v>19403</v>
      </c>
    </row>
    <row r="1311" spans="1:4">
      <c r="A1311" s="13">
        <v>7260301120</v>
      </c>
      <c r="B1311" s="13" t="s">
        <v>19404</v>
      </c>
      <c r="C1311" s="13" t="s">
        <v>6</v>
      </c>
      <c r="D1311" s="13" t="s">
        <v>19405</v>
      </c>
    </row>
    <row r="1312" spans="1:4">
      <c r="A1312" s="13">
        <v>7260301130</v>
      </c>
      <c r="B1312" s="13" t="s">
        <v>19406</v>
      </c>
      <c r="C1312" s="13" t="s">
        <v>6</v>
      </c>
      <c r="D1312" s="13" t="s">
        <v>19407</v>
      </c>
    </row>
    <row r="1313" spans="1:4">
      <c r="A1313" s="13">
        <v>7260301140</v>
      </c>
      <c r="B1313" s="13" t="s">
        <v>19408</v>
      </c>
      <c r="C1313" s="13" t="s">
        <v>6</v>
      </c>
      <c r="D1313" s="13" t="s">
        <v>19409</v>
      </c>
    </row>
    <row r="1314" spans="1:4">
      <c r="A1314" s="13">
        <v>7260301150</v>
      </c>
      <c r="B1314" s="13" t="s">
        <v>19410</v>
      </c>
      <c r="C1314" s="13" t="s">
        <v>6</v>
      </c>
      <c r="D1314" s="13" t="s">
        <v>19411</v>
      </c>
    </row>
    <row r="1315" spans="1:4">
      <c r="A1315" s="13">
        <v>7260301160</v>
      </c>
      <c r="B1315" s="13" t="s">
        <v>19412</v>
      </c>
      <c r="C1315" s="13" t="s">
        <v>6</v>
      </c>
      <c r="D1315" s="13" t="s">
        <v>19413</v>
      </c>
    </row>
    <row r="1316" spans="1:4">
      <c r="A1316" s="13">
        <v>7260301170</v>
      </c>
      <c r="B1316" s="13" t="s">
        <v>19414</v>
      </c>
      <c r="C1316" s="13" t="s">
        <v>6</v>
      </c>
      <c r="D1316" s="13" t="s">
        <v>19415</v>
      </c>
    </row>
    <row r="1317" spans="1:4">
      <c r="A1317" s="13">
        <v>7260301180</v>
      </c>
      <c r="B1317" s="13" t="s">
        <v>19416</v>
      </c>
      <c r="C1317" s="13" t="s">
        <v>6</v>
      </c>
      <c r="D1317" s="13" t="s">
        <v>19417</v>
      </c>
    </row>
    <row r="1318" spans="1:4">
      <c r="A1318" s="13">
        <v>7260301190</v>
      </c>
      <c r="B1318" s="13" t="s">
        <v>19418</v>
      </c>
      <c r="C1318" s="13" t="s">
        <v>6</v>
      </c>
      <c r="D1318" s="13" t="s">
        <v>19419</v>
      </c>
    </row>
    <row r="1319" spans="1:4">
      <c r="A1319" s="13">
        <v>7260301200</v>
      </c>
      <c r="B1319" s="13" t="s">
        <v>19420</v>
      </c>
      <c r="C1319" s="13" t="s">
        <v>6</v>
      </c>
      <c r="D1319" s="13" t="s">
        <v>19421</v>
      </c>
    </row>
    <row r="1320" spans="1:4">
      <c r="A1320" s="13">
        <v>7260301210</v>
      </c>
      <c r="B1320" s="13" t="s">
        <v>19422</v>
      </c>
      <c r="C1320" s="13" t="s">
        <v>6</v>
      </c>
      <c r="D1320" s="13" t="s">
        <v>19423</v>
      </c>
    </row>
    <row r="1321" spans="1:4">
      <c r="A1321" s="13">
        <v>7260301220</v>
      </c>
      <c r="B1321" s="13" t="s">
        <v>19424</v>
      </c>
      <c r="C1321" s="13" t="s">
        <v>6</v>
      </c>
      <c r="D1321" s="13" t="s">
        <v>19425</v>
      </c>
    </row>
    <row r="1322" spans="1:4">
      <c r="A1322" s="13">
        <v>7260301230</v>
      </c>
      <c r="B1322" s="13" t="s">
        <v>19426</v>
      </c>
      <c r="C1322" s="13" t="s">
        <v>6</v>
      </c>
      <c r="D1322" s="13" t="s">
        <v>19427</v>
      </c>
    </row>
    <row r="1323" spans="1:4">
      <c r="A1323" s="13">
        <v>7260301240</v>
      </c>
      <c r="B1323" s="13" t="s">
        <v>19428</v>
      </c>
      <c r="C1323" s="13" t="s">
        <v>6</v>
      </c>
      <c r="D1323" s="13" t="s">
        <v>19429</v>
      </c>
    </row>
    <row r="1324" spans="1:4">
      <c r="A1324" s="13">
        <v>7260301250</v>
      </c>
      <c r="B1324" s="13" t="s">
        <v>19430</v>
      </c>
      <c r="C1324" s="13" t="s">
        <v>6</v>
      </c>
      <c r="D1324" s="13" t="s">
        <v>19431</v>
      </c>
    </row>
    <row r="1325" spans="1:4">
      <c r="A1325" s="13">
        <v>7260301260</v>
      </c>
      <c r="B1325" s="13" t="s">
        <v>19432</v>
      </c>
      <c r="C1325" s="13" t="s">
        <v>6</v>
      </c>
      <c r="D1325" s="13" t="s">
        <v>19433</v>
      </c>
    </row>
    <row r="1326" spans="1:4">
      <c r="A1326" s="13">
        <v>7260301270</v>
      </c>
      <c r="B1326" s="13" t="s">
        <v>19434</v>
      </c>
      <c r="C1326" s="13" t="s">
        <v>6</v>
      </c>
      <c r="D1326" s="13" t="s">
        <v>19435</v>
      </c>
    </row>
    <row r="1327" spans="1:4">
      <c r="A1327" s="13">
        <v>7260301280</v>
      </c>
      <c r="B1327" s="13" t="s">
        <v>19436</v>
      </c>
      <c r="C1327" s="13" t="s">
        <v>6</v>
      </c>
      <c r="D1327" s="13" t="s">
        <v>19437</v>
      </c>
    </row>
    <row r="1328" spans="1:4">
      <c r="A1328" s="13">
        <v>7260301290</v>
      </c>
      <c r="B1328" s="13" t="s">
        <v>19438</v>
      </c>
      <c r="C1328" s="13" t="s">
        <v>6</v>
      </c>
      <c r="D1328" s="13" t="s">
        <v>19439</v>
      </c>
    </row>
    <row r="1329" spans="1:4">
      <c r="A1329" s="13">
        <v>7260301300</v>
      </c>
      <c r="B1329" s="13" t="s">
        <v>19440</v>
      </c>
      <c r="C1329" s="13" t="s">
        <v>6</v>
      </c>
      <c r="D1329" s="13" t="s">
        <v>19441</v>
      </c>
    </row>
    <row r="1330" spans="1:4">
      <c r="A1330" s="13">
        <v>7260301310</v>
      </c>
      <c r="B1330" s="13" t="s">
        <v>19442</v>
      </c>
      <c r="C1330" s="13" t="s">
        <v>6</v>
      </c>
      <c r="D1330" s="13" t="s">
        <v>19443</v>
      </c>
    </row>
    <row r="1331" spans="1:4">
      <c r="A1331" s="13">
        <v>7260301320</v>
      </c>
      <c r="B1331" s="13" t="s">
        <v>19444</v>
      </c>
      <c r="C1331" s="13" t="s">
        <v>6</v>
      </c>
      <c r="D1331" s="13" t="s">
        <v>19445</v>
      </c>
    </row>
    <row r="1332" spans="1:4">
      <c r="A1332" s="13">
        <v>7260301330</v>
      </c>
      <c r="B1332" s="13" t="s">
        <v>19446</v>
      </c>
      <c r="C1332" s="13" t="s">
        <v>6</v>
      </c>
      <c r="D1332" s="13" t="s">
        <v>19447</v>
      </c>
    </row>
    <row r="1333" spans="1:4">
      <c r="A1333" s="13">
        <v>7260301340</v>
      </c>
      <c r="B1333" s="13" t="s">
        <v>19448</v>
      </c>
      <c r="C1333" s="13" t="s">
        <v>6</v>
      </c>
      <c r="D1333" s="13" t="s">
        <v>19449</v>
      </c>
    </row>
    <row r="1334" spans="1:4">
      <c r="A1334" s="13">
        <v>7260301350</v>
      </c>
      <c r="B1334" s="13" t="s">
        <v>19450</v>
      </c>
      <c r="C1334" s="13" t="s">
        <v>6</v>
      </c>
      <c r="D1334" s="13" t="s">
        <v>19451</v>
      </c>
    </row>
    <row r="1335" spans="1:4">
      <c r="A1335" s="13">
        <v>7260301360</v>
      </c>
      <c r="B1335" s="13" t="s">
        <v>19452</v>
      </c>
      <c r="C1335" s="13" t="s">
        <v>6</v>
      </c>
      <c r="D1335" s="13" t="s">
        <v>19453</v>
      </c>
    </row>
    <row r="1336" spans="1:4">
      <c r="A1336" s="13">
        <v>7260301370</v>
      </c>
      <c r="B1336" s="13" t="s">
        <v>19454</v>
      </c>
      <c r="C1336" s="13" t="s">
        <v>6</v>
      </c>
      <c r="D1336" s="13" t="s">
        <v>19455</v>
      </c>
    </row>
    <row r="1337" spans="1:4">
      <c r="A1337" s="13">
        <v>7260301380</v>
      </c>
      <c r="B1337" s="13" t="s">
        <v>19456</v>
      </c>
      <c r="C1337" s="13" t="s">
        <v>6</v>
      </c>
      <c r="D1337" s="13" t="s">
        <v>19457</v>
      </c>
    </row>
    <row r="1338" spans="1:4">
      <c r="A1338" s="13">
        <v>7260301390</v>
      </c>
      <c r="B1338" s="13" t="s">
        <v>19458</v>
      </c>
      <c r="C1338" s="13" t="s">
        <v>6</v>
      </c>
      <c r="D1338" s="13" t="s">
        <v>19459</v>
      </c>
    </row>
    <row r="1339" spans="1:4">
      <c r="A1339" s="13">
        <v>7260301400</v>
      </c>
      <c r="B1339" s="13" t="s">
        <v>19460</v>
      </c>
      <c r="C1339" s="13" t="s">
        <v>6</v>
      </c>
      <c r="D1339" s="27" t="s">
        <v>19461</v>
      </c>
    </row>
    <row r="1340" spans="1:4">
      <c r="A1340" s="13">
        <v>7260301410</v>
      </c>
      <c r="B1340" s="13" t="s">
        <v>19462</v>
      </c>
      <c r="C1340" s="13" t="s">
        <v>6</v>
      </c>
      <c r="D1340" s="27" t="s">
        <v>19463</v>
      </c>
    </row>
    <row r="1341" spans="1:4">
      <c r="A1341" s="13">
        <v>7260301420</v>
      </c>
      <c r="B1341" s="13" t="s">
        <v>19464</v>
      </c>
      <c r="C1341" s="13" t="s">
        <v>6</v>
      </c>
      <c r="D1341" s="13" t="s">
        <v>19465</v>
      </c>
    </row>
    <row r="1342" spans="1:4">
      <c r="A1342" s="13">
        <v>7260301430</v>
      </c>
      <c r="B1342" s="13" t="s">
        <v>19466</v>
      </c>
      <c r="C1342" s="13" t="s">
        <v>6</v>
      </c>
      <c r="D1342" s="13" t="s">
        <v>19467</v>
      </c>
    </row>
    <row r="1343" spans="1:4">
      <c r="A1343" s="13">
        <v>7260301440</v>
      </c>
      <c r="B1343" s="13" t="s">
        <v>19468</v>
      </c>
      <c r="C1343" s="13" t="s">
        <v>6</v>
      </c>
      <c r="D1343" s="13" t="s">
        <v>19469</v>
      </c>
    </row>
    <row r="1344" spans="1:4">
      <c r="A1344" s="13">
        <v>7260301450</v>
      </c>
      <c r="B1344" s="13" t="s">
        <v>19470</v>
      </c>
      <c r="C1344" s="13" t="s">
        <v>6</v>
      </c>
      <c r="D1344" s="13" t="s">
        <v>19471</v>
      </c>
    </row>
    <row r="1345" spans="1:4">
      <c r="A1345" s="13">
        <v>7260301460</v>
      </c>
      <c r="B1345" s="13" t="s">
        <v>19472</v>
      </c>
      <c r="C1345" s="13" t="s">
        <v>6</v>
      </c>
      <c r="D1345" s="13" t="s">
        <v>19473</v>
      </c>
    </row>
    <row r="1346" spans="1:4">
      <c r="A1346" s="13">
        <v>7260301470</v>
      </c>
      <c r="B1346" s="13" t="s">
        <v>19474</v>
      </c>
      <c r="C1346" s="13" t="s">
        <v>6</v>
      </c>
      <c r="D1346" s="13" t="s">
        <v>19475</v>
      </c>
    </row>
    <row r="1347" spans="1:4">
      <c r="A1347" s="13">
        <v>7260301480</v>
      </c>
      <c r="B1347" s="13" t="s">
        <v>19476</v>
      </c>
      <c r="C1347" s="13" t="s">
        <v>6</v>
      </c>
      <c r="D1347" s="13" t="s">
        <v>19477</v>
      </c>
    </row>
    <row r="1348" spans="1:4">
      <c r="A1348" s="13">
        <v>7260301490</v>
      </c>
      <c r="B1348" s="13" t="s">
        <v>19478</v>
      </c>
      <c r="C1348" s="13" t="s">
        <v>6</v>
      </c>
      <c r="D1348" s="13" t="s">
        <v>19479</v>
      </c>
    </row>
    <row r="1349" spans="1:4">
      <c r="A1349" s="13">
        <v>7260301500</v>
      </c>
      <c r="B1349" s="13" t="s">
        <v>19480</v>
      </c>
      <c r="C1349" s="13" t="s">
        <v>6</v>
      </c>
      <c r="D1349" s="13" t="s">
        <v>19481</v>
      </c>
    </row>
    <row r="1350" spans="1:4">
      <c r="A1350" s="13">
        <v>7260301510</v>
      </c>
      <c r="B1350" s="13" t="s">
        <v>19482</v>
      </c>
      <c r="C1350" s="13" t="s">
        <v>6</v>
      </c>
      <c r="D1350" s="13" t="s">
        <v>19483</v>
      </c>
    </row>
    <row r="1351" spans="1:4">
      <c r="A1351" s="13">
        <v>7260301520</v>
      </c>
      <c r="B1351" s="13" t="s">
        <v>19484</v>
      </c>
      <c r="C1351" s="13" t="s">
        <v>6</v>
      </c>
      <c r="D1351" s="13" t="s">
        <v>19485</v>
      </c>
    </row>
    <row r="1356" spans="1:4">
      <c r="A1356" s="13">
        <v>7260301530</v>
      </c>
      <c r="B1356" s="13" t="s">
        <v>19486</v>
      </c>
      <c r="C1356" s="13" t="s">
        <v>6</v>
      </c>
      <c r="D1356" s="13" t="s">
        <v>19487</v>
      </c>
    </row>
    <row r="1357" spans="1:4">
      <c r="A1357" s="13">
        <v>7260301540</v>
      </c>
      <c r="B1357" s="13" t="s">
        <v>19488</v>
      </c>
      <c r="C1357" s="13" t="s">
        <v>6</v>
      </c>
      <c r="D1357" s="13" t="s">
        <v>19489</v>
      </c>
    </row>
    <row r="1358" spans="1:4">
      <c r="A1358" s="13">
        <v>7260301550</v>
      </c>
      <c r="B1358" s="13" t="s">
        <v>19490</v>
      </c>
      <c r="C1358" s="13" t="s">
        <v>6</v>
      </c>
      <c r="D1358" s="13" t="s">
        <v>19491</v>
      </c>
    </row>
    <row r="1359" spans="1:4">
      <c r="A1359" s="13">
        <v>7260301560</v>
      </c>
      <c r="B1359" s="13" t="s">
        <v>19492</v>
      </c>
      <c r="C1359" s="13" t="s">
        <v>6</v>
      </c>
      <c r="D1359" s="13" t="s">
        <v>19493</v>
      </c>
    </row>
    <row r="1360" spans="1:4">
      <c r="A1360" s="13">
        <v>7260301570</v>
      </c>
      <c r="B1360" s="13" t="s">
        <v>19494</v>
      </c>
      <c r="C1360" s="13" t="s">
        <v>6</v>
      </c>
      <c r="D1360" s="13" t="s">
        <v>19495</v>
      </c>
    </row>
    <row r="1361" spans="1:4">
      <c r="A1361" s="13">
        <v>7260301580</v>
      </c>
      <c r="B1361" s="13" t="s">
        <v>19496</v>
      </c>
      <c r="C1361" s="13" t="s">
        <v>6</v>
      </c>
      <c r="D1361" s="13" t="s">
        <v>19497</v>
      </c>
    </row>
    <row r="1362" spans="1:4">
      <c r="A1362" s="13">
        <v>7260301590</v>
      </c>
      <c r="B1362" s="13" t="s">
        <v>19498</v>
      </c>
      <c r="C1362" s="13" t="s">
        <v>6</v>
      </c>
      <c r="D1362" s="13" t="s">
        <v>19499</v>
      </c>
    </row>
    <row r="1363" spans="1:4">
      <c r="A1363" s="13">
        <v>7260301600</v>
      </c>
      <c r="B1363" s="13" t="s">
        <v>19500</v>
      </c>
      <c r="C1363" s="13" t="s">
        <v>6</v>
      </c>
      <c r="D1363" s="13" t="s">
        <v>19501</v>
      </c>
    </row>
    <row r="1364" spans="1:4">
      <c r="A1364" s="13">
        <v>7260301610</v>
      </c>
      <c r="B1364" s="13" t="s">
        <v>19502</v>
      </c>
      <c r="C1364" s="13" t="s">
        <v>6</v>
      </c>
      <c r="D1364" s="13" t="s">
        <v>19503</v>
      </c>
    </row>
    <row r="1365" spans="1:4">
      <c r="A1365" s="13">
        <v>7260301620</v>
      </c>
      <c r="B1365" s="13" t="s">
        <v>19504</v>
      </c>
      <c r="C1365" s="13" t="s">
        <v>6</v>
      </c>
      <c r="D1365" s="13" t="s">
        <v>19505</v>
      </c>
    </row>
    <row r="1366" spans="1:4">
      <c r="A1366" s="13">
        <v>7260301630</v>
      </c>
      <c r="B1366" s="13" t="s">
        <v>19506</v>
      </c>
      <c r="C1366" s="13" t="s">
        <v>6</v>
      </c>
      <c r="D1366" s="13" t="s">
        <v>19507</v>
      </c>
    </row>
    <row r="1367" spans="1:4">
      <c r="A1367" s="13">
        <v>7260301640</v>
      </c>
      <c r="B1367" s="13" t="s">
        <v>19508</v>
      </c>
      <c r="C1367" s="13" t="s">
        <v>6</v>
      </c>
      <c r="D1367" s="13" t="s">
        <v>19509</v>
      </c>
    </row>
    <row r="1368" spans="1:4">
      <c r="A1368" s="13">
        <v>7260301650</v>
      </c>
      <c r="B1368" s="13" t="s">
        <v>19510</v>
      </c>
      <c r="C1368" s="13" t="s">
        <v>6</v>
      </c>
      <c r="D1368" s="13" t="s">
        <v>19511</v>
      </c>
    </row>
    <row r="1369" spans="1:4">
      <c r="A1369" s="13">
        <v>7260301660</v>
      </c>
      <c r="B1369" s="13" t="s">
        <v>19512</v>
      </c>
      <c r="C1369" s="13" t="s">
        <v>6</v>
      </c>
      <c r="D1369" s="13" t="s">
        <v>19513</v>
      </c>
    </row>
    <row r="1370" spans="1:4">
      <c r="A1370" s="13">
        <v>7260301670</v>
      </c>
      <c r="B1370" s="13" t="s">
        <v>19514</v>
      </c>
      <c r="C1370" s="13" t="s">
        <v>6</v>
      </c>
      <c r="D1370" s="13" t="s">
        <v>19515</v>
      </c>
    </row>
    <row r="1371" spans="1:4">
      <c r="A1371" s="13">
        <v>7260301680</v>
      </c>
      <c r="B1371" s="13" t="s">
        <v>19516</v>
      </c>
      <c r="C1371" s="13" t="s">
        <v>6</v>
      </c>
      <c r="D1371" s="13" t="s">
        <v>19517</v>
      </c>
    </row>
    <row r="1372" spans="1:4">
      <c r="A1372" s="13">
        <v>7260350010</v>
      </c>
      <c r="B1372" s="13" t="s">
        <v>19518</v>
      </c>
      <c r="C1372" s="13" t="s">
        <v>6</v>
      </c>
      <c r="D1372" s="13" t="s">
        <v>4057</v>
      </c>
    </row>
    <row r="1373" spans="1:4">
      <c r="A1373" s="13">
        <v>7260350020</v>
      </c>
      <c r="B1373" s="13" t="s">
        <v>19519</v>
      </c>
      <c r="C1373" s="13" t="s">
        <v>6</v>
      </c>
      <c r="D1373" s="13" t="s">
        <v>19520</v>
      </c>
    </row>
    <row r="1374" spans="1:4">
      <c r="A1374" s="13">
        <v>7260350030</v>
      </c>
      <c r="B1374" s="13" t="s">
        <v>19521</v>
      </c>
      <c r="C1374" s="13" t="s">
        <v>6</v>
      </c>
      <c r="D1374" s="13" t="s">
        <v>19522</v>
      </c>
    </row>
    <row r="1375" spans="1:4">
      <c r="A1375" s="13">
        <v>7260350040</v>
      </c>
      <c r="B1375" s="13" t="s">
        <v>19523</v>
      </c>
      <c r="C1375" s="13" t="s">
        <v>6</v>
      </c>
      <c r="D1375" s="13" t="s">
        <v>19522</v>
      </c>
    </row>
    <row r="1376" spans="1:4">
      <c r="A1376" s="13">
        <v>7260350050</v>
      </c>
      <c r="B1376" s="13" t="s">
        <v>19524</v>
      </c>
      <c r="C1376" s="13" t="s">
        <v>6</v>
      </c>
      <c r="D1376" s="13" t="s">
        <v>19525</v>
      </c>
    </row>
    <row r="1377" spans="1:4">
      <c r="A1377" s="13">
        <v>7260350060</v>
      </c>
      <c r="B1377" s="13" t="s">
        <v>19526</v>
      </c>
      <c r="C1377" s="13" t="s">
        <v>6</v>
      </c>
      <c r="D1377" s="13" t="s">
        <v>19527</v>
      </c>
    </row>
    <row r="1378" spans="1:4">
      <c r="A1378" s="13">
        <v>7260350070</v>
      </c>
      <c r="B1378" s="13" t="s">
        <v>19528</v>
      </c>
      <c r="C1378" s="13" t="s">
        <v>6</v>
      </c>
      <c r="D1378" s="13" t="s">
        <v>19529</v>
      </c>
    </row>
    <row r="1379" spans="1:4">
      <c r="A1379" s="13">
        <v>7260350080</v>
      </c>
      <c r="B1379" s="13" t="s">
        <v>19530</v>
      </c>
      <c r="C1379" s="13" t="s">
        <v>6</v>
      </c>
      <c r="D1379" s="13" t="s">
        <v>19527</v>
      </c>
    </row>
    <row r="1380" spans="1:4">
      <c r="A1380" s="13">
        <v>7260350090</v>
      </c>
      <c r="B1380" s="13" t="s">
        <v>19531</v>
      </c>
      <c r="C1380" s="13" t="s">
        <v>6</v>
      </c>
      <c r="D1380" s="13" t="s">
        <v>19532</v>
      </c>
    </row>
    <row r="1381" spans="1:4">
      <c r="A1381" s="13">
        <v>7260350100</v>
      </c>
      <c r="B1381" s="13" t="s">
        <v>19533</v>
      </c>
      <c r="C1381" s="13" t="s">
        <v>6</v>
      </c>
      <c r="D1381" s="13" t="s">
        <v>19534</v>
      </c>
    </row>
    <row r="1382" spans="1:4">
      <c r="A1382" s="13">
        <v>7260350110</v>
      </c>
      <c r="B1382" s="13" t="s">
        <v>19535</v>
      </c>
      <c r="C1382" s="13" t="s">
        <v>6</v>
      </c>
      <c r="D1382" s="13" t="s">
        <v>19536</v>
      </c>
    </row>
    <row r="1383" spans="1:4">
      <c r="A1383" s="13">
        <v>7260350120</v>
      </c>
      <c r="B1383" s="13" t="s">
        <v>19537</v>
      </c>
      <c r="C1383" s="13" t="s">
        <v>6</v>
      </c>
      <c r="D1383" s="13" t="s">
        <v>19538</v>
      </c>
    </row>
    <row r="1384" spans="1:4">
      <c r="A1384" s="13">
        <v>7260350130</v>
      </c>
      <c r="B1384" s="13" t="s">
        <v>19539</v>
      </c>
      <c r="C1384" s="13" t="s">
        <v>6</v>
      </c>
      <c r="D1384" s="13" t="s">
        <v>19540</v>
      </c>
    </row>
    <row r="1385" spans="1:4">
      <c r="A1385" s="13">
        <v>7260350140</v>
      </c>
      <c r="B1385" s="13" t="s">
        <v>19541</v>
      </c>
      <c r="C1385" s="13" t="s">
        <v>6</v>
      </c>
      <c r="D1385" s="13" t="s">
        <v>19542</v>
      </c>
    </row>
    <row r="1386" spans="1:4">
      <c r="A1386" s="13">
        <v>7260350150</v>
      </c>
      <c r="B1386" s="13" t="s">
        <v>19543</v>
      </c>
      <c r="C1386" s="13" t="s">
        <v>6</v>
      </c>
      <c r="D1386" s="13" t="s">
        <v>19544</v>
      </c>
    </row>
    <row r="1387" spans="1:4">
      <c r="A1387" s="13">
        <v>7260350160</v>
      </c>
      <c r="B1387" s="13" t="s">
        <v>19545</v>
      </c>
      <c r="C1387" s="13" t="s">
        <v>6</v>
      </c>
      <c r="D1387" s="13" t="s">
        <v>19546</v>
      </c>
    </row>
    <row r="1388" spans="1:4">
      <c r="A1388" s="13">
        <v>7260350170</v>
      </c>
      <c r="B1388" s="13" t="s">
        <v>19547</v>
      </c>
      <c r="C1388" s="13" t="s">
        <v>6</v>
      </c>
      <c r="D1388" s="13" t="s">
        <v>19548</v>
      </c>
    </row>
    <row r="1389" spans="1:4">
      <c r="A1389" s="13">
        <v>7260350180</v>
      </c>
      <c r="B1389" s="13" t="s">
        <v>19549</v>
      </c>
      <c r="C1389" s="13" t="s">
        <v>6</v>
      </c>
      <c r="D1389" s="13" t="s">
        <v>19550</v>
      </c>
    </row>
    <row r="1390" spans="1:4">
      <c r="A1390" s="13">
        <v>7260350190</v>
      </c>
      <c r="B1390" s="13" t="s">
        <v>19551</v>
      </c>
      <c r="C1390" s="13" t="s">
        <v>6</v>
      </c>
      <c r="D1390" s="13" t="s">
        <v>19552</v>
      </c>
    </row>
    <row r="1391" spans="1:4">
      <c r="A1391" s="13">
        <v>7260350200</v>
      </c>
      <c r="B1391" s="13" t="s">
        <v>19553</v>
      </c>
      <c r="C1391" s="13" t="s">
        <v>6</v>
      </c>
      <c r="D1391" s="13" t="s">
        <v>19554</v>
      </c>
    </row>
    <row r="1392" spans="1:4">
      <c r="A1392" s="13">
        <v>7260350210</v>
      </c>
      <c r="B1392" s="13" t="s">
        <v>19555</v>
      </c>
      <c r="C1392" s="13" t="s">
        <v>6</v>
      </c>
      <c r="D1392" s="13" t="s">
        <v>19556</v>
      </c>
    </row>
    <row r="1393" spans="1:4">
      <c r="A1393" s="13">
        <v>7260350220</v>
      </c>
      <c r="B1393" s="13" t="s">
        <v>19557</v>
      </c>
      <c r="C1393" s="13" t="s">
        <v>6</v>
      </c>
      <c r="D1393" s="13" t="s">
        <v>19558</v>
      </c>
    </row>
    <row r="1394" spans="1:4">
      <c r="A1394" s="13">
        <v>7260350230</v>
      </c>
      <c r="B1394" s="13" t="s">
        <v>19559</v>
      </c>
      <c r="C1394" s="13" t="s">
        <v>6</v>
      </c>
      <c r="D1394" s="13" t="s">
        <v>19560</v>
      </c>
    </row>
    <row r="1395" spans="1:4">
      <c r="A1395" s="13">
        <v>7260350290</v>
      </c>
      <c r="B1395" s="13" t="s">
        <v>19561</v>
      </c>
      <c r="C1395" s="13" t="s">
        <v>6</v>
      </c>
      <c r="D1395" s="13" t="s">
        <v>2543</v>
      </c>
    </row>
    <row r="1396" spans="1:4">
      <c r="A1396" s="13">
        <v>7260350320</v>
      </c>
      <c r="B1396" s="13" t="s">
        <v>19562</v>
      </c>
      <c r="C1396" s="13" t="s">
        <v>6</v>
      </c>
      <c r="D1396" s="13" t="s">
        <v>19563</v>
      </c>
    </row>
    <row r="1397" spans="1:4">
      <c r="A1397" s="13">
        <v>7260350360</v>
      </c>
      <c r="B1397" s="13" t="s">
        <v>19564</v>
      </c>
      <c r="C1397" s="13" t="s">
        <v>6</v>
      </c>
      <c r="D1397" s="27" t="s">
        <v>19565</v>
      </c>
    </row>
    <row r="1398" spans="1:4">
      <c r="A1398" s="13">
        <v>7260350580</v>
      </c>
      <c r="B1398" s="13" t="s">
        <v>19566</v>
      </c>
      <c r="C1398" s="13" t="s">
        <v>6</v>
      </c>
      <c r="D1398" s="27" t="s">
        <v>6801</v>
      </c>
    </row>
    <row r="1399" spans="1:4">
      <c r="A1399" s="13">
        <v>7260350620</v>
      </c>
      <c r="B1399" s="13" t="s">
        <v>19567</v>
      </c>
      <c r="C1399" s="13" t="s">
        <v>6</v>
      </c>
      <c r="D1399" s="13" t="s">
        <v>19568</v>
      </c>
    </row>
    <row r="1400" spans="1:4">
      <c r="A1400" s="13">
        <v>7260350860</v>
      </c>
      <c r="B1400" s="13" t="s">
        <v>19569</v>
      </c>
      <c r="C1400" s="13" t="s">
        <v>6</v>
      </c>
      <c r="D1400" s="13" t="s">
        <v>19570</v>
      </c>
    </row>
    <row r="1401" spans="1:4">
      <c r="A1401" s="13">
        <v>7260350880</v>
      </c>
      <c r="B1401" s="13" t="s">
        <v>19571</v>
      </c>
      <c r="C1401" s="13" t="s">
        <v>6</v>
      </c>
      <c r="D1401" s="13" t="s">
        <v>19572</v>
      </c>
    </row>
    <row r="1402" spans="1:4">
      <c r="A1402" s="13">
        <v>7260350900</v>
      </c>
      <c r="B1402" s="13" t="s">
        <v>19573</v>
      </c>
      <c r="C1402" s="13" t="s">
        <v>6</v>
      </c>
      <c r="D1402" s="13" t="s">
        <v>19574</v>
      </c>
    </row>
    <row r="1403" spans="1:4">
      <c r="A1403" s="13">
        <v>7260350920</v>
      </c>
      <c r="B1403" s="13" t="s">
        <v>19575</v>
      </c>
      <c r="C1403" s="13" t="s">
        <v>6</v>
      </c>
      <c r="D1403" s="13" t="s">
        <v>19576</v>
      </c>
    </row>
    <row r="1408" spans="1:4">
      <c r="A1408" s="13">
        <v>7260350960</v>
      </c>
      <c r="B1408" s="13" t="s">
        <v>19577</v>
      </c>
      <c r="C1408" s="13" t="s">
        <v>6</v>
      </c>
      <c r="D1408" s="13" t="s">
        <v>2381</v>
      </c>
    </row>
    <row r="1409" spans="1:4">
      <c r="A1409" s="13">
        <v>7260500010</v>
      </c>
      <c r="B1409" s="13" t="s">
        <v>19578</v>
      </c>
      <c r="C1409" s="13" t="s">
        <v>6</v>
      </c>
      <c r="D1409" s="13" t="s">
        <v>19579</v>
      </c>
    </row>
    <row r="1410" spans="1:4">
      <c r="A1410" s="13">
        <v>7260500020</v>
      </c>
      <c r="B1410" s="13" t="s">
        <v>19580</v>
      </c>
      <c r="C1410" s="13" t="s">
        <v>6</v>
      </c>
      <c r="D1410" s="13" t="s">
        <v>19581</v>
      </c>
    </row>
    <row r="1411" spans="1:4">
      <c r="A1411" s="13">
        <v>7260500030</v>
      </c>
      <c r="B1411" s="13" t="s">
        <v>19582</v>
      </c>
      <c r="C1411" s="13" t="s">
        <v>6</v>
      </c>
      <c r="D1411" s="13" t="s">
        <v>19583</v>
      </c>
    </row>
    <row r="1412" spans="1:4">
      <c r="A1412" s="13">
        <v>7260500040</v>
      </c>
      <c r="B1412" s="13" t="s">
        <v>19584</v>
      </c>
      <c r="C1412" s="13" t="s">
        <v>6</v>
      </c>
      <c r="D1412" s="13" t="s">
        <v>19585</v>
      </c>
    </row>
    <row r="1413" spans="1:4">
      <c r="A1413" s="13">
        <v>7260500050</v>
      </c>
      <c r="B1413" s="13" t="s">
        <v>19586</v>
      </c>
      <c r="C1413" s="13" t="s">
        <v>6</v>
      </c>
      <c r="D1413" s="13" t="s">
        <v>19587</v>
      </c>
    </row>
    <row r="1414" spans="1:4">
      <c r="A1414" s="13">
        <v>7260500060</v>
      </c>
      <c r="B1414" s="13" t="s">
        <v>19588</v>
      </c>
      <c r="C1414" s="13" t="s">
        <v>6</v>
      </c>
      <c r="D1414" s="13" t="s">
        <v>19589</v>
      </c>
    </row>
    <row r="1415" spans="1:4">
      <c r="A1415" s="13">
        <v>7260500070</v>
      </c>
      <c r="B1415" s="13" t="s">
        <v>19590</v>
      </c>
      <c r="C1415" s="13" t="s">
        <v>6</v>
      </c>
      <c r="D1415" s="13" t="s">
        <v>19591</v>
      </c>
    </row>
    <row r="1416" spans="1:4">
      <c r="A1416" s="13">
        <v>7260500080</v>
      </c>
      <c r="B1416" s="13" t="s">
        <v>19592</v>
      </c>
      <c r="C1416" s="13" t="s">
        <v>6</v>
      </c>
      <c r="D1416" s="13" t="s">
        <v>19593</v>
      </c>
    </row>
    <row r="1417" spans="1:4">
      <c r="A1417" s="13">
        <v>7260500090</v>
      </c>
      <c r="B1417" s="13" t="s">
        <v>19594</v>
      </c>
      <c r="C1417" s="13" t="s">
        <v>6</v>
      </c>
      <c r="D1417" s="13" t="s">
        <v>19595</v>
      </c>
    </row>
    <row r="1418" spans="1:4">
      <c r="A1418" s="13">
        <v>7260500100</v>
      </c>
      <c r="B1418" s="13" t="s">
        <v>19596</v>
      </c>
      <c r="C1418" s="13" t="s">
        <v>6</v>
      </c>
      <c r="D1418" s="13" t="s">
        <v>19597</v>
      </c>
    </row>
    <row r="1419" spans="1:4">
      <c r="A1419" s="13">
        <v>7260500110</v>
      </c>
      <c r="B1419" s="13" t="s">
        <v>19598</v>
      </c>
      <c r="C1419" s="13" t="s">
        <v>6</v>
      </c>
      <c r="D1419" s="13" t="s">
        <v>19599</v>
      </c>
    </row>
    <row r="1420" spans="1:4">
      <c r="A1420" s="13">
        <v>7260500120</v>
      </c>
      <c r="B1420" s="13" t="s">
        <v>19600</v>
      </c>
      <c r="C1420" s="13" t="s">
        <v>6</v>
      </c>
      <c r="D1420" s="13" t="s">
        <v>19601</v>
      </c>
    </row>
    <row r="1421" spans="1:4">
      <c r="A1421" s="13">
        <v>7260500130</v>
      </c>
      <c r="B1421" s="13" t="s">
        <v>19602</v>
      </c>
      <c r="C1421" s="13" t="s">
        <v>6</v>
      </c>
      <c r="D1421" s="13" t="s">
        <v>19603</v>
      </c>
    </row>
    <row r="1422" spans="1:4">
      <c r="A1422" s="13">
        <v>7260500140</v>
      </c>
      <c r="B1422" s="13" t="s">
        <v>19604</v>
      </c>
      <c r="C1422" s="13" t="s">
        <v>6</v>
      </c>
      <c r="D1422" s="13" t="s">
        <v>19605</v>
      </c>
    </row>
    <row r="1423" spans="1:4">
      <c r="A1423" s="13">
        <v>7260500150</v>
      </c>
      <c r="B1423" s="13" t="s">
        <v>19606</v>
      </c>
      <c r="C1423" s="13" t="s">
        <v>6</v>
      </c>
      <c r="D1423" s="13" t="s">
        <v>19607</v>
      </c>
    </row>
    <row r="1424" spans="1:4">
      <c r="A1424" s="13">
        <v>7260500160</v>
      </c>
      <c r="B1424" s="13" t="s">
        <v>19608</v>
      </c>
      <c r="C1424" s="13" t="s">
        <v>6</v>
      </c>
      <c r="D1424" s="13" t="s">
        <v>19609</v>
      </c>
    </row>
    <row r="1425" spans="1:4">
      <c r="A1425" s="13">
        <v>7260500170</v>
      </c>
      <c r="B1425" s="13" t="s">
        <v>19610</v>
      </c>
      <c r="C1425" s="13" t="s">
        <v>6</v>
      </c>
      <c r="D1425" s="13" t="s">
        <v>19611</v>
      </c>
    </row>
    <row r="1426" spans="1:4">
      <c r="A1426" s="13">
        <v>7260500180</v>
      </c>
      <c r="B1426" s="13" t="s">
        <v>19612</v>
      </c>
      <c r="C1426" s="13" t="s">
        <v>6</v>
      </c>
      <c r="D1426" s="13" t="s">
        <v>19613</v>
      </c>
    </row>
    <row r="1427" spans="1:4">
      <c r="A1427" s="13">
        <v>7260500190</v>
      </c>
      <c r="B1427" s="13" t="s">
        <v>19614</v>
      </c>
      <c r="C1427" s="13" t="s">
        <v>6</v>
      </c>
      <c r="D1427" s="13" t="s">
        <v>19615</v>
      </c>
    </row>
    <row r="1428" spans="1:4">
      <c r="A1428" s="13">
        <v>7260500200</v>
      </c>
      <c r="B1428" s="13" t="s">
        <v>19616</v>
      </c>
      <c r="C1428" s="13" t="s">
        <v>6</v>
      </c>
      <c r="D1428" s="13" t="s">
        <v>19617</v>
      </c>
    </row>
    <row r="1429" spans="1:4">
      <c r="A1429" s="13">
        <v>7260550010</v>
      </c>
      <c r="B1429" s="13" t="s">
        <v>19618</v>
      </c>
      <c r="C1429" s="13" t="s">
        <v>6</v>
      </c>
      <c r="D1429" s="13" t="s">
        <v>19619</v>
      </c>
    </row>
    <row r="1430" spans="1:4">
      <c r="A1430" s="13">
        <v>7260550020</v>
      </c>
      <c r="B1430" s="13" t="s">
        <v>19620</v>
      </c>
      <c r="C1430" s="13" t="s">
        <v>6</v>
      </c>
      <c r="D1430" s="13" t="s">
        <v>19621</v>
      </c>
    </row>
    <row r="1431" spans="1:4">
      <c r="A1431" s="13">
        <v>7260550030</v>
      </c>
      <c r="B1431" s="13" t="s">
        <v>19622</v>
      </c>
      <c r="C1431" s="13" t="s">
        <v>6</v>
      </c>
      <c r="D1431" s="13" t="s">
        <v>19623</v>
      </c>
    </row>
    <row r="1432" spans="1:4">
      <c r="A1432" s="13">
        <v>7260550040</v>
      </c>
      <c r="B1432" s="13" t="s">
        <v>19624</v>
      </c>
      <c r="C1432" s="13" t="s">
        <v>6</v>
      </c>
      <c r="D1432" s="13" t="s">
        <v>19625</v>
      </c>
    </row>
    <row r="1433" spans="1:4">
      <c r="A1433" s="13">
        <v>7260550050</v>
      </c>
      <c r="B1433" s="13" t="s">
        <v>19626</v>
      </c>
      <c r="C1433" s="13" t="s">
        <v>6</v>
      </c>
      <c r="D1433" s="13" t="s">
        <v>19627</v>
      </c>
    </row>
    <row r="1434" spans="1:4">
      <c r="A1434" s="13">
        <v>7260550060</v>
      </c>
      <c r="B1434" s="13" t="s">
        <v>19628</v>
      </c>
      <c r="C1434" s="13" t="s">
        <v>6</v>
      </c>
      <c r="D1434" s="13" t="s">
        <v>19629</v>
      </c>
    </row>
    <row r="1435" spans="1:4">
      <c r="A1435" s="13">
        <v>7260550070</v>
      </c>
      <c r="B1435" s="13" t="s">
        <v>19630</v>
      </c>
      <c r="C1435" s="13" t="s">
        <v>6</v>
      </c>
      <c r="D1435" s="13" t="s">
        <v>19631</v>
      </c>
    </row>
    <row r="1436" spans="1:4">
      <c r="A1436" s="13">
        <v>7260550080</v>
      </c>
      <c r="B1436" s="13" t="s">
        <v>19632</v>
      </c>
      <c r="C1436" s="13" t="s">
        <v>6</v>
      </c>
      <c r="D1436" s="13" t="s">
        <v>19633</v>
      </c>
    </row>
    <row r="1437" spans="1:4">
      <c r="A1437" s="13">
        <v>7260550090</v>
      </c>
      <c r="B1437" s="13" t="s">
        <v>19634</v>
      </c>
      <c r="C1437" s="13" t="s">
        <v>6</v>
      </c>
      <c r="D1437" s="13" t="s">
        <v>19635</v>
      </c>
    </row>
    <row r="1438" spans="1:4">
      <c r="A1438" s="13">
        <v>7260550100</v>
      </c>
      <c r="B1438" s="13" t="s">
        <v>19636</v>
      </c>
      <c r="C1438" s="13" t="s">
        <v>6</v>
      </c>
      <c r="D1438" s="13" t="s">
        <v>19637</v>
      </c>
    </row>
    <row r="1439" spans="1:4">
      <c r="A1439" s="13">
        <v>7260550110</v>
      </c>
      <c r="B1439" s="13" t="s">
        <v>19638</v>
      </c>
      <c r="C1439" s="13" t="s">
        <v>6</v>
      </c>
      <c r="D1439" s="13" t="s">
        <v>19639</v>
      </c>
    </row>
    <row r="1440" spans="1:4">
      <c r="A1440" s="13">
        <v>7260550120</v>
      </c>
      <c r="B1440" s="13" t="s">
        <v>19640</v>
      </c>
      <c r="C1440" s="13" t="s">
        <v>6</v>
      </c>
      <c r="D1440" s="13" t="s">
        <v>19641</v>
      </c>
    </row>
    <row r="1441" spans="1:4">
      <c r="A1441" s="13">
        <v>7260550130</v>
      </c>
      <c r="B1441" s="13" t="s">
        <v>19642</v>
      </c>
      <c r="C1441" s="13" t="s">
        <v>6</v>
      </c>
      <c r="D1441" s="13" t="s">
        <v>19643</v>
      </c>
    </row>
    <row r="1442" spans="1:4">
      <c r="A1442" s="13">
        <v>7260550140</v>
      </c>
      <c r="B1442" s="13" t="s">
        <v>19644</v>
      </c>
      <c r="C1442" s="13" t="s">
        <v>6</v>
      </c>
      <c r="D1442" s="13" t="s">
        <v>19645</v>
      </c>
    </row>
    <row r="1443" spans="1:4">
      <c r="A1443" s="13">
        <v>7260550150</v>
      </c>
      <c r="B1443" s="13" t="s">
        <v>19646</v>
      </c>
      <c r="C1443" s="13" t="s">
        <v>6</v>
      </c>
      <c r="D1443" s="13" t="s">
        <v>19647</v>
      </c>
    </row>
    <row r="1444" spans="1:4">
      <c r="A1444" s="13">
        <v>7260550160</v>
      </c>
      <c r="B1444" s="13" t="s">
        <v>19648</v>
      </c>
      <c r="C1444" s="13" t="s">
        <v>6</v>
      </c>
      <c r="D1444" s="13" t="s">
        <v>19649</v>
      </c>
    </row>
    <row r="1445" spans="1:4">
      <c r="A1445" s="13">
        <v>7260550170</v>
      </c>
      <c r="B1445" s="13" t="s">
        <v>19650</v>
      </c>
      <c r="C1445" s="13" t="s">
        <v>6</v>
      </c>
      <c r="D1445" s="13" t="s">
        <v>19651</v>
      </c>
    </row>
    <row r="1446" spans="1:4">
      <c r="A1446" s="13">
        <v>7260550180</v>
      </c>
      <c r="B1446" s="13" t="s">
        <v>19652</v>
      </c>
      <c r="C1446" s="13" t="s">
        <v>6</v>
      </c>
      <c r="D1446" s="13" t="s">
        <v>19653</v>
      </c>
    </row>
    <row r="1447" spans="1:4">
      <c r="A1447" s="13">
        <v>7260550190</v>
      </c>
      <c r="B1447" s="13" t="s">
        <v>19654</v>
      </c>
      <c r="C1447" s="13" t="s">
        <v>6</v>
      </c>
      <c r="D1447" s="13" t="s">
        <v>19655</v>
      </c>
    </row>
    <row r="1448" spans="1:4">
      <c r="A1448" s="13">
        <v>7260550200</v>
      </c>
      <c r="B1448" s="13" t="s">
        <v>19656</v>
      </c>
      <c r="C1448" s="13" t="s">
        <v>6</v>
      </c>
      <c r="D1448" s="13" t="s">
        <v>5940</v>
      </c>
    </row>
    <row r="1455" spans="1:4">
      <c r="D1455" s="27"/>
    </row>
    <row r="1456" spans="1:4">
      <c r="D1456" s="27"/>
    </row>
    <row r="1513" spans="4:4">
      <c r="D1513" s="27"/>
    </row>
    <row r="1514" spans="4:4">
      <c r="D1514" s="27"/>
    </row>
    <row r="1571" spans="4:4">
      <c r="D1571" s="27"/>
    </row>
    <row r="1572" spans="4:4">
      <c r="D1572" s="27"/>
    </row>
  </sheetData>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verticalDpi="0" r:id="rId1"/>
  <headerFooter alignWithMargins="0">
    <oddFooter>&amp;R&amp;10Página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748"/>
  <sheetViews>
    <sheetView topLeftCell="A474" zoomScaleNormal="100" workbookViewId="0">
      <selection activeCell="B481" sqref="B481"/>
    </sheetView>
  </sheetViews>
  <sheetFormatPr defaultRowHeight="11.25"/>
  <cols>
    <col min="1" max="1" width="16.875" style="34" customWidth="1"/>
    <col min="2" max="2" width="46.875" style="32" customWidth="1"/>
    <col min="3" max="3" width="9" style="32"/>
    <col min="4" max="4" width="14.125" style="302" bestFit="1" customWidth="1"/>
    <col min="5" max="16384" width="9" style="32"/>
  </cols>
  <sheetData>
    <row r="1" spans="1:4" s="34" customFormat="1">
      <c r="A1" s="31" t="s">
        <v>2175</v>
      </c>
      <c r="B1" s="226">
        <v>44531</v>
      </c>
      <c r="C1" s="30"/>
      <c r="D1" s="294"/>
    </row>
    <row r="2" spans="1:4">
      <c r="A2" s="33" t="s">
        <v>31</v>
      </c>
      <c r="B2" s="33" t="s">
        <v>1025</v>
      </c>
      <c r="C2" s="33" t="s">
        <v>32</v>
      </c>
      <c r="D2" s="295" t="s">
        <v>26007</v>
      </c>
    </row>
    <row r="3" spans="1:4" ht="18">
      <c r="A3" s="287" t="s">
        <v>28728</v>
      </c>
      <c r="B3" s="287"/>
      <c r="C3" s="287"/>
      <c r="D3" s="296" t="s">
        <v>28729</v>
      </c>
    </row>
    <row r="4" spans="1:4">
      <c r="A4" s="288" t="s">
        <v>7077</v>
      </c>
      <c r="B4" s="289" t="s">
        <v>7078</v>
      </c>
      <c r="C4" s="288" t="s">
        <v>7079</v>
      </c>
      <c r="D4" s="303">
        <v>190.38</v>
      </c>
    </row>
    <row r="5" spans="1:4" ht="27">
      <c r="A5" s="288" t="s">
        <v>7080</v>
      </c>
      <c r="B5" s="289" t="s">
        <v>7081</v>
      </c>
      <c r="C5" s="288" t="s">
        <v>7079</v>
      </c>
      <c r="D5" s="303">
        <v>300.5</v>
      </c>
    </row>
    <row r="6" spans="1:4" ht="27">
      <c r="A6" s="288" t="s">
        <v>7082</v>
      </c>
      <c r="B6" s="289" t="s">
        <v>7083</v>
      </c>
      <c r="C6" s="288" t="s">
        <v>7079</v>
      </c>
      <c r="D6" s="303">
        <v>1421.19</v>
      </c>
    </row>
    <row r="7" spans="1:4" ht="36">
      <c r="A7" s="288" t="s">
        <v>7084</v>
      </c>
      <c r="B7" s="289" t="s">
        <v>7085</v>
      </c>
      <c r="C7" s="288" t="s">
        <v>7079</v>
      </c>
      <c r="D7" s="303">
        <v>1299.75</v>
      </c>
    </row>
    <row r="8" spans="1:4" ht="27">
      <c r="A8" s="288" t="s">
        <v>7086</v>
      </c>
      <c r="B8" s="289" t="s">
        <v>7087</v>
      </c>
      <c r="C8" s="288" t="s">
        <v>7079</v>
      </c>
      <c r="D8" s="303">
        <v>158.47999999999999</v>
      </c>
    </row>
    <row r="9" spans="1:4" ht="18">
      <c r="A9" s="288" t="s">
        <v>7088</v>
      </c>
      <c r="B9" s="289" t="s">
        <v>7089</v>
      </c>
      <c r="C9" s="288" t="s">
        <v>7079</v>
      </c>
      <c r="D9" s="303">
        <v>115.26</v>
      </c>
    </row>
    <row r="10" spans="1:4" ht="18">
      <c r="A10" s="288" t="s">
        <v>7090</v>
      </c>
      <c r="B10" s="289" t="s">
        <v>7091</v>
      </c>
      <c r="C10" s="288" t="s">
        <v>7079</v>
      </c>
      <c r="D10" s="303">
        <v>115.26</v>
      </c>
    </row>
    <row r="11" spans="1:4" ht="18">
      <c r="A11" s="288" t="s">
        <v>7092</v>
      </c>
      <c r="B11" s="289" t="s">
        <v>7093</v>
      </c>
      <c r="C11" s="288" t="s">
        <v>7079</v>
      </c>
      <c r="D11" s="303">
        <v>63.8</v>
      </c>
    </row>
    <row r="12" spans="1:4" ht="18">
      <c r="A12" s="288" t="s">
        <v>7094</v>
      </c>
      <c r="B12" s="289" t="s">
        <v>7095</v>
      </c>
      <c r="C12" s="288" t="s">
        <v>7079</v>
      </c>
      <c r="D12" s="303">
        <v>63.8</v>
      </c>
    </row>
    <row r="13" spans="1:4" ht="27">
      <c r="A13" s="288" t="s">
        <v>7096</v>
      </c>
      <c r="B13" s="289" t="s">
        <v>7097</v>
      </c>
      <c r="C13" s="288" t="s">
        <v>7079</v>
      </c>
      <c r="D13" s="303">
        <v>1156.71</v>
      </c>
    </row>
    <row r="14" spans="1:4" ht="18">
      <c r="A14" s="288" t="s">
        <v>7098</v>
      </c>
      <c r="B14" s="289" t="s">
        <v>7099</v>
      </c>
      <c r="C14" s="288" t="s">
        <v>7079</v>
      </c>
      <c r="D14" s="303">
        <v>40.130000000000003</v>
      </c>
    </row>
    <row r="15" spans="1:4" ht="18">
      <c r="A15" s="288" t="s">
        <v>7100</v>
      </c>
      <c r="B15" s="289" t="s">
        <v>7101</v>
      </c>
      <c r="C15" s="288" t="s">
        <v>7079</v>
      </c>
      <c r="D15" s="303">
        <v>59.69</v>
      </c>
    </row>
    <row r="16" spans="1:4" ht="27">
      <c r="A16" s="288" t="s">
        <v>7102</v>
      </c>
      <c r="B16" s="289" t="s">
        <v>7103</v>
      </c>
      <c r="C16" s="288" t="s">
        <v>7079</v>
      </c>
      <c r="D16" s="303">
        <v>300.5</v>
      </c>
    </row>
    <row r="17" spans="1:4">
      <c r="A17" s="288" t="s">
        <v>7104</v>
      </c>
      <c r="B17" s="289" t="s">
        <v>7105</v>
      </c>
      <c r="C17" s="288" t="s">
        <v>54</v>
      </c>
      <c r="D17" s="303">
        <v>243.71</v>
      </c>
    </row>
    <row r="18" spans="1:4">
      <c r="A18" s="288" t="s">
        <v>7106</v>
      </c>
      <c r="B18" s="289" t="s">
        <v>7107</v>
      </c>
      <c r="C18" s="288" t="s">
        <v>54</v>
      </c>
      <c r="D18" s="303">
        <v>158.47999999999999</v>
      </c>
    </row>
    <row r="19" spans="1:4">
      <c r="A19" s="288" t="s">
        <v>7108</v>
      </c>
      <c r="B19" s="289" t="s">
        <v>7109</v>
      </c>
      <c r="C19" s="288" t="s">
        <v>54</v>
      </c>
      <c r="D19" s="303">
        <v>134.81</v>
      </c>
    </row>
    <row r="20" spans="1:4">
      <c r="A20" s="288" t="s">
        <v>7110</v>
      </c>
      <c r="B20" s="289" t="s">
        <v>7111</v>
      </c>
      <c r="C20" s="288" t="s">
        <v>54</v>
      </c>
      <c r="D20" s="303">
        <v>109.93</v>
      </c>
    </row>
    <row r="21" spans="1:4" ht="18">
      <c r="A21" s="287" t="s">
        <v>25851</v>
      </c>
      <c r="B21" s="287"/>
      <c r="C21" s="287"/>
      <c r="D21" s="296" t="s">
        <v>28729</v>
      </c>
    </row>
    <row r="22" spans="1:4" ht="18">
      <c r="A22" s="288" t="s">
        <v>7112</v>
      </c>
      <c r="B22" s="289" t="s">
        <v>7113</v>
      </c>
      <c r="C22" s="288" t="s">
        <v>54</v>
      </c>
      <c r="D22" s="303">
        <v>244.21</v>
      </c>
    </row>
    <row r="23" spans="1:4" ht="18">
      <c r="A23" s="288" t="s">
        <v>7114</v>
      </c>
      <c r="B23" s="289" t="s">
        <v>7115</v>
      </c>
      <c r="C23" s="288" t="s">
        <v>54</v>
      </c>
      <c r="D23" s="303">
        <v>285</v>
      </c>
    </row>
    <row r="24" spans="1:4" ht="18">
      <c r="A24" s="288" t="s">
        <v>7116</v>
      </c>
      <c r="B24" s="289" t="s">
        <v>7117</v>
      </c>
      <c r="C24" s="288" t="s">
        <v>54</v>
      </c>
      <c r="D24" s="303">
        <v>139.28</v>
      </c>
    </row>
    <row r="25" spans="1:4" ht="18">
      <c r="A25" s="288" t="s">
        <v>7118</v>
      </c>
      <c r="B25" s="289" t="s">
        <v>7119</v>
      </c>
      <c r="C25" s="288" t="s">
        <v>54</v>
      </c>
      <c r="D25" s="303">
        <v>150.44</v>
      </c>
    </row>
    <row r="26" spans="1:4" ht="18">
      <c r="A26" s="287" t="s">
        <v>25852</v>
      </c>
      <c r="B26" s="287"/>
      <c r="C26" s="287"/>
      <c r="D26" s="296" t="s">
        <v>28729</v>
      </c>
    </row>
    <row r="27" spans="1:4" ht="27">
      <c r="A27" s="288" t="s">
        <v>7120</v>
      </c>
      <c r="B27" s="289" t="s">
        <v>7121</v>
      </c>
      <c r="C27" s="288" t="s">
        <v>54</v>
      </c>
      <c r="D27" s="303">
        <v>947.3</v>
      </c>
    </row>
    <row r="28" spans="1:4" ht="27">
      <c r="A28" s="288" t="s">
        <v>7122</v>
      </c>
      <c r="B28" s="289" t="s">
        <v>7123</v>
      </c>
      <c r="C28" s="288" t="s">
        <v>54</v>
      </c>
      <c r="D28" s="303">
        <v>793.99</v>
      </c>
    </row>
    <row r="29" spans="1:4" ht="18">
      <c r="A29" s="288" t="s">
        <v>7124</v>
      </c>
      <c r="B29" s="289" t="s">
        <v>7125</v>
      </c>
      <c r="C29" s="288" t="s">
        <v>54</v>
      </c>
      <c r="D29" s="303">
        <v>636.21</v>
      </c>
    </row>
    <row r="30" spans="1:4" ht="18">
      <c r="A30" s="288" t="s">
        <v>7126</v>
      </c>
      <c r="B30" s="289" t="s">
        <v>7127</v>
      </c>
      <c r="C30" s="288" t="s">
        <v>54</v>
      </c>
      <c r="D30" s="303">
        <v>714.96</v>
      </c>
    </row>
    <row r="31" spans="1:4" ht="18">
      <c r="A31" s="288" t="s">
        <v>7128</v>
      </c>
      <c r="B31" s="289" t="s">
        <v>7129</v>
      </c>
      <c r="C31" s="288" t="s">
        <v>54</v>
      </c>
      <c r="D31" s="303">
        <v>637.89</v>
      </c>
    </row>
    <row r="32" spans="1:4" ht="18">
      <c r="A32" s="288" t="s">
        <v>7130</v>
      </c>
      <c r="B32" s="289" t="s">
        <v>7131</v>
      </c>
      <c r="C32" s="288" t="s">
        <v>54</v>
      </c>
      <c r="D32" s="303">
        <v>695.95</v>
      </c>
    </row>
    <row r="33" spans="1:4" ht="18">
      <c r="A33" s="288" t="s">
        <v>7132</v>
      </c>
      <c r="B33" s="289" t="s">
        <v>7133</v>
      </c>
      <c r="C33" s="288" t="s">
        <v>54</v>
      </c>
      <c r="D33" s="303">
        <v>830</v>
      </c>
    </row>
    <row r="34" spans="1:4" ht="18">
      <c r="A34" s="287" t="s">
        <v>25853</v>
      </c>
      <c r="B34" s="287"/>
      <c r="C34" s="287"/>
      <c r="D34" s="296" t="s">
        <v>28729</v>
      </c>
    </row>
    <row r="35" spans="1:4" ht="45">
      <c r="A35" s="288" t="s">
        <v>7134</v>
      </c>
      <c r="B35" s="289" t="s">
        <v>7135</v>
      </c>
      <c r="C35" s="288" t="s">
        <v>54</v>
      </c>
      <c r="D35" s="303">
        <v>85</v>
      </c>
    </row>
    <row r="36" spans="1:4">
      <c r="A36" s="287"/>
      <c r="B36" s="287"/>
      <c r="C36" s="287"/>
      <c r="D36" s="296" t="s">
        <v>28729</v>
      </c>
    </row>
    <row r="37" spans="1:4" ht="27">
      <c r="A37" s="287" t="s">
        <v>7136</v>
      </c>
      <c r="B37" s="287"/>
      <c r="C37" s="287"/>
      <c r="D37" s="296" t="s">
        <v>28729</v>
      </c>
    </row>
    <row r="38" spans="1:4" ht="18">
      <c r="A38" s="288" t="s">
        <v>7137</v>
      </c>
      <c r="B38" s="289" t="s">
        <v>7138</v>
      </c>
      <c r="C38" s="288" t="s">
        <v>38</v>
      </c>
      <c r="D38" s="303">
        <v>3.43</v>
      </c>
    </row>
    <row r="39" spans="1:4" ht="27">
      <c r="A39" s="287" t="s">
        <v>7139</v>
      </c>
      <c r="B39" s="287"/>
      <c r="C39" s="287"/>
      <c r="D39" s="296" t="s">
        <v>28729</v>
      </c>
    </row>
    <row r="40" spans="1:4" ht="27">
      <c r="A40" s="288" t="s">
        <v>7140</v>
      </c>
      <c r="B40" s="289" t="s">
        <v>7141</v>
      </c>
      <c r="C40" s="288" t="s">
        <v>54</v>
      </c>
      <c r="D40" s="303">
        <v>23.67</v>
      </c>
    </row>
    <row r="41" spans="1:4">
      <c r="A41" s="287"/>
      <c r="B41" s="287"/>
      <c r="C41" s="287"/>
      <c r="D41" s="296" t="s">
        <v>28729</v>
      </c>
    </row>
    <row r="42" spans="1:4" ht="36">
      <c r="A42" s="287" t="s">
        <v>7142</v>
      </c>
      <c r="B42" s="287"/>
      <c r="C42" s="287"/>
      <c r="D42" s="296" t="s">
        <v>28729</v>
      </c>
    </row>
    <row r="43" spans="1:4" ht="18">
      <c r="A43" s="288" t="s">
        <v>7143</v>
      </c>
      <c r="B43" s="289" t="s">
        <v>7144</v>
      </c>
      <c r="C43" s="288" t="s">
        <v>7079</v>
      </c>
      <c r="D43" s="303">
        <v>275.12</v>
      </c>
    </row>
    <row r="44" spans="1:4" ht="36">
      <c r="A44" s="287" t="s">
        <v>7145</v>
      </c>
      <c r="B44" s="287"/>
      <c r="C44" s="287"/>
      <c r="D44" s="296" t="s">
        <v>28729</v>
      </c>
    </row>
    <row r="45" spans="1:4" ht="18">
      <c r="A45" s="288" t="s">
        <v>7146</v>
      </c>
      <c r="B45" s="289" t="s">
        <v>7147</v>
      </c>
      <c r="C45" s="288" t="s">
        <v>7148</v>
      </c>
      <c r="D45" s="303">
        <v>40.64</v>
      </c>
    </row>
    <row r="46" spans="1:4" ht="27">
      <c r="A46" s="288" t="s">
        <v>7149</v>
      </c>
      <c r="B46" s="289" t="s">
        <v>7150</v>
      </c>
      <c r="C46" s="288" t="s">
        <v>7151</v>
      </c>
      <c r="D46" s="303">
        <v>2.36</v>
      </c>
    </row>
    <row r="47" spans="1:4" ht="27">
      <c r="A47" s="288" t="s">
        <v>7152</v>
      </c>
      <c r="B47" s="289" t="s">
        <v>7153</v>
      </c>
      <c r="C47" s="288" t="s">
        <v>7151</v>
      </c>
      <c r="D47" s="303">
        <v>11.56</v>
      </c>
    </row>
    <row r="48" spans="1:4" ht="27">
      <c r="A48" s="288" t="s">
        <v>7154</v>
      </c>
      <c r="B48" s="289" t="s">
        <v>7155</v>
      </c>
      <c r="C48" s="288" t="s">
        <v>7156</v>
      </c>
      <c r="D48" s="303">
        <v>0.19</v>
      </c>
    </row>
    <row r="49" spans="1:4" ht="18">
      <c r="A49" s="288" t="s">
        <v>7157</v>
      </c>
      <c r="B49" s="289" t="s">
        <v>7158</v>
      </c>
      <c r="C49" s="288" t="s">
        <v>7151</v>
      </c>
      <c r="D49" s="303">
        <v>157.75</v>
      </c>
    </row>
    <row r="50" spans="1:4" ht="18">
      <c r="A50" s="288" t="s">
        <v>7159</v>
      </c>
      <c r="B50" s="289" t="s">
        <v>7160</v>
      </c>
      <c r="C50" s="288" t="s">
        <v>7161</v>
      </c>
      <c r="D50" s="303">
        <v>2.08</v>
      </c>
    </row>
    <row r="51" spans="1:4" ht="27">
      <c r="A51" s="288" t="s">
        <v>7162</v>
      </c>
      <c r="B51" s="289" t="s">
        <v>7163</v>
      </c>
      <c r="C51" s="288" t="s">
        <v>7148</v>
      </c>
      <c r="D51" s="303">
        <v>58.55</v>
      </c>
    </row>
    <row r="52" spans="1:4" ht="18">
      <c r="A52" s="287" t="s">
        <v>7164</v>
      </c>
      <c r="B52" s="287"/>
      <c r="C52" s="287"/>
      <c r="D52" s="296" t="s">
        <v>28729</v>
      </c>
    </row>
    <row r="53" spans="1:4" ht="36">
      <c r="A53" s="288" t="s">
        <v>7165</v>
      </c>
      <c r="B53" s="289" t="s">
        <v>7166</v>
      </c>
      <c r="C53" s="288" t="s">
        <v>7167</v>
      </c>
      <c r="D53" s="303">
        <v>89.71</v>
      </c>
    </row>
    <row r="54" spans="1:4" ht="36">
      <c r="A54" s="288" t="s">
        <v>7168</v>
      </c>
      <c r="B54" s="289" t="s">
        <v>7169</v>
      </c>
      <c r="C54" s="288" t="s">
        <v>7167</v>
      </c>
      <c r="D54" s="303">
        <v>51.19</v>
      </c>
    </row>
    <row r="55" spans="1:4" ht="36">
      <c r="A55" s="288" t="s">
        <v>7170</v>
      </c>
      <c r="B55" s="289" t="s">
        <v>7171</v>
      </c>
      <c r="C55" s="288" t="s">
        <v>7167</v>
      </c>
      <c r="D55" s="303">
        <v>16.54</v>
      </c>
    </row>
    <row r="56" spans="1:4" ht="36">
      <c r="A56" s="288" t="s">
        <v>7172</v>
      </c>
      <c r="B56" s="289" t="s">
        <v>7173</v>
      </c>
      <c r="C56" s="288" t="s">
        <v>7167</v>
      </c>
      <c r="D56" s="303">
        <v>55.25</v>
      </c>
    </row>
    <row r="57" spans="1:4" ht="36">
      <c r="A57" s="288" t="s">
        <v>7174</v>
      </c>
      <c r="B57" s="289" t="s">
        <v>7175</v>
      </c>
      <c r="C57" s="288" t="s">
        <v>7167</v>
      </c>
      <c r="D57" s="303">
        <v>107.01</v>
      </c>
    </row>
    <row r="58" spans="1:4" ht="27">
      <c r="A58" s="288" t="s">
        <v>7176</v>
      </c>
      <c r="B58" s="289" t="s">
        <v>7177</v>
      </c>
      <c r="C58" s="288" t="s">
        <v>7167</v>
      </c>
      <c r="D58" s="303">
        <v>73.790000000000006</v>
      </c>
    </row>
    <row r="59" spans="1:4" ht="27">
      <c r="A59" s="288" t="s">
        <v>7178</v>
      </c>
      <c r="B59" s="289" t="s">
        <v>7179</v>
      </c>
      <c r="C59" s="288" t="s">
        <v>7167</v>
      </c>
      <c r="D59" s="303">
        <v>18.55</v>
      </c>
    </row>
    <row r="60" spans="1:4" ht="27">
      <c r="A60" s="288" t="s">
        <v>7180</v>
      </c>
      <c r="B60" s="289" t="s">
        <v>7181</v>
      </c>
      <c r="C60" s="288" t="s">
        <v>7182</v>
      </c>
      <c r="D60" s="303">
        <v>6001.69</v>
      </c>
    </row>
    <row r="61" spans="1:4" ht="36">
      <c r="A61" s="288" t="s">
        <v>7183</v>
      </c>
      <c r="B61" s="289" t="s">
        <v>7184</v>
      </c>
      <c r="C61" s="288" t="s">
        <v>7185</v>
      </c>
      <c r="D61" s="303">
        <v>1.04</v>
      </c>
    </row>
    <row r="62" spans="1:4" ht="36">
      <c r="A62" s="288" t="s">
        <v>7186</v>
      </c>
      <c r="B62" s="289" t="s">
        <v>7187</v>
      </c>
      <c r="C62" s="288" t="s">
        <v>7167</v>
      </c>
      <c r="D62" s="303">
        <v>416.59</v>
      </c>
    </row>
    <row r="63" spans="1:4" ht="36">
      <c r="A63" s="288" t="s">
        <v>7188</v>
      </c>
      <c r="B63" s="289" t="s">
        <v>7189</v>
      </c>
      <c r="C63" s="288" t="s">
        <v>7167</v>
      </c>
      <c r="D63" s="303">
        <v>176.08</v>
      </c>
    </row>
    <row r="64" spans="1:4" ht="36">
      <c r="A64" s="288" t="s">
        <v>7190</v>
      </c>
      <c r="B64" s="289" t="s">
        <v>7191</v>
      </c>
      <c r="C64" s="288" t="s">
        <v>7167</v>
      </c>
      <c r="D64" s="303">
        <v>142.56</v>
      </c>
    </row>
    <row r="65" spans="1:4" ht="36">
      <c r="A65" s="288" t="s">
        <v>7192</v>
      </c>
      <c r="B65" s="289" t="s">
        <v>7193</v>
      </c>
      <c r="C65" s="288" t="s">
        <v>7167</v>
      </c>
      <c r="D65" s="303">
        <v>305.08</v>
      </c>
    </row>
    <row r="66" spans="1:4" ht="36">
      <c r="A66" s="288" t="s">
        <v>7194</v>
      </c>
      <c r="B66" s="289" t="s">
        <v>7195</v>
      </c>
      <c r="C66" s="288" t="s">
        <v>7167</v>
      </c>
      <c r="D66" s="303">
        <v>149.08000000000001</v>
      </c>
    </row>
    <row r="67" spans="1:4" ht="36">
      <c r="A67" s="288" t="s">
        <v>7196</v>
      </c>
      <c r="B67" s="289" t="s">
        <v>7197</v>
      </c>
      <c r="C67" s="288" t="s">
        <v>7167</v>
      </c>
      <c r="D67" s="303">
        <v>71.08</v>
      </c>
    </row>
    <row r="68" spans="1:4" ht="27">
      <c r="A68" s="288" t="s">
        <v>7198</v>
      </c>
      <c r="B68" s="289" t="s">
        <v>7199</v>
      </c>
      <c r="C68" s="288" t="s">
        <v>7182</v>
      </c>
      <c r="D68" s="303">
        <v>5803.63</v>
      </c>
    </row>
    <row r="69" spans="1:4" ht="45">
      <c r="A69" s="288" t="s">
        <v>7200</v>
      </c>
      <c r="B69" s="289" t="s">
        <v>7201</v>
      </c>
      <c r="C69" s="288" t="s">
        <v>7182</v>
      </c>
      <c r="D69" s="303">
        <v>4982.41</v>
      </c>
    </row>
    <row r="70" spans="1:4" ht="54">
      <c r="A70" s="288" t="s">
        <v>7202</v>
      </c>
      <c r="B70" s="289" t="s">
        <v>7203</v>
      </c>
      <c r="C70" s="288" t="s">
        <v>7182</v>
      </c>
      <c r="D70" s="303">
        <v>6292.12</v>
      </c>
    </row>
    <row r="71" spans="1:4">
      <c r="A71" s="287"/>
      <c r="B71" s="287"/>
      <c r="C71" s="287"/>
      <c r="D71" s="296" t="s">
        <v>28729</v>
      </c>
    </row>
    <row r="72" spans="1:4" ht="18">
      <c r="A72" s="287" t="s">
        <v>7204</v>
      </c>
      <c r="B72" s="287"/>
      <c r="C72" s="287"/>
      <c r="D72" s="296" t="s">
        <v>28729</v>
      </c>
    </row>
    <row r="73" spans="1:4" ht="54">
      <c r="A73" s="288" t="s">
        <v>7205</v>
      </c>
      <c r="B73" s="289" t="s">
        <v>7206</v>
      </c>
      <c r="C73" s="288" t="s">
        <v>38</v>
      </c>
      <c r="D73" s="303">
        <v>542.20000000000005</v>
      </c>
    </row>
    <row r="74" spans="1:4" ht="72">
      <c r="A74" s="288" t="s">
        <v>7207</v>
      </c>
      <c r="B74" s="289" t="s">
        <v>7208</v>
      </c>
      <c r="C74" s="288" t="s">
        <v>38</v>
      </c>
      <c r="D74" s="303">
        <v>413.58</v>
      </c>
    </row>
    <row r="75" spans="1:4" ht="54">
      <c r="A75" s="288" t="s">
        <v>7209</v>
      </c>
      <c r="B75" s="289" t="s">
        <v>7210</v>
      </c>
      <c r="C75" s="288" t="s">
        <v>7079</v>
      </c>
      <c r="D75" s="303">
        <v>5147.88</v>
      </c>
    </row>
    <row r="76" spans="1:4" ht="54">
      <c r="A76" s="288" t="s">
        <v>7211</v>
      </c>
      <c r="B76" s="289" t="s">
        <v>7212</v>
      </c>
      <c r="C76" s="288" t="s">
        <v>7079</v>
      </c>
      <c r="D76" s="303">
        <v>3152.03</v>
      </c>
    </row>
    <row r="77" spans="1:4" ht="18">
      <c r="A77" s="288" t="s">
        <v>7213</v>
      </c>
      <c r="B77" s="289" t="s">
        <v>7214</v>
      </c>
      <c r="C77" s="288" t="s">
        <v>38</v>
      </c>
      <c r="D77" s="303">
        <v>63.46</v>
      </c>
    </row>
    <row r="78" spans="1:4" ht="27">
      <c r="A78" s="288" t="s">
        <v>7215</v>
      </c>
      <c r="B78" s="289" t="s">
        <v>7216</v>
      </c>
      <c r="C78" s="288" t="s">
        <v>38</v>
      </c>
      <c r="D78" s="303">
        <v>45.79</v>
      </c>
    </row>
    <row r="79" spans="1:4" ht="18">
      <c r="A79" s="288" t="s">
        <v>7217</v>
      </c>
      <c r="B79" s="289" t="s">
        <v>7218</v>
      </c>
      <c r="C79" s="288" t="s">
        <v>38</v>
      </c>
      <c r="D79" s="303">
        <v>53.46</v>
      </c>
    </row>
    <row r="80" spans="1:4" ht="36">
      <c r="A80" s="288" t="s">
        <v>7219</v>
      </c>
      <c r="B80" s="289" t="s">
        <v>7220</v>
      </c>
      <c r="C80" s="288" t="s">
        <v>38</v>
      </c>
      <c r="D80" s="303">
        <v>47.82</v>
      </c>
    </row>
    <row r="81" spans="1:4" ht="27">
      <c r="A81" s="288" t="s">
        <v>7221</v>
      </c>
      <c r="B81" s="289" t="s">
        <v>7222</v>
      </c>
      <c r="C81" s="288" t="s">
        <v>7182</v>
      </c>
      <c r="D81" s="303">
        <v>990</v>
      </c>
    </row>
    <row r="82" spans="1:4">
      <c r="A82" s="287" t="s">
        <v>7223</v>
      </c>
      <c r="B82" s="287"/>
      <c r="C82" s="287"/>
      <c r="D82" s="296" t="s">
        <v>28729</v>
      </c>
    </row>
    <row r="83" spans="1:4" ht="27">
      <c r="A83" s="288" t="s">
        <v>7224</v>
      </c>
      <c r="B83" s="289" t="s">
        <v>7225</v>
      </c>
      <c r="C83" s="288" t="s">
        <v>38</v>
      </c>
      <c r="D83" s="303">
        <v>270.16000000000003</v>
      </c>
    </row>
    <row r="84" spans="1:4">
      <c r="A84" s="287" t="s">
        <v>7226</v>
      </c>
      <c r="B84" s="287"/>
      <c r="C84" s="287"/>
      <c r="D84" s="296" t="s">
        <v>28729</v>
      </c>
    </row>
    <row r="85" spans="1:4" ht="72">
      <c r="A85" s="288" t="s">
        <v>7227</v>
      </c>
      <c r="B85" s="289" t="s">
        <v>7228</v>
      </c>
      <c r="C85" s="288" t="s">
        <v>7182</v>
      </c>
      <c r="D85" s="303">
        <v>351</v>
      </c>
    </row>
    <row r="86" spans="1:4" ht="63">
      <c r="A86" s="288" t="s">
        <v>7229</v>
      </c>
      <c r="B86" s="289" t="s">
        <v>7230</v>
      </c>
      <c r="C86" s="288" t="s">
        <v>7182</v>
      </c>
      <c r="D86" s="303">
        <v>243</v>
      </c>
    </row>
    <row r="87" spans="1:4" ht="63">
      <c r="A87" s="288" t="s">
        <v>7231</v>
      </c>
      <c r="B87" s="289" t="s">
        <v>7232</v>
      </c>
      <c r="C87" s="288" t="s">
        <v>7182</v>
      </c>
      <c r="D87" s="303">
        <v>650</v>
      </c>
    </row>
    <row r="88" spans="1:4">
      <c r="A88" s="287" t="s">
        <v>7233</v>
      </c>
      <c r="B88" s="287"/>
      <c r="C88" s="287"/>
      <c r="D88" s="296" t="s">
        <v>28729</v>
      </c>
    </row>
    <row r="89" spans="1:4" ht="18">
      <c r="A89" s="288" t="s">
        <v>7234</v>
      </c>
      <c r="B89" s="289" t="s">
        <v>7235</v>
      </c>
      <c r="C89" s="288" t="s">
        <v>7079</v>
      </c>
      <c r="D89" s="303">
        <v>1579.92</v>
      </c>
    </row>
    <row r="90" spans="1:4">
      <c r="A90" s="288" t="s">
        <v>7236</v>
      </c>
      <c r="B90" s="289" t="s">
        <v>7237</v>
      </c>
      <c r="C90" s="288" t="s">
        <v>7079</v>
      </c>
      <c r="D90" s="303">
        <v>1535.97</v>
      </c>
    </row>
    <row r="91" spans="1:4" ht="18">
      <c r="A91" s="287" t="s">
        <v>7238</v>
      </c>
      <c r="B91" s="287"/>
      <c r="C91" s="287"/>
      <c r="D91" s="296" t="s">
        <v>28729</v>
      </c>
    </row>
    <row r="92" spans="1:4" ht="27">
      <c r="A92" s="288" t="s">
        <v>7239</v>
      </c>
      <c r="B92" s="289" t="s">
        <v>7240</v>
      </c>
      <c r="C92" s="288" t="s">
        <v>54</v>
      </c>
      <c r="D92" s="303">
        <v>3.12</v>
      </c>
    </row>
    <row r="93" spans="1:4" ht="63">
      <c r="A93" s="288" t="s">
        <v>7241</v>
      </c>
      <c r="B93" s="289" t="s">
        <v>7242</v>
      </c>
      <c r="C93" s="288" t="s">
        <v>54</v>
      </c>
      <c r="D93" s="303">
        <v>39.47</v>
      </c>
    </row>
    <row r="94" spans="1:4" ht="18">
      <c r="A94" s="288" t="s">
        <v>7243</v>
      </c>
      <c r="B94" s="289" t="s">
        <v>7244</v>
      </c>
      <c r="C94" s="288" t="s">
        <v>54</v>
      </c>
      <c r="D94" s="303">
        <v>10.6</v>
      </c>
    </row>
    <row r="95" spans="1:4" ht="18">
      <c r="A95" s="288" t="s">
        <v>7245</v>
      </c>
      <c r="B95" s="289" t="s">
        <v>7246</v>
      </c>
      <c r="C95" s="288" t="s">
        <v>38</v>
      </c>
      <c r="D95" s="303">
        <v>8.7200000000000006</v>
      </c>
    </row>
    <row r="96" spans="1:4" ht="27">
      <c r="A96" s="288" t="s">
        <v>7247</v>
      </c>
      <c r="B96" s="289" t="s">
        <v>7248</v>
      </c>
      <c r="C96" s="288" t="s">
        <v>7079</v>
      </c>
      <c r="D96" s="303">
        <v>131.27000000000001</v>
      </c>
    </row>
    <row r="97" spans="1:4" ht="36">
      <c r="A97" s="288" t="s">
        <v>7249</v>
      </c>
      <c r="B97" s="289" t="s">
        <v>7250</v>
      </c>
      <c r="C97" s="288" t="s">
        <v>7079</v>
      </c>
      <c r="D97" s="303">
        <v>576</v>
      </c>
    </row>
    <row r="98" spans="1:4" ht="18">
      <c r="A98" s="288" t="s">
        <v>7251</v>
      </c>
      <c r="B98" s="289" t="s">
        <v>7252</v>
      </c>
      <c r="C98" s="288" t="s">
        <v>7079</v>
      </c>
      <c r="D98" s="303">
        <v>2.97</v>
      </c>
    </row>
    <row r="99" spans="1:4" ht="27">
      <c r="A99" s="288" t="s">
        <v>7253</v>
      </c>
      <c r="B99" s="289" t="s">
        <v>7254</v>
      </c>
      <c r="C99" s="288" t="s">
        <v>38</v>
      </c>
      <c r="D99" s="303">
        <v>462.72</v>
      </c>
    </row>
    <row r="100" spans="1:4" ht="36">
      <c r="A100" s="288" t="s">
        <v>7255</v>
      </c>
      <c r="B100" s="289" t="s">
        <v>7256</v>
      </c>
      <c r="C100" s="288" t="s">
        <v>38</v>
      </c>
      <c r="D100" s="303">
        <v>451.41</v>
      </c>
    </row>
    <row r="101" spans="1:4" ht="18">
      <c r="A101" s="288" t="s">
        <v>7257</v>
      </c>
      <c r="B101" s="289" t="s">
        <v>7258</v>
      </c>
      <c r="C101" s="288" t="s">
        <v>7079</v>
      </c>
      <c r="D101" s="303">
        <v>11.14</v>
      </c>
    </row>
    <row r="102" spans="1:4" ht="27">
      <c r="A102" s="288" t="s">
        <v>7259</v>
      </c>
      <c r="B102" s="289" t="s">
        <v>7260</v>
      </c>
      <c r="C102" s="288" t="s">
        <v>7079</v>
      </c>
      <c r="D102" s="303">
        <v>67.33</v>
      </c>
    </row>
    <row r="103" spans="1:4">
      <c r="A103" s="287"/>
      <c r="B103" s="287"/>
      <c r="C103" s="287"/>
      <c r="D103" s="296" t="s">
        <v>28729</v>
      </c>
    </row>
    <row r="104" spans="1:4" ht="18">
      <c r="A104" s="287" t="s">
        <v>7261</v>
      </c>
      <c r="B104" s="287"/>
      <c r="C104" s="287"/>
      <c r="D104" s="296" t="s">
        <v>28729</v>
      </c>
    </row>
    <row r="105" spans="1:4" ht="27">
      <c r="A105" s="288" t="s">
        <v>7262</v>
      </c>
      <c r="B105" s="289" t="s">
        <v>7263</v>
      </c>
      <c r="C105" s="288" t="s">
        <v>7182</v>
      </c>
      <c r="D105" s="303">
        <v>78.75</v>
      </c>
    </row>
    <row r="106" spans="1:4" ht="27">
      <c r="A106" s="288" t="s">
        <v>7264</v>
      </c>
      <c r="B106" s="289" t="s">
        <v>7265</v>
      </c>
      <c r="C106" s="288" t="s">
        <v>7182</v>
      </c>
      <c r="D106" s="303">
        <v>41</v>
      </c>
    </row>
    <row r="107" spans="1:4" ht="45">
      <c r="A107" s="288" t="s">
        <v>7266</v>
      </c>
      <c r="B107" s="289" t="s">
        <v>7267</v>
      </c>
      <c r="C107" s="288" t="s">
        <v>7182</v>
      </c>
      <c r="D107" s="303">
        <v>52</v>
      </c>
    </row>
    <row r="108" spans="1:4" ht="45">
      <c r="A108" s="288" t="s">
        <v>7268</v>
      </c>
      <c r="B108" s="289" t="s">
        <v>7269</v>
      </c>
      <c r="C108" s="288" t="s">
        <v>7182</v>
      </c>
      <c r="D108" s="303">
        <v>48</v>
      </c>
    </row>
    <row r="109" spans="1:4" ht="18">
      <c r="A109" s="288" t="s">
        <v>7270</v>
      </c>
      <c r="B109" s="289" t="s">
        <v>7271</v>
      </c>
      <c r="C109" s="288" t="s">
        <v>7182</v>
      </c>
      <c r="D109" s="303">
        <v>80.64</v>
      </c>
    </row>
    <row r="110" spans="1:4" ht="18">
      <c r="A110" s="288" t="s">
        <v>7272</v>
      </c>
      <c r="B110" s="289" t="s">
        <v>7273</v>
      </c>
      <c r="C110" s="288" t="s">
        <v>7274</v>
      </c>
      <c r="D110" s="303">
        <v>27</v>
      </c>
    </row>
    <row r="111" spans="1:4" ht="18">
      <c r="A111" s="288" t="s">
        <v>7275</v>
      </c>
      <c r="B111" s="289" t="s">
        <v>7276</v>
      </c>
      <c r="C111" s="288" t="s">
        <v>54</v>
      </c>
      <c r="D111" s="303">
        <v>1.1100000000000001</v>
      </c>
    </row>
    <row r="112" spans="1:4" ht="27">
      <c r="A112" s="288" t="s">
        <v>7277</v>
      </c>
      <c r="B112" s="289" t="s">
        <v>7278</v>
      </c>
      <c r="C112" s="288" t="s">
        <v>54</v>
      </c>
      <c r="D112" s="303">
        <v>17</v>
      </c>
    </row>
    <row r="113" spans="1:4">
      <c r="A113" s="287"/>
      <c r="B113" s="287"/>
      <c r="C113" s="287"/>
      <c r="D113" s="296" t="s">
        <v>28729</v>
      </c>
    </row>
    <row r="114" spans="1:4">
      <c r="A114" s="287" t="s">
        <v>7279</v>
      </c>
      <c r="B114" s="287"/>
      <c r="C114" s="287"/>
      <c r="D114" s="296" t="s">
        <v>28729</v>
      </c>
    </row>
    <row r="115" spans="1:4" ht="81">
      <c r="A115" s="288" t="s">
        <v>7280</v>
      </c>
      <c r="B115" s="289" t="s">
        <v>7281</v>
      </c>
      <c r="C115" s="288" t="s">
        <v>7079</v>
      </c>
      <c r="D115" s="303">
        <v>1526.8</v>
      </c>
    </row>
    <row r="116" spans="1:4" ht="72">
      <c r="A116" s="288" t="s">
        <v>7282</v>
      </c>
      <c r="B116" s="289" t="s">
        <v>7283</v>
      </c>
      <c r="C116" s="288" t="s">
        <v>7079</v>
      </c>
      <c r="D116" s="303">
        <v>1333.94</v>
      </c>
    </row>
    <row r="117" spans="1:4" ht="27">
      <c r="A117" s="288" t="s">
        <v>7284</v>
      </c>
      <c r="B117" s="289" t="s">
        <v>7285</v>
      </c>
      <c r="C117" s="288" t="s">
        <v>54</v>
      </c>
      <c r="D117" s="303">
        <v>5.8</v>
      </c>
    </row>
    <row r="118" spans="1:4" ht="27">
      <c r="A118" s="288" t="s">
        <v>7286</v>
      </c>
      <c r="B118" s="289" t="s">
        <v>7287</v>
      </c>
      <c r="C118" s="288" t="s">
        <v>38</v>
      </c>
      <c r="D118" s="303">
        <v>8.9700000000000006</v>
      </c>
    </row>
    <row r="119" spans="1:4">
      <c r="A119" s="287"/>
      <c r="B119" s="287"/>
      <c r="C119" s="287"/>
      <c r="D119" s="296" t="s">
        <v>28729</v>
      </c>
    </row>
    <row r="120" spans="1:4" ht="27">
      <c r="A120" s="287" t="s">
        <v>25854</v>
      </c>
      <c r="B120" s="287"/>
      <c r="C120" s="287"/>
      <c r="D120" s="296" t="s">
        <v>28729</v>
      </c>
    </row>
    <row r="121" spans="1:4">
      <c r="A121" s="288" t="s">
        <v>7288</v>
      </c>
      <c r="B121" s="289" t="s">
        <v>7289</v>
      </c>
      <c r="C121" s="288" t="s">
        <v>7079</v>
      </c>
      <c r="D121" s="303">
        <v>134.81</v>
      </c>
    </row>
    <row r="122" spans="1:4">
      <c r="A122" s="288" t="s">
        <v>7290</v>
      </c>
      <c r="B122" s="289" t="s">
        <v>7291</v>
      </c>
      <c r="C122" s="288" t="s">
        <v>7079</v>
      </c>
      <c r="D122" s="303">
        <v>129.66999999999999</v>
      </c>
    </row>
    <row r="123" spans="1:4">
      <c r="A123" s="288" t="s">
        <v>7292</v>
      </c>
      <c r="B123" s="289" t="s">
        <v>7293</v>
      </c>
      <c r="C123" s="288" t="s">
        <v>7079</v>
      </c>
      <c r="D123" s="303">
        <v>111.14</v>
      </c>
    </row>
    <row r="124" spans="1:4">
      <c r="A124" s="288" t="s">
        <v>7294</v>
      </c>
      <c r="B124" s="289" t="s">
        <v>7295</v>
      </c>
      <c r="C124" s="288" t="s">
        <v>7079</v>
      </c>
      <c r="D124" s="303">
        <v>92.62</v>
      </c>
    </row>
    <row r="125" spans="1:4">
      <c r="A125" s="288" t="s">
        <v>7296</v>
      </c>
      <c r="B125" s="289" t="s">
        <v>7297</v>
      </c>
      <c r="C125" s="288" t="s">
        <v>7079</v>
      </c>
      <c r="D125" s="303">
        <v>120.4</v>
      </c>
    </row>
    <row r="126" spans="1:4" ht="18">
      <c r="A126" s="287" t="s">
        <v>25855</v>
      </c>
      <c r="B126" s="287"/>
      <c r="C126" s="287"/>
      <c r="D126" s="296" t="s">
        <v>28729</v>
      </c>
    </row>
    <row r="127" spans="1:4">
      <c r="A127" s="288" t="s">
        <v>7298</v>
      </c>
      <c r="B127" s="289" t="s">
        <v>7299</v>
      </c>
      <c r="C127" s="288" t="s">
        <v>7079</v>
      </c>
      <c r="D127" s="303">
        <v>2860.9</v>
      </c>
    </row>
    <row r="128" spans="1:4">
      <c r="A128" s="288" t="s">
        <v>7300</v>
      </c>
      <c r="B128" s="289" t="s">
        <v>7301</v>
      </c>
      <c r="C128" s="288" t="s">
        <v>7079</v>
      </c>
      <c r="D128" s="303">
        <v>1656.85</v>
      </c>
    </row>
    <row r="129" spans="1:4" ht="18">
      <c r="A129" s="287" t="s">
        <v>25856</v>
      </c>
      <c r="B129" s="287"/>
      <c r="C129" s="287"/>
      <c r="D129" s="296" t="s">
        <v>28729</v>
      </c>
    </row>
    <row r="130" spans="1:4" ht="36">
      <c r="A130" s="288" t="s">
        <v>7302</v>
      </c>
      <c r="B130" s="289" t="s">
        <v>7303</v>
      </c>
      <c r="C130" s="288" t="s">
        <v>47</v>
      </c>
      <c r="D130" s="303">
        <v>32.869999999999997</v>
      </c>
    </row>
    <row r="131" spans="1:4" ht="18">
      <c r="A131" s="288" t="s">
        <v>7304</v>
      </c>
      <c r="B131" s="289" t="s">
        <v>7305</v>
      </c>
      <c r="C131" s="288" t="s">
        <v>7079</v>
      </c>
      <c r="D131" s="303">
        <v>55.12</v>
      </c>
    </row>
    <row r="132" spans="1:4" ht="18">
      <c r="A132" s="288" t="s">
        <v>7306</v>
      </c>
      <c r="B132" s="289" t="s">
        <v>7307</v>
      </c>
      <c r="C132" s="288" t="s">
        <v>7079</v>
      </c>
      <c r="D132" s="303">
        <v>53.63</v>
      </c>
    </row>
    <row r="133" spans="1:4">
      <c r="A133" s="288" t="s">
        <v>7308</v>
      </c>
      <c r="B133" s="289" t="s">
        <v>7309</v>
      </c>
      <c r="C133" s="288" t="s">
        <v>7079</v>
      </c>
      <c r="D133" s="303">
        <v>14.81</v>
      </c>
    </row>
    <row r="134" spans="1:4" ht="18">
      <c r="A134" s="287" t="s">
        <v>25857</v>
      </c>
      <c r="B134" s="287"/>
      <c r="C134" s="287"/>
      <c r="D134" s="296" t="s">
        <v>28729</v>
      </c>
    </row>
    <row r="135" spans="1:4">
      <c r="A135" s="288" t="s">
        <v>7310</v>
      </c>
      <c r="B135" s="289" t="s">
        <v>7311</v>
      </c>
      <c r="C135" s="288" t="s">
        <v>7079</v>
      </c>
      <c r="D135" s="303">
        <v>324.17</v>
      </c>
    </row>
    <row r="136" spans="1:4">
      <c r="A136" s="288" t="s">
        <v>7312</v>
      </c>
      <c r="B136" s="289" t="s">
        <v>7313</v>
      </c>
      <c r="C136" s="288" t="s">
        <v>7079</v>
      </c>
      <c r="D136" s="303">
        <v>92.62</v>
      </c>
    </row>
    <row r="137" spans="1:4" ht="18">
      <c r="A137" s="288" t="s">
        <v>7314</v>
      </c>
      <c r="B137" s="289" t="s">
        <v>7315</v>
      </c>
      <c r="C137" s="288" t="s">
        <v>7079</v>
      </c>
      <c r="D137" s="303">
        <v>92.62</v>
      </c>
    </row>
    <row r="138" spans="1:4">
      <c r="A138" s="288" t="s">
        <v>7316</v>
      </c>
      <c r="B138" s="289" t="s">
        <v>7317</v>
      </c>
      <c r="C138" s="288" t="s">
        <v>7079</v>
      </c>
      <c r="D138" s="303">
        <v>213.02</v>
      </c>
    </row>
    <row r="139" spans="1:4">
      <c r="A139" s="288" t="s">
        <v>7318</v>
      </c>
      <c r="B139" s="289" t="s">
        <v>7319</v>
      </c>
      <c r="C139" s="288" t="s">
        <v>7079</v>
      </c>
      <c r="D139" s="303">
        <v>324.17</v>
      </c>
    </row>
    <row r="140" spans="1:4">
      <c r="A140" s="288" t="s">
        <v>7320</v>
      </c>
      <c r="B140" s="289" t="s">
        <v>7321</v>
      </c>
      <c r="C140" s="288" t="s">
        <v>7079</v>
      </c>
      <c r="D140" s="303">
        <v>3879.71</v>
      </c>
    </row>
    <row r="141" spans="1:4">
      <c r="A141" s="288" t="s">
        <v>7322</v>
      </c>
      <c r="B141" s="289" t="s">
        <v>7323</v>
      </c>
      <c r="C141" s="288" t="s">
        <v>7079</v>
      </c>
      <c r="D141" s="303">
        <v>9050.93</v>
      </c>
    </row>
    <row r="142" spans="1:4">
      <c r="A142" s="288" t="s">
        <v>7324</v>
      </c>
      <c r="B142" s="289" t="s">
        <v>7325</v>
      </c>
      <c r="C142" s="288" t="s">
        <v>7079</v>
      </c>
      <c r="D142" s="303">
        <v>594.82000000000005</v>
      </c>
    </row>
    <row r="143" spans="1:4">
      <c r="A143" s="288" t="s">
        <v>7326</v>
      </c>
      <c r="B143" s="289" t="s">
        <v>7327</v>
      </c>
      <c r="C143" s="288" t="s">
        <v>7079</v>
      </c>
      <c r="D143" s="303">
        <v>1242.1199999999999</v>
      </c>
    </row>
    <row r="144" spans="1:4">
      <c r="A144" s="288" t="s">
        <v>7328</v>
      </c>
      <c r="B144" s="289" t="s">
        <v>7329</v>
      </c>
      <c r="C144" s="288" t="s">
        <v>7079</v>
      </c>
      <c r="D144" s="303">
        <v>649.36</v>
      </c>
    </row>
    <row r="145" spans="1:4" ht="18">
      <c r="A145" s="287" t="s">
        <v>25858</v>
      </c>
      <c r="B145" s="287"/>
      <c r="C145" s="287"/>
      <c r="D145" s="296" t="s">
        <v>28729</v>
      </c>
    </row>
    <row r="146" spans="1:4" ht="45">
      <c r="A146" s="288" t="s">
        <v>7330</v>
      </c>
      <c r="B146" s="289" t="s">
        <v>7331</v>
      </c>
      <c r="C146" s="288" t="s">
        <v>7079</v>
      </c>
      <c r="D146" s="303">
        <v>2084.96</v>
      </c>
    </row>
    <row r="147" spans="1:4" ht="27">
      <c r="A147" s="288" t="s">
        <v>7332</v>
      </c>
      <c r="B147" s="289" t="s">
        <v>7333</v>
      </c>
      <c r="C147" s="288" t="s">
        <v>7079</v>
      </c>
      <c r="D147" s="303">
        <v>301.52999999999997</v>
      </c>
    </row>
    <row r="148" spans="1:4" ht="27">
      <c r="A148" s="288" t="s">
        <v>7334</v>
      </c>
      <c r="B148" s="289" t="s">
        <v>7335</v>
      </c>
      <c r="C148" s="288" t="s">
        <v>7079</v>
      </c>
      <c r="D148" s="303">
        <v>185.34</v>
      </c>
    </row>
    <row r="149" spans="1:4" ht="18">
      <c r="A149" s="288" t="s">
        <v>7336</v>
      </c>
      <c r="B149" s="289" t="s">
        <v>7337</v>
      </c>
      <c r="C149" s="288" t="s">
        <v>7079</v>
      </c>
      <c r="D149" s="303">
        <v>83.48</v>
      </c>
    </row>
    <row r="150" spans="1:4" ht="18">
      <c r="A150" s="288" t="s">
        <v>7338</v>
      </c>
      <c r="B150" s="289" t="s">
        <v>7339</v>
      </c>
      <c r="C150" s="288" t="s">
        <v>7079</v>
      </c>
      <c r="D150" s="303">
        <v>92.62</v>
      </c>
    </row>
    <row r="151" spans="1:4" ht="27">
      <c r="A151" s="287" t="s">
        <v>25859</v>
      </c>
      <c r="B151" s="287"/>
      <c r="C151" s="287"/>
      <c r="D151" s="296" t="s">
        <v>28729</v>
      </c>
    </row>
    <row r="152" spans="1:4" ht="27">
      <c r="A152" s="288" t="s">
        <v>7340</v>
      </c>
      <c r="B152" s="289" t="s">
        <v>7341</v>
      </c>
      <c r="C152" s="288" t="s">
        <v>7079</v>
      </c>
      <c r="D152" s="303">
        <v>6534</v>
      </c>
    </row>
    <row r="153" spans="1:4" ht="27">
      <c r="A153" s="288" t="s">
        <v>7342</v>
      </c>
      <c r="B153" s="289" t="s">
        <v>7343</v>
      </c>
      <c r="C153" s="288" t="s">
        <v>7079</v>
      </c>
      <c r="D153" s="303">
        <v>805.2</v>
      </c>
    </row>
    <row r="154" spans="1:4" ht="27">
      <c r="A154" s="288" t="s">
        <v>7344</v>
      </c>
      <c r="B154" s="289" t="s">
        <v>7345</v>
      </c>
      <c r="C154" s="288" t="s">
        <v>7079</v>
      </c>
      <c r="D154" s="303">
        <v>437.35</v>
      </c>
    </row>
    <row r="155" spans="1:4" ht="18">
      <c r="A155" s="288" t="s">
        <v>7346</v>
      </c>
      <c r="B155" s="289" t="s">
        <v>7347</v>
      </c>
      <c r="C155" s="288" t="s">
        <v>7079</v>
      </c>
      <c r="D155" s="303">
        <v>437.35</v>
      </c>
    </row>
    <row r="156" spans="1:4" ht="36">
      <c r="A156" s="288" t="s">
        <v>7348</v>
      </c>
      <c r="B156" s="289" t="s">
        <v>7349</v>
      </c>
      <c r="C156" s="288" t="s">
        <v>7079</v>
      </c>
      <c r="D156" s="303">
        <v>4864.2</v>
      </c>
    </row>
    <row r="157" spans="1:4" ht="27">
      <c r="A157" s="288" t="s">
        <v>7350</v>
      </c>
      <c r="B157" s="289" t="s">
        <v>7351</v>
      </c>
      <c r="C157" s="288" t="s">
        <v>7079</v>
      </c>
      <c r="D157" s="303">
        <v>2365.5</v>
      </c>
    </row>
    <row r="158" spans="1:4" ht="27">
      <c r="A158" s="288" t="s">
        <v>7352</v>
      </c>
      <c r="B158" s="289" t="s">
        <v>7353</v>
      </c>
      <c r="C158" s="288" t="s">
        <v>7079</v>
      </c>
      <c r="D158" s="303">
        <v>15972</v>
      </c>
    </row>
    <row r="159" spans="1:4" ht="18">
      <c r="A159" s="287" t="s">
        <v>25860</v>
      </c>
      <c r="B159" s="287"/>
      <c r="C159" s="287"/>
      <c r="D159" s="296" t="s">
        <v>28729</v>
      </c>
    </row>
    <row r="160" spans="1:4">
      <c r="A160" s="288" t="s">
        <v>7354</v>
      </c>
      <c r="B160" s="289" t="s">
        <v>7355</v>
      </c>
      <c r="C160" s="288" t="s">
        <v>7079</v>
      </c>
      <c r="D160" s="303">
        <v>223.56</v>
      </c>
    </row>
    <row r="161" spans="1:4">
      <c r="A161" s="288" t="s">
        <v>7356</v>
      </c>
      <c r="B161" s="289" t="s">
        <v>7357</v>
      </c>
      <c r="C161" s="288" t="s">
        <v>7079</v>
      </c>
      <c r="D161" s="303">
        <v>1648.62</v>
      </c>
    </row>
    <row r="162" spans="1:4">
      <c r="A162" s="288" t="s">
        <v>7358</v>
      </c>
      <c r="B162" s="289" t="s">
        <v>7359</v>
      </c>
      <c r="C162" s="288" t="s">
        <v>7079</v>
      </c>
      <c r="D162" s="303">
        <v>124.52</v>
      </c>
    </row>
    <row r="163" spans="1:4" ht="18">
      <c r="A163" s="288" t="s">
        <v>7360</v>
      </c>
      <c r="B163" s="289" t="s">
        <v>7361</v>
      </c>
      <c r="C163" s="288" t="s">
        <v>7079</v>
      </c>
      <c r="D163" s="303">
        <v>475.44</v>
      </c>
    </row>
    <row r="164" spans="1:4" ht="18">
      <c r="A164" s="288" t="s">
        <v>7362</v>
      </c>
      <c r="B164" s="289" t="s">
        <v>7363</v>
      </c>
      <c r="C164" s="288" t="s">
        <v>7079</v>
      </c>
      <c r="D164" s="303">
        <v>553.66</v>
      </c>
    </row>
    <row r="165" spans="1:4" ht="18">
      <c r="A165" s="288" t="s">
        <v>7364</v>
      </c>
      <c r="B165" s="289" t="s">
        <v>7365</v>
      </c>
      <c r="C165" s="288" t="s">
        <v>7079</v>
      </c>
      <c r="D165" s="303">
        <v>396.2</v>
      </c>
    </row>
    <row r="166" spans="1:4" ht="18">
      <c r="A166" s="288" t="s">
        <v>7366</v>
      </c>
      <c r="B166" s="289" t="s">
        <v>7367</v>
      </c>
      <c r="C166" s="288" t="s">
        <v>7079</v>
      </c>
      <c r="D166" s="303">
        <v>205.82</v>
      </c>
    </row>
    <row r="167" spans="1:4">
      <c r="A167" s="288" t="s">
        <v>7368</v>
      </c>
      <c r="B167" s="289" t="s">
        <v>7369</v>
      </c>
      <c r="C167" s="288" t="s">
        <v>7079</v>
      </c>
      <c r="D167" s="303">
        <v>205.82</v>
      </c>
    </row>
    <row r="168" spans="1:4" ht="18">
      <c r="A168" s="288" t="s">
        <v>7370</v>
      </c>
      <c r="B168" s="289" t="s">
        <v>25861</v>
      </c>
      <c r="C168" s="288" t="s">
        <v>7079</v>
      </c>
      <c r="D168" s="303">
        <v>138.09</v>
      </c>
    </row>
    <row r="169" spans="1:4">
      <c r="A169" s="288" t="s">
        <v>7371</v>
      </c>
      <c r="B169" s="289" t="s">
        <v>7372</v>
      </c>
      <c r="C169" s="288" t="s">
        <v>7079</v>
      </c>
      <c r="D169" s="303">
        <v>127.04</v>
      </c>
    </row>
    <row r="170" spans="1:4" ht="18">
      <c r="A170" s="288" t="s">
        <v>7373</v>
      </c>
      <c r="B170" s="289" t="s">
        <v>7374</v>
      </c>
      <c r="C170" s="288" t="s">
        <v>7079</v>
      </c>
      <c r="D170" s="303">
        <v>316.95999999999998</v>
      </c>
    </row>
    <row r="171" spans="1:4" ht="18">
      <c r="A171" s="288" t="s">
        <v>7375</v>
      </c>
      <c r="B171" s="289" t="s">
        <v>7376</v>
      </c>
      <c r="C171" s="288" t="s">
        <v>7079</v>
      </c>
      <c r="D171" s="303">
        <v>316.95999999999998</v>
      </c>
    </row>
    <row r="172" spans="1:4" ht="18">
      <c r="A172" s="288" t="s">
        <v>7377</v>
      </c>
      <c r="B172" s="289" t="s">
        <v>7378</v>
      </c>
      <c r="C172" s="288" t="s">
        <v>7079</v>
      </c>
      <c r="D172" s="303">
        <v>308.73</v>
      </c>
    </row>
    <row r="173" spans="1:4" ht="27">
      <c r="A173" s="288" t="s">
        <v>7379</v>
      </c>
      <c r="B173" s="289" t="s">
        <v>7380</v>
      </c>
      <c r="C173" s="288" t="s">
        <v>7079</v>
      </c>
      <c r="D173" s="303">
        <v>1662</v>
      </c>
    </row>
    <row r="174" spans="1:4" ht="27">
      <c r="A174" s="288" t="s">
        <v>7381</v>
      </c>
      <c r="B174" s="289" t="s">
        <v>7382</v>
      </c>
      <c r="C174" s="288" t="s">
        <v>7079</v>
      </c>
      <c r="D174" s="303">
        <v>1741.24</v>
      </c>
    </row>
    <row r="175" spans="1:4" ht="27">
      <c r="A175" s="288" t="s">
        <v>7383</v>
      </c>
      <c r="B175" s="289" t="s">
        <v>7384</v>
      </c>
      <c r="C175" s="288" t="s">
        <v>7079</v>
      </c>
      <c r="D175" s="303">
        <v>1504.54</v>
      </c>
    </row>
    <row r="176" spans="1:4" ht="27">
      <c r="A176" s="288" t="s">
        <v>7385</v>
      </c>
      <c r="B176" s="289" t="s">
        <v>7386</v>
      </c>
      <c r="C176" s="288" t="s">
        <v>7079</v>
      </c>
      <c r="D176" s="303">
        <v>1029.0999999999999</v>
      </c>
    </row>
    <row r="177" spans="1:4" ht="27">
      <c r="A177" s="288" t="s">
        <v>7387</v>
      </c>
      <c r="B177" s="289" t="s">
        <v>7388</v>
      </c>
      <c r="C177" s="288" t="s">
        <v>7079</v>
      </c>
      <c r="D177" s="303">
        <v>1108.3399999999999</v>
      </c>
    </row>
    <row r="178" spans="1:4">
      <c r="A178" s="288" t="s">
        <v>7389</v>
      </c>
      <c r="B178" s="289" t="s">
        <v>7390</v>
      </c>
      <c r="C178" s="288" t="s">
        <v>7079</v>
      </c>
      <c r="D178" s="303">
        <v>1702.13</v>
      </c>
    </row>
    <row r="179" spans="1:4">
      <c r="A179" s="288" t="s">
        <v>7391</v>
      </c>
      <c r="B179" s="289" t="s">
        <v>7392</v>
      </c>
      <c r="C179" s="288" t="s">
        <v>7079</v>
      </c>
      <c r="D179" s="303">
        <v>1582.76</v>
      </c>
    </row>
    <row r="180" spans="1:4">
      <c r="A180" s="288" t="s">
        <v>7393</v>
      </c>
      <c r="B180" s="289" t="s">
        <v>7394</v>
      </c>
      <c r="C180" s="288" t="s">
        <v>7079</v>
      </c>
      <c r="D180" s="303">
        <v>673.03</v>
      </c>
    </row>
    <row r="181" spans="1:4">
      <c r="A181" s="288" t="s">
        <v>7395</v>
      </c>
      <c r="B181" s="289" t="s">
        <v>7396</v>
      </c>
      <c r="C181" s="288" t="s">
        <v>7079</v>
      </c>
      <c r="D181" s="303">
        <v>593.79</v>
      </c>
    </row>
    <row r="182" spans="1:4">
      <c r="A182" s="287"/>
      <c r="B182" s="287"/>
      <c r="C182" s="287"/>
      <c r="D182" s="296" t="s">
        <v>28729</v>
      </c>
    </row>
    <row r="183" spans="1:4" ht="18">
      <c r="A183" s="287" t="s">
        <v>7397</v>
      </c>
      <c r="B183" s="287"/>
      <c r="C183" s="287"/>
      <c r="D183" s="296" t="s">
        <v>28729</v>
      </c>
    </row>
    <row r="184" spans="1:4">
      <c r="A184" s="288" t="s">
        <v>7398</v>
      </c>
      <c r="B184" s="289" t="s">
        <v>7399</v>
      </c>
      <c r="C184" s="288" t="s">
        <v>7167</v>
      </c>
      <c r="D184" s="303">
        <v>14.83</v>
      </c>
    </row>
    <row r="185" spans="1:4">
      <c r="A185" s="288" t="s">
        <v>7400</v>
      </c>
      <c r="B185" s="289" t="s">
        <v>7401</v>
      </c>
      <c r="C185" s="288" t="s">
        <v>7167</v>
      </c>
      <c r="D185" s="303">
        <v>23.55</v>
      </c>
    </row>
    <row r="186" spans="1:4">
      <c r="A186" s="288" t="s">
        <v>7402</v>
      </c>
      <c r="B186" s="289" t="s">
        <v>7403</v>
      </c>
      <c r="C186" s="288" t="s">
        <v>7167</v>
      </c>
      <c r="D186" s="303">
        <v>23.55</v>
      </c>
    </row>
    <row r="187" spans="1:4">
      <c r="A187" s="288" t="s">
        <v>7404</v>
      </c>
      <c r="B187" s="289" t="s">
        <v>7405</v>
      </c>
      <c r="C187" s="288" t="s">
        <v>7167</v>
      </c>
      <c r="D187" s="303">
        <v>18.23</v>
      </c>
    </row>
    <row r="188" spans="1:4">
      <c r="A188" s="288" t="s">
        <v>7406</v>
      </c>
      <c r="B188" s="289" t="s">
        <v>7407</v>
      </c>
      <c r="C188" s="288" t="s">
        <v>7167</v>
      </c>
      <c r="D188" s="303">
        <v>17.02</v>
      </c>
    </row>
    <row r="189" spans="1:4">
      <c r="A189" s="288" t="s">
        <v>7408</v>
      </c>
      <c r="B189" s="289" t="s">
        <v>7409</v>
      </c>
      <c r="C189" s="288" t="s">
        <v>7167</v>
      </c>
      <c r="D189" s="303">
        <v>18.23</v>
      </c>
    </row>
    <row r="190" spans="1:4">
      <c r="A190" s="288" t="s">
        <v>7410</v>
      </c>
      <c r="B190" s="289" t="s">
        <v>7411</v>
      </c>
      <c r="C190" s="288" t="s">
        <v>7167</v>
      </c>
      <c r="D190" s="303">
        <v>17.78</v>
      </c>
    </row>
    <row r="191" spans="1:4">
      <c r="A191" s="288" t="s">
        <v>7412</v>
      </c>
      <c r="B191" s="289" t="s">
        <v>7413</v>
      </c>
      <c r="C191" s="288" t="s">
        <v>7167</v>
      </c>
      <c r="D191" s="303">
        <v>20.73</v>
      </c>
    </row>
    <row r="192" spans="1:4">
      <c r="A192" s="288" t="s">
        <v>7414</v>
      </c>
      <c r="B192" s="289" t="s">
        <v>7415</v>
      </c>
      <c r="C192" s="288" t="s">
        <v>7167</v>
      </c>
      <c r="D192" s="303">
        <v>34.51</v>
      </c>
    </row>
    <row r="193" spans="1:4">
      <c r="A193" s="288" t="s">
        <v>7416</v>
      </c>
      <c r="B193" s="289" t="s">
        <v>7417</v>
      </c>
      <c r="C193" s="288" t="s">
        <v>7167</v>
      </c>
      <c r="D193" s="303">
        <v>31.78</v>
      </c>
    </row>
    <row r="194" spans="1:4">
      <c r="A194" s="288" t="s">
        <v>7418</v>
      </c>
      <c r="B194" s="289" t="s">
        <v>7419</v>
      </c>
      <c r="C194" s="288" t="s">
        <v>7167</v>
      </c>
      <c r="D194" s="303">
        <v>27.4</v>
      </c>
    </row>
    <row r="195" spans="1:4">
      <c r="A195" s="288" t="s">
        <v>7420</v>
      </c>
      <c r="B195" s="289" t="s">
        <v>7421</v>
      </c>
      <c r="C195" s="288" t="s">
        <v>7167</v>
      </c>
      <c r="D195" s="303">
        <v>13.5</v>
      </c>
    </row>
    <row r="196" spans="1:4">
      <c r="A196" s="288" t="s">
        <v>7422</v>
      </c>
      <c r="B196" s="289" t="s">
        <v>7423</v>
      </c>
      <c r="C196" s="288" t="s">
        <v>7167</v>
      </c>
      <c r="D196" s="303">
        <v>28.34</v>
      </c>
    </row>
    <row r="197" spans="1:4">
      <c r="A197" s="288" t="s">
        <v>7424</v>
      </c>
      <c r="B197" s="289" t="s">
        <v>7425</v>
      </c>
      <c r="C197" s="288" t="s">
        <v>7167</v>
      </c>
      <c r="D197" s="303">
        <v>39.090000000000003</v>
      </c>
    </row>
    <row r="198" spans="1:4">
      <c r="A198" s="288" t="s">
        <v>7426</v>
      </c>
      <c r="B198" s="289" t="s">
        <v>7427</v>
      </c>
      <c r="C198" s="288" t="s">
        <v>7167</v>
      </c>
      <c r="D198" s="303">
        <v>86.52</v>
      </c>
    </row>
    <row r="199" spans="1:4" ht="18">
      <c r="A199" s="288" t="s">
        <v>7428</v>
      </c>
      <c r="B199" s="289" t="s">
        <v>7429</v>
      </c>
      <c r="C199" s="288" t="s">
        <v>7167</v>
      </c>
      <c r="D199" s="303">
        <v>134.58000000000001</v>
      </c>
    </row>
    <row r="200" spans="1:4">
      <c r="A200" s="288" t="s">
        <v>7430</v>
      </c>
      <c r="B200" s="289" t="s">
        <v>7431</v>
      </c>
      <c r="C200" s="288" t="s">
        <v>7167</v>
      </c>
      <c r="D200" s="303">
        <v>192.26</v>
      </c>
    </row>
    <row r="201" spans="1:4">
      <c r="A201" s="288" t="s">
        <v>7432</v>
      </c>
      <c r="B201" s="289" t="s">
        <v>7433</v>
      </c>
      <c r="C201" s="288" t="s">
        <v>7167</v>
      </c>
      <c r="D201" s="303">
        <v>89.12</v>
      </c>
    </row>
    <row r="202" spans="1:4">
      <c r="A202" s="288" t="s">
        <v>7434</v>
      </c>
      <c r="B202" s="289" t="s">
        <v>7435</v>
      </c>
      <c r="C202" s="288" t="s">
        <v>7167</v>
      </c>
      <c r="D202" s="303">
        <v>21.42</v>
      </c>
    </row>
    <row r="203" spans="1:4">
      <c r="A203" s="288" t="s">
        <v>7436</v>
      </c>
      <c r="B203" s="289" t="s">
        <v>7437</v>
      </c>
      <c r="C203" s="288" t="s">
        <v>7167</v>
      </c>
      <c r="D203" s="303">
        <v>6.11</v>
      </c>
    </row>
    <row r="204" spans="1:4">
      <c r="A204" s="288" t="s">
        <v>7438</v>
      </c>
      <c r="B204" s="289" t="s">
        <v>7439</v>
      </c>
      <c r="C204" s="288" t="s">
        <v>7167</v>
      </c>
      <c r="D204" s="303">
        <v>89.12</v>
      </c>
    </row>
    <row r="205" spans="1:4">
      <c r="A205" s="288" t="s">
        <v>7440</v>
      </c>
      <c r="B205" s="289" t="s">
        <v>7441</v>
      </c>
      <c r="C205" s="288" t="s">
        <v>7167</v>
      </c>
      <c r="D205" s="303">
        <v>64.069999999999993</v>
      </c>
    </row>
    <row r="206" spans="1:4">
      <c r="A206" s="288" t="s">
        <v>7442</v>
      </c>
      <c r="B206" s="289" t="s">
        <v>7443</v>
      </c>
      <c r="C206" s="288" t="s">
        <v>7167</v>
      </c>
      <c r="D206" s="303">
        <v>46.85</v>
      </c>
    </row>
    <row r="207" spans="1:4">
      <c r="A207" s="288" t="s">
        <v>7444</v>
      </c>
      <c r="B207" s="289" t="s">
        <v>7445</v>
      </c>
      <c r="C207" s="288" t="s">
        <v>7167</v>
      </c>
      <c r="D207" s="303">
        <v>13.07</v>
      </c>
    </row>
    <row r="208" spans="1:4">
      <c r="A208" s="288" t="s">
        <v>7446</v>
      </c>
      <c r="B208" s="289" t="s">
        <v>7447</v>
      </c>
      <c r="C208" s="288" t="s">
        <v>7167</v>
      </c>
      <c r="D208" s="303">
        <v>12.67</v>
      </c>
    </row>
    <row r="209" spans="1:4">
      <c r="A209" s="288" t="s">
        <v>7448</v>
      </c>
      <c r="B209" s="289" t="s">
        <v>7449</v>
      </c>
      <c r="C209" s="288" t="s">
        <v>7167</v>
      </c>
      <c r="D209" s="303">
        <v>16.100000000000001</v>
      </c>
    </row>
    <row r="210" spans="1:4">
      <c r="A210" s="288" t="s">
        <v>7450</v>
      </c>
      <c r="B210" s="289" t="s">
        <v>7451</v>
      </c>
      <c r="C210" s="288" t="s">
        <v>7167</v>
      </c>
      <c r="D210" s="303">
        <v>13.29</v>
      </c>
    </row>
    <row r="211" spans="1:4">
      <c r="A211" s="288" t="s">
        <v>7452</v>
      </c>
      <c r="B211" s="289" t="s">
        <v>7453</v>
      </c>
      <c r="C211" s="288" t="s">
        <v>7167</v>
      </c>
      <c r="D211" s="303">
        <v>20.28</v>
      </c>
    </row>
    <row r="212" spans="1:4">
      <c r="A212" s="288" t="s">
        <v>7454</v>
      </c>
      <c r="B212" s="289" t="s">
        <v>7455</v>
      </c>
      <c r="C212" s="288" t="s">
        <v>7167</v>
      </c>
      <c r="D212" s="303">
        <v>21.42</v>
      </c>
    </row>
    <row r="213" spans="1:4" ht="18">
      <c r="A213" s="288" t="s">
        <v>7456</v>
      </c>
      <c r="B213" s="289" t="s">
        <v>7457</v>
      </c>
      <c r="C213" s="288" t="s">
        <v>7167</v>
      </c>
      <c r="D213" s="303">
        <v>32.58</v>
      </c>
    </row>
    <row r="214" spans="1:4">
      <c r="A214" s="288" t="s">
        <v>7458</v>
      </c>
      <c r="B214" s="289" t="s">
        <v>7459</v>
      </c>
      <c r="C214" s="288" t="s">
        <v>7167</v>
      </c>
      <c r="D214" s="303">
        <v>23.11</v>
      </c>
    </row>
    <row r="215" spans="1:4">
      <c r="A215" s="288" t="s">
        <v>7460</v>
      </c>
      <c r="B215" s="289" t="s">
        <v>7461</v>
      </c>
      <c r="C215" s="288" t="s">
        <v>7167</v>
      </c>
      <c r="D215" s="303">
        <v>31.09</v>
      </c>
    </row>
    <row r="216" spans="1:4" ht="18">
      <c r="A216" s="288" t="s">
        <v>7462</v>
      </c>
      <c r="B216" s="289" t="s">
        <v>7463</v>
      </c>
      <c r="C216" s="288" t="s">
        <v>7167</v>
      </c>
      <c r="D216" s="303">
        <v>34.1</v>
      </c>
    </row>
    <row r="217" spans="1:4">
      <c r="A217" s="288" t="s">
        <v>7464</v>
      </c>
      <c r="B217" s="289" t="s">
        <v>7465</v>
      </c>
      <c r="C217" s="288" t="s">
        <v>7167</v>
      </c>
      <c r="D217" s="303">
        <v>15.17</v>
      </c>
    </row>
    <row r="218" spans="1:4">
      <c r="A218" s="287"/>
      <c r="B218" s="287"/>
      <c r="C218" s="287"/>
      <c r="D218" s="296" t="s">
        <v>28729</v>
      </c>
    </row>
    <row r="219" spans="1:4">
      <c r="A219" s="287"/>
      <c r="B219" s="287"/>
      <c r="C219" s="287"/>
      <c r="D219" s="296" t="s">
        <v>28729</v>
      </c>
    </row>
    <row r="220" spans="1:4">
      <c r="A220" s="287"/>
      <c r="B220" s="287"/>
      <c r="C220" s="287"/>
      <c r="D220" s="296" t="s">
        <v>28729</v>
      </c>
    </row>
    <row r="221" spans="1:4" ht="18">
      <c r="A221" s="287" t="s">
        <v>7466</v>
      </c>
      <c r="B221" s="287"/>
      <c r="C221" s="287"/>
      <c r="D221" s="296" t="s">
        <v>28729</v>
      </c>
    </row>
    <row r="222" spans="1:4" ht="18">
      <c r="A222" s="288" t="s">
        <v>7467</v>
      </c>
      <c r="B222" s="289" t="s">
        <v>7468</v>
      </c>
      <c r="C222" s="288" t="s">
        <v>47</v>
      </c>
      <c r="D222" s="303">
        <v>241.65</v>
      </c>
    </row>
    <row r="223" spans="1:4" ht="27">
      <c r="A223" s="287" t="s">
        <v>7469</v>
      </c>
      <c r="B223" s="287"/>
      <c r="C223" s="287"/>
      <c r="D223" s="296" t="s">
        <v>28729</v>
      </c>
    </row>
    <row r="224" spans="1:4" ht="27">
      <c r="A224" s="288" t="s">
        <v>7470</v>
      </c>
      <c r="B224" s="289" t="s">
        <v>7471</v>
      </c>
      <c r="C224" s="288" t="s">
        <v>47</v>
      </c>
      <c r="D224" s="303">
        <v>375.83</v>
      </c>
    </row>
    <row r="225" spans="1:4" ht="27">
      <c r="A225" s="288" t="s">
        <v>7472</v>
      </c>
      <c r="B225" s="289" t="s">
        <v>7473</v>
      </c>
      <c r="C225" s="288" t="s">
        <v>47</v>
      </c>
      <c r="D225" s="303">
        <v>590.22</v>
      </c>
    </row>
    <row r="226" spans="1:4" ht="27">
      <c r="A226" s="288" t="s">
        <v>7474</v>
      </c>
      <c r="B226" s="289" t="s">
        <v>7475</v>
      </c>
      <c r="C226" s="288" t="s">
        <v>47</v>
      </c>
      <c r="D226" s="303">
        <v>647.62</v>
      </c>
    </row>
    <row r="227" spans="1:4" ht="27">
      <c r="A227" s="288" t="s">
        <v>7476</v>
      </c>
      <c r="B227" s="289" t="s">
        <v>7477</v>
      </c>
      <c r="C227" s="288" t="s">
        <v>47</v>
      </c>
      <c r="D227" s="303">
        <v>794.96</v>
      </c>
    </row>
    <row r="228" spans="1:4" ht="27">
      <c r="A228" s="288" t="s">
        <v>7478</v>
      </c>
      <c r="B228" s="289" t="s">
        <v>7479</v>
      </c>
      <c r="C228" s="288" t="s">
        <v>47</v>
      </c>
      <c r="D228" s="303">
        <v>942.54</v>
      </c>
    </row>
    <row r="229" spans="1:4" ht="27">
      <c r="A229" s="288" t="s">
        <v>7480</v>
      </c>
      <c r="B229" s="289" t="s">
        <v>7481</v>
      </c>
      <c r="C229" s="288" t="s">
        <v>38</v>
      </c>
      <c r="D229" s="303">
        <v>61.14</v>
      </c>
    </row>
    <row r="230" spans="1:4" ht="18">
      <c r="A230" s="287" t="s">
        <v>7482</v>
      </c>
      <c r="B230" s="287"/>
      <c r="C230" s="287"/>
      <c r="D230" s="296" t="s">
        <v>28729</v>
      </c>
    </row>
    <row r="231" spans="1:4" ht="27">
      <c r="A231" s="288" t="s">
        <v>7483</v>
      </c>
      <c r="B231" s="289" t="s">
        <v>7484</v>
      </c>
      <c r="C231" s="288" t="s">
        <v>38</v>
      </c>
      <c r="D231" s="303">
        <v>97.3</v>
      </c>
    </row>
    <row r="232" spans="1:4" ht="27">
      <c r="A232" s="288" t="s">
        <v>7485</v>
      </c>
      <c r="B232" s="289" t="s">
        <v>7486</v>
      </c>
      <c r="C232" s="288" t="s">
        <v>38</v>
      </c>
      <c r="D232" s="303">
        <v>99.66</v>
      </c>
    </row>
    <row r="233" spans="1:4" ht="27">
      <c r="A233" s="288" t="s">
        <v>7487</v>
      </c>
      <c r="B233" s="289" t="s">
        <v>7488</v>
      </c>
      <c r="C233" s="288" t="s">
        <v>38</v>
      </c>
      <c r="D233" s="303">
        <v>127.31</v>
      </c>
    </row>
    <row r="234" spans="1:4" ht="27">
      <c r="A234" s="288" t="s">
        <v>7489</v>
      </c>
      <c r="B234" s="289" t="s">
        <v>7490</v>
      </c>
      <c r="C234" s="288" t="s">
        <v>38</v>
      </c>
      <c r="D234" s="303">
        <v>107.36</v>
      </c>
    </row>
    <row r="235" spans="1:4" ht="27">
      <c r="A235" s="288" t="s">
        <v>7491</v>
      </c>
      <c r="B235" s="289" t="s">
        <v>7492</v>
      </c>
      <c r="C235" s="288" t="s">
        <v>38</v>
      </c>
      <c r="D235" s="303">
        <v>142.63</v>
      </c>
    </row>
    <row r="236" spans="1:4" ht="27">
      <c r="A236" s="288" t="s">
        <v>7493</v>
      </c>
      <c r="B236" s="289" t="s">
        <v>7494</v>
      </c>
      <c r="C236" s="288" t="s">
        <v>38</v>
      </c>
      <c r="D236" s="303">
        <v>188.56</v>
      </c>
    </row>
    <row r="237" spans="1:4" ht="27">
      <c r="A237" s="288" t="s">
        <v>7495</v>
      </c>
      <c r="B237" s="289" t="s">
        <v>7496</v>
      </c>
      <c r="C237" s="288" t="s">
        <v>38</v>
      </c>
      <c r="D237" s="303">
        <v>192.1</v>
      </c>
    </row>
    <row r="238" spans="1:4" ht="27">
      <c r="A238" s="288" t="s">
        <v>7497</v>
      </c>
      <c r="B238" s="289" t="s">
        <v>7498</v>
      </c>
      <c r="C238" s="288" t="s">
        <v>38</v>
      </c>
      <c r="D238" s="303">
        <v>211.85</v>
      </c>
    </row>
    <row r="239" spans="1:4" ht="27">
      <c r="A239" s="288" t="s">
        <v>7499</v>
      </c>
      <c r="B239" s="289" t="s">
        <v>7500</v>
      </c>
      <c r="C239" s="288" t="s">
        <v>38</v>
      </c>
      <c r="D239" s="303">
        <v>244.36</v>
      </c>
    </row>
    <row r="240" spans="1:4" ht="27">
      <c r="A240" s="288" t="s">
        <v>7501</v>
      </c>
      <c r="B240" s="289" t="s">
        <v>7502</v>
      </c>
      <c r="C240" s="288" t="s">
        <v>38</v>
      </c>
      <c r="D240" s="303">
        <v>272.54000000000002</v>
      </c>
    </row>
    <row r="241" spans="1:4" ht="27">
      <c r="A241" s="287" t="s">
        <v>7503</v>
      </c>
      <c r="B241" s="287"/>
      <c r="C241" s="287"/>
      <c r="D241" s="296" t="s">
        <v>28729</v>
      </c>
    </row>
    <row r="242" spans="1:4" ht="27">
      <c r="A242" s="288" t="s">
        <v>7504</v>
      </c>
      <c r="B242" s="289" t="s">
        <v>7505</v>
      </c>
      <c r="C242" s="288" t="s">
        <v>38</v>
      </c>
      <c r="D242" s="303">
        <v>108.72</v>
      </c>
    </row>
    <row r="243" spans="1:4" ht="27">
      <c r="A243" s="288" t="s">
        <v>7506</v>
      </c>
      <c r="B243" s="289" t="s">
        <v>7507</v>
      </c>
      <c r="C243" s="288" t="s">
        <v>38</v>
      </c>
      <c r="D243" s="303">
        <v>214.87</v>
      </c>
    </row>
    <row r="244" spans="1:4" ht="27">
      <c r="A244" s="288" t="s">
        <v>7508</v>
      </c>
      <c r="B244" s="289" t="s">
        <v>7509</v>
      </c>
      <c r="C244" s="288" t="s">
        <v>38</v>
      </c>
      <c r="D244" s="303">
        <v>293.16000000000003</v>
      </c>
    </row>
    <row r="245" spans="1:4" ht="27">
      <c r="A245" s="287" t="s">
        <v>7510</v>
      </c>
      <c r="B245" s="287"/>
      <c r="C245" s="287"/>
      <c r="D245" s="296" t="s">
        <v>28729</v>
      </c>
    </row>
    <row r="246" spans="1:4" ht="27">
      <c r="A246" s="288" t="s">
        <v>7511</v>
      </c>
      <c r="B246" s="289" t="s">
        <v>7512</v>
      </c>
      <c r="C246" s="288" t="s">
        <v>38</v>
      </c>
      <c r="D246" s="303">
        <v>55.88</v>
      </c>
    </row>
    <row r="247" spans="1:4" ht="27">
      <c r="A247" s="288" t="s">
        <v>7513</v>
      </c>
      <c r="B247" s="289" t="s">
        <v>7514</v>
      </c>
      <c r="C247" s="288" t="s">
        <v>38</v>
      </c>
      <c r="D247" s="303">
        <v>57.8</v>
      </c>
    </row>
    <row r="248" spans="1:4" ht="27">
      <c r="A248" s="288" t="s">
        <v>7515</v>
      </c>
      <c r="B248" s="289" t="s">
        <v>7516</v>
      </c>
      <c r="C248" s="288" t="s">
        <v>38</v>
      </c>
      <c r="D248" s="303">
        <v>81.819999999999993</v>
      </c>
    </row>
    <row r="249" spans="1:4" ht="27">
      <c r="A249" s="288" t="s">
        <v>7517</v>
      </c>
      <c r="B249" s="289" t="s">
        <v>7518</v>
      </c>
      <c r="C249" s="288" t="s">
        <v>38</v>
      </c>
      <c r="D249" s="303">
        <v>64.36</v>
      </c>
    </row>
    <row r="250" spans="1:4" ht="27">
      <c r="A250" s="288" t="s">
        <v>7519</v>
      </c>
      <c r="B250" s="289" t="s">
        <v>7520</v>
      </c>
      <c r="C250" s="288" t="s">
        <v>38</v>
      </c>
      <c r="D250" s="303">
        <v>94.73</v>
      </c>
    </row>
    <row r="251" spans="1:4" ht="27">
      <c r="A251" s="288" t="s">
        <v>7521</v>
      </c>
      <c r="B251" s="289" t="s">
        <v>7522</v>
      </c>
      <c r="C251" s="288" t="s">
        <v>38</v>
      </c>
      <c r="D251" s="303">
        <v>51.91</v>
      </c>
    </row>
    <row r="252" spans="1:4" ht="27">
      <c r="A252" s="288" t="s">
        <v>7523</v>
      </c>
      <c r="B252" s="289" t="s">
        <v>7524</v>
      </c>
      <c r="C252" s="288" t="s">
        <v>38</v>
      </c>
      <c r="D252" s="303">
        <v>53.02</v>
      </c>
    </row>
    <row r="253" spans="1:4" ht="27">
      <c r="A253" s="288" t="s">
        <v>7525</v>
      </c>
      <c r="B253" s="289" t="s">
        <v>7526</v>
      </c>
      <c r="C253" s="288" t="s">
        <v>38</v>
      </c>
      <c r="D253" s="303">
        <v>69.8</v>
      </c>
    </row>
    <row r="254" spans="1:4" ht="27">
      <c r="A254" s="288" t="s">
        <v>7527</v>
      </c>
      <c r="B254" s="289" t="s">
        <v>7528</v>
      </c>
      <c r="C254" s="288" t="s">
        <v>38</v>
      </c>
      <c r="D254" s="303">
        <v>58.7</v>
      </c>
    </row>
    <row r="255" spans="1:4" ht="27">
      <c r="A255" s="288" t="s">
        <v>7529</v>
      </c>
      <c r="B255" s="289" t="s">
        <v>7530</v>
      </c>
      <c r="C255" s="288" t="s">
        <v>38</v>
      </c>
      <c r="D255" s="303">
        <v>60.9</v>
      </c>
    </row>
    <row r="256" spans="1:4" ht="27">
      <c r="A256" s="288" t="s">
        <v>7531</v>
      </c>
      <c r="B256" s="289" t="s">
        <v>7532</v>
      </c>
      <c r="C256" s="288" t="s">
        <v>38</v>
      </c>
      <c r="D256" s="303">
        <v>111.7</v>
      </c>
    </row>
    <row r="257" spans="1:4" ht="27">
      <c r="A257" s="288" t="s">
        <v>7533</v>
      </c>
      <c r="B257" s="289" t="s">
        <v>7534</v>
      </c>
      <c r="C257" s="288" t="s">
        <v>38</v>
      </c>
      <c r="D257" s="303">
        <v>114.65</v>
      </c>
    </row>
    <row r="258" spans="1:4" ht="27">
      <c r="A258" s="288" t="s">
        <v>7535</v>
      </c>
      <c r="B258" s="289" t="s">
        <v>7536</v>
      </c>
      <c r="C258" s="288" t="s">
        <v>38</v>
      </c>
      <c r="D258" s="303">
        <v>128.63</v>
      </c>
    </row>
    <row r="259" spans="1:4" ht="27">
      <c r="A259" s="288" t="s">
        <v>7537</v>
      </c>
      <c r="B259" s="289" t="s">
        <v>7538</v>
      </c>
      <c r="C259" s="288" t="s">
        <v>38</v>
      </c>
      <c r="D259" s="303">
        <v>180.08</v>
      </c>
    </row>
    <row r="260" spans="1:4" ht="27">
      <c r="A260" s="288" t="s">
        <v>7539</v>
      </c>
      <c r="B260" s="289" t="s">
        <v>7540</v>
      </c>
      <c r="C260" s="288" t="s">
        <v>38</v>
      </c>
      <c r="D260" s="303">
        <v>102.89</v>
      </c>
    </row>
    <row r="261" spans="1:4" ht="27">
      <c r="A261" s="288" t="s">
        <v>7541</v>
      </c>
      <c r="B261" s="289" t="s">
        <v>7542</v>
      </c>
      <c r="C261" s="288" t="s">
        <v>38</v>
      </c>
      <c r="D261" s="303">
        <v>105.25</v>
      </c>
    </row>
    <row r="262" spans="1:4" ht="27">
      <c r="A262" s="288" t="s">
        <v>7543</v>
      </c>
      <c r="B262" s="289" t="s">
        <v>7544</v>
      </c>
      <c r="C262" s="288" t="s">
        <v>38</v>
      </c>
      <c r="D262" s="303">
        <v>113.43</v>
      </c>
    </row>
    <row r="263" spans="1:4" ht="27">
      <c r="A263" s="288" t="s">
        <v>7545</v>
      </c>
      <c r="B263" s="289" t="s">
        <v>7546</v>
      </c>
      <c r="C263" s="288" t="s">
        <v>38</v>
      </c>
      <c r="D263" s="303">
        <v>133.47</v>
      </c>
    </row>
    <row r="264" spans="1:4" ht="27">
      <c r="A264" s="288" t="s">
        <v>7547</v>
      </c>
      <c r="B264" s="289" t="s">
        <v>7548</v>
      </c>
      <c r="C264" s="288" t="s">
        <v>38</v>
      </c>
      <c r="D264" s="303">
        <v>149.58000000000001</v>
      </c>
    </row>
    <row r="265" spans="1:4" ht="27">
      <c r="A265" s="287" t="s">
        <v>7549</v>
      </c>
      <c r="B265" s="287"/>
      <c r="C265" s="287"/>
      <c r="D265" s="296" t="s">
        <v>28729</v>
      </c>
    </row>
    <row r="266" spans="1:4" ht="18">
      <c r="A266" s="288" t="s">
        <v>7550</v>
      </c>
      <c r="B266" s="289" t="s">
        <v>7551</v>
      </c>
      <c r="C266" s="288" t="s">
        <v>38</v>
      </c>
      <c r="D266" s="303">
        <v>95.22</v>
      </c>
    </row>
    <row r="267" spans="1:4" ht="18">
      <c r="A267" s="288" t="s">
        <v>7552</v>
      </c>
      <c r="B267" s="289" t="s">
        <v>7553</v>
      </c>
      <c r="C267" s="288" t="s">
        <v>54</v>
      </c>
      <c r="D267" s="303">
        <v>23.97</v>
      </c>
    </row>
    <row r="268" spans="1:4" ht="18">
      <c r="A268" s="288" t="s">
        <v>7554</v>
      </c>
      <c r="B268" s="289" t="s">
        <v>7555</v>
      </c>
      <c r="C268" s="288" t="s">
        <v>54</v>
      </c>
      <c r="D268" s="303">
        <v>27.75</v>
      </c>
    </row>
    <row r="269" spans="1:4" ht="18">
      <c r="A269" s="287" t="s">
        <v>7556</v>
      </c>
      <c r="B269" s="287"/>
      <c r="C269" s="287"/>
      <c r="D269" s="296" t="s">
        <v>28729</v>
      </c>
    </row>
    <row r="270" spans="1:4" ht="27">
      <c r="A270" s="288" t="s">
        <v>7557</v>
      </c>
      <c r="B270" s="289" t="s">
        <v>7558</v>
      </c>
      <c r="C270" s="288" t="s">
        <v>38</v>
      </c>
      <c r="D270" s="303">
        <v>58.28</v>
      </c>
    </row>
    <row r="271" spans="1:4" ht="27">
      <c r="A271" s="288" t="s">
        <v>7559</v>
      </c>
      <c r="B271" s="289" t="s">
        <v>7560</v>
      </c>
      <c r="C271" s="288" t="s">
        <v>38</v>
      </c>
      <c r="D271" s="303">
        <v>82.27</v>
      </c>
    </row>
    <row r="272" spans="1:4" ht="27">
      <c r="A272" s="288" t="s">
        <v>7561</v>
      </c>
      <c r="B272" s="289" t="s">
        <v>7562</v>
      </c>
      <c r="C272" s="288" t="s">
        <v>38</v>
      </c>
      <c r="D272" s="303">
        <v>70.17</v>
      </c>
    </row>
    <row r="273" spans="1:4" ht="27">
      <c r="A273" s="288" t="s">
        <v>7563</v>
      </c>
      <c r="B273" s="289" t="s">
        <v>7564</v>
      </c>
      <c r="C273" s="288" t="s">
        <v>38</v>
      </c>
      <c r="D273" s="303">
        <v>88.61</v>
      </c>
    </row>
    <row r="274" spans="1:4" ht="36">
      <c r="A274" s="288" t="s">
        <v>7565</v>
      </c>
      <c r="B274" s="289" t="s">
        <v>7566</v>
      </c>
      <c r="C274" s="288" t="s">
        <v>38</v>
      </c>
      <c r="D274" s="303">
        <v>117.87</v>
      </c>
    </row>
    <row r="275" spans="1:4" ht="27">
      <c r="A275" s="288" t="s">
        <v>7567</v>
      </c>
      <c r="B275" s="289" t="s">
        <v>7568</v>
      </c>
      <c r="C275" s="288" t="s">
        <v>38</v>
      </c>
      <c r="D275" s="303">
        <v>67.38</v>
      </c>
    </row>
    <row r="276" spans="1:4" ht="27">
      <c r="A276" s="288" t="s">
        <v>7569</v>
      </c>
      <c r="B276" s="289" t="s">
        <v>7570</v>
      </c>
      <c r="C276" s="288" t="s">
        <v>38</v>
      </c>
      <c r="D276" s="303">
        <v>118.18</v>
      </c>
    </row>
    <row r="277" spans="1:4" ht="27">
      <c r="A277" s="288" t="s">
        <v>7571</v>
      </c>
      <c r="B277" s="289" t="s">
        <v>7572</v>
      </c>
      <c r="C277" s="288" t="s">
        <v>38</v>
      </c>
      <c r="D277" s="303">
        <v>129.25</v>
      </c>
    </row>
    <row r="278" spans="1:4" ht="27">
      <c r="A278" s="288" t="s">
        <v>7573</v>
      </c>
      <c r="B278" s="289" t="s">
        <v>7574</v>
      </c>
      <c r="C278" s="288" t="s">
        <v>38</v>
      </c>
      <c r="D278" s="303">
        <v>128.22</v>
      </c>
    </row>
    <row r="279" spans="1:4" ht="27">
      <c r="A279" s="288" t="s">
        <v>7575</v>
      </c>
      <c r="B279" s="289" t="s">
        <v>7576</v>
      </c>
      <c r="C279" s="288" t="s">
        <v>38</v>
      </c>
      <c r="D279" s="303">
        <v>144.82</v>
      </c>
    </row>
    <row r="280" spans="1:4" ht="27">
      <c r="A280" s="288" t="s">
        <v>7577</v>
      </c>
      <c r="B280" s="289" t="s">
        <v>7578</v>
      </c>
      <c r="C280" s="288" t="s">
        <v>38</v>
      </c>
      <c r="D280" s="303">
        <v>91.68</v>
      </c>
    </row>
    <row r="281" spans="1:4" ht="27">
      <c r="A281" s="288" t="s">
        <v>7579</v>
      </c>
      <c r="B281" s="289" t="s">
        <v>7580</v>
      </c>
      <c r="C281" s="288" t="s">
        <v>38</v>
      </c>
      <c r="D281" s="303">
        <v>106.44</v>
      </c>
    </row>
    <row r="282" spans="1:4" ht="18">
      <c r="A282" s="287" t="s">
        <v>7581</v>
      </c>
      <c r="B282" s="287"/>
      <c r="C282" s="287"/>
      <c r="D282" s="296" t="s">
        <v>28729</v>
      </c>
    </row>
    <row r="283" spans="1:4" ht="27">
      <c r="A283" s="288" t="s">
        <v>7582</v>
      </c>
      <c r="B283" s="289" t="s">
        <v>7583</v>
      </c>
      <c r="C283" s="288" t="s">
        <v>38</v>
      </c>
      <c r="D283" s="303">
        <v>73.3</v>
      </c>
    </row>
    <row r="284" spans="1:4" ht="18">
      <c r="A284" s="287" t="s">
        <v>7584</v>
      </c>
      <c r="B284" s="287"/>
      <c r="C284" s="287"/>
      <c r="D284" s="296" t="s">
        <v>28729</v>
      </c>
    </row>
    <row r="285" spans="1:4" ht="27">
      <c r="A285" s="288" t="s">
        <v>7585</v>
      </c>
      <c r="B285" s="289" t="s">
        <v>7586</v>
      </c>
      <c r="C285" s="288" t="s">
        <v>38</v>
      </c>
      <c r="D285" s="303">
        <v>81.56</v>
      </c>
    </row>
    <row r="286" spans="1:4" ht="18">
      <c r="A286" s="287" t="s">
        <v>7587</v>
      </c>
      <c r="B286" s="287"/>
      <c r="C286" s="287"/>
      <c r="D286" s="296" t="s">
        <v>28729</v>
      </c>
    </row>
    <row r="287" spans="1:4" ht="36">
      <c r="A287" s="288" t="s">
        <v>7588</v>
      </c>
      <c r="B287" s="289" t="s">
        <v>7589</v>
      </c>
      <c r="C287" s="288" t="s">
        <v>38</v>
      </c>
      <c r="D287" s="303">
        <v>271.10000000000002</v>
      </c>
    </row>
    <row r="288" spans="1:4" ht="36">
      <c r="A288" s="288" t="s">
        <v>7590</v>
      </c>
      <c r="B288" s="289" t="s">
        <v>7591</v>
      </c>
      <c r="C288" s="288" t="s">
        <v>38</v>
      </c>
      <c r="D288" s="303">
        <v>227.83</v>
      </c>
    </row>
    <row r="289" spans="1:4" ht="27">
      <c r="A289" s="288" t="s">
        <v>7592</v>
      </c>
      <c r="B289" s="289" t="s">
        <v>7593</v>
      </c>
      <c r="C289" s="288" t="s">
        <v>38</v>
      </c>
      <c r="D289" s="303">
        <v>250.72</v>
      </c>
    </row>
    <row r="290" spans="1:4" ht="27">
      <c r="A290" s="288" t="s">
        <v>7594</v>
      </c>
      <c r="B290" s="289" t="s">
        <v>7595</v>
      </c>
      <c r="C290" s="288" t="s">
        <v>38</v>
      </c>
      <c r="D290" s="303">
        <v>264.93</v>
      </c>
    </row>
    <row r="291" spans="1:4" ht="18">
      <c r="A291" s="287" t="s">
        <v>7596</v>
      </c>
      <c r="B291" s="287"/>
      <c r="C291" s="287"/>
      <c r="D291" s="296" t="s">
        <v>28729</v>
      </c>
    </row>
    <row r="292" spans="1:4" ht="27">
      <c r="A292" s="288" t="s">
        <v>7597</v>
      </c>
      <c r="B292" s="289" t="s">
        <v>7598</v>
      </c>
      <c r="C292" s="288" t="s">
        <v>38</v>
      </c>
      <c r="D292" s="303">
        <v>1148.1500000000001</v>
      </c>
    </row>
    <row r="293" spans="1:4" ht="27">
      <c r="A293" s="288" t="s">
        <v>7599</v>
      </c>
      <c r="B293" s="289" t="s">
        <v>7600</v>
      </c>
      <c r="C293" s="288" t="s">
        <v>38</v>
      </c>
      <c r="D293" s="303">
        <v>601.25</v>
      </c>
    </row>
    <row r="294" spans="1:4" ht="18">
      <c r="A294" s="288" t="s">
        <v>7601</v>
      </c>
      <c r="B294" s="289" t="s">
        <v>7602</v>
      </c>
      <c r="C294" s="288" t="s">
        <v>7079</v>
      </c>
      <c r="D294" s="303">
        <v>47.55</v>
      </c>
    </row>
    <row r="295" spans="1:4">
      <c r="A295" s="287"/>
      <c r="B295" s="287"/>
      <c r="C295" s="287"/>
      <c r="D295" s="296" t="s">
        <v>28729</v>
      </c>
    </row>
    <row r="296" spans="1:4">
      <c r="A296" s="287" t="s">
        <v>7603</v>
      </c>
      <c r="B296" s="287"/>
      <c r="C296" s="287"/>
      <c r="D296" s="296" t="s">
        <v>28729</v>
      </c>
    </row>
    <row r="297" spans="1:4" ht="27">
      <c r="A297" s="288" t="s">
        <v>7604</v>
      </c>
      <c r="B297" s="289" t="s">
        <v>7605</v>
      </c>
      <c r="C297" s="288" t="s">
        <v>38</v>
      </c>
      <c r="D297" s="303">
        <v>56.96</v>
      </c>
    </row>
    <row r="298" spans="1:4" ht="27">
      <c r="A298" s="288" t="s">
        <v>7606</v>
      </c>
      <c r="B298" s="289" t="s">
        <v>7607</v>
      </c>
      <c r="C298" s="288" t="s">
        <v>38</v>
      </c>
      <c r="D298" s="303">
        <v>47.66</v>
      </c>
    </row>
    <row r="299" spans="1:4" ht="36">
      <c r="A299" s="288" t="s">
        <v>7608</v>
      </c>
      <c r="B299" s="289" t="s">
        <v>7609</v>
      </c>
      <c r="C299" s="288" t="s">
        <v>38</v>
      </c>
      <c r="D299" s="303">
        <v>128.37</v>
      </c>
    </row>
    <row r="300" spans="1:4" ht="45">
      <c r="A300" s="288" t="s">
        <v>7610</v>
      </c>
      <c r="B300" s="289" t="s">
        <v>7611</v>
      </c>
      <c r="C300" s="288" t="s">
        <v>38</v>
      </c>
      <c r="D300" s="303">
        <v>119.24</v>
      </c>
    </row>
    <row r="301" spans="1:4" ht="36">
      <c r="A301" s="288" t="s">
        <v>7612</v>
      </c>
      <c r="B301" s="289" t="s">
        <v>7613</v>
      </c>
      <c r="C301" s="288" t="s">
        <v>38</v>
      </c>
      <c r="D301" s="303">
        <v>288.94</v>
      </c>
    </row>
    <row r="302" spans="1:4" ht="45">
      <c r="A302" s="288" t="s">
        <v>7614</v>
      </c>
      <c r="B302" s="289" t="s">
        <v>7615</v>
      </c>
      <c r="C302" s="288" t="s">
        <v>38</v>
      </c>
      <c r="D302" s="303">
        <v>335.75</v>
      </c>
    </row>
    <row r="303" spans="1:4" ht="45">
      <c r="A303" s="288" t="s">
        <v>7616</v>
      </c>
      <c r="B303" s="289" t="s">
        <v>7617</v>
      </c>
      <c r="C303" s="288" t="s">
        <v>38</v>
      </c>
      <c r="D303" s="303">
        <v>137.36000000000001</v>
      </c>
    </row>
    <row r="304" spans="1:4" ht="45">
      <c r="A304" s="288" t="s">
        <v>7618</v>
      </c>
      <c r="B304" s="289" t="s">
        <v>7619</v>
      </c>
      <c r="C304" s="288" t="s">
        <v>38</v>
      </c>
      <c r="D304" s="303">
        <v>178.63</v>
      </c>
    </row>
    <row r="305" spans="1:4" ht="45">
      <c r="A305" s="288" t="s">
        <v>7620</v>
      </c>
      <c r="B305" s="289" t="s">
        <v>7621</v>
      </c>
      <c r="C305" s="288" t="s">
        <v>38</v>
      </c>
      <c r="D305" s="303">
        <v>316.06</v>
      </c>
    </row>
    <row r="306" spans="1:4" ht="45">
      <c r="A306" s="288" t="s">
        <v>7622</v>
      </c>
      <c r="B306" s="289" t="s">
        <v>7623</v>
      </c>
      <c r="C306" s="288" t="s">
        <v>38</v>
      </c>
      <c r="D306" s="303">
        <v>247.78</v>
      </c>
    </row>
    <row r="307" spans="1:4" ht="45">
      <c r="A307" s="288" t="s">
        <v>7624</v>
      </c>
      <c r="B307" s="289" t="s">
        <v>7625</v>
      </c>
      <c r="C307" s="288" t="s">
        <v>38</v>
      </c>
      <c r="D307" s="303">
        <v>137.36000000000001</v>
      </c>
    </row>
    <row r="308" spans="1:4" ht="54">
      <c r="A308" s="288" t="s">
        <v>7626</v>
      </c>
      <c r="B308" s="289" t="s">
        <v>7627</v>
      </c>
      <c r="C308" s="288" t="s">
        <v>38</v>
      </c>
      <c r="D308" s="303">
        <v>131.13</v>
      </c>
    </row>
    <row r="309" spans="1:4" ht="54">
      <c r="A309" s="288" t="s">
        <v>7628</v>
      </c>
      <c r="B309" s="289" t="s">
        <v>7629</v>
      </c>
      <c r="C309" s="288" t="s">
        <v>38</v>
      </c>
      <c r="D309" s="303">
        <v>307.5</v>
      </c>
    </row>
    <row r="310" spans="1:4" ht="45">
      <c r="A310" s="288" t="s">
        <v>7630</v>
      </c>
      <c r="B310" s="289" t="s">
        <v>7631</v>
      </c>
      <c r="C310" s="288" t="s">
        <v>38</v>
      </c>
      <c r="D310" s="303">
        <v>334.05</v>
      </c>
    </row>
    <row r="311" spans="1:4" ht="54">
      <c r="A311" s="288" t="s">
        <v>7632</v>
      </c>
      <c r="B311" s="289" t="s">
        <v>7633</v>
      </c>
      <c r="C311" s="288" t="s">
        <v>38</v>
      </c>
      <c r="D311" s="303">
        <v>198.89</v>
      </c>
    </row>
    <row r="312" spans="1:4" ht="27">
      <c r="A312" s="288" t="s">
        <v>7634</v>
      </c>
      <c r="B312" s="289" t="s">
        <v>7635</v>
      </c>
      <c r="C312" s="288" t="s">
        <v>38</v>
      </c>
      <c r="D312" s="303">
        <v>23.81</v>
      </c>
    </row>
    <row r="313" spans="1:4" ht="36">
      <c r="A313" s="288" t="s">
        <v>7636</v>
      </c>
      <c r="B313" s="289" t="s">
        <v>7637</v>
      </c>
      <c r="C313" s="288" t="s">
        <v>38</v>
      </c>
      <c r="D313" s="303">
        <v>196.98</v>
      </c>
    </row>
    <row r="314" spans="1:4" ht="27">
      <c r="A314" s="288" t="s">
        <v>7638</v>
      </c>
      <c r="B314" s="289" t="s">
        <v>7639</v>
      </c>
      <c r="C314" s="288" t="s">
        <v>38</v>
      </c>
      <c r="D314" s="303">
        <v>230.96</v>
      </c>
    </row>
    <row r="315" spans="1:4" ht="45">
      <c r="A315" s="288" t="s">
        <v>7640</v>
      </c>
      <c r="B315" s="289" t="s">
        <v>7641</v>
      </c>
      <c r="C315" s="288" t="s">
        <v>38</v>
      </c>
      <c r="D315" s="303">
        <v>675.39</v>
      </c>
    </row>
    <row r="316" spans="1:4" ht="45">
      <c r="A316" s="288" t="s">
        <v>7642</v>
      </c>
      <c r="B316" s="289" t="s">
        <v>7643</v>
      </c>
      <c r="C316" s="288" t="s">
        <v>38</v>
      </c>
      <c r="D316" s="303">
        <v>414.63</v>
      </c>
    </row>
    <row r="317" spans="1:4" ht="18">
      <c r="A317" s="287" t="s">
        <v>7644</v>
      </c>
      <c r="B317" s="287"/>
      <c r="C317" s="287"/>
      <c r="D317" s="296" t="s">
        <v>28729</v>
      </c>
    </row>
    <row r="318" spans="1:4" ht="36">
      <c r="A318" s="288" t="s">
        <v>7645</v>
      </c>
      <c r="B318" s="289" t="s">
        <v>7646</v>
      </c>
      <c r="C318" s="288" t="s">
        <v>38</v>
      </c>
      <c r="D318" s="303">
        <v>407.95</v>
      </c>
    </row>
    <row r="319" spans="1:4" ht="36">
      <c r="A319" s="288" t="s">
        <v>7647</v>
      </c>
      <c r="B319" s="289" t="s">
        <v>7648</v>
      </c>
      <c r="C319" s="288" t="s">
        <v>38</v>
      </c>
      <c r="D319" s="303">
        <v>1310.95</v>
      </c>
    </row>
    <row r="320" spans="1:4" ht="36">
      <c r="A320" s="288" t="s">
        <v>7649</v>
      </c>
      <c r="B320" s="289" t="s">
        <v>7650</v>
      </c>
      <c r="C320" s="288" t="s">
        <v>38</v>
      </c>
      <c r="D320" s="303">
        <v>173.07</v>
      </c>
    </row>
    <row r="321" spans="1:4" ht="27">
      <c r="A321" s="288" t="s">
        <v>7651</v>
      </c>
      <c r="B321" s="289" t="s">
        <v>7652</v>
      </c>
      <c r="C321" s="288" t="s">
        <v>38</v>
      </c>
      <c r="D321" s="303">
        <v>181.56</v>
      </c>
    </row>
    <row r="322" spans="1:4" ht="18">
      <c r="A322" s="287" t="s">
        <v>7653</v>
      </c>
      <c r="B322" s="287"/>
      <c r="C322" s="287"/>
      <c r="D322" s="296" t="s">
        <v>28729</v>
      </c>
    </row>
    <row r="323" spans="1:4" ht="27">
      <c r="A323" s="288" t="s">
        <v>7654</v>
      </c>
      <c r="B323" s="289" t="s">
        <v>7655</v>
      </c>
      <c r="C323" s="288" t="s">
        <v>38</v>
      </c>
      <c r="D323" s="303">
        <v>227.79</v>
      </c>
    </row>
    <row r="324" spans="1:4">
      <c r="A324" s="287"/>
      <c r="B324" s="287"/>
      <c r="C324" s="287"/>
      <c r="D324" s="296" t="s">
        <v>28729</v>
      </c>
    </row>
    <row r="325" spans="1:4">
      <c r="A325" s="287"/>
      <c r="B325" s="287"/>
      <c r="C325" s="287"/>
      <c r="D325" s="296" t="s">
        <v>28729</v>
      </c>
    </row>
    <row r="326" spans="1:4">
      <c r="A326" s="287"/>
      <c r="B326" s="287"/>
      <c r="C326" s="287"/>
      <c r="D326" s="296" t="s">
        <v>28729</v>
      </c>
    </row>
    <row r="327" spans="1:4">
      <c r="A327" s="287" t="s">
        <v>7656</v>
      </c>
      <c r="B327" s="287"/>
      <c r="C327" s="287"/>
      <c r="D327" s="296" t="s">
        <v>28729</v>
      </c>
    </row>
    <row r="328" spans="1:4" ht="18">
      <c r="A328" s="288" t="s">
        <v>7657</v>
      </c>
      <c r="B328" s="289" t="s">
        <v>7658</v>
      </c>
      <c r="C328" s="288" t="s">
        <v>7079</v>
      </c>
      <c r="D328" s="303">
        <v>40.270000000000003</v>
      </c>
    </row>
    <row r="329" spans="1:4" ht="18">
      <c r="A329" s="288" t="s">
        <v>7659</v>
      </c>
      <c r="B329" s="289" t="s">
        <v>7660</v>
      </c>
      <c r="C329" s="288" t="s">
        <v>7079</v>
      </c>
      <c r="D329" s="303">
        <v>65.819999999999993</v>
      </c>
    </row>
    <row r="330" spans="1:4" ht="27">
      <c r="A330" s="288" t="s">
        <v>7661</v>
      </c>
      <c r="B330" s="289" t="s">
        <v>7662</v>
      </c>
      <c r="C330" s="288" t="s">
        <v>7079</v>
      </c>
      <c r="D330" s="303">
        <v>193.68</v>
      </c>
    </row>
    <row r="331" spans="1:4" ht="18">
      <c r="A331" s="288" t="s">
        <v>7663</v>
      </c>
      <c r="B331" s="289" t="s">
        <v>7664</v>
      </c>
      <c r="C331" s="288" t="s">
        <v>7079</v>
      </c>
      <c r="D331" s="303">
        <v>176.07</v>
      </c>
    </row>
    <row r="332" spans="1:4" ht="18">
      <c r="A332" s="288" t="s">
        <v>7665</v>
      </c>
      <c r="B332" s="289" t="s">
        <v>7666</v>
      </c>
      <c r="C332" s="288" t="s">
        <v>7079</v>
      </c>
      <c r="D332" s="303">
        <v>83.94</v>
      </c>
    </row>
    <row r="333" spans="1:4" ht="18">
      <c r="A333" s="288" t="s">
        <v>7667</v>
      </c>
      <c r="B333" s="289" t="s">
        <v>7668</v>
      </c>
      <c r="C333" s="288" t="s">
        <v>7079</v>
      </c>
      <c r="D333" s="303">
        <v>399.61</v>
      </c>
    </row>
    <row r="334" spans="1:4" ht="18">
      <c r="A334" s="288" t="s">
        <v>7669</v>
      </c>
      <c r="B334" s="289" t="s">
        <v>7670</v>
      </c>
      <c r="C334" s="288" t="s">
        <v>7079</v>
      </c>
      <c r="D334" s="303">
        <v>87.79</v>
      </c>
    </row>
    <row r="335" spans="1:4" ht="18">
      <c r="A335" s="288" t="s">
        <v>7671</v>
      </c>
      <c r="B335" s="289" t="s">
        <v>7672</v>
      </c>
      <c r="C335" s="288" t="s">
        <v>7079</v>
      </c>
      <c r="D335" s="303">
        <v>755.43</v>
      </c>
    </row>
    <row r="336" spans="1:4" ht="18">
      <c r="A336" s="288" t="s">
        <v>7673</v>
      </c>
      <c r="B336" s="289" t="s">
        <v>7674</v>
      </c>
      <c r="C336" s="288" t="s">
        <v>7079</v>
      </c>
      <c r="D336" s="303">
        <v>65.819999999999993</v>
      </c>
    </row>
    <row r="337" spans="1:4">
      <c r="A337" s="288" t="s">
        <v>7675</v>
      </c>
      <c r="B337" s="289" t="s">
        <v>7676</v>
      </c>
      <c r="C337" s="288" t="s">
        <v>7079</v>
      </c>
      <c r="D337" s="303">
        <v>218.87</v>
      </c>
    </row>
    <row r="338" spans="1:4" ht="18">
      <c r="A338" s="288" t="s">
        <v>7677</v>
      </c>
      <c r="B338" s="289" t="s">
        <v>7678</v>
      </c>
      <c r="C338" s="288" t="s">
        <v>7079</v>
      </c>
      <c r="D338" s="303">
        <v>45.21</v>
      </c>
    </row>
    <row r="339" spans="1:4" ht="18">
      <c r="A339" s="288" t="s">
        <v>7679</v>
      </c>
      <c r="B339" s="289" t="s">
        <v>7680</v>
      </c>
      <c r="C339" s="288" t="s">
        <v>7079</v>
      </c>
      <c r="D339" s="303">
        <v>44.02</v>
      </c>
    </row>
    <row r="340" spans="1:4">
      <c r="A340" s="288" t="s">
        <v>7681</v>
      </c>
      <c r="B340" s="289" t="s">
        <v>7682</v>
      </c>
      <c r="C340" s="288" t="s">
        <v>7079</v>
      </c>
      <c r="D340" s="303">
        <v>411.93</v>
      </c>
    </row>
    <row r="341" spans="1:4" ht="18">
      <c r="A341" s="288" t="s">
        <v>7683</v>
      </c>
      <c r="B341" s="289" t="s">
        <v>7684</v>
      </c>
      <c r="C341" s="288" t="s">
        <v>7079</v>
      </c>
      <c r="D341" s="303">
        <v>488.73</v>
      </c>
    </row>
    <row r="342" spans="1:4">
      <c r="A342" s="288" t="s">
        <v>7685</v>
      </c>
      <c r="B342" s="289" t="s">
        <v>7686</v>
      </c>
      <c r="C342" s="288" t="s">
        <v>7079</v>
      </c>
      <c r="D342" s="303">
        <v>148.24</v>
      </c>
    </row>
    <row r="343" spans="1:4" ht="18">
      <c r="A343" s="288" t="s">
        <v>7687</v>
      </c>
      <c r="B343" s="289" t="s">
        <v>7688</v>
      </c>
      <c r="C343" s="288" t="s">
        <v>7079</v>
      </c>
      <c r="D343" s="303">
        <v>212.53</v>
      </c>
    </row>
    <row r="344" spans="1:4" ht="18">
      <c r="A344" s="288" t="s">
        <v>7689</v>
      </c>
      <c r="B344" s="289" t="s">
        <v>7690</v>
      </c>
      <c r="C344" s="288" t="s">
        <v>7079</v>
      </c>
      <c r="D344" s="303">
        <v>304.89999999999998</v>
      </c>
    </row>
    <row r="345" spans="1:4">
      <c r="A345" s="288" t="s">
        <v>7691</v>
      </c>
      <c r="B345" s="289" t="s">
        <v>7692</v>
      </c>
      <c r="C345" s="288" t="s">
        <v>7079</v>
      </c>
      <c r="D345" s="303">
        <v>245.73</v>
      </c>
    </row>
    <row r="346" spans="1:4" ht="18">
      <c r="A346" s="288" t="s">
        <v>7693</v>
      </c>
      <c r="B346" s="289" t="s">
        <v>7694</v>
      </c>
      <c r="C346" s="288" t="s">
        <v>7079</v>
      </c>
      <c r="D346" s="303">
        <v>821.03</v>
      </c>
    </row>
    <row r="347" spans="1:4" ht="27">
      <c r="A347" s="287" t="s">
        <v>7695</v>
      </c>
      <c r="B347" s="287"/>
      <c r="C347" s="287"/>
      <c r="D347" s="296" t="s">
        <v>28729</v>
      </c>
    </row>
    <row r="348" spans="1:4" ht="18">
      <c r="A348" s="288" t="s">
        <v>7696</v>
      </c>
      <c r="B348" s="289" t="s">
        <v>7697</v>
      </c>
      <c r="C348" s="288" t="s">
        <v>7079</v>
      </c>
      <c r="D348" s="303">
        <v>750.63</v>
      </c>
    </row>
    <row r="349" spans="1:4" ht="18">
      <c r="A349" s="288" t="s">
        <v>7698</v>
      </c>
      <c r="B349" s="289" t="s">
        <v>7699</v>
      </c>
      <c r="C349" s="288" t="s">
        <v>7079</v>
      </c>
      <c r="D349" s="303">
        <v>760.9</v>
      </c>
    </row>
    <row r="350" spans="1:4" ht="27">
      <c r="A350" s="288" t="s">
        <v>7700</v>
      </c>
      <c r="B350" s="289" t="s">
        <v>7701</v>
      </c>
      <c r="C350" s="288" t="s">
        <v>7079</v>
      </c>
      <c r="D350" s="303">
        <v>472.59</v>
      </c>
    </row>
    <row r="351" spans="1:4" ht="18">
      <c r="A351" s="287" t="s">
        <v>7702</v>
      </c>
      <c r="B351" s="287"/>
      <c r="C351" s="287"/>
      <c r="D351" s="296" t="s">
        <v>28729</v>
      </c>
    </row>
    <row r="352" spans="1:4" ht="27">
      <c r="A352" s="288" t="s">
        <v>7703</v>
      </c>
      <c r="B352" s="289" t="s">
        <v>7704</v>
      </c>
      <c r="C352" s="288" t="s">
        <v>54</v>
      </c>
      <c r="D352" s="303">
        <v>1252.94</v>
      </c>
    </row>
    <row r="353" spans="1:4" ht="36">
      <c r="A353" s="288" t="s">
        <v>7705</v>
      </c>
      <c r="B353" s="289" t="s">
        <v>7706</v>
      </c>
      <c r="C353" s="288" t="s">
        <v>7079</v>
      </c>
      <c r="D353" s="303">
        <v>2345.8000000000002</v>
      </c>
    </row>
    <row r="354" spans="1:4" ht="36">
      <c r="A354" s="288" t="s">
        <v>7707</v>
      </c>
      <c r="B354" s="289" t="s">
        <v>7708</v>
      </c>
      <c r="C354" s="288" t="s">
        <v>7079</v>
      </c>
      <c r="D354" s="303">
        <v>2301.1</v>
      </c>
    </row>
    <row r="355" spans="1:4" ht="18">
      <c r="A355" s="288" t="s">
        <v>7709</v>
      </c>
      <c r="B355" s="289" t="s">
        <v>7710</v>
      </c>
      <c r="C355" s="288" t="s">
        <v>7079</v>
      </c>
      <c r="D355" s="303">
        <v>157.47999999999999</v>
      </c>
    </row>
    <row r="356" spans="1:4" ht="27">
      <c r="A356" s="288" t="s">
        <v>7711</v>
      </c>
      <c r="B356" s="289" t="s">
        <v>7712</v>
      </c>
      <c r="C356" s="288" t="s">
        <v>7079</v>
      </c>
      <c r="D356" s="303">
        <v>338.84</v>
      </c>
    </row>
    <row r="357" spans="1:4" ht="18">
      <c r="A357" s="288" t="s">
        <v>7713</v>
      </c>
      <c r="B357" s="289" t="s">
        <v>7714</v>
      </c>
      <c r="C357" s="288" t="s">
        <v>7079</v>
      </c>
      <c r="D357" s="303">
        <v>95.8</v>
      </c>
    </row>
    <row r="358" spans="1:4" ht="27">
      <c r="A358" s="288" t="s">
        <v>7715</v>
      </c>
      <c r="B358" s="289" t="s">
        <v>7716</v>
      </c>
      <c r="C358" s="288" t="s">
        <v>7079</v>
      </c>
      <c r="D358" s="303">
        <v>402.71</v>
      </c>
    </row>
    <row r="359" spans="1:4" ht="27">
      <c r="A359" s="288" t="s">
        <v>7717</v>
      </c>
      <c r="B359" s="289" t="s">
        <v>7718</v>
      </c>
      <c r="C359" s="288" t="s">
        <v>7079</v>
      </c>
      <c r="D359" s="303">
        <v>308.14</v>
      </c>
    </row>
    <row r="360" spans="1:4" ht="18">
      <c r="A360" s="288" t="s">
        <v>7719</v>
      </c>
      <c r="B360" s="289" t="s">
        <v>7720</v>
      </c>
      <c r="C360" s="288" t="s">
        <v>7079</v>
      </c>
      <c r="D360" s="303">
        <v>703.31</v>
      </c>
    </row>
    <row r="361" spans="1:4" ht="18">
      <c r="A361" s="288" t="s">
        <v>7721</v>
      </c>
      <c r="B361" s="289" t="s">
        <v>7722</v>
      </c>
      <c r="C361" s="288" t="s">
        <v>7079</v>
      </c>
      <c r="D361" s="303">
        <v>19741.8</v>
      </c>
    </row>
    <row r="362" spans="1:4" ht="18">
      <c r="A362" s="288" t="s">
        <v>7723</v>
      </c>
      <c r="B362" s="289" t="s">
        <v>7724</v>
      </c>
      <c r="C362" s="288" t="s">
        <v>7079</v>
      </c>
      <c r="D362" s="303">
        <v>2497.44</v>
      </c>
    </row>
    <row r="363" spans="1:4" ht="18">
      <c r="A363" s="288" t="s">
        <v>7725</v>
      </c>
      <c r="B363" s="289" t="s">
        <v>7726</v>
      </c>
      <c r="C363" s="288" t="s">
        <v>7079</v>
      </c>
      <c r="D363" s="303">
        <v>4152.33</v>
      </c>
    </row>
    <row r="364" spans="1:4" ht="18">
      <c r="A364" s="288" t="s">
        <v>7727</v>
      </c>
      <c r="B364" s="289" t="s">
        <v>7728</v>
      </c>
      <c r="C364" s="288" t="s">
        <v>54</v>
      </c>
      <c r="D364" s="303">
        <v>1209.33</v>
      </c>
    </row>
    <row r="365" spans="1:4" ht="18">
      <c r="A365" s="288" t="s">
        <v>7729</v>
      </c>
      <c r="B365" s="289" t="s">
        <v>7730</v>
      </c>
      <c r="C365" s="288" t="s">
        <v>7079</v>
      </c>
      <c r="D365" s="303">
        <v>508.45</v>
      </c>
    </row>
    <row r="366" spans="1:4" ht="18">
      <c r="A366" s="288" t="s">
        <v>7731</v>
      </c>
      <c r="B366" s="289" t="s">
        <v>7732</v>
      </c>
      <c r="C366" s="288" t="s">
        <v>7079</v>
      </c>
      <c r="D366" s="303">
        <v>1753.4</v>
      </c>
    </row>
    <row r="367" spans="1:4" ht="45">
      <c r="A367" s="288" t="s">
        <v>7733</v>
      </c>
      <c r="B367" s="289" t="s">
        <v>7734</v>
      </c>
      <c r="C367" s="288" t="s">
        <v>7079</v>
      </c>
      <c r="D367" s="303">
        <v>4291.8</v>
      </c>
    </row>
    <row r="368" spans="1:4" ht="27">
      <c r="A368" s="287" t="s">
        <v>7735</v>
      </c>
      <c r="B368" s="287"/>
      <c r="C368" s="287"/>
      <c r="D368" s="296" t="s">
        <v>28729</v>
      </c>
    </row>
    <row r="369" spans="1:4" ht="18">
      <c r="A369" s="288" t="s">
        <v>7736</v>
      </c>
      <c r="B369" s="289" t="s">
        <v>7737</v>
      </c>
      <c r="C369" s="288" t="s">
        <v>7079</v>
      </c>
      <c r="D369" s="303">
        <v>9.5</v>
      </c>
    </row>
    <row r="370" spans="1:4" ht="18">
      <c r="A370" s="288" t="s">
        <v>7738</v>
      </c>
      <c r="B370" s="289" t="s">
        <v>7739</v>
      </c>
      <c r="C370" s="288" t="s">
        <v>7079</v>
      </c>
      <c r="D370" s="303">
        <v>34.630000000000003</v>
      </c>
    </row>
    <row r="371" spans="1:4">
      <c r="A371" s="288" t="s">
        <v>7740</v>
      </c>
      <c r="B371" s="289" t="s">
        <v>7741</v>
      </c>
      <c r="C371" s="288" t="s">
        <v>7079</v>
      </c>
      <c r="D371" s="303">
        <v>45.21</v>
      </c>
    </row>
    <row r="372" spans="1:4">
      <c r="A372" s="288" t="s">
        <v>7742</v>
      </c>
      <c r="B372" s="289" t="s">
        <v>7743</v>
      </c>
      <c r="C372" s="288" t="s">
        <v>7079</v>
      </c>
      <c r="D372" s="303">
        <v>7.71</v>
      </c>
    </row>
    <row r="373" spans="1:4">
      <c r="A373" s="288" t="s">
        <v>7744</v>
      </c>
      <c r="B373" s="289" t="s">
        <v>7745</v>
      </c>
      <c r="C373" s="288" t="s">
        <v>7079</v>
      </c>
      <c r="D373" s="303">
        <v>29.47</v>
      </c>
    </row>
    <row r="374" spans="1:4">
      <c r="A374" s="288" t="s">
        <v>7746</v>
      </c>
      <c r="B374" s="289" t="s">
        <v>7747</v>
      </c>
      <c r="C374" s="288" t="s">
        <v>7079</v>
      </c>
      <c r="D374" s="303">
        <v>3.29</v>
      </c>
    </row>
    <row r="375" spans="1:4" ht="18">
      <c r="A375" s="288" t="s">
        <v>7748</v>
      </c>
      <c r="B375" s="289" t="s">
        <v>7749</v>
      </c>
      <c r="C375" s="288" t="s">
        <v>7079</v>
      </c>
      <c r="D375" s="303">
        <v>69.5</v>
      </c>
    </row>
    <row r="376" spans="1:4" ht="18">
      <c r="A376" s="288" t="s">
        <v>7750</v>
      </c>
      <c r="B376" s="289" t="s">
        <v>7751</v>
      </c>
      <c r="C376" s="288" t="s">
        <v>54</v>
      </c>
      <c r="D376" s="303">
        <v>3.6</v>
      </c>
    </row>
    <row r="377" spans="1:4" ht="18">
      <c r="A377" s="288" t="s">
        <v>7752</v>
      </c>
      <c r="B377" s="289" t="s">
        <v>7753</v>
      </c>
      <c r="C377" s="288" t="s">
        <v>54</v>
      </c>
      <c r="D377" s="303">
        <v>4.07</v>
      </c>
    </row>
    <row r="378" spans="1:4" ht="18">
      <c r="A378" s="288" t="s">
        <v>7754</v>
      </c>
      <c r="B378" s="289" t="s">
        <v>7755</v>
      </c>
      <c r="C378" s="288" t="s">
        <v>54</v>
      </c>
      <c r="D378" s="303">
        <v>9</v>
      </c>
    </row>
    <row r="379" spans="1:4">
      <c r="A379" s="288" t="s">
        <v>7756</v>
      </c>
      <c r="B379" s="289" t="s">
        <v>7757</v>
      </c>
      <c r="C379" s="288" t="s">
        <v>7079</v>
      </c>
      <c r="D379" s="303">
        <v>4.1100000000000003</v>
      </c>
    </row>
    <row r="380" spans="1:4" ht="18">
      <c r="A380" s="288" t="s">
        <v>7758</v>
      </c>
      <c r="B380" s="289" t="s">
        <v>7759</v>
      </c>
      <c r="C380" s="288" t="s">
        <v>7079</v>
      </c>
      <c r="D380" s="303">
        <v>24.91</v>
      </c>
    </row>
    <row r="381" spans="1:4" ht="18">
      <c r="A381" s="288" t="s">
        <v>7760</v>
      </c>
      <c r="B381" s="289" t="s">
        <v>7761</v>
      </c>
      <c r="C381" s="288" t="s">
        <v>7079</v>
      </c>
      <c r="D381" s="303">
        <v>15.58</v>
      </c>
    </row>
    <row r="382" spans="1:4" ht="18">
      <c r="A382" s="288" t="s">
        <v>7762</v>
      </c>
      <c r="B382" s="289" t="s">
        <v>7763</v>
      </c>
      <c r="C382" s="288" t="s">
        <v>7079</v>
      </c>
      <c r="D382" s="303">
        <v>23.31</v>
      </c>
    </row>
    <row r="383" spans="1:4" ht="18">
      <c r="A383" s="288" t="s">
        <v>7764</v>
      </c>
      <c r="B383" s="289" t="s">
        <v>7765</v>
      </c>
      <c r="C383" s="288" t="s">
        <v>7079</v>
      </c>
      <c r="D383" s="303">
        <v>18.18</v>
      </c>
    </row>
    <row r="384" spans="1:4" ht="18">
      <c r="A384" s="288" t="s">
        <v>7766</v>
      </c>
      <c r="B384" s="289" t="s">
        <v>7767</v>
      </c>
      <c r="C384" s="288" t="s">
        <v>7079</v>
      </c>
      <c r="D384" s="303">
        <v>30.19</v>
      </c>
    </row>
    <row r="385" spans="1:4" ht="18">
      <c r="A385" s="288" t="s">
        <v>7768</v>
      </c>
      <c r="B385" s="289" t="s">
        <v>7769</v>
      </c>
      <c r="C385" s="288" t="s">
        <v>7079</v>
      </c>
      <c r="D385" s="303">
        <v>38.65</v>
      </c>
    </row>
    <row r="386" spans="1:4" ht="18">
      <c r="A386" s="288" t="s">
        <v>7770</v>
      </c>
      <c r="B386" s="289" t="s">
        <v>7771</v>
      </c>
      <c r="C386" s="288" t="s">
        <v>7079</v>
      </c>
      <c r="D386" s="303">
        <v>32.659999999999997</v>
      </c>
    </row>
    <row r="387" spans="1:4" ht="18">
      <c r="A387" s="288" t="s">
        <v>7772</v>
      </c>
      <c r="B387" s="289" t="s">
        <v>7773</v>
      </c>
      <c r="C387" s="288" t="s">
        <v>7079</v>
      </c>
      <c r="D387" s="303">
        <v>39.53</v>
      </c>
    </row>
    <row r="388" spans="1:4" ht="18">
      <c r="A388" s="288" t="s">
        <v>7774</v>
      </c>
      <c r="B388" s="289" t="s">
        <v>7775</v>
      </c>
      <c r="C388" s="288" t="s">
        <v>7079</v>
      </c>
      <c r="D388" s="303">
        <v>33.15</v>
      </c>
    </row>
    <row r="389" spans="1:4" ht="18">
      <c r="A389" s="288" t="s">
        <v>7776</v>
      </c>
      <c r="B389" s="289" t="s">
        <v>7777</v>
      </c>
      <c r="C389" s="288" t="s">
        <v>7079</v>
      </c>
      <c r="D389" s="303">
        <v>41.11</v>
      </c>
    </row>
    <row r="390" spans="1:4">
      <c r="A390" s="288" t="s">
        <v>7778</v>
      </c>
      <c r="B390" s="289" t="s">
        <v>7779</v>
      </c>
      <c r="C390" s="288" t="s">
        <v>7079</v>
      </c>
      <c r="D390" s="303">
        <v>45.9</v>
      </c>
    </row>
    <row r="391" spans="1:4" ht="18">
      <c r="A391" s="288" t="s">
        <v>7780</v>
      </c>
      <c r="B391" s="289" t="s">
        <v>7781</v>
      </c>
      <c r="C391" s="288" t="s">
        <v>7079</v>
      </c>
      <c r="D391" s="303">
        <v>16.600000000000001</v>
      </c>
    </row>
    <row r="392" spans="1:4" ht="18">
      <c r="A392" s="288" t="s">
        <v>7782</v>
      </c>
      <c r="B392" s="289" t="s">
        <v>7783</v>
      </c>
      <c r="C392" s="288" t="s">
        <v>7079</v>
      </c>
      <c r="D392" s="303">
        <v>24.52</v>
      </c>
    </row>
    <row r="393" spans="1:4" ht="18">
      <c r="A393" s="288" t="s">
        <v>7784</v>
      </c>
      <c r="B393" s="289" t="s">
        <v>7785</v>
      </c>
      <c r="C393" s="288" t="s">
        <v>7079</v>
      </c>
      <c r="D393" s="303">
        <v>16.600000000000001</v>
      </c>
    </row>
    <row r="394" spans="1:4" ht="18">
      <c r="A394" s="288" t="s">
        <v>7786</v>
      </c>
      <c r="B394" s="289" t="s">
        <v>7787</v>
      </c>
      <c r="C394" s="288" t="s">
        <v>7079</v>
      </c>
      <c r="D394" s="303">
        <v>3249.54</v>
      </c>
    </row>
    <row r="395" spans="1:4" ht="18">
      <c r="A395" s="288" t="s">
        <v>7788</v>
      </c>
      <c r="B395" s="289" t="s">
        <v>7789</v>
      </c>
      <c r="C395" s="288" t="s">
        <v>7079</v>
      </c>
      <c r="D395" s="303">
        <v>9.8699999999999992</v>
      </c>
    </row>
    <row r="396" spans="1:4" ht="18">
      <c r="A396" s="288" t="s">
        <v>7790</v>
      </c>
      <c r="B396" s="289" t="s">
        <v>7791</v>
      </c>
      <c r="C396" s="288" t="s">
        <v>7079</v>
      </c>
      <c r="D396" s="303">
        <v>12.51</v>
      </c>
    </row>
    <row r="397" spans="1:4">
      <c r="A397" s="288" t="s">
        <v>7792</v>
      </c>
      <c r="B397" s="289" t="s">
        <v>7793</v>
      </c>
      <c r="C397" s="288" t="s">
        <v>7079</v>
      </c>
      <c r="D397" s="303">
        <v>5.97</v>
      </c>
    </row>
    <row r="398" spans="1:4" ht="18">
      <c r="A398" s="288" t="s">
        <v>7794</v>
      </c>
      <c r="B398" s="289" t="s">
        <v>7795</v>
      </c>
      <c r="C398" s="288" t="s">
        <v>7079</v>
      </c>
      <c r="D398" s="303">
        <v>5.97</v>
      </c>
    </row>
    <row r="399" spans="1:4" ht="18">
      <c r="A399" s="288" t="s">
        <v>7796</v>
      </c>
      <c r="B399" s="289" t="s">
        <v>7797</v>
      </c>
      <c r="C399" s="288" t="s">
        <v>7079</v>
      </c>
      <c r="D399" s="303">
        <v>14.3</v>
      </c>
    </row>
    <row r="400" spans="1:4">
      <c r="A400" s="288" t="s">
        <v>7798</v>
      </c>
      <c r="B400" s="289" t="s">
        <v>7799</v>
      </c>
      <c r="C400" s="288" t="s">
        <v>7079</v>
      </c>
      <c r="D400" s="303">
        <v>4.91</v>
      </c>
    </row>
    <row r="401" spans="1:4">
      <c r="A401" s="288" t="s">
        <v>7800</v>
      </c>
      <c r="B401" s="289" t="s">
        <v>7801</v>
      </c>
      <c r="C401" s="288" t="s">
        <v>7079</v>
      </c>
      <c r="D401" s="303">
        <v>2.14</v>
      </c>
    </row>
    <row r="402" spans="1:4">
      <c r="A402" s="288" t="s">
        <v>7802</v>
      </c>
      <c r="B402" s="289" t="s">
        <v>7803</v>
      </c>
      <c r="C402" s="288" t="s">
        <v>7079</v>
      </c>
      <c r="D402" s="303">
        <v>0.84</v>
      </c>
    </row>
    <row r="403" spans="1:4" ht="27">
      <c r="A403" s="287" t="s">
        <v>7804</v>
      </c>
      <c r="B403" s="287"/>
      <c r="C403" s="287"/>
      <c r="D403" s="296" t="s">
        <v>28729</v>
      </c>
    </row>
    <row r="404" spans="1:4" ht="18">
      <c r="A404" s="288" t="s">
        <v>7805</v>
      </c>
      <c r="B404" s="289" t="s">
        <v>7806</v>
      </c>
      <c r="C404" s="288" t="s">
        <v>7079</v>
      </c>
      <c r="D404" s="303">
        <v>223.53</v>
      </c>
    </row>
    <row r="405" spans="1:4">
      <c r="A405" s="288" t="s">
        <v>7807</v>
      </c>
      <c r="B405" s="289" t="s">
        <v>7808</v>
      </c>
      <c r="C405" s="288" t="s">
        <v>7079</v>
      </c>
      <c r="D405" s="303">
        <v>74.25</v>
      </c>
    </row>
    <row r="406" spans="1:4">
      <c r="A406" s="288" t="s">
        <v>7809</v>
      </c>
      <c r="B406" s="289" t="s">
        <v>7810</v>
      </c>
      <c r="C406" s="288" t="s">
        <v>7079</v>
      </c>
      <c r="D406" s="303">
        <v>74.52</v>
      </c>
    </row>
    <row r="407" spans="1:4" ht="18">
      <c r="A407" s="288" t="s">
        <v>7811</v>
      </c>
      <c r="B407" s="289" t="s">
        <v>7812</v>
      </c>
      <c r="C407" s="288" t="s">
        <v>7079</v>
      </c>
      <c r="D407" s="303">
        <v>366.31</v>
      </c>
    </row>
    <row r="408" spans="1:4" ht="18">
      <c r="A408" s="288" t="s">
        <v>7813</v>
      </c>
      <c r="B408" s="289" t="s">
        <v>7814</v>
      </c>
      <c r="C408" s="288" t="s">
        <v>7079</v>
      </c>
      <c r="D408" s="303">
        <v>79.17</v>
      </c>
    </row>
    <row r="409" spans="1:4" ht="18">
      <c r="A409" s="288" t="s">
        <v>7815</v>
      </c>
      <c r="B409" s="289" t="s">
        <v>7816</v>
      </c>
      <c r="C409" s="288" t="s">
        <v>7079</v>
      </c>
      <c r="D409" s="303">
        <v>64.88</v>
      </c>
    </row>
    <row r="410" spans="1:4" ht="36">
      <c r="A410" s="288" t="s">
        <v>7817</v>
      </c>
      <c r="B410" s="289" t="s">
        <v>7818</v>
      </c>
      <c r="C410" s="288" t="s">
        <v>7079</v>
      </c>
      <c r="D410" s="303">
        <v>45</v>
      </c>
    </row>
    <row r="411" spans="1:4">
      <c r="A411" s="288" t="s">
        <v>7819</v>
      </c>
      <c r="B411" s="289" t="s">
        <v>7820</v>
      </c>
      <c r="C411" s="288" t="s">
        <v>7079</v>
      </c>
      <c r="D411" s="303">
        <v>15.15</v>
      </c>
    </row>
    <row r="412" spans="1:4" ht="18">
      <c r="A412" s="288" t="s">
        <v>7821</v>
      </c>
      <c r="B412" s="289" t="s">
        <v>7822</v>
      </c>
      <c r="C412" s="288" t="s">
        <v>7079</v>
      </c>
      <c r="D412" s="303">
        <v>34.69</v>
      </c>
    </row>
    <row r="413" spans="1:4">
      <c r="A413" s="288" t="s">
        <v>7823</v>
      </c>
      <c r="B413" s="289" t="s">
        <v>7824</v>
      </c>
      <c r="C413" s="288" t="s">
        <v>7079</v>
      </c>
      <c r="D413" s="303">
        <v>120.67</v>
      </c>
    </row>
    <row r="414" spans="1:4">
      <c r="A414" s="288" t="s">
        <v>7825</v>
      </c>
      <c r="B414" s="289" t="s">
        <v>7826</v>
      </c>
      <c r="C414" s="288" t="s">
        <v>7079</v>
      </c>
      <c r="D414" s="303">
        <v>91.33</v>
      </c>
    </row>
    <row r="415" spans="1:4">
      <c r="A415" s="288" t="s">
        <v>7827</v>
      </c>
      <c r="B415" s="289" t="s">
        <v>7828</v>
      </c>
      <c r="C415" s="288" t="s">
        <v>7079</v>
      </c>
      <c r="D415" s="303">
        <v>137.44</v>
      </c>
    </row>
    <row r="416" spans="1:4" ht="18">
      <c r="A416" s="288" t="s">
        <v>7829</v>
      </c>
      <c r="B416" s="289" t="s">
        <v>7830</v>
      </c>
      <c r="C416" s="288" t="s">
        <v>7079</v>
      </c>
      <c r="D416" s="303">
        <v>51.3</v>
      </c>
    </row>
    <row r="417" spans="1:4" ht="18">
      <c r="A417" s="288" t="s">
        <v>7831</v>
      </c>
      <c r="B417" s="289" t="s">
        <v>7832</v>
      </c>
      <c r="C417" s="288" t="s">
        <v>7079</v>
      </c>
      <c r="D417" s="303">
        <v>92.07</v>
      </c>
    </row>
    <row r="418" spans="1:4" ht="18">
      <c r="A418" s="288" t="s">
        <v>7833</v>
      </c>
      <c r="B418" s="289" t="s">
        <v>7834</v>
      </c>
      <c r="C418" s="288" t="s">
        <v>7079</v>
      </c>
      <c r="D418" s="303">
        <v>80.3</v>
      </c>
    </row>
    <row r="419" spans="1:4" ht="18">
      <c r="A419" s="288" t="s">
        <v>7835</v>
      </c>
      <c r="B419" s="289" t="s">
        <v>7836</v>
      </c>
      <c r="C419" s="288" t="s">
        <v>7079</v>
      </c>
      <c r="D419" s="303">
        <v>168.17</v>
      </c>
    </row>
    <row r="420" spans="1:4" ht="18">
      <c r="A420" s="288" t="s">
        <v>7837</v>
      </c>
      <c r="B420" s="289" t="s">
        <v>7838</v>
      </c>
      <c r="C420" s="288" t="s">
        <v>7079</v>
      </c>
      <c r="D420" s="303">
        <v>113</v>
      </c>
    </row>
    <row r="421" spans="1:4">
      <c r="A421" s="288" t="s">
        <v>7839</v>
      </c>
      <c r="B421" s="289" t="s">
        <v>7840</v>
      </c>
      <c r="C421" s="288" t="s">
        <v>7079</v>
      </c>
      <c r="D421" s="303">
        <v>55.7</v>
      </c>
    </row>
    <row r="422" spans="1:4" ht="18">
      <c r="A422" s="288" t="s">
        <v>7841</v>
      </c>
      <c r="B422" s="289" t="s">
        <v>7842</v>
      </c>
      <c r="C422" s="288" t="s">
        <v>7079</v>
      </c>
      <c r="D422" s="303">
        <v>24.71</v>
      </c>
    </row>
    <row r="423" spans="1:4" ht="18">
      <c r="A423" s="288" t="s">
        <v>7843</v>
      </c>
      <c r="B423" s="289" t="s">
        <v>7844</v>
      </c>
      <c r="C423" s="288" t="s">
        <v>7079</v>
      </c>
      <c r="D423" s="303">
        <v>184.9</v>
      </c>
    </row>
    <row r="424" spans="1:4" ht="27">
      <c r="A424" s="288" t="s">
        <v>7845</v>
      </c>
      <c r="B424" s="289" t="s">
        <v>7846</v>
      </c>
      <c r="C424" s="288" t="s">
        <v>7079</v>
      </c>
      <c r="D424" s="303">
        <v>318.95</v>
      </c>
    </row>
    <row r="425" spans="1:4" ht="18">
      <c r="A425" s="288" t="s">
        <v>7847</v>
      </c>
      <c r="B425" s="289" t="s">
        <v>7848</v>
      </c>
      <c r="C425" s="288" t="s">
        <v>7079</v>
      </c>
      <c r="D425" s="303">
        <v>325.23</v>
      </c>
    </row>
    <row r="426" spans="1:4" ht="18">
      <c r="A426" s="288" t="s">
        <v>7849</v>
      </c>
      <c r="B426" s="289" t="s">
        <v>7850</v>
      </c>
      <c r="C426" s="288" t="s">
        <v>7079</v>
      </c>
      <c r="D426" s="303">
        <v>184.9</v>
      </c>
    </row>
    <row r="427" spans="1:4" ht="18">
      <c r="A427" s="288" t="s">
        <v>7851</v>
      </c>
      <c r="B427" s="289" t="s">
        <v>7852</v>
      </c>
      <c r="C427" s="288" t="s">
        <v>7079</v>
      </c>
      <c r="D427" s="303">
        <v>80.89</v>
      </c>
    </row>
    <row r="428" spans="1:4" ht="18">
      <c r="A428" s="288" t="s">
        <v>7853</v>
      </c>
      <c r="B428" s="289" t="s">
        <v>7854</v>
      </c>
      <c r="C428" s="288" t="s">
        <v>7079</v>
      </c>
      <c r="D428" s="303">
        <v>66.510000000000005</v>
      </c>
    </row>
    <row r="429" spans="1:4" ht="18">
      <c r="A429" s="288" t="s">
        <v>7855</v>
      </c>
      <c r="B429" s="289" t="s">
        <v>7856</v>
      </c>
      <c r="C429" s="288" t="s">
        <v>7079</v>
      </c>
      <c r="D429" s="303">
        <v>30.24</v>
      </c>
    </row>
    <row r="430" spans="1:4">
      <c r="A430" s="288" t="s">
        <v>7857</v>
      </c>
      <c r="B430" s="289" t="s">
        <v>7858</v>
      </c>
      <c r="C430" s="288" t="s">
        <v>7079</v>
      </c>
      <c r="D430" s="303">
        <v>30.72</v>
      </c>
    </row>
    <row r="431" spans="1:4">
      <c r="A431" s="288" t="s">
        <v>7859</v>
      </c>
      <c r="B431" s="289" t="s">
        <v>7860</v>
      </c>
      <c r="C431" s="288" t="s">
        <v>7079</v>
      </c>
      <c r="D431" s="303">
        <v>72.08</v>
      </c>
    </row>
    <row r="432" spans="1:4" ht="18">
      <c r="A432" s="288" t="s">
        <v>7861</v>
      </c>
      <c r="B432" s="289" t="s">
        <v>7862</v>
      </c>
      <c r="C432" s="288" t="s">
        <v>7079</v>
      </c>
      <c r="D432" s="303">
        <v>16.8</v>
      </c>
    </row>
    <row r="433" spans="1:4">
      <c r="A433" s="288" t="s">
        <v>7863</v>
      </c>
      <c r="B433" s="289" t="s">
        <v>7864</v>
      </c>
      <c r="C433" s="288" t="s">
        <v>7079</v>
      </c>
      <c r="D433" s="303">
        <v>40.450000000000003</v>
      </c>
    </row>
    <row r="434" spans="1:4" ht="27">
      <c r="A434" s="288" t="s">
        <v>7865</v>
      </c>
      <c r="B434" s="289" t="s">
        <v>7866</v>
      </c>
      <c r="C434" s="288" t="s">
        <v>7079</v>
      </c>
      <c r="D434" s="303">
        <v>842.32</v>
      </c>
    </row>
    <row r="435" spans="1:4" ht="18">
      <c r="A435" s="288" t="s">
        <v>7867</v>
      </c>
      <c r="B435" s="289" t="s">
        <v>7868</v>
      </c>
      <c r="C435" s="288" t="s">
        <v>7079</v>
      </c>
      <c r="D435" s="303">
        <v>188.92</v>
      </c>
    </row>
    <row r="436" spans="1:4" ht="18">
      <c r="A436" s="288" t="s">
        <v>7869</v>
      </c>
      <c r="B436" s="289" t="s">
        <v>7870</v>
      </c>
      <c r="C436" s="288" t="s">
        <v>7079</v>
      </c>
      <c r="D436" s="303">
        <v>224.25</v>
      </c>
    </row>
    <row r="437" spans="1:4" ht="18">
      <c r="A437" s="288" t="s">
        <v>7871</v>
      </c>
      <c r="B437" s="289" t="s">
        <v>7872</v>
      </c>
      <c r="C437" s="288" t="s">
        <v>7079</v>
      </c>
      <c r="D437" s="303">
        <v>250.45</v>
      </c>
    </row>
    <row r="438" spans="1:4" ht="27">
      <c r="A438" s="288" t="s">
        <v>7873</v>
      </c>
      <c r="B438" s="289" t="s">
        <v>7874</v>
      </c>
      <c r="C438" s="288" t="s">
        <v>7079</v>
      </c>
      <c r="D438" s="303">
        <v>73.150000000000006</v>
      </c>
    </row>
    <row r="439" spans="1:4" ht="18">
      <c r="A439" s="288" t="s">
        <v>7875</v>
      </c>
      <c r="B439" s="289" t="s">
        <v>7876</v>
      </c>
      <c r="C439" s="288" t="s">
        <v>7079</v>
      </c>
      <c r="D439" s="303">
        <v>63.31</v>
      </c>
    </row>
    <row r="440" spans="1:4" ht="18">
      <c r="A440" s="288" t="s">
        <v>7877</v>
      </c>
      <c r="B440" s="289" t="s">
        <v>7878</v>
      </c>
      <c r="C440" s="288" t="s">
        <v>7079</v>
      </c>
      <c r="D440" s="303">
        <v>72.37</v>
      </c>
    </row>
    <row r="441" spans="1:4" ht="18">
      <c r="A441" s="288" t="s">
        <v>7879</v>
      </c>
      <c r="B441" s="289" t="s">
        <v>7880</v>
      </c>
      <c r="C441" s="288" t="s">
        <v>7079</v>
      </c>
      <c r="D441" s="303">
        <v>111.34</v>
      </c>
    </row>
    <row r="442" spans="1:4" ht="18">
      <c r="A442" s="288" t="s">
        <v>7881</v>
      </c>
      <c r="B442" s="289" t="s">
        <v>7882</v>
      </c>
      <c r="C442" s="288" t="s">
        <v>7079</v>
      </c>
      <c r="D442" s="303">
        <v>186.17</v>
      </c>
    </row>
    <row r="443" spans="1:4">
      <c r="A443" s="287"/>
      <c r="B443" s="287"/>
      <c r="C443" s="287"/>
      <c r="D443" s="296" t="s">
        <v>28729</v>
      </c>
    </row>
    <row r="444" spans="1:4" ht="18">
      <c r="A444" s="287" t="s">
        <v>7883</v>
      </c>
      <c r="B444" s="287"/>
      <c r="C444" s="287"/>
      <c r="D444" s="296" t="s">
        <v>28729</v>
      </c>
    </row>
    <row r="445" spans="1:4" ht="18">
      <c r="A445" s="288" t="s">
        <v>7884</v>
      </c>
      <c r="B445" s="289" t="s">
        <v>7885</v>
      </c>
      <c r="C445" s="288" t="s">
        <v>7079</v>
      </c>
      <c r="D445" s="303">
        <v>4049.79</v>
      </c>
    </row>
    <row r="446" spans="1:4" ht="18">
      <c r="A446" s="287" t="s">
        <v>7886</v>
      </c>
      <c r="B446" s="287"/>
      <c r="C446" s="287"/>
      <c r="D446" s="296" t="s">
        <v>28729</v>
      </c>
    </row>
    <row r="447" spans="1:4" ht="18">
      <c r="A447" s="288" t="s">
        <v>7887</v>
      </c>
      <c r="B447" s="289" t="s">
        <v>7888</v>
      </c>
      <c r="C447" s="288" t="s">
        <v>7079</v>
      </c>
      <c r="D447" s="303">
        <v>875.14</v>
      </c>
    </row>
    <row r="448" spans="1:4" ht="36">
      <c r="A448" s="288" t="s">
        <v>7889</v>
      </c>
      <c r="B448" s="289" t="s">
        <v>7890</v>
      </c>
      <c r="C448" s="288" t="s">
        <v>7079</v>
      </c>
      <c r="D448" s="303">
        <v>410.25</v>
      </c>
    </row>
    <row r="449" spans="1:4">
      <c r="A449" s="287" t="s">
        <v>7891</v>
      </c>
      <c r="B449" s="287"/>
      <c r="C449" s="287"/>
      <c r="D449" s="296" t="s">
        <v>28729</v>
      </c>
    </row>
    <row r="450" spans="1:4">
      <c r="A450" s="288" t="s">
        <v>7892</v>
      </c>
      <c r="B450" s="289" t="s">
        <v>7893</v>
      </c>
      <c r="C450" s="288" t="s">
        <v>7079</v>
      </c>
      <c r="D450" s="303">
        <v>17.829999999999998</v>
      </c>
    </row>
    <row r="451" spans="1:4" ht="18">
      <c r="A451" s="288" t="s">
        <v>7894</v>
      </c>
      <c r="B451" s="289" t="s">
        <v>7895</v>
      </c>
      <c r="C451" s="288" t="s">
        <v>7079</v>
      </c>
      <c r="D451" s="303">
        <v>52.97</v>
      </c>
    </row>
    <row r="452" spans="1:4" ht="18">
      <c r="A452" s="288" t="s">
        <v>7896</v>
      </c>
      <c r="B452" s="289" t="s">
        <v>7897</v>
      </c>
      <c r="C452" s="288" t="s">
        <v>7079</v>
      </c>
      <c r="D452" s="303">
        <v>120.63</v>
      </c>
    </row>
    <row r="453" spans="1:4" ht="18">
      <c r="A453" s="287" t="s">
        <v>7898</v>
      </c>
      <c r="B453" s="287"/>
      <c r="C453" s="287"/>
      <c r="D453" s="296" t="s">
        <v>28729</v>
      </c>
    </row>
    <row r="454" spans="1:4" ht="18">
      <c r="A454" s="288" t="s">
        <v>7899</v>
      </c>
      <c r="B454" s="289" t="s">
        <v>7900</v>
      </c>
      <c r="C454" s="288" t="s">
        <v>7079</v>
      </c>
      <c r="D454" s="303">
        <v>1049.9000000000001</v>
      </c>
    </row>
    <row r="455" spans="1:4" ht="18">
      <c r="A455" s="288" t="s">
        <v>7901</v>
      </c>
      <c r="B455" s="289" t="s">
        <v>7902</v>
      </c>
      <c r="C455" s="288" t="s">
        <v>7079</v>
      </c>
      <c r="D455" s="303">
        <v>3280.9</v>
      </c>
    </row>
    <row r="456" spans="1:4" ht="27">
      <c r="A456" s="288" t="s">
        <v>7903</v>
      </c>
      <c r="B456" s="289" t="s">
        <v>7904</v>
      </c>
      <c r="C456" s="288" t="s">
        <v>7079</v>
      </c>
      <c r="D456" s="303">
        <v>1699.03</v>
      </c>
    </row>
    <row r="457" spans="1:4" ht="27">
      <c r="A457" s="288" t="s">
        <v>7905</v>
      </c>
      <c r="B457" s="289" t="s">
        <v>7906</v>
      </c>
      <c r="C457" s="288" t="s">
        <v>7079</v>
      </c>
      <c r="D457" s="303">
        <v>2031.19</v>
      </c>
    </row>
    <row r="458" spans="1:4" ht="27">
      <c r="A458" s="288" t="s">
        <v>7907</v>
      </c>
      <c r="B458" s="289" t="s">
        <v>7908</v>
      </c>
      <c r="C458" s="288" t="s">
        <v>7079</v>
      </c>
      <c r="D458" s="303">
        <v>2908.37</v>
      </c>
    </row>
    <row r="459" spans="1:4" ht="27">
      <c r="A459" s="288" t="s">
        <v>7909</v>
      </c>
      <c r="B459" s="289" t="s">
        <v>7910</v>
      </c>
      <c r="C459" s="288" t="s">
        <v>7079</v>
      </c>
      <c r="D459" s="303">
        <v>3500</v>
      </c>
    </row>
    <row r="460" spans="1:4">
      <c r="A460" s="287" t="s">
        <v>7911</v>
      </c>
      <c r="B460" s="287"/>
      <c r="C460" s="287"/>
      <c r="D460" s="296" t="s">
        <v>28729</v>
      </c>
    </row>
    <row r="461" spans="1:4" ht="18">
      <c r="A461" s="288" t="s">
        <v>7912</v>
      </c>
      <c r="B461" s="289" t="s">
        <v>7913</v>
      </c>
      <c r="C461" s="288" t="s">
        <v>7079</v>
      </c>
      <c r="D461" s="303">
        <v>862</v>
      </c>
    </row>
    <row r="462" spans="1:4" ht="18">
      <c r="A462" s="288" t="s">
        <v>7914</v>
      </c>
      <c r="B462" s="289" t="s">
        <v>7915</v>
      </c>
      <c r="C462" s="288" t="s">
        <v>7079</v>
      </c>
      <c r="D462" s="303">
        <v>4004</v>
      </c>
    </row>
    <row r="463" spans="1:4">
      <c r="A463" s="288" t="s">
        <v>7916</v>
      </c>
      <c r="B463" s="289" t="s">
        <v>7917</v>
      </c>
      <c r="C463" s="288" t="s">
        <v>7079</v>
      </c>
      <c r="D463" s="303">
        <v>270</v>
      </c>
    </row>
    <row r="464" spans="1:4">
      <c r="A464" s="287" t="s">
        <v>7918</v>
      </c>
      <c r="B464" s="287"/>
      <c r="C464" s="287"/>
      <c r="D464" s="296" t="s">
        <v>28729</v>
      </c>
    </row>
    <row r="465" spans="1:4">
      <c r="A465" s="288" t="s">
        <v>7919</v>
      </c>
      <c r="B465" s="289" t="s">
        <v>7920</v>
      </c>
      <c r="C465" s="288" t="s">
        <v>7079</v>
      </c>
      <c r="D465" s="303">
        <v>105.09</v>
      </c>
    </row>
    <row r="466" spans="1:4">
      <c r="A466" s="288" t="s">
        <v>7921</v>
      </c>
      <c r="B466" s="289" t="s">
        <v>7922</v>
      </c>
      <c r="C466" s="288" t="s">
        <v>7079</v>
      </c>
      <c r="D466" s="303">
        <v>838.02</v>
      </c>
    </row>
    <row r="467" spans="1:4" ht="18">
      <c r="A467" s="287" t="s">
        <v>7923</v>
      </c>
      <c r="B467" s="287"/>
      <c r="C467" s="287"/>
      <c r="D467" s="296" t="s">
        <v>28729</v>
      </c>
    </row>
    <row r="468" spans="1:4" ht="18">
      <c r="A468" s="288" t="s">
        <v>7924</v>
      </c>
      <c r="B468" s="289" t="s">
        <v>7925</v>
      </c>
      <c r="C468" s="288" t="s">
        <v>7079</v>
      </c>
      <c r="D468" s="303">
        <v>268.66000000000003</v>
      </c>
    </row>
    <row r="469" spans="1:4" ht="18">
      <c r="A469" s="288" t="s">
        <v>7926</v>
      </c>
      <c r="B469" s="289" t="s">
        <v>7927</v>
      </c>
      <c r="C469" s="288" t="s">
        <v>7079</v>
      </c>
      <c r="D469" s="303">
        <v>2750</v>
      </c>
    </row>
    <row r="470" spans="1:4" ht="27">
      <c r="A470" s="288" t="s">
        <v>7928</v>
      </c>
      <c r="B470" s="289" t="s">
        <v>7929</v>
      </c>
      <c r="C470" s="288" t="s">
        <v>7079</v>
      </c>
      <c r="D470" s="303">
        <v>375</v>
      </c>
    </row>
    <row r="471" spans="1:4" ht="27">
      <c r="A471" s="288" t="s">
        <v>7930</v>
      </c>
      <c r="B471" s="289" t="s">
        <v>7931</v>
      </c>
      <c r="C471" s="288" t="s">
        <v>7079</v>
      </c>
      <c r="D471" s="303">
        <v>425</v>
      </c>
    </row>
    <row r="472" spans="1:4">
      <c r="A472" s="287" t="s">
        <v>7932</v>
      </c>
      <c r="B472" s="287"/>
      <c r="C472" s="287"/>
      <c r="D472" s="296" t="s">
        <v>28729</v>
      </c>
    </row>
    <row r="473" spans="1:4" ht="18">
      <c r="A473" s="288" t="s">
        <v>7933</v>
      </c>
      <c r="B473" s="289" t="s">
        <v>7934</v>
      </c>
      <c r="C473" s="288" t="s">
        <v>7079</v>
      </c>
      <c r="D473" s="303">
        <v>649.62</v>
      </c>
    </row>
    <row r="474" spans="1:4" ht="18">
      <c r="A474" s="288" t="s">
        <v>7935</v>
      </c>
      <c r="B474" s="289" t="s">
        <v>7936</v>
      </c>
      <c r="C474" s="288" t="s">
        <v>7079</v>
      </c>
      <c r="D474" s="303">
        <v>365.5</v>
      </c>
    </row>
    <row r="475" spans="1:4">
      <c r="A475" s="287"/>
      <c r="B475" s="287"/>
      <c r="C475" s="287"/>
      <c r="D475" s="296" t="s">
        <v>28729</v>
      </c>
    </row>
    <row r="476" spans="1:4">
      <c r="A476" s="287" t="s">
        <v>7937</v>
      </c>
      <c r="B476" s="287"/>
      <c r="C476" s="287"/>
      <c r="D476" s="296" t="s">
        <v>28729</v>
      </c>
    </row>
    <row r="477" spans="1:4" ht="36">
      <c r="A477" s="288" t="s">
        <v>7938</v>
      </c>
      <c r="B477" s="289" t="s">
        <v>7939</v>
      </c>
      <c r="C477" s="288" t="s">
        <v>7079</v>
      </c>
      <c r="D477" s="303">
        <v>945</v>
      </c>
    </row>
    <row r="478" spans="1:4" ht="27">
      <c r="A478" s="288" t="s">
        <v>7940</v>
      </c>
      <c r="B478" s="289" t="s">
        <v>7941</v>
      </c>
      <c r="C478" s="288" t="s">
        <v>7079</v>
      </c>
      <c r="D478" s="303">
        <v>1690</v>
      </c>
    </row>
    <row r="479" spans="1:4">
      <c r="A479" s="288" t="s">
        <v>7942</v>
      </c>
      <c r="B479" s="289" t="s">
        <v>7943</v>
      </c>
      <c r="C479" s="288" t="s">
        <v>7079</v>
      </c>
      <c r="D479" s="303">
        <v>4443.66</v>
      </c>
    </row>
    <row r="480" spans="1:4">
      <c r="A480" s="287" t="s">
        <v>7944</v>
      </c>
      <c r="B480" s="287"/>
      <c r="C480" s="287"/>
      <c r="D480" s="296" t="s">
        <v>28729</v>
      </c>
    </row>
    <row r="481" spans="1:4" ht="54">
      <c r="A481" s="288" t="s">
        <v>7945</v>
      </c>
      <c r="B481" s="289" t="s">
        <v>7946</v>
      </c>
      <c r="C481" s="288" t="s">
        <v>7079</v>
      </c>
      <c r="D481" s="303">
        <v>19050</v>
      </c>
    </row>
    <row r="482" spans="1:4">
      <c r="A482" s="287"/>
      <c r="B482" s="287"/>
      <c r="C482" s="287"/>
      <c r="D482" s="296" t="s">
        <v>28729</v>
      </c>
    </row>
    <row r="483" spans="1:4" ht="18">
      <c r="A483" s="287" t="s">
        <v>7947</v>
      </c>
      <c r="B483" s="287"/>
      <c r="C483" s="287"/>
      <c r="D483" s="296" t="s">
        <v>28729</v>
      </c>
    </row>
    <row r="484" spans="1:4" ht="108">
      <c r="A484" s="288" t="s">
        <v>7948</v>
      </c>
      <c r="B484" s="289" t="s">
        <v>7949</v>
      </c>
      <c r="C484" s="288" t="s">
        <v>7079</v>
      </c>
      <c r="D484" s="303">
        <v>85101.8</v>
      </c>
    </row>
    <row r="485" spans="1:4" ht="36">
      <c r="A485" s="288" t="s">
        <v>7950</v>
      </c>
      <c r="B485" s="289" t="s">
        <v>7951</v>
      </c>
      <c r="C485" s="288" t="s">
        <v>7079</v>
      </c>
      <c r="D485" s="303">
        <v>67000</v>
      </c>
    </row>
    <row r="486" spans="1:4" ht="27">
      <c r="A486" s="288" t="s">
        <v>7952</v>
      </c>
      <c r="B486" s="289" t="s">
        <v>7953</v>
      </c>
      <c r="C486" s="288" t="s">
        <v>7079</v>
      </c>
      <c r="D486" s="303">
        <v>108200</v>
      </c>
    </row>
    <row r="487" spans="1:4" ht="63">
      <c r="A487" s="288" t="s">
        <v>7954</v>
      </c>
      <c r="B487" s="289" t="s">
        <v>7955</v>
      </c>
      <c r="C487" s="288" t="s">
        <v>7079</v>
      </c>
      <c r="D487" s="297">
        <v>86440</v>
      </c>
    </row>
    <row r="488" spans="1:4" ht="126">
      <c r="A488" s="288" t="s">
        <v>7956</v>
      </c>
      <c r="B488" s="289" t="s">
        <v>7957</v>
      </c>
      <c r="C488" s="288" t="s">
        <v>7079</v>
      </c>
      <c r="D488" s="303">
        <v>28750</v>
      </c>
    </row>
    <row r="489" spans="1:4">
      <c r="A489" s="287"/>
      <c r="B489" s="287"/>
      <c r="C489" s="287"/>
      <c r="D489" s="296" t="s">
        <v>28729</v>
      </c>
    </row>
    <row r="490" spans="1:4" ht="18">
      <c r="A490" s="287" t="s">
        <v>7958</v>
      </c>
      <c r="B490" s="287"/>
      <c r="C490" s="287"/>
      <c r="D490" s="296" t="s">
        <v>28729</v>
      </c>
    </row>
    <row r="491" spans="1:4" ht="18">
      <c r="A491" s="288" t="s">
        <v>7959</v>
      </c>
      <c r="B491" s="289" t="s">
        <v>7960</v>
      </c>
      <c r="C491" s="288" t="s">
        <v>7079</v>
      </c>
      <c r="D491" s="303">
        <v>163.32</v>
      </c>
    </row>
    <row r="492" spans="1:4" ht="18">
      <c r="A492" s="288" t="s">
        <v>7961</v>
      </c>
      <c r="B492" s="289" t="s">
        <v>7962</v>
      </c>
      <c r="C492" s="288" t="s">
        <v>7079</v>
      </c>
      <c r="D492" s="303">
        <v>86.35</v>
      </c>
    </row>
    <row r="493" spans="1:4">
      <c r="A493" s="287"/>
      <c r="B493" s="287"/>
      <c r="C493" s="287"/>
      <c r="D493" s="296" t="s">
        <v>28729</v>
      </c>
    </row>
    <row r="494" spans="1:4">
      <c r="A494" s="287" t="s">
        <v>7963</v>
      </c>
      <c r="B494" s="287"/>
      <c r="C494" s="287"/>
      <c r="D494" s="296" t="s">
        <v>28729</v>
      </c>
    </row>
    <row r="495" spans="1:4" ht="18">
      <c r="A495" s="288" t="s">
        <v>7964</v>
      </c>
      <c r="B495" s="289" t="s">
        <v>7965</v>
      </c>
      <c r="C495" s="288" t="s">
        <v>7079</v>
      </c>
      <c r="D495" s="303">
        <v>237.08</v>
      </c>
    </row>
    <row r="496" spans="1:4" ht="18">
      <c r="A496" s="288" t="s">
        <v>7966</v>
      </c>
      <c r="B496" s="289" t="s">
        <v>7967</v>
      </c>
      <c r="C496" s="288" t="s">
        <v>7079</v>
      </c>
      <c r="D496" s="303">
        <v>862.3</v>
      </c>
    </row>
    <row r="497" spans="1:4">
      <c r="A497" s="288" t="s">
        <v>7968</v>
      </c>
      <c r="B497" s="289" t="s">
        <v>7969</v>
      </c>
      <c r="C497" s="288" t="s">
        <v>7079</v>
      </c>
      <c r="D497" s="303">
        <v>23.16</v>
      </c>
    </row>
    <row r="498" spans="1:4">
      <c r="A498" s="287"/>
      <c r="B498" s="287"/>
      <c r="C498" s="287"/>
      <c r="D498" s="296" t="s">
        <v>28729</v>
      </c>
    </row>
    <row r="499" spans="1:4">
      <c r="A499" s="287" t="s">
        <v>7970</v>
      </c>
      <c r="B499" s="287"/>
      <c r="C499" s="287"/>
      <c r="D499" s="296" t="s">
        <v>28729</v>
      </c>
    </row>
    <row r="500" spans="1:4" ht="27">
      <c r="A500" s="288" t="s">
        <v>7971</v>
      </c>
      <c r="B500" s="289" t="s">
        <v>7972</v>
      </c>
      <c r="C500" s="288" t="s">
        <v>7079</v>
      </c>
      <c r="D500" s="303">
        <v>203</v>
      </c>
    </row>
    <row r="501" spans="1:4" ht="18">
      <c r="A501" s="288" t="s">
        <v>7973</v>
      </c>
      <c r="B501" s="289" t="s">
        <v>7974</v>
      </c>
      <c r="C501" s="288" t="s">
        <v>7079</v>
      </c>
      <c r="D501" s="303">
        <v>409.07</v>
      </c>
    </row>
    <row r="502" spans="1:4" ht="27">
      <c r="A502" s="288" t="s">
        <v>7975</v>
      </c>
      <c r="B502" s="289" t="s">
        <v>7976</v>
      </c>
      <c r="C502" s="288" t="s">
        <v>7079</v>
      </c>
      <c r="D502" s="303">
        <v>338.12</v>
      </c>
    </row>
    <row r="503" spans="1:4">
      <c r="A503" s="287" t="s">
        <v>7977</v>
      </c>
      <c r="B503" s="287"/>
      <c r="C503" s="287"/>
      <c r="D503" s="296" t="s">
        <v>28729</v>
      </c>
    </row>
    <row r="504" spans="1:4" ht="90">
      <c r="A504" s="288" t="s">
        <v>7978</v>
      </c>
      <c r="B504" s="289" t="s">
        <v>7979</v>
      </c>
      <c r="C504" s="288" t="s">
        <v>7079</v>
      </c>
      <c r="D504" s="303">
        <v>8990</v>
      </c>
    </row>
    <row r="505" spans="1:4" ht="90">
      <c r="A505" s="288" t="s">
        <v>7980</v>
      </c>
      <c r="B505" s="289" t="s">
        <v>7981</v>
      </c>
      <c r="C505" s="288" t="s">
        <v>7079</v>
      </c>
      <c r="D505" s="303">
        <v>13168.21</v>
      </c>
    </row>
    <row r="506" spans="1:4" ht="90">
      <c r="A506" s="288" t="s">
        <v>7982</v>
      </c>
      <c r="B506" s="289" t="s">
        <v>7983</v>
      </c>
      <c r="C506" s="288" t="s">
        <v>7079</v>
      </c>
      <c r="D506" s="303">
        <v>36190</v>
      </c>
    </row>
    <row r="507" spans="1:4">
      <c r="A507" s="287" t="s">
        <v>7984</v>
      </c>
      <c r="B507" s="287"/>
      <c r="C507" s="287"/>
      <c r="D507" s="296" t="s">
        <v>28729</v>
      </c>
    </row>
    <row r="508" spans="1:4" ht="45">
      <c r="A508" s="288" t="s">
        <v>7985</v>
      </c>
      <c r="B508" s="289" t="s">
        <v>7986</v>
      </c>
      <c r="C508" s="288" t="s">
        <v>7079</v>
      </c>
      <c r="D508" s="303">
        <v>118000</v>
      </c>
    </row>
    <row r="509" spans="1:4" ht="45">
      <c r="A509" s="288" t="s">
        <v>7987</v>
      </c>
      <c r="B509" s="289" t="s">
        <v>7988</v>
      </c>
      <c r="C509" s="288" t="s">
        <v>7079</v>
      </c>
      <c r="D509" s="303">
        <v>221000</v>
      </c>
    </row>
    <row r="510" spans="1:4">
      <c r="A510" s="287"/>
      <c r="B510" s="287"/>
      <c r="C510" s="287"/>
      <c r="D510" s="296" t="s">
        <v>28729</v>
      </c>
    </row>
    <row r="511" spans="1:4" ht="18">
      <c r="A511" s="287" t="s">
        <v>7989</v>
      </c>
      <c r="B511" s="287"/>
      <c r="C511" s="287"/>
      <c r="D511" s="296" t="s">
        <v>28729</v>
      </c>
    </row>
    <row r="512" spans="1:4" ht="18">
      <c r="A512" s="288" t="s">
        <v>7990</v>
      </c>
      <c r="B512" s="289" t="s">
        <v>7991</v>
      </c>
      <c r="C512" s="288" t="s">
        <v>54</v>
      </c>
      <c r="D512" s="303">
        <v>208.25</v>
      </c>
    </row>
    <row r="513" spans="1:4" ht="18">
      <c r="A513" s="288" t="s">
        <v>7992</v>
      </c>
      <c r="B513" s="289" t="s">
        <v>7993</v>
      </c>
      <c r="C513" s="288" t="s">
        <v>54</v>
      </c>
      <c r="D513" s="303">
        <v>326.10000000000002</v>
      </c>
    </row>
    <row r="514" spans="1:4" ht="36">
      <c r="A514" s="288" t="s">
        <v>7994</v>
      </c>
      <c r="B514" s="289" t="s">
        <v>7995</v>
      </c>
      <c r="C514" s="288" t="s">
        <v>54</v>
      </c>
      <c r="D514" s="303">
        <v>214.43</v>
      </c>
    </row>
    <row r="515" spans="1:4" ht="36">
      <c r="A515" s="288" t="s">
        <v>7996</v>
      </c>
      <c r="B515" s="289" t="s">
        <v>7997</v>
      </c>
      <c r="C515" s="288" t="s">
        <v>54</v>
      </c>
      <c r="D515" s="303">
        <v>180.06</v>
      </c>
    </row>
    <row r="516" spans="1:4">
      <c r="A516" s="287"/>
      <c r="B516" s="287"/>
      <c r="C516" s="287"/>
      <c r="D516" s="296" t="s">
        <v>28729</v>
      </c>
    </row>
    <row r="517" spans="1:4">
      <c r="A517" s="287" t="s">
        <v>7998</v>
      </c>
      <c r="B517" s="287"/>
      <c r="C517" s="287"/>
      <c r="D517" s="296" t="s">
        <v>28729</v>
      </c>
    </row>
    <row r="518" spans="1:4" ht="18">
      <c r="A518" s="288" t="s">
        <v>7999</v>
      </c>
      <c r="B518" s="289" t="s">
        <v>8000</v>
      </c>
      <c r="C518" s="288" t="s">
        <v>7079</v>
      </c>
      <c r="D518" s="303">
        <v>145.74</v>
      </c>
    </row>
    <row r="519" spans="1:4" ht="18">
      <c r="A519" s="288" t="s">
        <v>8001</v>
      </c>
      <c r="B519" s="289" t="s">
        <v>8002</v>
      </c>
      <c r="C519" s="288" t="s">
        <v>7079</v>
      </c>
      <c r="D519" s="303">
        <v>367.94</v>
      </c>
    </row>
    <row r="520" spans="1:4" ht="18">
      <c r="A520" s="288" t="s">
        <v>8003</v>
      </c>
      <c r="B520" s="289" t="s">
        <v>8004</v>
      </c>
      <c r="C520" s="288" t="s">
        <v>7079</v>
      </c>
      <c r="D520" s="303">
        <v>447.09</v>
      </c>
    </row>
    <row r="521" spans="1:4" ht="18">
      <c r="A521" s="288" t="s">
        <v>8005</v>
      </c>
      <c r="B521" s="289" t="s">
        <v>8006</v>
      </c>
      <c r="C521" s="288" t="s">
        <v>7079</v>
      </c>
      <c r="D521" s="303">
        <v>1210.57</v>
      </c>
    </row>
    <row r="522" spans="1:4" ht="18">
      <c r="A522" s="288" t="s">
        <v>8007</v>
      </c>
      <c r="B522" s="289" t="s">
        <v>8008</v>
      </c>
      <c r="C522" s="288" t="s">
        <v>7079</v>
      </c>
      <c r="D522" s="303">
        <v>117.7</v>
      </c>
    </row>
    <row r="523" spans="1:4" ht="18">
      <c r="A523" s="288" t="s">
        <v>8009</v>
      </c>
      <c r="B523" s="289" t="s">
        <v>8010</v>
      </c>
      <c r="C523" s="288" t="s">
        <v>7079</v>
      </c>
      <c r="D523" s="303">
        <v>147.88</v>
      </c>
    </row>
    <row r="524" spans="1:4" ht="18">
      <c r="A524" s="288" t="s">
        <v>8011</v>
      </c>
      <c r="B524" s="289" t="s">
        <v>8012</v>
      </c>
      <c r="C524" s="288" t="s">
        <v>7079</v>
      </c>
      <c r="D524" s="303">
        <v>190.95</v>
      </c>
    </row>
    <row r="525" spans="1:4" ht="18">
      <c r="A525" s="288" t="s">
        <v>8013</v>
      </c>
      <c r="B525" s="289" t="s">
        <v>8014</v>
      </c>
      <c r="C525" s="288" t="s">
        <v>7079</v>
      </c>
      <c r="D525" s="303">
        <v>2674</v>
      </c>
    </row>
    <row r="526" spans="1:4">
      <c r="A526" s="287"/>
      <c r="B526" s="287"/>
      <c r="C526" s="287"/>
      <c r="D526" s="296" t="s">
        <v>28729</v>
      </c>
    </row>
    <row r="527" spans="1:4" ht="18">
      <c r="A527" s="287" t="s">
        <v>8015</v>
      </c>
      <c r="B527" s="287"/>
      <c r="C527" s="287"/>
      <c r="D527" s="296" t="s">
        <v>28729</v>
      </c>
    </row>
    <row r="528" spans="1:4" ht="27">
      <c r="A528" s="288" t="s">
        <v>8016</v>
      </c>
      <c r="B528" s="289" t="s">
        <v>8017</v>
      </c>
      <c r="C528" s="288" t="s">
        <v>7079</v>
      </c>
      <c r="D528" s="303">
        <v>372.25</v>
      </c>
    </row>
    <row r="529" spans="1:4" ht="27">
      <c r="A529" s="288" t="s">
        <v>8018</v>
      </c>
      <c r="B529" s="289" t="s">
        <v>8019</v>
      </c>
      <c r="C529" s="288" t="s">
        <v>7079</v>
      </c>
      <c r="D529" s="303">
        <v>402.84</v>
      </c>
    </row>
    <row r="530" spans="1:4" ht="27">
      <c r="A530" s="288" t="s">
        <v>8020</v>
      </c>
      <c r="B530" s="289" t="s">
        <v>8021</v>
      </c>
      <c r="C530" s="288" t="s">
        <v>7079</v>
      </c>
      <c r="D530" s="303">
        <v>512.78</v>
      </c>
    </row>
    <row r="531" spans="1:4" ht="27">
      <c r="A531" s="288" t="s">
        <v>8022</v>
      </c>
      <c r="B531" s="289" t="s">
        <v>8023</v>
      </c>
      <c r="C531" s="288" t="s">
        <v>7079</v>
      </c>
      <c r="D531" s="303">
        <v>2855.25</v>
      </c>
    </row>
    <row r="532" spans="1:4" ht="27">
      <c r="A532" s="288" t="s">
        <v>8024</v>
      </c>
      <c r="B532" s="289" t="s">
        <v>8025</v>
      </c>
      <c r="C532" s="288" t="s">
        <v>7079</v>
      </c>
      <c r="D532" s="303">
        <v>622.71</v>
      </c>
    </row>
    <row r="533" spans="1:4" ht="27">
      <c r="A533" s="288" t="s">
        <v>8026</v>
      </c>
      <c r="B533" s="289" t="s">
        <v>8027</v>
      </c>
      <c r="C533" s="288" t="s">
        <v>7079</v>
      </c>
      <c r="D533" s="303">
        <v>652.84</v>
      </c>
    </row>
    <row r="534" spans="1:4" ht="27">
      <c r="A534" s="288" t="s">
        <v>8028</v>
      </c>
      <c r="B534" s="289" t="s">
        <v>8029</v>
      </c>
      <c r="C534" s="288" t="s">
        <v>7079</v>
      </c>
      <c r="D534" s="303">
        <v>842.56</v>
      </c>
    </row>
    <row r="535" spans="1:4" ht="27">
      <c r="A535" s="288" t="s">
        <v>8030</v>
      </c>
      <c r="B535" s="289" t="s">
        <v>8031</v>
      </c>
      <c r="C535" s="288" t="s">
        <v>7079</v>
      </c>
      <c r="D535" s="303">
        <v>952.51</v>
      </c>
    </row>
    <row r="536" spans="1:4" ht="27">
      <c r="A536" s="288" t="s">
        <v>8032</v>
      </c>
      <c r="B536" s="289" t="s">
        <v>8033</v>
      </c>
      <c r="C536" s="288" t="s">
        <v>38</v>
      </c>
      <c r="D536" s="303">
        <v>429.44</v>
      </c>
    </row>
    <row r="537" spans="1:4" ht="27">
      <c r="A537" s="288" t="s">
        <v>8034</v>
      </c>
      <c r="B537" s="289" t="s">
        <v>8035</v>
      </c>
      <c r="C537" s="288" t="s">
        <v>7079</v>
      </c>
      <c r="D537" s="303">
        <v>402.84</v>
      </c>
    </row>
    <row r="538" spans="1:4" ht="27">
      <c r="A538" s="288" t="s">
        <v>8036</v>
      </c>
      <c r="B538" s="289" t="s">
        <v>8037</v>
      </c>
      <c r="C538" s="288" t="s">
        <v>54</v>
      </c>
      <c r="D538" s="303">
        <v>283.05</v>
      </c>
    </row>
    <row r="539" spans="1:4" ht="18">
      <c r="A539" s="288" t="s">
        <v>8038</v>
      </c>
      <c r="B539" s="289" t="s">
        <v>8039</v>
      </c>
      <c r="C539" s="288" t="s">
        <v>7079</v>
      </c>
      <c r="D539" s="303">
        <v>191</v>
      </c>
    </row>
    <row r="540" spans="1:4" ht="18">
      <c r="A540" s="288" t="s">
        <v>8040</v>
      </c>
      <c r="B540" s="289" t="s">
        <v>8041</v>
      </c>
      <c r="C540" s="288" t="s">
        <v>7079</v>
      </c>
      <c r="D540" s="303">
        <v>274.17</v>
      </c>
    </row>
    <row r="541" spans="1:4" ht="18">
      <c r="A541" s="288" t="s">
        <v>8042</v>
      </c>
      <c r="B541" s="289" t="s">
        <v>8043</v>
      </c>
      <c r="C541" s="288" t="s">
        <v>7079</v>
      </c>
      <c r="D541" s="303">
        <v>239.74</v>
      </c>
    </row>
    <row r="542" spans="1:4" ht="18">
      <c r="A542" s="288" t="s">
        <v>8044</v>
      </c>
      <c r="B542" s="289" t="s">
        <v>8045</v>
      </c>
      <c r="C542" s="288" t="s">
        <v>7079</v>
      </c>
      <c r="D542" s="303">
        <v>266.38</v>
      </c>
    </row>
    <row r="543" spans="1:4" ht="18">
      <c r="A543" s="288" t="s">
        <v>8046</v>
      </c>
      <c r="B543" s="289" t="s">
        <v>8047</v>
      </c>
      <c r="C543" s="288" t="s">
        <v>7079</v>
      </c>
      <c r="D543" s="303">
        <v>130.15</v>
      </c>
    </row>
    <row r="544" spans="1:4" ht="27">
      <c r="A544" s="288" t="s">
        <v>8048</v>
      </c>
      <c r="B544" s="289" t="s">
        <v>8049</v>
      </c>
      <c r="C544" s="288" t="s">
        <v>54</v>
      </c>
      <c r="D544" s="303">
        <v>360.45</v>
      </c>
    </row>
    <row r="545" spans="1:4" ht="27">
      <c r="A545" s="288" t="s">
        <v>8050</v>
      </c>
      <c r="B545" s="289" t="s">
        <v>8051</v>
      </c>
      <c r="C545" s="288" t="s">
        <v>54</v>
      </c>
      <c r="D545" s="303">
        <v>306.45</v>
      </c>
    </row>
    <row r="546" spans="1:4" ht="27">
      <c r="A546" s="288" t="s">
        <v>8052</v>
      </c>
      <c r="B546" s="289" t="s">
        <v>8053</v>
      </c>
      <c r="C546" s="288" t="s">
        <v>38</v>
      </c>
      <c r="D546" s="303">
        <v>435.14</v>
      </c>
    </row>
    <row r="547" spans="1:4" ht="18">
      <c r="A547" s="288" t="s">
        <v>8054</v>
      </c>
      <c r="B547" s="289" t="s">
        <v>8055</v>
      </c>
      <c r="C547" s="288" t="s">
        <v>54</v>
      </c>
      <c r="D547" s="303">
        <v>170.35</v>
      </c>
    </row>
    <row r="548" spans="1:4" ht="18">
      <c r="A548" s="288" t="s">
        <v>8056</v>
      </c>
      <c r="B548" s="289" t="s">
        <v>8057</v>
      </c>
      <c r="C548" s="288" t="s">
        <v>7079</v>
      </c>
      <c r="D548" s="303">
        <v>274.89999999999998</v>
      </c>
    </row>
    <row r="549" spans="1:4">
      <c r="A549" s="287"/>
      <c r="B549" s="287"/>
      <c r="C549" s="287"/>
      <c r="D549" s="296" t="s">
        <v>28729</v>
      </c>
    </row>
    <row r="550" spans="1:4">
      <c r="A550" s="287" t="s">
        <v>8058</v>
      </c>
      <c r="B550" s="287"/>
      <c r="C550" s="287"/>
      <c r="D550" s="296" t="s">
        <v>28729</v>
      </c>
    </row>
    <row r="551" spans="1:4">
      <c r="A551" s="288" t="s">
        <v>8059</v>
      </c>
      <c r="B551" s="289" t="s">
        <v>8060</v>
      </c>
      <c r="C551" s="288" t="s">
        <v>7079</v>
      </c>
      <c r="D551" s="303">
        <v>386</v>
      </c>
    </row>
    <row r="552" spans="1:4" ht="18">
      <c r="A552" s="288" t="s">
        <v>8061</v>
      </c>
      <c r="B552" s="289" t="s">
        <v>8062</v>
      </c>
      <c r="C552" s="288" t="s">
        <v>7079</v>
      </c>
      <c r="D552" s="303">
        <v>183.33</v>
      </c>
    </row>
    <row r="553" spans="1:4" ht="27">
      <c r="A553" s="288" t="s">
        <v>8063</v>
      </c>
      <c r="B553" s="289" t="s">
        <v>8064</v>
      </c>
      <c r="C553" s="288" t="s">
        <v>7079</v>
      </c>
      <c r="D553" s="303">
        <v>2778</v>
      </c>
    </row>
    <row r="554" spans="1:4">
      <c r="A554" s="287"/>
      <c r="B554" s="287"/>
      <c r="C554" s="287"/>
      <c r="D554" s="296" t="s">
        <v>28729</v>
      </c>
    </row>
    <row r="555" spans="1:4">
      <c r="A555" s="287" t="s">
        <v>8065</v>
      </c>
      <c r="B555" s="287"/>
      <c r="C555" s="287"/>
      <c r="D555" s="296" t="s">
        <v>28729</v>
      </c>
    </row>
    <row r="556" spans="1:4" ht="27">
      <c r="A556" s="288" t="s">
        <v>8066</v>
      </c>
      <c r="B556" s="289" t="s">
        <v>8067</v>
      </c>
      <c r="C556" s="288" t="s">
        <v>7079</v>
      </c>
      <c r="D556" s="303">
        <v>183.71</v>
      </c>
    </row>
    <row r="557" spans="1:4">
      <c r="A557" s="287"/>
      <c r="B557" s="287"/>
      <c r="C557" s="287"/>
      <c r="D557" s="296" t="s">
        <v>28729</v>
      </c>
    </row>
    <row r="558" spans="1:4">
      <c r="A558" s="287" t="s">
        <v>8068</v>
      </c>
      <c r="B558" s="287"/>
      <c r="C558" s="287"/>
      <c r="D558" s="296" t="s">
        <v>28729</v>
      </c>
    </row>
    <row r="559" spans="1:4" ht="18">
      <c r="A559" s="288" t="s">
        <v>8069</v>
      </c>
      <c r="B559" s="289" t="s">
        <v>8070</v>
      </c>
      <c r="C559" s="288" t="s">
        <v>7079</v>
      </c>
      <c r="D559" s="303">
        <v>359.06</v>
      </c>
    </row>
    <row r="560" spans="1:4" ht="18">
      <c r="A560" s="288" t="s">
        <v>8071</v>
      </c>
      <c r="B560" s="289" t="s">
        <v>8072</v>
      </c>
      <c r="C560" s="288" t="s">
        <v>38</v>
      </c>
      <c r="D560" s="303">
        <v>150</v>
      </c>
    </row>
    <row r="561" spans="1:4" ht="18">
      <c r="A561" s="288" t="s">
        <v>8073</v>
      </c>
      <c r="B561" s="289" t="s">
        <v>8074</v>
      </c>
      <c r="C561" s="288" t="s">
        <v>38</v>
      </c>
      <c r="D561" s="303">
        <v>120</v>
      </c>
    </row>
    <row r="562" spans="1:4" ht="18">
      <c r="A562" s="288" t="s">
        <v>8075</v>
      </c>
      <c r="B562" s="289" t="s">
        <v>8076</v>
      </c>
      <c r="C562" s="288" t="s">
        <v>38</v>
      </c>
      <c r="D562" s="303">
        <v>239</v>
      </c>
    </row>
    <row r="563" spans="1:4">
      <c r="A563" s="287"/>
      <c r="B563" s="287"/>
      <c r="C563" s="287"/>
      <c r="D563" s="296" t="s">
        <v>28729</v>
      </c>
    </row>
    <row r="564" spans="1:4">
      <c r="A564" s="287" t="s">
        <v>8077</v>
      </c>
      <c r="B564" s="287"/>
      <c r="C564" s="287"/>
      <c r="D564" s="296" t="s">
        <v>28729</v>
      </c>
    </row>
    <row r="565" spans="1:4" ht="18">
      <c r="A565" s="288" t="s">
        <v>8078</v>
      </c>
      <c r="B565" s="289" t="s">
        <v>8079</v>
      </c>
      <c r="C565" s="288" t="s">
        <v>54</v>
      </c>
      <c r="D565" s="303">
        <v>29.74</v>
      </c>
    </row>
    <row r="566" spans="1:4" ht="36">
      <c r="A566" s="288" t="s">
        <v>8080</v>
      </c>
      <c r="B566" s="289" t="s">
        <v>8081</v>
      </c>
      <c r="C566" s="288" t="s">
        <v>7079</v>
      </c>
      <c r="D566" s="303">
        <v>410</v>
      </c>
    </row>
    <row r="567" spans="1:4" ht="72">
      <c r="A567" s="288" t="s">
        <v>8082</v>
      </c>
      <c r="B567" s="289" t="s">
        <v>8083</v>
      </c>
      <c r="C567" s="288" t="s">
        <v>7079</v>
      </c>
      <c r="D567" s="303">
        <v>18029.169999999998</v>
      </c>
    </row>
    <row r="568" spans="1:4" ht="72">
      <c r="A568" s="288" t="s">
        <v>8084</v>
      </c>
      <c r="B568" s="289" t="s">
        <v>8085</v>
      </c>
      <c r="C568" s="288" t="s">
        <v>7079</v>
      </c>
      <c r="D568" s="303">
        <v>19579.169999999998</v>
      </c>
    </row>
    <row r="569" spans="1:4">
      <c r="A569" s="287"/>
      <c r="B569" s="287"/>
      <c r="C569" s="287"/>
      <c r="D569" s="296" t="s">
        <v>28729</v>
      </c>
    </row>
    <row r="570" spans="1:4">
      <c r="A570" s="287"/>
      <c r="B570" s="287"/>
      <c r="C570" s="287"/>
      <c r="D570" s="296" t="s">
        <v>28729</v>
      </c>
    </row>
    <row r="571" spans="1:4">
      <c r="A571" s="287"/>
      <c r="B571" s="287"/>
      <c r="C571" s="287"/>
      <c r="D571" s="296" t="s">
        <v>28729</v>
      </c>
    </row>
    <row r="572" spans="1:4">
      <c r="A572" s="287" t="s">
        <v>8086</v>
      </c>
      <c r="B572" s="287"/>
      <c r="C572" s="287"/>
      <c r="D572" s="296" t="s">
        <v>28729</v>
      </c>
    </row>
    <row r="573" spans="1:4" ht="18">
      <c r="A573" s="288" t="s">
        <v>8087</v>
      </c>
      <c r="B573" s="289" t="s">
        <v>8088</v>
      </c>
      <c r="C573" s="288" t="s">
        <v>47</v>
      </c>
      <c r="D573" s="303">
        <v>143.51</v>
      </c>
    </row>
    <row r="574" spans="1:4" ht="18">
      <c r="A574" s="288" t="s">
        <v>8089</v>
      </c>
      <c r="B574" s="289" t="s">
        <v>8090</v>
      </c>
      <c r="C574" s="288" t="s">
        <v>47</v>
      </c>
      <c r="D574" s="303">
        <v>92.61</v>
      </c>
    </row>
    <row r="575" spans="1:4" ht="27">
      <c r="A575" s="288" t="s">
        <v>8091</v>
      </c>
      <c r="B575" s="289" t="s">
        <v>8092</v>
      </c>
      <c r="C575" s="288" t="s">
        <v>47</v>
      </c>
      <c r="D575" s="303">
        <v>10.050000000000001</v>
      </c>
    </row>
    <row r="576" spans="1:4" ht="27">
      <c r="A576" s="288" t="s">
        <v>8093</v>
      </c>
      <c r="B576" s="289" t="s">
        <v>8094</v>
      </c>
      <c r="C576" s="288" t="s">
        <v>47</v>
      </c>
      <c r="D576" s="303">
        <v>11.75</v>
      </c>
    </row>
    <row r="577" spans="1:4" ht="36">
      <c r="A577" s="288" t="s">
        <v>8095</v>
      </c>
      <c r="B577" s="289" t="s">
        <v>8096</v>
      </c>
      <c r="C577" s="288" t="s">
        <v>47</v>
      </c>
      <c r="D577" s="303">
        <v>27.31</v>
      </c>
    </row>
    <row r="578" spans="1:4" ht="18">
      <c r="A578" s="288" t="s">
        <v>8097</v>
      </c>
      <c r="B578" s="289" t="s">
        <v>8098</v>
      </c>
      <c r="C578" s="288" t="s">
        <v>47</v>
      </c>
      <c r="D578" s="303">
        <v>120.63</v>
      </c>
    </row>
    <row r="579" spans="1:4" ht="18">
      <c r="A579" s="288" t="s">
        <v>8099</v>
      </c>
      <c r="B579" s="289" t="s">
        <v>8100</v>
      </c>
      <c r="C579" s="288" t="s">
        <v>47</v>
      </c>
      <c r="D579" s="303">
        <v>90.93</v>
      </c>
    </row>
    <row r="580" spans="1:4" ht="18">
      <c r="A580" s="288" t="s">
        <v>8101</v>
      </c>
      <c r="B580" s="289" t="s">
        <v>8102</v>
      </c>
      <c r="C580" s="288" t="s">
        <v>47</v>
      </c>
      <c r="D580" s="303">
        <v>103.44</v>
      </c>
    </row>
    <row r="581" spans="1:4" ht="18">
      <c r="A581" s="288" t="s">
        <v>8103</v>
      </c>
      <c r="B581" s="289" t="s">
        <v>8104</v>
      </c>
      <c r="C581" s="288" t="s">
        <v>38</v>
      </c>
      <c r="D581" s="303">
        <v>6.48</v>
      </c>
    </row>
    <row r="582" spans="1:4" ht="18">
      <c r="A582" s="288" t="s">
        <v>8105</v>
      </c>
      <c r="B582" s="289" t="s">
        <v>8106</v>
      </c>
      <c r="C582" s="288" t="s">
        <v>47</v>
      </c>
      <c r="D582" s="303">
        <v>3.56</v>
      </c>
    </row>
    <row r="583" spans="1:4" ht="18">
      <c r="A583" s="288" t="s">
        <v>8107</v>
      </c>
      <c r="B583" s="289" t="s">
        <v>8108</v>
      </c>
      <c r="C583" s="288" t="s">
        <v>47</v>
      </c>
      <c r="D583" s="303">
        <v>4.82</v>
      </c>
    </row>
    <row r="584" spans="1:4" ht="27">
      <c r="A584" s="288" t="s">
        <v>8109</v>
      </c>
      <c r="B584" s="289" t="s">
        <v>8110</v>
      </c>
      <c r="C584" s="288" t="s">
        <v>38</v>
      </c>
      <c r="D584" s="303">
        <v>16.559999999999999</v>
      </c>
    </row>
    <row r="585" spans="1:4" ht="27">
      <c r="A585" s="288" t="s">
        <v>8111</v>
      </c>
      <c r="B585" s="289" t="s">
        <v>8112</v>
      </c>
      <c r="C585" s="288" t="s">
        <v>38</v>
      </c>
      <c r="D585" s="303">
        <v>17.97</v>
      </c>
    </row>
    <row r="586" spans="1:4" ht="18">
      <c r="A586" s="288" t="s">
        <v>8113</v>
      </c>
      <c r="B586" s="289" t="s">
        <v>8114</v>
      </c>
      <c r="C586" s="288" t="s">
        <v>38</v>
      </c>
      <c r="D586" s="303">
        <v>10.56</v>
      </c>
    </row>
    <row r="587" spans="1:4" ht="27">
      <c r="A587" s="288" t="s">
        <v>8115</v>
      </c>
      <c r="B587" s="289" t="s">
        <v>8116</v>
      </c>
      <c r="C587" s="288" t="s">
        <v>38</v>
      </c>
      <c r="D587" s="303">
        <v>1.31</v>
      </c>
    </row>
    <row r="588" spans="1:4" ht="18">
      <c r="A588" s="287" t="s">
        <v>8117</v>
      </c>
      <c r="B588" s="287"/>
      <c r="C588" s="287"/>
      <c r="D588" s="296" t="s">
        <v>28729</v>
      </c>
    </row>
    <row r="589" spans="1:4" ht="18">
      <c r="A589" s="288" t="s">
        <v>8118</v>
      </c>
      <c r="B589" s="289" t="s">
        <v>8119</v>
      </c>
      <c r="C589" s="288" t="s">
        <v>47</v>
      </c>
      <c r="D589" s="303">
        <v>75.97</v>
      </c>
    </row>
    <row r="590" spans="1:4" ht="18">
      <c r="A590" s="288" t="s">
        <v>8120</v>
      </c>
      <c r="B590" s="289" t="s">
        <v>8121</v>
      </c>
      <c r="C590" s="288" t="s">
        <v>47</v>
      </c>
      <c r="D590" s="303">
        <v>67.650000000000006</v>
      </c>
    </row>
    <row r="591" spans="1:4">
      <c r="A591" s="287"/>
      <c r="B591" s="287"/>
      <c r="C591" s="287"/>
      <c r="D591" s="296" t="s">
        <v>28729</v>
      </c>
    </row>
    <row r="592" spans="1:4" ht="18">
      <c r="A592" s="287" t="s">
        <v>8122</v>
      </c>
      <c r="B592" s="287"/>
      <c r="C592" s="287"/>
      <c r="D592" s="296" t="s">
        <v>28729</v>
      </c>
    </row>
    <row r="593" spans="1:4" ht="27">
      <c r="A593" s="288" t="s">
        <v>8123</v>
      </c>
      <c r="B593" s="289" t="s">
        <v>8124</v>
      </c>
      <c r="C593" s="288" t="s">
        <v>7148</v>
      </c>
      <c r="D593" s="303">
        <v>387.11</v>
      </c>
    </row>
    <row r="594" spans="1:4" ht="27">
      <c r="A594" s="288" t="s">
        <v>8125</v>
      </c>
      <c r="B594" s="289" t="s">
        <v>8126</v>
      </c>
      <c r="C594" s="288" t="s">
        <v>7148</v>
      </c>
      <c r="D594" s="303">
        <v>499.02</v>
      </c>
    </row>
    <row r="595" spans="1:4" ht="36">
      <c r="A595" s="288" t="s">
        <v>8127</v>
      </c>
      <c r="B595" s="289" t="s">
        <v>8128</v>
      </c>
      <c r="C595" s="288" t="s">
        <v>47</v>
      </c>
      <c r="D595" s="303">
        <v>938.07</v>
      </c>
    </row>
    <row r="596" spans="1:4" ht="45">
      <c r="A596" s="288" t="s">
        <v>8129</v>
      </c>
      <c r="B596" s="289" t="s">
        <v>8130</v>
      </c>
      <c r="C596" s="288" t="s">
        <v>7148</v>
      </c>
      <c r="D596" s="303">
        <v>343.05</v>
      </c>
    </row>
    <row r="597" spans="1:4" ht="27">
      <c r="A597" s="288" t="s">
        <v>8131</v>
      </c>
      <c r="B597" s="289" t="s">
        <v>8132</v>
      </c>
      <c r="C597" s="288" t="s">
        <v>7148</v>
      </c>
      <c r="D597" s="303">
        <v>5.92</v>
      </c>
    </row>
    <row r="598" spans="1:4" ht="27">
      <c r="A598" s="288" t="s">
        <v>8133</v>
      </c>
      <c r="B598" s="289" t="s">
        <v>8134</v>
      </c>
      <c r="C598" s="288" t="s">
        <v>7148</v>
      </c>
      <c r="D598" s="303">
        <v>5.89</v>
      </c>
    </row>
    <row r="599" spans="1:4" ht="27">
      <c r="A599" s="288" t="s">
        <v>8135</v>
      </c>
      <c r="B599" s="289" t="s">
        <v>8136</v>
      </c>
      <c r="C599" s="288" t="s">
        <v>7148</v>
      </c>
      <c r="D599" s="303">
        <v>3.92</v>
      </c>
    </row>
    <row r="600" spans="1:4" ht="27">
      <c r="A600" s="288" t="s">
        <v>8137</v>
      </c>
      <c r="B600" s="289" t="s">
        <v>8138</v>
      </c>
      <c r="C600" s="288" t="s">
        <v>7148</v>
      </c>
      <c r="D600" s="303">
        <v>6.34</v>
      </c>
    </row>
    <row r="601" spans="1:4" ht="18">
      <c r="A601" s="288" t="s">
        <v>8139</v>
      </c>
      <c r="B601" s="289" t="s">
        <v>8140</v>
      </c>
      <c r="C601" s="288" t="s">
        <v>38</v>
      </c>
      <c r="D601" s="303">
        <v>6.41</v>
      </c>
    </row>
    <row r="602" spans="1:4" ht="27">
      <c r="A602" s="288" t="s">
        <v>8141</v>
      </c>
      <c r="B602" s="289" t="s">
        <v>8142</v>
      </c>
      <c r="C602" s="288" t="s">
        <v>47</v>
      </c>
      <c r="D602" s="303">
        <v>5016.82</v>
      </c>
    </row>
    <row r="603" spans="1:4">
      <c r="A603" s="288" t="s">
        <v>8143</v>
      </c>
      <c r="B603" s="289" t="s">
        <v>8144</v>
      </c>
      <c r="C603" s="288" t="s">
        <v>38</v>
      </c>
      <c r="D603" s="303">
        <v>2.69</v>
      </c>
    </row>
    <row r="604" spans="1:4" ht="81">
      <c r="A604" s="288" t="s">
        <v>8145</v>
      </c>
      <c r="B604" s="289" t="s">
        <v>8146</v>
      </c>
      <c r="C604" s="288" t="s">
        <v>38</v>
      </c>
      <c r="D604" s="303">
        <v>631.66</v>
      </c>
    </row>
    <row r="605" spans="1:4" ht="27">
      <c r="A605" s="288" t="s">
        <v>8147</v>
      </c>
      <c r="B605" s="289" t="s">
        <v>8148</v>
      </c>
      <c r="C605" s="288" t="s">
        <v>38</v>
      </c>
      <c r="D605" s="303">
        <v>6.88</v>
      </c>
    </row>
    <row r="606" spans="1:4" ht="81">
      <c r="A606" s="288" t="s">
        <v>8149</v>
      </c>
      <c r="B606" s="289" t="s">
        <v>8150</v>
      </c>
      <c r="C606" s="288" t="s">
        <v>38</v>
      </c>
      <c r="D606" s="303">
        <v>38.74</v>
      </c>
    </row>
    <row r="607" spans="1:4" ht="54">
      <c r="A607" s="288" t="s">
        <v>8151</v>
      </c>
      <c r="B607" s="289" t="s">
        <v>8152</v>
      </c>
      <c r="C607" s="288" t="s">
        <v>38</v>
      </c>
      <c r="D607" s="303">
        <v>11.55</v>
      </c>
    </row>
    <row r="608" spans="1:4" ht="27">
      <c r="A608" s="288" t="s">
        <v>8153</v>
      </c>
      <c r="B608" s="289" t="s">
        <v>8154</v>
      </c>
      <c r="C608" s="288" t="s">
        <v>38</v>
      </c>
      <c r="D608" s="303">
        <v>47.48</v>
      </c>
    </row>
    <row r="609" spans="1:4" ht="27">
      <c r="A609" s="288" t="s">
        <v>8155</v>
      </c>
      <c r="B609" s="289" t="s">
        <v>8156</v>
      </c>
      <c r="C609" s="288" t="s">
        <v>38</v>
      </c>
      <c r="D609" s="303">
        <v>48.33</v>
      </c>
    </row>
    <row r="610" spans="1:4" ht="27">
      <c r="A610" s="288" t="s">
        <v>8157</v>
      </c>
      <c r="B610" s="289" t="s">
        <v>8158</v>
      </c>
      <c r="C610" s="288" t="s">
        <v>38</v>
      </c>
      <c r="D610" s="303">
        <v>59.35</v>
      </c>
    </row>
    <row r="611" spans="1:4" ht="36">
      <c r="A611" s="288" t="s">
        <v>8159</v>
      </c>
      <c r="B611" s="289" t="s">
        <v>8160</v>
      </c>
      <c r="C611" s="288" t="s">
        <v>38</v>
      </c>
      <c r="D611" s="303">
        <v>92.58</v>
      </c>
    </row>
    <row r="612" spans="1:4" ht="36">
      <c r="A612" s="288" t="s">
        <v>8161</v>
      </c>
      <c r="B612" s="289" t="s">
        <v>8162</v>
      </c>
      <c r="C612" s="288" t="s">
        <v>38</v>
      </c>
      <c r="D612" s="303">
        <v>113.51</v>
      </c>
    </row>
    <row r="613" spans="1:4" ht="27">
      <c r="A613" s="288" t="s">
        <v>8163</v>
      </c>
      <c r="B613" s="289" t="s">
        <v>8164</v>
      </c>
      <c r="C613" s="288" t="s">
        <v>7148</v>
      </c>
      <c r="D613" s="303">
        <v>516.01</v>
      </c>
    </row>
    <row r="614" spans="1:4" ht="36">
      <c r="A614" s="288" t="s">
        <v>8165</v>
      </c>
      <c r="B614" s="289" t="s">
        <v>8166</v>
      </c>
      <c r="C614" s="288" t="s">
        <v>38</v>
      </c>
      <c r="D614" s="303">
        <v>67.86</v>
      </c>
    </row>
    <row r="615" spans="1:4" ht="36">
      <c r="A615" s="288" t="s">
        <v>8167</v>
      </c>
      <c r="B615" s="289" t="s">
        <v>8168</v>
      </c>
      <c r="C615" s="288" t="s">
        <v>38</v>
      </c>
      <c r="D615" s="303">
        <v>93.78</v>
      </c>
    </row>
    <row r="616" spans="1:4" ht="72">
      <c r="A616" s="288" t="s">
        <v>8169</v>
      </c>
      <c r="B616" s="289" t="s">
        <v>8170</v>
      </c>
      <c r="C616" s="288" t="s">
        <v>38</v>
      </c>
      <c r="D616" s="303">
        <v>67.349999999999994</v>
      </c>
    </row>
    <row r="617" spans="1:4" ht="63">
      <c r="A617" s="288" t="s">
        <v>8171</v>
      </c>
      <c r="B617" s="289" t="s">
        <v>8172</v>
      </c>
      <c r="C617" s="288" t="s">
        <v>38</v>
      </c>
      <c r="D617" s="303">
        <v>77.55</v>
      </c>
    </row>
    <row r="618" spans="1:4" ht="27">
      <c r="A618" s="288" t="s">
        <v>8173</v>
      </c>
      <c r="B618" s="289" t="s">
        <v>8174</v>
      </c>
      <c r="C618" s="288" t="s">
        <v>47</v>
      </c>
      <c r="D618" s="303">
        <v>9.4499999999999993</v>
      </c>
    </row>
    <row r="619" spans="1:4" ht="27">
      <c r="A619" s="288" t="s">
        <v>8175</v>
      </c>
      <c r="B619" s="289" t="s">
        <v>8176</v>
      </c>
      <c r="C619" s="288" t="s">
        <v>47</v>
      </c>
      <c r="D619" s="303">
        <v>7.24</v>
      </c>
    </row>
    <row r="620" spans="1:4">
      <c r="A620" s="287" t="s">
        <v>8177</v>
      </c>
      <c r="B620" s="287"/>
      <c r="C620" s="287"/>
      <c r="D620" s="296" t="s">
        <v>28729</v>
      </c>
    </row>
    <row r="621" spans="1:4" ht="45">
      <c r="A621" s="288" t="s">
        <v>8178</v>
      </c>
      <c r="B621" s="289" t="s">
        <v>8179</v>
      </c>
      <c r="C621" s="288" t="s">
        <v>38</v>
      </c>
      <c r="D621" s="303">
        <v>157.93</v>
      </c>
    </row>
    <row r="622" spans="1:4" ht="63">
      <c r="A622" s="288" t="s">
        <v>8180</v>
      </c>
      <c r="B622" s="289" t="s">
        <v>8181</v>
      </c>
      <c r="C622" s="288" t="s">
        <v>38</v>
      </c>
      <c r="D622" s="303">
        <v>121.73</v>
      </c>
    </row>
    <row r="623" spans="1:4" ht="63">
      <c r="A623" s="288" t="s">
        <v>8182</v>
      </c>
      <c r="B623" s="289" t="s">
        <v>8183</v>
      </c>
      <c r="C623" s="288" t="s">
        <v>38</v>
      </c>
      <c r="D623" s="303">
        <v>114.66</v>
      </c>
    </row>
    <row r="624" spans="1:4">
      <c r="A624" s="287" t="s">
        <v>8184</v>
      </c>
      <c r="B624" s="287"/>
      <c r="C624" s="287"/>
      <c r="D624" s="296" t="s">
        <v>28729</v>
      </c>
    </row>
    <row r="625" spans="1:4" ht="27">
      <c r="A625" s="288" t="s">
        <v>8185</v>
      </c>
      <c r="B625" s="289" t="s">
        <v>8186</v>
      </c>
      <c r="C625" s="288" t="s">
        <v>54</v>
      </c>
      <c r="D625" s="303">
        <v>17.59</v>
      </c>
    </row>
    <row r="626" spans="1:4" ht="27">
      <c r="A626" s="288" t="s">
        <v>8187</v>
      </c>
      <c r="B626" s="289" t="s">
        <v>8188</v>
      </c>
      <c r="C626" s="288" t="s">
        <v>54</v>
      </c>
      <c r="D626" s="303">
        <v>13.47</v>
      </c>
    </row>
    <row r="627" spans="1:4" ht="27">
      <c r="A627" s="288" t="s">
        <v>8189</v>
      </c>
      <c r="B627" s="289" t="s">
        <v>8190</v>
      </c>
      <c r="C627" s="288" t="s">
        <v>54</v>
      </c>
      <c r="D627" s="303">
        <v>38.659999999999997</v>
      </c>
    </row>
    <row r="628" spans="1:4" ht="18">
      <c r="A628" s="288" t="s">
        <v>8191</v>
      </c>
      <c r="B628" s="289" t="s">
        <v>8192</v>
      </c>
      <c r="C628" s="288" t="s">
        <v>54</v>
      </c>
      <c r="D628" s="303">
        <v>4.47</v>
      </c>
    </row>
    <row r="629" spans="1:4" ht="27">
      <c r="A629" s="287" t="s">
        <v>8193</v>
      </c>
      <c r="B629" s="287"/>
      <c r="C629" s="287"/>
      <c r="D629" s="296" t="s">
        <v>28729</v>
      </c>
    </row>
    <row r="630" spans="1:4" ht="36">
      <c r="A630" s="288" t="s">
        <v>8194</v>
      </c>
      <c r="B630" s="289" t="s">
        <v>8195</v>
      </c>
      <c r="C630" s="288" t="s">
        <v>38</v>
      </c>
      <c r="D630" s="303">
        <v>43.96</v>
      </c>
    </row>
    <row r="631" spans="1:4" ht="27">
      <c r="A631" s="288" t="s">
        <v>8196</v>
      </c>
      <c r="B631" s="289" t="s">
        <v>8197</v>
      </c>
      <c r="C631" s="288" t="s">
        <v>38</v>
      </c>
      <c r="D631" s="303">
        <v>51.38</v>
      </c>
    </row>
    <row r="632" spans="1:4" ht="27">
      <c r="A632" s="288" t="s">
        <v>8198</v>
      </c>
      <c r="B632" s="289" t="s">
        <v>8199</v>
      </c>
      <c r="C632" s="288" t="s">
        <v>38</v>
      </c>
      <c r="D632" s="303">
        <v>22.21</v>
      </c>
    </row>
    <row r="633" spans="1:4" ht="27">
      <c r="A633" s="288" t="s">
        <v>8200</v>
      </c>
      <c r="B633" s="289" t="s">
        <v>8201</v>
      </c>
      <c r="C633" s="288" t="s">
        <v>38</v>
      </c>
      <c r="D633" s="303">
        <v>124.82</v>
      </c>
    </row>
    <row r="634" spans="1:4" ht="27">
      <c r="A634" s="288" t="s">
        <v>8202</v>
      </c>
      <c r="B634" s="289" t="s">
        <v>8203</v>
      </c>
      <c r="C634" s="288" t="s">
        <v>38</v>
      </c>
      <c r="D634" s="303">
        <v>83.83</v>
      </c>
    </row>
    <row r="635" spans="1:4" ht="18">
      <c r="A635" s="288" t="s">
        <v>8204</v>
      </c>
      <c r="B635" s="289" t="s">
        <v>8205</v>
      </c>
      <c r="C635" s="288" t="s">
        <v>38</v>
      </c>
      <c r="D635" s="303">
        <v>20.56</v>
      </c>
    </row>
    <row r="636" spans="1:4" ht="63">
      <c r="A636" s="288" t="s">
        <v>8206</v>
      </c>
      <c r="B636" s="289" t="s">
        <v>8207</v>
      </c>
      <c r="C636" s="288" t="s">
        <v>38</v>
      </c>
      <c r="D636" s="303">
        <v>87.05</v>
      </c>
    </row>
    <row r="637" spans="1:4" ht="72">
      <c r="A637" s="288" t="s">
        <v>8208</v>
      </c>
      <c r="B637" s="289" t="s">
        <v>8209</v>
      </c>
      <c r="C637" s="288" t="s">
        <v>38</v>
      </c>
      <c r="D637" s="303">
        <v>94.92</v>
      </c>
    </row>
    <row r="638" spans="1:4" ht="63">
      <c r="A638" s="288" t="s">
        <v>8210</v>
      </c>
      <c r="B638" s="289" t="s">
        <v>8211</v>
      </c>
      <c r="C638" s="288" t="s">
        <v>38</v>
      </c>
      <c r="D638" s="303">
        <v>94.92</v>
      </c>
    </row>
    <row r="639" spans="1:4" ht="72">
      <c r="A639" s="288" t="s">
        <v>8212</v>
      </c>
      <c r="B639" s="289" t="s">
        <v>8213</v>
      </c>
      <c r="C639" s="288" t="s">
        <v>38</v>
      </c>
      <c r="D639" s="303">
        <v>89.67</v>
      </c>
    </row>
    <row r="640" spans="1:4" ht="63">
      <c r="A640" s="288" t="s">
        <v>8214</v>
      </c>
      <c r="B640" s="289" t="s">
        <v>8215</v>
      </c>
      <c r="C640" s="288" t="s">
        <v>38</v>
      </c>
      <c r="D640" s="303">
        <v>88.62</v>
      </c>
    </row>
    <row r="641" spans="1:4" ht="63">
      <c r="A641" s="288" t="s">
        <v>8216</v>
      </c>
      <c r="B641" s="289" t="s">
        <v>8217</v>
      </c>
      <c r="C641" s="288" t="s">
        <v>38</v>
      </c>
      <c r="D641" s="303">
        <v>117.83</v>
      </c>
    </row>
    <row r="642" spans="1:4" ht="72">
      <c r="A642" s="288" t="s">
        <v>8218</v>
      </c>
      <c r="B642" s="289" t="s">
        <v>8219</v>
      </c>
      <c r="C642" s="288" t="s">
        <v>38</v>
      </c>
      <c r="D642" s="303">
        <v>94.92</v>
      </c>
    </row>
    <row r="643" spans="1:4" ht="18">
      <c r="A643" s="287" t="s">
        <v>8220</v>
      </c>
      <c r="B643" s="287"/>
      <c r="C643" s="287"/>
      <c r="D643" s="296" t="s">
        <v>28729</v>
      </c>
    </row>
    <row r="644" spans="1:4">
      <c r="A644" s="288" t="s">
        <v>8221</v>
      </c>
      <c r="B644" s="289" t="s">
        <v>8222</v>
      </c>
      <c r="C644" s="288" t="s">
        <v>7079</v>
      </c>
      <c r="D644" s="303">
        <v>0.99</v>
      </c>
    </row>
    <row r="645" spans="1:4" ht="18">
      <c r="A645" s="288" t="s">
        <v>8223</v>
      </c>
      <c r="B645" s="289" t="s">
        <v>8224</v>
      </c>
      <c r="C645" s="288" t="s">
        <v>38</v>
      </c>
      <c r="D645" s="303">
        <v>72.36</v>
      </c>
    </row>
    <row r="646" spans="1:4" ht="18">
      <c r="A646" s="288" t="s">
        <v>8225</v>
      </c>
      <c r="B646" s="289" t="s">
        <v>8226</v>
      </c>
      <c r="C646" s="288" t="s">
        <v>38</v>
      </c>
      <c r="D646" s="303">
        <v>42.15</v>
      </c>
    </row>
    <row r="647" spans="1:4" ht="27">
      <c r="A647" s="288" t="s">
        <v>8227</v>
      </c>
      <c r="B647" s="289" t="s">
        <v>8228</v>
      </c>
      <c r="C647" s="288" t="s">
        <v>38</v>
      </c>
      <c r="D647" s="303">
        <v>45.38</v>
      </c>
    </row>
    <row r="648" spans="1:4" ht="36">
      <c r="A648" s="288" t="s">
        <v>8229</v>
      </c>
      <c r="B648" s="289" t="s">
        <v>8230</v>
      </c>
      <c r="C648" s="288" t="s">
        <v>38</v>
      </c>
      <c r="D648" s="303">
        <v>61.43</v>
      </c>
    </row>
    <row r="649" spans="1:4" ht="18">
      <c r="A649" s="288" t="s">
        <v>8231</v>
      </c>
      <c r="B649" s="289" t="s">
        <v>8232</v>
      </c>
      <c r="C649" s="288" t="s">
        <v>38</v>
      </c>
      <c r="D649" s="303">
        <v>32.03</v>
      </c>
    </row>
    <row r="650" spans="1:4" ht="27">
      <c r="A650" s="288" t="s">
        <v>8233</v>
      </c>
      <c r="B650" s="289" t="s">
        <v>8234</v>
      </c>
      <c r="C650" s="288" t="s">
        <v>38</v>
      </c>
      <c r="D650" s="303">
        <v>52.32</v>
      </c>
    </row>
    <row r="651" spans="1:4" ht="18">
      <c r="A651" s="288" t="s">
        <v>8235</v>
      </c>
      <c r="B651" s="289" t="s">
        <v>8236</v>
      </c>
      <c r="C651" s="288" t="s">
        <v>38</v>
      </c>
      <c r="D651" s="303">
        <v>8.8699999999999992</v>
      </c>
    </row>
    <row r="652" spans="1:4" ht="18">
      <c r="A652" s="288" t="s">
        <v>8237</v>
      </c>
      <c r="B652" s="289" t="s">
        <v>8238</v>
      </c>
      <c r="C652" s="288" t="s">
        <v>38</v>
      </c>
      <c r="D652" s="303">
        <v>25.46</v>
      </c>
    </row>
    <row r="653" spans="1:4" ht="18">
      <c r="A653" s="288" t="s">
        <v>8239</v>
      </c>
      <c r="B653" s="289" t="s">
        <v>8240</v>
      </c>
      <c r="C653" s="288" t="s">
        <v>38</v>
      </c>
      <c r="D653" s="303">
        <v>103.57</v>
      </c>
    </row>
    <row r="654" spans="1:4">
      <c r="A654" s="287"/>
      <c r="B654" s="287"/>
      <c r="C654" s="287"/>
      <c r="D654" s="296" t="s">
        <v>28729</v>
      </c>
    </row>
    <row r="655" spans="1:4">
      <c r="A655" s="287" t="s">
        <v>8241</v>
      </c>
      <c r="B655" s="287"/>
      <c r="C655" s="287"/>
      <c r="D655" s="296" t="s">
        <v>28729</v>
      </c>
    </row>
    <row r="656" spans="1:4" ht="27">
      <c r="A656" s="288" t="s">
        <v>8242</v>
      </c>
      <c r="B656" s="289" t="s">
        <v>8243</v>
      </c>
      <c r="C656" s="288" t="s">
        <v>47</v>
      </c>
      <c r="D656" s="303">
        <v>117.76</v>
      </c>
    </row>
    <row r="657" spans="1:4" ht="27">
      <c r="A657" s="288" t="s">
        <v>8244</v>
      </c>
      <c r="B657" s="289" t="s">
        <v>8245</v>
      </c>
      <c r="C657" s="288" t="s">
        <v>47</v>
      </c>
      <c r="D657" s="303">
        <v>186.5</v>
      </c>
    </row>
    <row r="658" spans="1:4" ht="36">
      <c r="A658" s="288" t="s">
        <v>8246</v>
      </c>
      <c r="B658" s="289" t="s">
        <v>8247</v>
      </c>
      <c r="C658" s="288" t="s">
        <v>47</v>
      </c>
      <c r="D658" s="303">
        <v>544.66</v>
      </c>
    </row>
    <row r="659" spans="1:4">
      <c r="A659" s="287"/>
      <c r="B659" s="287"/>
      <c r="C659" s="287"/>
      <c r="D659" s="296" t="s">
        <v>28729</v>
      </c>
    </row>
    <row r="660" spans="1:4" ht="18">
      <c r="A660" s="287" t="s">
        <v>8248</v>
      </c>
      <c r="B660" s="287"/>
      <c r="C660" s="287"/>
      <c r="D660" s="296" t="s">
        <v>28729</v>
      </c>
    </row>
    <row r="661" spans="1:4" ht="27">
      <c r="A661" s="288" t="s">
        <v>8249</v>
      </c>
      <c r="B661" s="289" t="s">
        <v>8250</v>
      </c>
      <c r="C661" s="288" t="s">
        <v>54</v>
      </c>
      <c r="D661" s="303">
        <v>74.400000000000006</v>
      </c>
    </row>
    <row r="662" spans="1:4" ht="27">
      <c r="A662" s="288" t="s">
        <v>8251</v>
      </c>
      <c r="B662" s="289" t="s">
        <v>8252</v>
      </c>
      <c r="C662" s="288" t="s">
        <v>54</v>
      </c>
      <c r="D662" s="303">
        <v>74.400000000000006</v>
      </c>
    </row>
    <row r="663" spans="1:4" ht="18">
      <c r="A663" s="288" t="s">
        <v>8253</v>
      </c>
      <c r="B663" s="289" t="s">
        <v>8254</v>
      </c>
      <c r="C663" s="288" t="s">
        <v>54</v>
      </c>
      <c r="D663" s="303">
        <v>42.25</v>
      </c>
    </row>
    <row r="664" spans="1:4" ht="18">
      <c r="A664" s="287" t="s">
        <v>8255</v>
      </c>
      <c r="B664" s="287"/>
      <c r="C664" s="287"/>
      <c r="D664" s="296" t="s">
        <v>28729</v>
      </c>
    </row>
    <row r="665" spans="1:4" ht="18">
      <c r="A665" s="288" t="s">
        <v>8256</v>
      </c>
      <c r="B665" s="289" t="s">
        <v>8257</v>
      </c>
      <c r="C665" s="288" t="s">
        <v>54</v>
      </c>
      <c r="D665" s="303">
        <v>22.71</v>
      </c>
    </row>
    <row r="666" spans="1:4" ht="18">
      <c r="A666" s="288" t="s">
        <v>8258</v>
      </c>
      <c r="B666" s="289" t="s">
        <v>8259</v>
      </c>
      <c r="C666" s="288" t="s">
        <v>54</v>
      </c>
      <c r="D666" s="303">
        <v>46.93</v>
      </c>
    </row>
    <row r="667" spans="1:4" ht="36">
      <c r="A667" s="288" t="s">
        <v>8260</v>
      </c>
      <c r="B667" s="289" t="s">
        <v>8261</v>
      </c>
      <c r="C667" s="288" t="s">
        <v>54</v>
      </c>
      <c r="D667" s="303">
        <v>66.7</v>
      </c>
    </row>
    <row r="668" spans="1:4" ht="36">
      <c r="A668" s="288" t="s">
        <v>8262</v>
      </c>
      <c r="B668" s="289" t="s">
        <v>8263</v>
      </c>
      <c r="C668" s="288" t="s">
        <v>54</v>
      </c>
      <c r="D668" s="303">
        <v>98.17</v>
      </c>
    </row>
    <row r="669" spans="1:4" ht="36">
      <c r="A669" s="288" t="s">
        <v>8264</v>
      </c>
      <c r="B669" s="289" t="s">
        <v>8265</v>
      </c>
      <c r="C669" s="288" t="s">
        <v>54</v>
      </c>
      <c r="D669" s="303">
        <v>73.37</v>
      </c>
    </row>
    <row r="670" spans="1:4" ht="36">
      <c r="A670" s="288" t="s">
        <v>8266</v>
      </c>
      <c r="B670" s="289" t="s">
        <v>8267</v>
      </c>
      <c r="C670" s="288" t="s">
        <v>54</v>
      </c>
      <c r="D670" s="303">
        <v>107.99</v>
      </c>
    </row>
    <row r="671" spans="1:4" ht="45">
      <c r="A671" s="288" t="s">
        <v>8268</v>
      </c>
      <c r="B671" s="289" t="s">
        <v>8269</v>
      </c>
      <c r="C671" s="288" t="s">
        <v>54</v>
      </c>
      <c r="D671" s="303">
        <v>54.51</v>
      </c>
    </row>
    <row r="672" spans="1:4" ht="27">
      <c r="A672" s="287" t="s">
        <v>8270</v>
      </c>
      <c r="B672" s="287"/>
      <c r="C672" s="287"/>
      <c r="D672" s="296" t="s">
        <v>28729</v>
      </c>
    </row>
    <row r="673" spans="1:4" ht="36">
      <c r="A673" s="288" t="s">
        <v>8271</v>
      </c>
      <c r="B673" s="289" t="s">
        <v>8272</v>
      </c>
      <c r="C673" s="288" t="s">
        <v>54</v>
      </c>
      <c r="D673" s="303">
        <v>90.09</v>
      </c>
    </row>
    <row r="674" spans="1:4" ht="36">
      <c r="A674" s="288" t="s">
        <v>8273</v>
      </c>
      <c r="B674" s="289" t="s">
        <v>8274</v>
      </c>
      <c r="C674" s="288" t="s">
        <v>54</v>
      </c>
      <c r="D674" s="303">
        <v>102.05</v>
      </c>
    </row>
    <row r="675" spans="1:4" ht="36">
      <c r="A675" s="288" t="s">
        <v>8275</v>
      </c>
      <c r="B675" s="289" t="s">
        <v>8276</v>
      </c>
      <c r="C675" s="288" t="s">
        <v>54</v>
      </c>
      <c r="D675" s="303">
        <v>107.94</v>
      </c>
    </row>
    <row r="676" spans="1:4" ht="36">
      <c r="A676" s="288" t="s">
        <v>8277</v>
      </c>
      <c r="B676" s="289" t="s">
        <v>8278</v>
      </c>
      <c r="C676" s="288" t="s">
        <v>54</v>
      </c>
      <c r="D676" s="303">
        <v>111.42</v>
      </c>
    </row>
    <row r="677" spans="1:4" ht="45">
      <c r="A677" s="288" t="s">
        <v>8279</v>
      </c>
      <c r="B677" s="289" t="s">
        <v>8280</v>
      </c>
      <c r="C677" s="288" t="s">
        <v>54</v>
      </c>
      <c r="D677" s="303">
        <v>73.36</v>
      </c>
    </row>
    <row r="678" spans="1:4" ht="18">
      <c r="A678" s="287" t="s">
        <v>8281</v>
      </c>
      <c r="B678" s="287"/>
      <c r="C678" s="287"/>
      <c r="D678" s="296" t="s">
        <v>28729</v>
      </c>
    </row>
    <row r="679" spans="1:4" ht="27">
      <c r="A679" s="288" t="s">
        <v>8282</v>
      </c>
      <c r="B679" s="289" t="s">
        <v>8283</v>
      </c>
      <c r="C679" s="288" t="s">
        <v>54</v>
      </c>
      <c r="D679" s="303">
        <v>38.630000000000003</v>
      </c>
    </row>
    <row r="680" spans="1:4" ht="27">
      <c r="A680" s="288" t="s">
        <v>8284</v>
      </c>
      <c r="B680" s="289" t="s">
        <v>8285</v>
      </c>
      <c r="C680" s="288" t="s">
        <v>54</v>
      </c>
      <c r="D680" s="303">
        <v>61.98</v>
      </c>
    </row>
    <row r="681" spans="1:4">
      <c r="A681" s="287" t="s">
        <v>8286</v>
      </c>
      <c r="B681" s="287"/>
      <c r="C681" s="287"/>
      <c r="D681" s="296" t="s">
        <v>28729</v>
      </c>
    </row>
    <row r="682" spans="1:4" ht="36">
      <c r="A682" s="288" t="s">
        <v>8287</v>
      </c>
      <c r="B682" s="289" t="s">
        <v>8288</v>
      </c>
      <c r="C682" s="288" t="s">
        <v>54</v>
      </c>
      <c r="D682" s="303">
        <v>214.93</v>
      </c>
    </row>
    <row r="683" spans="1:4" ht="27">
      <c r="A683" s="288" t="s">
        <v>8289</v>
      </c>
      <c r="B683" s="289" t="s">
        <v>8290</v>
      </c>
      <c r="C683" s="288" t="s">
        <v>54</v>
      </c>
      <c r="D683" s="303">
        <v>26.31</v>
      </c>
    </row>
    <row r="684" spans="1:4" ht="27">
      <c r="A684" s="288" t="s">
        <v>8291</v>
      </c>
      <c r="B684" s="289" t="s">
        <v>8292</v>
      </c>
      <c r="C684" s="288" t="s">
        <v>54</v>
      </c>
      <c r="D684" s="303">
        <v>23.97</v>
      </c>
    </row>
    <row r="685" spans="1:4" ht="27">
      <c r="A685" s="288" t="s">
        <v>8293</v>
      </c>
      <c r="B685" s="289" t="s">
        <v>8294</v>
      </c>
      <c r="C685" s="288" t="s">
        <v>54</v>
      </c>
      <c r="D685" s="303">
        <v>35.729999999999997</v>
      </c>
    </row>
    <row r="686" spans="1:4" ht="18">
      <c r="A686" s="287" t="s">
        <v>8295</v>
      </c>
      <c r="B686" s="287"/>
      <c r="C686" s="287"/>
      <c r="D686" s="296" t="s">
        <v>28729</v>
      </c>
    </row>
    <row r="687" spans="1:4">
      <c r="A687" s="288" t="s">
        <v>8296</v>
      </c>
      <c r="B687" s="289" t="s">
        <v>8297</v>
      </c>
      <c r="C687" s="288" t="s">
        <v>54</v>
      </c>
      <c r="D687" s="303">
        <v>49.8</v>
      </c>
    </row>
    <row r="688" spans="1:4">
      <c r="A688" s="288" t="s">
        <v>8298</v>
      </c>
      <c r="B688" s="289" t="s">
        <v>8299</v>
      </c>
      <c r="C688" s="288" t="s">
        <v>54</v>
      </c>
      <c r="D688" s="303">
        <v>39.93</v>
      </c>
    </row>
    <row r="689" spans="1:4">
      <c r="A689" s="288" t="s">
        <v>8300</v>
      </c>
      <c r="B689" s="289" t="s">
        <v>8301</v>
      </c>
      <c r="C689" s="288" t="s">
        <v>54</v>
      </c>
      <c r="D689" s="303">
        <v>39.42</v>
      </c>
    </row>
    <row r="690" spans="1:4">
      <c r="A690" s="288" t="s">
        <v>8302</v>
      </c>
      <c r="B690" s="289" t="s">
        <v>8303</v>
      </c>
      <c r="C690" s="288" t="s">
        <v>54</v>
      </c>
      <c r="D690" s="303">
        <v>35.01</v>
      </c>
    </row>
    <row r="691" spans="1:4">
      <c r="A691" s="287"/>
      <c r="B691" s="287"/>
      <c r="C691" s="287"/>
      <c r="D691" s="296" t="s">
        <v>28729</v>
      </c>
    </row>
    <row r="692" spans="1:4">
      <c r="A692" s="287"/>
      <c r="B692" s="287"/>
      <c r="C692" s="287"/>
      <c r="D692" s="296" t="s">
        <v>28729</v>
      </c>
    </row>
    <row r="693" spans="1:4" ht="18">
      <c r="A693" s="287" t="s">
        <v>8304</v>
      </c>
      <c r="B693" s="287"/>
      <c r="C693" s="287"/>
      <c r="D693" s="296" t="s">
        <v>28729</v>
      </c>
    </row>
    <row r="694" spans="1:4" ht="27">
      <c r="A694" s="288" t="s">
        <v>8305</v>
      </c>
      <c r="B694" s="289" t="s">
        <v>8306</v>
      </c>
      <c r="C694" s="288" t="s">
        <v>8307</v>
      </c>
      <c r="D694" s="303">
        <v>145.35</v>
      </c>
    </row>
    <row r="695" spans="1:4" ht="18">
      <c r="A695" s="287" t="s">
        <v>8308</v>
      </c>
      <c r="B695" s="287"/>
      <c r="C695" s="287"/>
      <c r="D695" s="296" t="s">
        <v>28729</v>
      </c>
    </row>
    <row r="696" spans="1:4" ht="18">
      <c r="A696" s="288" t="s">
        <v>8309</v>
      </c>
      <c r="B696" s="289" t="s">
        <v>8310</v>
      </c>
      <c r="C696" s="288" t="s">
        <v>7167</v>
      </c>
      <c r="D696" s="303">
        <v>67.88</v>
      </c>
    </row>
    <row r="697" spans="1:4" ht="18">
      <c r="A697" s="288" t="s">
        <v>8311</v>
      </c>
      <c r="B697" s="289" t="s">
        <v>8312</v>
      </c>
      <c r="C697" s="288" t="s">
        <v>7167</v>
      </c>
      <c r="D697" s="303">
        <v>105.6</v>
      </c>
    </row>
    <row r="698" spans="1:4" ht="18">
      <c r="A698" s="288" t="s">
        <v>8313</v>
      </c>
      <c r="B698" s="289" t="s">
        <v>8314</v>
      </c>
      <c r="C698" s="288" t="s">
        <v>7167</v>
      </c>
      <c r="D698" s="303">
        <v>150.85</v>
      </c>
    </row>
    <row r="699" spans="1:4" ht="18">
      <c r="A699" s="288" t="s">
        <v>8315</v>
      </c>
      <c r="B699" s="289" t="s">
        <v>8316</v>
      </c>
      <c r="C699" s="288" t="s">
        <v>7167</v>
      </c>
      <c r="D699" s="303">
        <v>9.76</v>
      </c>
    </row>
    <row r="700" spans="1:4" ht="18">
      <c r="A700" s="288" t="s">
        <v>8317</v>
      </c>
      <c r="B700" s="289" t="s">
        <v>8318</v>
      </c>
      <c r="C700" s="288" t="s">
        <v>7167</v>
      </c>
      <c r="D700" s="303">
        <v>8.9600000000000009</v>
      </c>
    </row>
    <row r="701" spans="1:4" ht="18">
      <c r="A701" s="288" t="s">
        <v>8319</v>
      </c>
      <c r="B701" s="289" t="s">
        <v>8320</v>
      </c>
      <c r="C701" s="288" t="s">
        <v>7167</v>
      </c>
      <c r="D701" s="303">
        <v>9.76</v>
      </c>
    </row>
    <row r="702" spans="1:4" ht="18">
      <c r="A702" s="288" t="s">
        <v>8321</v>
      </c>
      <c r="B702" s="289" t="s">
        <v>8322</v>
      </c>
      <c r="C702" s="288" t="s">
        <v>7167</v>
      </c>
      <c r="D702" s="303">
        <v>9.76</v>
      </c>
    </row>
    <row r="703" spans="1:4" ht="18">
      <c r="A703" s="288" t="s">
        <v>8323</v>
      </c>
      <c r="B703" s="289" t="s">
        <v>8324</v>
      </c>
      <c r="C703" s="288" t="s">
        <v>7167</v>
      </c>
      <c r="D703" s="303">
        <v>32.89</v>
      </c>
    </row>
    <row r="704" spans="1:4" ht="18">
      <c r="A704" s="288" t="s">
        <v>8325</v>
      </c>
      <c r="B704" s="289" t="s">
        <v>8326</v>
      </c>
      <c r="C704" s="288" t="s">
        <v>7167</v>
      </c>
      <c r="D704" s="303">
        <v>105.6</v>
      </c>
    </row>
    <row r="705" spans="1:4" ht="18">
      <c r="A705" s="288" t="s">
        <v>8327</v>
      </c>
      <c r="B705" s="289" t="s">
        <v>8328</v>
      </c>
      <c r="C705" s="288" t="s">
        <v>7167</v>
      </c>
      <c r="D705" s="303">
        <v>67.88</v>
      </c>
    </row>
    <row r="706" spans="1:4" ht="18">
      <c r="A706" s="288" t="s">
        <v>8329</v>
      </c>
      <c r="B706" s="289" t="s">
        <v>8330</v>
      </c>
      <c r="C706" s="288" t="s">
        <v>7167</v>
      </c>
      <c r="D706" s="303">
        <v>33.28</v>
      </c>
    </row>
    <row r="707" spans="1:4" ht="18">
      <c r="A707" s="288" t="s">
        <v>8331</v>
      </c>
      <c r="B707" s="289" t="s">
        <v>8332</v>
      </c>
      <c r="C707" s="288" t="s">
        <v>7167</v>
      </c>
      <c r="D707" s="303">
        <v>14.98</v>
      </c>
    </row>
    <row r="708" spans="1:4" ht="18">
      <c r="A708" s="288" t="s">
        <v>8333</v>
      </c>
      <c r="B708" s="289" t="s">
        <v>8334</v>
      </c>
      <c r="C708" s="288" t="s">
        <v>7167</v>
      </c>
      <c r="D708" s="303">
        <v>23.29</v>
      </c>
    </row>
    <row r="709" spans="1:4" ht="18">
      <c r="A709" s="288" t="s">
        <v>8335</v>
      </c>
      <c r="B709" s="289" t="s">
        <v>8336</v>
      </c>
      <c r="C709" s="288" t="s">
        <v>7167</v>
      </c>
      <c r="D709" s="303">
        <v>10.050000000000001</v>
      </c>
    </row>
    <row r="710" spans="1:4" ht="18">
      <c r="A710" s="288" t="s">
        <v>8337</v>
      </c>
      <c r="B710" s="289" t="s">
        <v>8338</v>
      </c>
      <c r="C710" s="288" t="s">
        <v>7167</v>
      </c>
      <c r="D710" s="303">
        <v>67.88</v>
      </c>
    </row>
    <row r="711" spans="1:4" ht="18">
      <c r="A711" s="288" t="s">
        <v>8339</v>
      </c>
      <c r="B711" s="289" t="s">
        <v>8340</v>
      </c>
      <c r="C711" s="288" t="s">
        <v>7167</v>
      </c>
      <c r="D711" s="303">
        <v>105.6</v>
      </c>
    </row>
    <row r="712" spans="1:4" ht="18">
      <c r="A712" s="288" t="s">
        <v>8341</v>
      </c>
      <c r="B712" s="289" t="s">
        <v>8342</v>
      </c>
      <c r="C712" s="288" t="s">
        <v>7167</v>
      </c>
      <c r="D712" s="303">
        <v>150.85</v>
      </c>
    </row>
    <row r="713" spans="1:4" ht="18">
      <c r="A713" s="288" t="s">
        <v>8343</v>
      </c>
      <c r="B713" s="289" t="s">
        <v>8344</v>
      </c>
      <c r="C713" s="288" t="s">
        <v>7167</v>
      </c>
      <c r="D713" s="303">
        <v>67.88</v>
      </c>
    </row>
    <row r="714" spans="1:4" ht="18">
      <c r="A714" s="288" t="s">
        <v>8345</v>
      </c>
      <c r="B714" s="289" t="s">
        <v>8346</v>
      </c>
      <c r="C714" s="288" t="s">
        <v>7167</v>
      </c>
      <c r="D714" s="303">
        <v>105.6</v>
      </c>
    </row>
    <row r="715" spans="1:4" ht="18">
      <c r="A715" s="288" t="s">
        <v>8347</v>
      </c>
      <c r="B715" s="289" t="s">
        <v>8348</v>
      </c>
      <c r="C715" s="288" t="s">
        <v>7167</v>
      </c>
      <c r="D715" s="303">
        <v>150.85</v>
      </c>
    </row>
    <row r="716" spans="1:4" ht="18">
      <c r="A716" s="288" t="s">
        <v>8349</v>
      </c>
      <c r="B716" s="289" t="s">
        <v>8350</v>
      </c>
      <c r="C716" s="288" t="s">
        <v>7167</v>
      </c>
      <c r="D716" s="303">
        <v>10.050000000000001</v>
      </c>
    </row>
    <row r="717" spans="1:4">
      <c r="A717" s="288" t="s">
        <v>8351</v>
      </c>
      <c r="B717" s="289" t="s">
        <v>8352</v>
      </c>
      <c r="C717" s="288" t="s">
        <v>7167</v>
      </c>
      <c r="D717" s="303">
        <v>34.1</v>
      </c>
    </row>
    <row r="718" spans="1:4" ht="18">
      <c r="A718" s="288" t="s">
        <v>8353</v>
      </c>
      <c r="B718" s="289" t="s">
        <v>8354</v>
      </c>
      <c r="C718" s="288" t="s">
        <v>7167</v>
      </c>
      <c r="D718" s="303">
        <v>9.23</v>
      </c>
    </row>
    <row r="719" spans="1:4" ht="18">
      <c r="A719" s="288" t="s">
        <v>8355</v>
      </c>
      <c r="B719" s="289" t="s">
        <v>8356</v>
      </c>
      <c r="C719" s="288" t="s">
        <v>7167</v>
      </c>
      <c r="D719" s="303">
        <v>18.420000000000002</v>
      </c>
    </row>
    <row r="720" spans="1:4" ht="18">
      <c r="A720" s="288" t="s">
        <v>8357</v>
      </c>
      <c r="B720" s="289" t="s">
        <v>8358</v>
      </c>
      <c r="C720" s="288" t="s">
        <v>7167</v>
      </c>
      <c r="D720" s="303">
        <v>28.66</v>
      </c>
    </row>
    <row r="721" spans="1:4" ht="18">
      <c r="A721" s="288" t="s">
        <v>8359</v>
      </c>
      <c r="B721" s="289" t="s">
        <v>8360</v>
      </c>
      <c r="C721" s="288" t="s">
        <v>7167</v>
      </c>
      <c r="D721" s="303">
        <v>40.96</v>
      </c>
    </row>
    <row r="722" spans="1:4" ht="18">
      <c r="A722" s="288" t="s">
        <v>8361</v>
      </c>
      <c r="B722" s="289" t="s">
        <v>8362</v>
      </c>
      <c r="C722" s="288" t="s">
        <v>7167</v>
      </c>
      <c r="D722" s="303">
        <v>22.76</v>
      </c>
    </row>
    <row r="723" spans="1:4" ht="18">
      <c r="A723" s="288" t="s">
        <v>8363</v>
      </c>
      <c r="B723" s="289" t="s">
        <v>8364</v>
      </c>
      <c r="C723" s="288" t="s">
        <v>7167</v>
      </c>
      <c r="D723" s="303">
        <v>18.420000000000002</v>
      </c>
    </row>
    <row r="724" spans="1:4" ht="18">
      <c r="A724" s="288" t="s">
        <v>8365</v>
      </c>
      <c r="B724" s="289" t="s">
        <v>8366</v>
      </c>
      <c r="C724" s="288" t="s">
        <v>7167</v>
      </c>
      <c r="D724" s="303">
        <v>18.97</v>
      </c>
    </row>
    <row r="725" spans="1:4" ht="18">
      <c r="A725" s="288" t="s">
        <v>8367</v>
      </c>
      <c r="B725" s="289" t="s">
        <v>8368</v>
      </c>
      <c r="C725" s="288" t="s">
        <v>7167</v>
      </c>
      <c r="D725" s="303">
        <v>42.19</v>
      </c>
    </row>
    <row r="726" spans="1:4" ht="18">
      <c r="A726" s="288" t="s">
        <v>8369</v>
      </c>
      <c r="B726" s="289" t="s">
        <v>8370</v>
      </c>
      <c r="C726" s="288" t="s">
        <v>7167</v>
      </c>
      <c r="D726" s="303">
        <v>15.41</v>
      </c>
    </row>
    <row r="727" spans="1:4">
      <c r="A727" s="287"/>
      <c r="B727" s="287"/>
      <c r="C727" s="287"/>
      <c r="D727" s="296" t="s">
        <v>28729</v>
      </c>
    </row>
    <row r="728" spans="1:4">
      <c r="A728" s="287"/>
      <c r="B728" s="287"/>
      <c r="C728" s="287"/>
      <c r="D728" s="296" t="s">
        <v>28729</v>
      </c>
    </row>
    <row r="729" spans="1:4">
      <c r="A729" s="287"/>
      <c r="B729" s="287"/>
      <c r="C729" s="287"/>
      <c r="D729" s="296" t="s">
        <v>28729</v>
      </c>
    </row>
    <row r="730" spans="1:4">
      <c r="A730" s="287" t="s">
        <v>8371</v>
      </c>
      <c r="B730" s="287"/>
      <c r="C730" s="287"/>
      <c r="D730" s="296" t="s">
        <v>28729</v>
      </c>
    </row>
    <row r="731" spans="1:4" ht="18">
      <c r="A731" s="288" t="s">
        <v>8372</v>
      </c>
      <c r="B731" s="289" t="s">
        <v>8373</v>
      </c>
      <c r="C731" s="288" t="s">
        <v>38</v>
      </c>
      <c r="D731" s="303">
        <v>42.89</v>
      </c>
    </row>
    <row r="732" spans="1:4" ht="18">
      <c r="A732" s="288" t="s">
        <v>8374</v>
      </c>
      <c r="B732" s="289" t="s">
        <v>8375</v>
      </c>
      <c r="C732" s="288" t="s">
        <v>38</v>
      </c>
      <c r="D732" s="303">
        <v>32.15</v>
      </c>
    </row>
    <row r="733" spans="1:4" ht="27">
      <c r="A733" s="288" t="s">
        <v>8376</v>
      </c>
      <c r="B733" s="289" t="s">
        <v>8377</v>
      </c>
      <c r="C733" s="288" t="s">
        <v>38</v>
      </c>
      <c r="D733" s="303">
        <v>103.83</v>
      </c>
    </row>
    <row r="734" spans="1:4" ht="18">
      <c r="A734" s="288" t="s">
        <v>8378</v>
      </c>
      <c r="B734" s="289" t="s">
        <v>8379</v>
      </c>
      <c r="C734" s="288" t="s">
        <v>54</v>
      </c>
      <c r="D734" s="303">
        <v>109.39</v>
      </c>
    </row>
    <row r="735" spans="1:4">
      <c r="A735" s="287" t="s">
        <v>8380</v>
      </c>
      <c r="B735" s="287"/>
      <c r="C735" s="287"/>
      <c r="D735" s="296" t="s">
        <v>28729</v>
      </c>
    </row>
    <row r="736" spans="1:4" ht="18">
      <c r="A736" s="288" t="s">
        <v>8381</v>
      </c>
      <c r="B736" s="289" t="s">
        <v>8382</v>
      </c>
      <c r="C736" s="288" t="s">
        <v>54</v>
      </c>
      <c r="D736" s="303">
        <v>11.07</v>
      </c>
    </row>
    <row r="737" spans="1:4" ht="18">
      <c r="A737" s="288" t="s">
        <v>8383</v>
      </c>
      <c r="B737" s="289" t="s">
        <v>8384</v>
      </c>
      <c r="C737" s="288" t="s">
        <v>54</v>
      </c>
      <c r="D737" s="303">
        <v>43.88</v>
      </c>
    </row>
    <row r="738" spans="1:4" ht="18">
      <c r="A738" s="288" t="s">
        <v>8385</v>
      </c>
      <c r="B738" s="289" t="s">
        <v>8386</v>
      </c>
      <c r="C738" s="288" t="s">
        <v>54</v>
      </c>
      <c r="D738" s="303">
        <v>29.05</v>
      </c>
    </row>
    <row r="739" spans="1:4" ht="18">
      <c r="A739" s="288" t="s">
        <v>8387</v>
      </c>
      <c r="B739" s="289" t="s">
        <v>8388</v>
      </c>
      <c r="C739" s="288" t="s">
        <v>54</v>
      </c>
      <c r="D739" s="303">
        <v>74.38</v>
      </c>
    </row>
    <row r="740" spans="1:4">
      <c r="A740" s="287" t="s">
        <v>8389</v>
      </c>
      <c r="B740" s="287"/>
      <c r="C740" s="287"/>
      <c r="D740" s="296" t="s">
        <v>28729</v>
      </c>
    </row>
    <row r="741" spans="1:4" ht="18">
      <c r="A741" s="288" t="s">
        <v>8390</v>
      </c>
      <c r="B741" s="289" t="s">
        <v>8391</v>
      </c>
      <c r="C741" s="288" t="s">
        <v>54</v>
      </c>
      <c r="D741" s="303">
        <v>15.82</v>
      </c>
    </row>
    <row r="742" spans="1:4" ht="18">
      <c r="A742" s="288" t="s">
        <v>8392</v>
      </c>
      <c r="B742" s="289" t="s">
        <v>8393</v>
      </c>
      <c r="C742" s="288" t="s">
        <v>54</v>
      </c>
      <c r="D742" s="303">
        <v>32.61</v>
      </c>
    </row>
    <row r="743" spans="1:4">
      <c r="A743" s="287" t="s">
        <v>8394</v>
      </c>
      <c r="B743" s="287"/>
      <c r="C743" s="287"/>
      <c r="D743" s="296" t="s">
        <v>28729</v>
      </c>
    </row>
    <row r="744" spans="1:4" ht="18">
      <c r="A744" s="288" t="s">
        <v>8395</v>
      </c>
      <c r="B744" s="289" t="s">
        <v>8396</v>
      </c>
      <c r="C744" s="288" t="s">
        <v>7079</v>
      </c>
      <c r="D744" s="303">
        <v>947.02</v>
      </c>
    </row>
    <row r="745" spans="1:4" ht="18">
      <c r="A745" s="288" t="s">
        <v>8397</v>
      </c>
      <c r="B745" s="289" t="s">
        <v>8398</v>
      </c>
      <c r="C745" s="288" t="s">
        <v>7079</v>
      </c>
      <c r="D745" s="303">
        <v>1122.5899999999999</v>
      </c>
    </row>
    <row r="746" spans="1:4" ht="18">
      <c r="A746" s="288" t="s">
        <v>8399</v>
      </c>
      <c r="B746" s="289" t="s">
        <v>8400</v>
      </c>
      <c r="C746" s="288" t="s">
        <v>7079</v>
      </c>
      <c r="D746" s="303">
        <v>1291.03</v>
      </c>
    </row>
    <row r="747" spans="1:4" ht="18">
      <c r="A747" s="288" t="s">
        <v>8401</v>
      </c>
      <c r="B747" s="289" t="s">
        <v>8402</v>
      </c>
      <c r="C747" s="288" t="s">
        <v>7079</v>
      </c>
      <c r="D747" s="303">
        <v>1487.46</v>
      </c>
    </row>
    <row r="748" spans="1:4" ht="18">
      <c r="A748" s="288" t="s">
        <v>8403</v>
      </c>
      <c r="B748" s="289" t="s">
        <v>8404</v>
      </c>
      <c r="C748" s="288" t="s">
        <v>7079</v>
      </c>
      <c r="D748" s="303">
        <v>2364.36</v>
      </c>
    </row>
    <row r="749" spans="1:4" ht="18">
      <c r="A749" s="288" t="s">
        <v>8405</v>
      </c>
      <c r="B749" s="289" t="s">
        <v>8406</v>
      </c>
      <c r="C749" s="288" t="s">
        <v>7079</v>
      </c>
      <c r="D749" s="303">
        <v>2662.03</v>
      </c>
    </row>
    <row r="750" spans="1:4" ht="18">
      <c r="A750" s="288" t="s">
        <v>8407</v>
      </c>
      <c r="B750" s="289" t="s">
        <v>8408</v>
      </c>
      <c r="C750" s="288" t="s">
        <v>7079</v>
      </c>
      <c r="D750" s="303">
        <v>2933.63</v>
      </c>
    </row>
    <row r="751" spans="1:4" ht="18">
      <c r="A751" s="288" t="s">
        <v>8409</v>
      </c>
      <c r="B751" s="289" t="s">
        <v>8410</v>
      </c>
      <c r="C751" s="288" t="s">
        <v>7079</v>
      </c>
      <c r="D751" s="303">
        <v>3664.61</v>
      </c>
    </row>
    <row r="752" spans="1:4">
      <c r="A752" s="287" t="s">
        <v>8411</v>
      </c>
      <c r="B752" s="287"/>
      <c r="C752" s="287"/>
      <c r="D752" s="296" t="s">
        <v>28729</v>
      </c>
    </row>
    <row r="753" spans="1:4" ht="27">
      <c r="A753" s="288" t="s">
        <v>8412</v>
      </c>
      <c r="B753" s="289" t="s">
        <v>8413</v>
      </c>
      <c r="C753" s="288" t="s">
        <v>38</v>
      </c>
      <c r="D753" s="303">
        <v>20.92</v>
      </c>
    </row>
    <row r="754" spans="1:4" ht="27">
      <c r="A754" s="288" t="s">
        <v>8414</v>
      </c>
      <c r="B754" s="289" t="s">
        <v>8415</v>
      </c>
      <c r="C754" s="288" t="s">
        <v>38</v>
      </c>
      <c r="D754" s="303">
        <v>16.690000000000001</v>
      </c>
    </row>
    <row r="755" spans="1:4" ht="18">
      <c r="A755" s="287" t="s">
        <v>8416</v>
      </c>
      <c r="B755" s="287"/>
      <c r="C755" s="287"/>
      <c r="D755" s="296" t="s">
        <v>28729</v>
      </c>
    </row>
    <row r="756" spans="1:4" ht="18">
      <c r="A756" s="288" t="s">
        <v>8417</v>
      </c>
      <c r="B756" s="289" t="s">
        <v>8418</v>
      </c>
      <c r="C756" s="288" t="s">
        <v>38</v>
      </c>
      <c r="D756" s="303">
        <v>132.63999999999999</v>
      </c>
    </row>
    <row r="757" spans="1:4" ht="18">
      <c r="A757" s="288" t="s">
        <v>8419</v>
      </c>
      <c r="B757" s="289" t="s">
        <v>8420</v>
      </c>
      <c r="C757" s="288" t="s">
        <v>38</v>
      </c>
      <c r="D757" s="303">
        <v>79.900000000000006</v>
      </c>
    </row>
    <row r="758" spans="1:4" ht="18">
      <c r="A758" s="288" t="s">
        <v>8421</v>
      </c>
      <c r="B758" s="289" t="s">
        <v>8422</v>
      </c>
      <c r="C758" s="288" t="s">
        <v>38</v>
      </c>
      <c r="D758" s="303">
        <v>63.9</v>
      </c>
    </row>
    <row r="759" spans="1:4">
      <c r="A759" s="288" t="s">
        <v>8423</v>
      </c>
      <c r="B759" s="289" t="s">
        <v>8424</v>
      </c>
      <c r="C759" s="288" t="s">
        <v>38</v>
      </c>
      <c r="D759" s="303">
        <v>66.37</v>
      </c>
    </row>
    <row r="760" spans="1:4" ht="18">
      <c r="A760" s="288" t="s">
        <v>8425</v>
      </c>
      <c r="B760" s="289" t="s">
        <v>8426</v>
      </c>
      <c r="C760" s="288" t="s">
        <v>38</v>
      </c>
      <c r="D760" s="303">
        <v>61.05</v>
      </c>
    </row>
    <row r="761" spans="1:4" ht="18">
      <c r="A761" s="288" t="s">
        <v>8427</v>
      </c>
      <c r="B761" s="289" t="s">
        <v>8428</v>
      </c>
      <c r="C761" s="288" t="s">
        <v>54</v>
      </c>
      <c r="D761" s="303">
        <v>41.57</v>
      </c>
    </row>
    <row r="762" spans="1:4" ht="18">
      <c r="A762" s="288" t="s">
        <v>8429</v>
      </c>
      <c r="B762" s="289" t="s">
        <v>8430</v>
      </c>
      <c r="C762" s="288" t="s">
        <v>54</v>
      </c>
      <c r="D762" s="303">
        <v>26.58</v>
      </c>
    </row>
    <row r="763" spans="1:4" ht="18">
      <c r="A763" s="288" t="s">
        <v>8431</v>
      </c>
      <c r="B763" s="289" t="s">
        <v>8432</v>
      </c>
      <c r="C763" s="288" t="s">
        <v>54</v>
      </c>
      <c r="D763" s="303">
        <v>43.68</v>
      </c>
    </row>
    <row r="764" spans="1:4">
      <c r="A764" s="288" t="s">
        <v>8433</v>
      </c>
      <c r="B764" s="289" t="s">
        <v>8434</v>
      </c>
      <c r="C764" s="288" t="s">
        <v>38</v>
      </c>
      <c r="D764" s="303">
        <v>40</v>
      </c>
    </row>
    <row r="765" spans="1:4" ht="18">
      <c r="A765" s="287" t="s">
        <v>8435</v>
      </c>
      <c r="B765" s="287"/>
      <c r="C765" s="287"/>
      <c r="D765" s="296" t="s">
        <v>28729</v>
      </c>
    </row>
    <row r="766" spans="1:4" ht="54">
      <c r="A766" s="288" t="s">
        <v>8436</v>
      </c>
      <c r="B766" s="289" t="s">
        <v>8437</v>
      </c>
      <c r="C766" s="288" t="s">
        <v>38</v>
      </c>
      <c r="D766" s="303">
        <v>122.16</v>
      </c>
    </row>
    <row r="767" spans="1:4" ht="36">
      <c r="A767" s="288" t="s">
        <v>8438</v>
      </c>
      <c r="B767" s="289" t="s">
        <v>8439</v>
      </c>
      <c r="C767" s="288" t="s">
        <v>38</v>
      </c>
      <c r="D767" s="303">
        <v>130.27000000000001</v>
      </c>
    </row>
    <row r="768" spans="1:4" ht="18">
      <c r="A768" s="287" t="s">
        <v>8440</v>
      </c>
      <c r="B768" s="287"/>
      <c r="C768" s="287"/>
      <c r="D768" s="296" t="s">
        <v>28729</v>
      </c>
    </row>
    <row r="769" spans="1:4" ht="54">
      <c r="A769" s="288" t="s">
        <v>8441</v>
      </c>
      <c r="B769" s="289" t="s">
        <v>8442</v>
      </c>
      <c r="C769" s="288" t="s">
        <v>38</v>
      </c>
      <c r="D769" s="303">
        <v>167.79</v>
      </c>
    </row>
    <row r="770" spans="1:4" ht="72">
      <c r="A770" s="288" t="s">
        <v>8443</v>
      </c>
      <c r="B770" s="289" t="s">
        <v>8444</v>
      </c>
      <c r="C770" s="288" t="s">
        <v>38</v>
      </c>
      <c r="D770" s="303">
        <v>180.79</v>
      </c>
    </row>
    <row r="771" spans="1:4" ht="72">
      <c r="A771" s="288" t="s">
        <v>8445</v>
      </c>
      <c r="B771" s="289" t="s">
        <v>8446</v>
      </c>
      <c r="C771" s="288" t="s">
        <v>38</v>
      </c>
      <c r="D771" s="303">
        <v>206.8</v>
      </c>
    </row>
    <row r="772" spans="1:4" ht="18">
      <c r="A772" s="287" t="s">
        <v>8447</v>
      </c>
      <c r="B772" s="287"/>
      <c r="C772" s="287"/>
      <c r="D772" s="296" t="s">
        <v>28729</v>
      </c>
    </row>
    <row r="773" spans="1:4" ht="27">
      <c r="A773" s="288" t="s">
        <v>8448</v>
      </c>
      <c r="B773" s="289" t="s">
        <v>8449</v>
      </c>
      <c r="C773" s="288" t="s">
        <v>38</v>
      </c>
      <c r="D773" s="303">
        <v>114.54</v>
      </c>
    </row>
    <row r="774" spans="1:4" ht="18">
      <c r="A774" s="288" t="s">
        <v>8450</v>
      </c>
      <c r="B774" s="289" t="s">
        <v>8451</v>
      </c>
      <c r="C774" s="288" t="s">
        <v>38</v>
      </c>
      <c r="D774" s="303">
        <v>76.13</v>
      </c>
    </row>
    <row r="775" spans="1:4" ht="27">
      <c r="A775" s="288" t="s">
        <v>8452</v>
      </c>
      <c r="B775" s="289" t="s">
        <v>8453</v>
      </c>
      <c r="C775" s="288" t="s">
        <v>54</v>
      </c>
      <c r="D775" s="303">
        <v>89</v>
      </c>
    </row>
    <row r="776" spans="1:4" ht="27">
      <c r="A776" s="288" t="s">
        <v>8454</v>
      </c>
      <c r="B776" s="289" t="s">
        <v>8455</v>
      </c>
      <c r="C776" s="288" t="s">
        <v>54</v>
      </c>
      <c r="D776" s="303">
        <v>195.06</v>
      </c>
    </row>
    <row r="777" spans="1:4" ht="27">
      <c r="A777" s="288" t="s">
        <v>8456</v>
      </c>
      <c r="B777" s="289" t="s">
        <v>8457</v>
      </c>
      <c r="C777" s="288" t="s">
        <v>54</v>
      </c>
      <c r="D777" s="303">
        <v>60.23</v>
      </c>
    </row>
    <row r="778" spans="1:4" ht="27">
      <c r="A778" s="288" t="s">
        <v>8458</v>
      </c>
      <c r="B778" s="289" t="s">
        <v>8459</v>
      </c>
      <c r="C778" s="288" t="s">
        <v>54</v>
      </c>
      <c r="D778" s="303">
        <v>52.77</v>
      </c>
    </row>
    <row r="779" spans="1:4" ht="27">
      <c r="A779" s="288" t="s">
        <v>8460</v>
      </c>
      <c r="B779" s="289" t="s">
        <v>8461</v>
      </c>
      <c r="C779" s="288" t="s">
        <v>54</v>
      </c>
      <c r="D779" s="303">
        <v>43.32</v>
      </c>
    </row>
    <row r="780" spans="1:4" ht="27">
      <c r="A780" s="288" t="s">
        <v>8462</v>
      </c>
      <c r="B780" s="289" t="s">
        <v>8463</v>
      </c>
      <c r="C780" s="288" t="s">
        <v>54</v>
      </c>
      <c r="D780" s="303">
        <v>92.3</v>
      </c>
    </row>
    <row r="781" spans="1:4" ht="27">
      <c r="A781" s="288" t="s">
        <v>8464</v>
      </c>
      <c r="B781" s="289" t="s">
        <v>8465</v>
      </c>
      <c r="C781" s="288" t="s">
        <v>38</v>
      </c>
      <c r="D781" s="303">
        <v>60.49</v>
      </c>
    </row>
    <row r="782" spans="1:4" ht="27">
      <c r="A782" s="288" t="s">
        <v>8466</v>
      </c>
      <c r="B782" s="289" t="s">
        <v>8467</v>
      </c>
      <c r="C782" s="288" t="s">
        <v>38</v>
      </c>
      <c r="D782" s="303">
        <v>61.78</v>
      </c>
    </row>
    <row r="783" spans="1:4" ht="18">
      <c r="A783" s="287" t="s">
        <v>8468</v>
      </c>
      <c r="B783" s="287"/>
      <c r="C783" s="287"/>
      <c r="D783" s="296" t="s">
        <v>28729</v>
      </c>
    </row>
    <row r="784" spans="1:4" ht="27">
      <c r="A784" s="288" t="s">
        <v>8469</v>
      </c>
      <c r="B784" s="289" t="s">
        <v>8470</v>
      </c>
      <c r="C784" s="288" t="s">
        <v>38</v>
      </c>
      <c r="D784" s="303">
        <v>247.08</v>
      </c>
    </row>
    <row r="785" spans="1:4" ht="54">
      <c r="A785" s="288" t="s">
        <v>8471</v>
      </c>
      <c r="B785" s="289" t="s">
        <v>8472</v>
      </c>
      <c r="C785" s="288" t="s">
        <v>38</v>
      </c>
      <c r="D785" s="303">
        <v>123.2</v>
      </c>
    </row>
    <row r="786" spans="1:4" ht="27">
      <c r="A786" s="287" t="s">
        <v>8473</v>
      </c>
      <c r="B786" s="287"/>
      <c r="C786" s="287"/>
      <c r="D786" s="296" t="s">
        <v>28729</v>
      </c>
    </row>
    <row r="787" spans="1:4" ht="27">
      <c r="A787" s="288" t="s">
        <v>8474</v>
      </c>
      <c r="B787" s="289" t="s">
        <v>8475</v>
      </c>
      <c r="C787" s="288" t="s">
        <v>38</v>
      </c>
      <c r="D787" s="303">
        <v>37.49</v>
      </c>
    </row>
    <row r="788" spans="1:4" ht="27">
      <c r="A788" s="288" t="s">
        <v>8476</v>
      </c>
      <c r="B788" s="289" t="s">
        <v>8477</v>
      </c>
      <c r="C788" s="288" t="s">
        <v>38</v>
      </c>
      <c r="D788" s="303">
        <v>43.1</v>
      </c>
    </row>
    <row r="789" spans="1:4" ht="27">
      <c r="A789" s="288" t="s">
        <v>8478</v>
      </c>
      <c r="B789" s="289" t="s">
        <v>8479</v>
      </c>
      <c r="C789" s="288" t="s">
        <v>38</v>
      </c>
      <c r="D789" s="303">
        <v>56.5</v>
      </c>
    </row>
    <row r="790" spans="1:4" ht="27">
      <c r="A790" s="288" t="s">
        <v>8480</v>
      </c>
      <c r="B790" s="289" t="s">
        <v>8481</v>
      </c>
      <c r="C790" s="288" t="s">
        <v>38</v>
      </c>
      <c r="D790" s="303">
        <v>68.55</v>
      </c>
    </row>
    <row r="791" spans="1:4" ht="36">
      <c r="A791" s="288" t="s">
        <v>8482</v>
      </c>
      <c r="B791" s="289" t="s">
        <v>8483</v>
      </c>
      <c r="C791" s="288" t="s">
        <v>38</v>
      </c>
      <c r="D791" s="303">
        <v>141.07</v>
      </c>
    </row>
    <row r="792" spans="1:4" ht="36">
      <c r="A792" s="288" t="s">
        <v>8484</v>
      </c>
      <c r="B792" s="289" t="s">
        <v>8485</v>
      </c>
      <c r="C792" s="288" t="s">
        <v>38</v>
      </c>
      <c r="D792" s="303">
        <v>141.02000000000001</v>
      </c>
    </row>
    <row r="793" spans="1:4" ht="27">
      <c r="A793" s="288" t="s">
        <v>8486</v>
      </c>
      <c r="B793" s="289" t="s">
        <v>8487</v>
      </c>
      <c r="C793" s="288" t="s">
        <v>54</v>
      </c>
      <c r="D793" s="303">
        <v>68.569999999999993</v>
      </c>
    </row>
    <row r="794" spans="1:4" ht="27">
      <c r="A794" s="288" t="s">
        <v>8488</v>
      </c>
      <c r="B794" s="289" t="s">
        <v>8489</v>
      </c>
      <c r="C794" s="288" t="s">
        <v>54</v>
      </c>
      <c r="D794" s="303">
        <v>56.69</v>
      </c>
    </row>
    <row r="795" spans="1:4" ht="27">
      <c r="A795" s="288" t="s">
        <v>8490</v>
      </c>
      <c r="B795" s="289" t="s">
        <v>8491</v>
      </c>
      <c r="C795" s="288" t="s">
        <v>54</v>
      </c>
      <c r="D795" s="303">
        <v>185.49</v>
      </c>
    </row>
    <row r="796" spans="1:4" ht="18">
      <c r="A796" s="288" t="s">
        <v>8492</v>
      </c>
      <c r="B796" s="289" t="s">
        <v>8493</v>
      </c>
      <c r="C796" s="288" t="s">
        <v>54</v>
      </c>
      <c r="D796" s="303">
        <v>53.73</v>
      </c>
    </row>
    <row r="797" spans="1:4" ht="18">
      <c r="A797" s="288" t="s">
        <v>8494</v>
      </c>
      <c r="B797" s="289" t="s">
        <v>8495</v>
      </c>
      <c r="C797" s="288" t="s">
        <v>54</v>
      </c>
      <c r="D797" s="303">
        <v>40.520000000000003</v>
      </c>
    </row>
    <row r="798" spans="1:4" ht="18">
      <c r="A798" s="288" t="s">
        <v>8496</v>
      </c>
      <c r="B798" s="289" t="s">
        <v>8497</v>
      </c>
      <c r="C798" s="288" t="s">
        <v>54</v>
      </c>
      <c r="D798" s="303">
        <v>52.18</v>
      </c>
    </row>
    <row r="799" spans="1:4" ht="18">
      <c r="A799" s="287" t="s">
        <v>8498</v>
      </c>
      <c r="B799" s="287"/>
      <c r="C799" s="287"/>
      <c r="D799" s="296" t="s">
        <v>28729</v>
      </c>
    </row>
    <row r="800" spans="1:4" ht="27">
      <c r="A800" s="288" t="s">
        <v>8499</v>
      </c>
      <c r="B800" s="289" t="s">
        <v>8500</v>
      </c>
      <c r="C800" s="288" t="s">
        <v>38</v>
      </c>
      <c r="D800" s="303">
        <v>84.83</v>
      </c>
    </row>
    <row r="801" spans="1:4" ht="18">
      <c r="A801" s="288" t="s">
        <v>8501</v>
      </c>
      <c r="B801" s="289" t="s">
        <v>8502</v>
      </c>
      <c r="C801" s="288" t="s">
        <v>54</v>
      </c>
      <c r="D801" s="303">
        <v>60.27</v>
      </c>
    </row>
    <row r="802" spans="1:4" ht="27">
      <c r="A802" s="287" t="s">
        <v>8503</v>
      </c>
      <c r="B802" s="287"/>
      <c r="C802" s="287"/>
      <c r="D802" s="296" t="s">
        <v>28729</v>
      </c>
    </row>
    <row r="803" spans="1:4" ht="18">
      <c r="A803" s="288" t="s">
        <v>8504</v>
      </c>
      <c r="B803" s="289" t="s">
        <v>8505</v>
      </c>
      <c r="C803" s="288" t="s">
        <v>38</v>
      </c>
      <c r="D803" s="303">
        <v>144.29</v>
      </c>
    </row>
    <row r="804" spans="1:4" ht="27">
      <c r="A804" s="288" t="s">
        <v>8506</v>
      </c>
      <c r="B804" s="289" t="s">
        <v>8507</v>
      </c>
      <c r="C804" s="288" t="s">
        <v>38</v>
      </c>
      <c r="D804" s="303">
        <v>546.63</v>
      </c>
    </row>
    <row r="805" spans="1:4" ht="18">
      <c r="A805" s="288" t="s">
        <v>8508</v>
      </c>
      <c r="B805" s="289" t="s">
        <v>8509</v>
      </c>
      <c r="C805" s="288" t="s">
        <v>38</v>
      </c>
      <c r="D805" s="303">
        <v>377.98</v>
      </c>
    </row>
    <row r="806" spans="1:4" ht="18">
      <c r="A806" s="288" t="s">
        <v>8510</v>
      </c>
      <c r="B806" s="289" t="s">
        <v>8511</v>
      </c>
      <c r="C806" s="288" t="s">
        <v>38</v>
      </c>
      <c r="D806" s="303">
        <v>46.45</v>
      </c>
    </row>
    <row r="807" spans="1:4" ht="54">
      <c r="A807" s="288" t="s">
        <v>8512</v>
      </c>
      <c r="B807" s="289" t="s">
        <v>8513</v>
      </c>
      <c r="C807" s="288" t="s">
        <v>38</v>
      </c>
      <c r="D807" s="303">
        <v>89.19</v>
      </c>
    </row>
    <row r="808" spans="1:4" ht="63">
      <c r="A808" s="288" t="s">
        <v>8514</v>
      </c>
      <c r="B808" s="289" t="s">
        <v>8515</v>
      </c>
      <c r="C808" s="288" t="s">
        <v>38</v>
      </c>
      <c r="D808" s="303">
        <v>101.61</v>
      </c>
    </row>
    <row r="809" spans="1:4" ht="18">
      <c r="A809" s="288" t="s">
        <v>8516</v>
      </c>
      <c r="B809" s="289" t="s">
        <v>8517</v>
      </c>
      <c r="C809" s="288" t="s">
        <v>38</v>
      </c>
      <c r="D809" s="303">
        <v>354.51</v>
      </c>
    </row>
    <row r="810" spans="1:4" ht="27">
      <c r="A810" s="288" t="s">
        <v>25862</v>
      </c>
      <c r="B810" s="289" t="s">
        <v>25863</v>
      </c>
      <c r="C810" s="288" t="s">
        <v>38</v>
      </c>
      <c r="D810" s="303">
        <v>126.52</v>
      </c>
    </row>
    <row r="811" spans="1:4" ht="18">
      <c r="A811" s="288" t="s">
        <v>25864</v>
      </c>
      <c r="B811" s="289" t="s">
        <v>25865</v>
      </c>
      <c r="C811" s="288" t="s">
        <v>54</v>
      </c>
      <c r="D811" s="303">
        <v>155.03</v>
      </c>
    </row>
    <row r="812" spans="1:4">
      <c r="A812" s="287" t="s">
        <v>8518</v>
      </c>
      <c r="B812" s="287"/>
      <c r="C812" s="287"/>
      <c r="D812" s="296" t="s">
        <v>28729</v>
      </c>
    </row>
    <row r="813" spans="1:4" ht="18">
      <c r="A813" s="288" t="s">
        <v>8519</v>
      </c>
      <c r="B813" s="289" t="s">
        <v>8520</v>
      </c>
      <c r="C813" s="288" t="s">
        <v>54</v>
      </c>
      <c r="D813" s="303">
        <v>156.15</v>
      </c>
    </row>
    <row r="814" spans="1:4" ht="18">
      <c r="A814" s="288" t="s">
        <v>8521</v>
      </c>
      <c r="B814" s="289" t="s">
        <v>8522</v>
      </c>
      <c r="C814" s="288" t="s">
        <v>54</v>
      </c>
      <c r="D814" s="303">
        <v>43.01</v>
      </c>
    </row>
    <row r="815" spans="1:4">
      <c r="A815" s="287" t="s">
        <v>8523</v>
      </c>
      <c r="B815" s="287"/>
      <c r="C815" s="287"/>
      <c r="D815" s="296" t="s">
        <v>28729</v>
      </c>
    </row>
    <row r="816" spans="1:4" ht="18">
      <c r="A816" s="288" t="s">
        <v>8524</v>
      </c>
      <c r="B816" s="289" t="s">
        <v>8525</v>
      </c>
      <c r="C816" s="288" t="s">
        <v>54</v>
      </c>
      <c r="D816" s="303">
        <v>159.06</v>
      </c>
    </row>
    <row r="817" spans="1:4">
      <c r="A817" s="287" t="s">
        <v>8526</v>
      </c>
      <c r="B817" s="287"/>
      <c r="C817" s="287"/>
      <c r="D817" s="296" t="s">
        <v>28729</v>
      </c>
    </row>
    <row r="818" spans="1:4" ht="18">
      <c r="A818" s="288" t="s">
        <v>8527</v>
      </c>
      <c r="B818" s="289" t="s">
        <v>8528</v>
      </c>
      <c r="C818" s="288" t="s">
        <v>54</v>
      </c>
      <c r="D818" s="303">
        <v>107.45</v>
      </c>
    </row>
    <row r="819" spans="1:4" ht="18">
      <c r="A819" s="288" t="s">
        <v>8529</v>
      </c>
      <c r="B819" s="289" t="s">
        <v>8530</v>
      </c>
      <c r="C819" s="288" t="s">
        <v>54</v>
      </c>
      <c r="D819" s="303">
        <v>64.290000000000006</v>
      </c>
    </row>
    <row r="820" spans="1:4" ht="18">
      <c r="A820" s="288" t="s">
        <v>8531</v>
      </c>
      <c r="B820" s="289" t="s">
        <v>8532</v>
      </c>
      <c r="C820" s="288" t="s">
        <v>54</v>
      </c>
      <c r="D820" s="303">
        <v>163.66999999999999</v>
      </c>
    </row>
    <row r="821" spans="1:4" ht="18">
      <c r="A821" s="287" t="s">
        <v>8533</v>
      </c>
      <c r="B821" s="287"/>
      <c r="C821" s="287"/>
      <c r="D821" s="296" t="s">
        <v>28729</v>
      </c>
    </row>
    <row r="822" spans="1:4" ht="18">
      <c r="A822" s="288" t="s">
        <v>8534</v>
      </c>
      <c r="B822" s="289" t="s">
        <v>8535</v>
      </c>
      <c r="C822" s="288" t="s">
        <v>38</v>
      </c>
      <c r="D822" s="303">
        <v>64.12</v>
      </c>
    </row>
    <row r="823" spans="1:4">
      <c r="A823" s="287"/>
      <c r="B823" s="287"/>
      <c r="C823" s="287"/>
      <c r="D823" s="296" t="s">
        <v>28729</v>
      </c>
    </row>
    <row r="824" spans="1:4">
      <c r="A824" s="287" t="s">
        <v>8536</v>
      </c>
      <c r="B824" s="287"/>
      <c r="C824" s="287"/>
      <c r="D824" s="296" t="s">
        <v>28729</v>
      </c>
    </row>
    <row r="825" spans="1:4" ht="18">
      <c r="A825" s="288" t="s">
        <v>8537</v>
      </c>
      <c r="B825" s="289" t="s">
        <v>8538</v>
      </c>
      <c r="C825" s="288" t="s">
        <v>47</v>
      </c>
      <c r="D825" s="303">
        <v>369.74</v>
      </c>
    </row>
    <row r="826" spans="1:4" ht="18">
      <c r="A826" s="288" t="s">
        <v>8539</v>
      </c>
      <c r="B826" s="289" t="s">
        <v>8540</v>
      </c>
      <c r="C826" s="288" t="s">
        <v>47</v>
      </c>
      <c r="D826" s="303">
        <v>330</v>
      </c>
    </row>
    <row r="827" spans="1:4" ht="18">
      <c r="A827" s="288" t="s">
        <v>8541</v>
      </c>
      <c r="B827" s="289" t="s">
        <v>8542</v>
      </c>
      <c r="C827" s="288" t="s">
        <v>38</v>
      </c>
      <c r="D827" s="303">
        <v>507.21</v>
      </c>
    </row>
    <row r="828" spans="1:4">
      <c r="A828" s="288" t="s">
        <v>8543</v>
      </c>
      <c r="B828" s="289" t="s">
        <v>8544</v>
      </c>
      <c r="C828" s="288" t="s">
        <v>38</v>
      </c>
      <c r="D828" s="303">
        <v>194.36</v>
      </c>
    </row>
    <row r="829" spans="1:4" ht="36">
      <c r="A829" s="288" t="s">
        <v>8545</v>
      </c>
      <c r="B829" s="289" t="s">
        <v>8546</v>
      </c>
      <c r="C829" s="288" t="s">
        <v>38</v>
      </c>
      <c r="D829" s="303">
        <v>23.49</v>
      </c>
    </row>
    <row r="830" spans="1:4" ht="36">
      <c r="A830" s="288" t="s">
        <v>8547</v>
      </c>
      <c r="B830" s="289" t="s">
        <v>8548</v>
      </c>
      <c r="C830" s="288" t="s">
        <v>38</v>
      </c>
      <c r="D830" s="303">
        <v>22.33</v>
      </c>
    </row>
    <row r="831" spans="1:4" ht="36">
      <c r="A831" s="288" t="s">
        <v>8549</v>
      </c>
      <c r="B831" s="289" t="s">
        <v>8550</v>
      </c>
      <c r="C831" s="288" t="s">
        <v>38</v>
      </c>
      <c r="D831" s="303">
        <v>20</v>
      </c>
    </row>
    <row r="832" spans="1:4" ht="36">
      <c r="A832" s="288" t="s">
        <v>8551</v>
      </c>
      <c r="B832" s="289" t="s">
        <v>8552</v>
      </c>
      <c r="C832" s="288" t="s">
        <v>38</v>
      </c>
      <c r="D832" s="303">
        <v>50.39</v>
      </c>
    </row>
    <row r="833" spans="1:4" ht="18">
      <c r="A833" s="288" t="s">
        <v>8553</v>
      </c>
      <c r="B833" s="289" t="s">
        <v>8554</v>
      </c>
      <c r="C833" s="288" t="s">
        <v>38</v>
      </c>
      <c r="D833" s="303">
        <v>23.29</v>
      </c>
    </row>
    <row r="834" spans="1:4">
      <c r="A834" s="287"/>
      <c r="B834" s="287"/>
      <c r="C834" s="287"/>
      <c r="D834" s="296" t="s">
        <v>28729</v>
      </c>
    </row>
    <row r="835" spans="1:4">
      <c r="A835" s="287" t="s">
        <v>8555</v>
      </c>
      <c r="B835" s="287"/>
      <c r="C835" s="287"/>
      <c r="D835" s="296" t="s">
        <v>28729</v>
      </c>
    </row>
    <row r="836" spans="1:4" ht="18">
      <c r="A836" s="288" t="s">
        <v>8556</v>
      </c>
      <c r="B836" s="289" t="s">
        <v>8557</v>
      </c>
      <c r="C836" s="288" t="s">
        <v>38</v>
      </c>
      <c r="D836" s="303">
        <v>90</v>
      </c>
    </row>
    <row r="837" spans="1:4" ht="18">
      <c r="A837" s="288" t="s">
        <v>8558</v>
      </c>
      <c r="B837" s="289" t="s">
        <v>8559</v>
      </c>
      <c r="C837" s="288" t="s">
        <v>38</v>
      </c>
      <c r="D837" s="303">
        <v>33.450000000000003</v>
      </c>
    </row>
    <row r="838" spans="1:4" ht="36">
      <c r="A838" s="288" t="s">
        <v>8560</v>
      </c>
      <c r="B838" s="289" t="s">
        <v>8561</v>
      </c>
      <c r="C838" s="288" t="s">
        <v>38</v>
      </c>
      <c r="D838" s="303">
        <v>38.75</v>
      </c>
    </row>
    <row r="839" spans="1:4" ht="18">
      <c r="A839" s="288" t="s">
        <v>8562</v>
      </c>
      <c r="B839" s="289" t="s">
        <v>8563</v>
      </c>
      <c r="C839" s="288" t="s">
        <v>38</v>
      </c>
      <c r="D839" s="303">
        <v>177.17</v>
      </c>
    </row>
    <row r="840" spans="1:4" ht="45">
      <c r="A840" s="288" t="s">
        <v>8564</v>
      </c>
      <c r="B840" s="289" t="s">
        <v>8565</v>
      </c>
      <c r="C840" s="288" t="s">
        <v>38</v>
      </c>
      <c r="D840" s="303">
        <v>102.98</v>
      </c>
    </row>
    <row r="841" spans="1:4" ht="36">
      <c r="A841" s="288" t="s">
        <v>8566</v>
      </c>
      <c r="B841" s="289" t="s">
        <v>8567</v>
      </c>
      <c r="C841" s="288" t="s">
        <v>38</v>
      </c>
      <c r="D841" s="303">
        <v>212.13</v>
      </c>
    </row>
    <row r="842" spans="1:4" ht="36">
      <c r="A842" s="288" t="s">
        <v>8568</v>
      </c>
      <c r="B842" s="289" t="s">
        <v>8569</v>
      </c>
      <c r="C842" s="288" t="s">
        <v>38</v>
      </c>
      <c r="D842" s="303">
        <v>122.87</v>
      </c>
    </row>
    <row r="843" spans="1:4" ht="36">
      <c r="A843" s="288" t="s">
        <v>8570</v>
      </c>
      <c r="B843" s="289" t="s">
        <v>8571</v>
      </c>
      <c r="C843" s="288" t="s">
        <v>38</v>
      </c>
      <c r="D843" s="303">
        <v>98.16</v>
      </c>
    </row>
    <row r="844" spans="1:4" ht="54">
      <c r="A844" s="288" t="s">
        <v>8572</v>
      </c>
      <c r="B844" s="289" t="s">
        <v>8573</v>
      </c>
      <c r="C844" s="288" t="s">
        <v>38</v>
      </c>
      <c r="D844" s="303">
        <v>63.75</v>
      </c>
    </row>
    <row r="845" spans="1:4" ht="27">
      <c r="A845" s="288" t="s">
        <v>8574</v>
      </c>
      <c r="B845" s="289" t="s">
        <v>8575</v>
      </c>
      <c r="C845" s="288" t="s">
        <v>38</v>
      </c>
      <c r="D845" s="303">
        <v>78.94</v>
      </c>
    </row>
    <row r="846" spans="1:4" ht="18">
      <c r="A846" s="288" t="s">
        <v>8576</v>
      </c>
      <c r="B846" s="289" t="s">
        <v>8577</v>
      </c>
      <c r="C846" s="288" t="s">
        <v>38</v>
      </c>
      <c r="D846" s="303">
        <v>67.989999999999995</v>
      </c>
    </row>
    <row r="847" spans="1:4" ht="36">
      <c r="A847" s="288" t="s">
        <v>8578</v>
      </c>
      <c r="B847" s="289" t="s">
        <v>8579</v>
      </c>
      <c r="C847" s="288" t="s">
        <v>38</v>
      </c>
      <c r="D847" s="303">
        <v>73.400000000000006</v>
      </c>
    </row>
    <row r="848" spans="1:4" ht="27">
      <c r="A848" s="288" t="s">
        <v>8580</v>
      </c>
      <c r="B848" s="289" t="s">
        <v>8581</v>
      </c>
      <c r="C848" s="288" t="s">
        <v>38</v>
      </c>
      <c r="D848" s="303">
        <v>124.1</v>
      </c>
    </row>
    <row r="849" spans="1:4" ht="27">
      <c r="A849" s="288" t="s">
        <v>8582</v>
      </c>
      <c r="B849" s="289" t="s">
        <v>8583</v>
      </c>
      <c r="C849" s="288" t="s">
        <v>38</v>
      </c>
      <c r="D849" s="303">
        <v>168.74</v>
      </c>
    </row>
    <row r="850" spans="1:4" ht="27">
      <c r="A850" s="288" t="s">
        <v>8584</v>
      </c>
      <c r="B850" s="289" t="s">
        <v>8585</v>
      </c>
      <c r="C850" s="288" t="s">
        <v>38</v>
      </c>
      <c r="D850" s="303">
        <v>188.24</v>
      </c>
    </row>
    <row r="851" spans="1:4" ht="36">
      <c r="A851" s="288" t="s">
        <v>8586</v>
      </c>
      <c r="B851" s="289" t="s">
        <v>8587</v>
      </c>
      <c r="C851" s="288" t="s">
        <v>38</v>
      </c>
      <c r="D851" s="303">
        <v>104.22</v>
      </c>
    </row>
    <row r="852" spans="1:4" ht="36">
      <c r="A852" s="288" t="s">
        <v>8588</v>
      </c>
      <c r="B852" s="289" t="s">
        <v>8589</v>
      </c>
      <c r="C852" s="288" t="s">
        <v>38</v>
      </c>
      <c r="D852" s="303">
        <v>87.4</v>
      </c>
    </row>
    <row r="853" spans="1:4" ht="27">
      <c r="A853" s="288" t="s">
        <v>8590</v>
      </c>
      <c r="B853" s="289" t="s">
        <v>8591</v>
      </c>
      <c r="C853" s="288" t="s">
        <v>38</v>
      </c>
      <c r="D853" s="303">
        <v>8.07</v>
      </c>
    </row>
    <row r="854" spans="1:4" ht="36">
      <c r="A854" s="288" t="s">
        <v>8592</v>
      </c>
      <c r="B854" s="289" t="s">
        <v>8593</v>
      </c>
      <c r="C854" s="288" t="s">
        <v>38</v>
      </c>
      <c r="D854" s="303">
        <v>97.83</v>
      </c>
    </row>
    <row r="855" spans="1:4" ht="27">
      <c r="A855" s="288" t="s">
        <v>8594</v>
      </c>
      <c r="B855" s="289" t="s">
        <v>8595</v>
      </c>
      <c r="C855" s="288" t="s">
        <v>38</v>
      </c>
      <c r="D855" s="303">
        <v>25.01</v>
      </c>
    </row>
    <row r="856" spans="1:4" ht="36">
      <c r="A856" s="288" t="s">
        <v>8596</v>
      </c>
      <c r="B856" s="289" t="s">
        <v>8597</v>
      </c>
      <c r="C856" s="288" t="s">
        <v>54</v>
      </c>
      <c r="D856" s="303">
        <v>24.15</v>
      </c>
    </row>
    <row r="857" spans="1:4">
      <c r="A857" s="287"/>
      <c r="B857" s="287"/>
      <c r="C857" s="287"/>
      <c r="D857" s="296" t="s">
        <v>28729</v>
      </c>
    </row>
    <row r="858" spans="1:4">
      <c r="A858" s="287" t="s">
        <v>8598</v>
      </c>
      <c r="B858" s="287"/>
      <c r="C858" s="287"/>
      <c r="D858" s="296" t="s">
        <v>28729</v>
      </c>
    </row>
    <row r="859" spans="1:4" ht="27">
      <c r="A859" s="288" t="s">
        <v>8599</v>
      </c>
      <c r="B859" s="289" t="s">
        <v>8600</v>
      </c>
      <c r="C859" s="288" t="s">
        <v>38</v>
      </c>
      <c r="D859" s="303">
        <v>62.48</v>
      </c>
    </row>
    <row r="860" spans="1:4" ht="18">
      <c r="A860" s="288" t="s">
        <v>8601</v>
      </c>
      <c r="B860" s="289" t="s">
        <v>8602</v>
      </c>
      <c r="C860" s="288" t="s">
        <v>38</v>
      </c>
      <c r="D860" s="303">
        <v>50.58</v>
      </c>
    </row>
    <row r="861" spans="1:4" ht="18">
      <c r="A861" s="288" t="s">
        <v>8603</v>
      </c>
      <c r="B861" s="289" t="s">
        <v>8604</v>
      </c>
      <c r="C861" s="288" t="s">
        <v>38</v>
      </c>
      <c r="D861" s="303">
        <v>18.45</v>
      </c>
    </row>
    <row r="862" spans="1:4" ht="18">
      <c r="A862" s="288" t="s">
        <v>8605</v>
      </c>
      <c r="B862" s="289" t="s">
        <v>8606</v>
      </c>
      <c r="C862" s="288" t="s">
        <v>38</v>
      </c>
      <c r="D862" s="303">
        <v>16.8</v>
      </c>
    </row>
    <row r="863" spans="1:4" ht="18">
      <c r="A863" s="288" t="s">
        <v>8607</v>
      </c>
      <c r="B863" s="289" t="s">
        <v>8608</v>
      </c>
      <c r="C863" s="288" t="s">
        <v>38</v>
      </c>
      <c r="D863" s="303">
        <v>21.82</v>
      </c>
    </row>
    <row r="864" spans="1:4">
      <c r="A864" s="287"/>
      <c r="B864" s="287"/>
      <c r="C864" s="287"/>
      <c r="D864" s="296" t="s">
        <v>28729</v>
      </c>
    </row>
    <row r="865" spans="1:4">
      <c r="A865" s="287"/>
      <c r="B865" s="287"/>
      <c r="C865" s="287"/>
      <c r="D865" s="296" t="s">
        <v>28729</v>
      </c>
    </row>
    <row r="866" spans="1:4">
      <c r="A866" s="287"/>
      <c r="B866" s="287"/>
      <c r="C866" s="287"/>
      <c r="D866" s="296" t="s">
        <v>28729</v>
      </c>
    </row>
    <row r="867" spans="1:4" ht="27">
      <c r="A867" s="287" t="s">
        <v>8609</v>
      </c>
      <c r="B867" s="287"/>
      <c r="C867" s="287"/>
      <c r="D867" s="296" t="s">
        <v>28729</v>
      </c>
    </row>
    <row r="868" spans="1:4" ht="18">
      <c r="A868" s="288" t="s">
        <v>8610</v>
      </c>
      <c r="B868" s="289" t="s">
        <v>8611</v>
      </c>
      <c r="C868" s="288" t="s">
        <v>47</v>
      </c>
      <c r="D868" s="303">
        <v>27.01</v>
      </c>
    </row>
    <row r="869" spans="1:4" ht="18">
      <c r="A869" s="288" t="s">
        <v>8612</v>
      </c>
      <c r="B869" s="289" t="s">
        <v>8613</v>
      </c>
      <c r="C869" s="288" t="s">
        <v>47</v>
      </c>
      <c r="D869" s="303">
        <v>37.1</v>
      </c>
    </row>
    <row r="870" spans="1:4" ht="18">
      <c r="A870" s="288" t="s">
        <v>8614</v>
      </c>
      <c r="B870" s="289" t="s">
        <v>8615</v>
      </c>
      <c r="C870" s="288" t="s">
        <v>38</v>
      </c>
      <c r="D870" s="303">
        <v>7.82</v>
      </c>
    </row>
    <row r="871" spans="1:4" ht="18">
      <c r="A871" s="288" t="s">
        <v>8616</v>
      </c>
      <c r="B871" s="289" t="s">
        <v>8617</v>
      </c>
      <c r="C871" s="288" t="s">
        <v>38</v>
      </c>
      <c r="D871" s="303">
        <v>9.6199999999999992</v>
      </c>
    </row>
    <row r="872" spans="1:4" ht="36">
      <c r="A872" s="288" t="s">
        <v>8618</v>
      </c>
      <c r="B872" s="289" t="s">
        <v>8619</v>
      </c>
      <c r="C872" s="288" t="s">
        <v>38</v>
      </c>
      <c r="D872" s="303">
        <v>58.68</v>
      </c>
    </row>
    <row r="873" spans="1:4" ht="27">
      <c r="A873" s="288" t="s">
        <v>8620</v>
      </c>
      <c r="B873" s="289" t="s">
        <v>8621</v>
      </c>
      <c r="C873" s="288" t="s">
        <v>54</v>
      </c>
      <c r="D873" s="303">
        <v>88.96</v>
      </c>
    </row>
    <row r="874" spans="1:4" ht="27">
      <c r="A874" s="288" t="s">
        <v>8622</v>
      </c>
      <c r="B874" s="289" t="s">
        <v>8623</v>
      </c>
      <c r="C874" s="288" t="s">
        <v>54</v>
      </c>
      <c r="D874" s="303">
        <v>1502.65</v>
      </c>
    </row>
    <row r="875" spans="1:4" ht="18">
      <c r="A875" s="288" t="s">
        <v>8624</v>
      </c>
      <c r="B875" s="289" t="s">
        <v>8625</v>
      </c>
      <c r="C875" s="288" t="s">
        <v>38</v>
      </c>
      <c r="D875" s="303">
        <v>16.95</v>
      </c>
    </row>
    <row r="876" spans="1:4" ht="45">
      <c r="A876" s="288" t="s">
        <v>8626</v>
      </c>
      <c r="B876" s="289" t="s">
        <v>8627</v>
      </c>
      <c r="C876" s="288" t="s">
        <v>54</v>
      </c>
      <c r="D876" s="303">
        <v>281.25</v>
      </c>
    </row>
    <row r="877" spans="1:4" ht="27">
      <c r="A877" s="288" t="s">
        <v>8628</v>
      </c>
      <c r="B877" s="289" t="s">
        <v>8629</v>
      </c>
      <c r="C877" s="288" t="s">
        <v>38</v>
      </c>
      <c r="D877" s="303">
        <v>4.24</v>
      </c>
    </row>
    <row r="878" spans="1:4" ht="27">
      <c r="A878" s="288" t="s">
        <v>8630</v>
      </c>
      <c r="B878" s="289" t="s">
        <v>8631</v>
      </c>
      <c r="C878" s="288" t="s">
        <v>38</v>
      </c>
      <c r="D878" s="303">
        <v>2.12</v>
      </c>
    </row>
    <row r="879" spans="1:4" ht="36">
      <c r="A879" s="288" t="s">
        <v>8632</v>
      </c>
      <c r="B879" s="289" t="s">
        <v>8633</v>
      </c>
      <c r="C879" s="288" t="s">
        <v>38</v>
      </c>
      <c r="D879" s="303">
        <v>151.13</v>
      </c>
    </row>
    <row r="880" spans="1:4" ht="27">
      <c r="A880" s="288" t="s">
        <v>8634</v>
      </c>
      <c r="B880" s="289" t="s">
        <v>8635</v>
      </c>
      <c r="C880" s="288" t="s">
        <v>38</v>
      </c>
      <c r="D880" s="303">
        <v>20.9</v>
      </c>
    </row>
    <row r="881" spans="1:4" ht="27">
      <c r="A881" s="288" t="s">
        <v>8636</v>
      </c>
      <c r="B881" s="289" t="s">
        <v>8637</v>
      </c>
      <c r="C881" s="288" t="s">
        <v>54</v>
      </c>
      <c r="D881" s="303">
        <v>500.06</v>
      </c>
    </row>
    <row r="882" spans="1:4" ht="27">
      <c r="A882" s="287" t="s">
        <v>8638</v>
      </c>
      <c r="B882" s="287"/>
      <c r="C882" s="287"/>
      <c r="D882" s="296" t="s">
        <v>28729</v>
      </c>
    </row>
    <row r="883" spans="1:4" ht="54">
      <c r="A883" s="288" t="s">
        <v>8639</v>
      </c>
      <c r="B883" s="289" t="s">
        <v>8640</v>
      </c>
      <c r="C883" s="288" t="s">
        <v>7274</v>
      </c>
      <c r="D883" s="303">
        <v>5</v>
      </c>
    </row>
    <row r="884" spans="1:4" ht="54">
      <c r="A884" s="288" t="s">
        <v>8641</v>
      </c>
      <c r="B884" s="289" t="s">
        <v>8642</v>
      </c>
      <c r="C884" s="288" t="s">
        <v>7274</v>
      </c>
      <c r="D884" s="303">
        <v>6</v>
      </c>
    </row>
    <row r="885" spans="1:4" ht="18">
      <c r="A885" s="288" t="s">
        <v>8643</v>
      </c>
      <c r="B885" s="289" t="s">
        <v>8644</v>
      </c>
      <c r="C885" s="288" t="s">
        <v>7182</v>
      </c>
      <c r="D885" s="303">
        <v>47</v>
      </c>
    </row>
    <row r="886" spans="1:4" ht="18">
      <c r="A886" s="288" t="s">
        <v>8645</v>
      </c>
      <c r="B886" s="289" t="s">
        <v>8646</v>
      </c>
      <c r="C886" s="288" t="s">
        <v>7182</v>
      </c>
      <c r="D886" s="303">
        <v>256.47000000000003</v>
      </c>
    </row>
    <row r="887" spans="1:4" ht="18">
      <c r="A887" s="288" t="s">
        <v>8647</v>
      </c>
      <c r="B887" s="289" t="s">
        <v>8648</v>
      </c>
      <c r="C887" s="288" t="s">
        <v>7182</v>
      </c>
      <c r="D887" s="303">
        <v>314.97000000000003</v>
      </c>
    </row>
    <row r="888" spans="1:4" ht="18">
      <c r="A888" s="288" t="s">
        <v>8649</v>
      </c>
      <c r="B888" s="289" t="s">
        <v>8650</v>
      </c>
      <c r="C888" s="288" t="s">
        <v>7182</v>
      </c>
      <c r="D888" s="303">
        <v>664.97</v>
      </c>
    </row>
    <row r="889" spans="1:4" ht="36">
      <c r="A889" s="288" t="s">
        <v>8651</v>
      </c>
      <c r="B889" s="289" t="s">
        <v>8652</v>
      </c>
      <c r="C889" s="288" t="s">
        <v>7182</v>
      </c>
      <c r="D889" s="303">
        <v>201</v>
      </c>
    </row>
    <row r="890" spans="1:4" ht="36">
      <c r="A890" s="288" t="s">
        <v>8653</v>
      </c>
      <c r="B890" s="289" t="s">
        <v>8654</v>
      </c>
      <c r="C890" s="288" t="s">
        <v>7182</v>
      </c>
      <c r="D890" s="303">
        <v>1821.1</v>
      </c>
    </row>
    <row r="891" spans="1:4" ht="45">
      <c r="A891" s="288" t="s">
        <v>8655</v>
      </c>
      <c r="B891" s="289" t="s">
        <v>8656</v>
      </c>
      <c r="C891" s="288" t="s">
        <v>7182</v>
      </c>
      <c r="D891" s="303">
        <v>2346.6999999999998</v>
      </c>
    </row>
    <row r="892" spans="1:4" ht="45">
      <c r="A892" s="288" t="s">
        <v>8657</v>
      </c>
      <c r="B892" s="289" t="s">
        <v>8658</v>
      </c>
      <c r="C892" s="288" t="s">
        <v>7182</v>
      </c>
      <c r="D892" s="303">
        <v>1443.19</v>
      </c>
    </row>
    <row r="893" spans="1:4" ht="45">
      <c r="A893" s="288" t="s">
        <v>8659</v>
      </c>
      <c r="B893" s="289" t="s">
        <v>8660</v>
      </c>
      <c r="C893" s="288" t="s">
        <v>7182</v>
      </c>
      <c r="D893" s="303">
        <v>89.09</v>
      </c>
    </row>
    <row r="894" spans="1:4" ht="36">
      <c r="A894" s="288" t="s">
        <v>8661</v>
      </c>
      <c r="B894" s="289" t="s">
        <v>8662</v>
      </c>
      <c r="C894" s="288" t="s">
        <v>7182</v>
      </c>
      <c r="D894" s="303">
        <v>300</v>
      </c>
    </row>
    <row r="895" spans="1:4" ht="27">
      <c r="A895" s="288" t="s">
        <v>8663</v>
      </c>
      <c r="B895" s="289" t="s">
        <v>8664</v>
      </c>
      <c r="C895" s="288" t="s">
        <v>54</v>
      </c>
      <c r="D895" s="303">
        <v>234.17</v>
      </c>
    </row>
    <row r="896" spans="1:4" ht="36">
      <c r="A896" s="287" t="s">
        <v>8665</v>
      </c>
      <c r="B896" s="287"/>
      <c r="C896" s="287"/>
      <c r="D896" s="296" t="s">
        <v>28729</v>
      </c>
    </row>
    <row r="897" spans="1:4">
      <c r="A897" s="288" t="s">
        <v>8666</v>
      </c>
      <c r="B897" s="289" t="s">
        <v>8667</v>
      </c>
      <c r="C897" s="288" t="s">
        <v>7167</v>
      </c>
      <c r="D897" s="303">
        <v>12.71</v>
      </c>
    </row>
    <row r="898" spans="1:4" ht="18">
      <c r="A898" s="288" t="s">
        <v>8668</v>
      </c>
      <c r="B898" s="289" t="s">
        <v>8669</v>
      </c>
      <c r="C898" s="288" t="s">
        <v>38</v>
      </c>
      <c r="D898" s="303">
        <v>5.93</v>
      </c>
    </row>
    <row r="899" spans="1:4" ht="18">
      <c r="A899" s="288" t="s">
        <v>8670</v>
      </c>
      <c r="B899" s="289" t="s">
        <v>8671</v>
      </c>
      <c r="C899" s="288" t="s">
        <v>54</v>
      </c>
      <c r="D899" s="303">
        <v>28.85</v>
      </c>
    </row>
    <row r="900" spans="1:4" ht="18">
      <c r="A900" s="288" t="s">
        <v>8672</v>
      </c>
      <c r="B900" s="289" t="s">
        <v>8673</v>
      </c>
      <c r="C900" s="288" t="s">
        <v>38</v>
      </c>
      <c r="D900" s="303">
        <v>49.44</v>
      </c>
    </row>
    <row r="901" spans="1:4" ht="18">
      <c r="A901" s="288" t="s">
        <v>8674</v>
      </c>
      <c r="B901" s="289" t="s">
        <v>8675</v>
      </c>
      <c r="C901" s="288" t="s">
        <v>38</v>
      </c>
      <c r="D901" s="303">
        <v>2.38</v>
      </c>
    </row>
    <row r="902" spans="1:4">
      <c r="A902" s="288" t="s">
        <v>8676</v>
      </c>
      <c r="B902" s="289" t="s">
        <v>8677</v>
      </c>
      <c r="C902" s="288" t="s">
        <v>38</v>
      </c>
      <c r="D902" s="303">
        <v>0.49</v>
      </c>
    </row>
    <row r="903" spans="1:4" ht="27">
      <c r="A903" s="287" t="s">
        <v>8678</v>
      </c>
      <c r="B903" s="287"/>
      <c r="C903" s="287"/>
      <c r="D903" s="296" t="s">
        <v>28729</v>
      </c>
    </row>
    <row r="904" spans="1:4" ht="45">
      <c r="A904" s="288" t="s">
        <v>8679</v>
      </c>
      <c r="B904" s="289" t="s">
        <v>8680</v>
      </c>
      <c r="C904" s="288" t="s">
        <v>7079</v>
      </c>
      <c r="D904" s="303">
        <v>474.62</v>
      </c>
    </row>
    <row r="905" spans="1:4">
      <c r="A905" s="287"/>
      <c r="B905" s="287"/>
      <c r="C905" s="287"/>
      <c r="D905" s="296" t="s">
        <v>28729</v>
      </c>
    </row>
    <row r="906" spans="1:4" ht="18">
      <c r="A906" s="287" t="s">
        <v>8681</v>
      </c>
      <c r="B906" s="287"/>
      <c r="C906" s="287"/>
      <c r="D906" s="296" t="s">
        <v>28729</v>
      </c>
    </row>
    <row r="907" spans="1:4">
      <c r="A907" s="288" t="s">
        <v>8682</v>
      </c>
      <c r="B907" s="289" t="s">
        <v>8683</v>
      </c>
      <c r="C907" s="288" t="s">
        <v>38</v>
      </c>
      <c r="D907" s="303">
        <v>98.35</v>
      </c>
    </row>
    <row r="908" spans="1:4">
      <c r="A908" s="287"/>
      <c r="B908" s="287"/>
      <c r="C908" s="287"/>
      <c r="D908" s="296" t="s">
        <v>28729</v>
      </c>
    </row>
    <row r="909" spans="1:4">
      <c r="A909" s="287"/>
      <c r="B909" s="287"/>
      <c r="C909" s="287"/>
      <c r="D909" s="296" t="s">
        <v>28729</v>
      </c>
    </row>
    <row r="910" spans="1:4">
      <c r="A910" s="287"/>
      <c r="B910" s="287"/>
      <c r="C910" s="287"/>
      <c r="D910" s="296" t="s">
        <v>28729</v>
      </c>
    </row>
    <row r="911" spans="1:4" ht="18">
      <c r="A911" s="287" t="s">
        <v>8684</v>
      </c>
      <c r="B911" s="287"/>
      <c r="C911" s="287"/>
      <c r="D911" s="296" t="s">
        <v>28729</v>
      </c>
    </row>
    <row r="912" spans="1:4" ht="27">
      <c r="A912" s="288" t="s">
        <v>8685</v>
      </c>
      <c r="B912" s="289" t="s">
        <v>8686</v>
      </c>
      <c r="C912" s="288" t="s">
        <v>7079</v>
      </c>
      <c r="D912" s="303">
        <v>38.06</v>
      </c>
    </row>
    <row r="913" spans="1:4" ht="27">
      <c r="A913" s="288" t="s">
        <v>8687</v>
      </c>
      <c r="B913" s="289" t="s">
        <v>8688</v>
      </c>
      <c r="C913" s="288" t="s">
        <v>7079</v>
      </c>
      <c r="D913" s="303">
        <v>77.680000000000007</v>
      </c>
    </row>
    <row r="914" spans="1:4" ht="36">
      <c r="A914" s="288" t="s">
        <v>25866</v>
      </c>
      <c r="B914" s="289" t="s">
        <v>25867</v>
      </c>
      <c r="C914" s="288" t="s">
        <v>7079</v>
      </c>
      <c r="D914" s="303">
        <v>21.78</v>
      </c>
    </row>
    <row r="915" spans="1:4" ht="36">
      <c r="A915" s="288" t="s">
        <v>8689</v>
      </c>
      <c r="B915" s="289" t="s">
        <v>25868</v>
      </c>
      <c r="C915" s="288" t="s">
        <v>7079</v>
      </c>
      <c r="D915" s="303">
        <v>60.59</v>
      </c>
    </row>
    <row r="916" spans="1:4" ht="27">
      <c r="A916" s="288" t="s">
        <v>8690</v>
      </c>
      <c r="B916" s="289" t="s">
        <v>8691</v>
      </c>
      <c r="C916" s="288" t="s">
        <v>7079</v>
      </c>
      <c r="D916" s="303">
        <v>75.739999999999995</v>
      </c>
    </row>
    <row r="917" spans="1:4" ht="18">
      <c r="A917" s="287" t="s">
        <v>8692</v>
      </c>
      <c r="B917" s="287"/>
      <c r="C917" s="287"/>
      <c r="D917" s="296" t="s">
        <v>28729</v>
      </c>
    </row>
    <row r="918" spans="1:4" ht="18">
      <c r="A918" s="288" t="s">
        <v>8693</v>
      </c>
      <c r="B918" s="289" t="s">
        <v>8694</v>
      </c>
      <c r="C918" s="288" t="s">
        <v>54</v>
      </c>
      <c r="D918" s="303">
        <v>69.45</v>
      </c>
    </row>
    <row r="919" spans="1:4" ht="18">
      <c r="A919" s="288" t="s">
        <v>8695</v>
      </c>
      <c r="B919" s="289" t="s">
        <v>8696</v>
      </c>
      <c r="C919" s="288" t="s">
        <v>54</v>
      </c>
      <c r="D919" s="303">
        <v>69.31</v>
      </c>
    </row>
    <row r="920" spans="1:4" ht="18">
      <c r="A920" s="288" t="s">
        <v>8697</v>
      </c>
      <c r="B920" s="289" t="s">
        <v>8698</v>
      </c>
      <c r="C920" s="288" t="s">
        <v>54</v>
      </c>
      <c r="D920" s="303">
        <v>143.04</v>
      </c>
    </row>
    <row r="921" spans="1:4" ht="18">
      <c r="A921" s="287" t="s">
        <v>8699</v>
      </c>
      <c r="B921" s="287"/>
      <c r="C921" s="287"/>
      <c r="D921" s="296" t="s">
        <v>28729</v>
      </c>
    </row>
    <row r="922" spans="1:4" ht="36">
      <c r="A922" s="288" t="s">
        <v>8700</v>
      </c>
      <c r="B922" s="289" t="s">
        <v>8701</v>
      </c>
      <c r="C922" s="288" t="s">
        <v>54</v>
      </c>
      <c r="D922" s="303">
        <v>86.6</v>
      </c>
    </row>
    <row r="923" spans="1:4" ht="36">
      <c r="A923" s="288" t="s">
        <v>8702</v>
      </c>
      <c r="B923" s="289" t="s">
        <v>8703</v>
      </c>
      <c r="C923" s="288" t="s">
        <v>54</v>
      </c>
      <c r="D923" s="303">
        <v>121.07</v>
      </c>
    </row>
    <row r="924" spans="1:4" ht="36">
      <c r="A924" s="288" t="s">
        <v>8704</v>
      </c>
      <c r="B924" s="289" t="s">
        <v>8705</v>
      </c>
      <c r="C924" s="288" t="s">
        <v>54</v>
      </c>
      <c r="D924" s="303">
        <v>180.04</v>
      </c>
    </row>
    <row r="925" spans="1:4" ht="36">
      <c r="A925" s="288" t="s">
        <v>8706</v>
      </c>
      <c r="B925" s="289" t="s">
        <v>8707</v>
      </c>
      <c r="C925" s="288" t="s">
        <v>54</v>
      </c>
      <c r="D925" s="303">
        <v>231.16</v>
      </c>
    </row>
    <row r="926" spans="1:4" ht="18">
      <c r="A926" s="287" t="s">
        <v>8708</v>
      </c>
      <c r="B926" s="287"/>
      <c r="C926" s="287"/>
      <c r="D926" s="296" t="s">
        <v>28729</v>
      </c>
    </row>
    <row r="927" spans="1:4" ht="36">
      <c r="A927" s="288" t="s">
        <v>8709</v>
      </c>
      <c r="B927" s="289" t="s">
        <v>8710</v>
      </c>
      <c r="C927" s="288" t="s">
        <v>54</v>
      </c>
      <c r="D927" s="303">
        <v>182.72</v>
      </c>
    </row>
    <row r="928" spans="1:4" ht="36">
      <c r="A928" s="288" t="s">
        <v>8711</v>
      </c>
      <c r="B928" s="289" t="s">
        <v>8712</v>
      </c>
      <c r="C928" s="288" t="s">
        <v>54</v>
      </c>
      <c r="D928" s="303">
        <v>237.92</v>
      </c>
    </row>
    <row r="929" spans="1:4" ht="36">
      <c r="A929" s="288" t="s">
        <v>8713</v>
      </c>
      <c r="B929" s="289" t="s">
        <v>8714</v>
      </c>
      <c r="C929" s="288" t="s">
        <v>54</v>
      </c>
      <c r="D929" s="303">
        <v>210.66</v>
      </c>
    </row>
    <row r="930" spans="1:4" ht="36">
      <c r="A930" s="288" t="s">
        <v>8715</v>
      </c>
      <c r="B930" s="289" t="s">
        <v>8716</v>
      </c>
      <c r="C930" s="288" t="s">
        <v>54</v>
      </c>
      <c r="D930" s="303">
        <v>294.07</v>
      </c>
    </row>
    <row r="931" spans="1:4" ht="36">
      <c r="A931" s="288" t="s">
        <v>8717</v>
      </c>
      <c r="B931" s="289" t="s">
        <v>8718</v>
      </c>
      <c r="C931" s="288" t="s">
        <v>54</v>
      </c>
      <c r="D931" s="303">
        <v>396.99</v>
      </c>
    </row>
    <row r="932" spans="1:4" ht="36">
      <c r="A932" s="288" t="s">
        <v>8719</v>
      </c>
      <c r="B932" s="289" t="s">
        <v>8720</v>
      </c>
      <c r="C932" s="288" t="s">
        <v>54</v>
      </c>
      <c r="D932" s="303">
        <v>512</v>
      </c>
    </row>
    <row r="933" spans="1:4" ht="36">
      <c r="A933" s="288" t="s">
        <v>8721</v>
      </c>
      <c r="B933" s="289" t="s">
        <v>8722</v>
      </c>
      <c r="C933" s="288" t="s">
        <v>54</v>
      </c>
      <c r="D933" s="303">
        <v>502.47</v>
      </c>
    </row>
    <row r="934" spans="1:4" ht="36">
      <c r="A934" s="288" t="s">
        <v>8723</v>
      </c>
      <c r="B934" s="289" t="s">
        <v>8724</v>
      </c>
      <c r="C934" s="288" t="s">
        <v>54</v>
      </c>
      <c r="D934" s="303">
        <v>643.55999999999995</v>
      </c>
    </row>
    <row r="935" spans="1:4" ht="36">
      <c r="A935" s="288" t="s">
        <v>8725</v>
      </c>
      <c r="B935" s="289" t="s">
        <v>8726</v>
      </c>
      <c r="C935" s="288" t="s">
        <v>54</v>
      </c>
      <c r="D935" s="303">
        <v>756.75</v>
      </c>
    </row>
    <row r="936" spans="1:4" ht="36">
      <c r="A936" s="288" t="s">
        <v>8727</v>
      </c>
      <c r="B936" s="289" t="s">
        <v>8728</v>
      </c>
      <c r="C936" s="288" t="s">
        <v>54</v>
      </c>
      <c r="D936" s="303">
        <v>1092.04</v>
      </c>
    </row>
    <row r="937" spans="1:4" ht="36">
      <c r="A937" s="288" t="s">
        <v>8729</v>
      </c>
      <c r="B937" s="289" t="s">
        <v>8730</v>
      </c>
      <c r="C937" s="288" t="s">
        <v>54</v>
      </c>
      <c r="D937" s="303">
        <v>1801.03</v>
      </c>
    </row>
    <row r="938" spans="1:4" ht="18">
      <c r="A938" s="287" t="s">
        <v>8731</v>
      </c>
      <c r="B938" s="287"/>
      <c r="C938" s="287"/>
      <c r="D938" s="296" t="s">
        <v>28729</v>
      </c>
    </row>
    <row r="939" spans="1:4" ht="36">
      <c r="A939" s="288" t="s">
        <v>8732</v>
      </c>
      <c r="B939" s="289" t="s">
        <v>8733</v>
      </c>
      <c r="C939" s="288" t="s">
        <v>54</v>
      </c>
      <c r="D939" s="303">
        <v>148.22</v>
      </c>
    </row>
    <row r="940" spans="1:4" ht="36">
      <c r="A940" s="288" t="s">
        <v>8734</v>
      </c>
      <c r="B940" s="289" t="s">
        <v>8735</v>
      </c>
      <c r="C940" s="288" t="s">
        <v>54</v>
      </c>
      <c r="D940" s="303">
        <v>284.92</v>
      </c>
    </row>
    <row r="941" spans="1:4" ht="36">
      <c r="A941" s="288" t="s">
        <v>8736</v>
      </c>
      <c r="B941" s="289" t="s">
        <v>8737</v>
      </c>
      <c r="C941" s="288" t="s">
        <v>54</v>
      </c>
      <c r="D941" s="303">
        <v>295.16000000000003</v>
      </c>
    </row>
    <row r="942" spans="1:4" ht="36">
      <c r="A942" s="288" t="s">
        <v>8738</v>
      </c>
      <c r="B942" s="289" t="s">
        <v>25869</v>
      </c>
      <c r="C942" s="288" t="s">
        <v>54</v>
      </c>
      <c r="D942" s="303">
        <v>274.27</v>
      </c>
    </row>
    <row r="943" spans="1:4" ht="36">
      <c r="A943" s="288" t="s">
        <v>8739</v>
      </c>
      <c r="B943" s="289" t="s">
        <v>25870</v>
      </c>
      <c r="C943" s="288" t="s">
        <v>54</v>
      </c>
      <c r="D943" s="303">
        <v>303.99</v>
      </c>
    </row>
    <row r="944" spans="1:4" ht="36">
      <c r="A944" s="288" t="s">
        <v>8740</v>
      </c>
      <c r="B944" s="289" t="s">
        <v>25871</v>
      </c>
      <c r="C944" s="288" t="s">
        <v>54</v>
      </c>
      <c r="D944" s="303">
        <v>427.97</v>
      </c>
    </row>
    <row r="945" spans="1:4" ht="36">
      <c r="A945" s="288" t="s">
        <v>8741</v>
      </c>
      <c r="B945" s="289" t="s">
        <v>8742</v>
      </c>
      <c r="C945" s="288" t="s">
        <v>54</v>
      </c>
      <c r="D945" s="303">
        <v>634.47</v>
      </c>
    </row>
    <row r="946" spans="1:4" ht="36">
      <c r="A946" s="288" t="s">
        <v>8743</v>
      </c>
      <c r="B946" s="289" t="s">
        <v>25872</v>
      </c>
      <c r="C946" s="288" t="s">
        <v>54</v>
      </c>
      <c r="D946" s="303">
        <v>713.66</v>
      </c>
    </row>
    <row r="947" spans="1:4" ht="36">
      <c r="A947" s="288" t="s">
        <v>8744</v>
      </c>
      <c r="B947" s="289" t="s">
        <v>25873</v>
      </c>
      <c r="C947" s="288" t="s">
        <v>54</v>
      </c>
      <c r="D947" s="303">
        <v>1031.04</v>
      </c>
    </row>
    <row r="948" spans="1:4" ht="36">
      <c r="A948" s="288" t="s">
        <v>8745</v>
      </c>
      <c r="B948" s="289" t="s">
        <v>25874</v>
      </c>
      <c r="C948" s="288" t="s">
        <v>54</v>
      </c>
      <c r="D948" s="303">
        <v>2166.0300000000002</v>
      </c>
    </row>
    <row r="949" spans="1:4" ht="27">
      <c r="A949" s="287" t="s">
        <v>8746</v>
      </c>
      <c r="B949" s="287"/>
      <c r="C949" s="287"/>
      <c r="D949" s="296" t="s">
        <v>28729</v>
      </c>
    </row>
    <row r="950" spans="1:4" ht="27">
      <c r="A950" s="288" t="s">
        <v>8747</v>
      </c>
      <c r="B950" s="289" t="s">
        <v>8748</v>
      </c>
      <c r="C950" s="288" t="s">
        <v>54</v>
      </c>
      <c r="D950" s="303">
        <v>129.75</v>
      </c>
    </row>
    <row r="951" spans="1:4" ht="27">
      <c r="A951" s="288" t="s">
        <v>8749</v>
      </c>
      <c r="B951" s="289" t="s">
        <v>8750</v>
      </c>
      <c r="C951" s="288" t="s">
        <v>54</v>
      </c>
      <c r="D951" s="303">
        <v>323.55</v>
      </c>
    </row>
    <row r="952" spans="1:4" ht="27">
      <c r="A952" s="288" t="s">
        <v>8751</v>
      </c>
      <c r="B952" s="289" t="s">
        <v>8752</v>
      </c>
      <c r="C952" s="288" t="s">
        <v>54</v>
      </c>
      <c r="D952" s="303">
        <v>422.66</v>
      </c>
    </row>
    <row r="953" spans="1:4" ht="27">
      <c r="A953" s="288" t="s">
        <v>8753</v>
      </c>
      <c r="B953" s="289" t="s">
        <v>8754</v>
      </c>
      <c r="C953" s="288" t="s">
        <v>54</v>
      </c>
      <c r="D953" s="303">
        <v>437.21</v>
      </c>
    </row>
    <row r="954" spans="1:4" ht="27">
      <c r="A954" s="288" t="s">
        <v>8755</v>
      </c>
      <c r="B954" s="289" t="s">
        <v>8756</v>
      </c>
      <c r="C954" s="288" t="s">
        <v>54</v>
      </c>
      <c r="D954" s="303">
        <v>552.15</v>
      </c>
    </row>
    <row r="955" spans="1:4" ht="27">
      <c r="A955" s="288" t="s">
        <v>8757</v>
      </c>
      <c r="B955" s="289" t="s">
        <v>8758</v>
      </c>
      <c r="C955" s="288" t="s">
        <v>54</v>
      </c>
      <c r="D955" s="303">
        <v>1165.31</v>
      </c>
    </row>
    <row r="956" spans="1:4" ht="18">
      <c r="A956" s="287" t="s">
        <v>8759</v>
      </c>
      <c r="B956" s="287"/>
      <c r="C956" s="287"/>
      <c r="D956" s="296" t="s">
        <v>28729</v>
      </c>
    </row>
    <row r="957" spans="1:4" ht="36">
      <c r="A957" s="288" t="s">
        <v>8760</v>
      </c>
      <c r="B957" s="289" t="s">
        <v>8761</v>
      </c>
      <c r="C957" s="288" t="s">
        <v>54</v>
      </c>
      <c r="D957" s="303">
        <v>26.89</v>
      </c>
    </row>
    <row r="958" spans="1:4" ht="36">
      <c r="A958" s="288" t="s">
        <v>8762</v>
      </c>
      <c r="B958" s="289" t="s">
        <v>8763</v>
      </c>
      <c r="C958" s="288" t="s">
        <v>54</v>
      </c>
      <c r="D958" s="303">
        <v>55.16</v>
      </c>
    </row>
    <row r="959" spans="1:4" ht="36">
      <c r="A959" s="288" t="s">
        <v>8764</v>
      </c>
      <c r="B959" s="289" t="s">
        <v>8765</v>
      </c>
      <c r="C959" s="288" t="s">
        <v>54</v>
      </c>
      <c r="D959" s="303">
        <v>83.73</v>
      </c>
    </row>
    <row r="960" spans="1:4" ht="36">
      <c r="A960" s="288" t="s">
        <v>8766</v>
      </c>
      <c r="B960" s="289" t="s">
        <v>8767</v>
      </c>
      <c r="C960" s="288" t="s">
        <v>54</v>
      </c>
      <c r="D960" s="303">
        <v>114.85</v>
      </c>
    </row>
    <row r="961" spans="1:4" ht="36">
      <c r="A961" s="288" t="s">
        <v>8768</v>
      </c>
      <c r="B961" s="289" t="s">
        <v>8769</v>
      </c>
      <c r="C961" s="288" t="s">
        <v>54</v>
      </c>
      <c r="D961" s="303">
        <v>209.65</v>
      </c>
    </row>
    <row r="962" spans="1:4" ht="18">
      <c r="A962" s="287" t="s">
        <v>8770</v>
      </c>
      <c r="B962" s="287"/>
      <c r="C962" s="287"/>
      <c r="D962" s="296" t="s">
        <v>28729</v>
      </c>
    </row>
    <row r="963" spans="1:4" ht="36">
      <c r="A963" s="288" t="s">
        <v>8771</v>
      </c>
      <c r="B963" s="289" t="s">
        <v>8772</v>
      </c>
      <c r="C963" s="288" t="s">
        <v>7079</v>
      </c>
      <c r="D963" s="303">
        <v>40.81</v>
      </c>
    </row>
    <row r="964" spans="1:4" ht="27">
      <c r="A964" s="288" t="s">
        <v>8773</v>
      </c>
      <c r="B964" s="289" t="s">
        <v>8774</v>
      </c>
      <c r="C964" s="288" t="s">
        <v>7079</v>
      </c>
      <c r="D964" s="303">
        <v>67.69</v>
      </c>
    </row>
    <row r="965" spans="1:4" ht="27">
      <c r="A965" s="288" t="s">
        <v>8775</v>
      </c>
      <c r="B965" s="289" t="s">
        <v>8776</v>
      </c>
      <c r="C965" s="288" t="s">
        <v>7079</v>
      </c>
      <c r="D965" s="303">
        <v>139.31</v>
      </c>
    </row>
    <row r="966" spans="1:4" ht="18">
      <c r="A966" s="287" t="s">
        <v>8777</v>
      </c>
      <c r="B966" s="287"/>
      <c r="C966" s="287"/>
      <c r="D966" s="296" t="s">
        <v>28729</v>
      </c>
    </row>
    <row r="967" spans="1:4" ht="36">
      <c r="A967" s="288" t="s">
        <v>8778</v>
      </c>
      <c r="B967" s="289" t="s">
        <v>8779</v>
      </c>
      <c r="C967" s="288" t="s">
        <v>54</v>
      </c>
      <c r="D967" s="303">
        <v>80.849999999999994</v>
      </c>
    </row>
    <row r="968" spans="1:4" ht="36">
      <c r="A968" s="288" t="s">
        <v>8780</v>
      </c>
      <c r="B968" s="289" t="s">
        <v>8781</v>
      </c>
      <c r="C968" s="288" t="s">
        <v>54</v>
      </c>
      <c r="D968" s="303">
        <v>82.04</v>
      </c>
    </row>
    <row r="969" spans="1:4" ht="36">
      <c r="A969" s="288" t="s">
        <v>8782</v>
      </c>
      <c r="B969" s="289" t="s">
        <v>8783</v>
      </c>
      <c r="C969" s="288" t="s">
        <v>54</v>
      </c>
      <c r="D969" s="303">
        <v>109.74</v>
      </c>
    </row>
    <row r="970" spans="1:4" ht="36">
      <c r="A970" s="288" t="s">
        <v>8784</v>
      </c>
      <c r="B970" s="289" t="s">
        <v>8785</v>
      </c>
      <c r="C970" s="288" t="s">
        <v>54</v>
      </c>
      <c r="D970" s="303">
        <v>232.72</v>
      </c>
    </row>
    <row r="971" spans="1:4" ht="36">
      <c r="A971" s="288" t="s">
        <v>8786</v>
      </c>
      <c r="B971" s="289" t="s">
        <v>8787</v>
      </c>
      <c r="C971" s="288" t="s">
        <v>54</v>
      </c>
      <c r="D971" s="303">
        <v>417.04</v>
      </c>
    </row>
    <row r="972" spans="1:4" ht="27">
      <c r="A972" s="287" t="s">
        <v>8788</v>
      </c>
      <c r="B972" s="287"/>
      <c r="C972" s="287"/>
      <c r="D972" s="296" t="s">
        <v>28729</v>
      </c>
    </row>
    <row r="973" spans="1:4" ht="54">
      <c r="A973" s="288" t="s">
        <v>8789</v>
      </c>
      <c r="B973" s="289" t="s">
        <v>8790</v>
      </c>
      <c r="C973" s="288" t="s">
        <v>54</v>
      </c>
      <c r="D973" s="303">
        <v>23.8</v>
      </c>
    </row>
    <row r="974" spans="1:4" ht="54">
      <c r="A974" s="288" t="s">
        <v>8791</v>
      </c>
      <c r="B974" s="289" t="s">
        <v>8792</v>
      </c>
      <c r="C974" s="288" t="s">
        <v>54</v>
      </c>
      <c r="D974" s="303">
        <v>75.27</v>
      </c>
    </row>
    <row r="975" spans="1:4" ht="27">
      <c r="A975" s="287" t="s">
        <v>8793</v>
      </c>
      <c r="B975" s="287"/>
      <c r="C975" s="287"/>
      <c r="D975" s="296" t="s">
        <v>28729</v>
      </c>
    </row>
    <row r="976" spans="1:4" ht="36">
      <c r="A976" s="288" t="s">
        <v>8794</v>
      </c>
      <c r="B976" s="289" t="s">
        <v>8795</v>
      </c>
      <c r="C976" s="288" t="s">
        <v>54</v>
      </c>
      <c r="D976" s="303">
        <v>17.98</v>
      </c>
    </row>
    <row r="977" spans="1:4" ht="36">
      <c r="A977" s="288" t="s">
        <v>8796</v>
      </c>
      <c r="B977" s="289" t="s">
        <v>8797</v>
      </c>
      <c r="C977" s="288" t="s">
        <v>54</v>
      </c>
      <c r="D977" s="303">
        <v>35.47</v>
      </c>
    </row>
    <row r="978" spans="1:4" ht="36">
      <c r="A978" s="288" t="s">
        <v>8798</v>
      </c>
      <c r="B978" s="289" t="s">
        <v>8799</v>
      </c>
      <c r="C978" s="288" t="s">
        <v>54</v>
      </c>
      <c r="D978" s="303">
        <v>33.04</v>
      </c>
    </row>
    <row r="979" spans="1:4" ht="36">
      <c r="A979" s="288" t="s">
        <v>8800</v>
      </c>
      <c r="B979" s="289" t="s">
        <v>8801</v>
      </c>
      <c r="C979" s="288" t="s">
        <v>54</v>
      </c>
      <c r="D979" s="303">
        <v>23.08</v>
      </c>
    </row>
    <row r="980" spans="1:4" ht="36">
      <c r="A980" s="288" t="s">
        <v>8802</v>
      </c>
      <c r="B980" s="289" t="s">
        <v>8803</v>
      </c>
      <c r="C980" s="288" t="s">
        <v>54</v>
      </c>
      <c r="D980" s="303">
        <v>31.34</v>
      </c>
    </row>
    <row r="981" spans="1:4" ht="36">
      <c r="A981" s="288" t="s">
        <v>8804</v>
      </c>
      <c r="B981" s="289" t="s">
        <v>8805</v>
      </c>
      <c r="C981" s="288" t="s">
        <v>54</v>
      </c>
      <c r="D981" s="303">
        <v>57.88</v>
      </c>
    </row>
    <row r="982" spans="1:4" ht="36">
      <c r="A982" s="288" t="s">
        <v>8806</v>
      </c>
      <c r="B982" s="289" t="s">
        <v>8807</v>
      </c>
      <c r="C982" s="288" t="s">
        <v>54</v>
      </c>
      <c r="D982" s="303">
        <v>28.31</v>
      </c>
    </row>
    <row r="983" spans="1:4" ht="36">
      <c r="A983" s="288" t="s">
        <v>8808</v>
      </c>
      <c r="B983" s="289" t="s">
        <v>8809</v>
      </c>
      <c r="C983" s="288" t="s">
        <v>54</v>
      </c>
      <c r="D983" s="303">
        <v>51.59</v>
      </c>
    </row>
    <row r="984" spans="1:4" ht="36">
      <c r="A984" s="288" t="s">
        <v>8810</v>
      </c>
      <c r="B984" s="289" t="s">
        <v>8811</v>
      </c>
      <c r="C984" s="288" t="s">
        <v>54</v>
      </c>
      <c r="D984" s="303">
        <v>100.8</v>
      </c>
    </row>
    <row r="985" spans="1:4" ht="36">
      <c r="A985" s="288" t="s">
        <v>8812</v>
      </c>
      <c r="B985" s="289" t="s">
        <v>8813</v>
      </c>
      <c r="C985" s="288" t="s">
        <v>54</v>
      </c>
      <c r="D985" s="303">
        <v>35.31</v>
      </c>
    </row>
    <row r="986" spans="1:4" ht="36">
      <c r="A986" s="288" t="s">
        <v>8814</v>
      </c>
      <c r="B986" s="289" t="s">
        <v>8815</v>
      </c>
      <c r="C986" s="288" t="s">
        <v>54</v>
      </c>
      <c r="D986" s="303">
        <v>67.599999999999994</v>
      </c>
    </row>
    <row r="987" spans="1:4" ht="36">
      <c r="A987" s="288" t="s">
        <v>8816</v>
      </c>
      <c r="B987" s="289" t="s">
        <v>8817</v>
      </c>
      <c r="C987" s="288" t="s">
        <v>54</v>
      </c>
      <c r="D987" s="303">
        <v>108.38</v>
      </c>
    </row>
    <row r="988" spans="1:4" ht="36">
      <c r="A988" s="288" t="s">
        <v>8818</v>
      </c>
      <c r="B988" s="289" t="s">
        <v>8819</v>
      </c>
      <c r="C988" s="288" t="s">
        <v>54</v>
      </c>
      <c r="D988" s="303">
        <v>163.9</v>
      </c>
    </row>
    <row r="989" spans="1:4" ht="36">
      <c r="A989" s="288" t="s">
        <v>8820</v>
      </c>
      <c r="B989" s="289" t="s">
        <v>8821</v>
      </c>
      <c r="C989" s="288" t="s">
        <v>54</v>
      </c>
      <c r="D989" s="303">
        <v>230.78</v>
      </c>
    </row>
    <row r="990" spans="1:4" ht="27">
      <c r="A990" s="287" t="s">
        <v>8822</v>
      </c>
      <c r="B990" s="287"/>
      <c r="C990" s="287"/>
      <c r="D990" s="296" t="s">
        <v>28729</v>
      </c>
    </row>
    <row r="991" spans="1:4" ht="27">
      <c r="A991" s="288" t="s">
        <v>8823</v>
      </c>
      <c r="B991" s="289" t="s">
        <v>8824</v>
      </c>
      <c r="C991" s="288" t="s">
        <v>7079</v>
      </c>
      <c r="D991" s="303">
        <v>33.369999999999997</v>
      </c>
    </row>
    <row r="992" spans="1:4" ht="27">
      <c r="A992" s="288" t="s">
        <v>8825</v>
      </c>
      <c r="B992" s="289" t="s">
        <v>8826</v>
      </c>
      <c r="C992" s="288" t="s">
        <v>7079</v>
      </c>
      <c r="D992" s="303">
        <v>50.98</v>
      </c>
    </row>
    <row r="993" spans="1:4" ht="27">
      <c r="A993" s="288" t="s">
        <v>8827</v>
      </c>
      <c r="B993" s="289" t="s">
        <v>8828</v>
      </c>
      <c r="C993" s="288" t="s">
        <v>7079</v>
      </c>
      <c r="D993" s="303">
        <v>65.3</v>
      </c>
    </row>
    <row r="994" spans="1:4" ht="18">
      <c r="A994" s="288" t="s">
        <v>8829</v>
      </c>
      <c r="B994" s="289" t="s">
        <v>8830</v>
      </c>
      <c r="C994" s="288" t="s">
        <v>7079</v>
      </c>
      <c r="D994" s="303">
        <v>16.77</v>
      </c>
    </row>
    <row r="995" spans="1:4" ht="18">
      <c r="A995" s="288" t="s">
        <v>8831</v>
      </c>
      <c r="B995" s="289" t="s">
        <v>8832</v>
      </c>
      <c r="C995" s="288" t="s">
        <v>7079</v>
      </c>
      <c r="D995" s="303">
        <v>42.43</v>
      </c>
    </row>
    <row r="996" spans="1:4" ht="18">
      <c r="A996" s="288" t="s">
        <v>8833</v>
      </c>
      <c r="B996" s="289" t="s">
        <v>8834</v>
      </c>
      <c r="C996" s="288" t="s">
        <v>7079</v>
      </c>
      <c r="D996" s="303">
        <v>20.83</v>
      </c>
    </row>
    <row r="997" spans="1:4" ht="18">
      <c r="A997" s="288" t="s">
        <v>8835</v>
      </c>
      <c r="B997" s="289" t="s">
        <v>8836</v>
      </c>
      <c r="C997" s="288" t="s">
        <v>7079</v>
      </c>
      <c r="D997" s="303">
        <v>43.84</v>
      </c>
    </row>
    <row r="998" spans="1:4" ht="18">
      <c r="A998" s="288" t="s">
        <v>8837</v>
      </c>
      <c r="B998" s="289" t="s">
        <v>8838</v>
      </c>
      <c r="C998" s="288" t="s">
        <v>7079</v>
      </c>
      <c r="D998" s="303">
        <v>68.69</v>
      </c>
    </row>
    <row r="999" spans="1:4" ht="18">
      <c r="A999" s="288" t="s">
        <v>8839</v>
      </c>
      <c r="B999" s="289" t="s">
        <v>8840</v>
      </c>
      <c r="C999" s="288" t="s">
        <v>7079</v>
      </c>
      <c r="D999" s="303">
        <v>34.909999999999997</v>
      </c>
    </row>
    <row r="1000" spans="1:4" ht="18">
      <c r="A1000" s="288" t="s">
        <v>8841</v>
      </c>
      <c r="B1000" s="289" t="s">
        <v>8842</v>
      </c>
      <c r="C1000" s="288" t="s">
        <v>7079</v>
      </c>
      <c r="D1000" s="303">
        <v>18.34</v>
      </c>
    </row>
    <row r="1001" spans="1:4" ht="18">
      <c r="A1001" s="288" t="s">
        <v>8843</v>
      </c>
      <c r="B1001" s="289" t="s">
        <v>8844</v>
      </c>
      <c r="C1001" s="288" t="s">
        <v>7079</v>
      </c>
      <c r="D1001" s="303">
        <v>29.95</v>
      </c>
    </row>
    <row r="1002" spans="1:4" ht="18">
      <c r="A1002" s="288" t="s">
        <v>8845</v>
      </c>
      <c r="B1002" s="289" t="s">
        <v>8846</v>
      </c>
      <c r="C1002" s="288" t="s">
        <v>7079</v>
      </c>
      <c r="D1002" s="303">
        <v>74.75</v>
      </c>
    </row>
    <row r="1003" spans="1:4" ht="18">
      <c r="A1003" s="288" t="s">
        <v>8847</v>
      </c>
      <c r="B1003" s="289" t="s">
        <v>8848</v>
      </c>
      <c r="C1003" s="288" t="s">
        <v>7079</v>
      </c>
      <c r="D1003" s="303">
        <v>27.94</v>
      </c>
    </row>
    <row r="1004" spans="1:4" ht="18">
      <c r="A1004" s="288" t="s">
        <v>8849</v>
      </c>
      <c r="B1004" s="289" t="s">
        <v>8850</v>
      </c>
      <c r="C1004" s="288" t="s">
        <v>7079</v>
      </c>
      <c r="D1004" s="303">
        <v>65.930000000000007</v>
      </c>
    </row>
    <row r="1005" spans="1:4" ht="18">
      <c r="A1005" s="288" t="s">
        <v>8851</v>
      </c>
      <c r="B1005" s="289" t="s">
        <v>8852</v>
      </c>
      <c r="C1005" s="288" t="s">
        <v>7079</v>
      </c>
      <c r="D1005" s="303">
        <v>107.18</v>
      </c>
    </row>
    <row r="1006" spans="1:4" ht="27">
      <c r="A1006" s="288" t="s">
        <v>8853</v>
      </c>
      <c r="B1006" s="289" t="s">
        <v>8854</v>
      </c>
      <c r="C1006" s="288" t="s">
        <v>7079</v>
      </c>
      <c r="D1006" s="303">
        <v>30.67</v>
      </c>
    </row>
    <row r="1007" spans="1:4" ht="27">
      <c r="A1007" s="288" t="s">
        <v>8855</v>
      </c>
      <c r="B1007" s="289" t="s">
        <v>8856</v>
      </c>
      <c r="C1007" s="288" t="s">
        <v>7079</v>
      </c>
      <c r="D1007" s="303">
        <v>48.02</v>
      </c>
    </row>
    <row r="1008" spans="1:4" ht="27">
      <c r="A1008" s="288" t="s">
        <v>8857</v>
      </c>
      <c r="B1008" s="289" t="s">
        <v>8858</v>
      </c>
      <c r="C1008" s="288" t="s">
        <v>7079</v>
      </c>
      <c r="D1008" s="303">
        <v>111</v>
      </c>
    </row>
    <row r="1009" spans="1:4" ht="27">
      <c r="A1009" s="288" t="s">
        <v>8859</v>
      </c>
      <c r="B1009" s="289" t="s">
        <v>8860</v>
      </c>
      <c r="C1009" s="288" t="s">
        <v>7079</v>
      </c>
      <c r="D1009" s="303">
        <v>133.11000000000001</v>
      </c>
    </row>
    <row r="1010" spans="1:4" ht="27">
      <c r="A1010" s="288" t="s">
        <v>8861</v>
      </c>
      <c r="B1010" s="289" t="s">
        <v>8862</v>
      </c>
      <c r="C1010" s="288" t="s">
        <v>7079</v>
      </c>
      <c r="D1010" s="303">
        <v>52.58</v>
      </c>
    </row>
    <row r="1011" spans="1:4" ht="27">
      <c r="A1011" s="288" t="s">
        <v>8863</v>
      </c>
      <c r="B1011" s="289" t="s">
        <v>8864</v>
      </c>
      <c r="C1011" s="288" t="s">
        <v>7079</v>
      </c>
      <c r="D1011" s="303">
        <v>45.8</v>
      </c>
    </row>
    <row r="1012" spans="1:4" ht="27">
      <c r="A1012" s="288" t="s">
        <v>8865</v>
      </c>
      <c r="B1012" s="289" t="s">
        <v>8866</v>
      </c>
      <c r="C1012" s="288" t="s">
        <v>7079</v>
      </c>
      <c r="D1012" s="303">
        <v>120.76</v>
      </c>
    </row>
    <row r="1013" spans="1:4" ht="27">
      <c r="A1013" s="288" t="s">
        <v>8867</v>
      </c>
      <c r="B1013" s="289" t="s">
        <v>8868</v>
      </c>
      <c r="C1013" s="288" t="s">
        <v>7079</v>
      </c>
      <c r="D1013" s="303">
        <v>197.16</v>
      </c>
    </row>
    <row r="1014" spans="1:4" ht="27">
      <c r="A1014" s="288" t="s">
        <v>8869</v>
      </c>
      <c r="B1014" s="289" t="s">
        <v>8870</v>
      </c>
      <c r="C1014" s="288" t="s">
        <v>7079</v>
      </c>
      <c r="D1014" s="303">
        <v>219.5</v>
      </c>
    </row>
    <row r="1015" spans="1:4" ht="27">
      <c r="A1015" s="288" t="s">
        <v>8871</v>
      </c>
      <c r="B1015" s="289" t="s">
        <v>8872</v>
      </c>
      <c r="C1015" s="288" t="s">
        <v>7079</v>
      </c>
      <c r="D1015" s="303">
        <v>516.91</v>
      </c>
    </row>
    <row r="1016" spans="1:4" ht="27">
      <c r="A1016" s="288" t="s">
        <v>8873</v>
      </c>
      <c r="B1016" s="289" t="s">
        <v>8874</v>
      </c>
      <c r="C1016" s="288" t="s">
        <v>7079</v>
      </c>
      <c r="D1016" s="303">
        <v>33.99</v>
      </c>
    </row>
    <row r="1017" spans="1:4" ht="27">
      <c r="A1017" s="288" t="s">
        <v>8875</v>
      </c>
      <c r="B1017" s="289" t="s">
        <v>8876</v>
      </c>
      <c r="C1017" s="288" t="s">
        <v>7079</v>
      </c>
      <c r="D1017" s="303">
        <v>58.1</v>
      </c>
    </row>
    <row r="1018" spans="1:4" ht="27">
      <c r="A1018" s="288" t="s">
        <v>8877</v>
      </c>
      <c r="B1018" s="289" t="s">
        <v>8878</v>
      </c>
      <c r="C1018" s="288" t="s">
        <v>7079</v>
      </c>
      <c r="D1018" s="303">
        <v>112.35</v>
      </c>
    </row>
    <row r="1019" spans="1:4" ht="27">
      <c r="A1019" s="288" t="s">
        <v>8879</v>
      </c>
      <c r="B1019" s="289" t="s">
        <v>8880</v>
      </c>
      <c r="C1019" s="288" t="s">
        <v>7079</v>
      </c>
      <c r="D1019" s="303">
        <v>356.66</v>
      </c>
    </row>
    <row r="1020" spans="1:4" ht="27">
      <c r="A1020" s="288" t="s">
        <v>8881</v>
      </c>
      <c r="B1020" s="289" t="s">
        <v>8882</v>
      </c>
      <c r="C1020" s="288" t="s">
        <v>7079</v>
      </c>
      <c r="D1020" s="303">
        <v>31.09</v>
      </c>
    </row>
    <row r="1021" spans="1:4" ht="27">
      <c r="A1021" s="288" t="s">
        <v>8883</v>
      </c>
      <c r="B1021" s="289" t="s">
        <v>8884</v>
      </c>
      <c r="C1021" s="288" t="s">
        <v>7079</v>
      </c>
      <c r="D1021" s="303">
        <v>141.34</v>
      </c>
    </row>
    <row r="1022" spans="1:4" ht="27">
      <c r="A1022" s="288" t="s">
        <v>8885</v>
      </c>
      <c r="B1022" s="289" t="s">
        <v>8886</v>
      </c>
      <c r="C1022" s="288" t="s">
        <v>7079</v>
      </c>
      <c r="D1022" s="303">
        <v>33.590000000000003</v>
      </c>
    </row>
    <row r="1023" spans="1:4" ht="27">
      <c r="A1023" s="288" t="s">
        <v>8887</v>
      </c>
      <c r="B1023" s="289" t="s">
        <v>8888</v>
      </c>
      <c r="C1023" s="288" t="s">
        <v>7079</v>
      </c>
      <c r="D1023" s="303">
        <v>105.43</v>
      </c>
    </row>
    <row r="1024" spans="1:4" ht="27">
      <c r="A1024" s="288" t="s">
        <v>8889</v>
      </c>
      <c r="B1024" s="289" t="s">
        <v>8890</v>
      </c>
      <c r="C1024" s="288" t="s">
        <v>7079</v>
      </c>
      <c r="D1024" s="303">
        <v>104.16</v>
      </c>
    </row>
    <row r="1025" spans="1:4" ht="27">
      <c r="A1025" s="288" t="s">
        <v>8891</v>
      </c>
      <c r="B1025" s="289" t="s">
        <v>8892</v>
      </c>
      <c r="C1025" s="288" t="s">
        <v>7079</v>
      </c>
      <c r="D1025" s="303">
        <v>78.66</v>
      </c>
    </row>
    <row r="1026" spans="1:4" ht="27">
      <c r="A1026" s="288" t="s">
        <v>8893</v>
      </c>
      <c r="B1026" s="289" t="s">
        <v>8894</v>
      </c>
      <c r="C1026" s="288" t="s">
        <v>7079</v>
      </c>
      <c r="D1026" s="303">
        <v>136.07</v>
      </c>
    </row>
    <row r="1027" spans="1:4" ht="27">
      <c r="A1027" s="288" t="s">
        <v>8895</v>
      </c>
      <c r="B1027" s="289" t="s">
        <v>8896</v>
      </c>
      <c r="C1027" s="288" t="s">
        <v>7079</v>
      </c>
      <c r="D1027" s="303">
        <v>174.38</v>
      </c>
    </row>
    <row r="1028" spans="1:4" ht="27">
      <c r="A1028" s="288" t="s">
        <v>8897</v>
      </c>
      <c r="B1028" s="289" t="s">
        <v>8898</v>
      </c>
      <c r="C1028" s="288" t="s">
        <v>7079</v>
      </c>
      <c r="D1028" s="303">
        <v>143.07</v>
      </c>
    </row>
    <row r="1029" spans="1:4" ht="27">
      <c r="A1029" s="288" t="s">
        <v>8899</v>
      </c>
      <c r="B1029" s="289" t="s">
        <v>8900</v>
      </c>
      <c r="C1029" s="288" t="s">
        <v>7079</v>
      </c>
      <c r="D1029" s="303">
        <v>183.07</v>
      </c>
    </row>
    <row r="1030" spans="1:4" ht="27">
      <c r="A1030" s="288" t="s">
        <v>8901</v>
      </c>
      <c r="B1030" s="289" t="s">
        <v>8902</v>
      </c>
      <c r="C1030" s="288" t="s">
        <v>7079</v>
      </c>
      <c r="D1030" s="303">
        <v>250.5</v>
      </c>
    </row>
    <row r="1031" spans="1:4" ht="27">
      <c r="A1031" s="288" t="s">
        <v>8903</v>
      </c>
      <c r="B1031" s="289" t="s">
        <v>8904</v>
      </c>
      <c r="C1031" s="288" t="s">
        <v>7079</v>
      </c>
      <c r="D1031" s="303">
        <v>49.79</v>
      </c>
    </row>
    <row r="1032" spans="1:4" ht="27">
      <c r="A1032" s="288" t="s">
        <v>8905</v>
      </c>
      <c r="B1032" s="289" t="s">
        <v>8906</v>
      </c>
      <c r="C1032" s="288" t="s">
        <v>7079</v>
      </c>
      <c r="D1032" s="303">
        <v>51.05</v>
      </c>
    </row>
    <row r="1033" spans="1:4" ht="27">
      <c r="A1033" s="288" t="s">
        <v>8907</v>
      </c>
      <c r="B1033" s="289" t="s">
        <v>8908</v>
      </c>
      <c r="C1033" s="288" t="s">
        <v>7079</v>
      </c>
      <c r="D1033" s="303">
        <v>35.700000000000003</v>
      </c>
    </row>
    <row r="1034" spans="1:4" ht="27">
      <c r="A1034" s="288" t="s">
        <v>8909</v>
      </c>
      <c r="B1034" s="289" t="s">
        <v>8910</v>
      </c>
      <c r="C1034" s="288" t="s">
        <v>7079</v>
      </c>
      <c r="D1034" s="303">
        <v>46</v>
      </c>
    </row>
    <row r="1035" spans="1:4" ht="27">
      <c r="A1035" s="288" t="s">
        <v>8911</v>
      </c>
      <c r="B1035" s="289" t="s">
        <v>8912</v>
      </c>
      <c r="C1035" s="288" t="s">
        <v>7079</v>
      </c>
      <c r="D1035" s="303">
        <v>71.3</v>
      </c>
    </row>
    <row r="1036" spans="1:4" ht="27">
      <c r="A1036" s="288" t="s">
        <v>8913</v>
      </c>
      <c r="B1036" s="289" t="s">
        <v>8914</v>
      </c>
      <c r="C1036" s="288" t="s">
        <v>7079</v>
      </c>
      <c r="D1036" s="303">
        <v>43.3</v>
      </c>
    </row>
    <row r="1037" spans="1:4" ht="27">
      <c r="A1037" s="288" t="s">
        <v>8915</v>
      </c>
      <c r="B1037" s="289" t="s">
        <v>8916</v>
      </c>
      <c r="C1037" s="288" t="s">
        <v>7079</v>
      </c>
      <c r="D1037" s="303">
        <v>46</v>
      </c>
    </row>
    <row r="1038" spans="1:4" ht="27">
      <c r="A1038" s="288" t="s">
        <v>8917</v>
      </c>
      <c r="B1038" s="289" t="s">
        <v>8918</v>
      </c>
      <c r="C1038" s="288" t="s">
        <v>7079</v>
      </c>
      <c r="D1038" s="303">
        <v>56.86</v>
      </c>
    </row>
    <row r="1039" spans="1:4" ht="27">
      <c r="A1039" s="288" t="s">
        <v>8919</v>
      </c>
      <c r="B1039" s="289" t="s">
        <v>8920</v>
      </c>
      <c r="C1039" s="288" t="s">
        <v>7079</v>
      </c>
      <c r="D1039" s="303">
        <v>79.16</v>
      </c>
    </row>
    <row r="1040" spans="1:4" ht="27">
      <c r="A1040" s="288" t="s">
        <v>8921</v>
      </c>
      <c r="B1040" s="289" t="s">
        <v>8922</v>
      </c>
      <c r="C1040" s="288" t="s">
        <v>7079</v>
      </c>
      <c r="D1040" s="303">
        <v>133.88999999999999</v>
      </c>
    </row>
    <row r="1041" spans="1:4" ht="27">
      <c r="A1041" s="288" t="s">
        <v>8923</v>
      </c>
      <c r="B1041" s="289" t="s">
        <v>8924</v>
      </c>
      <c r="C1041" s="288" t="s">
        <v>7079</v>
      </c>
      <c r="D1041" s="303">
        <v>207.53</v>
      </c>
    </row>
    <row r="1042" spans="1:4" ht="27">
      <c r="A1042" s="288" t="s">
        <v>8925</v>
      </c>
      <c r="B1042" s="289" t="s">
        <v>8926</v>
      </c>
      <c r="C1042" s="288" t="s">
        <v>7079</v>
      </c>
      <c r="D1042" s="303">
        <v>369.86</v>
      </c>
    </row>
    <row r="1043" spans="1:4" ht="27">
      <c r="A1043" s="288" t="s">
        <v>8927</v>
      </c>
      <c r="B1043" s="289" t="s">
        <v>8928</v>
      </c>
      <c r="C1043" s="288" t="s">
        <v>7079</v>
      </c>
      <c r="D1043" s="303">
        <v>567.22</v>
      </c>
    </row>
    <row r="1044" spans="1:4" ht="27">
      <c r="A1044" s="288" t="s">
        <v>8929</v>
      </c>
      <c r="B1044" s="289" t="s">
        <v>8930</v>
      </c>
      <c r="C1044" s="288" t="s">
        <v>7079</v>
      </c>
      <c r="D1044" s="303">
        <v>45.37</v>
      </c>
    </row>
    <row r="1045" spans="1:4" ht="27">
      <c r="A1045" s="288" t="s">
        <v>8931</v>
      </c>
      <c r="B1045" s="289" t="s">
        <v>8932</v>
      </c>
      <c r="C1045" s="288" t="s">
        <v>7079</v>
      </c>
      <c r="D1045" s="303">
        <v>77.52</v>
      </c>
    </row>
    <row r="1046" spans="1:4" ht="27">
      <c r="A1046" s="288" t="s">
        <v>8933</v>
      </c>
      <c r="B1046" s="289" t="s">
        <v>8934</v>
      </c>
      <c r="C1046" s="288" t="s">
        <v>7079</v>
      </c>
      <c r="D1046" s="303">
        <v>162.99</v>
      </c>
    </row>
    <row r="1047" spans="1:4" ht="27">
      <c r="A1047" s="288" t="s">
        <v>8935</v>
      </c>
      <c r="B1047" s="289" t="s">
        <v>8936</v>
      </c>
      <c r="C1047" s="288" t="s">
        <v>7079</v>
      </c>
      <c r="D1047" s="303">
        <v>264.04000000000002</v>
      </c>
    </row>
    <row r="1048" spans="1:4" ht="27">
      <c r="A1048" s="288" t="s">
        <v>8937</v>
      </c>
      <c r="B1048" s="289" t="s">
        <v>8938</v>
      </c>
      <c r="C1048" s="288" t="s">
        <v>7079</v>
      </c>
      <c r="D1048" s="303">
        <v>348.71</v>
      </c>
    </row>
    <row r="1049" spans="1:4" ht="27">
      <c r="A1049" s="288" t="s">
        <v>8939</v>
      </c>
      <c r="B1049" s="289" t="s">
        <v>8940</v>
      </c>
      <c r="C1049" s="288" t="s">
        <v>7079</v>
      </c>
      <c r="D1049" s="303">
        <v>23.22</v>
      </c>
    </row>
    <row r="1050" spans="1:4" ht="27">
      <c r="A1050" s="288" t="s">
        <v>8941</v>
      </c>
      <c r="B1050" s="289" t="s">
        <v>8942</v>
      </c>
      <c r="C1050" s="288" t="s">
        <v>7079</v>
      </c>
      <c r="D1050" s="303">
        <v>23.49</v>
      </c>
    </row>
    <row r="1051" spans="1:4" ht="27">
      <c r="A1051" s="288" t="s">
        <v>8943</v>
      </c>
      <c r="B1051" s="289" t="s">
        <v>8944</v>
      </c>
      <c r="C1051" s="288" t="s">
        <v>7079</v>
      </c>
      <c r="D1051" s="303">
        <v>49.1</v>
      </c>
    </row>
    <row r="1052" spans="1:4" ht="27">
      <c r="A1052" s="288" t="s">
        <v>8945</v>
      </c>
      <c r="B1052" s="289" t="s">
        <v>8946</v>
      </c>
      <c r="C1052" s="288" t="s">
        <v>7079</v>
      </c>
      <c r="D1052" s="303">
        <v>81.62</v>
      </c>
    </row>
    <row r="1053" spans="1:4" ht="27">
      <c r="A1053" s="288" t="s">
        <v>8947</v>
      </c>
      <c r="B1053" s="289" t="s">
        <v>8948</v>
      </c>
      <c r="C1053" s="288" t="s">
        <v>7079</v>
      </c>
      <c r="D1053" s="303">
        <v>215.45</v>
      </c>
    </row>
    <row r="1054" spans="1:4" ht="27">
      <c r="A1054" s="288" t="s">
        <v>8949</v>
      </c>
      <c r="B1054" s="289" t="s">
        <v>8950</v>
      </c>
      <c r="C1054" s="288" t="s">
        <v>7079</v>
      </c>
      <c r="D1054" s="303">
        <v>24.22</v>
      </c>
    </row>
    <row r="1055" spans="1:4" ht="27">
      <c r="A1055" s="288" t="s">
        <v>8951</v>
      </c>
      <c r="B1055" s="289" t="s">
        <v>8952</v>
      </c>
      <c r="C1055" s="288" t="s">
        <v>7079</v>
      </c>
      <c r="D1055" s="303">
        <v>80.78</v>
      </c>
    </row>
    <row r="1056" spans="1:4" ht="27">
      <c r="A1056" s="288" t="s">
        <v>8953</v>
      </c>
      <c r="B1056" s="289" t="s">
        <v>8954</v>
      </c>
      <c r="C1056" s="288" t="s">
        <v>7079</v>
      </c>
      <c r="D1056" s="303">
        <v>113.93</v>
      </c>
    </row>
    <row r="1057" spans="1:4" ht="27">
      <c r="A1057" s="288" t="s">
        <v>8955</v>
      </c>
      <c r="B1057" s="289" t="s">
        <v>8956</v>
      </c>
      <c r="C1057" s="288" t="s">
        <v>7079</v>
      </c>
      <c r="D1057" s="303">
        <v>132.77000000000001</v>
      </c>
    </row>
    <row r="1058" spans="1:4" ht="27">
      <c r="A1058" s="288" t="s">
        <v>8957</v>
      </c>
      <c r="B1058" s="289" t="s">
        <v>8958</v>
      </c>
      <c r="C1058" s="288" t="s">
        <v>7079</v>
      </c>
      <c r="D1058" s="303">
        <v>27.12</v>
      </c>
    </row>
    <row r="1059" spans="1:4" ht="27">
      <c r="A1059" s="288" t="s">
        <v>8959</v>
      </c>
      <c r="B1059" s="289" t="s">
        <v>8960</v>
      </c>
      <c r="C1059" s="288" t="s">
        <v>7079</v>
      </c>
      <c r="D1059" s="303">
        <v>51.1</v>
      </c>
    </row>
    <row r="1060" spans="1:4" ht="27">
      <c r="A1060" s="288" t="s">
        <v>8961</v>
      </c>
      <c r="B1060" s="289" t="s">
        <v>8962</v>
      </c>
      <c r="C1060" s="288" t="s">
        <v>7079</v>
      </c>
      <c r="D1060" s="303">
        <v>69.739999999999995</v>
      </c>
    </row>
    <row r="1061" spans="1:4" ht="27">
      <c r="A1061" s="288" t="s">
        <v>8963</v>
      </c>
      <c r="B1061" s="289" t="s">
        <v>8964</v>
      </c>
      <c r="C1061" s="288" t="s">
        <v>7079</v>
      </c>
      <c r="D1061" s="303">
        <v>101.71</v>
      </c>
    </row>
    <row r="1062" spans="1:4" ht="27">
      <c r="A1062" s="288" t="s">
        <v>8965</v>
      </c>
      <c r="B1062" s="289" t="s">
        <v>8966</v>
      </c>
      <c r="C1062" s="288" t="s">
        <v>7079</v>
      </c>
      <c r="D1062" s="303">
        <v>46.5</v>
      </c>
    </row>
    <row r="1063" spans="1:4" ht="27">
      <c r="A1063" s="288" t="s">
        <v>8967</v>
      </c>
      <c r="B1063" s="289" t="s">
        <v>8968</v>
      </c>
      <c r="C1063" s="288" t="s">
        <v>7079</v>
      </c>
      <c r="D1063" s="303">
        <v>62.07</v>
      </c>
    </row>
    <row r="1064" spans="1:4" ht="27">
      <c r="A1064" s="288" t="s">
        <v>8969</v>
      </c>
      <c r="B1064" s="289" t="s">
        <v>8970</v>
      </c>
      <c r="C1064" s="288" t="s">
        <v>7079</v>
      </c>
      <c r="D1064" s="303">
        <v>87.83</v>
      </c>
    </row>
    <row r="1065" spans="1:4" ht="27">
      <c r="A1065" s="288" t="s">
        <v>8971</v>
      </c>
      <c r="B1065" s="289" t="s">
        <v>8972</v>
      </c>
      <c r="C1065" s="288" t="s">
        <v>7079</v>
      </c>
      <c r="D1065" s="303">
        <v>404.09</v>
      </c>
    </row>
    <row r="1066" spans="1:4" ht="27">
      <c r="A1066" s="288" t="s">
        <v>8973</v>
      </c>
      <c r="B1066" s="289" t="s">
        <v>8974</v>
      </c>
      <c r="C1066" s="288" t="s">
        <v>7079</v>
      </c>
      <c r="D1066" s="303">
        <v>76.02</v>
      </c>
    </row>
    <row r="1067" spans="1:4" ht="27">
      <c r="A1067" s="288" t="s">
        <v>8975</v>
      </c>
      <c r="B1067" s="289" t="s">
        <v>8976</v>
      </c>
      <c r="C1067" s="288" t="s">
        <v>7079</v>
      </c>
      <c r="D1067" s="303">
        <v>82.72</v>
      </c>
    </row>
    <row r="1068" spans="1:4" ht="27">
      <c r="A1068" s="288" t="s">
        <v>8977</v>
      </c>
      <c r="B1068" s="289" t="s">
        <v>8978</v>
      </c>
      <c r="C1068" s="288" t="s">
        <v>7079</v>
      </c>
      <c r="D1068" s="303">
        <v>101.48</v>
      </c>
    </row>
    <row r="1069" spans="1:4" ht="27">
      <c r="A1069" s="288" t="s">
        <v>8979</v>
      </c>
      <c r="B1069" s="289" t="s">
        <v>8980</v>
      </c>
      <c r="C1069" s="288" t="s">
        <v>7079</v>
      </c>
      <c r="D1069" s="303">
        <v>185.59</v>
      </c>
    </row>
    <row r="1070" spans="1:4" ht="27">
      <c r="A1070" s="288" t="s">
        <v>8981</v>
      </c>
      <c r="B1070" s="289" t="s">
        <v>8982</v>
      </c>
      <c r="C1070" s="288" t="s">
        <v>7079</v>
      </c>
      <c r="D1070" s="303">
        <v>210.28</v>
      </c>
    </row>
    <row r="1071" spans="1:4" ht="27">
      <c r="A1071" s="288" t="s">
        <v>8983</v>
      </c>
      <c r="B1071" s="289" t="s">
        <v>8984</v>
      </c>
      <c r="C1071" s="288" t="s">
        <v>7079</v>
      </c>
      <c r="D1071" s="303">
        <v>314.5</v>
      </c>
    </row>
    <row r="1072" spans="1:4" ht="27">
      <c r="A1072" s="288" t="s">
        <v>8985</v>
      </c>
      <c r="B1072" s="289" t="s">
        <v>8986</v>
      </c>
      <c r="C1072" s="288" t="s">
        <v>7079</v>
      </c>
      <c r="D1072" s="303">
        <v>73.489999999999995</v>
      </c>
    </row>
    <row r="1073" spans="1:4" ht="27">
      <c r="A1073" s="288" t="s">
        <v>8987</v>
      </c>
      <c r="B1073" s="289" t="s">
        <v>8988</v>
      </c>
      <c r="C1073" s="288" t="s">
        <v>7079</v>
      </c>
      <c r="D1073" s="303">
        <v>140.41</v>
      </c>
    </row>
    <row r="1074" spans="1:4" ht="27">
      <c r="A1074" s="288" t="s">
        <v>8989</v>
      </c>
      <c r="B1074" s="289" t="s">
        <v>8990</v>
      </c>
      <c r="C1074" s="288" t="s">
        <v>7079</v>
      </c>
      <c r="D1074" s="303">
        <v>220.64</v>
      </c>
    </row>
    <row r="1075" spans="1:4" ht="27">
      <c r="A1075" s="288" t="s">
        <v>8991</v>
      </c>
      <c r="B1075" s="289" t="s">
        <v>8992</v>
      </c>
      <c r="C1075" s="288" t="s">
        <v>7079</v>
      </c>
      <c r="D1075" s="303">
        <v>480.33</v>
      </c>
    </row>
    <row r="1076" spans="1:4" ht="27">
      <c r="A1076" s="288" t="s">
        <v>8993</v>
      </c>
      <c r="B1076" s="289" t="s">
        <v>8994</v>
      </c>
      <c r="C1076" s="288" t="s">
        <v>7079</v>
      </c>
      <c r="D1076" s="303">
        <v>578.70000000000005</v>
      </c>
    </row>
    <row r="1077" spans="1:4" ht="27">
      <c r="A1077" s="288" t="s">
        <v>8995</v>
      </c>
      <c r="B1077" s="289" t="s">
        <v>8996</v>
      </c>
      <c r="C1077" s="288" t="s">
        <v>7079</v>
      </c>
      <c r="D1077" s="303">
        <v>182.9</v>
      </c>
    </row>
    <row r="1078" spans="1:4" ht="27">
      <c r="A1078" s="288" t="s">
        <v>8997</v>
      </c>
      <c r="B1078" s="289" t="s">
        <v>8998</v>
      </c>
      <c r="C1078" s="288" t="s">
        <v>7079</v>
      </c>
      <c r="D1078" s="303">
        <v>246.32</v>
      </c>
    </row>
    <row r="1079" spans="1:4" ht="27">
      <c r="A1079" s="288" t="s">
        <v>8999</v>
      </c>
      <c r="B1079" s="289" t="s">
        <v>9000</v>
      </c>
      <c r="C1079" s="288" t="s">
        <v>7079</v>
      </c>
      <c r="D1079" s="303">
        <v>280.02</v>
      </c>
    </row>
    <row r="1080" spans="1:4" ht="18">
      <c r="A1080" s="287" t="s">
        <v>9001</v>
      </c>
      <c r="B1080" s="287"/>
      <c r="C1080" s="287"/>
      <c r="D1080" s="296" t="s">
        <v>28729</v>
      </c>
    </row>
    <row r="1081" spans="1:4" ht="27">
      <c r="A1081" s="288" t="s">
        <v>9002</v>
      </c>
      <c r="B1081" s="289" t="s">
        <v>9003</v>
      </c>
      <c r="C1081" s="288" t="s">
        <v>54</v>
      </c>
      <c r="D1081" s="303">
        <v>178.35</v>
      </c>
    </row>
    <row r="1082" spans="1:4" ht="27">
      <c r="A1082" s="288" t="s">
        <v>9004</v>
      </c>
      <c r="B1082" s="289" t="s">
        <v>9005</v>
      </c>
      <c r="C1082" s="288" t="s">
        <v>54</v>
      </c>
      <c r="D1082" s="303">
        <v>226.68</v>
      </c>
    </row>
    <row r="1083" spans="1:4" ht="27">
      <c r="A1083" s="288" t="s">
        <v>9006</v>
      </c>
      <c r="B1083" s="289" t="s">
        <v>9007</v>
      </c>
      <c r="C1083" s="288" t="s">
        <v>54</v>
      </c>
      <c r="D1083" s="303">
        <v>365.12</v>
      </c>
    </row>
    <row r="1084" spans="1:4" ht="27">
      <c r="A1084" s="288" t="s">
        <v>9008</v>
      </c>
      <c r="B1084" s="289" t="s">
        <v>9009</v>
      </c>
      <c r="C1084" s="288" t="s">
        <v>54</v>
      </c>
      <c r="D1084" s="303">
        <v>523.15</v>
      </c>
    </row>
    <row r="1085" spans="1:4" ht="27">
      <c r="A1085" s="288" t="s">
        <v>9010</v>
      </c>
      <c r="B1085" s="289" t="s">
        <v>9011</v>
      </c>
      <c r="C1085" s="288" t="s">
        <v>54</v>
      </c>
      <c r="D1085" s="303">
        <v>527.70000000000005</v>
      </c>
    </row>
    <row r="1086" spans="1:4" ht="27">
      <c r="A1086" s="288" t="s">
        <v>9012</v>
      </c>
      <c r="B1086" s="289" t="s">
        <v>9013</v>
      </c>
      <c r="C1086" s="288" t="s">
        <v>54</v>
      </c>
      <c r="D1086" s="303">
        <v>759.92</v>
      </c>
    </row>
    <row r="1087" spans="1:4" ht="27">
      <c r="A1087" s="288" t="s">
        <v>9014</v>
      </c>
      <c r="B1087" s="289" t="s">
        <v>9015</v>
      </c>
      <c r="C1087" s="288" t="s">
        <v>54</v>
      </c>
      <c r="D1087" s="303">
        <v>910.59</v>
      </c>
    </row>
    <row r="1088" spans="1:4" ht="27">
      <c r="A1088" s="288" t="s">
        <v>9016</v>
      </c>
      <c r="B1088" s="289" t="s">
        <v>9017</v>
      </c>
      <c r="C1088" s="288" t="s">
        <v>54</v>
      </c>
      <c r="D1088" s="303">
        <v>1128.95</v>
      </c>
    </row>
    <row r="1089" spans="1:4" ht="27">
      <c r="A1089" s="288" t="s">
        <v>9018</v>
      </c>
      <c r="B1089" s="289" t="s">
        <v>9019</v>
      </c>
      <c r="C1089" s="288" t="s">
        <v>54</v>
      </c>
      <c r="D1089" s="303">
        <v>1435.21</v>
      </c>
    </row>
    <row r="1090" spans="1:4" ht="27">
      <c r="A1090" s="288" t="s">
        <v>9020</v>
      </c>
      <c r="B1090" s="289" t="s">
        <v>9021</v>
      </c>
      <c r="C1090" s="288" t="s">
        <v>54</v>
      </c>
      <c r="D1090" s="303">
        <v>1761.88</v>
      </c>
    </row>
    <row r="1091" spans="1:4">
      <c r="A1091" s="287"/>
      <c r="B1091" s="287"/>
      <c r="C1091" s="287"/>
      <c r="D1091" s="296" t="s">
        <v>28729</v>
      </c>
    </row>
    <row r="1092" spans="1:4" ht="18">
      <c r="A1092" s="287" t="s">
        <v>9022</v>
      </c>
      <c r="B1092" s="287"/>
      <c r="C1092" s="287"/>
      <c r="D1092" s="296" t="s">
        <v>28729</v>
      </c>
    </row>
    <row r="1093" spans="1:4" ht="36">
      <c r="A1093" s="288" t="s">
        <v>9023</v>
      </c>
      <c r="B1093" s="289" t="s">
        <v>9024</v>
      </c>
      <c r="C1093" s="288" t="s">
        <v>54</v>
      </c>
      <c r="D1093" s="303">
        <v>588.36</v>
      </c>
    </row>
    <row r="1094" spans="1:4" ht="36">
      <c r="A1094" s="288" t="s">
        <v>9025</v>
      </c>
      <c r="B1094" s="289" t="s">
        <v>9026</v>
      </c>
      <c r="C1094" s="288" t="s">
        <v>54</v>
      </c>
      <c r="D1094" s="303">
        <v>672.1</v>
      </c>
    </row>
    <row r="1095" spans="1:4" ht="36">
      <c r="A1095" s="288" t="s">
        <v>9027</v>
      </c>
      <c r="B1095" s="289" t="s">
        <v>9028</v>
      </c>
      <c r="C1095" s="288" t="s">
        <v>54</v>
      </c>
      <c r="D1095" s="303">
        <v>817.11</v>
      </c>
    </row>
    <row r="1096" spans="1:4" ht="36">
      <c r="A1096" s="288" t="s">
        <v>9029</v>
      </c>
      <c r="B1096" s="289" t="s">
        <v>9030</v>
      </c>
      <c r="C1096" s="288" t="s">
        <v>54</v>
      </c>
      <c r="D1096" s="303">
        <v>952.25</v>
      </c>
    </row>
    <row r="1097" spans="1:4" ht="36">
      <c r="A1097" s="288" t="s">
        <v>9031</v>
      </c>
      <c r="B1097" s="289" t="s">
        <v>9032</v>
      </c>
      <c r="C1097" s="288" t="s">
        <v>54</v>
      </c>
      <c r="D1097" s="303">
        <v>1195.6400000000001</v>
      </c>
    </row>
    <row r="1098" spans="1:4" ht="36">
      <c r="A1098" s="288" t="s">
        <v>9033</v>
      </c>
      <c r="B1098" s="289" t="s">
        <v>9034</v>
      </c>
      <c r="C1098" s="288" t="s">
        <v>54</v>
      </c>
      <c r="D1098" s="303">
        <v>1433.82</v>
      </c>
    </row>
    <row r="1099" spans="1:4" ht="27">
      <c r="A1099" s="287" t="s">
        <v>9035</v>
      </c>
      <c r="B1099" s="287"/>
      <c r="C1099" s="287"/>
      <c r="D1099" s="296" t="s">
        <v>28729</v>
      </c>
    </row>
    <row r="1100" spans="1:4" ht="27">
      <c r="A1100" s="288" t="s">
        <v>9036</v>
      </c>
      <c r="B1100" s="289" t="s">
        <v>9037</v>
      </c>
      <c r="C1100" s="288" t="s">
        <v>7079</v>
      </c>
      <c r="D1100" s="303">
        <v>134.11000000000001</v>
      </c>
    </row>
    <row r="1101" spans="1:4" ht="27">
      <c r="A1101" s="288" t="s">
        <v>9038</v>
      </c>
      <c r="B1101" s="289" t="s">
        <v>9039</v>
      </c>
      <c r="C1101" s="288" t="s">
        <v>7079</v>
      </c>
      <c r="D1101" s="303">
        <v>171.36</v>
      </c>
    </row>
    <row r="1102" spans="1:4" ht="27">
      <c r="A1102" s="288" t="s">
        <v>9040</v>
      </c>
      <c r="B1102" s="289" t="s">
        <v>9041</v>
      </c>
      <c r="C1102" s="288" t="s">
        <v>7079</v>
      </c>
      <c r="D1102" s="303">
        <v>242.63</v>
      </c>
    </row>
    <row r="1103" spans="1:4" ht="36">
      <c r="A1103" s="288" t="s">
        <v>9042</v>
      </c>
      <c r="B1103" s="289" t="s">
        <v>9043</v>
      </c>
      <c r="C1103" s="288" t="s">
        <v>7079</v>
      </c>
      <c r="D1103" s="303">
        <v>314.47000000000003</v>
      </c>
    </row>
    <row r="1104" spans="1:4" ht="36">
      <c r="A1104" s="288" t="s">
        <v>9044</v>
      </c>
      <c r="B1104" s="289" t="s">
        <v>9045</v>
      </c>
      <c r="C1104" s="288" t="s">
        <v>7079</v>
      </c>
      <c r="D1104" s="303">
        <v>337.68</v>
      </c>
    </row>
    <row r="1105" spans="1:4" ht="36">
      <c r="A1105" s="288" t="s">
        <v>9046</v>
      </c>
      <c r="B1105" s="289" t="s">
        <v>9047</v>
      </c>
      <c r="C1105" s="288" t="s">
        <v>7079</v>
      </c>
      <c r="D1105" s="303">
        <v>445.84</v>
      </c>
    </row>
    <row r="1106" spans="1:4" ht="36">
      <c r="A1106" s="288" t="s">
        <v>9048</v>
      </c>
      <c r="B1106" s="289" t="s">
        <v>9049</v>
      </c>
      <c r="C1106" s="288" t="s">
        <v>7079</v>
      </c>
      <c r="D1106" s="303">
        <v>705.65</v>
      </c>
    </row>
    <row r="1107" spans="1:4" ht="36">
      <c r="A1107" s="288" t="s">
        <v>9050</v>
      </c>
      <c r="B1107" s="289" t="s">
        <v>9051</v>
      </c>
      <c r="C1107" s="288" t="s">
        <v>7079</v>
      </c>
      <c r="D1107" s="303">
        <v>943.68</v>
      </c>
    </row>
    <row r="1108" spans="1:4" ht="36">
      <c r="A1108" s="288" t="s">
        <v>9052</v>
      </c>
      <c r="B1108" s="289" t="s">
        <v>9053</v>
      </c>
      <c r="C1108" s="288" t="s">
        <v>7079</v>
      </c>
      <c r="D1108" s="303">
        <v>1858.19</v>
      </c>
    </row>
    <row r="1109" spans="1:4" ht="36">
      <c r="A1109" s="288" t="s">
        <v>9054</v>
      </c>
      <c r="B1109" s="289" t="s">
        <v>9055</v>
      </c>
      <c r="C1109" s="288" t="s">
        <v>7079</v>
      </c>
      <c r="D1109" s="303">
        <v>2624.02</v>
      </c>
    </row>
    <row r="1110" spans="1:4" ht="36">
      <c r="A1110" s="288" t="s">
        <v>9056</v>
      </c>
      <c r="B1110" s="289" t="s">
        <v>9057</v>
      </c>
      <c r="C1110" s="288" t="s">
        <v>7079</v>
      </c>
      <c r="D1110" s="303">
        <v>353.17</v>
      </c>
    </row>
    <row r="1111" spans="1:4" ht="36">
      <c r="A1111" s="288" t="s">
        <v>9058</v>
      </c>
      <c r="B1111" s="289" t="s">
        <v>9059</v>
      </c>
      <c r="C1111" s="288" t="s">
        <v>7079</v>
      </c>
      <c r="D1111" s="303">
        <v>518.39</v>
      </c>
    </row>
    <row r="1112" spans="1:4" ht="36">
      <c r="A1112" s="288" t="s">
        <v>9060</v>
      </c>
      <c r="B1112" s="289" t="s">
        <v>9061</v>
      </c>
      <c r="C1112" s="288" t="s">
        <v>7079</v>
      </c>
      <c r="D1112" s="303">
        <v>720.37</v>
      </c>
    </row>
    <row r="1113" spans="1:4" ht="36">
      <c r="A1113" s="288" t="s">
        <v>9062</v>
      </c>
      <c r="B1113" s="289" t="s">
        <v>9063</v>
      </c>
      <c r="C1113" s="288" t="s">
        <v>7079</v>
      </c>
      <c r="D1113" s="303">
        <v>949.48</v>
      </c>
    </row>
    <row r="1114" spans="1:4" ht="36">
      <c r="A1114" s="288" t="s">
        <v>9064</v>
      </c>
      <c r="B1114" s="289" t="s">
        <v>9065</v>
      </c>
      <c r="C1114" s="288" t="s">
        <v>7079</v>
      </c>
      <c r="D1114" s="303">
        <v>2540.4499999999998</v>
      </c>
    </row>
    <row r="1115" spans="1:4" ht="36">
      <c r="A1115" s="288" t="s">
        <v>9066</v>
      </c>
      <c r="B1115" s="289" t="s">
        <v>9067</v>
      </c>
      <c r="C1115" s="288" t="s">
        <v>7079</v>
      </c>
      <c r="D1115" s="303">
        <v>3038.83</v>
      </c>
    </row>
    <row r="1116" spans="1:4" ht="36">
      <c r="A1116" s="288" t="s">
        <v>9068</v>
      </c>
      <c r="B1116" s="289" t="s">
        <v>9069</v>
      </c>
      <c r="C1116" s="288" t="s">
        <v>7079</v>
      </c>
      <c r="D1116" s="303">
        <v>353.13</v>
      </c>
    </row>
    <row r="1117" spans="1:4" ht="36">
      <c r="A1117" s="288" t="s">
        <v>9070</v>
      </c>
      <c r="B1117" s="289" t="s">
        <v>9071</v>
      </c>
      <c r="C1117" s="288" t="s">
        <v>7079</v>
      </c>
      <c r="D1117" s="303">
        <v>625.4</v>
      </c>
    </row>
    <row r="1118" spans="1:4" ht="36">
      <c r="A1118" s="288" t="s">
        <v>9072</v>
      </c>
      <c r="B1118" s="289" t="s">
        <v>9073</v>
      </c>
      <c r="C1118" s="288" t="s">
        <v>7079</v>
      </c>
      <c r="D1118" s="303">
        <v>956.45</v>
      </c>
    </row>
    <row r="1119" spans="1:4" ht="36">
      <c r="A1119" s="288" t="s">
        <v>9074</v>
      </c>
      <c r="B1119" s="289" t="s">
        <v>9075</v>
      </c>
      <c r="C1119" s="288" t="s">
        <v>7079</v>
      </c>
      <c r="D1119" s="303">
        <v>1158.3</v>
      </c>
    </row>
    <row r="1120" spans="1:4" ht="36">
      <c r="A1120" s="288" t="s">
        <v>9076</v>
      </c>
      <c r="B1120" s="289" t="s">
        <v>9077</v>
      </c>
      <c r="C1120" s="288" t="s">
        <v>7079</v>
      </c>
      <c r="D1120" s="303">
        <v>1706.15</v>
      </c>
    </row>
    <row r="1121" spans="1:4" ht="36">
      <c r="A1121" s="288" t="s">
        <v>9078</v>
      </c>
      <c r="B1121" s="289" t="s">
        <v>9079</v>
      </c>
      <c r="C1121" s="288" t="s">
        <v>7079</v>
      </c>
      <c r="D1121" s="303">
        <v>2645.63</v>
      </c>
    </row>
    <row r="1122" spans="1:4" ht="36">
      <c r="A1122" s="288" t="s">
        <v>9080</v>
      </c>
      <c r="B1122" s="289" t="s">
        <v>9081</v>
      </c>
      <c r="C1122" s="288" t="s">
        <v>7079</v>
      </c>
      <c r="D1122" s="303">
        <v>301.93</v>
      </c>
    </row>
    <row r="1123" spans="1:4" ht="36">
      <c r="A1123" s="288" t="s">
        <v>9082</v>
      </c>
      <c r="B1123" s="289" t="s">
        <v>9083</v>
      </c>
      <c r="C1123" s="288" t="s">
        <v>7079</v>
      </c>
      <c r="D1123" s="303">
        <v>345.75</v>
      </c>
    </row>
    <row r="1124" spans="1:4" ht="36">
      <c r="A1124" s="288" t="s">
        <v>9084</v>
      </c>
      <c r="B1124" s="289" t="s">
        <v>9085</v>
      </c>
      <c r="C1124" s="288" t="s">
        <v>7079</v>
      </c>
      <c r="D1124" s="303">
        <v>493.85</v>
      </c>
    </row>
    <row r="1125" spans="1:4" ht="36">
      <c r="A1125" s="288" t="s">
        <v>9086</v>
      </c>
      <c r="B1125" s="289" t="s">
        <v>9087</v>
      </c>
      <c r="C1125" s="288" t="s">
        <v>7079</v>
      </c>
      <c r="D1125" s="303">
        <v>646.04</v>
      </c>
    </row>
    <row r="1126" spans="1:4" ht="36">
      <c r="A1126" s="288" t="s">
        <v>9088</v>
      </c>
      <c r="B1126" s="289" t="s">
        <v>9089</v>
      </c>
      <c r="C1126" s="288" t="s">
        <v>7079</v>
      </c>
      <c r="D1126" s="303">
        <v>899.95</v>
      </c>
    </row>
    <row r="1127" spans="1:4" ht="36">
      <c r="A1127" s="288" t="s">
        <v>9090</v>
      </c>
      <c r="B1127" s="289" t="s">
        <v>9091</v>
      </c>
      <c r="C1127" s="288" t="s">
        <v>7079</v>
      </c>
      <c r="D1127" s="303">
        <v>1122.2</v>
      </c>
    </row>
    <row r="1128" spans="1:4" ht="36">
      <c r="A1128" s="288" t="s">
        <v>9092</v>
      </c>
      <c r="B1128" s="289" t="s">
        <v>9093</v>
      </c>
      <c r="C1128" s="288" t="s">
        <v>7079</v>
      </c>
      <c r="D1128" s="303">
        <v>338.29</v>
      </c>
    </row>
    <row r="1129" spans="1:4" ht="36">
      <c r="A1129" s="288" t="s">
        <v>9094</v>
      </c>
      <c r="B1129" s="289" t="s">
        <v>9095</v>
      </c>
      <c r="C1129" s="288" t="s">
        <v>7079</v>
      </c>
      <c r="D1129" s="303">
        <v>428.65</v>
      </c>
    </row>
    <row r="1130" spans="1:4" ht="36">
      <c r="A1130" s="288" t="s">
        <v>9096</v>
      </c>
      <c r="B1130" s="289" t="s">
        <v>9097</v>
      </c>
      <c r="C1130" s="288" t="s">
        <v>7079</v>
      </c>
      <c r="D1130" s="303">
        <v>919.98</v>
      </c>
    </row>
    <row r="1131" spans="1:4" ht="36">
      <c r="A1131" s="288" t="s">
        <v>9098</v>
      </c>
      <c r="B1131" s="289" t="s">
        <v>9099</v>
      </c>
      <c r="C1131" s="288" t="s">
        <v>7079</v>
      </c>
      <c r="D1131" s="303">
        <v>1189.3399999999999</v>
      </c>
    </row>
    <row r="1132" spans="1:4" ht="36">
      <c r="A1132" s="288" t="s">
        <v>9100</v>
      </c>
      <c r="B1132" s="289" t="s">
        <v>9101</v>
      </c>
      <c r="C1132" s="288" t="s">
        <v>7079</v>
      </c>
      <c r="D1132" s="303">
        <v>2231.02</v>
      </c>
    </row>
    <row r="1133" spans="1:4" ht="36">
      <c r="A1133" s="288" t="s">
        <v>9102</v>
      </c>
      <c r="B1133" s="289" t="s">
        <v>9103</v>
      </c>
      <c r="C1133" s="288" t="s">
        <v>7079</v>
      </c>
      <c r="D1133" s="303">
        <v>2702.39</v>
      </c>
    </row>
    <row r="1134" spans="1:4" ht="36">
      <c r="A1134" s="288" t="s">
        <v>9104</v>
      </c>
      <c r="B1134" s="289" t="s">
        <v>9105</v>
      </c>
      <c r="C1134" s="288" t="s">
        <v>7079</v>
      </c>
      <c r="D1134" s="303">
        <v>548.55999999999995</v>
      </c>
    </row>
    <row r="1135" spans="1:4" ht="36">
      <c r="A1135" s="288" t="s">
        <v>9106</v>
      </c>
      <c r="B1135" s="289" t="s">
        <v>9107</v>
      </c>
      <c r="C1135" s="288" t="s">
        <v>7079</v>
      </c>
      <c r="D1135" s="303">
        <v>919.98</v>
      </c>
    </row>
    <row r="1136" spans="1:4" ht="36">
      <c r="A1136" s="288" t="s">
        <v>9108</v>
      </c>
      <c r="B1136" s="289" t="s">
        <v>9109</v>
      </c>
      <c r="C1136" s="288" t="s">
        <v>7079</v>
      </c>
      <c r="D1136" s="303">
        <v>1189.3399999999999</v>
      </c>
    </row>
    <row r="1137" spans="1:4" ht="36">
      <c r="A1137" s="288" t="s">
        <v>9110</v>
      </c>
      <c r="B1137" s="289" t="s">
        <v>9111</v>
      </c>
      <c r="C1137" s="288" t="s">
        <v>7079</v>
      </c>
      <c r="D1137" s="303">
        <v>144.16</v>
      </c>
    </row>
    <row r="1138" spans="1:4" ht="36">
      <c r="A1138" s="288" t="s">
        <v>9112</v>
      </c>
      <c r="B1138" s="289" t="s">
        <v>9113</v>
      </c>
      <c r="C1138" s="288" t="s">
        <v>7079</v>
      </c>
      <c r="D1138" s="303">
        <v>217.41</v>
      </c>
    </row>
    <row r="1139" spans="1:4" ht="36">
      <c r="A1139" s="288" t="s">
        <v>9114</v>
      </c>
      <c r="B1139" s="289" t="s">
        <v>9115</v>
      </c>
      <c r="C1139" s="288" t="s">
        <v>7079</v>
      </c>
      <c r="D1139" s="303">
        <v>302.58</v>
      </c>
    </row>
    <row r="1140" spans="1:4" ht="36">
      <c r="A1140" s="288" t="s">
        <v>9116</v>
      </c>
      <c r="B1140" s="289" t="s">
        <v>9117</v>
      </c>
      <c r="C1140" s="288" t="s">
        <v>7079</v>
      </c>
      <c r="D1140" s="303">
        <v>342.33</v>
      </c>
    </row>
    <row r="1141" spans="1:4" ht="36">
      <c r="A1141" s="288" t="s">
        <v>9118</v>
      </c>
      <c r="B1141" s="289" t="s">
        <v>9119</v>
      </c>
      <c r="C1141" s="288" t="s">
        <v>7079</v>
      </c>
      <c r="D1141" s="303">
        <v>458.47</v>
      </c>
    </row>
    <row r="1142" spans="1:4" ht="36">
      <c r="A1142" s="288" t="s">
        <v>9120</v>
      </c>
      <c r="B1142" s="289" t="s">
        <v>9121</v>
      </c>
      <c r="C1142" s="288" t="s">
        <v>7079</v>
      </c>
      <c r="D1142" s="303">
        <v>127.67</v>
      </c>
    </row>
    <row r="1143" spans="1:4" ht="27">
      <c r="A1143" s="288" t="s">
        <v>9122</v>
      </c>
      <c r="B1143" s="289" t="s">
        <v>9123</v>
      </c>
      <c r="C1143" s="288" t="s">
        <v>7079</v>
      </c>
      <c r="D1143" s="303">
        <v>193.48</v>
      </c>
    </row>
    <row r="1144" spans="1:4" ht="27">
      <c r="A1144" s="288" t="s">
        <v>9124</v>
      </c>
      <c r="B1144" s="289" t="s">
        <v>9125</v>
      </c>
      <c r="C1144" s="288" t="s">
        <v>7079</v>
      </c>
      <c r="D1144" s="303">
        <v>266.92</v>
      </c>
    </row>
    <row r="1145" spans="1:4" ht="27">
      <c r="A1145" s="288" t="s">
        <v>9126</v>
      </c>
      <c r="B1145" s="289" t="s">
        <v>9127</v>
      </c>
      <c r="C1145" s="288" t="s">
        <v>7079</v>
      </c>
      <c r="D1145" s="303">
        <v>316.8</v>
      </c>
    </row>
    <row r="1146" spans="1:4" ht="27">
      <c r="A1146" s="288" t="s">
        <v>9128</v>
      </c>
      <c r="B1146" s="289" t="s">
        <v>9129</v>
      </c>
      <c r="C1146" s="288" t="s">
        <v>7079</v>
      </c>
      <c r="D1146" s="303">
        <v>433.29</v>
      </c>
    </row>
    <row r="1147" spans="1:4" ht="36">
      <c r="A1147" s="288" t="s">
        <v>9130</v>
      </c>
      <c r="B1147" s="289" t="s">
        <v>9131</v>
      </c>
      <c r="C1147" s="288" t="s">
        <v>7079</v>
      </c>
      <c r="D1147" s="303">
        <v>686.54</v>
      </c>
    </row>
    <row r="1148" spans="1:4" ht="36">
      <c r="A1148" s="288" t="s">
        <v>9132</v>
      </c>
      <c r="B1148" s="289" t="s">
        <v>9133</v>
      </c>
      <c r="C1148" s="288" t="s">
        <v>7079</v>
      </c>
      <c r="D1148" s="303">
        <v>768.27</v>
      </c>
    </row>
    <row r="1149" spans="1:4" ht="36">
      <c r="A1149" s="288" t="s">
        <v>9134</v>
      </c>
      <c r="B1149" s="289" t="s">
        <v>9135</v>
      </c>
      <c r="C1149" s="288" t="s">
        <v>7079</v>
      </c>
      <c r="D1149" s="303">
        <v>945.85</v>
      </c>
    </row>
    <row r="1150" spans="1:4" ht="36">
      <c r="A1150" s="288" t="s">
        <v>9136</v>
      </c>
      <c r="B1150" s="289" t="s">
        <v>9137</v>
      </c>
      <c r="C1150" s="288" t="s">
        <v>7079</v>
      </c>
      <c r="D1150" s="303">
        <v>1482.56</v>
      </c>
    </row>
    <row r="1151" spans="1:4" ht="36">
      <c r="A1151" s="288" t="s">
        <v>9138</v>
      </c>
      <c r="B1151" s="289" t="s">
        <v>9139</v>
      </c>
      <c r="C1151" s="288" t="s">
        <v>7079</v>
      </c>
      <c r="D1151" s="303">
        <v>3802.64</v>
      </c>
    </row>
    <row r="1152" spans="1:4" ht="36">
      <c r="A1152" s="288" t="s">
        <v>9140</v>
      </c>
      <c r="B1152" s="289" t="s">
        <v>9141</v>
      </c>
      <c r="C1152" s="288" t="s">
        <v>7079</v>
      </c>
      <c r="D1152" s="303">
        <v>292.82</v>
      </c>
    </row>
    <row r="1153" spans="1:4" ht="36">
      <c r="A1153" s="288" t="s">
        <v>9142</v>
      </c>
      <c r="B1153" s="289" t="s">
        <v>9143</v>
      </c>
      <c r="C1153" s="288" t="s">
        <v>7079</v>
      </c>
      <c r="D1153" s="303">
        <v>303.66000000000003</v>
      </c>
    </row>
    <row r="1154" spans="1:4" ht="36">
      <c r="A1154" s="288" t="s">
        <v>9144</v>
      </c>
      <c r="B1154" s="289" t="s">
        <v>9145</v>
      </c>
      <c r="C1154" s="288" t="s">
        <v>7079</v>
      </c>
      <c r="D1154" s="303">
        <v>372.88</v>
      </c>
    </row>
    <row r="1155" spans="1:4" ht="36">
      <c r="A1155" s="288" t="s">
        <v>9146</v>
      </c>
      <c r="B1155" s="289" t="s">
        <v>9147</v>
      </c>
      <c r="C1155" s="288" t="s">
        <v>7079</v>
      </c>
      <c r="D1155" s="303">
        <v>573.1</v>
      </c>
    </row>
    <row r="1156" spans="1:4" ht="36">
      <c r="A1156" s="288" t="s">
        <v>9148</v>
      </c>
      <c r="B1156" s="289" t="s">
        <v>9149</v>
      </c>
      <c r="C1156" s="288" t="s">
        <v>7079</v>
      </c>
      <c r="D1156" s="303">
        <v>654.48</v>
      </c>
    </row>
    <row r="1157" spans="1:4" ht="36">
      <c r="A1157" s="288" t="s">
        <v>9150</v>
      </c>
      <c r="B1157" s="289" t="s">
        <v>9151</v>
      </c>
      <c r="C1157" s="288" t="s">
        <v>7079</v>
      </c>
      <c r="D1157" s="303">
        <v>900</v>
      </c>
    </row>
    <row r="1158" spans="1:4" ht="36">
      <c r="A1158" s="288" t="s">
        <v>9152</v>
      </c>
      <c r="B1158" s="289" t="s">
        <v>9153</v>
      </c>
      <c r="C1158" s="288" t="s">
        <v>7079</v>
      </c>
      <c r="D1158" s="303">
        <v>986.25</v>
      </c>
    </row>
    <row r="1159" spans="1:4" ht="27">
      <c r="A1159" s="288" t="s">
        <v>9154</v>
      </c>
      <c r="B1159" s="289" t="s">
        <v>9155</v>
      </c>
      <c r="C1159" s="288" t="s">
        <v>7079</v>
      </c>
      <c r="D1159" s="303">
        <v>285.7</v>
      </c>
    </row>
    <row r="1160" spans="1:4" ht="27">
      <c r="A1160" s="288" t="s">
        <v>9156</v>
      </c>
      <c r="B1160" s="289" t="s">
        <v>9157</v>
      </c>
      <c r="C1160" s="288" t="s">
        <v>7079</v>
      </c>
      <c r="D1160" s="303">
        <v>389.34</v>
      </c>
    </row>
    <row r="1161" spans="1:4" ht="27">
      <c r="A1161" s="288" t="s">
        <v>9158</v>
      </c>
      <c r="B1161" s="289" t="s">
        <v>9159</v>
      </c>
      <c r="C1161" s="288" t="s">
        <v>7079</v>
      </c>
      <c r="D1161" s="303">
        <v>519.19000000000005</v>
      </c>
    </row>
    <row r="1162" spans="1:4" ht="27">
      <c r="A1162" s="288" t="s">
        <v>9160</v>
      </c>
      <c r="B1162" s="289" t="s">
        <v>9161</v>
      </c>
      <c r="C1162" s="288" t="s">
        <v>7079</v>
      </c>
      <c r="D1162" s="303">
        <v>227.33</v>
      </c>
    </row>
    <row r="1163" spans="1:4" ht="27">
      <c r="A1163" s="288" t="s">
        <v>9162</v>
      </c>
      <c r="B1163" s="289" t="s">
        <v>9163</v>
      </c>
      <c r="C1163" s="288" t="s">
        <v>7079</v>
      </c>
      <c r="D1163" s="303">
        <v>325.32</v>
      </c>
    </row>
    <row r="1164" spans="1:4" ht="27">
      <c r="A1164" s="288" t="s">
        <v>9164</v>
      </c>
      <c r="B1164" s="289" t="s">
        <v>9165</v>
      </c>
      <c r="C1164" s="288" t="s">
        <v>7079</v>
      </c>
      <c r="D1164" s="303">
        <v>329.09</v>
      </c>
    </row>
    <row r="1165" spans="1:4" ht="27">
      <c r="A1165" s="288" t="s">
        <v>9166</v>
      </c>
      <c r="B1165" s="289" t="s">
        <v>9167</v>
      </c>
      <c r="C1165" s="288" t="s">
        <v>7079</v>
      </c>
      <c r="D1165" s="303">
        <v>368.29</v>
      </c>
    </row>
    <row r="1166" spans="1:4" ht="27">
      <c r="A1166" s="288" t="s">
        <v>9168</v>
      </c>
      <c r="B1166" s="289" t="s">
        <v>9169</v>
      </c>
      <c r="C1166" s="288" t="s">
        <v>7079</v>
      </c>
      <c r="D1166" s="303">
        <v>426.02</v>
      </c>
    </row>
    <row r="1167" spans="1:4" ht="36">
      <c r="A1167" s="288" t="s">
        <v>9170</v>
      </c>
      <c r="B1167" s="289" t="s">
        <v>9171</v>
      </c>
      <c r="C1167" s="288" t="s">
        <v>7079</v>
      </c>
      <c r="D1167" s="303">
        <v>340.37</v>
      </c>
    </row>
    <row r="1168" spans="1:4" ht="36">
      <c r="A1168" s="288" t="s">
        <v>9172</v>
      </c>
      <c r="B1168" s="289" t="s">
        <v>9173</v>
      </c>
      <c r="C1168" s="288" t="s">
        <v>7079</v>
      </c>
      <c r="D1168" s="303">
        <v>411.11</v>
      </c>
    </row>
    <row r="1169" spans="1:4" ht="36">
      <c r="A1169" s="288" t="s">
        <v>9174</v>
      </c>
      <c r="B1169" s="289" t="s">
        <v>9175</v>
      </c>
      <c r="C1169" s="288" t="s">
        <v>7079</v>
      </c>
      <c r="D1169" s="303">
        <v>593.71</v>
      </c>
    </row>
    <row r="1170" spans="1:4" ht="36">
      <c r="A1170" s="288" t="s">
        <v>9176</v>
      </c>
      <c r="B1170" s="289" t="s">
        <v>9177</v>
      </c>
      <c r="C1170" s="288" t="s">
        <v>7079</v>
      </c>
      <c r="D1170" s="303">
        <v>579.32000000000005</v>
      </c>
    </row>
    <row r="1171" spans="1:4" ht="36">
      <c r="A1171" s="288" t="s">
        <v>9178</v>
      </c>
      <c r="B1171" s="289" t="s">
        <v>9179</v>
      </c>
      <c r="C1171" s="288" t="s">
        <v>7079</v>
      </c>
      <c r="D1171" s="303">
        <v>948.06</v>
      </c>
    </row>
    <row r="1172" spans="1:4" ht="36">
      <c r="A1172" s="288" t="s">
        <v>9180</v>
      </c>
      <c r="B1172" s="289" t="s">
        <v>9181</v>
      </c>
      <c r="C1172" s="288" t="s">
        <v>7079</v>
      </c>
      <c r="D1172" s="303">
        <v>774.42</v>
      </c>
    </row>
    <row r="1173" spans="1:4" ht="36">
      <c r="A1173" s="288" t="s">
        <v>9182</v>
      </c>
      <c r="B1173" s="289" t="s">
        <v>9183</v>
      </c>
      <c r="C1173" s="288" t="s">
        <v>7079</v>
      </c>
      <c r="D1173" s="303">
        <v>1045.73</v>
      </c>
    </row>
    <row r="1174" spans="1:4" ht="36">
      <c r="A1174" s="288" t="s">
        <v>9184</v>
      </c>
      <c r="B1174" s="289" t="s">
        <v>9185</v>
      </c>
      <c r="C1174" s="288" t="s">
        <v>7079</v>
      </c>
      <c r="D1174" s="303">
        <v>312.13</v>
      </c>
    </row>
    <row r="1175" spans="1:4" ht="36">
      <c r="A1175" s="288" t="s">
        <v>9186</v>
      </c>
      <c r="B1175" s="289" t="s">
        <v>9187</v>
      </c>
      <c r="C1175" s="288" t="s">
        <v>7079</v>
      </c>
      <c r="D1175" s="303">
        <v>357.85</v>
      </c>
    </row>
    <row r="1176" spans="1:4" ht="36">
      <c r="A1176" s="288" t="s">
        <v>9188</v>
      </c>
      <c r="B1176" s="289" t="s">
        <v>9189</v>
      </c>
      <c r="C1176" s="288" t="s">
        <v>7079</v>
      </c>
      <c r="D1176" s="303">
        <v>559.32000000000005</v>
      </c>
    </row>
    <row r="1177" spans="1:4" ht="36">
      <c r="A1177" s="288" t="s">
        <v>9190</v>
      </c>
      <c r="B1177" s="289" t="s">
        <v>9191</v>
      </c>
      <c r="C1177" s="288" t="s">
        <v>7079</v>
      </c>
      <c r="D1177" s="303">
        <v>637.04999999999995</v>
      </c>
    </row>
    <row r="1178" spans="1:4" ht="36">
      <c r="A1178" s="288" t="s">
        <v>9192</v>
      </c>
      <c r="B1178" s="289" t="s">
        <v>9193</v>
      </c>
      <c r="C1178" s="288" t="s">
        <v>7079</v>
      </c>
      <c r="D1178" s="303">
        <v>1015.61</v>
      </c>
    </row>
    <row r="1179" spans="1:4" ht="27">
      <c r="A1179" s="288" t="s">
        <v>9194</v>
      </c>
      <c r="B1179" s="289" t="s">
        <v>9195</v>
      </c>
      <c r="C1179" s="288" t="s">
        <v>7079</v>
      </c>
      <c r="D1179" s="303">
        <v>348.52</v>
      </c>
    </row>
    <row r="1180" spans="1:4" ht="27">
      <c r="A1180" s="288" t="s">
        <v>9196</v>
      </c>
      <c r="B1180" s="289" t="s">
        <v>9197</v>
      </c>
      <c r="C1180" s="288" t="s">
        <v>7079</v>
      </c>
      <c r="D1180" s="303">
        <v>409.58</v>
      </c>
    </row>
    <row r="1181" spans="1:4" ht="27">
      <c r="A1181" s="288" t="s">
        <v>9198</v>
      </c>
      <c r="B1181" s="289" t="s">
        <v>9199</v>
      </c>
      <c r="C1181" s="288" t="s">
        <v>7079</v>
      </c>
      <c r="D1181" s="303">
        <v>385.57</v>
      </c>
    </row>
    <row r="1182" spans="1:4" ht="27">
      <c r="A1182" s="288" t="s">
        <v>9200</v>
      </c>
      <c r="B1182" s="289" t="s">
        <v>9201</v>
      </c>
      <c r="C1182" s="288" t="s">
        <v>7079</v>
      </c>
      <c r="D1182" s="303">
        <v>497.53</v>
      </c>
    </row>
    <row r="1183" spans="1:4" ht="27">
      <c r="A1183" s="288" t="s">
        <v>9202</v>
      </c>
      <c r="B1183" s="289" t="s">
        <v>9203</v>
      </c>
      <c r="C1183" s="288" t="s">
        <v>7079</v>
      </c>
      <c r="D1183" s="303">
        <v>514.47</v>
      </c>
    </row>
    <row r="1184" spans="1:4" ht="27">
      <c r="A1184" s="288" t="s">
        <v>9204</v>
      </c>
      <c r="B1184" s="289" t="s">
        <v>9205</v>
      </c>
      <c r="C1184" s="288" t="s">
        <v>7079</v>
      </c>
      <c r="D1184" s="303">
        <v>552.22</v>
      </c>
    </row>
    <row r="1185" spans="1:4" ht="27">
      <c r="A1185" s="288" t="s">
        <v>9206</v>
      </c>
      <c r="B1185" s="289" t="s">
        <v>9207</v>
      </c>
      <c r="C1185" s="288" t="s">
        <v>7079</v>
      </c>
      <c r="D1185" s="303">
        <v>756.42</v>
      </c>
    </row>
    <row r="1186" spans="1:4" ht="27">
      <c r="A1186" s="288" t="s">
        <v>9208</v>
      </c>
      <c r="B1186" s="289" t="s">
        <v>9209</v>
      </c>
      <c r="C1186" s="288" t="s">
        <v>7079</v>
      </c>
      <c r="D1186" s="303">
        <v>951.97</v>
      </c>
    </row>
    <row r="1187" spans="1:4" ht="27">
      <c r="A1187" s="288" t="s">
        <v>9210</v>
      </c>
      <c r="B1187" s="289" t="s">
        <v>9211</v>
      </c>
      <c r="C1187" s="288" t="s">
        <v>7079</v>
      </c>
      <c r="D1187" s="303">
        <v>788.8</v>
      </c>
    </row>
    <row r="1188" spans="1:4" ht="27">
      <c r="A1188" s="288" t="s">
        <v>9212</v>
      </c>
      <c r="B1188" s="289" t="s">
        <v>9213</v>
      </c>
      <c r="C1188" s="288" t="s">
        <v>7079</v>
      </c>
      <c r="D1188" s="303">
        <v>1484.25</v>
      </c>
    </row>
    <row r="1189" spans="1:4" ht="27">
      <c r="A1189" s="288" t="s">
        <v>9214</v>
      </c>
      <c r="B1189" s="289" t="s">
        <v>9215</v>
      </c>
      <c r="C1189" s="288" t="s">
        <v>7079</v>
      </c>
      <c r="D1189" s="303">
        <v>2310.79</v>
      </c>
    </row>
    <row r="1190" spans="1:4" ht="27">
      <c r="A1190" s="288" t="s">
        <v>9216</v>
      </c>
      <c r="B1190" s="289" t="s">
        <v>9217</v>
      </c>
      <c r="C1190" s="288" t="s">
        <v>7079</v>
      </c>
      <c r="D1190" s="303">
        <v>1628.89</v>
      </c>
    </row>
    <row r="1191" spans="1:4" ht="36">
      <c r="A1191" s="288" t="s">
        <v>9218</v>
      </c>
      <c r="B1191" s="289" t="s">
        <v>9219</v>
      </c>
      <c r="C1191" s="288" t="s">
        <v>7079</v>
      </c>
      <c r="D1191" s="303">
        <v>496.77</v>
      </c>
    </row>
    <row r="1192" spans="1:4" ht="36">
      <c r="A1192" s="288" t="s">
        <v>9220</v>
      </c>
      <c r="B1192" s="289" t="s">
        <v>9221</v>
      </c>
      <c r="C1192" s="288" t="s">
        <v>7079</v>
      </c>
      <c r="D1192" s="303">
        <v>558.66999999999996</v>
      </c>
    </row>
    <row r="1193" spans="1:4" ht="36">
      <c r="A1193" s="288" t="s">
        <v>9222</v>
      </c>
      <c r="B1193" s="289" t="s">
        <v>9223</v>
      </c>
      <c r="C1193" s="288" t="s">
        <v>7079</v>
      </c>
      <c r="D1193" s="303">
        <v>607.77</v>
      </c>
    </row>
    <row r="1194" spans="1:4" ht="36">
      <c r="A1194" s="288" t="s">
        <v>9224</v>
      </c>
      <c r="B1194" s="289" t="s">
        <v>9225</v>
      </c>
      <c r="C1194" s="288" t="s">
        <v>7079</v>
      </c>
      <c r="D1194" s="303">
        <v>680.73</v>
      </c>
    </row>
    <row r="1195" spans="1:4" ht="36">
      <c r="A1195" s="288" t="s">
        <v>9226</v>
      </c>
      <c r="B1195" s="289" t="s">
        <v>9227</v>
      </c>
      <c r="C1195" s="288" t="s">
        <v>7079</v>
      </c>
      <c r="D1195" s="303">
        <v>877.36</v>
      </c>
    </row>
    <row r="1196" spans="1:4" ht="36">
      <c r="A1196" s="288" t="s">
        <v>9228</v>
      </c>
      <c r="B1196" s="289" t="s">
        <v>9229</v>
      </c>
      <c r="C1196" s="288" t="s">
        <v>7079</v>
      </c>
      <c r="D1196" s="303">
        <v>1030.22</v>
      </c>
    </row>
    <row r="1197" spans="1:4" ht="36">
      <c r="A1197" s="288" t="s">
        <v>9230</v>
      </c>
      <c r="B1197" s="289" t="s">
        <v>9231</v>
      </c>
      <c r="C1197" s="288" t="s">
        <v>7079</v>
      </c>
      <c r="D1197" s="303">
        <v>1086.29</v>
      </c>
    </row>
    <row r="1198" spans="1:4" ht="36">
      <c r="A1198" s="288" t="s">
        <v>9232</v>
      </c>
      <c r="B1198" s="289" t="s">
        <v>9233</v>
      </c>
      <c r="C1198" s="288" t="s">
        <v>7079</v>
      </c>
      <c r="D1198" s="303">
        <v>1318.66</v>
      </c>
    </row>
    <row r="1199" spans="1:4" ht="36">
      <c r="A1199" s="288" t="s">
        <v>9234</v>
      </c>
      <c r="B1199" s="289" t="s">
        <v>9235</v>
      </c>
      <c r="C1199" s="288" t="s">
        <v>7079</v>
      </c>
      <c r="D1199" s="303">
        <v>1276.6600000000001</v>
      </c>
    </row>
    <row r="1200" spans="1:4" ht="36">
      <c r="A1200" s="288" t="s">
        <v>9236</v>
      </c>
      <c r="B1200" s="289" t="s">
        <v>9237</v>
      </c>
      <c r="C1200" s="288" t="s">
        <v>7079</v>
      </c>
      <c r="D1200" s="303">
        <v>1691.83</v>
      </c>
    </row>
    <row r="1201" spans="1:4" ht="36">
      <c r="A1201" s="288" t="s">
        <v>9238</v>
      </c>
      <c r="B1201" s="289" t="s">
        <v>9239</v>
      </c>
      <c r="C1201" s="288" t="s">
        <v>7079</v>
      </c>
      <c r="D1201" s="303">
        <v>1502.07</v>
      </c>
    </row>
    <row r="1202" spans="1:4" ht="36">
      <c r="A1202" s="288" t="s">
        <v>9240</v>
      </c>
      <c r="B1202" s="289" t="s">
        <v>9241</v>
      </c>
      <c r="C1202" s="288" t="s">
        <v>7079</v>
      </c>
      <c r="D1202" s="303">
        <v>2165.1999999999998</v>
      </c>
    </row>
    <row r="1203" spans="1:4" ht="36">
      <c r="A1203" s="288" t="s">
        <v>9242</v>
      </c>
      <c r="B1203" s="289" t="s">
        <v>9243</v>
      </c>
      <c r="C1203" s="288" t="s">
        <v>7079</v>
      </c>
      <c r="D1203" s="303">
        <v>2452.36</v>
      </c>
    </row>
    <row r="1204" spans="1:4" ht="36">
      <c r="A1204" s="288" t="s">
        <v>9244</v>
      </c>
      <c r="B1204" s="289" t="s">
        <v>9245</v>
      </c>
      <c r="C1204" s="288" t="s">
        <v>7079</v>
      </c>
      <c r="D1204" s="303">
        <v>673.69</v>
      </c>
    </row>
    <row r="1205" spans="1:4" ht="36">
      <c r="A1205" s="288" t="s">
        <v>9246</v>
      </c>
      <c r="B1205" s="289" t="s">
        <v>9247</v>
      </c>
      <c r="C1205" s="288" t="s">
        <v>7079</v>
      </c>
      <c r="D1205" s="303">
        <v>952.88</v>
      </c>
    </row>
    <row r="1206" spans="1:4" ht="36">
      <c r="A1206" s="288" t="s">
        <v>9248</v>
      </c>
      <c r="B1206" s="289" t="s">
        <v>9249</v>
      </c>
      <c r="C1206" s="288" t="s">
        <v>7079</v>
      </c>
      <c r="D1206" s="303">
        <v>2697.17</v>
      </c>
    </row>
    <row r="1207" spans="1:4" ht="36">
      <c r="A1207" s="288" t="s">
        <v>9250</v>
      </c>
      <c r="B1207" s="289" t="s">
        <v>9251</v>
      </c>
      <c r="C1207" s="288" t="s">
        <v>7079</v>
      </c>
      <c r="D1207" s="303">
        <v>459.48</v>
      </c>
    </row>
    <row r="1208" spans="1:4" ht="36">
      <c r="A1208" s="288" t="s">
        <v>9252</v>
      </c>
      <c r="B1208" s="289" t="s">
        <v>9253</v>
      </c>
      <c r="C1208" s="288" t="s">
        <v>7079</v>
      </c>
      <c r="D1208" s="303">
        <v>465.64</v>
      </c>
    </row>
    <row r="1209" spans="1:4" ht="36">
      <c r="A1209" s="288" t="s">
        <v>9254</v>
      </c>
      <c r="B1209" s="289" t="s">
        <v>9255</v>
      </c>
      <c r="C1209" s="288" t="s">
        <v>7079</v>
      </c>
      <c r="D1209" s="303">
        <v>493.96</v>
      </c>
    </row>
    <row r="1210" spans="1:4" ht="36">
      <c r="A1210" s="288" t="s">
        <v>9256</v>
      </c>
      <c r="B1210" s="289" t="s">
        <v>9257</v>
      </c>
      <c r="C1210" s="288" t="s">
        <v>7079</v>
      </c>
      <c r="D1210" s="303">
        <v>703.46</v>
      </c>
    </row>
    <row r="1211" spans="1:4" ht="36">
      <c r="A1211" s="288" t="s">
        <v>9258</v>
      </c>
      <c r="B1211" s="289" t="s">
        <v>9259</v>
      </c>
      <c r="C1211" s="288" t="s">
        <v>7079</v>
      </c>
      <c r="D1211" s="303">
        <v>968.87</v>
      </c>
    </row>
    <row r="1212" spans="1:4" ht="36">
      <c r="A1212" s="288" t="s">
        <v>9260</v>
      </c>
      <c r="B1212" s="289" t="s">
        <v>9261</v>
      </c>
      <c r="C1212" s="288" t="s">
        <v>7079</v>
      </c>
      <c r="D1212" s="303">
        <v>1402.53</v>
      </c>
    </row>
    <row r="1213" spans="1:4" ht="36">
      <c r="A1213" s="288" t="s">
        <v>9262</v>
      </c>
      <c r="B1213" s="289" t="s">
        <v>9263</v>
      </c>
      <c r="C1213" s="288" t="s">
        <v>7079</v>
      </c>
      <c r="D1213" s="303">
        <v>510.81</v>
      </c>
    </row>
    <row r="1214" spans="1:4" ht="36">
      <c r="A1214" s="288" t="s">
        <v>9264</v>
      </c>
      <c r="B1214" s="289" t="s">
        <v>9265</v>
      </c>
      <c r="C1214" s="288" t="s">
        <v>7079</v>
      </c>
      <c r="D1214" s="303">
        <v>602.16999999999996</v>
      </c>
    </row>
    <row r="1215" spans="1:4" ht="36">
      <c r="A1215" s="288" t="s">
        <v>9266</v>
      </c>
      <c r="B1215" s="289" t="s">
        <v>9267</v>
      </c>
      <c r="C1215" s="288" t="s">
        <v>7079</v>
      </c>
      <c r="D1215" s="303">
        <v>580.64</v>
      </c>
    </row>
    <row r="1216" spans="1:4" ht="36">
      <c r="A1216" s="288" t="s">
        <v>9268</v>
      </c>
      <c r="B1216" s="289" t="s">
        <v>9269</v>
      </c>
      <c r="C1216" s="288" t="s">
        <v>7079</v>
      </c>
      <c r="D1216" s="303">
        <v>998.3</v>
      </c>
    </row>
    <row r="1217" spans="1:4" ht="36">
      <c r="A1217" s="288" t="s">
        <v>9270</v>
      </c>
      <c r="B1217" s="289" t="s">
        <v>9271</v>
      </c>
      <c r="C1217" s="288" t="s">
        <v>7079</v>
      </c>
      <c r="D1217" s="303">
        <v>1093.26</v>
      </c>
    </row>
    <row r="1218" spans="1:4" ht="36">
      <c r="A1218" s="288" t="s">
        <v>9272</v>
      </c>
      <c r="B1218" s="289" t="s">
        <v>9273</v>
      </c>
      <c r="C1218" s="288" t="s">
        <v>7079</v>
      </c>
      <c r="D1218" s="303">
        <v>741.23</v>
      </c>
    </row>
    <row r="1219" spans="1:4" ht="36">
      <c r="A1219" s="288" t="s">
        <v>9274</v>
      </c>
      <c r="B1219" s="289" t="s">
        <v>9275</v>
      </c>
      <c r="C1219" s="288" t="s">
        <v>7079</v>
      </c>
      <c r="D1219" s="303">
        <v>762.97</v>
      </c>
    </row>
    <row r="1220" spans="1:4" ht="36">
      <c r="A1220" s="288" t="s">
        <v>9276</v>
      </c>
      <c r="B1220" s="289" t="s">
        <v>9277</v>
      </c>
      <c r="C1220" s="288" t="s">
        <v>7079</v>
      </c>
      <c r="D1220" s="303">
        <v>1215.6300000000001</v>
      </c>
    </row>
    <row r="1221" spans="1:4" ht="36">
      <c r="A1221" s="288" t="s">
        <v>9278</v>
      </c>
      <c r="B1221" s="289" t="s">
        <v>9279</v>
      </c>
      <c r="C1221" s="288" t="s">
        <v>7079</v>
      </c>
      <c r="D1221" s="303">
        <v>2170.5700000000002</v>
      </c>
    </row>
    <row r="1222" spans="1:4">
      <c r="A1222" s="287"/>
      <c r="B1222" s="287"/>
      <c r="C1222" s="287"/>
      <c r="D1222" s="296" t="s">
        <v>28729</v>
      </c>
    </row>
    <row r="1223" spans="1:4">
      <c r="A1223" s="287" t="s">
        <v>9280</v>
      </c>
      <c r="B1223" s="287"/>
      <c r="C1223" s="287"/>
      <c r="D1223" s="296" t="s">
        <v>28729</v>
      </c>
    </row>
    <row r="1224" spans="1:4" ht="36">
      <c r="A1224" s="288" t="s">
        <v>9281</v>
      </c>
      <c r="B1224" s="289" t="s">
        <v>9282</v>
      </c>
      <c r="C1224" s="288" t="s">
        <v>7079</v>
      </c>
      <c r="D1224" s="303">
        <v>1004.19</v>
      </c>
    </row>
    <row r="1225" spans="1:4" ht="36">
      <c r="A1225" s="288" t="s">
        <v>9283</v>
      </c>
      <c r="B1225" s="289" t="s">
        <v>9284</v>
      </c>
      <c r="C1225" s="288" t="s">
        <v>7079</v>
      </c>
      <c r="D1225" s="303">
        <v>1049.9000000000001</v>
      </c>
    </row>
    <row r="1226" spans="1:4" ht="36">
      <c r="A1226" s="288" t="s">
        <v>9285</v>
      </c>
      <c r="B1226" s="289" t="s">
        <v>9286</v>
      </c>
      <c r="C1226" s="288" t="s">
        <v>7079</v>
      </c>
      <c r="D1226" s="303">
        <v>1817.57</v>
      </c>
    </row>
    <row r="1227" spans="1:4" ht="36">
      <c r="A1227" s="288" t="s">
        <v>9287</v>
      </c>
      <c r="B1227" s="289" t="s">
        <v>9288</v>
      </c>
      <c r="C1227" s="288" t="s">
        <v>7079</v>
      </c>
      <c r="D1227" s="303">
        <v>3066.54</v>
      </c>
    </row>
    <row r="1228" spans="1:4" ht="36">
      <c r="A1228" s="288" t="s">
        <v>9289</v>
      </c>
      <c r="B1228" s="289" t="s">
        <v>9290</v>
      </c>
      <c r="C1228" s="288" t="s">
        <v>7079</v>
      </c>
      <c r="D1228" s="303">
        <v>4333.58</v>
      </c>
    </row>
    <row r="1229" spans="1:4" ht="36">
      <c r="A1229" s="288" t="s">
        <v>9291</v>
      </c>
      <c r="B1229" s="289" t="s">
        <v>9292</v>
      </c>
      <c r="C1229" s="288" t="s">
        <v>7079</v>
      </c>
      <c r="D1229" s="303">
        <v>8506.64</v>
      </c>
    </row>
    <row r="1230" spans="1:4" ht="36">
      <c r="A1230" s="288" t="s">
        <v>9293</v>
      </c>
      <c r="B1230" s="289" t="s">
        <v>9294</v>
      </c>
      <c r="C1230" s="288" t="s">
        <v>7079</v>
      </c>
      <c r="D1230" s="303">
        <v>43684.46</v>
      </c>
    </row>
    <row r="1231" spans="1:4" ht="27">
      <c r="A1231" s="288" t="s">
        <v>9295</v>
      </c>
      <c r="B1231" s="289" t="s">
        <v>9296</v>
      </c>
      <c r="C1231" s="288" t="s">
        <v>7079</v>
      </c>
      <c r="D1231" s="303">
        <v>924.09</v>
      </c>
    </row>
    <row r="1232" spans="1:4" ht="27">
      <c r="A1232" s="287" t="s">
        <v>9297</v>
      </c>
      <c r="B1232" s="287"/>
      <c r="C1232" s="287"/>
      <c r="D1232" s="296" t="s">
        <v>28729</v>
      </c>
    </row>
    <row r="1233" spans="1:4" ht="27">
      <c r="A1233" s="288" t="s">
        <v>9298</v>
      </c>
      <c r="B1233" s="289" t="s">
        <v>9299</v>
      </c>
      <c r="C1233" s="288" t="s">
        <v>7079</v>
      </c>
      <c r="D1233" s="303">
        <v>87.25</v>
      </c>
    </row>
    <row r="1234" spans="1:4" ht="27">
      <c r="A1234" s="288" t="s">
        <v>9300</v>
      </c>
      <c r="B1234" s="289" t="s">
        <v>9301</v>
      </c>
      <c r="C1234" s="288" t="s">
        <v>7079</v>
      </c>
      <c r="D1234" s="303">
        <v>123.99</v>
      </c>
    </row>
    <row r="1235" spans="1:4" ht="27">
      <c r="A1235" s="288" t="s">
        <v>9302</v>
      </c>
      <c r="B1235" s="289" t="s">
        <v>9303</v>
      </c>
      <c r="C1235" s="288" t="s">
        <v>7079</v>
      </c>
      <c r="D1235" s="303">
        <v>180.34</v>
      </c>
    </row>
    <row r="1236" spans="1:4" ht="27">
      <c r="A1236" s="288" t="s">
        <v>9304</v>
      </c>
      <c r="B1236" s="289" t="s">
        <v>9305</v>
      </c>
      <c r="C1236" s="288" t="s">
        <v>7079</v>
      </c>
      <c r="D1236" s="303">
        <v>382.05</v>
      </c>
    </row>
    <row r="1237" spans="1:4">
      <c r="A1237" s="287" t="s">
        <v>9306</v>
      </c>
      <c r="B1237" s="287"/>
      <c r="C1237" s="287"/>
      <c r="D1237" s="296" t="s">
        <v>28729</v>
      </c>
    </row>
    <row r="1238" spans="1:4" ht="36">
      <c r="A1238" s="288" t="s">
        <v>9307</v>
      </c>
      <c r="B1238" s="289" t="s">
        <v>9308</v>
      </c>
      <c r="C1238" s="288" t="s">
        <v>7079</v>
      </c>
      <c r="D1238" s="303">
        <v>631.45000000000005</v>
      </c>
    </row>
    <row r="1239" spans="1:4">
      <c r="A1239" s="287" t="s">
        <v>9309</v>
      </c>
      <c r="B1239" s="287"/>
      <c r="C1239" s="287"/>
      <c r="D1239" s="296" t="s">
        <v>28729</v>
      </c>
    </row>
    <row r="1240" spans="1:4" ht="36">
      <c r="A1240" s="288" t="s">
        <v>9310</v>
      </c>
      <c r="B1240" s="289" t="s">
        <v>9311</v>
      </c>
      <c r="C1240" s="288" t="s">
        <v>7079</v>
      </c>
      <c r="D1240" s="303">
        <v>2704.21</v>
      </c>
    </row>
    <row r="1241" spans="1:4" ht="36">
      <c r="A1241" s="288" t="s">
        <v>9312</v>
      </c>
      <c r="B1241" s="289" t="s">
        <v>9313</v>
      </c>
      <c r="C1241" s="288" t="s">
        <v>7079</v>
      </c>
      <c r="D1241" s="303">
        <v>4487.97</v>
      </c>
    </row>
    <row r="1242" spans="1:4" ht="36">
      <c r="A1242" s="288" t="s">
        <v>9314</v>
      </c>
      <c r="B1242" s="289" t="s">
        <v>9315</v>
      </c>
      <c r="C1242" s="288" t="s">
        <v>7079</v>
      </c>
      <c r="D1242" s="303">
        <v>5938.82</v>
      </c>
    </row>
    <row r="1243" spans="1:4" ht="36">
      <c r="A1243" s="288" t="s">
        <v>9316</v>
      </c>
      <c r="B1243" s="289" t="s">
        <v>9317</v>
      </c>
      <c r="C1243" s="288" t="s">
        <v>7079</v>
      </c>
      <c r="D1243" s="303">
        <v>7926.28</v>
      </c>
    </row>
    <row r="1244" spans="1:4" ht="36">
      <c r="A1244" s="288" t="s">
        <v>9318</v>
      </c>
      <c r="B1244" s="289" t="s">
        <v>9319</v>
      </c>
      <c r="C1244" s="288" t="s">
        <v>7079</v>
      </c>
      <c r="D1244" s="303">
        <v>8722.56</v>
      </c>
    </row>
    <row r="1245" spans="1:4" ht="18">
      <c r="A1245" s="287" t="s">
        <v>9320</v>
      </c>
      <c r="B1245" s="287"/>
      <c r="C1245" s="287"/>
      <c r="D1245" s="296" t="s">
        <v>28729</v>
      </c>
    </row>
    <row r="1246" spans="1:4" ht="18">
      <c r="A1246" s="288" t="s">
        <v>9321</v>
      </c>
      <c r="B1246" s="289" t="s">
        <v>9322</v>
      </c>
      <c r="C1246" s="288" t="s">
        <v>7079</v>
      </c>
      <c r="D1246" s="303">
        <v>1064.01</v>
      </c>
    </row>
    <row r="1247" spans="1:4" ht="18">
      <c r="A1247" s="288" t="s">
        <v>9323</v>
      </c>
      <c r="B1247" s="289" t="s">
        <v>9324</v>
      </c>
      <c r="C1247" s="288" t="s">
        <v>7079</v>
      </c>
      <c r="D1247" s="303">
        <v>2151.6799999999998</v>
      </c>
    </row>
    <row r="1248" spans="1:4" ht="18">
      <c r="A1248" s="288" t="s">
        <v>9325</v>
      </c>
      <c r="B1248" s="289" t="s">
        <v>9326</v>
      </c>
      <c r="C1248" s="288" t="s">
        <v>7079</v>
      </c>
      <c r="D1248" s="303">
        <v>2695.45</v>
      </c>
    </row>
    <row r="1249" spans="1:4" ht="18">
      <c r="A1249" s="288" t="s">
        <v>9327</v>
      </c>
      <c r="B1249" s="289" t="s">
        <v>9328</v>
      </c>
      <c r="C1249" s="288" t="s">
        <v>7079</v>
      </c>
      <c r="D1249" s="303">
        <v>3297.62</v>
      </c>
    </row>
    <row r="1250" spans="1:4" ht="45">
      <c r="A1250" s="288" t="s">
        <v>9329</v>
      </c>
      <c r="B1250" s="289" t="s">
        <v>9330</v>
      </c>
      <c r="C1250" s="288" t="s">
        <v>7079</v>
      </c>
      <c r="D1250" s="303">
        <v>3364.35</v>
      </c>
    </row>
    <row r="1251" spans="1:4" ht="45">
      <c r="A1251" s="288" t="s">
        <v>9331</v>
      </c>
      <c r="B1251" s="289" t="s">
        <v>9332</v>
      </c>
      <c r="C1251" s="288" t="s">
        <v>7079</v>
      </c>
      <c r="D1251" s="303">
        <v>4320.46</v>
      </c>
    </row>
    <row r="1252" spans="1:4" ht="45">
      <c r="A1252" s="288" t="s">
        <v>9333</v>
      </c>
      <c r="B1252" s="289" t="s">
        <v>9334</v>
      </c>
      <c r="C1252" s="288" t="s">
        <v>7079</v>
      </c>
      <c r="D1252" s="303">
        <v>6652.26</v>
      </c>
    </row>
    <row r="1253" spans="1:4">
      <c r="A1253" s="287" t="s">
        <v>9335</v>
      </c>
      <c r="B1253" s="287"/>
      <c r="C1253" s="287"/>
      <c r="D1253" s="296" t="s">
        <v>28729</v>
      </c>
    </row>
    <row r="1254" spans="1:4" ht="36">
      <c r="A1254" s="288" t="s">
        <v>9336</v>
      </c>
      <c r="B1254" s="289" t="s">
        <v>9337</v>
      </c>
      <c r="C1254" s="288" t="s">
        <v>7079</v>
      </c>
      <c r="D1254" s="303">
        <v>2234.39</v>
      </c>
    </row>
    <row r="1255" spans="1:4" ht="36">
      <c r="A1255" s="288" t="s">
        <v>9338</v>
      </c>
      <c r="B1255" s="289" t="s">
        <v>9339</v>
      </c>
      <c r="C1255" s="288" t="s">
        <v>7079</v>
      </c>
      <c r="D1255" s="303">
        <v>3110.73</v>
      </c>
    </row>
    <row r="1256" spans="1:4" ht="36">
      <c r="A1256" s="288" t="s">
        <v>9340</v>
      </c>
      <c r="B1256" s="289" t="s">
        <v>9341</v>
      </c>
      <c r="C1256" s="288" t="s">
        <v>7079</v>
      </c>
      <c r="D1256" s="303">
        <v>6369.17</v>
      </c>
    </row>
    <row r="1257" spans="1:4" ht="36">
      <c r="A1257" s="288" t="s">
        <v>9342</v>
      </c>
      <c r="B1257" s="289" t="s">
        <v>9343</v>
      </c>
      <c r="C1257" s="288" t="s">
        <v>7079</v>
      </c>
      <c r="D1257" s="303">
        <v>9596.4</v>
      </c>
    </row>
    <row r="1258" spans="1:4">
      <c r="A1258" s="287" t="s">
        <v>9344</v>
      </c>
      <c r="B1258" s="287"/>
      <c r="C1258" s="287"/>
      <c r="D1258" s="296" t="s">
        <v>28729</v>
      </c>
    </row>
    <row r="1259" spans="1:4" ht="18">
      <c r="A1259" s="288" t="s">
        <v>9345</v>
      </c>
      <c r="B1259" s="289" t="s">
        <v>9346</v>
      </c>
      <c r="C1259" s="288" t="s">
        <v>7079</v>
      </c>
      <c r="D1259" s="303">
        <v>23.54</v>
      </c>
    </row>
    <row r="1260" spans="1:4" ht="18">
      <c r="A1260" s="288" t="s">
        <v>9347</v>
      </c>
      <c r="B1260" s="289" t="s">
        <v>9348</v>
      </c>
      <c r="C1260" s="288" t="s">
        <v>7079</v>
      </c>
      <c r="D1260" s="303">
        <v>34.46</v>
      </c>
    </row>
    <row r="1261" spans="1:4" ht="18">
      <c r="A1261" s="288" t="s">
        <v>9349</v>
      </c>
      <c r="B1261" s="289" t="s">
        <v>9350</v>
      </c>
      <c r="C1261" s="288" t="s">
        <v>7079</v>
      </c>
      <c r="D1261" s="303">
        <v>73.86</v>
      </c>
    </row>
    <row r="1262" spans="1:4" ht="27">
      <c r="A1262" s="288" t="s">
        <v>9351</v>
      </c>
      <c r="B1262" s="289" t="s">
        <v>9352</v>
      </c>
      <c r="C1262" s="288" t="s">
        <v>7079</v>
      </c>
      <c r="D1262" s="303">
        <v>145.12</v>
      </c>
    </row>
    <row r="1263" spans="1:4" ht="27">
      <c r="A1263" s="288" t="s">
        <v>9353</v>
      </c>
      <c r="B1263" s="289" t="s">
        <v>9354</v>
      </c>
      <c r="C1263" s="288" t="s">
        <v>7079</v>
      </c>
      <c r="D1263" s="303">
        <v>201.16</v>
      </c>
    </row>
    <row r="1264" spans="1:4">
      <c r="A1264" s="287"/>
      <c r="B1264" s="287"/>
      <c r="C1264" s="287"/>
      <c r="D1264" s="296" t="s">
        <v>28729</v>
      </c>
    </row>
    <row r="1265" spans="1:4" ht="27">
      <c r="A1265" s="287" t="s">
        <v>9355</v>
      </c>
      <c r="B1265" s="287"/>
      <c r="C1265" s="287"/>
      <c r="D1265" s="296" t="s">
        <v>28729</v>
      </c>
    </row>
    <row r="1266" spans="1:4" ht="45">
      <c r="A1266" s="288" t="s">
        <v>9356</v>
      </c>
      <c r="B1266" s="289" t="s">
        <v>9357</v>
      </c>
      <c r="C1266" s="288" t="s">
        <v>7079</v>
      </c>
      <c r="D1266" s="303">
        <v>2719.72</v>
      </c>
    </row>
    <row r="1267" spans="1:4" ht="27">
      <c r="A1267" s="287" t="s">
        <v>9358</v>
      </c>
      <c r="B1267" s="287"/>
      <c r="C1267" s="287"/>
      <c r="D1267" s="296" t="s">
        <v>28729</v>
      </c>
    </row>
    <row r="1268" spans="1:4" ht="63">
      <c r="A1268" s="288" t="s">
        <v>9359</v>
      </c>
      <c r="B1268" s="289" t="s">
        <v>9360</v>
      </c>
      <c r="C1268" s="288" t="s">
        <v>7079</v>
      </c>
      <c r="D1268" s="303">
        <v>2620.6999999999998</v>
      </c>
    </row>
    <row r="1269" spans="1:4" ht="63">
      <c r="A1269" s="288" t="s">
        <v>9361</v>
      </c>
      <c r="B1269" s="289" t="s">
        <v>9362</v>
      </c>
      <c r="C1269" s="288" t="s">
        <v>7079</v>
      </c>
      <c r="D1269" s="303">
        <v>2739.15</v>
      </c>
    </row>
    <row r="1270" spans="1:4" ht="63">
      <c r="A1270" s="288" t="s">
        <v>9363</v>
      </c>
      <c r="B1270" s="289" t="s">
        <v>9364</v>
      </c>
      <c r="C1270" s="288" t="s">
        <v>7079</v>
      </c>
      <c r="D1270" s="303">
        <v>3005.35</v>
      </c>
    </row>
    <row r="1271" spans="1:4" ht="63">
      <c r="A1271" s="288" t="s">
        <v>9365</v>
      </c>
      <c r="B1271" s="289" t="s">
        <v>9366</v>
      </c>
      <c r="C1271" s="288" t="s">
        <v>7079</v>
      </c>
      <c r="D1271" s="303">
        <v>3401.38</v>
      </c>
    </row>
    <row r="1272" spans="1:4" ht="63">
      <c r="A1272" s="288" t="s">
        <v>9367</v>
      </c>
      <c r="B1272" s="289" t="s">
        <v>9368</v>
      </c>
      <c r="C1272" s="288" t="s">
        <v>7079</v>
      </c>
      <c r="D1272" s="303">
        <v>3890.74</v>
      </c>
    </row>
    <row r="1273" spans="1:4" ht="63">
      <c r="A1273" s="288" t="s">
        <v>9369</v>
      </c>
      <c r="B1273" s="289" t="s">
        <v>9370</v>
      </c>
      <c r="C1273" s="288" t="s">
        <v>7079</v>
      </c>
      <c r="D1273" s="303">
        <v>5016.8500000000004</v>
      </c>
    </row>
    <row r="1274" spans="1:4" ht="63">
      <c r="A1274" s="288" t="s">
        <v>9371</v>
      </c>
      <c r="B1274" s="289" t="s">
        <v>9372</v>
      </c>
      <c r="C1274" s="288" t="s">
        <v>7079</v>
      </c>
      <c r="D1274" s="303">
        <v>6503.66</v>
      </c>
    </row>
    <row r="1275" spans="1:4" ht="27">
      <c r="A1275" s="287" t="s">
        <v>9373</v>
      </c>
      <c r="B1275" s="287"/>
      <c r="C1275" s="287"/>
      <c r="D1275" s="296" t="s">
        <v>28729</v>
      </c>
    </row>
    <row r="1276" spans="1:4" ht="27">
      <c r="A1276" s="288" t="s">
        <v>9374</v>
      </c>
      <c r="B1276" s="289" t="s">
        <v>9375</v>
      </c>
      <c r="C1276" s="288" t="s">
        <v>7079</v>
      </c>
      <c r="D1276" s="303">
        <v>337.61</v>
      </c>
    </row>
    <row r="1277" spans="1:4" ht="36">
      <c r="A1277" s="288" t="s">
        <v>9376</v>
      </c>
      <c r="B1277" s="289" t="s">
        <v>9377</v>
      </c>
      <c r="C1277" s="288" t="s">
        <v>7079</v>
      </c>
      <c r="D1277" s="303">
        <v>545.80999999999995</v>
      </c>
    </row>
    <row r="1278" spans="1:4" ht="36">
      <c r="A1278" s="288" t="s">
        <v>9378</v>
      </c>
      <c r="B1278" s="289" t="s">
        <v>9379</v>
      </c>
      <c r="C1278" s="288" t="s">
        <v>7079</v>
      </c>
      <c r="D1278" s="303">
        <v>2257.0300000000002</v>
      </c>
    </row>
    <row r="1279" spans="1:4" ht="36">
      <c r="A1279" s="288" t="s">
        <v>9380</v>
      </c>
      <c r="B1279" s="289" t="s">
        <v>9381</v>
      </c>
      <c r="C1279" s="288" t="s">
        <v>7079</v>
      </c>
      <c r="D1279" s="303">
        <v>2685.59</v>
      </c>
    </row>
    <row r="1280" spans="1:4" ht="36">
      <c r="A1280" s="288" t="s">
        <v>9382</v>
      </c>
      <c r="B1280" s="289" t="s">
        <v>9383</v>
      </c>
      <c r="C1280" s="288" t="s">
        <v>7079</v>
      </c>
      <c r="D1280" s="303">
        <v>3057.99</v>
      </c>
    </row>
    <row r="1281" spans="1:4" ht="36">
      <c r="A1281" s="288" t="s">
        <v>9384</v>
      </c>
      <c r="B1281" s="289" t="s">
        <v>9385</v>
      </c>
      <c r="C1281" s="288" t="s">
        <v>7079</v>
      </c>
      <c r="D1281" s="303">
        <v>3683.67</v>
      </c>
    </row>
    <row r="1282" spans="1:4" ht="36">
      <c r="A1282" s="288" t="s">
        <v>9386</v>
      </c>
      <c r="B1282" s="289" t="s">
        <v>9387</v>
      </c>
      <c r="C1282" s="288" t="s">
        <v>7079</v>
      </c>
      <c r="D1282" s="303">
        <v>3734.25</v>
      </c>
    </row>
    <row r="1283" spans="1:4" ht="36">
      <c r="A1283" s="288" t="s">
        <v>9388</v>
      </c>
      <c r="B1283" s="289" t="s">
        <v>9389</v>
      </c>
      <c r="C1283" s="288" t="s">
        <v>7079</v>
      </c>
      <c r="D1283" s="303">
        <v>3831.53</v>
      </c>
    </row>
    <row r="1284" spans="1:4" ht="36">
      <c r="A1284" s="288" t="s">
        <v>9390</v>
      </c>
      <c r="B1284" s="289" t="s">
        <v>9391</v>
      </c>
      <c r="C1284" s="288" t="s">
        <v>7079</v>
      </c>
      <c r="D1284" s="303">
        <v>4555.9399999999996</v>
      </c>
    </row>
    <row r="1285" spans="1:4" ht="36">
      <c r="A1285" s="288" t="s">
        <v>9392</v>
      </c>
      <c r="B1285" s="289" t="s">
        <v>9393</v>
      </c>
      <c r="C1285" s="288" t="s">
        <v>7079</v>
      </c>
      <c r="D1285" s="303">
        <v>4734.6400000000003</v>
      </c>
    </row>
    <row r="1286" spans="1:4" ht="36">
      <c r="A1286" s="288" t="s">
        <v>9394</v>
      </c>
      <c r="B1286" s="289" t="s">
        <v>9395</v>
      </c>
      <c r="C1286" s="288" t="s">
        <v>7079</v>
      </c>
      <c r="D1286" s="303">
        <v>5556.72</v>
      </c>
    </row>
    <row r="1287" spans="1:4" ht="36">
      <c r="A1287" s="288" t="s">
        <v>9396</v>
      </c>
      <c r="B1287" s="289" t="s">
        <v>9397</v>
      </c>
      <c r="C1287" s="288" t="s">
        <v>7079</v>
      </c>
      <c r="D1287" s="303">
        <v>6691.75</v>
      </c>
    </row>
    <row r="1288" spans="1:4" ht="36">
      <c r="A1288" s="288" t="s">
        <v>9398</v>
      </c>
      <c r="B1288" s="289" t="s">
        <v>9399</v>
      </c>
      <c r="C1288" s="288" t="s">
        <v>7079</v>
      </c>
      <c r="D1288" s="303">
        <v>7482.36</v>
      </c>
    </row>
    <row r="1289" spans="1:4" ht="36">
      <c r="A1289" s="288" t="s">
        <v>9400</v>
      </c>
      <c r="B1289" s="289" t="s">
        <v>9401</v>
      </c>
      <c r="C1289" s="288" t="s">
        <v>7079</v>
      </c>
      <c r="D1289" s="303">
        <v>8229.14</v>
      </c>
    </row>
    <row r="1290" spans="1:4" ht="36">
      <c r="A1290" s="288" t="s">
        <v>9402</v>
      </c>
      <c r="B1290" s="289" t="s">
        <v>9403</v>
      </c>
      <c r="C1290" s="288" t="s">
        <v>7079</v>
      </c>
      <c r="D1290" s="303">
        <v>9010.4699999999993</v>
      </c>
    </row>
    <row r="1291" spans="1:4" ht="36">
      <c r="A1291" s="288" t="s">
        <v>9404</v>
      </c>
      <c r="B1291" s="289" t="s">
        <v>9405</v>
      </c>
      <c r="C1291" s="288" t="s">
        <v>7079</v>
      </c>
      <c r="D1291" s="303">
        <v>9560.99</v>
      </c>
    </row>
    <row r="1292" spans="1:4" ht="36">
      <c r="A1292" s="288" t="s">
        <v>9406</v>
      </c>
      <c r="B1292" s="289" t="s">
        <v>9407</v>
      </c>
      <c r="C1292" s="288" t="s">
        <v>7079</v>
      </c>
      <c r="D1292" s="303">
        <v>10329.83</v>
      </c>
    </row>
    <row r="1293" spans="1:4" ht="36">
      <c r="A1293" s="288" t="s">
        <v>9408</v>
      </c>
      <c r="B1293" s="289" t="s">
        <v>9409</v>
      </c>
      <c r="C1293" s="288" t="s">
        <v>7079</v>
      </c>
      <c r="D1293" s="303">
        <v>11098.35</v>
      </c>
    </row>
    <row r="1294" spans="1:4" ht="36">
      <c r="A1294" s="288" t="s">
        <v>9410</v>
      </c>
      <c r="B1294" s="289" t="s">
        <v>9411</v>
      </c>
      <c r="C1294" s="288" t="s">
        <v>7079</v>
      </c>
      <c r="D1294" s="303">
        <v>231.44</v>
      </c>
    </row>
    <row r="1295" spans="1:4" ht="36">
      <c r="A1295" s="288" t="s">
        <v>9412</v>
      </c>
      <c r="B1295" s="289" t="s">
        <v>9413</v>
      </c>
      <c r="C1295" s="288" t="s">
        <v>7079</v>
      </c>
      <c r="D1295" s="303">
        <v>280.23</v>
      </c>
    </row>
    <row r="1296" spans="1:4" ht="36">
      <c r="A1296" s="288" t="s">
        <v>9414</v>
      </c>
      <c r="B1296" s="289" t="s">
        <v>9415</v>
      </c>
      <c r="C1296" s="288" t="s">
        <v>7079</v>
      </c>
      <c r="D1296" s="303">
        <v>143.69</v>
      </c>
    </row>
    <row r="1297" spans="1:4" ht="27">
      <c r="A1297" s="287" t="s">
        <v>9416</v>
      </c>
      <c r="B1297" s="287"/>
      <c r="C1297" s="287"/>
      <c r="D1297" s="296" t="s">
        <v>28729</v>
      </c>
    </row>
    <row r="1298" spans="1:4" ht="27">
      <c r="A1298" s="288" t="s">
        <v>9417</v>
      </c>
      <c r="B1298" s="289" t="s">
        <v>9418</v>
      </c>
      <c r="C1298" s="288" t="s">
        <v>7079</v>
      </c>
      <c r="D1298" s="303">
        <v>10054.280000000001</v>
      </c>
    </row>
    <row r="1299" spans="1:4">
      <c r="A1299" s="287"/>
      <c r="B1299" s="287"/>
      <c r="C1299" s="287"/>
      <c r="D1299" s="296" t="s">
        <v>28729</v>
      </c>
    </row>
    <row r="1300" spans="1:4">
      <c r="A1300" s="287" t="s">
        <v>9419</v>
      </c>
      <c r="B1300" s="287"/>
      <c r="C1300" s="287"/>
      <c r="D1300" s="296" t="s">
        <v>28729</v>
      </c>
    </row>
    <row r="1301" spans="1:4" ht="45">
      <c r="A1301" s="288" t="s">
        <v>9420</v>
      </c>
      <c r="B1301" s="289" t="s">
        <v>9421</v>
      </c>
      <c r="C1301" s="288" t="s">
        <v>7079</v>
      </c>
      <c r="D1301" s="303">
        <v>245.67</v>
      </c>
    </row>
    <row r="1302" spans="1:4" ht="54">
      <c r="A1302" s="288" t="s">
        <v>9422</v>
      </c>
      <c r="B1302" s="289" t="s">
        <v>9423</v>
      </c>
      <c r="C1302" s="288" t="s">
        <v>7079</v>
      </c>
      <c r="D1302" s="303">
        <v>469.87</v>
      </c>
    </row>
    <row r="1303" spans="1:4">
      <c r="A1303" s="287" t="s">
        <v>9424</v>
      </c>
      <c r="B1303" s="287"/>
      <c r="C1303" s="287"/>
      <c r="D1303" s="296" t="s">
        <v>28729</v>
      </c>
    </row>
    <row r="1304" spans="1:4" ht="27">
      <c r="A1304" s="288" t="s">
        <v>9425</v>
      </c>
      <c r="B1304" s="289" t="s">
        <v>9426</v>
      </c>
      <c r="C1304" s="288" t="s">
        <v>7079</v>
      </c>
      <c r="D1304" s="303">
        <v>227.62</v>
      </c>
    </row>
    <row r="1305" spans="1:4" ht="45">
      <c r="A1305" s="288" t="s">
        <v>9427</v>
      </c>
      <c r="B1305" s="289" t="s">
        <v>9428</v>
      </c>
      <c r="C1305" s="288" t="s">
        <v>7079</v>
      </c>
      <c r="D1305" s="303">
        <v>240.19</v>
      </c>
    </row>
    <row r="1306" spans="1:4" ht="45">
      <c r="A1306" s="288" t="s">
        <v>9429</v>
      </c>
      <c r="B1306" s="289" t="s">
        <v>9430</v>
      </c>
      <c r="C1306" s="288" t="s">
        <v>7079</v>
      </c>
      <c r="D1306" s="303">
        <v>503.49</v>
      </c>
    </row>
    <row r="1307" spans="1:4" ht="45">
      <c r="A1307" s="288" t="s">
        <v>9431</v>
      </c>
      <c r="B1307" s="289" t="s">
        <v>9432</v>
      </c>
      <c r="C1307" s="288" t="s">
        <v>7079</v>
      </c>
      <c r="D1307" s="303">
        <v>300.39999999999998</v>
      </c>
    </row>
    <row r="1308" spans="1:4" ht="18">
      <c r="A1308" s="288" t="s">
        <v>9433</v>
      </c>
      <c r="B1308" s="289" t="s">
        <v>9434</v>
      </c>
      <c r="C1308" s="288" t="s">
        <v>7079</v>
      </c>
      <c r="D1308" s="303">
        <v>185.41</v>
      </c>
    </row>
    <row r="1309" spans="1:4">
      <c r="A1309" s="287" t="s">
        <v>9435</v>
      </c>
      <c r="B1309" s="287"/>
      <c r="C1309" s="287"/>
      <c r="D1309" s="296" t="s">
        <v>28729</v>
      </c>
    </row>
    <row r="1310" spans="1:4" ht="45">
      <c r="A1310" s="288" t="s">
        <v>9436</v>
      </c>
      <c r="B1310" s="289" t="s">
        <v>9437</v>
      </c>
      <c r="C1310" s="288" t="s">
        <v>7079</v>
      </c>
      <c r="D1310" s="303">
        <v>1530.18</v>
      </c>
    </row>
    <row r="1311" spans="1:4" ht="45">
      <c r="A1311" s="288" t="s">
        <v>9438</v>
      </c>
      <c r="B1311" s="289" t="s">
        <v>9439</v>
      </c>
      <c r="C1311" s="288" t="s">
        <v>7079</v>
      </c>
      <c r="D1311" s="303">
        <v>1465.39</v>
      </c>
    </row>
    <row r="1312" spans="1:4" ht="54">
      <c r="A1312" s="288" t="s">
        <v>9440</v>
      </c>
      <c r="B1312" s="289" t="s">
        <v>9441</v>
      </c>
      <c r="C1312" s="288" t="s">
        <v>7079</v>
      </c>
      <c r="D1312" s="303">
        <v>841.68</v>
      </c>
    </row>
    <row r="1313" spans="1:4" ht="63">
      <c r="A1313" s="288" t="s">
        <v>9442</v>
      </c>
      <c r="B1313" s="289" t="s">
        <v>9443</v>
      </c>
      <c r="C1313" s="288" t="s">
        <v>7079</v>
      </c>
      <c r="D1313" s="303">
        <v>1120.07</v>
      </c>
    </row>
    <row r="1314" spans="1:4" ht="54">
      <c r="A1314" s="288" t="s">
        <v>9444</v>
      </c>
      <c r="B1314" s="289" t="s">
        <v>9445</v>
      </c>
      <c r="C1314" s="288" t="s">
        <v>7079</v>
      </c>
      <c r="D1314" s="303">
        <v>1447.64</v>
      </c>
    </row>
    <row r="1315" spans="1:4">
      <c r="A1315" s="287" t="s">
        <v>9446</v>
      </c>
      <c r="B1315" s="287"/>
      <c r="C1315" s="287"/>
      <c r="D1315" s="296" t="s">
        <v>28729</v>
      </c>
    </row>
    <row r="1316" spans="1:4" ht="54">
      <c r="A1316" s="288" t="s">
        <v>9447</v>
      </c>
      <c r="B1316" s="289" t="s">
        <v>9448</v>
      </c>
      <c r="C1316" s="288" t="s">
        <v>7079</v>
      </c>
      <c r="D1316" s="303">
        <v>694.04</v>
      </c>
    </row>
    <row r="1317" spans="1:4" ht="54">
      <c r="A1317" s="288" t="s">
        <v>9449</v>
      </c>
      <c r="B1317" s="289" t="s">
        <v>9450</v>
      </c>
      <c r="C1317" s="288" t="s">
        <v>7079</v>
      </c>
      <c r="D1317" s="303">
        <v>679.83</v>
      </c>
    </row>
    <row r="1318" spans="1:4" ht="54">
      <c r="A1318" s="288" t="s">
        <v>9451</v>
      </c>
      <c r="B1318" s="289" t="s">
        <v>9452</v>
      </c>
      <c r="C1318" s="288" t="s">
        <v>7079</v>
      </c>
      <c r="D1318" s="303">
        <v>714.21</v>
      </c>
    </row>
    <row r="1319" spans="1:4">
      <c r="A1319" s="287"/>
      <c r="B1319" s="287"/>
      <c r="C1319" s="287"/>
      <c r="D1319" s="296" t="s">
        <v>28729</v>
      </c>
    </row>
    <row r="1320" spans="1:4">
      <c r="A1320" s="287" t="s">
        <v>9453</v>
      </c>
      <c r="B1320" s="287"/>
      <c r="C1320" s="287"/>
      <c r="D1320" s="296" t="s">
        <v>28729</v>
      </c>
    </row>
    <row r="1321" spans="1:4" ht="27">
      <c r="A1321" s="288" t="s">
        <v>9454</v>
      </c>
      <c r="B1321" s="289" t="s">
        <v>9455</v>
      </c>
      <c r="C1321" s="288" t="s">
        <v>7079</v>
      </c>
      <c r="D1321" s="303">
        <v>211.78</v>
      </c>
    </row>
    <row r="1322" spans="1:4" ht="27">
      <c r="A1322" s="288" t="s">
        <v>9456</v>
      </c>
      <c r="B1322" s="289" t="s">
        <v>9457</v>
      </c>
      <c r="C1322" s="288" t="s">
        <v>7079</v>
      </c>
      <c r="D1322" s="303">
        <v>370.09</v>
      </c>
    </row>
    <row r="1323" spans="1:4" ht="27">
      <c r="A1323" s="288" t="s">
        <v>9458</v>
      </c>
      <c r="B1323" s="289" t="s">
        <v>9459</v>
      </c>
      <c r="C1323" s="288" t="s">
        <v>7079</v>
      </c>
      <c r="D1323" s="303">
        <v>673.35</v>
      </c>
    </row>
    <row r="1324" spans="1:4" ht="27">
      <c r="A1324" s="288" t="s">
        <v>9460</v>
      </c>
      <c r="B1324" s="289" t="s">
        <v>9461</v>
      </c>
      <c r="C1324" s="288" t="s">
        <v>7079</v>
      </c>
      <c r="D1324" s="303">
        <v>323.39999999999998</v>
      </c>
    </row>
    <row r="1325" spans="1:4" ht="27">
      <c r="A1325" s="288" t="s">
        <v>9462</v>
      </c>
      <c r="B1325" s="289" t="s">
        <v>9463</v>
      </c>
      <c r="C1325" s="288" t="s">
        <v>7079</v>
      </c>
      <c r="D1325" s="303">
        <v>375.86</v>
      </c>
    </row>
    <row r="1326" spans="1:4" ht="27">
      <c r="A1326" s="288" t="s">
        <v>9464</v>
      </c>
      <c r="B1326" s="289" t="s">
        <v>9465</v>
      </c>
      <c r="C1326" s="288" t="s">
        <v>7079</v>
      </c>
      <c r="D1326" s="303">
        <v>391.01</v>
      </c>
    </row>
    <row r="1327" spans="1:4" ht="81">
      <c r="A1327" s="288" t="s">
        <v>9466</v>
      </c>
      <c r="B1327" s="289" t="s">
        <v>9467</v>
      </c>
      <c r="C1327" s="288" t="s">
        <v>7079</v>
      </c>
      <c r="D1327" s="303">
        <v>510</v>
      </c>
    </row>
    <row r="1328" spans="1:4" ht="27">
      <c r="A1328" s="288" t="s">
        <v>9468</v>
      </c>
      <c r="B1328" s="289" t="s">
        <v>9469</v>
      </c>
      <c r="C1328" s="288" t="s">
        <v>7079</v>
      </c>
      <c r="D1328" s="303">
        <v>477.94</v>
      </c>
    </row>
    <row r="1329" spans="1:4" ht="27">
      <c r="A1329" s="288" t="s">
        <v>9470</v>
      </c>
      <c r="B1329" s="289" t="s">
        <v>9471</v>
      </c>
      <c r="C1329" s="288" t="s">
        <v>7079</v>
      </c>
      <c r="D1329" s="303">
        <v>471.87</v>
      </c>
    </row>
    <row r="1330" spans="1:4" ht="36">
      <c r="A1330" s="288" t="s">
        <v>9472</v>
      </c>
      <c r="B1330" s="289" t="s">
        <v>9473</v>
      </c>
      <c r="C1330" s="288" t="s">
        <v>7079</v>
      </c>
      <c r="D1330" s="303">
        <v>3820.5</v>
      </c>
    </row>
    <row r="1331" spans="1:4">
      <c r="A1331" s="287" t="s">
        <v>9474</v>
      </c>
      <c r="B1331" s="287"/>
      <c r="C1331" s="287"/>
      <c r="D1331" s="296" t="s">
        <v>28729</v>
      </c>
    </row>
    <row r="1332" spans="1:4" ht="27">
      <c r="A1332" s="288" t="s">
        <v>9475</v>
      </c>
      <c r="B1332" s="289" t="s">
        <v>9476</v>
      </c>
      <c r="C1332" s="288" t="s">
        <v>7079</v>
      </c>
      <c r="D1332" s="303">
        <v>444.76</v>
      </c>
    </row>
    <row r="1333" spans="1:4" ht="27">
      <c r="A1333" s="288" t="s">
        <v>9477</v>
      </c>
      <c r="B1333" s="289" t="s">
        <v>9478</v>
      </c>
      <c r="C1333" s="288" t="s">
        <v>7079</v>
      </c>
      <c r="D1333" s="303">
        <v>449.61</v>
      </c>
    </row>
    <row r="1334" spans="1:4" ht="18">
      <c r="A1334" s="288" t="s">
        <v>9479</v>
      </c>
      <c r="B1334" s="289" t="s">
        <v>9480</v>
      </c>
      <c r="C1334" s="288" t="s">
        <v>54</v>
      </c>
      <c r="D1334" s="303">
        <v>105.05</v>
      </c>
    </row>
    <row r="1335" spans="1:4" ht="18">
      <c r="A1335" s="288" t="s">
        <v>9481</v>
      </c>
      <c r="B1335" s="289" t="s">
        <v>9482</v>
      </c>
      <c r="C1335" s="288" t="s">
        <v>54</v>
      </c>
      <c r="D1335" s="303">
        <v>263.66000000000003</v>
      </c>
    </row>
    <row r="1336" spans="1:4" ht="18">
      <c r="A1336" s="288" t="s">
        <v>9483</v>
      </c>
      <c r="B1336" s="289" t="s">
        <v>9484</v>
      </c>
      <c r="C1336" s="288" t="s">
        <v>54</v>
      </c>
      <c r="D1336" s="303">
        <v>222.37</v>
      </c>
    </row>
    <row r="1337" spans="1:4" ht="27">
      <c r="A1337" s="288" t="s">
        <v>9485</v>
      </c>
      <c r="B1337" s="289" t="s">
        <v>9486</v>
      </c>
      <c r="C1337" s="288" t="s">
        <v>7079</v>
      </c>
      <c r="D1337" s="303">
        <v>333.09</v>
      </c>
    </row>
    <row r="1338" spans="1:4" ht="27">
      <c r="A1338" s="288" t="s">
        <v>9487</v>
      </c>
      <c r="B1338" s="289" t="s">
        <v>9488</v>
      </c>
      <c r="C1338" s="288" t="s">
        <v>7079</v>
      </c>
      <c r="D1338" s="303">
        <v>246.14</v>
      </c>
    </row>
    <row r="1339" spans="1:4" ht="18">
      <c r="A1339" s="287" t="s">
        <v>9489</v>
      </c>
      <c r="B1339" s="287"/>
      <c r="C1339" s="287"/>
      <c r="D1339" s="296" t="s">
        <v>28729</v>
      </c>
    </row>
    <row r="1340" spans="1:4" ht="27">
      <c r="A1340" s="288" t="s">
        <v>9490</v>
      </c>
      <c r="B1340" s="289" t="s">
        <v>9491</v>
      </c>
      <c r="C1340" s="288" t="s">
        <v>7079</v>
      </c>
      <c r="D1340" s="303">
        <v>347.48</v>
      </c>
    </row>
    <row r="1341" spans="1:4" ht="18">
      <c r="A1341" s="287" t="s">
        <v>9492</v>
      </c>
      <c r="B1341" s="287"/>
      <c r="C1341" s="287"/>
      <c r="D1341" s="296" t="s">
        <v>28729</v>
      </c>
    </row>
    <row r="1342" spans="1:4" ht="27">
      <c r="A1342" s="288" t="s">
        <v>9493</v>
      </c>
      <c r="B1342" s="289" t="s">
        <v>9494</v>
      </c>
      <c r="C1342" s="288" t="s">
        <v>7079</v>
      </c>
      <c r="D1342" s="303">
        <v>297.29000000000002</v>
      </c>
    </row>
    <row r="1343" spans="1:4">
      <c r="A1343" s="287"/>
      <c r="B1343" s="287"/>
      <c r="C1343" s="287"/>
      <c r="D1343" s="296" t="s">
        <v>28729</v>
      </c>
    </row>
    <row r="1344" spans="1:4" ht="18">
      <c r="A1344" s="287" t="s">
        <v>9495</v>
      </c>
      <c r="B1344" s="287"/>
      <c r="C1344" s="287"/>
      <c r="D1344" s="296" t="s">
        <v>28729</v>
      </c>
    </row>
    <row r="1345" spans="1:4" ht="18">
      <c r="A1345" s="288" t="s">
        <v>9496</v>
      </c>
      <c r="B1345" s="289" t="s">
        <v>9497</v>
      </c>
      <c r="C1345" s="288" t="s">
        <v>7079</v>
      </c>
      <c r="D1345" s="303">
        <v>38.200000000000003</v>
      </c>
    </row>
    <row r="1346" spans="1:4">
      <c r="A1346" s="287" t="s">
        <v>9498</v>
      </c>
      <c r="B1346" s="287"/>
      <c r="C1346" s="287"/>
      <c r="D1346" s="296" t="s">
        <v>28729</v>
      </c>
    </row>
    <row r="1347" spans="1:4" ht="18">
      <c r="A1347" s="288" t="s">
        <v>9499</v>
      </c>
      <c r="B1347" s="289" t="s">
        <v>9500</v>
      </c>
      <c r="C1347" s="288" t="s">
        <v>7079</v>
      </c>
      <c r="D1347" s="303">
        <v>41</v>
      </c>
    </row>
    <row r="1348" spans="1:4" ht="18">
      <c r="A1348" s="288" t="s">
        <v>9501</v>
      </c>
      <c r="B1348" s="289" t="s">
        <v>9502</v>
      </c>
      <c r="C1348" s="288" t="s">
        <v>7079</v>
      </c>
      <c r="D1348" s="303">
        <v>509.51</v>
      </c>
    </row>
    <row r="1349" spans="1:4" ht="18">
      <c r="A1349" s="288" t="s">
        <v>9503</v>
      </c>
      <c r="B1349" s="289" t="s">
        <v>9504</v>
      </c>
      <c r="C1349" s="288" t="s">
        <v>7079</v>
      </c>
      <c r="D1349" s="303">
        <v>760.23</v>
      </c>
    </row>
    <row r="1350" spans="1:4">
      <c r="A1350" s="288" t="s">
        <v>9505</v>
      </c>
      <c r="B1350" s="289" t="s">
        <v>9506</v>
      </c>
      <c r="C1350" s="288" t="s">
        <v>7079</v>
      </c>
      <c r="D1350" s="303">
        <v>190.84</v>
      </c>
    </row>
    <row r="1351" spans="1:4">
      <c r="A1351" s="287" t="s">
        <v>9507</v>
      </c>
      <c r="B1351" s="287"/>
      <c r="C1351" s="287"/>
      <c r="D1351" s="296" t="s">
        <v>28729</v>
      </c>
    </row>
    <row r="1352" spans="1:4" ht="27">
      <c r="A1352" s="288" t="s">
        <v>9508</v>
      </c>
      <c r="B1352" s="289" t="s">
        <v>9509</v>
      </c>
      <c r="C1352" s="288" t="s">
        <v>7079</v>
      </c>
      <c r="D1352" s="303">
        <v>353.92</v>
      </c>
    </row>
    <row r="1353" spans="1:4" ht="18">
      <c r="A1353" s="288" t="s">
        <v>9510</v>
      </c>
      <c r="B1353" s="289" t="s">
        <v>9511</v>
      </c>
      <c r="C1353" s="288" t="s">
        <v>7079</v>
      </c>
      <c r="D1353" s="303">
        <v>463.03</v>
      </c>
    </row>
    <row r="1354" spans="1:4" ht="45">
      <c r="A1354" s="288" t="s">
        <v>9512</v>
      </c>
      <c r="B1354" s="289" t="s">
        <v>9513</v>
      </c>
      <c r="C1354" s="288" t="s">
        <v>7079</v>
      </c>
      <c r="D1354" s="303">
        <v>1891.73</v>
      </c>
    </row>
    <row r="1355" spans="1:4">
      <c r="A1355" s="287"/>
      <c r="B1355" s="287"/>
      <c r="C1355" s="287"/>
      <c r="D1355" s="296" t="s">
        <v>28729</v>
      </c>
    </row>
    <row r="1356" spans="1:4" ht="18">
      <c r="A1356" s="287" t="s">
        <v>9514</v>
      </c>
      <c r="B1356" s="287"/>
      <c r="C1356" s="287"/>
      <c r="D1356" s="296" t="s">
        <v>28729</v>
      </c>
    </row>
    <row r="1357" spans="1:4" ht="27">
      <c r="A1357" s="288" t="s">
        <v>9515</v>
      </c>
      <c r="B1357" s="289" t="s">
        <v>9516</v>
      </c>
      <c r="C1357" s="288" t="s">
        <v>7079</v>
      </c>
      <c r="D1357" s="303">
        <v>510.74</v>
      </c>
    </row>
    <row r="1358" spans="1:4" ht="27">
      <c r="A1358" s="288" t="s">
        <v>9517</v>
      </c>
      <c r="B1358" s="289" t="s">
        <v>9518</v>
      </c>
      <c r="C1358" s="288" t="s">
        <v>7079</v>
      </c>
      <c r="D1358" s="303">
        <v>243.35</v>
      </c>
    </row>
    <row r="1359" spans="1:4">
      <c r="A1359" s="287"/>
      <c r="B1359" s="287"/>
      <c r="C1359" s="287"/>
      <c r="D1359" s="296" t="s">
        <v>28729</v>
      </c>
    </row>
    <row r="1360" spans="1:4">
      <c r="A1360" s="287" t="s">
        <v>9519</v>
      </c>
      <c r="B1360" s="287"/>
      <c r="C1360" s="287"/>
      <c r="D1360" s="296" t="s">
        <v>28729</v>
      </c>
    </row>
    <row r="1361" spans="1:4" ht="18">
      <c r="A1361" s="288" t="s">
        <v>9520</v>
      </c>
      <c r="B1361" s="289" t="s">
        <v>9521</v>
      </c>
      <c r="C1361" s="288" t="s">
        <v>54</v>
      </c>
      <c r="D1361" s="303">
        <v>342.49</v>
      </c>
    </row>
    <row r="1362" spans="1:4" ht="18">
      <c r="A1362" s="288" t="s">
        <v>9522</v>
      </c>
      <c r="B1362" s="289" t="s">
        <v>9523</v>
      </c>
      <c r="C1362" s="288" t="s">
        <v>54</v>
      </c>
      <c r="D1362" s="303">
        <v>397.91</v>
      </c>
    </row>
    <row r="1363" spans="1:4">
      <c r="A1363" s="287" t="s">
        <v>9524</v>
      </c>
      <c r="B1363" s="287"/>
      <c r="C1363" s="287"/>
      <c r="D1363" s="296" t="s">
        <v>28729</v>
      </c>
    </row>
    <row r="1364" spans="1:4" ht="36">
      <c r="A1364" s="288" t="s">
        <v>9525</v>
      </c>
      <c r="B1364" s="289" t="s">
        <v>9526</v>
      </c>
      <c r="C1364" s="288" t="s">
        <v>7079</v>
      </c>
      <c r="D1364" s="303">
        <v>726.39</v>
      </c>
    </row>
    <row r="1365" spans="1:4" ht="36">
      <c r="A1365" s="288" t="s">
        <v>9527</v>
      </c>
      <c r="B1365" s="289" t="s">
        <v>9528</v>
      </c>
      <c r="C1365" s="288" t="s">
        <v>7079</v>
      </c>
      <c r="D1365" s="303">
        <v>773.33</v>
      </c>
    </row>
    <row r="1366" spans="1:4">
      <c r="A1366" s="287"/>
      <c r="B1366" s="287"/>
      <c r="C1366" s="287"/>
      <c r="D1366" s="296" t="s">
        <v>28729</v>
      </c>
    </row>
    <row r="1367" spans="1:4" ht="27">
      <c r="A1367" s="287" t="s">
        <v>9529</v>
      </c>
      <c r="B1367" s="287"/>
      <c r="C1367" s="287"/>
      <c r="D1367" s="296" t="s">
        <v>28729</v>
      </c>
    </row>
    <row r="1368" spans="1:4">
      <c r="A1368" s="288" t="s">
        <v>9530</v>
      </c>
      <c r="B1368" s="289" t="s">
        <v>9531</v>
      </c>
      <c r="C1368" s="288" t="s">
        <v>47</v>
      </c>
      <c r="D1368" s="303">
        <v>150.68</v>
      </c>
    </row>
    <row r="1369" spans="1:4" ht="18">
      <c r="A1369" s="288" t="s">
        <v>9532</v>
      </c>
      <c r="B1369" s="289" t="s">
        <v>9533</v>
      </c>
      <c r="C1369" s="288" t="s">
        <v>47</v>
      </c>
      <c r="D1369" s="303">
        <v>148.07</v>
      </c>
    </row>
    <row r="1370" spans="1:4" ht="18">
      <c r="A1370" s="288" t="s">
        <v>9534</v>
      </c>
      <c r="B1370" s="289" t="s">
        <v>9535</v>
      </c>
      <c r="C1370" s="288" t="s">
        <v>47</v>
      </c>
      <c r="D1370" s="303">
        <v>134.43</v>
      </c>
    </row>
    <row r="1371" spans="1:4" ht="54">
      <c r="A1371" s="288" t="s">
        <v>9536</v>
      </c>
      <c r="B1371" s="289" t="s">
        <v>9537</v>
      </c>
      <c r="C1371" s="288" t="s">
        <v>54</v>
      </c>
      <c r="D1371" s="303">
        <v>269.37</v>
      </c>
    </row>
    <row r="1372" spans="1:4" ht="54">
      <c r="A1372" s="288" t="s">
        <v>9538</v>
      </c>
      <c r="B1372" s="289" t="s">
        <v>9539</v>
      </c>
      <c r="C1372" s="288" t="s">
        <v>54</v>
      </c>
      <c r="D1372" s="303">
        <v>337.14</v>
      </c>
    </row>
    <row r="1373" spans="1:4" ht="54">
      <c r="A1373" s="288" t="s">
        <v>9540</v>
      </c>
      <c r="B1373" s="289" t="s">
        <v>9541</v>
      </c>
      <c r="C1373" s="288" t="s">
        <v>54</v>
      </c>
      <c r="D1373" s="303">
        <v>405.41</v>
      </c>
    </row>
    <row r="1374" spans="1:4" ht="54">
      <c r="A1374" s="288" t="s">
        <v>9542</v>
      </c>
      <c r="B1374" s="289" t="s">
        <v>9543</v>
      </c>
      <c r="C1374" s="288" t="s">
        <v>54</v>
      </c>
      <c r="D1374" s="303">
        <v>477.84</v>
      </c>
    </row>
    <row r="1375" spans="1:4" ht="18">
      <c r="A1375" s="288" t="s">
        <v>9544</v>
      </c>
      <c r="B1375" s="289" t="s">
        <v>9545</v>
      </c>
      <c r="C1375" s="288" t="s">
        <v>54</v>
      </c>
      <c r="D1375" s="303">
        <v>84.09</v>
      </c>
    </row>
    <row r="1376" spans="1:4" ht="18">
      <c r="A1376" s="288" t="s">
        <v>9546</v>
      </c>
      <c r="B1376" s="289" t="s">
        <v>9547</v>
      </c>
      <c r="C1376" s="288" t="s">
        <v>54</v>
      </c>
      <c r="D1376" s="303">
        <v>29.56</v>
      </c>
    </row>
    <row r="1377" spans="1:4" ht="18">
      <c r="A1377" s="288" t="s">
        <v>9548</v>
      </c>
      <c r="B1377" s="289" t="s">
        <v>9549</v>
      </c>
      <c r="C1377" s="288" t="s">
        <v>54</v>
      </c>
      <c r="D1377" s="303">
        <v>42.27</v>
      </c>
    </row>
    <row r="1378" spans="1:4" ht="18">
      <c r="A1378" s="288" t="s">
        <v>9550</v>
      </c>
      <c r="B1378" s="289" t="s">
        <v>9551</v>
      </c>
      <c r="C1378" s="288" t="s">
        <v>54</v>
      </c>
      <c r="D1378" s="303">
        <v>140.32</v>
      </c>
    </row>
    <row r="1379" spans="1:4" ht="18">
      <c r="A1379" s="288" t="s">
        <v>9552</v>
      </c>
      <c r="B1379" s="289" t="s">
        <v>9553</v>
      </c>
      <c r="C1379" s="288" t="s">
        <v>54</v>
      </c>
      <c r="D1379" s="303">
        <v>23.94</v>
      </c>
    </row>
    <row r="1380" spans="1:4" ht="27">
      <c r="A1380" s="288" t="s">
        <v>9554</v>
      </c>
      <c r="B1380" s="289" t="s">
        <v>9555</v>
      </c>
      <c r="C1380" s="288" t="s">
        <v>54</v>
      </c>
      <c r="D1380" s="303">
        <v>96.5</v>
      </c>
    </row>
    <row r="1381" spans="1:4" ht="36">
      <c r="A1381" s="288" t="s">
        <v>9556</v>
      </c>
      <c r="B1381" s="289" t="s">
        <v>9557</v>
      </c>
      <c r="C1381" s="288" t="s">
        <v>38</v>
      </c>
      <c r="D1381" s="303">
        <v>10.01</v>
      </c>
    </row>
    <row r="1382" spans="1:4" ht="18">
      <c r="A1382" s="288" t="s">
        <v>9558</v>
      </c>
      <c r="B1382" s="289" t="s">
        <v>9559</v>
      </c>
      <c r="C1382" s="288" t="s">
        <v>54</v>
      </c>
      <c r="D1382" s="303">
        <v>77.010000000000005</v>
      </c>
    </row>
    <row r="1383" spans="1:4">
      <c r="A1383" s="288" t="s">
        <v>9560</v>
      </c>
      <c r="B1383" s="289" t="s">
        <v>9561</v>
      </c>
      <c r="C1383" s="288" t="s">
        <v>47</v>
      </c>
      <c r="D1383" s="303">
        <v>116.9</v>
      </c>
    </row>
    <row r="1384" spans="1:4">
      <c r="A1384" s="288" t="s">
        <v>9562</v>
      </c>
      <c r="B1384" s="289" t="s">
        <v>9563</v>
      </c>
      <c r="C1384" s="288" t="s">
        <v>47</v>
      </c>
      <c r="D1384" s="303">
        <v>98.98</v>
      </c>
    </row>
    <row r="1385" spans="1:4" ht="18">
      <c r="A1385" s="288" t="s">
        <v>9564</v>
      </c>
      <c r="B1385" s="289" t="s">
        <v>9565</v>
      </c>
      <c r="C1385" s="288" t="s">
        <v>47</v>
      </c>
      <c r="D1385" s="303">
        <v>128.65</v>
      </c>
    </row>
    <row r="1386" spans="1:4" ht="18">
      <c r="A1386" s="288" t="s">
        <v>9566</v>
      </c>
      <c r="B1386" s="289" t="s">
        <v>9567</v>
      </c>
      <c r="C1386" s="288" t="s">
        <v>47</v>
      </c>
      <c r="D1386" s="303">
        <v>218.87</v>
      </c>
    </row>
    <row r="1387" spans="1:4" ht="18">
      <c r="A1387" s="288" t="s">
        <v>9568</v>
      </c>
      <c r="B1387" s="289" t="s">
        <v>9569</v>
      </c>
      <c r="C1387" s="288" t="s">
        <v>47</v>
      </c>
      <c r="D1387" s="303">
        <v>231.77</v>
      </c>
    </row>
    <row r="1388" spans="1:4" ht="18">
      <c r="A1388" s="288" t="s">
        <v>9570</v>
      </c>
      <c r="B1388" s="289" t="s">
        <v>9571</v>
      </c>
      <c r="C1388" s="288" t="s">
        <v>47</v>
      </c>
      <c r="D1388" s="303">
        <v>217.04</v>
      </c>
    </row>
    <row r="1389" spans="1:4" ht="18">
      <c r="A1389" s="287" t="s">
        <v>9572</v>
      </c>
      <c r="B1389" s="287"/>
      <c r="C1389" s="287"/>
      <c r="D1389" s="296" t="s">
        <v>28729</v>
      </c>
    </row>
    <row r="1390" spans="1:4" ht="18">
      <c r="A1390" s="288" t="s">
        <v>9573</v>
      </c>
      <c r="B1390" s="289" t="s">
        <v>9574</v>
      </c>
      <c r="C1390" s="288" t="s">
        <v>54</v>
      </c>
      <c r="D1390" s="303">
        <v>5613.99</v>
      </c>
    </row>
    <row r="1391" spans="1:4" ht="18">
      <c r="A1391" s="288" t="s">
        <v>9575</v>
      </c>
      <c r="B1391" s="289" t="s">
        <v>9576</v>
      </c>
      <c r="C1391" s="288" t="s">
        <v>54</v>
      </c>
      <c r="D1391" s="303">
        <v>6161.88</v>
      </c>
    </row>
    <row r="1392" spans="1:4" ht="18">
      <c r="A1392" s="288" t="s">
        <v>9577</v>
      </c>
      <c r="B1392" s="289" t="s">
        <v>9578</v>
      </c>
      <c r="C1392" s="288" t="s">
        <v>54</v>
      </c>
      <c r="D1392" s="303">
        <v>18034.439999999999</v>
      </c>
    </row>
    <row r="1393" spans="1:4" ht="27">
      <c r="A1393" s="288" t="s">
        <v>9579</v>
      </c>
      <c r="B1393" s="289" t="s">
        <v>9580</v>
      </c>
      <c r="C1393" s="288" t="s">
        <v>54</v>
      </c>
      <c r="D1393" s="303">
        <v>14753.44</v>
      </c>
    </row>
    <row r="1394" spans="1:4">
      <c r="A1394" s="287"/>
      <c r="B1394" s="287"/>
      <c r="C1394" s="287"/>
      <c r="D1394" s="296" t="s">
        <v>28729</v>
      </c>
    </row>
    <row r="1395" spans="1:4">
      <c r="A1395" s="287" t="s">
        <v>9581</v>
      </c>
      <c r="B1395" s="287"/>
      <c r="C1395" s="287"/>
      <c r="D1395" s="296" t="s">
        <v>28729</v>
      </c>
    </row>
    <row r="1396" spans="1:4" ht="27">
      <c r="A1396" s="288" t="s">
        <v>9582</v>
      </c>
      <c r="B1396" s="289" t="s">
        <v>9583</v>
      </c>
      <c r="C1396" s="288" t="s">
        <v>47</v>
      </c>
      <c r="D1396" s="303">
        <v>545.72</v>
      </c>
    </row>
    <row r="1397" spans="1:4" ht="18">
      <c r="A1397" s="288" t="s">
        <v>9584</v>
      </c>
      <c r="B1397" s="289" t="s">
        <v>9585</v>
      </c>
      <c r="C1397" s="288" t="s">
        <v>47</v>
      </c>
      <c r="D1397" s="303">
        <v>621.34</v>
      </c>
    </row>
    <row r="1398" spans="1:4" ht="27">
      <c r="A1398" s="288" t="s">
        <v>9586</v>
      </c>
      <c r="B1398" s="289" t="s">
        <v>9587</v>
      </c>
      <c r="C1398" s="288" t="s">
        <v>47</v>
      </c>
      <c r="D1398" s="303">
        <v>480.26</v>
      </c>
    </row>
    <row r="1399" spans="1:4" ht="18">
      <c r="A1399" s="288" t="s">
        <v>9588</v>
      </c>
      <c r="B1399" s="289" t="s">
        <v>9589</v>
      </c>
      <c r="C1399" s="288" t="s">
        <v>47</v>
      </c>
      <c r="D1399" s="303">
        <v>555.45000000000005</v>
      </c>
    </row>
    <row r="1400" spans="1:4" ht="18">
      <c r="A1400" s="288" t="s">
        <v>9590</v>
      </c>
      <c r="B1400" s="289" t="s">
        <v>9591</v>
      </c>
      <c r="C1400" s="288" t="s">
        <v>47</v>
      </c>
      <c r="D1400" s="303">
        <v>555.88</v>
      </c>
    </row>
    <row r="1401" spans="1:4">
      <c r="A1401" s="287" t="s">
        <v>9592</v>
      </c>
      <c r="B1401" s="287"/>
      <c r="C1401" s="287"/>
      <c r="D1401" s="296" t="s">
        <v>28729</v>
      </c>
    </row>
    <row r="1402" spans="1:4" ht="18">
      <c r="A1402" s="288" t="s">
        <v>9593</v>
      </c>
      <c r="B1402" s="289" t="s">
        <v>9594</v>
      </c>
      <c r="C1402" s="288" t="s">
        <v>38</v>
      </c>
      <c r="D1402" s="303">
        <v>321.79000000000002</v>
      </c>
    </row>
    <row r="1403" spans="1:4">
      <c r="A1403" s="287"/>
      <c r="B1403" s="287"/>
      <c r="C1403" s="287"/>
      <c r="D1403" s="296" t="s">
        <v>28729</v>
      </c>
    </row>
    <row r="1404" spans="1:4">
      <c r="A1404" s="287" t="s">
        <v>9595</v>
      </c>
      <c r="B1404" s="287"/>
      <c r="C1404" s="287"/>
      <c r="D1404" s="296" t="s">
        <v>28729</v>
      </c>
    </row>
    <row r="1405" spans="1:4" ht="18">
      <c r="A1405" s="288" t="s">
        <v>9596</v>
      </c>
      <c r="B1405" s="289" t="s">
        <v>9597</v>
      </c>
      <c r="C1405" s="288" t="s">
        <v>38</v>
      </c>
      <c r="D1405" s="303">
        <v>51.71</v>
      </c>
    </row>
    <row r="1406" spans="1:4" ht="18">
      <c r="A1406" s="288" t="s">
        <v>9598</v>
      </c>
      <c r="B1406" s="289" t="s">
        <v>9599</v>
      </c>
      <c r="C1406" s="288" t="s">
        <v>38</v>
      </c>
      <c r="D1406" s="303">
        <v>7.97</v>
      </c>
    </row>
    <row r="1407" spans="1:4" ht="18">
      <c r="A1407" s="288" t="s">
        <v>9600</v>
      </c>
      <c r="B1407" s="289" t="s">
        <v>9601</v>
      </c>
      <c r="C1407" s="288" t="s">
        <v>38</v>
      </c>
      <c r="D1407" s="303">
        <v>12.34</v>
      </c>
    </row>
    <row r="1408" spans="1:4" ht="18">
      <c r="A1408" s="288" t="s">
        <v>9602</v>
      </c>
      <c r="B1408" s="289" t="s">
        <v>9603</v>
      </c>
      <c r="C1408" s="288" t="s">
        <v>38</v>
      </c>
      <c r="D1408" s="303">
        <v>17.34</v>
      </c>
    </row>
    <row r="1409" spans="1:4" ht="27">
      <c r="A1409" s="288" t="s">
        <v>9604</v>
      </c>
      <c r="B1409" s="289" t="s">
        <v>9605</v>
      </c>
      <c r="C1409" s="288" t="s">
        <v>38</v>
      </c>
      <c r="D1409" s="303">
        <v>20.67</v>
      </c>
    </row>
    <row r="1410" spans="1:4" ht="27">
      <c r="A1410" s="288" t="s">
        <v>9606</v>
      </c>
      <c r="B1410" s="289" t="s">
        <v>9607</v>
      </c>
      <c r="C1410" s="288" t="s">
        <v>38</v>
      </c>
      <c r="D1410" s="303">
        <v>27.64</v>
      </c>
    </row>
    <row r="1411" spans="1:4" ht="27">
      <c r="A1411" s="288" t="s">
        <v>9608</v>
      </c>
      <c r="B1411" s="289" t="s">
        <v>9609</v>
      </c>
      <c r="C1411" s="288" t="s">
        <v>38</v>
      </c>
      <c r="D1411" s="303">
        <v>37.69</v>
      </c>
    </row>
    <row r="1412" spans="1:4" ht="27">
      <c r="A1412" s="288" t="s">
        <v>9610</v>
      </c>
      <c r="B1412" s="289" t="s">
        <v>9611</v>
      </c>
      <c r="C1412" s="288" t="s">
        <v>38</v>
      </c>
      <c r="D1412" s="303">
        <v>44.98</v>
      </c>
    </row>
    <row r="1413" spans="1:4" ht="18">
      <c r="A1413" s="288" t="s">
        <v>9612</v>
      </c>
      <c r="B1413" s="289" t="s">
        <v>9613</v>
      </c>
      <c r="C1413" s="288" t="s">
        <v>38</v>
      </c>
      <c r="D1413" s="303">
        <v>59.54</v>
      </c>
    </row>
    <row r="1414" spans="1:4" ht="18">
      <c r="A1414" s="288" t="s">
        <v>9614</v>
      </c>
      <c r="B1414" s="289" t="s">
        <v>9615</v>
      </c>
      <c r="C1414" s="288" t="s">
        <v>38</v>
      </c>
      <c r="D1414" s="303">
        <v>21.73</v>
      </c>
    </row>
    <row r="1415" spans="1:4">
      <c r="A1415" s="287"/>
      <c r="B1415" s="287"/>
      <c r="C1415" s="287"/>
      <c r="D1415" s="296" t="s">
        <v>28729</v>
      </c>
    </row>
    <row r="1416" spans="1:4" ht="18">
      <c r="A1416" s="287" t="s">
        <v>9616</v>
      </c>
      <c r="B1416" s="287"/>
      <c r="C1416" s="287"/>
      <c r="D1416" s="296" t="s">
        <v>28729</v>
      </c>
    </row>
    <row r="1417" spans="1:4" ht="36">
      <c r="A1417" s="288" t="s">
        <v>9617</v>
      </c>
      <c r="B1417" s="289" t="s">
        <v>9618</v>
      </c>
      <c r="C1417" s="288" t="s">
        <v>38</v>
      </c>
      <c r="D1417" s="303">
        <v>84.04</v>
      </c>
    </row>
    <row r="1418" spans="1:4">
      <c r="A1418" s="287"/>
      <c r="B1418" s="287"/>
      <c r="C1418" s="287"/>
      <c r="D1418" s="296" t="s">
        <v>28729</v>
      </c>
    </row>
    <row r="1419" spans="1:4" ht="18">
      <c r="A1419" s="287" t="s">
        <v>9619</v>
      </c>
      <c r="B1419" s="287"/>
      <c r="C1419" s="287"/>
      <c r="D1419" s="296" t="s">
        <v>28729</v>
      </c>
    </row>
    <row r="1420" spans="1:4" ht="18">
      <c r="A1420" s="288" t="s">
        <v>9620</v>
      </c>
      <c r="B1420" s="289" t="s">
        <v>9621</v>
      </c>
      <c r="C1420" s="288" t="s">
        <v>54</v>
      </c>
      <c r="D1420" s="303">
        <v>84.16</v>
      </c>
    </row>
    <row r="1421" spans="1:4" ht="18">
      <c r="A1421" s="288" t="s">
        <v>9622</v>
      </c>
      <c r="B1421" s="289" t="s">
        <v>9623</v>
      </c>
      <c r="C1421" s="288" t="s">
        <v>54</v>
      </c>
      <c r="D1421" s="303">
        <v>109.74</v>
      </c>
    </row>
    <row r="1422" spans="1:4" ht="18">
      <c r="A1422" s="288" t="s">
        <v>9624</v>
      </c>
      <c r="B1422" s="289" t="s">
        <v>9625</v>
      </c>
      <c r="C1422" s="288" t="s">
        <v>54</v>
      </c>
      <c r="D1422" s="303">
        <v>129.38999999999999</v>
      </c>
    </row>
    <row r="1423" spans="1:4" ht="18">
      <c r="A1423" s="288" t="s">
        <v>9626</v>
      </c>
      <c r="B1423" s="289" t="s">
        <v>9627</v>
      </c>
      <c r="C1423" s="288" t="s">
        <v>54</v>
      </c>
      <c r="D1423" s="303">
        <v>152.06</v>
      </c>
    </row>
    <row r="1424" spans="1:4" ht="18">
      <c r="A1424" s="288" t="s">
        <v>9628</v>
      </c>
      <c r="B1424" s="289" t="s">
        <v>9629</v>
      </c>
      <c r="C1424" s="288" t="s">
        <v>54</v>
      </c>
      <c r="D1424" s="303">
        <v>174.31</v>
      </c>
    </row>
    <row r="1425" spans="1:4" ht="18">
      <c r="A1425" s="288" t="s">
        <v>9630</v>
      </c>
      <c r="B1425" s="289" t="s">
        <v>9631</v>
      </c>
      <c r="C1425" s="288" t="s">
        <v>54</v>
      </c>
      <c r="D1425" s="303">
        <v>230.29</v>
      </c>
    </row>
    <row r="1426" spans="1:4" ht="18">
      <c r="A1426" s="288" t="s">
        <v>9632</v>
      </c>
      <c r="B1426" s="289" t="s">
        <v>9633</v>
      </c>
      <c r="C1426" s="288" t="s">
        <v>54</v>
      </c>
      <c r="D1426" s="303">
        <v>282.77</v>
      </c>
    </row>
    <row r="1427" spans="1:4" ht="18">
      <c r="A1427" s="288" t="s">
        <v>9634</v>
      </c>
      <c r="B1427" s="289" t="s">
        <v>9635</v>
      </c>
      <c r="C1427" s="288" t="s">
        <v>54</v>
      </c>
      <c r="D1427" s="303">
        <v>335.85</v>
      </c>
    </row>
    <row r="1428" spans="1:4" ht="18">
      <c r="A1428" s="288" t="s">
        <v>9636</v>
      </c>
      <c r="B1428" s="289" t="s">
        <v>9637</v>
      </c>
      <c r="C1428" s="288" t="s">
        <v>54</v>
      </c>
      <c r="D1428" s="303">
        <v>366.42</v>
      </c>
    </row>
    <row r="1429" spans="1:4" ht="18">
      <c r="A1429" s="288" t="s">
        <v>9638</v>
      </c>
      <c r="B1429" s="289" t="s">
        <v>9639</v>
      </c>
      <c r="C1429" s="288" t="s">
        <v>54</v>
      </c>
      <c r="D1429" s="303">
        <v>439.12</v>
      </c>
    </row>
    <row r="1430" spans="1:4" ht="18">
      <c r="A1430" s="288" t="s">
        <v>9640</v>
      </c>
      <c r="B1430" s="289" t="s">
        <v>9641</v>
      </c>
      <c r="C1430" s="288" t="s">
        <v>54</v>
      </c>
      <c r="D1430" s="303">
        <v>606.07000000000005</v>
      </c>
    </row>
    <row r="1431" spans="1:4">
      <c r="A1431" s="287"/>
      <c r="B1431" s="287"/>
      <c r="C1431" s="287"/>
      <c r="D1431" s="296" t="s">
        <v>28729</v>
      </c>
    </row>
    <row r="1432" spans="1:4">
      <c r="A1432" s="287"/>
      <c r="B1432" s="287"/>
      <c r="C1432" s="287"/>
      <c r="D1432" s="296" t="s">
        <v>28729</v>
      </c>
    </row>
    <row r="1433" spans="1:4">
      <c r="A1433" s="287"/>
      <c r="B1433" s="287"/>
      <c r="C1433" s="287"/>
      <c r="D1433" s="296" t="s">
        <v>28729</v>
      </c>
    </row>
    <row r="1434" spans="1:4" ht="27">
      <c r="A1434" s="287" t="s">
        <v>9642</v>
      </c>
      <c r="B1434" s="287"/>
      <c r="C1434" s="287"/>
      <c r="D1434" s="296" t="s">
        <v>28729</v>
      </c>
    </row>
    <row r="1435" spans="1:4" ht="27">
      <c r="A1435" s="288" t="s">
        <v>9643</v>
      </c>
      <c r="B1435" s="289" t="s">
        <v>9644</v>
      </c>
      <c r="C1435" s="288" t="s">
        <v>7167</v>
      </c>
      <c r="D1435" s="303">
        <v>128.91</v>
      </c>
    </row>
    <row r="1436" spans="1:4" ht="27">
      <c r="A1436" s="288" t="s">
        <v>9645</v>
      </c>
      <c r="B1436" s="289" t="s">
        <v>9646</v>
      </c>
      <c r="C1436" s="288" t="s">
        <v>7167</v>
      </c>
      <c r="D1436" s="303">
        <v>70.989999999999995</v>
      </c>
    </row>
    <row r="1437" spans="1:4" ht="27">
      <c r="A1437" s="288" t="s">
        <v>9647</v>
      </c>
      <c r="B1437" s="289" t="s">
        <v>9648</v>
      </c>
      <c r="C1437" s="288" t="s">
        <v>7167</v>
      </c>
      <c r="D1437" s="303">
        <v>24.19</v>
      </c>
    </row>
    <row r="1438" spans="1:4" ht="27">
      <c r="A1438" s="288" t="s">
        <v>9649</v>
      </c>
      <c r="B1438" s="289" t="s">
        <v>9650</v>
      </c>
      <c r="C1438" s="288" t="s">
        <v>7182</v>
      </c>
      <c r="D1438" s="303">
        <v>11081.99</v>
      </c>
    </row>
    <row r="1439" spans="1:4" ht="45">
      <c r="A1439" s="288" t="s">
        <v>9651</v>
      </c>
      <c r="B1439" s="289" t="s">
        <v>9652</v>
      </c>
      <c r="C1439" s="288" t="s">
        <v>7167</v>
      </c>
      <c r="D1439" s="303">
        <v>137.54</v>
      </c>
    </row>
    <row r="1440" spans="1:4" ht="45">
      <c r="A1440" s="288" t="s">
        <v>9653</v>
      </c>
      <c r="B1440" s="289" t="s">
        <v>9654</v>
      </c>
      <c r="C1440" s="288" t="s">
        <v>7167</v>
      </c>
      <c r="D1440" s="303">
        <v>28.71</v>
      </c>
    </row>
    <row r="1441" spans="1:4" ht="27">
      <c r="A1441" s="288" t="s">
        <v>9655</v>
      </c>
      <c r="B1441" s="289" t="s">
        <v>9656</v>
      </c>
      <c r="C1441" s="288" t="s">
        <v>7167</v>
      </c>
      <c r="D1441" s="303">
        <v>158.51</v>
      </c>
    </row>
    <row r="1442" spans="1:4" ht="27">
      <c r="A1442" s="288" t="s">
        <v>9657</v>
      </c>
      <c r="B1442" s="289" t="s">
        <v>9658</v>
      </c>
      <c r="C1442" s="288" t="s">
        <v>7167</v>
      </c>
      <c r="D1442" s="303">
        <v>85.79</v>
      </c>
    </row>
    <row r="1443" spans="1:4" ht="27">
      <c r="A1443" s="288" t="s">
        <v>9659</v>
      </c>
      <c r="B1443" s="289" t="s">
        <v>9660</v>
      </c>
      <c r="C1443" s="288" t="s">
        <v>7167</v>
      </c>
      <c r="D1443" s="303">
        <v>31.19</v>
      </c>
    </row>
    <row r="1444" spans="1:4" ht="27">
      <c r="A1444" s="288" t="s">
        <v>9661</v>
      </c>
      <c r="B1444" s="289" t="s">
        <v>9662</v>
      </c>
      <c r="C1444" s="288" t="s">
        <v>7182</v>
      </c>
      <c r="D1444" s="303">
        <v>15726.33</v>
      </c>
    </row>
    <row r="1445" spans="1:4" ht="27">
      <c r="A1445" s="288" t="s">
        <v>9663</v>
      </c>
      <c r="B1445" s="289" t="s">
        <v>9664</v>
      </c>
      <c r="C1445" s="288" t="s">
        <v>7167</v>
      </c>
      <c r="D1445" s="303">
        <v>157.38999999999999</v>
      </c>
    </row>
    <row r="1446" spans="1:4" ht="27">
      <c r="A1446" s="288" t="s">
        <v>9665</v>
      </c>
      <c r="B1446" s="289" t="s">
        <v>9666</v>
      </c>
      <c r="C1446" s="288" t="s">
        <v>7167</v>
      </c>
      <c r="D1446" s="303">
        <v>85.23</v>
      </c>
    </row>
    <row r="1447" spans="1:4" ht="27">
      <c r="A1447" s="288" t="s">
        <v>9667</v>
      </c>
      <c r="B1447" s="289" t="s">
        <v>9668</v>
      </c>
      <c r="C1447" s="288" t="s">
        <v>7167</v>
      </c>
      <c r="D1447" s="303">
        <v>30.63</v>
      </c>
    </row>
    <row r="1448" spans="1:4" ht="27">
      <c r="A1448" s="288" t="s">
        <v>9669</v>
      </c>
      <c r="B1448" s="289" t="s">
        <v>9670</v>
      </c>
      <c r="C1448" s="288" t="s">
        <v>7167</v>
      </c>
      <c r="D1448" s="303">
        <v>183.67</v>
      </c>
    </row>
    <row r="1449" spans="1:4" ht="27">
      <c r="A1449" s="288" t="s">
        <v>9671</v>
      </c>
      <c r="B1449" s="289" t="s">
        <v>9672</v>
      </c>
      <c r="C1449" s="288" t="s">
        <v>7167</v>
      </c>
      <c r="D1449" s="303">
        <v>98.37</v>
      </c>
    </row>
    <row r="1450" spans="1:4" ht="27">
      <c r="A1450" s="288" t="s">
        <v>9673</v>
      </c>
      <c r="B1450" s="289" t="s">
        <v>9674</v>
      </c>
      <c r="C1450" s="288" t="s">
        <v>7167</v>
      </c>
      <c r="D1450" s="303">
        <v>41.17</v>
      </c>
    </row>
    <row r="1451" spans="1:4" ht="45">
      <c r="A1451" s="288" t="s">
        <v>9675</v>
      </c>
      <c r="B1451" s="289" t="s">
        <v>9676</v>
      </c>
      <c r="C1451" s="288" t="s">
        <v>7182</v>
      </c>
      <c r="D1451" s="303">
        <v>7155.95</v>
      </c>
    </row>
    <row r="1452" spans="1:4" ht="27">
      <c r="A1452" s="288" t="s">
        <v>9677</v>
      </c>
      <c r="B1452" s="289" t="s">
        <v>9678</v>
      </c>
      <c r="C1452" s="288" t="s">
        <v>7167</v>
      </c>
      <c r="D1452" s="303">
        <v>110.76</v>
      </c>
    </row>
    <row r="1453" spans="1:4" ht="27">
      <c r="A1453" s="288" t="s">
        <v>9679</v>
      </c>
      <c r="B1453" s="289" t="s">
        <v>9680</v>
      </c>
      <c r="C1453" s="288" t="s">
        <v>7167</v>
      </c>
      <c r="D1453" s="303">
        <v>52.76</v>
      </c>
    </row>
    <row r="1454" spans="1:4" ht="27">
      <c r="A1454" s="288" t="s">
        <v>9681</v>
      </c>
      <c r="B1454" s="289" t="s">
        <v>9682</v>
      </c>
      <c r="C1454" s="288" t="s">
        <v>7167</v>
      </c>
      <c r="D1454" s="303">
        <v>21.57</v>
      </c>
    </row>
    <row r="1455" spans="1:4" ht="27">
      <c r="A1455" s="288" t="s">
        <v>9683</v>
      </c>
      <c r="B1455" s="289" t="s">
        <v>9684</v>
      </c>
      <c r="C1455" s="288" t="s">
        <v>7182</v>
      </c>
      <c r="D1455" s="303">
        <v>9077.2800000000007</v>
      </c>
    </row>
    <row r="1456" spans="1:4" ht="36">
      <c r="A1456" s="288" t="s">
        <v>9685</v>
      </c>
      <c r="B1456" s="289" t="s">
        <v>9686</v>
      </c>
      <c r="C1456" s="288" t="s">
        <v>7167</v>
      </c>
      <c r="D1456" s="303">
        <v>155.11000000000001</v>
      </c>
    </row>
    <row r="1457" spans="1:4" ht="36">
      <c r="A1457" s="288" t="s">
        <v>9687</v>
      </c>
      <c r="B1457" s="289" t="s">
        <v>9688</v>
      </c>
      <c r="C1457" s="288" t="s">
        <v>7167</v>
      </c>
      <c r="D1457" s="303">
        <v>105.65</v>
      </c>
    </row>
    <row r="1458" spans="1:4" ht="36">
      <c r="A1458" s="288" t="s">
        <v>9689</v>
      </c>
      <c r="B1458" s="289" t="s">
        <v>9690</v>
      </c>
      <c r="C1458" s="288" t="s">
        <v>7167</v>
      </c>
      <c r="D1458" s="303">
        <v>58.85</v>
      </c>
    </row>
    <row r="1459" spans="1:4" ht="45">
      <c r="A1459" s="288" t="s">
        <v>9691</v>
      </c>
      <c r="B1459" s="289" t="s">
        <v>9692</v>
      </c>
      <c r="C1459" s="288" t="s">
        <v>7167</v>
      </c>
      <c r="D1459" s="303">
        <v>110.8</v>
      </c>
    </row>
    <row r="1460" spans="1:4" ht="45">
      <c r="A1460" s="288" t="s">
        <v>9693</v>
      </c>
      <c r="B1460" s="289" t="s">
        <v>9694</v>
      </c>
      <c r="C1460" s="288" t="s">
        <v>7167</v>
      </c>
      <c r="D1460" s="303">
        <v>23.14</v>
      </c>
    </row>
    <row r="1461" spans="1:4" ht="63">
      <c r="A1461" s="288" t="s">
        <v>9695</v>
      </c>
      <c r="B1461" s="289" t="s">
        <v>9696</v>
      </c>
      <c r="C1461" s="288" t="s">
        <v>7182</v>
      </c>
      <c r="D1461" s="303">
        <v>10129.700000000001</v>
      </c>
    </row>
    <row r="1462" spans="1:4" ht="27">
      <c r="A1462" s="288" t="s">
        <v>9697</v>
      </c>
      <c r="B1462" s="289" t="s">
        <v>9698</v>
      </c>
      <c r="C1462" s="288" t="s">
        <v>7167</v>
      </c>
      <c r="D1462" s="303">
        <v>152.46</v>
      </c>
    </row>
    <row r="1463" spans="1:4" ht="27">
      <c r="A1463" s="288" t="s">
        <v>9699</v>
      </c>
      <c r="B1463" s="289" t="s">
        <v>9700</v>
      </c>
      <c r="C1463" s="288" t="s">
        <v>7167</v>
      </c>
      <c r="D1463" s="303">
        <v>69.39</v>
      </c>
    </row>
    <row r="1464" spans="1:4" ht="27">
      <c r="A1464" s="288" t="s">
        <v>9701</v>
      </c>
      <c r="B1464" s="289" t="s">
        <v>9702</v>
      </c>
      <c r="C1464" s="288" t="s">
        <v>7167</v>
      </c>
      <c r="D1464" s="303">
        <v>20.96</v>
      </c>
    </row>
    <row r="1465" spans="1:4" ht="45">
      <c r="A1465" s="288" t="s">
        <v>9703</v>
      </c>
      <c r="B1465" s="289" t="s">
        <v>9704</v>
      </c>
      <c r="C1465" s="288" t="s">
        <v>7167</v>
      </c>
      <c r="D1465" s="303">
        <v>186.63</v>
      </c>
    </row>
    <row r="1466" spans="1:4" ht="45">
      <c r="A1466" s="288" t="s">
        <v>9705</v>
      </c>
      <c r="B1466" s="289" t="s">
        <v>9706</v>
      </c>
      <c r="C1466" s="288" t="s">
        <v>7167</v>
      </c>
      <c r="D1466" s="303">
        <v>99.41</v>
      </c>
    </row>
    <row r="1467" spans="1:4" ht="45">
      <c r="A1467" s="288" t="s">
        <v>9707</v>
      </c>
      <c r="B1467" s="289" t="s">
        <v>9708</v>
      </c>
      <c r="C1467" s="288" t="s">
        <v>7167</v>
      </c>
      <c r="D1467" s="303">
        <v>50.98</v>
      </c>
    </row>
    <row r="1468" spans="1:4" ht="45">
      <c r="A1468" s="288" t="s">
        <v>9709</v>
      </c>
      <c r="B1468" s="289" t="s">
        <v>9710</v>
      </c>
      <c r="C1468" s="288" t="s">
        <v>7167</v>
      </c>
      <c r="D1468" s="303">
        <v>179.76</v>
      </c>
    </row>
    <row r="1469" spans="1:4" ht="45">
      <c r="A1469" s="288" t="s">
        <v>9711</v>
      </c>
      <c r="B1469" s="289" t="s">
        <v>9712</v>
      </c>
      <c r="C1469" s="288" t="s">
        <v>7167</v>
      </c>
      <c r="D1469" s="303">
        <v>101.55</v>
      </c>
    </row>
    <row r="1470" spans="1:4" ht="45">
      <c r="A1470" s="288" t="s">
        <v>9713</v>
      </c>
      <c r="B1470" s="289" t="s">
        <v>9714</v>
      </c>
      <c r="C1470" s="288" t="s">
        <v>7167</v>
      </c>
      <c r="D1470" s="303">
        <v>40.97</v>
      </c>
    </row>
    <row r="1471" spans="1:4" ht="27">
      <c r="A1471" s="288" t="s">
        <v>9715</v>
      </c>
      <c r="B1471" s="289" t="s">
        <v>9716</v>
      </c>
      <c r="C1471" s="288" t="s">
        <v>7167</v>
      </c>
      <c r="D1471" s="303">
        <v>51.01</v>
      </c>
    </row>
    <row r="1472" spans="1:4" ht="27">
      <c r="A1472" s="288" t="s">
        <v>9717</v>
      </c>
      <c r="B1472" s="289" t="s">
        <v>9718</v>
      </c>
      <c r="C1472" s="288" t="s">
        <v>7182</v>
      </c>
      <c r="D1472" s="303">
        <v>15741.75</v>
      </c>
    </row>
    <row r="1473" spans="1:4" ht="18">
      <c r="A1473" s="288" t="s">
        <v>9719</v>
      </c>
      <c r="B1473" s="289" t="s">
        <v>9720</v>
      </c>
      <c r="C1473" s="288" t="s">
        <v>7167</v>
      </c>
      <c r="D1473" s="303">
        <v>29.44</v>
      </c>
    </row>
    <row r="1474" spans="1:4" ht="36">
      <c r="A1474" s="288" t="s">
        <v>9721</v>
      </c>
      <c r="B1474" s="289" t="s">
        <v>9722</v>
      </c>
      <c r="C1474" s="288" t="s">
        <v>7167</v>
      </c>
      <c r="D1474" s="303">
        <v>157.65</v>
      </c>
    </row>
    <row r="1475" spans="1:4" ht="36">
      <c r="A1475" s="288" t="s">
        <v>9723</v>
      </c>
      <c r="B1475" s="289" t="s">
        <v>9724</v>
      </c>
      <c r="C1475" s="288" t="s">
        <v>7167</v>
      </c>
      <c r="D1475" s="303">
        <v>71.63</v>
      </c>
    </row>
    <row r="1476" spans="1:4" ht="27">
      <c r="A1476" s="288" t="s">
        <v>9725</v>
      </c>
      <c r="B1476" s="289" t="s">
        <v>9726</v>
      </c>
      <c r="C1476" s="288" t="s">
        <v>7167</v>
      </c>
      <c r="D1476" s="303">
        <v>23.2</v>
      </c>
    </row>
    <row r="1477" spans="1:4" ht="36">
      <c r="A1477" s="288" t="s">
        <v>9727</v>
      </c>
      <c r="B1477" s="289" t="s">
        <v>9728</v>
      </c>
      <c r="C1477" s="288" t="s">
        <v>7167</v>
      </c>
      <c r="D1477" s="303">
        <v>171.4</v>
      </c>
    </row>
    <row r="1478" spans="1:4" ht="27">
      <c r="A1478" s="288" t="s">
        <v>9729</v>
      </c>
      <c r="B1478" s="289" t="s">
        <v>9730</v>
      </c>
      <c r="C1478" s="288" t="s">
        <v>7167</v>
      </c>
      <c r="D1478" s="303">
        <v>77.209999999999994</v>
      </c>
    </row>
    <row r="1479" spans="1:4" ht="27">
      <c r="A1479" s="288" t="s">
        <v>9731</v>
      </c>
      <c r="B1479" s="289" t="s">
        <v>9732</v>
      </c>
      <c r="C1479" s="288" t="s">
        <v>7167</v>
      </c>
      <c r="D1479" s="303">
        <v>25.11</v>
      </c>
    </row>
    <row r="1480" spans="1:4" ht="45">
      <c r="A1480" s="288" t="s">
        <v>9733</v>
      </c>
      <c r="B1480" s="289" t="s">
        <v>9734</v>
      </c>
      <c r="C1480" s="288" t="s">
        <v>7167</v>
      </c>
      <c r="D1480" s="303">
        <v>11.21</v>
      </c>
    </row>
    <row r="1481" spans="1:4" ht="45">
      <c r="A1481" s="288" t="s">
        <v>9735</v>
      </c>
      <c r="B1481" s="289" t="s">
        <v>9736</v>
      </c>
      <c r="C1481" s="288" t="s">
        <v>7167</v>
      </c>
      <c r="D1481" s="303">
        <v>3.82</v>
      </c>
    </row>
    <row r="1482" spans="1:4" ht="36">
      <c r="A1482" s="288" t="s">
        <v>9737</v>
      </c>
      <c r="B1482" s="289" t="s">
        <v>9738</v>
      </c>
      <c r="C1482" s="288" t="s">
        <v>7167</v>
      </c>
      <c r="D1482" s="303">
        <v>180.68</v>
      </c>
    </row>
    <row r="1483" spans="1:4" ht="36">
      <c r="A1483" s="288" t="s">
        <v>9739</v>
      </c>
      <c r="B1483" s="289" t="s">
        <v>9740</v>
      </c>
      <c r="C1483" s="288" t="s">
        <v>7167</v>
      </c>
      <c r="D1483" s="303">
        <v>95.63</v>
      </c>
    </row>
    <row r="1484" spans="1:4" ht="36">
      <c r="A1484" s="288" t="s">
        <v>9741</v>
      </c>
      <c r="B1484" s="289" t="s">
        <v>9742</v>
      </c>
      <c r="C1484" s="288" t="s">
        <v>7167</v>
      </c>
      <c r="D1484" s="303">
        <v>51.24</v>
      </c>
    </row>
    <row r="1485" spans="1:4" ht="36">
      <c r="A1485" s="288" t="s">
        <v>9743</v>
      </c>
      <c r="B1485" s="289" t="s">
        <v>9744</v>
      </c>
      <c r="C1485" s="288" t="s">
        <v>7167</v>
      </c>
      <c r="D1485" s="303">
        <v>317.62</v>
      </c>
    </row>
    <row r="1486" spans="1:4" ht="36">
      <c r="A1486" s="288" t="s">
        <v>9745</v>
      </c>
      <c r="B1486" s="289" t="s">
        <v>9746</v>
      </c>
      <c r="C1486" s="288" t="s">
        <v>7167</v>
      </c>
      <c r="D1486" s="303">
        <v>165.5</v>
      </c>
    </row>
    <row r="1487" spans="1:4" ht="36">
      <c r="A1487" s="288" t="s">
        <v>9747</v>
      </c>
      <c r="B1487" s="289" t="s">
        <v>9748</v>
      </c>
      <c r="C1487" s="288" t="s">
        <v>7167</v>
      </c>
      <c r="D1487" s="303">
        <v>121.11</v>
      </c>
    </row>
    <row r="1488" spans="1:4" ht="45">
      <c r="A1488" s="288" t="s">
        <v>9749</v>
      </c>
      <c r="B1488" s="289" t="s">
        <v>9750</v>
      </c>
      <c r="C1488" s="288" t="s">
        <v>7167</v>
      </c>
      <c r="D1488" s="303">
        <v>470.59</v>
      </c>
    </row>
    <row r="1489" spans="1:4" ht="45">
      <c r="A1489" s="288" t="s">
        <v>9751</v>
      </c>
      <c r="B1489" s="289" t="s">
        <v>9752</v>
      </c>
      <c r="C1489" s="288" t="s">
        <v>7167</v>
      </c>
      <c r="D1489" s="303">
        <v>181.81</v>
      </c>
    </row>
    <row r="1490" spans="1:4" ht="45">
      <c r="A1490" s="288" t="s">
        <v>9753</v>
      </c>
      <c r="B1490" s="289" t="s">
        <v>9754</v>
      </c>
      <c r="C1490" s="288" t="s">
        <v>7167</v>
      </c>
      <c r="D1490" s="303">
        <v>137.41999999999999</v>
      </c>
    </row>
    <row r="1491" spans="1:4" ht="36">
      <c r="A1491" s="288" t="s">
        <v>9755</v>
      </c>
      <c r="B1491" s="289" t="s">
        <v>9756</v>
      </c>
      <c r="C1491" s="288" t="s">
        <v>7167</v>
      </c>
      <c r="D1491" s="303">
        <v>42.22</v>
      </c>
    </row>
    <row r="1492" spans="1:4" ht="27">
      <c r="A1492" s="288" t="s">
        <v>9757</v>
      </c>
      <c r="B1492" s="289" t="s">
        <v>9758</v>
      </c>
      <c r="C1492" s="288" t="s">
        <v>7167</v>
      </c>
      <c r="D1492" s="303">
        <v>38.04</v>
      </c>
    </row>
    <row r="1493" spans="1:4" ht="36">
      <c r="A1493" s="288" t="s">
        <v>9759</v>
      </c>
      <c r="B1493" s="289" t="s">
        <v>9760</v>
      </c>
      <c r="C1493" s="288" t="s">
        <v>7167</v>
      </c>
      <c r="D1493" s="303">
        <v>11.34</v>
      </c>
    </row>
    <row r="1494" spans="1:4" ht="36">
      <c r="A1494" s="288" t="s">
        <v>9761</v>
      </c>
      <c r="B1494" s="289" t="s">
        <v>9762</v>
      </c>
      <c r="C1494" s="288" t="s">
        <v>7167</v>
      </c>
      <c r="D1494" s="303">
        <v>2.7</v>
      </c>
    </row>
    <row r="1495" spans="1:4" ht="18">
      <c r="A1495" s="288" t="s">
        <v>9763</v>
      </c>
      <c r="B1495" s="289" t="s">
        <v>9764</v>
      </c>
      <c r="C1495" s="288" t="s">
        <v>7167</v>
      </c>
      <c r="D1495" s="303">
        <v>94.94</v>
      </c>
    </row>
    <row r="1496" spans="1:4" ht="18">
      <c r="A1496" s="288" t="s">
        <v>9765</v>
      </c>
      <c r="B1496" s="289" t="s">
        <v>9766</v>
      </c>
      <c r="C1496" s="288" t="s">
        <v>7167</v>
      </c>
      <c r="D1496" s="303">
        <v>55.56</v>
      </c>
    </row>
    <row r="1497" spans="1:4" ht="18">
      <c r="A1497" s="287" t="s">
        <v>9767</v>
      </c>
      <c r="B1497" s="287"/>
      <c r="C1497" s="287"/>
      <c r="D1497" s="296" t="s">
        <v>28729</v>
      </c>
    </row>
    <row r="1498" spans="1:4" ht="45">
      <c r="A1498" s="288" t="s">
        <v>25875</v>
      </c>
      <c r="B1498" s="289" t="s">
        <v>25876</v>
      </c>
      <c r="C1498" s="288" t="s">
        <v>7167</v>
      </c>
      <c r="D1498" s="303">
        <v>127.86</v>
      </c>
    </row>
    <row r="1499" spans="1:4" ht="54">
      <c r="A1499" s="288" t="s">
        <v>25877</v>
      </c>
      <c r="B1499" s="289" t="s">
        <v>25878</v>
      </c>
      <c r="C1499" s="288" t="s">
        <v>7167</v>
      </c>
      <c r="D1499" s="303">
        <v>75.540000000000006</v>
      </c>
    </row>
    <row r="1500" spans="1:4" ht="54">
      <c r="A1500" s="288" t="s">
        <v>25879</v>
      </c>
      <c r="B1500" s="289" t="s">
        <v>25880</v>
      </c>
      <c r="C1500" s="288" t="s">
        <v>7167</v>
      </c>
      <c r="D1500" s="303">
        <v>36.54</v>
      </c>
    </row>
    <row r="1501" spans="1:4" ht="54">
      <c r="A1501" s="288" t="s">
        <v>25881</v>
      </c>
      <c r="B1501" s="289" t="s">
        <v>25882</v>
      </c>
      <c r="C1501" s="288" t="s">
        <v>7167</v>
      </c>
      <c r="D1501" s="303">
        <v>299.39</v>
      </c>
    </row>
    <row r="1502" spans="1:4" ht="54">
      <c r="A1502" s="288" t="s">
        <v>25883</v>
      </c>
      <c r="B1502" s="289" t="s">
        <v>25884</v>
      </c>
      <c r="C1502" s="288" t="s">
        <v>7167</v>
      </c>
      <c r="D1502" s="303">
        <v>161.6</v>
      </c>
    </row>
    <row r="1503" spans="1:4" ht="54">
      <c r="A1503" s="288" t="s">
        <v>25885</v>
      </c>
      <c r="B1503" s="289" t="s">
        <v>25886</v>
      </c>
      <c r="C1503" s="288" t="s">
        <v>7167</v>
      </c>
      <c r="D1503" s="303">
        <v>76.84</v>
      </c>
    </row>
    <row r="1504" spans="1:4" ht="45">
      <c r="A1504" s="288" t="s">
        <v>9768</v>
      </c>
      <c r="B1504" s="289" t="s">
        <v>9769</v>
      </c>
      <c r="C1504" s="288" t="s">
        <v>7167</v>
      </c>
      <c r="D1504" s="303">
        <v>146.34</v>
      </c>
    </row>
    <row r="1505" spans="1:4" ht="45">
      <c r="A1505" s="288" t="s">
        <v>9770</v>
      </c>
      <c r="B1505" s="289" t="s">
        <v>9771</v>
      </c>
      <c r="C1505" s="288" t="s">
        <v>7167</v>
      </c>
      <c r="D1505" s="303">
        <v>149.56</v>
      </c>
    </row>
    <row r="1506" spans="1:4" ht="27">
      <c r="A1506" s="288" t="s">
        <v>9772</v>
      </c>
      <c r="B1506" s="289" t="s">
        <v>9773</v>
      </c>
      <c r="C1506" s="288" t="s">
        <v>7167</v>
      </c>
      <c r="D1506" s="303">
        <v>278.39999999999998</v>
      </c>
    </row>
    <row r="1507" spans="1:4" ht="18">
      <c r="A1507" s="287" t="s">
        <v>9774</v>
      </c>
      <c r="B1507" s="287"/>
      <c r="C1507" s="287"/>
      <c r="D1507" s="296" t="s">
        <v>28729</v>
      </c>
    </row>
    <row r="1508" spans="1:4" ht="54">
      <c r="A1508" s="288" t="s">
        <v>9775</v>
      </c>
      <c r="B1508" s="289" t="s">
        <v>9776</v>
      </c>
      <c r="C1508" s="288" t="s">
        <v>7182</v>
      </c>
      <c r="D1508" s="303">
        <v>16252.96</v>
      </c>
    </row>
    <row r="1509" spans="1:4">
      <c r="A1509" s="287"/>
      <c r="B1509" s="287"/>
      <c r="C1509" s="287"/>
      <c r="D1509" s="296" t="s">
        <v>28729</v>
      </c>
    </row>
    <row r="1510" spans="1:4" ht="18">
      <c r="A1510" s="287" t="s">
        <v>9777</v>
      </c>
      <c r="B1510" s="287"/>
      <c r="C1510" s="287"/>
      <c r="D1510" s="296" t="s">
        <v>28729</v>
      </c>
    </row>
    <row r="1511" spans="1:4" ht="36">
      <c r="A1511" s="288" t="s">
        <v>9778</v>
      </c>
      <c r="B1511" s="289" t="s">
        <v>9779</v>
      </c>
      <c r="C1511" s="288" t="s">
        <v>7167</v>
      </c>
      <c r="D1511" s="303">
        <v>1.48</v>
      </c>
    </row>
    <row r="1512" spans="1:4" ht="36">
      <c r="A1512" s="288" t="s">
        <v>9780</v>
      </c>
      <c r="B1512" s="289" t="s">
        <v>9781</v>
      </c>
      <c r="C1512" s="288" t="s">
        <v>7167</v>
      </c>
      <c r="D1512" s="303">
        <v>0.99</v>
      </c>
    </row>
    <row r="1513" spans="1:4">
      <c r="A1513" s="287"/>
      <c r="B1513" s="287"/>
      <c r="C1513" s="287"/>
      <c r="D1513" s="296" t="s">
        <v>28729</v>
      </c>
    </row>
    <row r="1514" spans="1:4" ht="27">
      <c r="A1514" s="287" t="s">
        <v>9782</v>
      </c>
      <c r="B1514" s="287"/>
      <c r="C1514" s="287"/>
      <c r="D1514" s="296" t="s">
        <v>28729</v>
      </c>
    </row>
    <row r="1515" spans="1:4" ht="36">
      <c r="A1515" s="288" t="s">
        <v>9783</v>
      </c>
      <c r="B1515" s="289" t="s">
        <v>9784</v>
      </c>
      <c r="C1515" s="288" t="s">
        <v>7167</v>
      </c>
      <c r="D1515" s="303">
        <v>198.17</v>
      </c>
    </row>
    <row r="1516" spans="1:4" ht="36">
      <c r="A1516" s="288" t="s">
        <v>9785</v>
      </c>
      <c r="B1516" s="289" t="s">
        <v>9786</v>
      </c>
      <c r="C1516" s="288" t="s">
        <v>7167</v>
      </c>
      <c r="D1516" s="303">
        <v>99.13</v>
      </c>
    </row>
    <row r="1517" spans="1:4" ht="36">
      <c r="A1517" s="288" t="s">
        <v>9787</v>
      </c>
      <c r="B1517" s="289" t="s">
        <v>9788</v>
      </c>
      <c r="C1517" s="288" t="s">
        <v>7167</v>
      </c>
      <c r="D1517" s="303">
        <v>53.27</v>
      </c>
    </row>
    <row r="1518" spans="1:4" ht="36">
      <c r="A1518" s="288" t="s">
        <v>9789</v>
      </c>
      <c r="B1518" s="289" t="s">
        <v>9790</v>
      </c>
      <c r="C1518" s="288" t="s">
        <v>7167</v>
      </c>
      <c r="D1518" s="303">
        <v>125.45</v>
      </c>
    </row>
    <row r="1519" spans="1:4" ht="27">
      <c r="A1519" s="288" t="s">
        <v>9791</v>
      </c>
      <c r="B1519" s="289" t="s">
        <v>9792</v>
      </c>
      <c r="C1519" s="288" t="s">
        <v>7167</v>
      </c>
      <c r="D1519" s="303">
        <v>821.6</v>
      </c>
    </row>
    <row r="1520" spans="1:4" ht="27">
      <c r="A1520" s="288" t="s">
        <v>9793</v>
      </c>
      <c r="B1520" s="289" t="s">
        <v>9794</v>
      </c>
      <c r="C1520" s="288" t="s">
        <v>7167</v>
      </c>
      <c r="D1520" s="303">
        <v>208.52</v>
      </c>
    </row>
    <row r="1521" spans="1:4" ht="27">
      <c r="A1521" s="288" t="s">
        <v>9795</v>
      </c>
      <c r="B1521" s="289" t="s">
        <v>9796</v>
      </c>
      <c r="C1521" s="288" t="s">
        <v>7167</v>
      </c>
      <c r="D1521" s="303">
        <v>156.47999999999999</v>
      </c>
    </row>
    <row r="1522" spans="1:4" ht="27">
      <c r="A1522" s="288" t="s">
        <v>9797</v>
      </c>
      <c r="B1522" s="289" t="s">
        <v>9798</v>
      </c>
      <c r="C1522" s="288" t="s">
        <v>7167</v>
      </c>
      <c r="D1522" s="303">
        <v>5.51</v>
      </c>
    </row>
    <row r="1523" spans="1:4" ht="27">
      <c r="A1523" s="288" t="s">
        <v>9799</v>
      </c>
      <c r="B1523" s="289" t="s">
        <v>9800</v>
      </c>
      <c r="C1523" s="288" t="s">
        <v>7167</v>
      </c>
      <c r="D1523" s="303">
        <v>3.13</v>
      </c>
    </row>
    <row r="1524" spans="1:4" ht="36">
      <c r="A1524" s="288" t="s">
        <v>9801</v>
      </c>
      <c r="B1524" s="289" t="s">
        <v>9802</v>
      </c>
      <c r="C1524" s="288" t="s">
        <v>7167</v>
      </c>
      <c r="D1524" s="303">
        <v>113.25</v>
      </c>
    </row>
    <row r="1525" spans="1:4" ht="36">
      <c r="A1525" s="288" t="s">
        <v>9803</v>
      </c>
      <c r="B1525" s="289" t="s">
        <v>9804</v>
      </c>
      <c r="C1525" s="288" t="s">
        <v>7167</v>
      </c>
      <c r="D1525" s="303">
        <v>40.53</v>
      </c>
    </row>
    <row r="1526" spans="1:4" ht="54">
      <c r="A1526" s="288" t="s">
        <v>9805</v>
      </c>
      <c r="B1526" s="289" t="s">
        <v>9806</v>
      </c>
      <c r="C1526" s="288" t="s">
        <v>7167</v>
      </c>
      <c r="D1526" s="303">
        <v>233.55</v>
      </c>
    </row>
    <row r="1527" spans="1:4" ht="54">
      <c r="A1527" s="288" t="s">
        <v>9807</v>
      </c>
      <c r="B1527" s="289" t="s">
        <v>9808</v>
      </c>
      <c r="C1527" s="288" t="s">
        <v>7167</v>
      </c>
      <c r="D1527" s="303">
        <v>116.82</v>
      </c>
    </row>
    <row r="1528" spans="1:4" ht="54">
      <c r="A1528" s="288" t="s">
        <v>9809</v>
      </c>
      <c r="B1528" s="289" t="s">
        <v>9810</v>
      </c>
      <c r="C1528" s="288" t="s">
        <v>7167</v>
      </c>
      <c r="D1528" s="303">
        <v>70.959999999999994</v>
      </c>
    </row>
    <row r="1529" spans="1:4" ht="54">
      <c r="A1529" s="288" t="s">
        <v>9811</v>
      </c>
      <c r="B1529" s="289" t="s">
        <v>9812</v>
      </c>
      <c r="C1529" s="288" t="s">
        <v>7167</v>
      </c>
      <c r="D1529" s="303">
        <v>184.15</v>
      </c>
    </row>
    <row r="1530" spans="1:4" ht="54">
      <c r="A1530" s="288" t="s">
        <v>9813</v>
      </c>
      <c r="B1530" s="289" t="s">
        <v>9814</v>
      </c>
      <c r="C1530" s="288" t="s">
        <v>7167</v>
      </c>
      <c r="D1530" s="303">
        <v>77.98</v>
      </c>
    </row>
    <row r="1531" spans="1:4" ht="54">
      <c r="A1531" s="288" t="s">
        <v>9815</v>
      </c>
      <c r="B1531" s="289" t="s">
        <v>9816</v>
      </c>
      <c r="C1531" s="288" t="s">
        <v>7167</v>
      </c>
      <c r="D1531" s="303">
        <v>48.99</v>
      </c>
    </row>
    <row r="1532" spans="1:4" ht="36">
      <c r="A1532" s="288" t="s">
        <v>9817</v>
      </c>
      <c r="B1532" s="289" t="s">
        <v>9818</v>
      </c>
      <c r="C1532" s="288" t="s">
        <v>7167</v>
      </c>
      <c r="D1532" s="303">
        <v>345.71</v>
      </c>
    </row>
    <row r="1533" spans="1:4" ht="27">
      <c r="A1533" s="288" t="s">
        <v>9819</v>
      </c>
      <c r="B1533" s="289" t="s">
        <v>9820</v>
      </c>
      <c r="C1533" s="288" t="s">
        <v>7167</v>
      </c>
      <c r="D1533" s="303">
        <v>167.52</v>
      </c>
    </row>
    <row r="1534" spans="1:4" ht="27">
      <c r="A1534" s="288" t="s">
        <v>9821</v>
      </c>
      <c r="B1534" s="289" t="s">
        <v>9822</v>
      </c>
      <c r="C1534" s="288" t="s">
        <v>7167</v>
      </c>
      <c r="D1534" s="303">
        <v>100.13</v>
      </c>
    </row>
    <row r="1535" spans="1:4" ht="81">
      <c r="A1535" s="288" t="s">
        <v>9823</v>
      </c>
      <c r="B1535" s="289" t="s">
        <v>9824</v>
      </c>
      <c r="C1535" s="288" t="s">
        <v>7167</v>
      </c>
      <c r="D1535" s="303">
        <v>125.5</v>
      </c>
    </row>
    <row r="1536" spans="1:4" ht="81">
      <c r="A1536" s="288" t="s">
        <v>9825</v>
      </c>
      <c r="B1536" s="289" t="s">
        <v>9826</v>
      </c>
      <c r="C1536" s="288" t="s">
        <v>7167</v>
      </c>
      <c r="D1536" s="303">
        <v>67.02</v>
      </c>
    </row>
    <row r="1537" spans="1:4" ht="81">
      <c r="A1537" s="288" t="s">
        <v>9827</v>
      </c>
      <c r="B1537" s="289" t="s">
        <v>9828</v>
      </c>
      <c r="C1537" s="288" t="s">
        <v>7167</v>
      </c>
      <c r="D1537" s="303">
        <v>38.03</v>
      </c>
    </row>
    <row r="1538" spans="1:4" ht="36">
      <c r="A1538" s="288" t="s">
        <v>9829</v>
      </c>
      <c r="B1538" s="289" t="s">
        <v>9830</v>
      </c>
      <c r="C1538" s="288" t="s">
        <v>7167</v>
      </c>
      <c r="D1538" s="303">
        <v>19.78</v>
      </c>
    </row>
    <row r="1539" spans="1:4" ht="36">
      <c r="A1539" s="288" t="s">
        <v>9831</v>
      </c>
      <c r="B1539" s="289" t="s">
        <v>9832</v>
      </c>
      <c r="C1539" s="288" t="s">
        <v>7167</v>
      </c>
      <c r="D1539" s="303">
        <v>33.299999999999997</v>
      </c>
    </row>
    <row r="1540" spans="1:4" ht="18">
      <c r="A1540" s="288" t="s">
        <v>9833</v>
      </c>
      <c r="B1540" s="289" t="s">
        <v>9834</v>
      </c>
      <c r="C1540" s="288" t="s">
        <v>7167</v>
      </c>
      <c r="D1540" s="303">
        <v>32.76</v>
      </c>
    </row>
    <row r="1541" spans="1:4" ht="36">
      <c r="A1541" s="288" t="s">
        <v>9835</v>
      </c>
      <c r="B1541" s="289" t="s">
        <v>9836</v>
      </c>
      <c r="C1541" s="288" t="s">
        <v>7167</v>
      </c>
      <c r="D1541" s="303">
        <v>193.26</v>
      </c>
    </row>
    <row r="1542" spans="1:4" ht="36">
      <c r="A1542" s="288" t="s">
        <v>9837</v>
      </c>
      <c r="B1542" s="289" t="s">
        <v>9838</v>
      </c>
      <c r="C1542" s="288" t="s">
        <v>7167</v>
      </c>
      <c r="D1542" s="303">
        <v>99.74</v>
      </c>
    </row>
    <row r="1543" spans="1:4" ht="36">
      <c r="A1543" s="288" t="s">
        <v>9839</v>
      </c>
      <c r="B1543" s="289" t="s">
        <v>9840</v>
      </c>
      <c r="C1543" s="288" t="s">
        <v>7167</v>
      </c>
      <c r="D1543" s="303">
        <v>66.040000000000006</v>
      </c>
    </row>
    <row r="1544" spans="1:4" ht="36">
      <c r="A1544" s="288" t="s">
        <v>9841</v>
      </c>
      <c r="B1544" s="289" t="s">
        <v>9842</v>
      </c>
      <c r="C1544" s="288" t="s">
        <v>7167</v>
      </c>
      <c r="D1544" s="303">
        <v>296.61</v>
      </c>
    </row>
    <row r="1545" spans="1:4" ht="36">
      <c r="A1545" s="288" t="s">
        <v>9843</v>
      </c>
      <c r="B1545" s="289" t="s">
        <v>9844</v>
      </c>
      <c r="C1545" s="288" t="s">
        <v>7167</v>
      </c>
      <c r="D1545" s="303">
        <v>145.31</v>
      </c>
    </row>
    <row r="1546" spans="1:4" ht="36">
      <c r="A1546" s="288" t="s">
        <v>9845</v>
      </c>
      <c r="B1546" s="289" t="s">
        <v>9846</v>
      </c>
      <c r="C1546" s="288" t="s">
        <v>7167</v>
      </c>
      <c r="D1546" s="303">
        <v>87.28</v>
      </c>
    </row>
    <row r="1547" spans="1:4" ht="27">
      <c r="A1547" s="288" t="s">
        <v>9847</v>
      </c>
      <c r="B1547" s="289" t="s">
        <v>9848</v>
      </c>
      <c r="C1547" s="288" t="s">
        <v>7167</v>
      </c>
      <c r="D1547" s="303">
        <v>96.09</v>
      </c>
    </row>
    <row r="1548" spans="1:4" ht="36">
      <c r="A1548" s="288" t="s">
        <v>9849</v>
      </c>
      <c r="B1548" s="289" t="s">
        <v>9850</v>
      </c>
      <c r="C1548" s="288" t="s">
        <v>7167</v>
      </c>
      <c r="D1548" s="303">
        <v>53.6</v>
      </c>
    </row>
    <row r="1549" spans="1:4" ht="27">
      <c r="A1549" s="288" t="s">
        <v>9851</v>
      </c>
      <c r="B1549" s="289" t="s">
        <v>9852</v>
      </c>
      <c r="C1549" s="288" t="s">
        <v>7167</v>
      </c>
      <c r="D1549" s="303">
        <v>29.75</v>
      </c>
    </row>
    <row r="1550" spans="1:4">
      <c r="A1550" s="287"/>
      <c r="B1550" s="287"/>
      <c r="C1550" s="287"/>
      <c r="D1550" s="296" t="s">
        <v>28729</v>
      </c>
    </row>
    <row r="1551" spans="1:4" ht="27">
      <c r="A1551" s="287" t="s">
        <v>9853</v>
      </c>
      <c r="B1551" s="287"/>
      <c r="C1551" s="287"/>
      <c r="D1551" s="296" t="s">
        <v>28729</v>
      </c>
    </row>
    <row r="1552" spans="1:4" ht="36">
      <c r="A1552" s="288" t="s">
        <v>9854</v>
      </c>
      <c r="B1552" s="289" t="s">
        <v>9855</v>
      </c>
      <c r="C1552" s="288" t="s">
        <v>7167</v>
      </c>
      <c r="D1552" s="303">
        <v>585.47</v>
      </c>
    </row>
    <row r="1553" spans="1:4" ht="54">
      <c r="A1553" s="288" t="s">
        <v>9856</v>
      </c>
      <c r="B1553" s="289" t="s">
        <v>9857</v>
      </c>
      <c r="C1553" s="288" t="s">
        <v>7167</v>
      </c>
      <c r="D1553" s="303">
        <v>162.93</v>
      </c>
    </row>
    <row r="1554" spans="1:4" ht="54">
      <c r="A1554" s="288" t="s">
        <v>9858</v>
      </c>
      <c r="B1554" s="289" t="s">
        <v>9859</v>
      </c>
      <c r="C1554" s="288" t="s">
        <v>7167</v>
      </c>
      <c r="D1554" s="303">
        <v>82.59</v>
      </c>
    </row>
    <row r="1555" spans="1:4" ht="54">
      <c r="A1555" s="288" t="s">
        <v>9860</v>
      </c>
      <c r="B1555" s="289" t="s">
        <v>9861</v>
      </c>
      <c r="C1555" s="288" t="s">
        <v>7167</v>
      </c>
      <c r="D1555" s="303">
        <v>41.03</v>
      </c>
    </row>
    <row r="1556" spans="1:4" ht="63">
      <c r="A1556" s="288" t="s">
        <v>9862</v>
      </c>
      <c r="B1556" s="289" t="s">
        <v>9863</v>
      </c>
      <c r="C1556" s="288" t="s">
        <v>7182</v>
      </c>
      <c r="D1556" s="303">
        <v>30195.79</v>
      </c>
    </row>
    <row r="1557" spans="1:4" ht="36">
      <c r="A1557" s="288" t="s">
        <v>9864</v>
      </c>
      <c r="B1557" s="289" t="s">
        <v>9865</v>
      </c>
      <c r="C1557" s="288" t="s">
        <v>7167</v>
      </c>
      <c r="D1557" s="303">
        <v>110.58</v>
      </c>
    </row>
    <row r="1558" spans="1:4" ht="36">
      <c r="A1558" s="288" t="s">
        <v>9866</v>
      </c>
      <c r="B1558" s="289" t="s">
        <v>9867</v>
      </c>
      <c r="C1558" s="288" t="s">
        <v>7167</v>
      </c>
      <c r="D1558" s="303">
        <v>59.84</v>
      </c>
    </row>
    <row r="1559" spans="1:4" ht="27">
      <c r="A1559" s="288" t="s">
        <v>9868</v>
      </c>
      <c r="B1559" s="289" t="s">
        <v>9869</v>
      </c>
      <c r="C1559" s="288" t="s">
        <v>7167</v>
      </c>
      <c r="D1559" s="303">
        <v>31.95</v>
      </c>
    </row>
    <row r="1560" spans="1:4" ht="90">
      <c r="A1560" s="288" t="s">
        <v>9870</v>
      </c>
      <c r="B1560" s="289" t="s">
        <v>9871</v>
      </c>
      <c r="C1560" s="288" t="s">
        <v>7167</v>
      </c>
      <c r="D1560" s="303">
        <v>253.13</v>
      </c>
    </row>
    <row r="1561" spans="1:4" ht="90">
      <c r="A1561" s="288" t="s">
        <v>9872</v>
      </c>
      <c r="B1561" s="289" t="s">
        <v>9873</v>
      </c>
      <c r="C1561" s="288" t="s">
        <v>7167</v>
      </c>
      <c r="D1561" s="303">
        <v>53.34</v>
      </c>
    </row>
    <row r="1562" spans="1:4" ht="99">
      <c r="A1562" s="288" t="s">
        <v>9874</v>
      </c>
      <c r="B1562" s="289" t="s">
        <v>9875</v>
      </c>
      <c r="C1562" s="288" t="s">
        <v>7182</v>
      </c>
      <c r="D1562" s="303">
        <v>46972.39</v>
      </c>
    </row>
    <row r="1563" spans="1:4" ht="45">
      <c r="A1563" s="288" t="s">
        <v>9876</v>
      </c>
      <c r="B1563" s="289" t="s">
        <v>9877</v>
      </c>
      <c r="C1563" s="288" t="s">
        <v>7167</v>
      </c>
      <c r="D1563" s="303">
        <v>4.0599999999999996</v>
      </c>
    </row>
    <row r="1564" spans="1:4" ht="45">
      <c r="A1564" s="288" t="s">
        <v>9878</v>
      </c>
      <c r="B1564" s="289" t="s">
        <v>9879</v>
      </c>
      <c r="C1564" s="288" t="s">
        <v>7167</v>
      </c>
      <c r="D1564" s="303">
        <v>3.05</v>
      </c>
    </row>
    <row r="1565" spans="1:4" ht="63">
      <c r="A1565" s="288" t="s">
        <v>9880</v>
      </c>
      <c r="B1565" s="289" t="s">
        <v>9881</v>
      </c>
      <c r="C1565" s="288" t="s">
        <v>7167</v>
      </c>
      <c r="D1565" s="303">
        <v>403.96</v>
      </c>
    </row>
    <row r="1566" spans="1:4" ht="54">
      <c r="A1566" s="288" t="s">
        <v>9882</v>
      </c>
      <c r="B1566" s="289" t="s">
        <v>9883</v>
      </c>
      <c r="C1566" s="288" t="s">
        <v>7167</v>
      </c>
      <c r="D1566" s="303">
        <v>280.43</v>
      </c>
    </row>
    <row r="1567" spans="1:4" ht="45">
      <c r="A1567" s="288" t="s">
        <v>9884</v>
      </c>
      <c r="B1567" s="289" t="s">
        <v>9885</v>
      </c>
      <c r="C1567" s="288" t="s">
        <v>7167</v>
      </c>
      <c r="D1567" s="303">
        <v>44.09</v>
      </c>
    </row>
    <row r="1568" spans="1:4" ht="45">
      <c r="A1568" s="288" t="s">
        <v>9886</v>
      </c>
      <c r="B1568" s="289" t="s">
        <v>9887</v>
      </c>
      <c r="C1568" s="288" t="s">
        <v>7167</v>
      </c>
      <c r="D1568" s="303">
        <v>30.78</v>
      </c>
    </row>
    <row r="1569" spans="1:4" ht="45">
      <c r="A1569" s="288" t="s">
        <v>9888</v>
      </c>
      <c r="B1569" s="289" t="s">
        <v>9889</v>
      </c>
      <c r="C1569" s="288" t="s">
        <v>7167</v>
      </c>
      <c r="D1569" s="303">
        <v>23.23</v>
      </c>
    </row>
    <row r="1570" spans="1:4" ht="36">
      <c r="A1570" s="288" t="s">
        <v>9890</v>
      </c>
      <c r="B1570" s="289" t="s">
        <v>9891</v>
      </c>
      <c r="C1570" s="288" t="s">
        <v>7167</v>
      </c>
      <c r="D1570" s="303">
        <v>48.45</v>
      </c>
    </row>
    <row r="1571" spans="1:4" ht="36">
      <c r="A1571" s="288" t="s">
        <v>9892</v>
      </c>
      <c r="B1571" s="289" t="s">
        <v>9893</v>
      </c>
      <c r="C1571" s="288" t="s">
        <v>7167</v>
      </c>
      <c r="D1571" s="303">
        <v>37.380000000000003</v>
      </c>
    </row>
    <row r="1572" spans="1:4" ht="36">
      <c r="A1572" s="288" t="s">
        <v>9894</v>
      </c>
      <c r="B1572" s="289" t="s">
        <v>9895</v>
      </c>
      <c r="C1572" s="288" t="s">
        <v>7167</v>
      </c>
      <c r="D1572" s="303">
        <v>30.82</v>
      </c>
    </row>
    <row r="1573" spans="1:4" ht="45">
      <c r="A1573" s="288" t="s">
        <v>9896</v>
      </c>
      <c r="B1573" s="289" t="s">
        <v>9897</v>
      </c>
      <c r="C1573" s="288" t="s">
        <v>7182</v>
      </c>
      <c r="D1573" s="303">
        <v>9018.27</v>
      </c>
    </row>
    <row r="1574" spans="1:4" ht="27">
      <c r="A1574" s="288" t="s">
        <v>9898</v>
      </c>
      <c r="B1574" s="289" t="s">
        <v>9899</v>
      </c>
      <c r="C1574" s="288" t="s">
        <v>7167</v>
      </c>
      <c r="D1574" s="303">
        <v>91.67</v>
      </c>
    </row>
    <row r="1575" spans="1:4" ht="27">
      <c r="A1575" s="288" t="s">
        <v>9900</v>
      </c>
      <c r="B1575" s="289" t="s">
        <v>9901</v>
      </c>
      <c r="C1575" s="288" t="s">
        <v>7167</v>
      </c>
      <c r="D1575" s="303">
        <v>51.98</v>
      </c>
    </row>
    <row r="1576" spans="1:4" ht="27">
      <c r="A1576" s="288" t="s">
        <v>9902</v>
      </c>
      <c r="B1576" s="289" t="s">
        <v>9903</v>
      </c>
      <c r="C1576" s="288" t="s">
        <v>7167</v>
      </c>
      <c r="D1576" s="303">
        <v>30.52</v>
      </c>
    </row>
    <row r="1577" spans="1:4" ht="54">
      <c r="A1577" s="288" t="s">
        <v>9904</v>
      </c>
      <c r="B1577" s="289" t="s">
        <v>9905</v>
      </c>
      <c r="C1577" s="288" t="s">
        <v>7167</v>
      </c>
      <c r="D1577" s="303">
        <v>114.03</v>
      </c>
    </row>
    <row r="1578" spans="1:4" ht="54">
      <c r="A1578" s="288" t="s">
        <v>9906</v>
      </c>
      <c r="B1578" s="289" t="s">
        <v>9907</v>
      </c>
      <c r="C1578" s="288" t="s">
        <v>7167</v>
      </c>
      <c r="D1578" s="303">
        <v>64.81</v>
      </c>
    </row>
    <row r="1579" spans="1:4" ht="54">
      <c r="A1579" s="288" t="s">
        <v>9908</v>
      </c>
      <c r="B1579" s="289" t="s">
        <v>9909</v>
      </c>
      <c r="C1579" s="288" t="s">
        <v>7167</v>
      </c>
      <c r="D1579" s="303">
        <v>49.94</v>
      </c>
    </row>
    <row r="1580" spans="1:4" ht="63">
      <c r="A1580" s="288" t="s">
        <v>9910</v>
      </c>
      <c r="B1580" s="289" t="s">
        <v>9911</v>
      </c>
      <c r="C1580" s="288" t="s">
        <v>7182</v>
      </c>
      <c r="D1580" s="303">
        <v>21151.59</v>
      </c>
    </row>
    <row r="1581" spans="1:4" ht="36">
      <c r="A1581" s="288" t="s">
        <v>9912</v>
      </c>
      <c r="B1581" s="289" t="s">
        <v>9913</v>
      </c>
      <c r="C1581" s="288" t="s">
        <v>7167</v>
      </c>
      <c r="D1581" s="303">
        <v>8.7899999999999991</v>
      </c>
    </row>
    <row r="1582" spans="1:4" ht="36">
      <c r="A1582" s="288" t="s">
        <v>9914</v>
      </c>
      <c r="B1582" s="289" t="s">
        <v>9915</v>
      </c>
      <c r="C1582" s="288" t="s">
        <v>7167</v>
      </c>
      <c r="D1582" s="303">
        <v>6.17</v>
      </c>
    </row>
    <row r="1583" spans="1:4" ht="27">
      <c r="A1583" s="288" t="s">
        <v>9916</v>
      </c>
      <c r="B1583" s="289" t="s">
        <v>9917</v>
      </c>
      <c r="C1583" s="288" t="s">
        <v>7167</v>
      </c>
      <c r="D1583" s="303">
        <v>116.8</v>
      </c>
    </row>
    <row r="1584" spans="1:4" ht="27">
      <c r="A1584" s="288" t="s">
        <v>9918</v>
      </c>
      <c r="B1584" s="289" t="s">
        <v>9919</v>
      </c>
      <c r="C1584" s="288" t="s">
        <v>7167</v>
      </c>
      <c r="D1584" s="303">
        <v>62.9</v>
      </c>
    </row>
    <row r="1585" spans="1:4" ht="27">
      <c r="A1585" s="288" t="s">
        <v>9920</v>
      </c>
      <c r="B1585" s="289" t="s">
        <v>9921</v>
      </c>
      <c r="C1585" s="288" t="s">
        <v>7167</v>
      </c>
      <c r="D1585" s="303">
        <v>34.83</v>
      </c>
    </row>
    <row r="1586" spans="1:4" ht="27">
      <c r="A1586" s="288" t="s">
        <v>9922</v>
      </c>
      <c r="B1586" s="289" t="s">
        <v>9923</v>
      </c>
      <c r="C1586" s="288" t="s">
        <v>7167</v>
      </c>
      <c r="D1586" s="303">
        <v>65.87</v>
      </c>
    </row>
    <row r="1587" spans="1:4" ht="27">
      <c r="A1587" s="288" t="s">
        <v>9924</v>
      </c>
      <c r="B1587" s="289" t="s">
        <v>9925</v>
      </c>
      <c r="C1587" s="288" t="s">
        <v>7167</v>
      </c>
      <c r="D1587" s="303">
        <v>41.88</v>
      </c>
    </row>
    <row r="1588" spans="1:4" ht="27">
      <c r="A1588" s="288" t="s">
        <v>9926</v>
      </c>
      <c r="B1588" s="289" t="s">
        <v>9927</v>
      </c>
      <c r="C1588" s="288" t="s">
        <v>7167</v>
      </c>
      <c r="D1588" s="303">
        <v>31.61</v>
      </c>
    </row>
    <row r="1589" spans="1:4" ht="27">
      <c r="A1589" s="288" t="s">
        <v>9928</v>
      </c>
      <c r="B1589" s="289" t="s">
        <v>9929</v>
      </c>
      <c r="C1589" s="288" t="s">
        <v>7167</v>
      </c>
      <c r="D1589" s="303">
        <v>7.43</v>
      </c>
    </row>
    <row r="1590" spans="1:4" ht="18">
      <c r="A1590" s="288" t="s">
        <v>9930</v>
      </c>
      <c r="B1590" s="289" t="s">
        <v>9931</v>
      </c>
      <c r="C1590" s="288" t="s">
        <v>7167</v>
      </c>
      <c r="D1590" s="303">
        <v>2.1800000000000002</v>
      </c>
    </row>
    <row r="1591" spans="1:4" ht="81">
      <c r="A1591" s="288" t="s">
        <v>9932</v>
      </c>
      <c r="B1591" s="289" t="s">
        <v>9933</v>
      </c>
      <c r="C1591" s="288" t="s">
        <v>7167</v>
      </c>
      <c r="D1591" s="303">
        <v>246.17</v>
      </c>
    </row>
    <row r="1592" spans="1:4" ht="81">
      <c r="A1592" s="288" t="s">
        <v>9934</v>
      </c>
      <c r="B1592" s="289" t="s">
        <v>9935</v>
      </c>
      <c r="C1592" s="288" t="s">
        <v>7167</v>
      </c>
      <c r="D1592" s="303">
        <v>187.62</v>
      </c>
    </row>
    <row r="1593" spans="1:4" ht="72">
      <c r="A1593" s="288" t="s">
        <v>9936</v>
      </c>
      <c r="B1593" s="289" t="s">
        <v>9937</v>
      </c>
      <c r="C1593" s="288" t="s">
        <v>7167</v>
      </c>
      <c r="D1593" s="303">
        <v>3697.67</v>
      </c>
    </row>
    <row r="1594" spans="1:4" ht="72">
      <c r="A1594" s="288" t="s">
        <v>9938</v>
      </c>
      <c r="B1594" s="289" t="s">
        <v>9937</v>
      </c>
      <c r="C1594" s="288" t="s">
        <v>7167</v>
      </c>
      <c r="D1594" s="303">
        <v>528.51</v>
      </c>
    </row>
    <row r="1595" spans="1:4" ht="27">
      <c r="A1595" s="288" t="s">
        <v>9939</v>
      </c>
      <c r="B1595" s="289" t="s">
        <v>9940</v>
      </c>
      <c r="C1595" s="288" t="s">
        <v>7167</v>
      </c>
      <c r="D1595" s="303">
        <v>9.7200000000000006</v>
      </c>
    </row>
    <row r="1596" spans="1:4" ht="18">
      <c r="A1596" s="288" t="s">
        <v>9941</v>
      </c>
      <c r="B1596" s="289" t="s">
        <v>9942</v>
      </c>
      <c r="C1596" s="288" t="s">
        <v>7167</v>
      </c>
      <c r="D1596" s="303">
        <v>3.89</v>
      </c>
    </row>
    <row r="1597" spans="1:4" ht="36">
      <c r="A1597" s="288" t="s">
        <v>9943</v>
      </c>
      <c r="B1597" s="289" t="s">
        <v>9944</v>
      </c>
      <c r="C1597" s="288" t="s">
        <v>7167</v>
      </c>
      <c r="D1597" s="303">
        <v>299.85000000000002</v>
      </c>
    </row>
    <row r="1598" spans="1:4" ht="36">
      <c r="A1598" s="288" t="s">
        <v>9945</v>
      </c>
      <c r="B1598" s="289" t="s">
        <v>9946</v>
      </c>
      <c r="C1598" s="288" t="s">
        <v>7167</v>
      </c>
      <c r="D1598" s="303">
        <v>142.66</v>
      </c>
    </row>
    <row r="1599" spans="1:4" ht="36">
      <c r="A1599" s="288" t="s">
        <v>9947</v>
      </c>
      <c r="B1599" s="289" t="s">
        <v>9948</v>
      </c>
      <c r="C1599" s="288" t="s">
        <v>7167</v>
      </c>
      <c r="D1599" s="303">
        <v>106.7</v>
      </c>
    </row>
    <row r="1600" spans="1:4" ht="36">
      <c r="A1600" s="288" t="s">
        <v>9949</v>
      </c>
      <c r="B1600" s="289" t="s">
        <v>9950</v>
      </c>
      <c r="C1600" s="288" t="s">
        <v>7167</v>
      </c>
      <c r="D1600" s="303">
        <v>234.3</v>
      </c>
    </row>
    <row r="1601" spans="1:4" ht="36">
      <c r="A1601" s="288" t="s">
        <v>9951</v>
      </c>
      <c r="B1601" s="289" t="s">
        <v>9952</v>
      </c>
      <c r="C1601" s="288" t="s">
        <v>7167</v>
      </c>
      <c r="D1601" s="303">
        <v>116.44</v>
      </c>
    </row>
    <row r="1602" spans="1:4" ht="27">
      <c r="A1602" s="288" t="s">
        <v>9953</v>
      </c>
      <c r="B1602" s="289" t="s">
        <v>9954</v>
      </c>
      <c r="C1602" s="288" t="s">
        <v>7167</v>
      </c>
      <c r="D1602" s="303">
        <v>80.12</v>
      </c>
    </row>
    <row r="1603" spans="1:4" ht="45">
      <c r="A1603" s="288" t="s">
        <v>9955</v>
      </c>
      <c r="B1603" s="289" t="s">
        <v>9956</v>
      </c>
      <c r="C1603" s="288" t="s">
        <v>7182</v>
      </c>
      <c r="D1603" s="303">
        <v>41461.75</v>
      </c>
    </row>
    <row r="1604" spans="1:4" ht="18">
      <c r="A1604" s="288" t="s">
        <v>9957</v>
      </c>
      <c r="B1604" s="289" t="s">
        <v>9958</v>
      </c>
      <c r="C1604" s="288" t="s">
        <v>7167</v>
      </c>
      <c r="D1604" s="303">
        <v>1.98</v>
      </c>
    </row>
    <row r="1605" spans="1:4" ht="63">
      <c r="A1605" s="288" t="s">
        <v>9959</v>
      </c>
      <c r="B1605" s="289" t="s">
        <v>9960</v>
      </c>
      <c r="C1605" s="288" t="s">
        <v>7167</v>
      </c>
      <c r="D1605" s="303">
        <v>295.54000000000002</v>
      </c>
    </row>
    <row r="1606" spans="1:4" ht="63">
      <c r="A1606" s="288" t="s">
        <v>9961</v>
      </c>
      <c r="B1606" s="289" t="s">
        <v>9962</v>
      </c>
      <c r="C1606" s="288" t="s">
        <v>7167</v>
      </c>
      <c r="D1606" s="303">
        <v>77.319999999999993</v>
      </c>
    </row>
    <row r="1607" spans="1:4">
      <c r="A1607" s="287"/>
      <c r="B1607" s="287"/>
      <c r="C1607" s="287"/>
      <c r="D1607" s="296" t="s">
        <v>28729</v>
      </c>
    </row>
    <row r="1608" spans="1:4" ht="27">
      <c r="A1608" s="287" t="s">
        <v>9963</v>
      </c>
      <c r="B1608" s="287"/>
      <c r="C1608" s="287"/>
      <c r="D1608" s="296" t="s">
        <v>28729</v>
      </c>
    </row>
    <row r="1609" spans="1:4" ht="27">
      <c r="A1609" s="288" t="s">
        <v>9964</v>
      </c>
      <c r="B1609" s="289" t="s">
        <v>9965</v>
      </c>
      <c r="C1609" s="288" t="s">
        <v>7167</v>
      </c>
      <c r="D1609" s="303">
        <v>146.27000000000001</v>
      </c>
    </row>
    <row r="1610" spans="1:4" ht="27">
      <c r="A1610" s="288" t="s">
        <v>9966</v>
      </c>
      <c r="B1610" s="289" t="s">
        <v>9967</v>
      </c>
      <c r="C1610" s="288" t="s">
        <v>7167</v>
      </c>
      <c r="D1610" s="303">
        <v>123.19</v>
      </c>
    </row>
    <row r="1611" spans="1:4" ht="27">
      <c r="A1611" s="288" t="s">
        <v>9968</v>
      </c>
      <c r="B1611" s="289" t="s">
        <v>9969</v>
      </c>
      <c r="C1611" s="288" t="s">
        <v>7167</v>
      </c>
      <c r="D1611" s="303">
        <v>107.84</v>
      </c>
    </row>
    <row r="1612" spans="1:4" ht="27">
      <c r="A1612" s="288" t="s">
        <v>9970</v>
      </c>
      <c r="B1612" s="289" t="s">
        <v>9971</v>
      </c>
      <c r="C1612" s="288" t="s">
        <v>7167</v>
      </c>
      <c r="D1612" s="303">
        <v>157.09</v>
      </c>
    </row>
    <row r="1613" spans="1:4" ht="27">
      <c r="A1613" s="288" t="s">
        <v>9972</v>
      </c>
      <c r="B1613" s="289" t="s">
        <v>9973</v>
      </c>
      <c r="C1613" s="288" t="s">
        <v>7167</v>
      </c>
      <c r="D1613" s="303">
        <v>128.38</v>
      </c>
    </row>
    <row r="1614" spans="1:4" ht="27">
      <c r="A1614" s="288" t="s">
        <v>9974</v>
      </c>
      <c r="B1614" s="289" t="s">
        <v>9975</v>
      </c>
      <c r="C1614" s="288" t="s">
        <v>7167</v>
      </c>
      <c r="D1614" s="303">
        <v>109.29</v>
      </c>
    </row>
    <row r="1615" spans="1:4" ht="27">
      <c r="A1615" s="288" t="s">
        <v>9976</v>
      </c>
      <c r="B1615" s="289" t="s">
        <v>9977</v>
      </c>
      <c r="C1615" s="288" t="s">
        <v>7167</v>
      </c>
      <c r="D1615" s="303">
        <v>167.96</v>
      </c>
    </row>
    <row r="1616" spans="1:4" ht="27">
      <c r="A1616" s="288" t="s">
        <v>9978</v>
      </c>
      <c r="B1616" s="289" t="s">
        <v>9979</v>
      </c>
      <c r="C1616" s="288" t="s">
        <v>7167</v>
      </c>
      <c r="D1616" s="303">
        <v>133.63</v>
      </c>
    </row>
    <row r="1617" spans="1:4" ht="27">
      <c r="A1617" s="288" t="s">
        <v>9980</v>
      </c>
      <c r="B1617" s="289" t="s">
        <v>9981</v>
      </c>
      <c r="C1617" s="288" t="s">
        <v>7167</v>
      </c>
      <c r="D1617" s="303">
        <v>110.79</v>
      </c>
    </row>
    <row r="1618" spans="1:4" ht="45">
      <c r="A1618" s="288" t="s">
        <v>9982</v>
      </c>
      <c r="B1618" s="289" t="s">
        <v>9983</v>
      </c>
      <c r="C1618" s="288" t="s">
        <v>7167</v>
      </c>
      <c r="D1618" s="303">
        <v>200.33</v>
      </c>
    </row>
    <row r="1619" spans="1:4" ht="45">
      <c r="A1619" s="288" t="s">
        <v>9984</v>
      </c>
      <c r="B1619" s="289" t="s">
        <v>9985</v>
      </c>
      <c r="C1619" s="288" t="s">
        <v>7167</v>
      </c>
      <c r="D1619" s="303">
        <v>160.18</v>
      </c>
    </row>
    <row r="1620" spans="1:4" ht="36">
      <c r="A1620" s="288" t="s">
        <v>9986</v>
      </c>
      <c r="B1620" s="289" t="s">
        <v>9987</v>
      </c>
      <c r="C1620" s="288" t="s">
        <v>7167</v>
      </c>
      <c r="D1620" s="303">
        <v>133.6</v>
      </c>
    </row>
    <row r="1621" spans="1:4" ht="45">
      <c r="A1621" s="288" t="s">
        <v>9988</v>
      </c>
      <c r="B1621" s="289" t="s">
        <v>9989</v>
      </c>
      <c r="C1621" s="288" t="s">
        <v>7167</v>
      </c>
      <c r="D1621" s="303">
        <v>226.95</v>
      </c>
    </row>
    <row r="1622" spans="1:4" ht="45">
      <c r="A1622" s="288" t="s">
        <v>9990</v>
      </c>
      <c r="B1622" s="289" t="s">
        <v>9991</v>
      </c>
      <c r="C1622" s="288" t="s">
        <v>7167</v>
      </c>
      <c r="D1622" s="303">
        <v>181.05</v>
      </c>
    </row>
    <row r="1623" spans="1:4" ht="36">
      <c r="A1623" s="288" t="s">
        <v>9992</v>
      </c>
      <c r="B1623" s="289" t="s">
        <v>9993</v>
      </c>
      <c r="C1623" s="288" t="s">
        <v>7167</v>
      </c>
      <c r="D1623" s="303">
        <v>150.72</v>
      </c>
    </row>
    <row r="1624" spans="1:4" ht="36">
      <c r="A1624" s="288" t="s">
        <v>9994</v>
      </c>
      <c r="B1624" s="289" t="s">
        <v>9995</v>
      </c>
      <c r="C1624" s="288" t="s">
        <v>7167</v>
      </c>
      <c r="D1624" s="303">
        <v>30.44</v>
      </c>
    </row>
    <row r="1625" spans="1:4" ht="36">
      <c r="A1625" s="288" t="s">
        <v>9996</v>
      </c>
      <c r="B1625" s="289" t="s">
        <v>9997</v>
      </c>
      <c r="C1625" s="288" t="s">
        <v>7167</v>
      </c>
      <c r="D1625" s="303">
        <v>23.18</v>
      </c>
    </row>
    <row r="1626" spans="1:4">
      <c r="A1626" s="287"/>
      <c r="B1626" s="287"/>
      <c r="C1626" s="287"/>
      <c r="D1626" s="296" t="s">
        <v>28729</v>
      </c>
    </row>
    <row r="1627" spans="1:4" ht="27">
      <c r="A1627" s="287" t="s">
        <v>9998</v>
      </c>
      <c r="B1627" s="287"/>
      <c r="C1627" s="287"/>
      <c r="D1627" s="296" t="s">
        <v>28729</v>
      </c>
    </row>
    <row r="1628" spans="1:4" ht="36">
      <c r="A1628" s="288" t="s">
        <v>9999</v>
      </c>
      <c r="B1628" s="289" t="s">
        <v>10000</v>
      </c>
      <c r="C1628" s="288" t="s">
        <v>7167</v>
      </c>
      <c r="D1628" s="303">
        <v>3.26</v>
      </c>
    </row>
    <row r="1629" spans="1:4" ht="27">
      <c r="A1629" s="288" t="s">
        <v>10001</v>
      </c>
      <c r="B1629" s="289" t="s">
        <v>10002</v>
      </c>
      <c r="C1629" s="288" t="s">
        <v>7167</v>
      </c>
      <c r="D1629" s="303">
        <v>0.38</v>
      </c>
    </row>
    <row r="1630" spans="1:4" ht="45">
      <c r="A1630" s="288" t="s">
        <v>10003</v>
      </c>
      <c r="B1630" s="289" t="s">
        <v>10004</v>
      </c>
      <c r="C1630" s="288" t="s">
        <v>7167</v>
      </c>
      <c r="D1630" s="303">
        <v>9.92</v>
      </c>
    </row>
    <row r="1631" spans="1:4" ht="36">
      <c r="A1631" s="288" t="s">
        <v>10005</v>
      </c>
      <c r="B1631" s="289" t="s">
        <v>10006</v>
      </c>
      <c r="C1631" s="288" t="s">
        <v>7167</v>
      </c>
      <c r="D1631" s="303">
        <v>0.78</v>
      </c>
    </row>
    <row r="1632" spans="1:4" ht="27">
      <c r="A1632" s="288" t="s">
        <v>10007</v>
      </c>
      <c r="B1632" s="289" t="s">
        <v>10008</v>
      </c>
      <c r="C1632" s="288" t="s">
        <v>7167</v>
      </c>
      <c r="D1632" s="303">
        <v>12.67</v>
      </c>
    </row>
    <row r="1633" spans="1:4" ht="27">
      <c r="A1633" s="288" t="s">
        <v>10009</v>
      </c>
      <c r="B1633" s="289" t="s">
        <v>10010</v>
      </c>
      <c r="C1633" s="288" t="s">
        <v>7167</v>
      </c>
      <c r="D1633" s="303">
        <v>4.46</v>
      </c>
    </row>
    <row r="1634" spans="1:4">
      <c r="A1634" s="288" t="s">
        <v>10011</v>
      </c>
      <c r="B1634" s="289" t="s">
        <v>10012</v>
      </c>
      <c r="C1634" s="288" t="s">
        <v>7167</v>
      </c>
      <c r="D1634" s="303">
        <v>24.51</v>
      </c>
    </row>
    <row r="1635" spans="1:4">
      <c r="A1635" s="288" t="s">
        <v>10013</v>
      </c>
      <c r="B1635" s="289" t="s">
        <v>10014</v>
      </c>
      <c r="C1635" s="288" t="s">
        <v>7167</v>
      </c>
      <c r="D1635" s="303">
        <v>7.41</v>
      </c>
    </row>
    <row r="1636" spans="1:4" ht="36">
      <c r="A1636" s="288" t="s">
        <v>10015</v>
      </c>
      <c r="B1636" s="289" t="s">
        <v>10016</v>
      </c>
      <c r="C1636" s="288" t="s">
        <v>7167</v>
      </c>
      <c r="D1636" s="303">
        <v>1.87</v>
      </c>
    </row>
    <row r="1637" spans="1:4" ht="27">
      <c r="A1637" s="288" t="s">
        <v>10017</v>
      </c>
      <c r="B1637" s="289" t="s">
        <v>10018</v>
      </c>
      <c r="C1637" s="288" t="s">
        <v>7167</v>
      </c>
      <c r="D1637" s="303">
        <v>0.59</v>
      </c>
    </row>
    <row r="1638" spans="1:4">
      <c r="A1638" s="287"/>
      <c r="B1638" s="287"/>
      <c r="C1638" s="287"/>
      <c r="D1638" s="296" t="s">
        <v>28729</v>
      </c>
    </row>
    <row r="1639" spans="1:4" ht="18">
      <c r="A1639" s="287" t="s">
        <v>10019</v>
      </c>
      <c r="B1639" s="287"/>
      <c r="C1639" s="287"/>
      <c r="D1639" s="296" t="s">
        <v>28729</v>
      </c>
    </row>
    <row r="1640" spans="1:4" ht="45">
      <c r="A1640" s="288" t="s">
        <v>10020</v>
      </c>
      <c r="B1640" s="289" t="s">
        <v>10021</v>
      </c>
      <c r="C1640" s="288" t="s">
        <v>7167</v>
      </c>
      <c r="D1640" s="303">
        <v>588.67999999999995</v>
      </c>
    </row>
    <row r="1641" spans="1:4" ht="45">
      <c r="A1641" s="288" t="s">
        <v>10022</v>
      </c>
      <c r="B1641" s="289" t="s">
        <v>10023</v>
      </c>
      <c r="C1641" s="288" t="s">
        <v>7167</v>
      </c>
      <c r="D1641" s="303">
        <v>356.36</v>
      </c>
    </row>
    <row r="1642" spans="1:4" ht="45">
      <c r="A1642" s="288" t="s">
        <v>10024</v>
      </c>
      <c r="B1642" s="289" t="s">
        <v>10025</v>
      </c>
      <c r="C1642" s="288" t="s">
        <v>7167</v>
      </c>
      <c r="D1642" s="303">
        <v>318.42</v>
      </c>
    </row>
    <row r="1643" spans="1:4" ht="18">
      <c r="A1643" s="287" t="s">
        <v>10026</v>
      </c>
      <c r="B1643" s="287"/>
      <c r="C1643" s="287"/>
      <c r="D1643" s="296" t="s">
        <v>28729</v>
      </c>
    </row>
    <row r="1644" spans="1:4" ht="27">
      <c r="A1644" s="288" t="s">
        <v>10027</v>
      </c>
      <c r="B1644" s="289" t="s">
        <v>10028</v>
      </c>
      <c r="C1644" s="288" t="s">
        <v>7079</v>
      </c>
      <c r="D1644" s="303">
        <v>4107.41</v>
      </c>
    </row>
    <row r="1645" spans="1:4" ht="27">
      <c r="A1645" s="288" t="s">
        <v>10029</v>
      </c>
      <c r="B1645" s="289" t="s">
        <v>10030</v>
      </c>
      <c r="C1645" s="288" t="s">
        <v>7079</v>
      </c>
      <c r="D1645" s="303">
        <v>6607.41</v>
      </c>
    </row>
    <row r="1646" spans="1:4" ht="27">
      <c r="A1646" s="288" t="s">
        <v>10031</v>
      </c>
      <c r="B1646" s="289" t="s">
        <v>10032</v>
      </c>
      <c r="C1646" s="288" t="s">
        <v>7079</v>
      </c>
      <c r="D1646" s="303">
        <v>6278.55</v>
      </c>
    </row>
    <row r="1647" spans="1:4" ht="45">
      <c r="A1647" s="288" t="s">
        <v>10033</v>
      </c>
      <c r="B1647" s="289" t="s">
        <v>10034</v>
      </c>
      <c r="C1647" s="288" t="s">
        <v>7167</v>
      </c>
      <c r="D1647" s="303">
        <v>8.31</v>
      </c>
    </row>
    <row r="1648" spans="1:4" ht="36">
      <c r="A1648" s="288" t="s">
        <v>10035</v>
      </c>
      <c r="B1648" s="289" t="s">
        <v>10036</v>
      </c>
      <c r="C1648" s="288" t="s">
        <v>7167</v>
      </c>
      <c r="D1648" s="303">
        <v>2.98</v>
      </c>
    </row>
    <row r="1649" spans="1:4" ht="27">
      <c r="A1649" s="288" t="s">
        <v>10037</v>
      </c>
      <c r="B1649" s="289" t="s">
        <v>10038</v>
      </c>
      <c r="C1649" s="288" t="s">
        <v>7079</v>
      </c>
      <c r="D1649" s="303">
        <v>19556.46</v>
      </c>
    </row>
    <row r="1650" spans="1:4" ht="27">
      <c r="A1650" s="288" t="s">
        <v>10039</v>
      </c>
      <c r="B1650" s="289" t="s">
        <v>10040</v>
      </c>
      <c r="C1650" s="288" t="s">
        <v>7079</v>
      </c>
      <c r="D1650" s="303">
        <v>26000</v>
      </c>
    </row>
    <row r="1651" spans="1:4" ht="27">
      <c r="A1651" s="288" t="s">
        <v>10041</v>
      </c>
      <c r="B1651" s="289" t="s">
        <v>10042</v>
      </c>
      <c r="C1651" s="288" t="s">
        <v>7079</v>
      </c>
      <c r="D1651" s="303">
        <v>6984.29</v>
      </c>
    </row>
    <row r="1652" spans="1:4" ht="27">
      <c r="A1652" s="288" t="s">
        <v>10043</v>
      </c>
      <c r="B1652" s="289" t="s">
        <v>10044</v>
      </c>
      <c r="C1652" s="288" t="s">
        <v>7079</v>
      </c>
      <c r="D1652" s="303">
        <v>21000</v>
      </c>
    </row>
    <row r="1653" spans="1:4" ht="27">
      <c r="A1653" s="288" t="s">
        <v>10045</v>
      </c>
      <c r="B1653" s="289" t="s">
        <v>10046</v>
      </c>
      <c r="C1653" s="288" t="s">
        <v>7079</v>
      </c>
      <c r="D1653" s="303">
        <v>26676.35</v>
      </c>
    </row>
    <row r="1654" spans="1:4" ht="27">
      <c r="A1654" s="288" t="s">
        <v>10047</v>
      </c>
      <c r="B1654" s="289" t="s">
        <v>10048</v>
      </c>
      <c r="C1654" s="288" t="s">
        <v>7079</v>
      </c>
      <c r="D1654" s="303">
        <v>24871.35</v>
      </c>
    </row>
    <row r="1655" spans="1:4" ht="27">
      <c r="A1655" s="288" t="s">
        <v>10049</v>
      </c>
      <c r="B1655" s="289" t="s">
        <v>10050</v>
      </c>
      <c r="C1655" s="288" t="s">
        <v>7079</v>
      </c>
      <c r="D1655" s="303">
        <v>34000</v>
      </c>
    </row>
    <row r="1656" spans="1:4" ht="27">
      <c r="A1656" s="288" t="s">
        <v>10051</v>
      </c>
      <c r="B1656" s="289" t="s">
        <v>10052</v>
      </c>
      <c r="C1656" s="288" t="s">
        <v>7079</v>
      </c>
      <c r="D1656" s="303">
        <v>7955</v>
      </c>
    </row>
    <row r="1657" spans="1:4" ht="27">
      <c r="A1657" s="288" t="s">
        <v>10053</v>
      </c>
      <c r="B1657" s="289" t="s">
        <v>10054</v>
      </c>
      <c r="C1657" s="288" t="s">
        <v>7079</v>
      </c>
      <c r="D1657" s="303">
        <v>7955</v>
      </c>
    </row>
    <row r="1658" spans="1:4" ht="18">
      <c r="A1658" s="288" t="s">
        <v>10055</v>
      </c>
      <c r="B1658" s="289" t="s">
        <v>10056</v>
      </c>
      <c r="C1658" s="288" t="s">
        <v>7079</v>
      </c>
      <c r="D1658" s="303">
        <v>5203.82</v>
      </c>
    </row>
    <row r="1659" spans="1:4" ht="54">
      <c r="A1659" s="288" t="s">
        <v>10057</v>
      </c>
      <c r="B1659" s="289" t="s">
        <v>10058</v>
      </c>
      <c r="C1659" s="288" t="s">
        <v>7079</v>
      </c>
      <c r="D1659" s="303">
        <v>13597.5</v>
      </c>
    </row>
    <row r="1660" spans="1:4" ht="27">
      <c r="A1660" s="288" t="s">
        <v>10059</v>
      </c>
      <c r="B1660" s="289" t="s">
        <v>10060</v>
      </c>
      <c r="C1660" s="288" t="s">
        <v>7079</v>
      </c>
      <c r="D1660" s="303">
        <v>42233.65</v>
      </c>
    </row>
    <row r="1661" spans="1:4" ht="18">
      <c r="A1661" s="288" t="s">
        <v>10061</v>
      </c>
      <c r="B1661" s="289" t="s">
        <v>10062</v>
      </c>
      <c r="C1661" s="288" t="s">
        <v>7079</v>
      </c>
      <c r="D1661" s="303">
        <v>50000</v>
      </c>
    </row>
    <row r="1662" spans="1:4" ht="45">
      <c r="A1662" s="288" t="s">
        <v>10063</v>
      </c>
      <c r="B1662" s="289" t="s">
        <v>10064</v>
      </c>
      <c r="C1662" s="288" t="s">
        <v>7167</v>
      </c>
      <c r="D1662" s="303">
        <v>5.0599999999999996</v>
      </c>
    </row>
    <row r="1663" spans="1:4" ht="45">
      <c r="A1663" s="288" t="s">
        <v>10065</v>
      </c>
      <c r="B1663" s="289" t="s">
        <v>10066</v>
      </c>
      <c r="C1663" s="288" t="s">
        <v>7167</v>
      </c>
      <c r="D1663" s="303">
        <v>0.56999999999999995</v>
      </c>
    </row>
    <row r="1664" spans="1:4" ht="45">
      <c r="A1664" s="288" t="s">
        <v>10067</v>
      </c>
      <c r="B1664" s="289" t="s">
        <v>10068</v>
      </c>
      <c r="C1664" s="288" t="s">
        <v>7167</v>
      </c>
      <c r="D1664" s="303">
        <v>27.7</v>
      </c>
    </row>
    <row r="1665" spans="1:4" ht="45">
      <c r="A1665" s="288" t="s">
        <v>10069</v>
      </c>
      <c r="B1665" s="289" t="s">
        <v>10070</v>
      </c>
      <c r="C1665" s="288" t="s">
        <v>7167</v>
      </c>
      <c r="D1665" s="303">
        <v>15.37</v>
      </c>
    </row>
    <row r="1666" spans="1:4" ht="27">
      <c r="A1666" s="288" t="s">
        <v>10071</v>
      </c>
      <c r="B1666" s="289" t="s">
        <v>10072</v>
      </c>
      <c r="C1666" s="288" t="s">
        <v>7079</v>
      </c>
      <c r="D1666" s="303">
        <v>3000</v>
      </c>
    </row>
    <row r="1667" spans="1:4" ht="27">
      <c r="A1667" s="288" t="s">
        <v>10073</v>
      </c>
      <c r="B1667" s="289" t="s">
        <v>10074</v>
      </c>
      <c r="C1667" s="288" t="s">
        <v>7079</v>
      </c>
      <c r="D1667" s="303">
        <v>506.59</v>
      </c>
    </row>
    <row r="1668" spans="1:4" ht="27">
      <c r="A1668" s="288" t="s">
        <v>10075</v>
      </c>
      <c r="B1668" s="289" t="s">
        <v>10076</v>
      </c>
      <c r="C1668" s="288" t="s">
        <v>7079</v>
      </c>
      <c r="D1668" s="303">
        <v>2000</v>
      </c>
    </row>
    <row r="1669" spans="1:4" ht="27">
      <c r="A1669" s="288" t="s">
        <v>10077</v>
      </c>
      <c r="B1669" s="289" t="s">
        <v>10078</v>
      </c>
      <c r="C1669" s="288" t="s">
        <v>7079</v>
      </c>
      <c r="D1669" s="303">
        <v>857</v>
      </c>
    </row>
    <row r="1670" spans="1:4" ht="27">
      <c r="A1670" s="288" t="s">
        <v>10079</v>
      </c>
      <c r="B1670" s="289" t="s">
        <v>10080</v>
      </c>
      <c r="C1670" s="288" t="s">
        <v>7079</v>
      </c>
      <c r="D1670" s="303">
        <v>514.86</v>
      </c>
    </row>
    <row r="1671" spans="1:4" ht="27">
      <c r="A1671" s="288" t="s">
        <v>10081</v>
      </c>
      <c r="B1671" s="289" t="s">
        <v>10082</v>
      </c>
      <c r="C1671" s="288" t="s">
        <v>7079</v>
      </c>
      <c r="D1671" s="303">
        <v>3250</v>
      </c>
    </row>
    <row r="1672" spans="1:4" ht="27">
      <c r="A1672" s="288" t="s">
        <v>10083</v>
      </c>
      <c r="B1672" s="289" t="s">
        <v>10084</v>
      </c>
      <c r="C1672" s="288" t="s">
        <v>7079</v>
      </c>
      <c r="D1672" s="303">
        <v>1667.56</v>
      </c>
    </row>
    <row r="1673" spans="1:4" ht="27">
      <c r="A1673" s="288" t="s">
        <v>10085</v>
      </c>
      <c r="B1673" s="289" t="s">
        <v>10086</v>
      </c>
      <c r="C1673" s="288" t="s">
        <v>7079</v>
      </c>
      <c r="D1673" s="303">
        <v>1420.2</v>
      </c>
    </row>
    <row r="1674" spans="1:4" ht="27">
      <c r="A1674" s="288" t="s">
        <v>10087</v>
      </c>
      <c r="B1674" s="289" t="s">
        <v>10088</v>
      </c>
      <c r="C1674" s="288" t="s">
        <v>7079</v>
      </c>
      <c r="D1674" s="303">
        <v>3085.57</v>
      </c>
    </row>
    <row r="1675" spans="1:4" ht="27">
      <c r="A1675" s="288" t="s">
        <v>10089</v>
      </c>
      <c r="B1675" s="289" t="s">
        <v>10090</v>
      </c>
      <c r="C1675" s="288" t="s">
        <v>7079</v>
      </c>
      <c r="D1675" s="303">
        <v>13000</v>
      </c>
    </row>
    <row r="1676" spans="1:4" ht="27">
      <c r="A1676" s="288" t="s">
        <v>10091</v>
      </c>
      <c r="B1676" s="289" t="s">
        <v>10092</v>
      </c>
      <c r="C1676" s="288" t="s">
        <v>7079</v>
      </c>
      <c r="D1676" s="303">
        <v>1082.51</v>
      </c>
    </row>
    <row r="1677" spans="1:4" ht="27">
      <c r="A1677" s="288" t="s">
        <v>10093</v>
      </c>
      <c r="B1677" s="289" t="s">
        <v>10094</v>
      </c>
      <c r="C1677" s="288" t="s">
        <v>7079</v>
      </c>
      <c r="D1677" s="303">
        <v>9724.5300000000007</v>
      </c>
    </row>
    <row r="1678" spans="1:4" ht="27">
      <c r="A1678" s="288" t="s">
        <v>10095</v>
      </c>
      <c r="B1678" s="289" t="s">
        <v>10096</v>
      </c>
      <c r="C1678" s="288" t="s">
        <v>7079</v>
      </c>
      <c r="D1678" s="303">
        <v>17000</v>
      </c>
    </row>
    <row r="1679" spans="1:4" ht="27">
      <c r="A1679" s="288" t="s">
        <v>10097</v>
      </c>
      <c r="B1679" s="289" t="s">
        <v>10098</v>
      </c>
      <c r="C1679" s="288" t="s">
        <v>7079</v>
      </c>
      <c r="D1679" s="303">
        <v>4551.28</v>
      </c>
    </row>
    <row r="1680" spans="1:4" ht="27">
      <c r="A1680" s="288" t="s">
        <v>10099</v>
      </c>
      <c r="B1680" s="289" t="s">
        <v>10100</v>
      </c>
      <c r="C1680" s="288" t="s">
        <v>7079</v>
      </c>
      <c r="D1680" s="303">
        <v>6376.18</v>
      </c>
    </row>
    <row r="1681" spans="1:4" ht="18">
      <c r="A1681" s="288" t="s">
        <v>10101</v>
      </c>
      <c r="B1681" s="289" t="s">
        <v>10102</v>
      </c>
      <c r="C1681" s="288" t="s">
        <v>7079</v>
      </c>
      <c r="D1681" s="303">
        <v>25000</v>
      </c>
    </row>
    <row r="1682" spans="1:4">
      <c r="A1682" s="287" t="s">
        <v>10103</v>
      </c>
      <c r="B1682" s="287"/>
      <c r="C1682" s="287"/>
      <c r="D1682" s="296" t="s">
        <v>28729</v>
      </c>
    </row>
    <row r="1683" spans="1:4" ht="27">
      <c r="A1683" s="288" t="s">
        <v>10104</v>
      </c>
      <c r="B1683" s="289" t="s">
        <v>10105</v>
      </c>
      <c r="C1683" s="288" t="s">
        <v>7079</v>
      </c>
      <c r="D1683" s="303">
        <v>1120.5899999999999</v>
      </c>
    </row>
    <row r="1684" spans="1:4" ht="36">
      <c r="A1684" s="288" t="s">
        <v>10106</v>
      </c>
      <c r="B1684" s="289" t="s">
        <v>10107</v>
      </c>
      <c r="C1684" s="288" t="s">
        <v>7079</v>
      </c>
      <c r="D1684" s="303">
        <v>1931.83</v>
      </c>
    </row>
    <row r="1685" spans="1:4" ht="27">
      <c r="A1685" s="288" t="s">
        <v>10108</v>
      </c>
      <c r="B1685" s="289" t="s">
        <v>10109</v>
      </c>
      <c r="C1685" s="288" t="s">
        <v>7079</v>
      </c>
      <c r="D1685" s="303">
        <v>2165.0100000000002</v>
      </c>
    </row>
    <row r="1686" spans="1:4" ht="18">
      <c r="A1686" s="288" t="s">
        <v>10110</v>
      </c>
      <c r="B1686" s="289" t="s">
        <v>10111</v>
      </c>
      <c r="C1686" s="288" t="s">
        <v>7079</v>
      </c>
      <c r="D1686" s="303">
        <v>1282.73</v>
      </c>
    </row>
    <row r="1687" spans="1:4" ht="18">
      <c r="A1687" s="288" t="s">
        <v>10112</v>
      </c>
      <c r="B1687" s="289" t="s">
        <v>10113</v>
      </c>
      <c r="C1687" s="288" t="s">
        <v>7079</v>
      </c>
      <c r="D1687" s="303">
        <v>1795.91</v>
      </c>
    </row>
    <row r="1688" spans="1:4" ht="18">
      <c r="A1688" s="288" t="s">
        <v>10114</v>
      </c>
      <c r="B1688" s="289" t="s">
        <v>10115</v>
      </c>
      <c r="C1688" s="288" t="s">
        <v>7079</v>
      </c>
      <c r="D1688" s="303">
        <v>4507.41</v>
      </c>
    </row>
    <row r="1689" spans="1:4" ht="18">
      <c r="A1689" s="288" t="s">
        <v>10116</v>
      </c>
      <c r="B1689" s="289" t="s">
        <v>10117</v>
      </c>
      <c r="C1689" s="288" t="s">
        <v>7079</v>
      </c>
      <c r="D1689" s="303">
        <v>5243.5</v>
      </c>
    </row>
    <row r="1690" spans="1:4" ht="27">
      <c r="A1690" s="288" t="s">
        <v>10118</v>
      </c>
      <c r="B1690" s="289" t="s">
        <v>10119</v>
      </c>
      <c r="C1690" s="288" t="s">
        <v>7079</v>
      </c>
      <c r="D1690" s="303">
        <v>6718.75</v>
      </c>
    </row>
    <row r="1691" spans="1:4" ht="36">
      <c r="A1691" s="288" t="s">
        <v>10120</v>
      </c>
      <c r="B1691" s="289" t="s">
        <v>10121</v>
      </c>
      <c r="C1691" s="288" t="s">
        <v>7079</v>
      </c>
      <c r="D1691" s="303">
        <v>10757.26</v>
      </c>
    </row>
    <row r="1692" spans="1:4" ht="27">
      <c r="A1692" s="288" t="s">
        <v>10122</v>
      </c>
      <c r="B1692" s="289" t="s">
        <v>10123</v>
      </c>
      <c r="C1692" s="288" t="s">
        <v>7079</v>
      </c>
      <c r="D1692" s="303">
        <v>2897.65</v>
      </c>
    </row>
    <row r="1693" spans="1:4" ht="27">
      <c r="A1693" s="288" t="s">
        <v>10124</v>
      </c>
      <c r="B1693" s="289" t="s">
        <v>10125</v>
      </c>
      <c r="C1693" s="288" t="s">
        <v>7079</v>
      </c>
      <c r="D1693" s="303">
        <v>298.73</v>
      </c>
    </row>
    <row r="1694" spans="1:4" ht="27">
      <c r="A1694" s="288" t="s">
        <v>10126</v>
      </c>
      <c r="B1694" s="289" t="s">
        <v>10127</v>
      </c>
      <c r="C1694" s="288" t="s">
        <v>7079</v>
      </c>
      <c r="D1694" s="303">
        <v>844.25</v>
      </c>
    </row>
    <row r="1695" spans="1:4" ht="27">
      <c r="A1695" s="288" t="s">
        <v>10128</v>
      </c>
      <c r="B1695" s="289" t="s">
        <v>10129</v>
      </c>
      <c r="C1695" s="288" t="s">
        <v>7079</v>
      </c>
      <c r="D1695" s="303">
        <v>2200</v>
      </c>
    </row>
    <row r="1696" spans="1:4" ht="27">
      <c r="A1696" s="288" t="s">
        <v>10130</v>
      </c>
      <c r="B1696" s="289" t="s">
        <v>10131</v>
      </c>
      <c r="C1696" s="288" t="s">
        <v>7079</v>
      </c>
      <c r="D1696" s="303">
        <v>2548.21</v>
      </c>
    </row>
    <row r="1697" spans="1:4" ht="27">
      <c r="A1697" s="288" t="s">
        <v>10132</v>
      </c>
      <c r="B1697" s="289" t="s">
        <v>10133</v>
      </c>
      <c r="C1697" s="288" t="s">
        <v>7079</v>
      </c>
      <c r="D1697" s="303">
        <v>3300.3</v>
      </c>
    </row>
    <row r="1698" spans="1:4" ht="36">
      <c r="A1698" s="288" t="s">
        <v>10134</v>
      </c>
      <c r="B1698" s="289" t="s">
        <v>10135</v>
      </c>
      <c r="C1698" s="288" t="s">
        <v>7079</v>
      </c>
      <c r="D1698" s="303">
        <v>5311.5</v>
      </c>
    </row>
    <row r="1699" spans="1:4">
      <c r="A1699" s="287"/>
      <c r="B1699" s="287"/>
      <c r="C1699" s="287"/>
      <c r="D1699" s="296" t="s">
        <v>28729</v>
      </c>
    </row>
    <row r="1700" spans="1:4" ht="18">
      <c r="A1700" s="287" t="s">
        <v>10136</v>
      </c>
      <c r="B1700" s="287"/>
      <c r="C1700" s="287"/>
      <c r="D1700" s="296" t="s">
        <v>28729</v>
      </c>
    </row>
    <row r="1701" spans="1:4" ht="54">
      <c r="A1701" s="288" t="s">
        <v>10137</v>
      </c>
      <c r="B1701" s="289" t="s">
        <v>10138</v>
      </c>
      <c r="C1701" s="288" t="s">
        <v>7167</v>
      </c>
      <c r="D1701" s="303">
        <v>276.86</v>
      </c>
    </row>
    <row r="1702" spans="1:4" ht="54">
      <c r="A1702" s="288" t="s">
        <v>10139</v>
      </c>
      <c r="B1702" s="289" t="s">
        <v>10140</v>
      </c>
      <c r="C1702" s="288" t="s">
        <v>7167</v>
      </c>
      <c r="D1702" s="303">
        <v>348.03</v>
      </c>
    </row>
    <row r="1703" spans="1:4" ht="63">
      <c r="A1703" s="288" t="s">
        <v>10141</v>
      </c>
      <c r="B1703" s="289" t="s">
        <v>10142</v>
      </c>
      <c r="C1703" s="288" t="s">
        <v>7167</v>
      </c>
      <c r="D1703" s="303">
        <v>213.2</v>
      </c>
    </row>
    <row r="1704" spans="1:4" ht="36">
      <c r="A1704" s="288" t="s">
        <v>10143</v>
      </c>
      <c r="B1704" s="289" t="s">
        <v>10144</v>
      </c>
      <c r="C1704" s="288" t="s">
        <v>7167</v>
      </c>
      <c r="D1704" s="303">
        <v>23.77</v>
      </c>
    </row>
    <row r="1705" spans="1:4" ht="36">
      <c r="A1705" s="288" t="s">
        <v>10145</v>
      </c>
      <c r="B1705" s="289" t="s">
        <v>10146</v>
      </c>
      <c r="C1705" s="288" t="s">
        <v>7167</v>
      </c>
      <c r="D1705" s="303">
        <v>11.36</v>
      </c>
    </row>
    <row r="1706" spans="1:4" ht="36">
      <c r="A1706" s="288" t="s">
        <v>10147</v>
      </c>
      <c r="B1706" s="289" t="s">
        <v>10148</v>
      </c>
      <c r="C1706" s="288" t="s">
        <v>7167</v>
      </c>
      <c r="D1706" s="303">
        <v>6.96</v>
      </c>
    </row>
    <row r="1707" spans="1:4" ht="27">
      <c r="A1707" s="288" t="s">
        <v>10149</v>
      </c>
      <c r="B1707" s="289" t="s">
        <v>10150</v>
      </c>
      <c r="C1707" s="288" t="s">
        <v>7167</v>
      </c>
      <c r="D1707" s="303">
        <v>250</v>
      </c>
    </row>
    <row r="1708" spans="1:4" ht="27">
      <c r="A1708" s="288" t="s">
        <v>10151</v>
      </c>
      <c r="B1708" s="289" t="s">
        <v>10152</v>
      </c>
      <c r="C1708" s="288" t="s">
        <v>7167</v>
      </c>
      <c r="D1708" s="303">
        <v>250</v>
      </c>
    </row>
    <row r="1709" spans="1:4">
      <c r="A1709" s="287"/>
      <c r="B1709" s="287"/>
      <c r="C1709" s="287"/>
      <c r="D1709" s="296" t="s">
        <v>28729</v>
      </c>
    </row>
    <row r="1710" spans="1:4" ht="18">
      <c r="A1710" s="287" t="s">
        <v>10153</v>
      </c>
      <c r="B1710" s="287"/>
      <c r="C1710" s="287"/>
      <c r="D1710" s="296" t="s">
        <v>28729</v>
      </c>
    </row>
    <row r="1711" spans="1:4" ht="18">
      <c r="A1711" s="288" t="s">
        <v>10154</v>
      </c>
      <c r="B1711" s="289" t="s">
        <v>10155</v>
      </c>
      <c r="C1711" s="288" t="s">
        <v>7167</v>
      </c>
      <c r="D1711" s="303">
        <v>14.94</v>
      </c>
    </row>
    <row r="1712" spans="1:4" ht="18">
      <c r="A1712" s="288" t="s">
        <v>10156</v>
      </c>
      <c r="B1712" s="289" t="s">
        <v>10157</v>
      </c>
      <c r="C1712" s="288" t="s">
        <v>7167</v>
      </c>
      <c r="D1712" s="303">
        <v>20.16</v>
      </c>
    </row>
    <row r="1713" spans="1:4" ht="18">
      <c r="A1713" s="288" t="s">
        <v>10158</v>
      </c>
      <c r="B1713" s="289" t="s">
        <v>10159</v>
      </c>
      <c r="C1713" s="288" t="s">
        <v>7167</v>
      </c>
      <c r="D1713" s="303">
        <v>27.1</v>
      </c>
    </row>
    <row r="1714" spans="1:4" ht="18">
      <c r="A1714" s="288" t="s">
        <v>10160</v>
      </c>
      <c r="B1714" s="289" t="s">
        <v>10161</v>
      </c>
      <c r="C1714" s="288" t="s">
        <v>10162</v>
      </c>
      <c r="D1714" s="303">
        <v>0.1</v>
      </c>
    </row>
    <row r="1715" spans="1:4" ht="36">
      <c r="A1715" s="288" t="s">
        <v>10163</v>
      </c>
      <c r="B1715" s="289" t="s">
        <v>10164</v>
      </c>
      <c r="C1715" s="288" t="s">
        <v>7167</v>
      </c>
      <c r="D1715" s="303">
        <v>84.23</v>
      </c>
    </row>
    <row r="1716" spans="1:4" ht="36">
      <c r="A1716" s="288" t="s">
        <v>10165</v>
      </c>
      <c r="B1716" s="289" t="s">
        <v>10166</v>
      </c>
      <c r="C1716" s="288" t="s">
        <v>7167</v>
      </c>
      <c r="D1716" s="303">
        <v>35.049999999999997</v>
      </c>
    </row>
    <row r="1717" spans="1:4" ht="27">
      <c r="A1717" s="288" t="s">
        <v>10167</v>
      </c>
      <c r="B1717" s="289" t="s">
        <v>10168</v>
      </c>
      <c r="C1717" s="288" t="s">
        <v>7167</v>
      </c>
      <c r="D1717" s="303">
        <v>6.8</v>
      </c>
    </row>
    <row r="1718" spans="1:4" ht="36">
      <c r="A1718" s="288" t="s">
        <v>10169</v>
      </c>
      <c r="B1718" s="289" t="s">
        <v>10170</v>
      </c>
      <c r="C1718" s="288" t="s">
        <v>7167</v>
      </c>
      <c r="D1718" s="303">
        <v>85.55</v>
      </c>
    </row>
    <row r="1719" spans="1:4" ht="36">
      <c r="A1719" s="288" t="s">
        <v>10171</v>
      </c>
      <c r="B1719" s="289" t="s">
        <v>10172</v>
      </c>
      <c r="C1719" s="288" t="s">
        <v>7167</v>
      </c>
      <c r="D1719" s="303">
        <v>35.71</v>
      </c>
    </row>
    <row r="1720" spans="1:4" ht="27">
      <c r="A1720" s="288" t="s">
        <v>10173</v>
      </c>
      <c r="B1720" s="289" t="s">
        <v>10174</v>
      </c>
      <c r="C1720" s="288" t="s">
        <v>7167</v>
      </c>
      <c r="D1720" s="303">
        <v>7.46</v>
      </c>
    </row>
    <row r="1721" spans="1:4" ht="36">
      <c r="A1721" s="288" t="s">
        <v>10175</v>
      </c>
      <c r="B1721" s="289" t="s">
        <v>10176</v>
      </c>
      <c r="C1721" s="288" t="s">
        <v>7167</v>
      </c>
      <c r="D1721" s="303">
        <v>150.46</v>
      </c>
    </row>
    <row r="1722" spans="1:4" ht="36">
      <c r="A1722" s="288" t="s">
        <v>10177</v>
      </c>
      <c r="B1722" s="289" t="s">
        <v>10178</v>
      </c>
      <c r="C1722" s="288" t="s">
        <v>7167</v>
      </c>
      <c r="D1722" s="303">
        <v>37.21</v>
      </c>
    </row>
    <row r="1723" spans="1:4" ht="36">
      <c r="A1723" s="288" t="s">
        <v>10179</v>
      </c>
      <c r="B1723" s="289" t="s">
        <v>10180</v>
      </c>
      <c r="C1723" s="288" t="s">
        <v>7167</v>
      </c>
      <c r="D1723" s="303">
        <v>25.7</v>
      </c>
    </row>
    <row r="1724" spans="1:4" ht="36">
      <c r="A1724" s="288" t="s">
        <v>10181</v>
      </c>
      <c r="B1724" s="289" t="s">
        <v>10182</v>
      </c>
      <c r="C1724" s="288" t="s">
        <v>7167</v>
      </c>
      <c r="D1724" s="303">
        <v>198.94</v>
      </c>
    </row>
    <row r="1725" spans="1:4" ht="36">
      <c r="A1725" s="288" t="s">
        <v>10183</v>
      </c>
      <c r="B1725" s="289" t="s">
        <v>10184</v>
      </c>
      <c r="C1725" s="288" t="s">
        <v>7167</v>
      </c>
      <c r="D1725" s="303">
        <v>36.630000000000003</v>
      </c>
    </row>
    <row r="1726" spans="1:4" ht="27">
      <c r="A1726" s="288" t="s">
        <v>10185</v>
      </c>
      <c r="B1726" s="289" t="s">
        <v>10186</v>
      </c>
      <c r="C1726" s="288" t="s">
        <v>7167</v>
      </c>
      <c r="D1726" s="303">
        <v>19.399999999999999</v>
      </c>
    </row>
    <row r="1727" spans="1:4" ht="36">
      <c r="A1727" s="288" t="s">
        <v>10187</v>
      </c>
      <c r="B1727" s="289" t="s">
        <v>10188</v>
      </c>
      <c r="C1727" s="288" t="s">
        <v>7167</v>
      </c>
      <c r="D1727" s="303">
        <v>1.77</v>
      </c>
    </row>
    <row r="1728" spans="1:4" ht="36">
      <c r="A1728" s="288" t="s">
        <v>10189</v>
      </c>
      <c r="B1728" s="289" t="s">
        <v>10190</v>
      </c>
      <c r="C1728" s="288" t="s">
        <v>7167</v>
      </c>
      <c r="D1728" s="303">
        <v>1.18</v>
      </c>
    </row>
    <row r="1729" spans="1:4">
      <c r="A1729" s="287" t="s">
        <v>10191</v>
      </c>
      <c r="B1729" s="287"/>
      <c r="C1729" s="287"/>
      <c r="D1729" s="296" t="s">
        <v>28729</v>
      </c>
    </row>
    <row r="1730" spans="1:4" ht="36">
      <c r="A1730" s="288" t="s">
        <v>10192</v>
      </c>
      <c r="B1730" s="289" t="s">
        <v>10193</v>
      </c>
      <c r="C1730" s="288" t="s">
        <v>7167</v>
      </c>
      <c r="D1730" s="303">
        <v>9.77</v>
      </c>
    </row>
    <row r="1731" spans="1:4" ht="27">
      <c r="A1731" s="288" t="s">
        <v>10194</v>
      </c>
      <c r="B1731" s="289" t="s">
        <v>10195</v>
      </c>
      <c r="C1731" s="288" t="s">
        <v>7167</v>
      </c>
      <c r="D1731" s="303">
        <v>0.34</v>
      </c>
    </row>
    <row r="1732" spans="1:4" ht="36">
      <c r="A1732" s="288" t="s">
        <v>10196</v>
      </c>
      <c r="B1732" s="289" t="s">
        <v>10197</v>
      </c>
      <c r="C1732" s="288" t="s">
        <v>7167</v>
      </c>
      <c r="D1732" s="303">
        <v>84.84</v>
      </c>
    </row>
    <row r="1733" spans="1:4" ht="36">
      <c r="A1733" s="288" t="s">
        <v>10198</v>
      </c>
      <c r="B1733" s="289" t="s">
        <v>10199</v>
      </c>
      <c r="C1733" s="288" t="s">
        <v>7167</v>
      </c>
      <c r="D1733" s="303">
        <v>34.94</v>
      </c>
    </row>
    <row r="1734" spans="1:4" ht="27">
      <c r="A1734" s="288" t="s">
        <v>10200</v>
      </c>
      <c r="B1734" s="289" t="s">
        <v>10201</v>
      </c>
      <c r="C1734" s="288" t="s">
        <v>7167</v>
      </c>
      <c r="D1734" s="303">
        <v>3.75</v>
      </c>
    </row>
    <row r="1735" spans="1:4" ht="36">
      <c r="A1735" s="288" t="s">
        <v>10202</v>
      </c>
      <c r="B1735" s="289" t="s">
        <v>10203</v>
      </c>
      <c r="C1735" s="288" t="s">
        <v>7167</v>
      </c>
      <c r="D1735" s="303">
        <v>174.07</v>
      </c>
    </row>
    <row r="1736" spans="1:4" ht="27">
      <c r="A1736" s="288" t="s">
        <v>10204</v>
      </c>
      <c r="B1736" s="289" t="s">
        <v>10205</v>
      </c>
      <c r="C1736" s="288" t="s">
        <v>7167</v>
      </c>
      <c r="D1736" s="303">
        <v>4.8899999999999997</v>
      </c>
    </row>
    <row r="1737" spans="1:4">
      <c r="A1737" s="287" t="s">
        <v>10206</v>
      </c>
      <c r="B1737" s="287"/>
      <c r="C1737" s="287"/>
      <c r="D1737" s="296" t="s">
        <v>28729</v>
      </c>
    </row>
    <row r="1738" spans="1:4">
      <c r="A1738" s="288" t="s">
        <v>10207</v>
      </c>
      <c r="B1738" s="289" t="s">
        <v>10208</v>
      </c>
      <c r="C1738" s="288" t="s">
        <v>7167</v>
      </c>
      <c r="D1738" s="303">
        <v>18.18</v>
      </c>
    </row>
    <row r="1739" spans="1:4">
      <c r="A1739" s="287"/>
      <c r="B1739" s="287"/>
      <c r="C1739" s="287"/>
      <c r="D1739" s="296" t="s">
        <v>28729</v>
      </c>
    </row>
    <row r="1740" spans="1:4" ht="18">
      <c r="A1740" s="287" t="s">
        <v>10209</v>
      </c>
      <c r="B1740" s="287"/>
      <c r="C1740" s="287"/>
      <c r="D1740" s="296" t="s">
        <v>28729</v>
      </c>
    </row>
    <row r="1741" spans="1:4" ht="18">
      <c r="A1741" s="288" t="s">
        <v>10210</v>
      </c>
      <c r="B1741" s="289" t="s">
        <v>10211</v>
      </c>
      <c r="C1741" s="288" t="s">
        <v>7167</v>
      </c>
      <c r="D1741" s="303">
        <v>171.81</v>
      </c>
    </row>
    <row r="1742" spans="1:4" ht="18">
      <c r="A1742" s="288" t="s">
        <v>10212</v>
      </c>
      <c r="B1742" s="289" t="s">
        <v>10213</v>
      </c>
      <c r="C1742" s="288" t="s">
        <v>7167</v>
      </c>
      <c r="D1742" s="303">
        <v>335.32</v>
      </c>
    </row>
    <row r="1743" spans="1:4" ht="27">
      <c r="A1743" s="288" t="s">
        <v>10214</v>
      </c>
      <c r="B1743" s="289" t="s">
        <v>10215</v>
      </c>
      <c r="C1743" s="288" t="s">
        <v>7167</v>
      </c>
      <c r="D1743" s="303">
        <v>208.73</v>
      </c>
    </row>
    <row r="1744" spans="1:4">
      <c r="A1744" s="287"/>
      <c r="B1744" s="287"/>
      <c r="C1744" s="287"/>
      <c r="D1744" s="296" t="s">
        <v>28729</v>
      </c>
    </row>
    <row r="1745" spans="1:4">
      <c r="A1745" s="287" t="s">
        <v>10216</v>
      </c>
      <c r="B1745" s="287"/>
      <c r="C1745" s="287"/>
      <c r="D1745" s="296" t="s">
        <v>28729</v>
      </c>
    </row>
    <row r="1746" spans="1:4" ht="27">
      <c r="A1746" s="288" t="s">
        <v>10217</v>
      </c>
      <c r="B1746" s="289" t="s">
        <v>10218</v>
      </c>
      <c r="C1746" s="288" t="s">
        <v>7167</v>
      </c>
      <c r="D1746" s="303">
        <v>0.1</v>
      </c>
    </row>
    <row r="1747" spans="1:4">
      <c r="A1747" s="287" t="s">
        <v>10219</v>
      </c>
      <c r="B1747" s="287"/>
      <c r="C1747" s="287"/>
      <c r="D1747" s="296" t="s">
        <v>28729</v>
      </c>
    </row>
    <row r="1748" spans="1:4" ht="36">
      <c r="A1748" s="288" t="s">
        <v>10220</v>
      </c>
      <c r="B1748" s="289" t="s">
        <v>10221</v>
      </c>
      <c r="C1748" s="288" t="s">
        <v>7167</v>
      </c>
      <c r="D1748" s="303">
        <v>3.5</v>
      </c>
    </row>
    <row r="1749" spans="1:4" ht="36">
      <c r="A1749" s="288" t="s">
        <v>10222</v>
      </c>
      <c r="B1749" s="289" t="s">
        <v>10223</v>
      </c>
      <c r="C1749" s="288" t="s">
        <v>7167</v>
      </c>
      <c r="D1749" s="303">
        <v>1.31</v>
      </c>
    </row>
    <row r="1750" spans="1:4" ht="36">
      <c r="A1750" s="288" t="s">
        <v>10224</v>
      </c>
      <c r="B1750" s="289" t="s">
        <v>10225</v>
      </c>
      <c r="C1750" s="288" t="s">
        <v>7167</v>
      </c>
      <c r="D1750" s="303">
        <v>0.22</v>
      </c>
    </row>
    <row r="1751" spans="1:4" ht="27">
      <c r="A1751" s="288" t="s">
        <v>10226</v>
      </c>
      <c r="B1751" s="289" t="s">
        <v>10227</v>
      </c>
      <c r="C1751" s="288" t="s">
        <v>7167</v>
      </c>
      <c r="D1751" s="303">
        <v>4.4000000000000004</v>
      </c>
    </row>
    <row r="1752" spans="1:4" ht="27">
      <c r="A1752" s="288" t="s">
        <v>10228</v>
      </c>
      <c r="B1752" s="289" t="s">
        <v>10229</v>
      </c>
      <c r="C1752" s="288" t="s">
        <v>7167</v>
      </c>
      <c r="D1752" s="303">
        <v>1.23</v>
      </c>
    </row>
    <row r="1753" spans="1:4">
      <c r="A1753" s="287" t="s">
        <v>10230</v>
      </c>
      <c r="B1753" s="287"/>
      <c r="C1753" s="287"/>
      <c r="D1753" s="296" t="s">
        <v>28729</v>
      </c>
    </row>
    <row r="1754" spans="1:4" ht="18">
      <c r="A1754" s="288" t="s">
        <v>10231</v>
      </c>
      <c r="B1754" s="289" t="s">
        <v>10232</v>
      </c>
      <c r="C1754" s="288" t="s">
        <v>54</v>
      </c>
      <c r="D1754" s="303">
        <v>15.99</v>
      </c>
    </row>
    <row r="1755" spans="1:4" ht="36">
      <c r="A1755" s="288" t="s">
        <v>10233</v>
      </c>
      <c r="B1755" s="289" t="s">
        <v>10234</v>
      </c>
      <c r="C1755" s="288" t="s">
        <v>7167</v>
      </c>
      <c r="D1755" s="303">
        <v>145.94</v>
      </c>
    </row>
    <row r="1756" spans="1:4" ht="27">
      <c r="A1756" s="288" t="s">
        <v>10235</v>
      </c>
      <c r="B1756" s="289" t="s">
        <v>10236</v>
      </c>
      <c r="C1756" s="288" t="s">
        <v>7167</v>
      </c>
      <c r="D1756" s="303">
        <v>2.56</v>
      </c>
    </row>
    <row r="1757" spans="1:4" ht="27">
      <c r="A1757" s="288" t="s">
        <v>10237</v>
      </c>
      <c r="B1757" s="289" t="s">
        <v>10238</v>
      </c>
      <c r="C1757" s="288" t="s">
        <v>7167</v>
      </c>
      <c r="D1757" s="303">
        <v>0.86</v>
      </c>
    </row>
    <row r="1758" spans="1:4" ht="18">
      <c r="A1758" s="288" t="s">
        <v>10239</v>
      </c>
      <c r="B1758" s="289" t="s">
        <v>10240</v>
      </c>
      <c r="C1758" s="288" t="s">
        <v>7167</v>
      </c>
      <c r="D1758" s="303">
        <v>9.56</v>
      </c>
    </row>
    <row r="1759" spans="1:4" ht="18">
      <c r="A1759" s="288" t="s">
        <v>10241</v>
      </c>
      <c r="B1759" s="289" t="s">
        <v>10242</v>
      </c>
      <c r="C1759" s="288" t="s">
        <v>7167</v>
      </c>
      <c r="D1759" s="303">
        <v>20</v>
      </c>
    </row>
    <row r="1760" spans="1:4" ht="18">
      <c r="A1760" s="288" t="s">
        <v>10243</v>
      </c>
      <c r="B1760" s="289" t="s">
        <v>10244</v>
      </c>
      <c r="C1760" s="288" t="s">
        <v>7167</v>
      </c>
      <c r="D1760" s="303">
        <v>0.45</v>
      </c>
    </row>
    <row r="1761" spans="1:4">
      <c r="A1761" s="287"/>
      <c r="B1761" s="287"/>
      <c r="C1761" s="287"/>
      <c r="D1761" s="296" t="s">
        <v>28729</v>
      </c>
    </row>
    <row r="1762" spans="1:4">
      <c r="A1762" s="287"/>
      <c r="B1762" s="287"/>
      <c r="C1762" s="287"/>
      <c r="D1762" s="296" t="s">
        <v>28729</v>
      </c>
    </row>
    <row r="1763" spans="1:4">
      <c r="A1763" s="287"/>
      <c r="B1763" s="287"/>
      <c r="C1763" s="287"/>
      <c r="D1763" s="296" t="s">
        <v>28729</v>
      </c>
    </row>
    <row r="1764" spans="1:4">
      <c r="A1764" s="287" t="s">
        <v>10245</v>
      </c>
      <c r="B1764" s="287"/>
      <c r="C1764" s="287"/>
      <c r="D1764" s="296" t="s">
        <v>28729</v>
      </c>
    </row>
    <row r="1765" spans="1:4" ht="27">
      <c r="A1765" s="288" t="s">
        <v>10246</v>
      </c>
      <c r="B1765" s="289" t="s">
        <v>10247</v>
      </c>
      <c r="C1765" s="288" t="s">
        <v>38</v>
      </c>
      <c r="D1765" s="303">
        <v>500</v>
      </c>
    </row>
    <row r="1766" spans="1:4" ht="18">
      <c r="A1766" s="288" t="s">
        <v>10248</v>
      </c>
      <c r="B1766" s="289" t="s">
        <v>10249</v>
      </c>
      <c r="C1766" s="288" t="s">
        <v>7079</v>
      </c>
      <c r="D1766" s="303">
        <v>133.27000000000001</v>
      </c>
    </row>
    <row r="1767" spans="1:4" ht="36">
      <c r="A1767" s="288" t="s">
        <v>10250</v>
      </c>
      <c r="B1767" s="289" t="s">
        <v>10251</v>
      </c>
      <c r="C1767" s="288" t="s">
        <v>38</v>
      </c>
      <c r="D1767" s="303">
        <v>625</v>
      </c>
    </row>
    <row r="1768" spans="1:4" ht="27">
      <c r="A1768" s="288" t="s">
        <v>10252</v>
      </c>
      <c r="B1768" s="289" t="s">
        <v>10253</v>
      </c>
      <c r="C1768" s="288" t="s">
        <v>38</v>
      </c>
      <c r="D1768" s="303">
        <v>1062.4000000000001</v>
      </c>
    </row>
    <row r="1769" spans="1:4" ht="27">
      <c r="A1769" s="288" t="s">
        <v>10254</v>
      </c>
      <c r="B1769" s="289" t="s">
        <v>10255</v>
      </c>
      <c r="C1769" s="288" t="s">
        <v>7079</v>
      </c>
      <c r="D1769" s="303">
        <v>19876.580000000002</v>
      </c>
    </row>
    <row r="1770" spans="1:4" ht="36">
      <c r="A1770" s="288" t="s">
        <v>10256</v>
      </c>
      <c r="B1770" s="289" t="s">
        <v>10257</v>
      </c>
      <c r="C1770" s="288" t="s">
        <v>7079</v>
      </c>
      <c r="D1770" s="303">
        <v>8168.1</v>
      </c>
    </row>
    <row r="1771" spans="1:4" ht="27">
      <c r="A1771" s="288" t="s">
        <v>10258</v>
      </c>
      <c r="B1771" s="289" t="s">
        <v>10259</v>
      </c>
      <c r="C1771" s="288" t="s">
        <v>38</v>
      </c>
      <c r="D1771" s="303">
        <v>1632.95</v>
      </c>
    </row>
    <row r="1772" spans="1:4">
      <c r="A1772" s="287" t="s">
        <v>10260</v>
      </c>
      <c r="B1772" s="287"/>
      <c r="C1772" s="287"/>
      <c r="D1772" s="296" t="s">
        <v>28729</v>
      </c>
    </row>
    <row r="1773" spans="1:4" ht="27">
      <c r="A1773" s="288" t="s">
        <v>10261</v>
      </c>
      <c r="B1773" s="289" t="s">
        <v>10262</v>
      </c>
      <c r="C1773" s="288" t="s">
        <v>7079</v>
      </c>
      <c r="D1773" s="303">
        <v>714.25</v>
      </c>
    </row>
    <row r="1774" spans="1:4">
      <c r="A1774" s="287" t="s">
        <v>10263</v>
      </c>
      <c r="B1774" s="287"/>
      <c r="C1774" s="287"/>
      <c r="D1774" s="296" t="s">
        <v>28729</v>
      </c>
    </row>
    <row r="1775" spans="1:4" ht="18">
      <c r="A1775" s="288" t="s">
        <v>10264</v>
      </c>
      <c r="B1775" s="289" t="s">
        <v>10265</v>
      </c>
      <c r="C1775" s="288" t="s">
        <v>38</v>
      </c>
      <c r="D1775" s="303">
        <v>960.17</v>
      </c>
    </row>
    <row r="1776" spans="1:4" ht="27">
      <c r="A1776" s="288" t="s">
        <v>10266</v>
      </c>
      <c r="B1776" s="289" t="s">
        <v>10267</v>
      </c>
      <c r="C1776" s="288" t="s">
        <v>38</v>
      </c>
      <c r="D1776" s="303">
        <v>1010.96</v>
      </c>
    </row>
    <row r="1777" spans="1:4" ht="54">
      <c r="A1777" s="288" t="s">
        <v>10268</v>
      </c>
      <c r="B1777" s="289" t="s">
        <v>10269</v>
      </c>
      <c r="C1777" s="288" t="s">
        <v>38</v>
      </c>
      <c r="D1777" s="303">
        <v>824.96</v>
      </c>
    </row>
    <row r="1778" spans="1:4" ht="36">
      <c r="A1778" s="288" t="s">
        <v>10270</v>
      </c>
      <c r="B1778" s="289" t="s">
        <v>10271</v>
      </c>
      <c r="C1778" s="288" t="s">
        <v>38</v>
      </c>
      <c r="D1778" s="303">
        <v>1010.96</v>
      </c>
    </row>
    <row r="1779" spans="1:4" ht="72">
      <c r="A1779" s="288" t="s">
        <v>10272</v>
      </c>
      <c r="B1779" s="289" t="s">
        <v>10273</v>
      </c>
      <c r="C1779" s="288" t="s">
        <v>7079</v>
      </c>
      <c r="D1779" s="303">
        <v>8640.41</v>
      </c>
    </row>
    <row r="1780" spans="1:4" ht="27">
      <c r="A1780" s="288" t="s">
        <v>10274</v>
      </c>
      <c r="B1780" s="289" t="s">
        <v>10275</v>
      </c>
      <c r="C1780" s="288" t="s">
        <v>7079</v>
      </c>
      <c r="D1780" s="303">
        <v>2504.84</v>
      </c>
    </row>
    <row r="1781" spans="1:4" ht="36">
      <c r="A1781" s="288" t="s">
        <v>10276</v>
      </c>
      <c r="B1781" s="289" t="s">
        <v>10277</v>
      </c>
      <c r="C1781" s="288" t="s">
        <v>7079</v>
      </c>
      <c r="D1781" s="303">
        <v>2341.83</v>
      </c>
    </row>
    <row r="1782" spans="1:4" ht="36">
      <c r="A1782" s="288" t="s">
        <v>10278</v>
      </c>
      <c r="B1782" s="289" t="s">
        <v>10279</v>
      </c>
      <c r="C1782" s="288" t="s">
        <v>7079</v>
      </c>
      <c r="D1782" s="303">
        <v>4210.72</v>
      </c>
    </row>
    <row r="1783" spans="1:4" ht="36">
      <c r="A1783" s="288" t="s">
        <v>10280</v>
      </c>
      <c r="B1783" s="289" t="s">
        <v>10281</v>
      </c>
      <c r="C1783" s="288" t="s">
        <v>7079</v>
      </c>
      <c r="D1783" s="303">
        <v>2748.66</v>
      </c>
    </row>
    <row r="1784" spans="1:4" ht="27">
      <c r="A1784" s="288" t="s">
        <v>10282</v>
      </c>
      <c r="B1784" s="289" t="s">
        <v>10283</v>
      </c>
      <c r="C1784" s="288" t="s">
        <v>7079</v>
      </c>
      <c r="D1784" s="303">
        <v>3714.85</v>
      </c>
    </row>
    <row r="1785" spans="1:4" ht="54">
      <c r="A1785" s="288" t="s">
        <v>10284</v>
      </c>
      <c r="B1785" s="289" t="s">
        <v>10285</v>
      </c>
      <c r="C1785" s="288" t="s">
        <v>38</v>
      </c>
      <c r="D1785" s="303">
        <v>993.74</v>
      </c>
    </row>
    <row r="1786" spans="1:4" ht="63">
      <c r="A1786" s="288" t="s">
        <v>10286</v>
      </c>
      <c r="B1786" s="289" t="s">
        <v>10287</v>
      </c>
      <c r="C1786" s="288" t="s">
        <v>7079</v>
      </c>
      <c r="D1786" s="303">
        <v>8892.9699999999993</v>
      </c>
    </row>
    <row r="1787" spans="1:4" ht="63">
      <c r="A1787" s="288" t="s">
        <v>10288</v>
      </c>
      <c r="B1787" s="289" t="s">
        <v>10289</v>
      </c>
      <c r="C1787" s="288" t="s">
        <v>7079</v>
      </c>
      <c r="D1787" s="303">
        <v>7814.07</v>
      </c>
    </row>
    <row r="1788" spans="1:4" ht="27">
      <c r="A1788" s="288" t="s">
        <v>10290</v>
      </c>
      <c r="B1788" s="289" t="s">
        <v>10291</v>
      </c>
      <c r="C1788" s="288" t="s">
        <v>38</v>
      </c>
      <c r="D1788" s="303">
        <v>715</v>
      </c>
    </row>
    <row r="1789" spans="1:4">
      <c r="A1789" s="287" t="s">
        <v>10292</v>
      </c>
      <c r="B1789" s="287"/>
      <c r="C1789" s="287"/>
      <c r="D1789" s="296" t="s">
        <v>28729</v>
      </c>
    </row>
    <row r="1790" spans="1:4" ht="18">
      <c r="A1790" s="288" t="s">
        <v>10293</v>
      </c>
      <c r="B1790" s="289" t="s">
        <v>10294</v>
      </c>
      <c r="C1790" s="288" t="s">
        <v>38</v>
      </c>
      <c r="D1790" s="303">
        <v>659.75</v>
      </c>
    </row>
    <row r="1791" spans="1:4" ht="18">
      <c r="A1791" s="288" t="s">
        <v>10295</v>
      </c>
      <c r="B1791" s="289" t="s">
        <v>10296</v>
      </c>
      <c r="C1791" s="288" t="s">
        <v>7079</v>
      </c>
      <c r="D1791" s="303">
        <v>836.91</v>
      </c>
    </row>
    <row r="1792" spans="1:4" ht="18">
      <c r="A1792" s="288" t="s">
        <v>10297</v>
      </c>
      <c r="B1792" s="289" t="s">
        <v>10298</v>
      </c>
      <c r="C1792" s="288" t="s">
        <v>7079</v>
      </c>
      <c r="D1792" s="303">
        <v>1865.39</v>
      </c>
    </row>
    <row r="1793" spans="1:4" ht="18">
      <c r="A1793" s="288" t="s">
        <v>10299</v>
      </c>
      <c r="B1793" s="289" t="s">
        <v>10300</v>
      </c>
      <c r="C1793" s="288" t="s">
        <v>7079</v>
      </c>
      <c r="D1793" s="303">
        <v>2490.84</v>
      </c>
    </row>
    <row r="1794" spans="1:4" ht="54">
      <c r="A1794" s="288" t="s">
        <v>10301</v>
      </c>
      <c r="B1794" s="289" t="s">
        <v>10302</v>
      </c>
      <c r="C1794" s="288" t="s">
        <v>38</v>
      </c>
      <c r="D1794" s="303">
        <v>671.83</v>
      </c>
    </row>
    <row r="1795" spans="1:4">
      <c r="A1795" s="287" t="s">
        <v>10303</v>
      </c>
      <c r="B1795" s="287"/>
      <c r="C1795" s="287"/>
      <c r="D1795" s="296" t="s">
        <v>28729</v>
      </c>
    </row>
    <row r="1796" spans="1:4" ht="27">
      <c r="A1796" s="288" t="s">
        <v>10304</v>
      </c>
      <c r="B1796" s="289" t="s">
        <v>10305</v>
      </c>
      <c r="C1796" s="288" t="s">
        <v>10306</v>
      </c>
      <c r="D1796" s="303">
        <v>1187.6500000000001</v>
      </c>
    </row>
    <row r="1797" spans="1:4" ht="27">
      <c r="A1797" s="288" t="s">
        <v>10307</v>
      </c>
      <c r="B1797" s="289" t="s">
        <v>10308</v>
      </c>
      <c r="C1797" s="288" t="s">
        <v>38</v>
      </c>
      <c r="D1797" s="303">
        <v>717.11</v>
      </c>
    </row>
    <row r="1798" spans="1:4" ht="27">
      <c r="A1798" s="288" t="s">
        <v>10309</v>
      </c>
      <c r="B1798" s="289" t="s">
        <v>10310</v>
      </c>
      <c r="C1798" s="288" t="s">
        <v>38</v>
      </c>
      <c r="D1798" s="303">
        <v>449.34</v>
      </c>
    </row>
    <row r="1799" spans="1:4" ht="27">
      <c r="A1799" s="288" t="s">
        <v>10311</v>
      </c>
      <c r="B1799" s="289" t="s">
        <v>10312</v>
      </c>
      <c r="C1799" s="288" t="s">
        <v>38</v>
      </c>
      <c r="D1799" s="303">
        <v>899.79</v>
      </c>
    </row>
    <row r="1800" spans="1:4" ht="27">
      <c r="A1800" s="288" t="s">
        <v>10313</v>
      </c>
      <c r="B1800" s="289" t="s">
        <v>10314</v>
      </c>
      <c r="C1800" s="288" t="s">
        <v>10306</v>
      </c>
      <c r="D1800" s="303">
        <v>1426.65</v>
      </c>
    </row>
    <row r="1801" spans="1:4" ht="18">
      <c r="A1801" s="288" t="s">
        <v>10315</v>
      </c>
      <c r="B1801" s="289" t="s">
        <v>10316</v>
      </c>
      <c r="C1801" s="288" t="s">
        <v>10306</v>
      </c>
      <c r="D1801" s="303">
        <v>2173.38</v>
      </c>
    </row>
    <row r="1802" spans="1:4" ht="27">
      <c r="A1802" s="288" t="s">
        <v>10317</v>
      </c>
      <c r="B1802" s="289" t="s">
        <v>10318</v>
      </c>
      <c r="C1802" s="288" t="s">
        <v>10306</v>
      </c>
      <c r="D1802" s="303">
        <v>1658.45</v>
      </c>
    </row>
    <row r="1803" spans="1:4" ht="18">
      <c r="A1803" s="288" t="s">
        <v>10319</v>
      </c>
      <c r="B1803" s="289" t="s">
        <v>10320</v>
      </c>
      <c r="C1803" s="288" t="s">
        <v>7079</v>
      </c>
      <c r="D1803" s="303">
        <v>120</v>
      </c>
    </row>
    <row r="1804" spans="1:4" ht="36">
      <c r="A1804" s="288" t="s">
        <v>10321</v>
      </c>
      <c r="B1804" s="289" t="s">
        <v>10322</v>
      </c>
      <c r="C1804" s="288" t="s">
        <v>54</v>
      </c>
      <c r="D1804" s="303">
        <v>447.16</v>
      </c>
    </row>
    <row r="1805" spans="1:4" ht="36">
      <c r="A1805" s="288" t="s">
        <v>10323</v>
      </c>
      <c r="B1805" s="289" t="s">
        <v>10324</v>
      </c>
      <c r="C1805" s="288" t="s">
        <v>54</v>
      </c>
      <c r="D1805" s="303">
        <v>824.11</v>
      </c>
    </row>
    <row r="1806" spans="1:4" ht="36">
      <c r="A1806" s="288" t="s">
        <v>10325</v>
      </c>
      <c r="B1806" s="289" t="s">
        <v>10326</v>
      </c>
      <c r="C1806" s="288" t="s">
        <v>54</v>
      </c>
      <c r="D1806" s="303">
        <v>561.94000000000005</v>
      </c>
    </row>
    <row r="1807" spans="1:4" ht="45">
      <c r="A1807" s="288" t="s">
        <v>10327</v>
      </c>
      <c r="B1807" s="289" t="s">
        <v>10328</v>
      </c>
      <c r="C1807" s="288" t="s">
        <v>54</v>
      </c>
      <c r="D1807" s="303">
        <v>1669.1</v>
      </c>
    </row>
    <row r="1808" spans="1:4" ht="54">
      <c r="A1808" s="288" t="s">
        <v>10329</v>
      </c>
      <c r="B1808" s="289" t="s">
        <v>10330</v>
      </c>
      <c r="C1808" s="288" t="s">
        <v>38</v>
      </c>
      <c r="D1808" s="303">
        <v>910.33</v>
      </c>
    </row>
    <row r="1809" spans="1:4" ht="18">
      <c r="A1809" s="288" t="s">
        <v>10331</v>
      </c>
      <c r="B1809" s="289" t="s">
        <v>10332</v>
      </c>
      <c r="C1809" s="288" t="s">
        <v>38</v>
      </c>
      <c r="D1809" s="303">
        <v>380</v>
      </c>
    </row>
    <row r="1810" spans="1:4" ht="36">
      <c r="A1810" s="288" t="s">
        <v>10333</v>
      </c>
      <c r="B1810" s="289" t="s">
        <v>10334</v>
      </c>
      <c r="C1810" s="288" t="s">
        <v>10306</v>
      </c>
      <c r="D1810" s="303">
        <v>481.24</v>
      </c>
    </row>
    <row r="1811" spans="1:4" ht="45">
      <c r="A1811" s="288" t="s">
        <v>10335</v>
      </c>
      <c r="B1811" s="289" t="s">
        <v>10336</v>
      </c>
      <c r="C1811" s="288" t="s">
        <v>10306</v>
      </c>
      <c r="D1811" s="303">
        <v>991.86</v>
      </c>
    </row>
    <row r="1812" spans="1:4" ht="36">
      <c r="A1812" s="288" t="s">
        <v>10337</v>
      </c>
      <c r="B1812" s="289" t="s">
        <v>10338</v>
      </c>
      <c r="C1812" s="288" t="s">
        <v>10306</v>
      </c>
      <c r="D1812" s="303">
        <v>3579.02</v>
      </c>
    </row>
    <row r="1813" spans="1:4" ht="54">
      <c r="A1813" s="288" t="s">
        <v>10339</v>
      </c>
      <c r="B1813" s="289" t="s">
        <v>10340</v>
      </c>
      <c r="C1813" s="288" t="s">
        <v>10306</v>
      </c>
      <c r="D1813" s="303">
        <v>2350.67</v>
      </c>
    </row>
    <row r="1814" spans="1:4" ht="27">
      <c r="A1814" s="288" t="s">
        <v>10341</v>
      </c>
      <c r="B1814" s="289" t="s">
        <v>10342</v>
      </c>
      <c r="C1814" s="288" t="s">
        <v>7079</v>
      </c>
      <c r="D1814" s="303">
        <v>1682.54</v>
      </c>
    </row>
    <row r="1815" spans="1:4" ht="45">
      <c r="A1815" s="288" t="s">
        <v>10343</v>
      </c>
      <c r="B1815" s="289" t="s">
        <v>10344</v>
      </c>
      <c r="C1815" s="288" t="s">
        <v>10306</v>
      </c>
      <c r="D1815" s="303">
        <v>2633.78</v>
      </c>
    </row>
    <row r="1816" spans="1:4" ht="45">
      <c r="A1816" s="288" t="s">
        <v>10345</v>
      </c>
      <c r="B1816" s="289" t="s">
        <v>10346</v>
      </c>
      <c r="C1816" s="288" t="s">
        <v>10306</v>
      </c>
      <c r="D1816" s="303">
        <v>1155.76</v>
      </c>
    </row>
    <row r="1817" spans="1:4" ht="36">
      <c r="A1817" s="288" t="s">
        <v>10347</v>
      </c>
      <c r="B1817" s="289" t="s">
        <v>10348</v>
      </c>
      <c r="C1817" s="288" t="s">
        <v>54</v>
      </c>
      <c r="D1817" s="303">
        <v>658.98</v>
      </c>
    </row>
    <row r="1818" spans="1:4" ht="27">
      <c r="A1818" s="288" t="s">
        <v>10349</v>
      </c>
      <c r="B1818" s="289" t="s">
        <v>10350</v>
      </c>
      <c r="C1818" s="288" t="s">
        <v>38</v>
      </c>
      <c r="D1818" s="303">
        <v>480.07</v>
      </c>
    </row>
    <row r="1819" spans="1:4" ht="90">
      <c r="A1819" s="288" t="s">
        <v>10351</v>
      </c>
      <c r="B1819" s="289" t="s">
        <v>10352</v>
      </c>
      <c r="C1819" s="288" t="s">
        <v>38</v>
      </c>
      <c r="D1819" s="303">
        <v>1292.1600000000001</v>
      </c>
    </row>
    <row r="1820" spans="1:4" ht="63">
      <c r="A1820" s="288" t="s">
        <v>10353</v>
      </c>
      <c r="B1820" s="289" t="s">
        <v>10354</v>
      </c>
      <c r="C1820" s="288" t="s">
        <v>38</v>
      </c>
      <c r="D1820" s="303">
        <v>191.59</v>
      </c>
    </row>
    <row r="1821" spans="1:4" ht="99">
      <c r="A1821" s="288" t="s">
        <v>10355</v>
      </c>
      <c r="B1821" s="289" t="s">
        <v>10356</v>
      </c>
      <c r="C1821" s="288" t="s">
        <v>38</v>
      </c>
      <c r="D1821" s="303">
        <v>2704.37</v>
      </c>
    </row>
    <row r="1822" spans="1:4" ht="99">
      <c r="A1822" s="288" t="s">
        <v>10357</v>
      </c>
      <c r="B1822" s="289" t="s">
        <v>10358</v>
      </c>
      <c r="C1822" s="288" t="s">
        <v>38</v>
      </c>
      <c r="D1822" s="303">
        <v>801.85</v>
      </c>
    </row>
    <row r="1823" spans="1:4" ht="18">
      <c r="A1823" s="288" t="s">
        <v>10359</v>
      </c>
      <c r="B1823" s="289" t="s">
        <v>10360</v>
      </c>
      <c r="C1823" s="288" t="s">
        <v>38</v>
      </c>
      <c r="D1823" s="303">
        <v>302.22000000000003</v>
      </c>
    </row>
    <row r="1824" spans="1:4" ht="36">
      <c r="A1824" s="288" t="s">
        <v>10361</v>
      </c>
      <c r="B1824" s="289" t="s">
        <v>10362</v>
      </c>
      <c r="C1824" s="288" t="s">
        <v>7079</v>
      </c>
      <c r="D1824" s="303">
        <v>986.78</v>
      </c>
    </row>
    <row r="1825" spans="1:4" ht="27">
      <c r="A1825" s="288" t="s">
        <v>10363</v>
      </c>
      <c r="B1825" s="289" t="s">
        <v>10364</v>
      </c>
      <c r="C1825" s="288" t="s">
        <v>7079</v>
      </c>
      <c r="D1825" s="303">
        <v>1474.23</v>
      </c>
    </row>
    <row r="1826" spans="1:4" ht="45">
      <c r="A1826" s="288" t="s">
        <v>10365</v>
      </c>
      <c r="B1826" s="289" t="s">
        <v>10366</v>
      </c>
      <c r="C1826" s="288" t="s">
        <v>7079</v>
      </c>
      <c r="D1826" s="303">
        <v>1944.21</v>
      </c>
    </row>
    <row r="1827" spans="1:4">
      <c r="A1827" s="287" t="s">
        <v>10367</v>
      </c>
      <c r="B1827" s="287"/>
      <c r="C1827" s="287"/>
      <c r="D1827" s="296" t="s">
        <v>28729</v>
      </c>
    </row>
    <row r="1828" spans="1:4" ht="27">
      <c r="A1828" s="288" t="s">
        <v>10368</v>
      </c>
      <c r="B1828" s="289" t="s">
        <v>10369</v>
      </c>
      <c r="C1828" s="288" t="s">
        <v>10370</v>
      </c>
      <c r="D1828" s="303">
        <v>510</v>
      </c>
    </row>
    <row r="1829" spans="1:4" ht="27">
      <c r="A1829" s="288" t="s">
        <v>10371</v>
      </c>
      <c r="B1829" s="289" t="s">
        <v>10372</v>
      </c>
      <c r="C1829" s="288" t="s">
        <v>10370</v>
      </c>
      <c r="D1829" s="303">
        <v>548.59</v>
      </c>
    </row>
    <row r="1830" spans="1:4" ht="18">
      <c r="A1830" s="287" t="s">
        <v>10373</v>
      </c>
      <c r="B1830" s="287"/>
      <c r="C1830" s="287"/>
      <c r="D1830" s="296" t="s">
        <v>28729</v>
      </c>
    </row>
    <row r="1831" spans="1:4" ht="18">
      <c r="A1831" s="288" t="s">
        <v>10374</v>
      </c>
      <c r="B1831" s="289" t="s">
        <v>10375</v>
      </c>
      <c r="C1831" s="288" t="s">
        <v>54</v>
      </c>
      <c r="D1831" s="303">
        <v>140.46</v>
      </c>
    </row>
    <row r="1832" spans="1:4" ht="36">
      <c r="A1832" s="288" t="s">
        <v>10376</v>
      </c>
      <c r="B1832" s="289" t="s">
        <v>10377</v>
      </c>
      <c r="C1832" s="288" t="s">
        <v>54</v>
      </c>
      <c r="D1832" s="303">
        <v>596.85</v>
      </c>
    </row>
    <row r="1833" spans="1:4" ht="45">
      <c r="A1833" s="288" t="s">
        <v>10378</v>
      </c>
      <c r="B1833" s="289" t="s">
        <v>10379</v>
      </c>
      <c r="C1833" s="288" t="s">
        <v>54</v>
      </c>
      <c r="D1833" s="303">
        <v>947.61</v>
      </c>
    </row>
    <row r="1834" spans="1:4" ht="27">
      <c r="A1834" s="288" t="s">
        <v>10380</v>
      </c>
      <c r="B1834" s="289" t="s">
        <v>10381</v>
      </c>
      <c r="C1834" s="288" t="s">
        <v>54</v>
      </c>
      <c r="D1834" s="303">
        <v>370.03</v>
      </c>
    </row>
    <row r="1835" spans="1:4" ht="36">
      <c r="A1835" s="288" t="s">
        <v>10382</v>
      </c>
      <c r="B1835" s="289" t="s">
        <v>10383</v>
      </c>
      <c r="C1835" s="288" t="s">
        <v>54</v>
      </c>
      <c r="D1835" s="303">
        <v>377.4</v>
      </c>
    </row>
    <row r="1836" spans="1:4" ht="36">
      <c r="A1836" s="288" t="s">
        <v>10384</v>
      </c>
      <c r="B1836" s="289" t="s">
        <v>10385</v>
      </c>
      <c r="C1836" s="288" t="s">
        <v>7079</v>
      </c>
      <c r="D1836" s="303">
        <v>377.37</v>
      </c>
    </row>
    <row r="1837" spans="1:4" ht="54">
      <c r="A1837" s="288" t="s">
        <v>10386</v>
      </c>
      <c r="B1837" s="289" t="s">
        <v>10387</v>
      </c>
      <c r="C1837" s="288" t="s">
        <v>38</v>
      </c>
      <c r="D1837" s="303">
        <v>410.53</v>
      </c>
    </row>
    <row r="1838" spans="1:4" ht="36">
      <c r="A1838" s="288" t="s">
        <v>10388</v>
      </c>
      <c r="B1838" s="289" t="s">
        <v>10389</v>
      </c>
      <c r="C1838" s="288" t="s">
        <v>54</v>
      </c>
      <c r="D1838" s="303">
        <v>430.72</v>
      </c>
    </row>
    <row r="1839" spans="1:4" ht="45">
      <c r="A1839" s="288" t="s">
        <v>10390</v>
      </c>
      <c r="B1839" s="289" t="s">
        <v>10391</v>
      </c>
      <c r="C1839" s="288" t="s">
        <v>10306</v>
      </c>
      <c r="D1839" s="303">
        <v>1799.41</v>
      </c>
    </row>
    <row r="1840" spans="1:4" ht="45">
      <c r="A1840" s="288" t="s">
        <v>10392</v>
      </c>
      <c r="B1840" s="289" t="s">
        <v>10393</v>
      </c>
      <c r="C1840" s="288" t="s">
        <v>10306</v>
      </c>
      <c r="D1840" s="303">
        <v>2148.86</v>
      </c>
    </row>
    <row r="1841" spans="1:4">
      <c r="A1841" s="287" t="s">
        <v>10394</v>
      </c>
      <c r="B1841" s="287"/>
      <c r="C1841" s="287"/>
      <c r="D1841" s="296" t="s">
        <v>28729</v>
      </c>
    </row>
    <row r="1842" spans="1:4" ht="18">
      <c r="A1842" s="288" t="s">
        <v>10395</v>
      </c>
      <c r="B1842" s="289" t="s">
        <v>10396</v>
      </c>
      <c r="C1842" s="288" t="s">
        <v>7079</v>
      </c>
      <c r="D1842" s="303">
        <v>806.99</v>
      </c>
    </row>
    <row r="1843" spans="1:4" ht="27">
      <c r="A1843" s="288" t="s">
        <v>10397</v>
      </c>
      <c r="B1843" s="289" t="s">
        <v>10398</v>
      </c>
      <c r="C1843" s="288" t="s">
        <v>54</v>
      </c>
      <c r="D1843" s="303">
        <v>329.33</v>
      </c>
    </row>
    <row r="1844" spans="1:4">
      <c r="A1844" s="287" t="s">
        <v>10399</v>
      </c>
      <c r="B1844" s="287"/>
      <c r="C1844" s="287"/>
      <c r="D1844" s="296" t="s">
        <v>28729</v>
      </c>
    </row>
    <row r="1845" spans="1:4" ht="27">
      <c r="A1845" s="288" t="s">
        <v>10400</v>
      </c>
      <c r="B1845" s="289" t="s">
        <v>10401</v>
      </c>
      <c r="C1845" s="288" t="s">
        <v>7079</v>
      </c>
      <c r="D1845" s="303">
        <v>224.02</v>
      </c>
    </row>
    <row r="1846" spans="1:4" ht="18">
      <c r="A1846" s="288" t="s">
        <v>10402</v>
      </c>
      <c r="B1846" s="289" t="s">
        <v>10403</v>
      </c>
      <c r="C1846" s="288" t="s">
        <v>54</v>
      </c>
      <c r="D1846" s="303">
        <v>29.46</v>
      </c>
    </row>
    <row r="1847" spans="1:4" ht="36">
      <c r="A1847" s="288" t="s">
        <v>10404</v>
      </c>
      <c r="B1847" s="289" t="s">
        <v>10405</v>
      </c>
      <c r="C1847" s="288" t="s">
        <v>10306</v>
      </c>
      <c r="D1847" s="303">
        <v>509.2</v>
      </c>
    </row>
    <row r="1848" spans="1:4" ht="27">
      <c r="A1848" s="288" t="s">
        <v>10406</v>
      </c>
      <c r="B1848" s="289" t="s">
        <v>10407</v>
      </c>
      <c r="C1848" s="288" t="s">
        <v>10306</v>
      </c>
      <c r="D1848" s="303">
        <v>1774.97</v>
      </c>
    </row>
    <row r="1849" spans="1:4" ht="18">
      <c r="A1849" s="288" t="s">
        <v>10408</v>
      </c>
      <c r="B1849" s="289" t="s">
        <v>10409</v>
      </c>
      <c r="C1849" s="288" t="s">
        <v>7079</v>
      </c>
      <c r="D1849" s="303">
        <v>702.28</v>
      </c>
    </row>
    <row r="1850" spans="1:4" ht="27">
      <c r="A1850" s="288" t="s">
        <v>10410</v>
      </c>
      <c r="B1850" s="289" t="s">
        <v>10411</v>
      </c>
      <c r="C1850" s="288" t="s">
        <v>7079</v>
      </c>
      <c r="D1850" s="303">
        <v>449</v>
      </c>
    </row>
    <row r="1851" spans="1:4" ht="27">
      <c r="A1851" s="288" t="s">
        <v>10412</v>
      </c>
      <c r="B1851" s="289" t="s">
        <v>10413</v>
      </c>
      <c r="C1851" s="288" t="s">
        <v>7079</v>
      </c>
      <c r="D1851" s="303">
        <v>775</v>
      </c>
    </row>
    <row r="1852" spans="1:4" ht="18">
      <c r="A1852" s="288" t="s">
        <v>10414</v>
      </c>
      <c r="B1852" s="289" t="s">
        <v>10415</v>
      </c>
      <c r="C1852" s="288" t="s">
        <v>7079</v>
      </c>
      <c r="D1852" s="303">
        <v>73.540000000000006</v>
      </c>
    </row>
    <row r="1853" spans="1:4" ht="18">
      <c r="A1853" s="288" t="s">
        <v>10416</v>
      </c>
      <c r="B1853" s="289" t="s">
        <v>10417</v>
      </c>
      <c r="C1853" s="288" t="s">
        <v>7079</v>
      </c>
      <c r="D1853" s="303">
        <v>17.829999999999998</v>
      </c>
    </row>
    <row r="1854" spans="1:4" ht="27">
      <c r="A1854" s="288" t="s">
        <v>10418</v>
      </c>
      <c r="B1854" s="289" t="s">
        <v>10419</v>
      </c>
      <c r="C1854" s="288" t="s">
        <v>7079</v>
      </c>
      <c r="D1854" s="303">
        <v>1182.94</v>
      </c>
    </row>
    <row r="1855" spans="1:4" ht="27">
      <c r="A1855" s="288" t="s">
        <v>10420</v>
      </c>
      <c r="B1855" s="289" t="s">
        <v>10421</v>
      </c>
      <c r="C1855" s="288" t="s">
        <v>7079</v>
      </c>
      <c r="D1855" s="303">
        <v>1342.75</v>
      </c>
    </row>
    <row r="1856" spans="1:4" ht="27">
      <c r="A1856" s="288" t="s">
        <v>10422</v>
      </c>
      <c r="B1856" s="289" t="s">
        <v>10423</v>
      </c>
      <c r="C1856" s="288" t="s">
        <v>7079</v>
      </c>
      <c r="D1856" s="303">
        <v>1240.81</v>
      </c>
    </row>
    <row r="1857" spans="1:4" ht="18">
      <c r="A1857" s="288" t="s">
        <v>10424</v>
      </c>
      <c r="B1857" s="289" t="s">
        <v>10425</v>
      </c>
      <c r="C1857" s="288" t="s">
        <v>7079</v>
      </c>
      <c r="D1857" s="303">
        <v>392.76</v>
      </c>
    </row>
    <row r="1858" spans="1:4" ht="18">
      <c r="A1858" s="288" t="s">
        <v>10426</v>
      </c>
      <c r="B1858" s="289" t="s">
        <v>10427</v>
      </c>
      <c r="C1858" s="288" t="s">
        <v>38</v>
      </c>
      <c r="D1858" s="303">
        <v>301.49</v>
      </c>
    </row>
    <row r="1859" spans="1:4" ht="27">
      <c r="A1859" s="288" t="s">
        <v>10428</v>
      </c>
      <c r="B1859" s="289" t="s">
        <v>10429</v>
      </c>
      <c r="C1859" s="288" t="s">
        <v>38</v>
      </c>
      <c r="D1859" s="303">
        <v>45.76</v>
      </c>
    </row>
    <row r="1860" spans="1:4">
      <c r="A1860" s="287"/>
      <c r="B1860" s="287"/>
      <c r="C1860" s="287"/>
      <c r="D1860" s="296" t="s">
        <v>28729</v>
      </c>
    </row>
    <row r="1861" spans="1:4" ht="18">
      <c r="A1861" s="287" t="s">
        <v>10430</v>
      </c>
      <c r="B1861" s="287"/>
      <c r="C1861" s="287"/>
      <c r="D1861" s="296" t="s">
        <v>28729</v>
      </c>
    </row>
    <row r="1862" spans="1:4" ht="18">
      <c r="A1862" s="288" t="s">
        <v>10431</v>
      </c>
      <c r="B1862" s="289" t="s">
        <v>10432</v>
      </c>
      <c r="C1862" s="288" t="s">
        <v>54</v>
      </c>
      <c r="D1862" s="303">
        <v>36.71</v>
      </c>
    </row>
    <row r="1863" spans="1:4" ht="18">
      <c r="A1863" s="288" t="s">
        <v>10433</v>
      </c>
      <c r="B1863" s="289" t="s">
        <v>10434</v>
      </c>
      <c r="C1863" s="288" t="s">
        <v>54</v>
      </c>
      <c r="D1863" s="303">
        <v>57.28</v>
      </c>
    </row>
    <row r="1864" spans="1:4">
      <c r="A1864" s="288" t="s">
        <v>10435</v>
      </c>
      <c r="B1864" s="289" t="s">
        <v>10436</v>
      </c>
      <c r="C1864" s="288" t="s">
        <v>54</v>
      </c>
      <c r="D1864" s="303">
        <v>12.32</v>
      </c>
    </row>
    <row r="1865" spans="1:4">
      <c r="A1865" s="288" t="s">
        <v>10437</v>
      </c>
      <c r="B1865" s="289" t="s">
        <v>10438</v>
      </c>
      <c r="C1865" s="288" t="s">
        <v>54</v>
      </c>
      <c r="D1865" s="303">
        <v>40.67</v>
      </c>
    </row>
    <row r="1866" spans="1:4" ht="18">
      <c r="A1866" s="287" t="s">
        <v>10439</v>
      </c>
      <c r="B1866" s="287"/>
      <c r="C1866" s="287"/>
      <c r="D1866" s="296" t="s">
        <v>28729</v>
      </c>
    </row>
    <row r="1867" spans="1:4" ht="27">
      <c r="A1867" s="288" t="s">
        <v>10440</v>
      </c>
      <c r="B1867" s="289" t="s">
        <v>10441</v>
      </c>
      <c r="C1867" s="288" t="s">
        <v>38</v>
      </c>
      <c r="D1867" s="303">
        <v>262.37</v>
      </c>
    </row>
    <row r="1868" spans="1:4" ht="18">
      <c r="A1868" s="288" t="s">
        <v>10442</v>
      </c>
      <c r="B1868" s="289" t="s">
        <v>10443</v>
      </c>
      <c r="C1868" s="288" t="s">
        <v>7079</v>
      </c>
      <c r="D1868" s="303">
        <v>317.12</v>
      </c>
    </row>
    <row r="1869" spans="1:4" ht="18">
      <c r="A1869" s="288" t="s">
        <v>10444</v>
      </c>
      <c r="B1869" s="289" t="s">
        <v>10445</v>
      </c>
      <c r="C1869" s="288" t="s">
        <v>7079</v>
      </c>
      <c r="D1869" s="303">
        <v>317.12</v>
      </c>
    </row>
    <row r="1870" spans="1:4" ht="18">
      <c r="A1870" s="288" t="s">
        <v>10446</v>
      </c>
      <c r="B1870" s="289" t="s">
        <v>10447</v>
      </c>
      <c r="C1870" s="288" t="s">
        <v>7079</v>
      </c>
      <c r="D1870" s="303">
        <v>452.58</v>
      </c>
    </row>
    <row r="1871" spans="1:4" ht="27">
      <c r="A1871" s="288" t="s">
        <v>10448</v>
      </c>
      <c r="B1871" s="289" t="s">
        <v>10449</v>
      </c>
      <c r="C1871" s="288" t="s">
        <v>7079</v>
      </c>
      <c r="D1871" s="303">
        <v>603.53</v>
      </c>
    </row>
    <row r="1872" spans="1:4" ht="27">
      <c r="A1872" s="288" t="s">
        <v>10450</v>
      </c>
      <c r="B1872" s="289" t="s">
        <v>10451</v>
      </c>
      <c r="C1872" s="288" t="s">
        <v>7079</v>
      </c>
      <c r="D1872" s="303">
        <v>691.52</v>
      </c>
    </row>
    <row r="1873" spans="1:4" ht="27">
      <c r="A1873" s="288" t="s">
        <v>10452</v>
      </c>
      <c r="B1873" s="289" t="s">
        <v>10453</v>
      </c>
      <c r="C1873" s="288" t="s">
        <v>7079</v>
      </c>
      <c r="D1873" s="303">
        <v>707.42</v>
      </c>
    </row>
    <row r="1874" spans="1:4" ht="27">
      <c r="A1874" s="288" t="s">
        <v>10454</v>
      </c>
      <c r="B1874" s="289" t="s">
        <v>10455</v>
      </c>
      <c r="C1874" s="288" t="s">
        <v>7079</v>
      </c>
      <c r="D1874" s="303">
        <v>761.93</v>
      </c>
    </row>
    <row r="1875" spans="1:4" ht="27">
      <c r="A1875" s="288" t="s">
        <v>10456</v>
      </c>
      <c r="B1875" s="289" t="s">
        <v>10457</v>
      </c>
      <c r="C1875" s="288" t="s">
        <v>7079</v>
      </c>
      <c r="D1875" s="303">
        <v>1151.21</v>
      </c>
    </row>
    <row r="1876" spans="1:4" ht="27">
      <c r="A1876" s="288" t="s">
        <v>10458</v>
      </c>
      <c r="B1876" s="289" t="s">
        <v>10459</v>
      </c>
      <c r="C1876" s="288" t="s">
        <v>7079</v>
      </c>
      <c r="D1876" s="303">
        <v>257.54000000000002</v>
      </c>
    </row>
    <row r="1877" spans="1:4" ht="27">
      <c r="A1877" s="288" t="s">
        <v>10460</v>
      </c>
      <c r="B1877" s="289" t="s">
        <v>10461</v>
      </c>
      <c r="C1877" s="288" t="s">
        <v>7079</v>
      </c>
      <c r="D1877" s="303">
        <v>258.86</v>
      </c>
    </row>
    <row r="1878" spans="1:4" ht="27">
      <c r="A1878" s="288" t="s">
        <v>10462</v>
      </c>
      <c r="B1878" s="289" t="s">
        <v>10463</v>
      </c>
      <c r="C1878" s="288" t="s">
        <v>7079</v>
      </c>
      <c r="D1878" s="303">
        <v>1091.4100000000001</v>
      </c>
    </row>
    <row r="1879" spans="1:4" ht="27">
      <c r="A1879" s="288" t="s">
        <v>10464</v>
      </c>
      <c r="B1879" s="289" t="s">
        <v>10465</v>
      </c>
      <c r="C1879" s="288" t="s">
        <v>7079</v>
      </c>
      <c r="D1879" s="303">
        <v>991.95</v>
      </c>
    </row>
    <row r="1880" spans="1:4" ht="36">
      <c r="A1880" s="288" t="s">
        <v>10466</v>
      </c>
      <c r="B1880" s="289" t="s">
        <v>10467</v>
      </c>
      <c r="C1880" s="288" t="s">
        <v>7079</v>
      </c>
      <c r="D1880" s="303">
        <v>604.29</v>
      </c>
    </row>
    <row r="1881" spans="1:4" ht="36">
      <c r="A1881" s="288" t="s">
        <v>10468</v>
      </c>
      <c r="B1881" s="289" t="s">
        <v>10469</v>
      </c>
      <c r="C1881" s="288" t="s">
        <v>7079</v>
      </c>
      <c r="D1881" s="303">
        <v>535.91</v>
      </c>
    </row>
    <row r="1882" spans="1:4" ht="27">
      <c r="A1882" s="288" t="s">
        <v>10470</v>
      </c>
      <c r="B1882" s="289" t="s">
        <v>10471</v>
      </c>
      <c r="C1882" s="288" t="s">
        <v>7079</v>
      </c>
      <c r="D1882" s="303">
        <v>337.77</v>
      </c>
    </row>
    <row r="1883" spans="1:4" ht="27">
      <c r="A1883" s="288" t="s">
        <v>10472</v>
      </c>
      <c r="B1883" s="289" t="s">
        <v>10473</v>
      </c>
      <c r="C1883" s="288" t="s">
        <v>7079</v>
      </c>
      <c r="D1883" s="303">
        <v>346.03</v>
      </c>
    </row>
    <row r="1884" spans="1:4" ht="18">
      <c r="A1884" s="288" t="s">
        <v>10474</v>
      </c>
      <c r="B1884" s="289" t="s">
        <v>10475</v>
      </c>
      <c r="C1884" s="288" t="s">
        <v>38</v>
      </c>
      <c r="D1884" s="303">
        <v>356.33</v>
      </c>
    </row>
    <row r="1885" spans="1:4" ht="18">
      <c r="A1885" s="287" t="s">
        <v>10476</v>
      </c>
      <c r="B1885" s="287"/>
      <c r="C1885" s="287"/>
      <c r="D1885" s="296" t="s">
        <v>28729</v>
      </c>
    </row>
    <row r="1886" spans="1:4" ht="27">
      <c r="A1886" s="288" t="s">
        <v>10477</v>
      </c>
      <c r="B1886" s="289" t="s">
        <v>10478</v>
      </c>
      <c r="C1886" s="288" t="s">
        <v>7079</v>
      </c>
      <c r="D1886" s="303">
        <v>807.29</v>
      </c>
    </row>
    <row r="1887" spans="1:4" ht="27">
      <c r="A1887" s="288" t="s">
        <v>10479</v>
      </c>
      <c r="B1887" s="289" t="s">
        <v>10480</v>
      </c>
      <c r="C1887" s="288" t="s">
        <v>7079</v>
      </c>
      <c r="D1887" s="303">
        <v>769.07</v>
      </c>
    </row>
    <row r="1888" spans="1:4" ht="18">
      <c r="A1888" s="288" t="s">
        <v>10481</v>
      </c>
      <c r="B1888" s="289" t="s">
        <v>10482</v>
      </c>
      <c r="C1888" s="288" t="s">
        <v>7079</v>
      </c>
      <c r="D1888" s="303">
        <v>557.71</v>
      </c>
    </row>
    <row r="1889" spans="1:4" ht="27">
      <c r="A1889" s="288" t="s">
        <v>10483</v>
      </c>
      <c r="B1889" s="289" t="s">
        <v>10484</v>
      </c>
      <c r="C1889" s="288" t="s">
        <v>7079</v>
      </c>
      <c r="D1889" s="303">
        <v>834.87</v>
      </c>
    </row>
    <row r="1890" spans="1:4" ht="27">
      <c r="A1890" s="288" t="s">
        <v>10485</v>
      </c>
      <c r="B1890" s="289" t="s">
        <v>10486</v>
      </c>
      <c r="C1890" s="288" t="s">
        <v>7079</v>
      </c>
      <c r="D1890" s="303">
        <v>932.11</v>
      </c>
    </row>
    <row r="1891" spans="1:4" ht="27">
      <c r="A1891" s="288" t="s">
        <v>10487</v>
      </c>
      <c r="B1891" s="289" t="s">
        <v>10488</v>
      </c>
      <c r="C1891" s="288" t="s">
        <v>7079</v>
      </c>
      <c r="D1891" s="303">
        <v>2819.89</v>
      </c>
    </row>
    <row r="1892" spans="1:4">
      <c r="A1892" s="287" t="s">
        <v>10489</v>
      </c>
      <c r="B1892" s="287"/>
      <c r="C1892" s="287"/>
      <c r="D1892" s="296" t="s">
        <v>28729</v>
      </c>
    </row>
    <row r="1893" spans="1:4" ht="27">
      <c r="A1893" s="288" t="s">
        <v>10490</v>
      </c>
      <c r="B1893" s="289" t="s">
        <v>10491</v>
      </c>
      <c r="C1893" s="288" t="s">
        <v>7079</v>
      </c>
      <c r="D1893" s="303">
        <v>2519.73</v>
      </c>
    </row>
    <row r="1894" spans="1:4" ht="18">
      <c r="A1894" s="288" t="s">
        <v>10492</v>
      </c>
      <c r="B1894" s="289" t="s">
        <v>10493</v>
      </c>
      <c r="C1894" s="288" t="s">
        <v>7079</v>
      </c>
      <c r="D1894" s="303">
        <v>965.49</v>
      </c>
    </row>
    <row r="1895" spans="1:4" ht="27">
      <c r="A1895" s="288" t="s">
        <v>10494</v>
      </c>
      <c r="B1895" s="289" t="s">
        <v>10495</v>
      </c>
      <c r="C1895" s="288" t="s">
        <v>7079</v>
      </c>
      <c r="D1895" s="303">
        <v>4595.42</v>
      </c>
    </row>
    <row r="1896" spans="1:4" ht="36">
      <c r="A1896" s="288" t="s">
        <v>10496</v>
      </c>
      <c r="B1896" s="289" t="s">
        <v>10497</v>
      </c>
      <c r="C1896" s="288" t="s">
        <v>7079</v>
      </c>
      <c r="D1896" s="303">
        <v>4593.22</v>
      </c>
    </row>
    <row r="1897" spans="1:4" ht="27">
      <c r="A1897" s="288" t="s">
        <v>10498</v>
      </c>
      <c r="B1897" s="289" t="s">
        <v>10499</v>
      </c>
      <c r="C1897" s="288" t="s">
        <v>7079</v>
      </c>
      <c r="D1897" s="303">
        <v>9312.3799999999992</v>
      </c>
    </row>
    <row r="1898" spans="1:4" ht="18">
      <c r="A1898" s="288" t="s">
        <v>10500</v>
      </c>
      <c r="B1898" s="289" t="s">
        <v>10501</v>
      </c>
      <c r="C1898" s="288" t="s">
        <v>7079</v>
      </c>
      <c r="D1898" s="303">
        <v>4745.45</v>
      </c>
    </row>
    <row r="1899" spans="1:4" ht="27">
      <c r="A1899" s="288" t="s">
        <v>10502</v>
      </c>
      <c r="B1899" s="289" t="s">
        <v>10503</v>
      </c>
      <c r="C1899" s="288" t="s">
        <v>7079</v>
      </c>
      <c r="D1899" s="303">
        <v>4243.38</v>
      </c>
    </row>
    <row r="1900" spans="1:4" ht="27">
      <c r="A1900" s="288" t="s">
        <v>10504</v>
      </c>
      <c r="B1900" s="289" t="s">
        <v>10505</v>
      </c>
      <c r="C1900" s="288" t="s">
        <v>7079</v>
      </c>
      <c r="D1900" s="303">
        <v>4283.28</v>
      </c>
    </row>
    <row r="1901" spans="1:4" ht="27">
      <c r="A1901" s="288" t="s">
        <v>10506</v>
      </c>
      <c r="B1901" s="289" t="s">
        <v>10507</v>
      </c>
      <c r="C1901" s="288" t="s">
        <v>7079</v>
      </c>
      <c r="D1901" s="303">
        <v>1653.93</v>
      </c>
    </row>
    <row r="1902" spans="1:4" ht="27">
      <c r="A1902" s="288" t="s">
        <v>10508</v>
      </c>
      <c r="B1902" s="289" t="s">
        <v>10509</v>
      </c>
      <c r="C1902" s="288" t="s">
        <v>7079</v>
      </c>
      <c r="D1902" s="303">
        <v>1095.2</v>
      </c>
    </row>
    <row r="1903" spans="1:4" ht="27">
      <c r="A1903" s="288" t="s">
        <v>10510</v>
      </c>
      <c r="B1903" s="289" t="s">
        <v>10511</v>
      </c>
      <c r="C1903" s="288" t="s">
        <v>7079</v>
      </c>
      <c r="D1903" s="303">
        <v>1206.1099999999999</v>
      </c>
    </row>
    <row r="1904" spans="1:4">
      <c r="A1904" s="287" t="s">
        <v>10512</v>
      </c>
      <c r="B1904" s="287"/>
      <c r="C1904" s="287"/>
      <c r="D1904" s="296" t="s">
        <v>28729</v>
      </c>
    </row>
    <row r="1905" spans="1:4" ht="18">
      <c r="A1905" s="288" t="s">
        <v>10513</v>
      </c>
      <c r="B1905" s="289" t="s">
        <v>10514</v>
      </c>
      <c r="C1905" s="288" t="s">
        <v>38</v>
      </c>
      <c r="D1905" s="303">
        <v>18.47</v>
      </c>
    </row>
    <row r="1906" spans="1:4" ht="18">
      <c r="A1906" s="288" t="s">
        <v>10515</v>
      </c>
      <c r="B1906" s="289" t="s">
        <v>10516</v>
      </c>
      <c r="C1906" s="288" t="s">
        <v>38</v>
      </c>
      <c r="D1906" s="303">
        <v>25.9</v>
      </c>
    </row>
    <row r="1907" spans="1:4" ht="18">
      <c r="A1907" s="288" t="s">
        <v>10517</v>
      </c>
      <c r="B1907" s="289" t="s">
        <v>10518</v>
      </c>
      <c r="C1907" s="288" t="s">
        <v>38</v>
      </c>
      <c r="D1907" s="303">
        <v>47.25</v>
      </c>
    </row>
    <row r="1908" spans="1:4" ht="18">
      <c r="A1908" s="288" t="s">
        <v>10519</v>
      </c>
      <c r="B1908" s="289" t="s">
        <v>10520</v>
      </c>
      <c r="C1908" s="288" t="s">
        <v>38</v>
      </c>
      <c r="D1908" s="303">
        <v>76.680000000000007</v>
      </c>
    </row>
    <row r="1909" spans="1:4" ht="18">
      <c r="A1909" s="288" t="s">
        <v>10521</v>
      </c>
      <c r="B1909" s="289" t="s">
        <v>10522</v>
      </c>
      <c r="C1909" s="288" t="s">
        <v>38</v>
      </c>
      <c r="D1909" s="303">
        <v>104.45</v>
      </c>
    </row>
    <row r="1910" spans="1:4">
      <c r="A1910" s="288" t="s">
        <v>10523</v>
      </c>
      <c r="B1910" s="289" t="s">
        <v>10524</v>
      </c>
      <c r="C1910" s="288" t="s">
        <v>38</v>
      </c>
      <c r="D1910" s="303">
        <v>39.07</v>
      </c>
    </row>
    <row r="1911" spans="1:4">
      <c r="A1911" s="288" t="s">
        <v>10525</v>
      </c>
      <c r="B1911" s="289" t="s">
        <v>10526</v>
      </c>
      <c r="C1911" s="288" t="s">
        <v>38</v>
      </c>
      <c r="D1911" s="303">
        <v>62.67</v>
      </c>
    </row>
    <row r="1912" spans="1:4" ht="18">
      <c r="A1912" s="288" t="s">
        <v>10527</v>
      </c>
      <c r="B1912" s="289" t="s">
        <v>10528</v>
      </c>
      <c r="C1912" s="288" t="s">
        <v>54</v>
      </c>
      <c r="D1912" s="303">
        <v>9.25</v>
      </c>
    </row>
    <row r="1913" spans="1:4" ht="18">
      <c r="A1913" s="288" t="s">
        <v>10529</v>
      </c>
      <c r="B1913" s="289" t="s">
        <v>10530</v>
      </c>
      <c r="C1913" s="288" t="s">
        <v>54</v>
      </c>
      <c r="D1913" s="303">
        <v>12.1</v>
      </c>
    </row>
    <row r="1914" spans="1:4" ht="18">
      <c r="A1914" s="288" t="s">
        <v>10531</v>
      </c>
      <c r="B1914" s="289" t="s">
        <v>10532</v>
      </c>
      <c r="C1914" s="288" t="s">
        <v>54</v>
      </c>
      <c r="D1914" s="303">
        <v>31.9</v>
      </c>
    </row>
    <row r="1915" spans="1:4" ht="18">
      <c r="A1915" s="288" t="s">
        <v>10533</v>
      </c>
      <c r="B1915" s="289" t="s">
        <v>10534</v>
      </c>
      <c r="C1915" s="288" t="s">
        <v>54</v>
      </c>
      <c r="D1915" s="303">
        <v>36.299999999999997</v>
      </c>
    </row>
    <row r="1916" spans="1:4">
      <c r="A1916" s="288" t="s">
        <v>10535</v>
      </c>
      <c r="B1916" s="289" t="s">
        <v>10536</v>
      </c>
      <c r="C1916" s="288" t="s">
        <v>54</v>
      </c>
      <c r="D1916" s="303">
        <v>7.73</v>
      </c>
    </row>
    <row r="1917" spans="1:4">
      <c r="A1917" s="288" t="s">
        <v>10537</v>
      </c>
      <c r="B1917" s="289" t="s">
        <v>10538</v>
      </c>
      <c r="C1917" s="288" t="s">
        <v>54</v>
      </c>
      <c r="D1917" s="303">
        <v>51</v>
      </c>
    </row>
    <row r="1918" spans="1:4">
      <c r="A1918" s="288" t="s">
        <v>10539</v>
      </c>
      <c r="B1918" s="289" t="s">
        <v>10540</v>
      </c>
      <c r="C1918" s="288" t="s">
        <v>54</v>
      </c>
      <c r="D1918" s="303">
        <v>2.19</v>
      </c>
    </row>
    <row r="1919" spans="1:4">
      <c r="A1919" s="288" t="s">
        <v>10541</v>
      </c>
      <c r="B1919" s="289" t="s">
        <v>10542</v>
      </c>
      <c r="C1919" s="288" t="s">
        <v>54</v>
      </c>
      <c r="D1919" s="303">
        <v>3.58</v>
      </c>
    </row>
    <row r="1920" spans="1:4" ht="18">
      <c r="A1920" s="288" t="s">
        <v>10543</v>
      </c>
      <c r="B1920" s="289" t="s">
        <v>10544</v>
      </c>
      <c r="C1920" s="288" t="s">
        <v>54</v>
      </c>
      <c r="D1920" s="303">
        <v>31.8</v>
      </c>
    </row>
    <row r="1921" spans="1:4">
      <c r="A1921" s="288" t="s">
        <v>10545</v>
      </c>
      <c r="B1921" s="289" t="s">
        <v>10546</v>
      </c>
      <c r="C1921" s="288" t="s">
        <v>54</v>
      </c>
      <c r="D1921" s="303">
        <v>16.29</v>
      </c>
    </row>
    <row r="1922" spans="1:4">
      <c r="A1922" s="288" t="s">
        <v>10547</v>
      </c>
      <c r="B1922" s="289" t="s">
        <v>10548</v>
      </c>
      <c r="C1922" s="288" t="s">
        <v>54</v>
      </c>
      <c r="D1922" s="303">
        <v>45.6</v>
      </c>
    </row>
    <row r="1923" spans="1:4">
      <c r="A1923" s="287" t="s">
        <v>10549</v>
      </c>
      <c r="B1923" s="287"/>
      <c r="C1923" s="287"/>
      <c r="D1923" s="296" t="s">
        <v>28729</v>
      </c>
    </row>
    <row r="1924" spans="1:4" ht="27">
      <c r="A1924" s="288" t="s">
        <v>10550</v>
      </c>
      <c r="B1924" s="289" t="s">
        <v>10551</v>
      </c>
      <c r="C1924" s="288" t="s">
        <v>54</v>
      </c>
      <c r="D1924" s="303">
        <v>91.62</v>
      </c>
    </row>
    <row r="1925" spans="1:4" ht="18">
      <c r="A1925" s="288" t="s">
        <v>10552</v>
      </c>
      <c r="B1925" s="289" t="s">
        <v>10553</v>
      </c>
      <c r="C1925" s="288" t="s">
        <v>54</v>
      </c>
      <c r="D1925" s="303">
        <v>229.55</v>
      </c>
    </row>
    <row r="1926" spans="1:4" ht="27">
      <c r="A1926" s="288" t="s">
        <v>10554</v>
      </c>
      <c r="B1926" s="289" t="s">
        <v>10555</v>
      </c>
      <c r="C1926" s="288" t="s">
        <v>54</v>
      </c>
      <c r="D1926" s="303">
        <v>100.99</v>
      </c>
    </row>
    <row r="1927" spans="1:4" ht="27">
      <c r="A1927" s="288" t="s">
        <v>10556</v>
      </c>
      <c r="B1927" s="289" t="s">
        <v>10557</v>
      </c>
      <c r="C1927" s="288" t="s">
        <v>54</v>
      </c>
      <c r="D1927" s="303">
        <v>176.25</v>
      </c>
    </row>
    <row r="1928" spans="1:4" ht="27">
      <c r="A1928" s="288" t="s">
        <v>10558</v>
      </c>
      <c r="B1928" s="289" t="s">
        <v>10559</v>
      </c>
      <c r="C1928" s="288" t="s">
        <v>54</v>
      </c>
      <c r="D1928" s="303">
        <v>114.84</v>
      </c>
    </row>
    <row r="1929" spans="1:4" ht="18">
      <c r="A1929" s="288" t="s">
        <v>10560</v>
      </c>
      <c r="B1929" s="289" t="s">
        <v>10561</v>
      </c>
      <c r="C1929" s="288" t="s">
        <v>54</v>
      </c>
      <c r="D1929" s="303">
        <v>204.55</v>
      </c>
    </row>
    <row r="1930" spans="1:4" ht="27">
      <c r="A1930" s="288" t="s">
        <v>10562</v>
      </c>
      <c r="B1930" s="289" t="s">
        <v>10563</v>
      </c>
      <c r="C1930" s="288" t="s">
        <v>54</v>
      </c>
      <c r="D1930" s="303">
        <v>200.13</v>
      </c>
    </row>
    <row r="1931" spans="1:4">
      <c r="A1931" s="287" t="s">
        <v>10564</v>
      </c>
      <c r="B1931" s="287"/>
      <c r="C1931" s="287"/>
      <c r="D1931" s="296" t="s">
        <v>28729</v>
      </c>
    </row>
    <row r="1932" spans="1:4" ht="72">
      <c r="A1932" s="288" t="s">
        <v>10565</v>
      </c>
      <c r="B1932" s="289" t="s">
        <v>10566</v>
      </c>
      <c r="C1932" s="288" t="s">
        <v>7079</v>
      </c>
      <c r="D1932" s="303">
        <v>2804.5</v>
      </c>
    </row>
    <row r="1933" spans="1:4" ht="18">
      <c r="A1933" s="288" t="s">
        <v>10567</v>
      </c>
      <c r="B1933" s="289" t="s">
        <v>10568</v>
      </c>
      <c r="C1933" s="288" t="s">
        <v>38</v>
      </c>
      <c r="D1933" s="303">
        <v>229.76</v>
      </c>
    </row>
    <row r="1934" spans="1:4" ht="18">
      <c r="A1934" s="288" t="s">
        <v>10569</v>
      </c>
      <c r="B1934" s="289" t="s">
        <v>10570</v>
      </c>
      <c r="C1934" s="288" t="s">
        <v>7079</v>
      </c>
      <c r="D1934" s="303">
        <v>1438.41</v>
      </c>
    </row>
    <row r="1935" spans="1:4">
      <c r="A1935" s="287" t="s">
        <v>10571</v>
      </c>
      <c r="B1935" s="287"/>
      <c r="C1935" s="287"/>
      <c r="D1935" s="296" t="s">
        <v>28729</v>
      </c>
    </row>
    <row r="1936" spans="1:4" ht="18">
      <c r="A1936" s="288" t="s">
        <v>10572</v>
      </c>
      <c r="B1936" s="289" t="s">
        <v>10573</v>
      </c>
      <c r="C1936" s="288" t="s">
        <v>7079</v>
      </c>
      <c r="D1936" s="303">
        <v>1065</v>
      </c>
    </row>
    <row r="1937" spans="1:4" ht="18">
      <c r="A1937" s="288" t="s">
        <v>10574</v>
      </c>
      <c r="B1937" s="289" t="s">
        <v>10575</v>
      </c>
      <c r="C1937" s="288" t="s">
        <v>54</v>
      </c>
      <c r="D1937" s="303">
        <v>53.12</v>
      </c>
    </row>
    <row r="1938" spans="1:4" ht="18">
      <c r="A1938" s="288" t="s">
        <v>10576</v>
      </c>
      <c r="B1938" s="289" t="s">
        <v>10577</v>
      </c>
      <c r="C1938" s="288" t="s">
        <v>38</v>
      </c>
      <c r="D1938" s="303">
        <v>213.69</v>
      </c>
    </row>
    <row r="1939" spans="1:4" ht="18">
      <c r="A1939" s="288" t="s">
        <v>10578</v>
      </c>
      <c r="B1939" s="289" t="s">
        <v>10579</v>
      </c>
      <c r="C1939" s="288" t="s">
        <v>38</v>
      </c>
      <c r="D1939" s="303">
        <v>341.24</v>
      </c>
    </row>
    <row r="1940" spans="1:4" ht="27">
      <c r="A1940" s="288" t="s">
        <v>10580</v>
      </c>
      <c r="B1940" s="289" t="s">
        <v>10581</v>
      </c>
      <c r="C1940" s="288" t="s">
        <v>38</v>
      </c>
      <c r="D1940" s="303">
        <v>169.07</v>
      </c>
    </row>
    <row r="1941" spans="1:4" ht="36">
      <c r="A1941" s="288" t="s">
        <v>10582</v>
      </c>
      <c r="B1941" s="289" t="s">
        <v>10583</v>
      </c>
      <c r="C1941" s="288" t="s">
        <v>10306</v>
      </c>
      <c r="D1941" s="303">
        <v>1708.38</v>
      </c>
    </row>
    <row r="1942" spans="1:4" ht="18">
      <c r="A1942" s="288" t="s">
        <v>10584</v>
      </c>
      <c r="B1942" s="289" t="s">
        <v>10585</v>
      </c>
      <c r="C1942" s="288" t="s">
        <v>54</v>
      </c>
      <c r="D1942" s="303">
        <v>92.04</v>
      </c>
    </row>
    <row r="1943" spans="1:4" ht="36">
      <c r="A1943" s="288" t="s">
        <v>10586</v>
      </c>
      <c r="B1943" s="289" t="s">
        <v>10587</v>
      </c>
      <c r="C1943" s="288" t="s">
        <v>38</v>
      </c>
      <c r="D1943" s="303">
        <v>1846.14</v>
      </c>
    </row>
    <row r="1944" spans="1:4" ht="27">
      <c r="A1944" s="288" t="s">
        <v>10588</v>
      </c>
      <c r="B1944" s="289" t="s">
        <v>10589</v>
      </c>
      <c r="C1944" s="288" t="s">
        <v>38</v>
      </c>
      <c r="D1944" s="303">
        <v>534.13</v>
      </c>
    </row>
    <row r="1945" spans="1:4" ht="27">
      <c r="A1945" s="288" t="s">
        <v>10590</v>
      </c>
      <c r="B1945" s="289" t="s">
        <v>10591</v>
      </c>
      <c r="C1945" s="288" t="s">
        <v>38</v>
      </c>
      <c r="D1945" s="303">
        <v>2120.2399999999998</v>
      </c>
    </row>
    <row r="1946" spans="1:4" ht="27">
      <c r="A1946" s="288" t="s">
        <v>10592</v>
      </c>
      <c r="B1946" s="289" t="s">
        <v>10593</v>
      </c>
      <c r="C1946" s="288" t="s">
        <v>38</v>
      </c>
      <c r="D1946" s="303">
        <v>168.63</v>
      </c>
    </row>
    <row r="1947" spans="1:4" ht="18">
      <c r="A1947" s="288" t="s">
        <v>10594</v>
      </c>
      <c r="B1947" s="289" t="s">
        <v>10595</v>
      </c>
      <c r="C1947" s="288" t="s">
        <v>54</v>
      </c>
      <c r="D1947" s="303">
        <v>351.33</v>
      </c>
    </row>
    <row r="1948" spans="1:4" ht="18">
      <c r="A1948" s="288" t="s">
        <v>10596</v>
      </c>
      <c r="B1948" s="289" t="s">
        <v>10597</v>
      </c>
      <c r="C1948" s="288" t="s">
        <v>54</v>
      </c>
      <c r="D1948" s="303">
        <v>40.9</v>
      </c>
    </row>
    <row r="1949" spans="1:4" ht="36">
      <c r="A1949" s="288" t="s">
        <v>10598</v>
      </c>
      <c r="B1949" s="289" t="s">
        <v>10599</v>
      </c>
      <c r="C1949" s="288" t="s">
        <v>54</v>
      </c>
      <c r="D1949" s="303">
        <v>168.47</v>
      </c>
    </row>
    <row r="1950" spans="1:4" ht="18">
      <c r="A1950" s="288" t="s">
        <v>10600</v>
      </c>
      <c r="B1950" s="289" t="s">
        <v>10601</v>
      </c>
      <c r="C1950" s="288" t="s">
        <v>7079</v>
      </c>
      <c r="D1950" s="303">
        <v>262.99</v>
      </c>
    </row>
    <row r="1951" spans="1:4" ht="27">
      <c r="A1951" s="288" t="s">
        <v>10602</v>
      </c>
      <c r="B1951" s="289" t="s">
        <v>10603</v>
      </c>
      <c r="C1951" s="288" t="s">
        <v>7079</v>
      </c>
      <c r="D1951" s="303">
        <v>10767.9</v>
      </c>
    </row>
    <row r="1952" spans="1:4" ht="27">
      <c r="A1952" s="288" t="s">
        <v>10604</v>
      </c>
      <c r="B1952" s="289" t="s">
        <v>10605</v>
      </c>
      <c r="C1952" s="288" t="s">
        <v>7079</v>
      </c>
      <c r="D1952" s="303">
        <v>88549</v>
      </c>
    </row>
    <row r="1953" spans="1:4" ht="27">
      <c r="A1953" s="288" t="s">
        <v>10606</v>
      </c>
      <c r="B1953" s="289" t="s">
        <v>10607</v>
      </c>
      <c r="C1953" s="288" t="s">
        <v>7079</v>
      </c>
      <c r="D1953" s="303">
        <v>102193</v>
      </c>
    </row>
    <row r="1954" spans="1:4">
      <c r="A1954" s="287"/>
      <c r="B1954" s="287"/>
      <c r="C1954" s="287"/>
      <c r="D1954" s="296" t="s">
        <v>28729</v>
      </c>
    </row>
    <row r="1955" spans="1:4">
      <c r="A1955" s="287" t="s">
        <v>10608</v>
      </c>
      <c r="B1955" s="287"/>
      <c r="C1955" s="287"/>
      <c r="D1955" s="296" t="s">
        <v>28729</v>
      </c>
    </row>
    <row r="1956" spans="1:4" ht="27">
      <c r="A1956" s="288" t="s">
        <v>10609</v>
      </c>
      <c r="B1956" s="289" t="s">
        <v>10610</v>
      </c>
      <c r="C1956" s="288" t="s">
        <v>38</v>
      </c>
      <c r="D1956" s="303">
        <v>1539.69</v>
      </c>
    </row>
    <row r="1957" spans="1:4" ht="27">
      <c r="A1957" s="288" t="s">
        <v>10611</v>
      </c>
      <c r="B1957" s="289" t="s">
        <v>10612</v>
      </c>
      <c r="C1957" s="288" t="s">
        <v>38</v>
      </c>
      <c r="D1957" s="303">
        <v>697.81</v>
      </c>
    </row>
    <row r="1958" spans="1:4" ht="18">
      <c r="A1958" s="288" t="s">
        <v>10613</v>
      </c>
      <c r="B1958" s="289" t="s">
        <v>10614</v>
      </c>
      <c r="C1958" s="288" t="s">
        <v>38</v>
      </c>
      <c r="D1958" s="303">
        <v>1386</v>
      </c>
    </row>
    <row r="1959" spans="1:4" ht="18">
      <c r="A1959" s="288" t="s">
        <v>10615</v>
      </c>
      <c r="B1959" s="289" t="s">
        <v>10616</v>
      </c>
      <c r="C1959" s="288" t="s">
        <v>38</v>
      </c>
      <c r="D1959" s="303">
        <v>769.03</v>
      </c>
    </row>
    <row r="1960" spans="1:4">
      <c r="A1960" s="287" t="s">
        <v>10617</v>
      </c>
      <c r="B1960" s="287"/>
      <c r="C1960" s="287"/>
      <c r="D1960" s="296" t="s">
        <v>28729</v>
      </c>
    </row>
    <row r="1961" spans="1:4" ht="27">
      <c r="A1961" s="288" t="s">
        <v>10618</v>
      </c>
      <c r="B1961" s="289" t="s">
        <v>10619</v>
      </c>
      <c r="C1961" s="288" t="s">
        <v>38</v>
      </c>
      <c r="D1961" s="303">
        <v>685.82</v>
      </c>
    </row>
    <row r="1962" spans="1:4" ht="27">
      <c r="A1962" s="288" t="s">
        <v>10620</v>
      </c>
      <c r="B1962" s="289" t="s">
        <v>10621</v>
      </c>
      <c r="C1962" s="288" t="s">
        <v>38</v>
      </c>
      <c r="D1962" s="303">
        <v>742.11</v>
      </c>
    </row>
    <row r="1963" spans="1:4" ht="27">
      <c r="A1963" s="288" t="s">
        <v>10622</v>
      </c>
      <c r="B1963" s="289" t="s">
        <v>10623</v>
      </c>
      <c r="C1963" s="288" t="s">
        <v>38</v>
      </c>
      <c r="D1963" s="303">
        <v>734.89</v>
      </c>
    </row>
    <row r="1964" spans="1:4" ht="27">
      <c r="A1964" s="288" t="s">
        <v>10624</v>
      </c>
      <c r="B1964" s="289" t="s">
        <v>10625</v>
      </c>
      <c r="C1964" s="288" t="s">
        <v>38</v>
      </c>
      <c r="D1964" s="303">
        <v>597.53</v>
      </c>
    </row>
    <row r="1965" spans="1:4" ht="18">
      <c r="A1965" s="288" t="s">
        <v>10626</v>
      </c>
      <c r="B1965" s="289" t="s">
        <v>10627</v>
      </c>
      <c r="C1965" s="288" t="s">
        <v>38</v>
      </c>
      <c r="D1965" s="303">
        <v>376.36</v>
      </c>
    </row>
    <row r="1966" spans="1:4" ht="18">
      <c r="A1966" s="288" t="s">
        <v>10628</v>
      </c>
      <c r="B1966" s="289" t="s">
        <v>10629</v>
      </c>
      <c r="C1966" s="288" t="s">
        <v>38</v>
      </c>
      <c r="D1966" s="303">
        <v>294.55</v>
      </c>
    </row>
    <row r="1967" spans="1:4" ht="27">
      <c r="A1967" s="288" t="s">
        <v>10630</v>
      </c>
      <c r="B1967" s="289" t="s">
        <v>10631</v>
      </c>
      <c r="C1967" s="288" t="s">
        <v>38</v>
      </c>
      <c r="D1967" s="303">
        <v>247.1</v>
      </c>
    </row>
    <row r="1968" spans="1:4" ht="18">
      <c r="A1968" s="288" t="s">
        <v>10632</v>
      </c>
      <c r="B1968" s="289" t="s">
        <v>10633</v>
      </c>
      <c r="C1968" s="288" t="s">
        <v>38</v>
      </c>
      <c r="D1968" s="303">
        <v>277.23</v>
      </c>
    </row>
    <row r="1969" spans="1:4" ht="18">
      <c r="A1969" s="288" t="s">
        <v>10634</v>
      </c>
      <c r="B1969" s="289" t="s">
        <v>10635</v>
      </c>
      <c r="C1969" s="288" t="s">
        <v>38</v>
      </c>
      <c r="D1969" s="303">
        <v>314.69</v>
      </c>
    </row>
    <row r="1970" spans="1:4" ht="18">
      <c r="A1970" s="288" t="s">
        <v>10636</v>
      </c>
      <c r="B1970" s="289" t="s">
        <v>10637</v>
      </c>
      <c r="C1970" s="288" t="s">
        <v>38</v>
      </c>
      <c r="D1970" s="303">
        <v>440.78</v>
      </c>
    </row>
    <row r="1971" spans="1:4" ht="27">
      <c r="A1971" s="288" t="s">
        <v>10638</v>
      </c>
      <c r="B1971" s="289" t="s">
        <v>10639</v>
      </c>
      <c r="C1971" s="288" t="s">
        <v>38</v>
      </c>
      <c r="D1971" s="303">
        <v>247.1</v>
      </c>
    </row>
    <row r="1972" spans="1:4" ht="36">
      <c r="A1972" s="288" t="s">
        <v>10640</v>
      </c>
      <c r="B1972" s="289" t="s">
        <v>10641</v>
      </c>
      <c r="C1972" s="288" t="s">
        <v>7079</v>
      </c>
      <c r="D1972" s="303">
        <v>1011.48</v>
      </c>
    </row>
    <row r="1973" spans="1:4" ht="36">
      <c r="A1973" s="288" t="s">
        <v>10642</v>
      </c>
      <c r="B1973" s="289" t="s">
        <v>10643</v>
      </c>
      <c r="C1973" s="288" t="s">
        <v>7079</v>
      </c>
      <c r="D1973" s="303">
        <v>910.81</v>
      </c>
    </row>
    <row r="1974" spans="1:4" ht="36">
      <c r="A1974" s="288" t="s">
        <v>10644</v>
      </c>
      <c r="B1974" s="289" t="s">
        <v>10645</v>
      </c>
      <c r="C1974" s="288" t="s">
        <v>7079</v>
      </c>
      <c r="D1974" s="303">
        <v>2384.7600000000002</v>
      </c>
    </row>
    <row r="1975" spans="1:4" ht="36">
      <c r="A1975" s="288" t="s">
        <v>10646</v>
      </c>
      <c r="B1975" s="289" t="s">
        <v>10647</v>
      </c>
      <c r="C1975" s="288" t="s">
        <v>7079</v>
      </c>
      <c r="D1975" s="303">
        <v>2990.15</v>
      </c>
    </row>
    <row r="1976" spans="1:4">
      <c r="A1976" s="287" t="s">
        <v>10648</v>
      </c>
      <c r="B1976" s="287"/>
      <c r="C1976" s="287"/>
      <c r="D1976" s="296" t="s">
        <v>28729</v>
      </c>
    </row>
    <row r="1977" spans="1:4" ht="18">
      <c r="A1977" s="288" t="s">
        <v>10649</v>
      </c>
      <c r="B1977" s="289" t="s">
        <v>10650</v>
      </c>
      <c r="C1977" s="288" t="s">
        <v>38</v>
      </c>
      <c r="D1977" s="303">
        <v>85.35</v>
      </c>
    </row>
    <row r="1978" spans="1:4" ht="18">
      <c r="A1978" s="288" t="s">
        <v>10651</v>
      </c>
      <c r="B1978" s="289" t="s">
        <v>10652</v>
      </c>
      <c r="C1978" s="288" t="s">
        <v>38</v>
      </c>
      <c r="D1978" s="303">
        <v>1940.66</v>
      </c>
    </row>
    <row r="1979" spans="1:4" ht="18">
      <c r="A1979" s="288" t="s">
        <v>10653</v>
      </c>
      <c r="B1979" s="289" t="s">
        <v>10654</v>
      </c>
      <c r="C1979" s="288" t="s">
        <v>7079</v>
      </c>
      <c r="D1979" s="303">
        <v>635.54999999999995</v>
      </c>
    </row>
    <row r="1980" spans="1:4" ht="27">
      <c r="A1980" s="288" t="s">
        <v>10655</v>
      </c>
      <c r="B1980" s="289" t="s">
        <v>10656</v>
      </c>
      <c r="C1980" s="288" t="s">
        <v>54</v>
      </c>
      <c r="D1980" s="303">
        <v>49.49</v>
      </c>
    </row>
    <row r="1981" spans="1:4">
      <c r="A1981" s="287"/>
      <c r="B1981" s="287"/>
      <c r="C1981" s="287"/>
      <c r="D1981" s="296" t="s">
        <v>28729</v>
      </c>
    </row>
    <row r="1982" spans="1:4" ht="18">
      <c r="A1982" s="287" t="s">
        <v>10657</v>
      </c>
      <c r="B1982" s="287"/>
      <c r="C1982" s="287"/>
      <c r="D1982" s="296" t="s">
        <v>28729</v>
      </c>
    </row>
    <row r="1983" spans="1:4" ht="54">
      <c r="A1983" s="288" t="s">
        <v>10658</v>
      </c>
      <c r="B1983" s="289" t="s">
        <v>10659</v>
      </c>
      <c r="C1983" s="288" t="s">
        <v>7079</v>
      </c>
      <c r="D1983" s="303">
        <v>2492.62</v>
      </c>
    </row>
    <row r="1984" spans="1:4" ht="27">
      <c r="A1984" s="288" t="s">
        <v>10660</v>
      </c>
      <c r="B1984" s="289" t="s">
        <v>10661</v>
      </c>
      <c r="C1984" s="288" t="s">
        <v>7079</v>
      </c>
      <c r="D1984" s="303">
        <v>434.21</v>
      </c>
    </row>
    <row r="1985" spans="1:4" ht="36">
      <c r="A1985" s="288" t="s">
        <v>10662</v>
      </c>
      <c r="B1985" s="289" t="s">
        <v>10663</v>
      </c>
      <c r="C1985" s="288" t="s">
        <v>7079</v>
      </c>
      <c r="D1985" s="303">
        <v>473.77</v>
      </c>
    </row>
    <row r="1986" spans="1:4" ht="36">
      <c r="A1986" s="288" t="s">
        <v>10664</v>
      </c>
      <c r="B1986" s="289" t="s">
        <v>10665</v>
      </c>
      <c r="C1986" s="288" t="s">
        <v>7079</v>
      </c>
      <c r="D1986" s="303">
        <v>466.87</v>
      </c>
    </row>
    <row r="1987" spans="1:4" ht="36">
      <c r="A1987" s="288" t="s">
        <v>10666</v>
      </c>
      <c r="B1987" s="289" t="s">
        <v>10667</v>
      </c>
      <c r="C1987" s="288" t="s">
        <v>7079</v>
      </c>
      <c r="D1987" s="303">
        <v>569.62</v>
      </c>
    </row>
    <row r="1988" spans="1:4" ht="36">
      <c r="A1988" s="288" t="s">
        <v>10668</v>
      </c>
      <c r="B1988" s="289" t="s">
        <v>10669</v>
      </c>
      <c r="C1988" s="288" t="s">
        <v>7079</v>
      </c>
      <c r="D1988" s="303">
        <v>946.1</v>
      </c>
    </row>
    <row r="1989" spans="1:4" ht="36">
      <c r="A1989" s="288" t="s">
        <v>10670</v>
      </c>
      <c r="B1989" s="289" t="s">
        <v>10671</v>
      </c>
      <c r="C1989" s="288" t="s">
        <v>7079</v>
      </c>
      <c r="D1989" s="303">
        <v>1064.5899999999999</v>
      </c>
    </row>
    <row r="1990" spans="1:4" ht="27">
      <c r="A1990" s="288" t="s">
        <v>10672</v>
      </c>
      <c r="B1990" s="289" t="s">
        <v>10673</v>
      </c>
      <c r="C1990" s="288" t="s">
        <v>7079</v>
      </c>
      <c r="D1990" s="303">
        <v>484.99</v>
      </c>
    </row>
    <row r="1991" spans="1:4" ht="27">
      <c r="A1991" s="288" t="s">
        <v>10674</v>
      </c>
      <c r="B1991" s="289" t="s">
        <v>10675</v>
      </c>
      <c r="C1991" s="288" t="s">
        <v>7079</v>
      </c>
      <c r="D1991" s="303">
        <v>434.17</v>
      </c>
    </row>
    <row r="1992" spans="1:4" ht="18">
      <c r="A1992" s="287" t="s">
        <v>10676</v>
      </c>
      <c r="B1992" s="287"/>
      <c r="C1992" s="287"/>
      <c r="D1992" s="296" t="s">
        <v>28729</v>
      </c>
    </row>
    <row r="1993" spans="1:4" ht="36">
      <c r="A1993" s="288" t="s">
        <v>10677</v>
      </c>
      <c r="B1993" s="289" t="s">
        <v>10678</v>
      </c>
      <c r="C1993" s="288" t="s">
        <v>7079</v>
      </c>
      <c r="D1993" s="303">
        <v>128.43</v>
      </c>
    </row>
    <row r="1994" spans="1:4" ht="36">
      <c r="A1994" s="288" t="s">
        <v>10679</v>
      </c>
      <c r="B1994" s="289" t="s">
        <v>10680</v>
      </c>
      <c r="C1994" s="288" t="s">
        <v>7079</v>
      </c>
      <c r="D1994" s="303">
        <v>155.55000000000001</v>
      </c>
    </row>
    <row r="1995" spans="1:4" ht="36">
      <c r="A1995" s="288" t="s">
        <v>10681</v>
      </c>
      <c r="B1995" s="289" t="s">
        <v>10682</v>
      </c>
      <c r="C1995" s="288" t="s">
        <v>7079</v>
      </c>
      <c r="D1995" s="303">
        <v>175.98</v>
      </c>
    </row>
    <row r="1996" spans="1:4" ht="36">
      <c r="A1996" s="288" t="s">
        <v>10683</v>
      </c>
      <c r="B1996" s="289" t="s">
        <v>10684</v>
      </c>
      <c r="C1996" s="288" t="s">
        <v>7079</v>
      </c>
      <c r="D1996" s="303">
        <v>198.34</v>
      </c>
    </row>
    <row r="1997" spans="1:4" ht="36">
      <c r="A1997" s="288" t="s">
        <v>10685</v>
      </c>
      <c r="B1997" s="289" t="s">
        <v>10686</v>
      </c>
      <c r="C1997" s="288" t="s">
        <v>7079</v>
      </c>
      <c r="D1997" s="303">
        <v>211.61</v>
      </c>
    </row>
    <row r="1998" spans="1:4" ht="36">
      <c r="A1998" s="288" t="s">
        <v>10687</v>
      </c>
      <c r="B1998" s="289" t="s">
        <v>10688</v>
      </c>
      <c r="C1998" s="288" t="s">
        <v>7079</v>
      </c>
      <c r="D1998" s="303">
        <v>279.98</v>
      </c>
    </row>
    <row r="1999" spans="1:4" ht="36">
      <c r="A1999" s="288" t="s">
        <v>10689</v>
      </c>
      <c r="B1999" s="289" t="s">
        <v>10690</v>
      </c>
      <c r="C1999" s="288" t="s">
        <v>7079</v>
      </c>
      <c r="D1999" s="303">
        <v>186.36</v>
      </c>
    </row>
    <row r="2000" spans="1:4" ht="36">
      <c r="A2000" s="288" t="s">
        <v>10691</v>
      </c>
      <c r="B2000" s="289" t="s">
        <v>10692</v>
      </c>
      <c r="C2000" s="288" t="s">
        <v>7079</v>
      </c>
      <c r="D2000" s="303">
        <v>240.25</v>
      </c>
    </row>
    <row r="2001" spans="1:4" ht="36">
      <c r="A2001" s="288" t="s">
        <v>10693</v>
      </c>
      <c r="B2001" s="289" t="s">
        <v>10694</v>
      </c>
      <c r="C2001" s="288" t="s">
        <v>7079</v>
      </c>
      <c r="D2001" s="303">
        <v>231.47</v>
      </c>
    </row>
    <row r="2002" spans="1:4" ht="36">
      <c r="A2002" s="288" t="s">
        <v>10695</v>
      </c>
      <c r="B2002" s="289" t="s">
        <v>10696</v>
      </c>
      <c r="C2002" s="288" t="s">
        <v>7079</v>
      </c>
      <c r="D2002" s="303">
        <v>208.6</v>
      </c>
    </row>
    <row r="2003" spans="1:4" ht="36">
      <c r="A2003" s="288" t="s">
        <v>10697</v>
      </c>
      <c r="B2003" s="289" t="s">
        <v>10698</v>
      </c>
      <c r="C2003" s="288" t="s">
        <v>7079</v>
      </c>
      <c r="D2003" s="303">
        <v>303.97000000000003</v>
      </c>
    </row>
    <row r="2004" spans="1:4" ht="36">
      <c r="A2004" s="288" t="s">
        <v>10699</v>
      </c>
      <c r="B2004" s="289" t="s">
        <v>10700</v>
      </c>
      <c r="C2004" s="288" t="s">
        <v>7079</v>
      </c>
      <c r="D2004" s="303">
        <v>347.43</v>
      </c>
    </row>
    <row r="2005" spans="1:4" ht="36">
      <c r="A2005" s="288" t="s">
        <v>10701</v>
      </c>
      <c r="B2005" s="289" t="s">
        <v>10702</v>
      </c>
      <c r="C2005" s="288" t="s">
        <v>7079</v>
      </c>
      <c r="D2005" s="303">
        <v>402.28</v>
      </c>
    </row>
    <row r="2006" spans="1:4" ht="36">
      <c r="A2006" s="288" t="s">
        <v>10703</v>
      </c>
      <c r="B2006" s="289" t="s">
        <v>10704</v>
      </c>
      <c r="C2006" s="288" t="s">
        <v>7079</v>
      </c>
      <c r="D2006" s="303">
        <v>403.91</v>
      </c>
    </row>
    <row r="2007" spans="1:4" ht="36">
      <c r="A2007" s="288" t="s">
        <v>10705</v>
      </c>
      <c r="B2007" s="289" t="s">
        <v>10706</v>
      </c>
      <c r="C2007" s="288" t="s">
        <v>7079</v>
      </c>
      <c r="D2007" s="303">
        <v>619.79</v>
      </c>
    </row>
    <row r="2008" spans="1:4" ht="36">
      <c r="A2008" s="288" t="s">
        <v>10707</v>
      </c>
      <c r="B2008" s="289" t="s">
        <v>10708</v>
      </c>
      <c r="C2008" s="288" t="s">
        <v>7079</v>
      </c>
      <c r="D2008" s="303">
        <v>477.39</v>
      </c>
    </row>
    <row r="2009" spans="1:4" ht="36">
      <c r="A2009" s="288" t="s">
        <v>10709</v>
      </c>
      <c r="B2009" s="289" t="s">
        <v>10710</v>
      </c>
      <c r="C2009" s="288" t="s">
        <v>7079</v>
      </c>
      <c r="D2009" s="303">
        <v>154.88999999999999</v>
      </c>
    </row>
    <row r="2010" spans="1:4" ht="36">
      <c r="A2010" s="288" t="s">
        <v>10711</v>
      </c>
      <c r="B2010" s="289" t="s">
        <v>10712</v>
      </c>
      <c r="C2010" s="288" t="s">
        <v>7079</v>
      </c>
      <c r="D2010" s="303">
        <v>252.49</v>
      </c>
    </row>
    <row r="2011" spans="1:4" ht="36">
      <c r="A2011" s="288" t="s">
        <v>10713</v>
      </c>
      <c r="B2011" s="289" t="s">
        <v>10714</v>
      </c>
      <c r="C2011" s="288" t="s">
        <v>7079</v>
      </c>
      <c r="D2011" s="303">
        <v>304.77999999999997</v>
      </c>
    </row>
    <row r="2012" spans="1:4" ht="36">
      <c r="A2012" s="288" t="s">
        <v>10715</v>
      </c>
      <c r="B2012" s="289" t="s">
        <v>10716</v>
      </c>
      <c r="C2012" s="288" t="s">
        <v>7079</v>
      </c>
      <c r="D2012" s="303">
        <v>302.61</v>
      </c>
    </row>
    <row r="2013" spans="1:4" ht="36">
      <c r="A2013" s="288" t="s">
        <v>10717</v>
      </c>
      <c r="B2013" s="289" t="s">
        <v>10718</v>
      </c>
      <c r="C2013" s="288" t="s">
        <v>7079</v>
      </c>
      <c r="D2013" s="303">
        <v>412.93</v>
      </c>
    </row>
    <row r="2014" spans="1:4" ht="45">
      <c r="A2014" s="288" t="s">
        <v>10719</v>
      </c>
      <c r="B2014" s="289" t="s">
        <v>10720</v>
      </c>
      <c r="C2014" s="288" t="s">
        <v>7079</v>
      </c>
      <c r="D2014" s="303">
        <v>441.16</v>
      </c>
    </row>
    <row r="2015" spans="1:4" ht="36">
      <c r="A2015" s="288" t="s">
        <v>10721</v>
      </c>
      <c r="B2015" s="289" t="s">
        <v>10722</v>
      </c>
      <c r="C2015" s="288" t="s">
        <v>7079</v>
      </c>
      <c r="D2015" s="303">
        <v>481.22</v>
      </c>
    </row>
    <row r="2016" spans="1:4" ht="36">
      <c r="A2016" s="288" t="s">
        <v>10723</v>
      </c>
      <c r="B2016" s="289" t="s">
        <v>10724</v>
      </c>
      <c r="C2016" s="288" t="s">
        <v>7079</v>
      </c>
      <c r="D2016" s="303">
        <v>658.85</v>
      </c>
    </row>
    <row r="2017" spans="1:4" ht="36">
      <c r="A2017" s="288" t="s">
        <v>10725</v>
      </c>
      <c r="B2017" s="289" t="s">
        <v>10726</v>
      </c>
      <c r="C2017" s="288" t="s">
        <v>7079</v>
      </c>
      <c r="D2017" s="303">
        <v>464.58</v>
      </c>
    </row>
    <row r="2018" spans="1:4" ht="27">
      <c r="A2018" s="288" t="s">
        <v>10727</v>
      </c>
      <c r="B2018" s="289" t="s">
        <v>10728</v>
      </c>
      <c r="C2018" s="288" t="s">
        <v>7079</v>
      </c>
      <c r="D2018" s="303">
        <v>267.98</v>
      </c>
    </row>
    <row r="2019" spans="1:4" ht="27">
      <c r="A2019" s="288" t="s">
        <v>10729</v>
      </c>
      <c r="B2019" s="289" t="s">
        <v>10730</v>
      </c>
      <c r="C2019" s="288" t="s">
        <v>7079</v>
      </c>
      <c r="D2019" s="303">
        <v>382.51</v>
      </c>
    </row>
    <row r="2020" spans="1:4" ht="36">
      <c r="A2020" s="288" t="s">
        <v>10731</v>
      </c>
      <c r="B2020" s="289" t="s">
        <v>10732</v>
      </c>
      <c r="C2020" s="288" t="s">
        <v>7079</v>
      </c>
      <c r="D2020" s="303">
        <v>566.26</v>
      </c>
    </row>
    <row r="2021" spans="1:4" ht="27">
      <c r="A2021" s="288" t="s">
        <v>10733</v>
      </c>
      <c r="B2021" s="289" t="s">
        <v>10734</v>
      </c>
      <c r="C2021" s="288" t="s">
        <v>7079</v>
      </c>
      <c r="D2021" s="303">
        <v>601.49</v>
      </c>
    </row>
    <row r="2022" spans="1:4" ht="45">
      <c r="A2022" s="288" t="s">
        <v>10735</v>
      </c>
      <c r="B2022" s="289" t="s">
        <v>10736</v>
      </c>
      <c r="C2022" s="288" t="s">
        <v>7079</v>
      </c>
      <c r="D2022" s="303">
        <v>843.97</v>
      </c>
    </row>
    <row r="2023" spans="1:4" ht="36">
      <c r="A2023" s="288" t="s">
        <v>10737</v>
      </c>
      <c r="B2023" s="289" t="s">
        <v>10738</v>
      </c>
      <c r="C2023" s="288" t="s">
        <v>7079</v>
      </c>
      <c r="D2023" s="303">
        <v>787.22</v>
      </c>
    </row>
    <row r="2024" spans="1:4" ht="27">
      <c r="A2024" s="288" t="s">
        <v>10739</v>
      </c>
      <c r="B2024" s="289" t="s">
        <v>10740</v>
      </c>
      <c r="C2024" s="288" t="s">
        <v>7079</v>
      </c>
      <c r="D2024" s="303">
        <v>1369.48</v>
      </c>
    </row>
    <row r="2025" spans="1:4" ht="27">
      <c r="A2025" s="288" t="s">
        <v>10741</v>
      </c>
      <c r="B2025" s="289" t="s">
        <v>10742</v>
      </c>
      <c r="C2025" s="288" t="s">
        <v>7079</v>
      </c>
      <c r="D2025" s="303">
        <v>543.62</v>
      </c>
    </row>
    <row r="2026" spans="1:4" ht="45">
      <c r="A2026" s="288" t="s">
        <v>10743</v>
      </c>
      <c r="B2026" s="289" t="s">
        <v>10744</v>
      </c>
      <c r="C2026" s="288" t="s">
        <v>7079</v>
      </c>
      <c r="D2026" s="303">
        <v>671.72</v>
      </c>
    </row>
    <row r="2027" spans="1:4" ht="36">
      <c r="A2027" s="288" t="s">
        <v>10745</v>
      </c>
      <c r="B2027" s="289" t="s">
        <v>10746</v>
      </c>
      <c r="C2027" s="288" t="s">
        <v>7079</v>
      </c>
      <c r="D2027" s="303">
        <v>602.76</v>
      </c>
    </row>
    <row r="2028" spans="1:4">
      <c r="A2028" s="287"/>
      <c r="B2028" s="287"/>
      <c r="C2028" s="287"/>
      <c r="D2028" s="296" t="s">
        <v>28729</v>
      </c>
    </row>
    <row r="2029" spans="1:4">
      <c r="A2029" s="287" t="s">
        <v>10747</v>
      </c>
      <c r="B2029" s="287"/>
      <c r="C2029" s="287"/>
      <c r="D2029" s="296" t="s">
        <v>28729</v>
      </c>
    </row>
    <row r="2030" spans="1:4" ht="18">
      <c r="A2030" s="288" t="s">
        <v>10748</v>
      </c>
      <c r="B2030" s="289" t="s">
        <v>10749</v>
      </c>
      <c r="C2030" s="288" t="s">
        <v>7079</v>
      </c>
      <c r="D2030" s="303">
        <v>201.29</v>
      </c>
    </row>
    <row r="2031" spans="1:4" ht="18">
      <c r="A2031" s="288" t="s">
        <v>10750</v>
      </c>
      <c r="B2031" s="289" t="s">
        <v>10751</v>
      </c>
      <c r="C2031" s="288" t="s">
        <v>7079</v>
      </c>
      <c r="D2031" s="303">
        <v>221.52</v>
      </c>
    </row>
    <row r="2032" spans="1:4" ht="18">
      <c r="A2032" s="288" t="s">
        <v>10752</v>
      </c>
      <c r="B2032" s="289" t="s">
        <v>10753</v>
      </c>
      <c r="C2032" s="288" t="s">
        <v>7079</v>
      </c>
      <c r="D2032" s="303">
        <v>242.67</v>
      </c>
    </row>
    <row r="2033" spans="1:4" ht="18">
      <c r="A2033" s="288" t="s">
        <v>10754</v>
      </c>
      <c r="B2033" s="289" t="s">
        <v>10755</v>
      </c>
      <c r="C2033" s="288" t="s">
        <v>7079</v>
      </c>
      <c r="D2033" s="303">
        <v>159.72999999999999</v>
      </c>
    </row>
    <row r="2034" spans="1:4">
      <c r="A2034" s="287" t="s">
        <v>10756</v>
      </c>
      <c r="B2034" s="287"/>
      <c r="C2034" s="287"/>
      <c r="D2034" s="296" t="s">
        <v>28729</v>
      </c>
    </row>
    <row r="2035" spans="1:4">
      <c r="A2035" s="288" t="s">
        <v>10757</v>
      </c>
      <c r="B2035" s="289" t="s">
        <v>10758</v>
      </c>
      <c r="C2035" s="288" t="s">
        <v>38</v>
      </c>
      <c r="D2035" s="303">
        <v>264.88</v>
      </c>
    </row>
    <row r="2036" spans="1:4">
      <c r="A2036" s="287"/>
      <c r="B2036" s="287"/>
      <c r="C2036" s="287"/>
      <c r="D2036" s="296" t="s">
        <v>28729</v>
      </c>
    </row>
    <row r="2037" spans="1:4" ht="18">
      <c r="A2037" s="287" t="s">
        <v>26004</v>
      </c>
      <c r="B2037" s="287"/>
      <c r="C2037" s="287"/>
      <c r="D2037" s="296" t="s">
        <v>28729</v>
      </c>
    </row>
    <row r="2038" spans="1:4" ht="108">
      <c r="A2038" s="288" t="s">
        <v>26005</v>
      </c>
      <c r="B2038" s="289" t="s">
        <v>26006</v>
      </c>
      <c r="C2038" s="288" t="s">
        <v>54</v>
      </c>
      <c r="D2038" s="303">
        <v>1785.47</v>
      </c>
    </row>
    <row r="2039" spans="1:4" ht="18">
      <c r="A2039" s="287" t="s">
        <v>10759</v>
      </c>
      <c r="B2039" s="287"/>
      <c r="C2039" s="287"/>
      <c r="D2039" s="296" t="s">
        <v>28729</v>
      </c>
    </row>
    <row r="2040" spans="1:4" ht="45">
      <c r="A2040" s="288" t="s">
        <v>10760</v>
      </c>
      <c r="B2040" s="289" t="s">
        <v>10761</v>
      </c>
      <c r="C2040" s="288" t="s">
        <v>38</v>
      </c>
      <c r="D2040" s="303">
        <v>592.87</v>
      </c>
    </row>
    <row r="2041" spans="1:4">
      <c r="A2041" s="287"/>
      <c r="B2041" s="287"/>
      <c r="C2041" s="287"/>
      <c r="D2041" s="296" t="s">
        <v>28729</v>
      </c>
    </row>
    <row r="2042" spans="1:4">
      <c r="A2042" s="287" t="s">
        <v>10762</v>
      </c>
      <c r="B2042" s="287"/>
      <c r="C2042" s="287"/>
      <c r="D2042" s="296" t="s">
        <v>28729</v>
      </c>
    </row>
    <row r="2043" spans="1:4" ht="18">
      <c r="A2043" s="288" t="s">
        <v>10763</v>
      </c>
      <c r="B2043" s="289" t="s">
        <v>10764</v>
      </c>
      <c r="C2043" s="288" t="s">
        <v>7079</v>
      </c>
      <c r="D2043" s="303">
        <v>2896</v>
      </c>
    </row>
    <row r="2044" spans="1:4" ht="27">
      <c r="A2044" s="288" t="s">
        <v>10765</v>
      </c>
      <c r="B2044" s="289" t="s">
        <v>10766</v>
      </c>
      <c r="C2044" s="288" t="s">
        <v>10306</v>
      </c>
      <c r="D2044" s="303">
        <v>331.01</v>
      </c>
    </row>
    <row r="2045" spans="1:4" ht="27">
      <c r="A2045" s="288" t="s">
        <v>10767</v>
      </c>
      <c r="B2045" s="289" t="s">
        <v>10768</v>
      </c>
      <c r="C2045" s="288" t="s">
        <v>38</v>
      </c>
      <c r="D2045" s="303">
        <v>1133.73</v>
      </c>
    </row>
    <row r="2046" spans="1:4" ht="27">
      <c r="A2046" s="288" t="s">
        <v>10769</v>
      </c>
      <c r="B2046" s="289" t="s">
        <v>10770</v>
      </c>
      <c r="C2046" s="288" t="s">
        <v>38</v>
      </c>
      <c r="D2046" s="303">
        <v>1229.74</v>
      </c>
    </row>
    <row r="2047" spans="1:4" ht="72">
      <c r="A2047" s="288" t="s">
        <v>10771</v>
      </c>
      <c r="B2047" s="289" t="s">
        <v>10772</v>
      </c>
      <c r="C2047" s="288" t="s">
        <v>7079</v>
      </c>
      <c r="D2047" s="303">
        <v>4397</v>
      </c>
    </row>
    <row r="2048" spans="1:4" ht="36">
      <c r="A2048" s="288" t="s">
        <v>10773</v>
      </c>
      <c r="B2048" s="289" t="s">
        <v>10774</v>
      </c>
      <c r="C2048" s="288" t="s">
        <v>38</v>
      </c>
      <c r="D2048" s="303">
        <v>1977.91</v>
      </c>
    </row>
    <row r="2049" spans="1:4" ht="36">
      <c r="A2049" s="288" t="s">
        <v>10775</v>
      </c>
      <c r="B2049" s="289" t="s">
        <v>10776</v>
      </c>
      <c r="C2049" s="288" t="s">
        <v>38</v>
      </c>
      <c r="D2049" s="303">
        <v>1916</v>
      </c>
    </row>
    <row r="2050" spans="1:4" ht="36">
      <c r="A2050" s="288" t="s">
        <v>10777</v>
      </c>
      <c r="B2050" s="289" t="s">
        <v>10778</v>
      </c>
      <c r="C2050" s="288" t="s">
        <v>38</v>
      </c>
      <c r="D2050" s="303">
        <v>1847.73</v>
      </c>
    </row>
    <row r="2051" spans="1:4" ht="45">
      <c r="A2051" s="288" t="s">
        <v>10779</v>
      </c>
      <c r="B2051" s="289" t="s">
        <v>10780</v>
      </c>
      <c r="C2051" s="288" t="s">
        <v>54</v>
      </c>
      <c r="D2051" s="303">
        <v>101.23</v>
      </c>
    </row>
    <row r="2052" spans="1:4" ht="45">
      <c r="A2052" s="288" t="s">
        <v>10781</v>
      </c>
      <c r="B2052" s="289" t="s">
        <v>10782</v>
      </c>
      <c r="C2052" s="288" t="s">
        <v>54</v>
      </c>
      <c r="D2052" s="303">
        <v>264.89999999999998</v>
      </c>
    </row>
    <row r="2053" spans="1:4" ht="45">
      <c r="A2053" s="288" t="s">
        <v>10783</v>
      </c>
      <c r="B2053" s="289" t="s">
        <v>10784</v>
      </c>
      <c r="C2053" s="288" t="s">
        <v>54</v>
      </c>
      <c r="D2053" s="303">
        <v>287.89999999999998</v>
      </c>
    </row>
    <row r="2054" spans="1:4" ht="45">
      <c r="A2054" s="288" t="s">
        <v>10785</v>
      </c>
      <c r="B2054" s="289" t="s">
        <v>10786</v>
      </c>
      <c r="C2054" s="288" t="s">
        <v>54</v>
      </c>
      <c r="D2054" s="303">
        <v>493.4</v>
      </c>
    </row>
    <row r="2055" spans="1:4" ht="45">
      <c r="A2055" s="288" t="s">
        <v>10787</v>
      </c>
      <c r="B2055" s="289" t="s">
        <v>10788</v>
      </c>
      <c r="C2055" s="288" t="s">
        <v>54</v>
      </c>
      <c r="D2055" s="303">
        <v>395.9</v>
      </c>
    </row>
    <row r="2056" spans="1:4" ht="18">
      <c r="A2056" s="288" t="s">
        <v>10789</v>
      </c>
      <c r="B2056" s="289" t="s">
        <v>10790</v>
      </c>
      <c r="C2056" s="288" t="s">
        <v>7079</v>
      </c>
      <c r="D2056" s="303">
        <v>394.86</v>
      </c>
    </row>
    <row r="2057" spans="1:4">
      <c r="A2057" s="287"/>
      <c r="B2057" s="287"/>
      <c r="C2057" s="287"/>
      <c r="D2057" s="296" t="s">
        <v>28729</v>
      </c>
    </row>
    <row r="2058" spans="1:4" ht="18">
      <c r="A2058" s="287" t="s">
        <v>10791</v>
      </c>
      <c r="B2058" s="287"/>
      <c r="C2058" s="287"/>
      <c r="D2058" s="296" t="s">
        <v>28729</v>
      </c>
    </row>
    <row r="2059" spans="1:4" ht="54">
      <c r="A2059" s="288" t="s">
        <v>10792</v>
      </c>
      <c r="B2059" s="289" t="s">
        <v>10793</v>
      </c>
      <c r="C2059" s="288" t="s">
        <v>7079</v>
      </c>
      <c r="D2059" s="303">
        <v>184.31</v>
      </c>
    </row>
    <row r="2060" spans="1:4" ht="36">
      <c r="A2060" s="288" t="s">
        <v>10794</v>
      </c>
      <c r="B2060" s="289" t="s">
        <v>10795</v>
      </c>
      <c r="C2060" s="288" t="s">
        <v>7079</v>
      </c>
      <c r="D2060" s="303">
        <v>396.21</v>
      </c>
    </row>
    <row r="2061" spans="1:4" ht="36">
      <c r="A2061" s="288" t="s">
        <v>10796</v>
      </c>
      <c r="B2061" s="289" t="s">
        <v>10797</v>
      </c>
      <c r="C2061" s="288" t="s">
        <v>7079</v>
      </c>
      <c r="D2061" s="303">
        <v>52.36</v>
      </c>
    </row>
    <row r="2062" spans="1:4" ht="45">
      <c r="A2062" s="288" t="s">
        <v>10798</v>
      </c>
      <c r="B2062" s="289" t="s">
        <v>10799</v>
      </c>
      <c r="C2062" s="288" t="s">
        <v>7079</v>
      </c>
      <c r="D2062" s="303">
        <v>64.739999999999995</v>
      </c>
    </row>
    <row r="2063" spans="1:4" ht="45">
      <c r="A2063" s="288" t="s">
        <v>10800</v>
      </c>
      <c r="B2063" s="289" t="s">
        <v>10801</v>
      </c>
      <c r="C2063" s="288" t="s">
        <v>7079</v>
      </c>
      <c r="D2063" s="303">
        <v>87.09</v>
      </c>
    </row>
    <row r="2064" spans="1:4" ht="54">
      <c r="A2064" s="288" t="s">
        <v>10802</v>
      </c>
      <c r="B2064" s="289" t="s">
        <v>10803</v>
      </c>
      <c r="C2064" s="288" t="s">
        <v>7079</v>
      </c>
      <c r="D2064" s="303">
        <v>669.47</v>
      </c>
    </row>
    <row r="2065" spans="1:4" ht="54">
      <c r="A2065" s="288" t="s">
        <v>10804</v>
      </c>
      <c r="B2065" s="289" t="s">
        <v>10805</v>
      </c>
      <c r="C2065" s="288" t="s">
        <v>7079</v>
      </c>
      <c r="D2065" s="303">
        <v>396.21</v>
      </c>
    </row>
    <row r="2066" spans="1:4" ht="45">
      <c r="A2066" s="288" t="s">
        <v>10806</v>
      </c>
      <c r="B2066" s="289" t="s">
        <v>10807</v>
      </c>
      <c r="C2066" s="288" t="s">
        <v>7079</v>
      </c>
      <c r="D2066" s="303">
        <v>192.34</v>
      </c>
    </row>
    <row r="2067" spans="1:4" ht="54">
      <c r="A2067" s="288" t="s">
        <v>10808</v>
      </c>
      <c r="B2067" s="289" t="s">
        <v>10809</v>
      </c>
      <c r="C2067" s="288" t="s">
        <v>7079</v>
      </c>
      <c r="D2067" s="303">
        <v>197.15</v>
      </c>
    </row>
    <row r="2068" spans="1:4" ht="45">
      <c r="A2068" s="288" t="s">
        <v>10810</v>
      </c>
      <c r="B2068" s="289" t="s">
        <v>10811</v>
      </c>
      <c r="C2068" s="288" t="s">
        <v>7079</v>
      </c>
      <c r="D2068" s="303">
        <v>282.51</v>
      </c>
    </row>
    <row r="2069" spans="1:4" ht="36">
      <c r="A2069" s="288" t="s">
        <v>10812</v>
      </c>
      <c r="B2069" s="289" t="s">
        <v>10813</v>
      </c>
      <c r="C2069" s="288" t="s">
        <v>7079</v>
      </c>
      <c r="D2069" s="303">
        <v>43.06</v>
      </c>
    </row>
    <row r="2070" spans="1:4" ht="45">
      <c r="A2070" s="288" t="s">
        <v>10814</v>
      </c>
      <c r="B2070" s="289" t="s">
        <v>10815</v>
      </c>
      <c r="C2070" s="288" t="s">
        <v>7079</v>
      </c>
      <c r="D2070" s="303">
        <v>103.88</v>
      </c>
    </row>
    <row r="2071" spans="1:4" ht="54">
      <c r="A2071" s="288" t="s">
        <v>10816</v>
      </c>
      <c r="B2071" s="289" t="s">
        <v>10817</v>
      </c>
      <c r="C2071" s="288" t="s">
        <v>7079</v>
      </c>
      <c r="D2071" s="303">
        <v>211.17</v>
      </c>
    </row>
    <row r="2072" spans="1:4" ht="36">
      <c r="A2072" s="288" t="s">
        <v>10818</v>
      </c>
      <c r="B2072" s="289" t="s">
        <v>10819</v>
      </c>
      <c r="C2072" s="288" t="s">
        <v>7079</v>
      </c>
      <c r="D2072" s="303">
        <v>597.95000000000005</v>
      </c>
    </row>
    <row r="2073" spans="1:4" ht="36">
      <c r="A2073" s="288" t="s">
        <v>10820</v>
      </c>
      <c r="B2073" s="289" t="s">
        <v>10821</v>
      </c>
      <c r="C2073" s="288" t="s">
        <v>7079</v>
      </c>
      <c r="D2073" s="303">
        <v>1128.51</v>
      </c>
    </row>
    <row r="2074" spans="1:4" ht="45">
      <c r="A2074" s="288" t="s">
        <v>10822</v>
      </c>
      <c r="B2074" s="289" t="s">
        <v>10823</v>
      </c>
      <c r="C2074" s="288" t="s">
        <v>7079</v>
      </c>
      <c r="D2074" s="303">
        <v>898.62</v>
      </c>
    </row>
    <row r="2075" spans="1:4" ht="27">
      <c r="A2075" s="288" t="s">
        <v>10824</v>
      </c>
      <c r="B2075" s="289" t="s">
        <v>10825</v>
      </c>
      <c r="C2075" s="288" t="s">
        <v>7079</v>
      </c>
      <c r="D2075" s="303">
        <v>108.06</v>
      </c>
    </row>
    <row r="2076" spans="1:4" ht="18">
      <c r="A2076" s="288" t="s">
        <v>10826</v>
      </c>
      <c r="B2076" s="289" t="s">
        <v>10827</v>
      </c>
      <c r="C2076" s="288" t="s">
        <v>7079</v>
      </c>
      <c r="D2076" s="303">
        <v>5.66</v>
      </c>
    </row>
    <row r="2077" spans="1:4" ht="18">
      <c r="A2077" s="288" t="s">
        <v>10828</v>
      </c>
      <c r="B2077" s="289" t="s">
        <v>10829</v>
      </c>
      <c r="C2077" s="288" t="s">
        <v>7079</v>
      </c>
      <c r="D2077" s="303">
        <v>30.6</v>
      </c>
    </row>
    <row r="2078" spans="1:4" ht="18">
      <c r="A2078" s="288" t="s">
        <v>10830</v>
      </c>
      <c r="B2078" s="289" t="s">
        <v>10831</v>
      </c>
      <c r="C2078" s="288" t="s">
        <v>7079</v>
      </c>
      <c r="D2078" s="303">
        <v>34.17</v>
      </c>
    </row>
    <row r="2079" spans="1:4" ht="18">
      <c r="A2079" s="288" t="s">
        <v>10832</v>
      </c>
      <c r="B2079" s="289" t="s">
        <v>10833</v>
      </c>
      <c r="C2079" s="288" t="s">
        <v>7079</v>
      </c>
      <c r="D2079" s="303">
        <v>115.65</v>
      </c>
    </row>
    <row r="2080" spans="1:4" ht="18">
      <c r="A2080" s="288" t="s">
        <v>10834</v>
      </c>
      <c r="B2080" s="289" t="s">
        <v>10835</v>
      </c>
      <c r="C2080" s="288" t="s">
        <v>7079</v>
      </c>
      <c r="D2080" s="303">
        <v>22.06</v>
      </c>
    </row>
    <row r="2081" spans="1:4" ht="27">
      <c r="A2081" s="288" t="s">
        <v>10836</v>
      </c>
      <c r="B2081" s="289" t="s">
        <v>10837</v>
      </c>
      <c r="C2081" s="288" t="s">
        <v>7079</v>
      </c>
      <c r="D2081" s="303">
        <v>421.12</v>
      </c>
    </row>
    <row r="2082" spans="1:4" ht="45">
      <c r="A2082" s="288" t="s">
        <v>10838</v>
      </c>
      <c r="B2082" s="289" t="s">
        <v>10839</v>
      </c>
      <c r="C2082" s="288" t="s">
        <v>7079</v>
      </c>
      <c r="D2082" s="303">
        <v>445.6</v>
      </c>
    </row>
    <row r="2083" spans="1:4" ht="27">
      <c r="A2083" s="288" t="s">
        <v>10840</v>
      </c>
      <c r="B2083" s="289" t="s">
        <v>10841</v>
      </c>
      <c r="C2083" s="288" t="s">
        <v>7079</v>
      </c>
      <c r="D2083" s="303">
        <v>203.26</v>
      </c>
    </row>
    <row r="2084" spans="1:4" ht="18">
      <c r="A2084" s="288" t="s">
        <v>10842</v>
      </c>
      <c r="B2084" s="289" t="s">
        <v>10843</v>
      </c>
      <c r="C2084" s="288" t="s">
        <v>7079</v>
      </c>
      <c r="D2084" s="303">
        <v>119.21</v>
      </c>
    </row>
    <row r="2085" spans="1:4" ht="18">
      <c r="A2085" s="288" t="s">
        <v>10844</v>
      </c>
      <c r="B2085" s="289" t="s">
        <v>10845</v>
      </c>
      <c r="C2085" s="288" t="s">
        <v>7079</v>
      </c>
      <c r="D2085" s="303">
        <v>100.54</v>
      </c>
    </row>
    <row r="2086" spans="1:4" ht="18">
      <c r="A2086" s="288" t="s">
        <v>10846</v>
      </c>
      <c r="B2086" s="289" t="s">
        <v>10847</v>
      </c>
      <c r="C2086" s="288" t="s">
        <v>7079</v>
      </c>
      <c r="D2086" s="303">
        <v>44.9</v>
      </c>
    </row>
    <row r="2087" spans="1:4" ht="18">
      <c r="A2087" s="288" t="s">
        <v>10848</v>
      </c>
      <c r="B2087" s="289" t="s">
        <v>10849</v>
      </c>
      <c r="C2087" s="288" t="s">
        <v>7079</v>
      </c>
      <c r="D2087" s="303">
        <v>270.85000000000002</v>
      </c>
    </row>
    <row r="2088" spans="1:4" ht="36">
      <c r="A2088" s="288" t="s">
        <v>10850</v>
      </c>
      <c r="B2088" s="289" t="s">
        <v>10851</v>
      </c>
      <c r="C2088" s="288" t="s">
        <v>7079</v>
      </c>
      <c r="D2088" s="303">
        <v>113.4</v>
      </c>
    </row>
    <row r="2089" spans="1:4">
      <c r="A2089" s="288" t="s">
        <v>10852</v>
      </c>
      <c r="B2089" s="289" t="s">
        <v>10853</v>
      </c>
      <c r="C2089" s="288" t="s">
        <v>7079</v>
      </c>
      <c r="D2089" s="303">
        <v>209.04</v>
      </c>
    </row>
    <row r="2090" spans="1:4" ht="18">
      <c r="A2090" s="288" t="s">
        <v>10854</v>
      </c>
      <c r="B2090" s="289" t="s">
        <v>10855</v>
      </c>
      <c r="C2090" s="288" t="s">
        <v>7079</v>
      </c>
      <c r="D2090" s="303">
        <v>247.78</v>
      </c>
    </row>
    <row r="2091" spans="1:4" ht="18">
      <c r="A2091" s="288" t="s">
        <v>10856</v>
      </c>
      <c r="B2091" s="289" t="s">
        <v>10857</v>
      </c>
      <c r="C2091" s="288" t="s">
        <v>7079</v>
      </c>
      <c r="D2091" s="303">
        <v>22.06</v>
      </c>
    </row>
    <row r="2092" spans="1:4" ht="18">
      <c r="A2092" s="287" t="s">
        <v>10858</v>
      </c>
      <c r="B2092" s="287"/>
      <c r="C2092" s="287"/>
      <c r="D2092" s="296" t="s">
        <v>28729</v>
      </c>
    </row>
    <row r="2093" spans="1:4" ht="27">
      <c r="A2093" s="288" t="s">
        <v>10859</v>
      </c>
      <c r="B2093" s="289" t="s">
        <v>10860</v>
      </c>
      <c r="C2093" s="288" t="s">
        <v>7079</v>
      </c>
      <c r="D2093" s="303">
        <v>75.239999999999995</v>
      </c>
    </row>
    <row r="2094" spans="1:4" ht="45">
      <c r="A2094" s="288" t="s">
        <v>10861</v>
      </c>
      <c r="B2094" s="289" t="s">
        <v>10862</v>
      </c>
      <c r="C2094" s="288" t="s">
        <v>7079</v>
      </c>
      <c r="D2094" s="303">
        <v>125.42</v>
      </c>
    </row>
    <row r="2095" spans="1:4" ht="45">
      <c r="A2095" s="288" t="s">
        <v>10863</v>
      </c>
      <c r="B2095" s="289" t="s">
        <v>10864</v>
      </c>
      <c r="C2095" s="288" t="s">
        <v>7079</v>
      </c>
      <c r="D2095" s="303">
        <v>127.43</v>
      </c>
    </row>
    <row r="2096" spans="1:4" ht="18">
      <c r="A2096" s="287" t="s">
        <v>10865</v>
      </c>
      <c r="B2096" s="287"/>
      <c r="C2096" s="287"/>
      <c r="D2096" s="296" t="s">
        <v>28729</v>
      </c>
    </row>
    <row r="2097" spans="1:4" ht="45">
      <c r="A2097" s="288" t="s">
        <v>10866</v>
      </c>
      <c r="B2097" s="289" t="s">
        <v>10867</v>
      </c>
      <c r="C2097" s="288" t="s">
        <v>7079</v>
      </c>
      <c r="D2097" s="303">
        <v>150.51</v>
      </c>
    </row>
    <row r="2098" spans="1:4" ht="45">
      <c r="A2098" s="288" t="s">
        <v>10868</v>
      </c>
      <c r="B2098" s="289" t="s">
        <v>10869</v>
      </c>
      <c r="C2098" s="288" t="s">
        <v>7079</v>
      </c>
      <c r="D2098" s="303">
        <v>618.14</v>
      </c>
    </row>
    <row r="2099" spans="1:4" ht="27">
      <c r="A2099" s="288" t="s">
        <v>10870</v>
      </c>
      <c r="B2099" s="289" t="s">
        <v>10871</v>
      </c>
      <c r="C2099" s="288" t="s">
        <v>7079</v>
      </c>
      <c r="D2099" s="303">
        <v>204</v>
      </c>
    </row>
    <row r="2100" spans="1:4">
      <c r="A2100" s="287"/>
      <c r="B2100" s="287"/>
      <c r="C2100" s="287"/>
      <c r="D2100" s="296" t="s">
        <v>28729</v>
      </c>
    </row>
    <row r="2101" spans="1:4" ht="18">
      <c r="A2101" s="287" t="s">
        <v>10872</v>
      </c>
      <c r="B2101" s="287"/>
      <c r="C2101" s="287"/>
      <c r="D2101" s="296" t="s">
        <v>28729</v>
      </c>
    </row>
    <row r="2102" spans="1:4" ht="18">
      <c r="A2102" s="288" t="s">
        <v>10873</v>
      </c>
      <c r="B2102" s="289" t="s">
        <v>10874</v>
      </c>
      <c r="C2102" s="288" t="s">
        <v>38</v>
      </c>
      <c r="D2102" s="303">
        <v>294.19</v>
      </c>
    </row>
    <row r="2103" spans="1:4">
      <c r="A2103" s="288" t="s">
        <v>10875</v>
      </c>
      <c r="B2103" s="289" t="s">
        <v>10876</v>
      </c>
      <c r="C2103" s="288" t="s">
        <v>38</v>
      </c>
      <c r="D2103" s="303">
        <v>351.49</v>
      </c>
    </row>
    <row r="2104" spans="1:4">
      <c r="A2104" s="288" t="s">
        <v>10877</v>
      </c>
      <c r="B2104" s="289" t="s">
        <v>10878</v>
      </c>
      <c r="C2104" s="288" t="s">
        <v>38</v>
      </c>
      <c r="D2104" s="303">
        <v>450</v>
      </c>
    </row>
    <row r="2105" spans="1:4">
      <c r="A2105" s="288" t="s">
        <v>10879</v>
      </c>
      <c r="B2105" s="289" t="s">
        <v>10880</v>
      </c>
      <c r="C2105" s="288" t="s">
        <v>38</v>
      </c>
      <c r="D2105" s="303">
        <v>327.5</v>
      </c>
    </row>
    <row r="2106" spans="1:4">
      <c r="A2106" s="288" t="s">
        <v>10881</v>
      </c>
      <c r="B2106" s="289" t="s">
        <v>10882</v>
      </c>
      <c r="C2106" s="288" t="s">
        <v>38</v>
      </c>
      <c r="D2106" s="303">
        <v>357.5</v>
      </c>
    </row>
    <row r="2107" spans="1:4">
      <c r="A2107" s="288" t="s">
        <v>10883</v>
      </c>
      <c r="B2107" s="289" t="s">
        <v>10884</v>
      </c>
      <c r="C2107" s="288" t="s">
        <v>38</v>
      </c>
      <c r="D2107" s="303">
        <v>84.45</v>
      </c>
    </row>
    <row r="2108" spans="1:4">
      <c r="A2108" s="288" t="s">
        <v>10885</v>
      </c>
      <c r="B2108" s="289" t="s">
        <v>10886</v>
      </c>
      <c r="C2108" s="288" t="s">
        <v>38</v>
      </c>
      <c r="D2108" s="303">
        <v>101.1</v>
      </c>
    </row>
    <row r="2109" spans="1:4">
      <c r="A2109" s="288" t="s">
        <v>10887</v>
      </c>
      <c r="B2109" s="289" t="s">
        <v>10888</v>
      </c>
      <c r="C2109" s="288" t="s">
        <v>38</v>
      </c>
      <c r="D2109" s="303">
        <v>130.44999999999999</v>
      </c>
    </row>
    <row r="2110" spans="1:4">
      <c r="A2110" s="288" t="s">
        <v>10889</v>
      </c>
      <c r="B2110" s="289" t="s">
        <v>10890</v>
      </c>
      <c r="C2110" s="288" t="s">
        <v>38</v>
      </c>
      <c r="D2110" s="303">
        <v>142.13</v>
      </c>
    </row>
    <row r="2111" spans="1:4" ht="18">
      <c r="A2111" s="288" t="s">
        <v>10891</v>
      </c>
      <c r="B2111" s="289" t="s">
        <v>10892</v>
      </c>
      <c r="C2111" s="288" t="s">
        <v>38</v>
      </c>
      <c r="D2111" s="303">
        <v>108.48</v>
      </c>
    </row>
    <row r="2112" spans="1:4">
      <c r="A2112" s="287" t="s">
        <v>10893</v>
      </c>
      <c r="B2112" s="287"/>
      <c r="C2112" s="287"/>
      <c r="D2112" s="296" t="s">
        <v>28729</v>
      </c>
    </row>
    <row r="2113" spans="1:4" ht="18">
      <c r="A2113" s="288" t="s">
        <v>10894</v>
      </c>
      <c r="B2113" s="289" t="s">
        <v>10895</v>
      </c>
      <c r="C2113" s="288" t="s">
        <v>38</v>
      </c>
      <c r="D2113" s="303">
        <v>351.41</v>
      </c>
    </row>
    <row r="2114" spans="1:4">
      <c r="A2114" s="287" t="s">
        <v>10896</v>
      </c>
      <c r="B2114" s="287"/>
      <c r="C2114" s="287"/>
      <c r="D2114" s="296" t="s">
        <v>28729</v>
      </c>
    </row>
    <row r="2115" spans="1:4" ht="27">
      <c r="A2115" s="288" t="s">
        <v>10897</v>
      </c>
      <c r="B2115" s="289" t="s">
        <v>10898</v>
      </c>
      <c r="C2115" s="288" t="s">
        <v>7079</v>
      </c>
      <c r="D2115" s="303">
        <v>2660</v>
      </c>
    </row>
    <row r="2116" spans="1:4" ht="18">
      <c r="A2116" s="287" t="s">
        <v>10899</v>
      </c>
      <c r="B2116" s="287"/>
      <c r="C2116" s="287"/>
      <c r="D2116" s="296" t="s">
        <v>28729</v>
      </c>
    </row>
    <row r="2117" spans="1:4" ht="18">
      <c r="A2117" s="288" t="s">
        <v>10900</v>
      </c>
      <c r="B2117" s="289" t="s">
        <v>10901</v>
      </c>
      <c r="C2117" s="288" t="s">
        <v>38</v>
      </c>
      <c r="D2117" s="303">
        <v>245.31</v>
      </c>
    </row>
    <row r="2118" spans="1:4" ht="18">
      <c r="A2118" s="288" t="s">
        <v>10902</v>
      </c>
      <c r="B2118" s="289" t="s">
        <v>10903</v>
      </c>
      <c r="C2118" s="288" t="s">
        <v>38</v>
      </c>
      <c r="D2118" s="303">
        <v>361.21</v>
      </c>
    </row>
    <row r="2119" spans="1:4" ht="18">
      <c r="A2119" s="288" t="s">
        <v>10904</v>
      </c>
      <c r="B2119" s="289" t="s">
        <v>10905</v>
      </c>
      <c r="C2119" s="288" t="s">
        <v>38</v>
      </c>
      <c r="D2119" s="303">
        <v>477.11</v>
      </c>
    </row>
    <row r="2120" spans="1:4" ht="18">
      <c r="A2120" s="288" t="s">
        <v>10906</v>
      </c>
      <c r="B2120" s="289" t="s">
        <v>10907</v>
      </c>
      <c r="C2120" s="288" t="s">
        <v>38</v>
      </c>
      <c r="D2120" s="303">
        <v>593</v>
      </c>
    </row>
    <row r="2121" spans="1:4">
      <c r="A2121" s="287" t="s">
        <v>10908</v>
      </c>
      <c r="B2121" s="287"/>
      <c r="C2121" s="287"/>
      <c r="D2121" s="296" t="s">
        <v>28729</v>
      </c>
    </row>
    <row r="2122" spans="1:4" ht="36">
      <c r="A2122" s="288" t="s">
        <v>10909</v>
      </c>
      <c r="B2122" s="289" t="s">
        <v>10910</v>
      </c>
      <c r="C2122" s="288" t="s">
        <v>38</v>
      </c>
      <c r="D2122" s="303">
        <v>81.06</v>
      </c>
    </row>
    <row r="2123" spans="1:4">
      <c r="A2123" s="287"/>
      <c r="B2123" s="287"/>
      <c r="C2123" s="287"/>
      <c r="D2123" s="296" t="s">
        <v>28729</v>
      </c>
    </row>
    <row r="2124" spans="1:4">
      <c r="A2124" s="287" t="s">
        <v>10911</v>
      </c>
      <c r="B2124" s="287"/>
      <c r="C2124" s="287"/>
      <c r="D2124" s="296" t="s">
        <v>28729</v>
      </c>
    </row>
    <row r="2125" spans="1:4" ht="27">
      <c r="A2125" s="288" t="s">
        <v>10912</v>
      </c>
      <c r="B2125" s="289" t="s">
        <v>10913</v>
      </c>
      <c r="C2125" s="288" t="s">
        <v>7079</v>
      </c>
      <c r="D2125" s="303">
        <v>1438.97</v>
      </c>
    </row>
    <row r="2126" spans="1:4" ht="27">
      <c r="A2126" s="288" t="s">
        <v>10914</v>
      </c>
      <c r="B2126" s="289" t="s">
        <v>10915</v>
      </c>
      <c r="C2126" s="288" t="s">
        <v>7079</v>
      </c>
      <c r="D2126" s="303">
        <v>1536.64</v>
      </c>
    </row>
    <row r="2127" spans="1:4">
      <c r="A2127" s="287"/>
      <c r="B2127" s="287"/>
      <c r="C2127" s="287"/>
      <c r="D2127" s="296" t="s">
        <v>28729</v>
      </c>
    </row>
    <row r="2128" spans="1:4">
      <c r="A2128" s="287" t="s">
        <v>10916</v>
      </c>
      <c r="B2128" s="287"/>
      <c r="C2128" s="287"/>
      <c r="D2128" s="296" t="s">
        <v>28729</v>
      </c>
    </row>
    <row r="2129" spans="1:4">
      <c r="A2129" s="288" t="s">
        <v>10917</v>
      </c>
      <c r="B2129" s="289" t="s">
        <v>10918</v>
      </c>
      <c r="C2129" s="288" t="s">
        <v>7079</v>
      </c>
      <c r="D2129" s="303">
        <v>7.0000000000000007E-2</v>
      </c>
    </row>
    <row r="2130" spans="1:4">
      <c r="A2130" s="288" t="s">
        <v>10919</v>
      </c>
      <c r="B2130" s="289" t="s">
        <v>10920</v>
      </c>
      <c r="C2130" s="288" t="s">
        <v>7079</v>
      </c>
      <c r="D2130" s="303">
        <v>13.01</v>
      </c>
    </row>
    <row r="2131" spans="1:4">
      <c r="A2131" s="288" t="s">
        <v>10921</v>
      </c>
      <c r="B2131" s="289" t="s">
        <v>10922</v>
      </c>
      <c r="C2131" s="288" t="s">
        <v>7079</v>
      </c>
      <c r="D2131" s="303">
        <v>28.57</v>
      </c>
    </row>
    <row r="2132" spans="1:4" ht="18">
      <c r="A2132" s="288" t="s">
        <v>10923</v>
      </c>
      <c r="B2132" s="289" t="s">
        <v>10924</v>
      </c>
      <c r="C2132" s="288" t="s">
        <v>38</v>
      </c>
      <c r="D2132" s="303">
        <v>482.35</v>
      </c>
    </row>
    <row r="2133" spans="1:4" ht="18">
      <c r="A2133" s="288" t="s">
        <v>10925</v>
      </c>
      <c r="B2133" s="289" t="s">
        <v>10926</v>
      </c>
      <c r="C2133" s="288" t="s">
        <v>38</v>
      </c>
      <c r="D2133" s="303">
        <v>1497.43</v>
      </c>
    </row>
    <row r="2134" spans="1:4" ht="18">
      <c r="A2134" s="288" t="s">
        <v>10927</v>
      </c>
      <c r="B2134" s="289" t="s">
        <v>10928</v>
      </c>
      <c r="C2134" s="288" t="s">
        <v>7079</v>
      </c>
      <c r="D2134" s="303">
        <v>22.06</v>
      </c>
    </row>
    <row r="2135" spans="1:4" ht="18">
      <c r="A2135" s="288" t="s">
        <v>10929</v>
      </c>
      <c r="B2135" s="289" t="s">
        <v>10930</v>
      </c>
      <c r="C2135" s="288" t="s">
        <v>7079</v>
      </c>
      <c r="D2135" s="303">
        <v>44.13</v>
      </c>
    </row>
    <row r="2136" spans="1:4" ht="18">
      <c r="A2136" s="288" t="s">
        <v>10931</v>
      </c>
      <c r="B2136" s="289" t="s">
        <v>10932</v>
      </c>
      <c r="C2136" s="288" t="s">
        <v>7079</v>
      </c>
      <c r="D2136" s="303">
        <v>118.2</v>
      </c>
    </row>
    <row r="2137" spans="1:4">
      <c r="A2137" s="288" t="s">
        <v>10933</v>
      </c>
      <c r="B2137" s="289" t="s">
        <v>10934</v>
      </c>
      <c r="C2137" s="288" t="s">
        <v>7079</v>
      </c>
      <c r="D2137" s="303">
        <v>51.9</v>
      </c>
    </row>
    <row r="2138" spans="1:4">
      <c r="A2138" s="288" t="s">
        <v>10935</v>
      </c>
      <c r="B2138" s="289" t="s">
        <v>10936</v>
      </c>
      <c r="C2138" s="288" t="s">
        <v>7079</v>
      </c>
      <c r="D2138" s="303">
        <v>2.52</v>
      </c>
    </row>
    <row r="2139" spans="1:4">
      <c r="A2139" s="288" t="s">
        <v>10937</v>
      </c>
      <c r="B2139" s="289" t="s">
        <v>10938</v>
      </c>
      <c r="C2139" s="288" t="s">
        <v>7079</v>
      </c>
      <c r="D2139" s="303">
        <v>0.16</v>
      </c>
    </row>
    <row r="2140" spans="1:4" ht="18">
      <c r="A2140" s="288" t="s">
        <v>10939</v>
      </c>
      <c r="B2140" s="289" t="s">
        <v>10940</v>
      </c>
      <c r="C2140" s="288" t="s">
        <v>10941</v>
      </c>
      <c r="D2140" s="303">
        <v>10.23</v>
      </c>
    </row>
    <row r="2141" spans="1:4" ht="18">
      <c r="A2141" s="288" t="s">
        <v>10942</v>
      </c>
      <c r="B2141" s="289" t="s">
        <v>10943</v>
      </c>
      <c r="C2141" s="288" t="s">
        <v>7079</v>
      </c>
      <c r="D2141" s="303">
        <v>1.75</v>
      </c>
    </row>
    <row r="2142" spans="1:4" ht="18">
      <c r="A2142" s="288" t="s">
        <v>10944</v>
      </c>
      <c r="B2142" s="289" t="s">
        <v>10945</v>
      </c>
      <c r="C2142" s="288" t="s">
        <v>7079</v>
      </c>
      <c r="D2142" s="303">
        <v>88.45</v>
      </c>
    </row>
    <row r="2143" spans="1:4">
      <c r="A2143" s="287"/>
      <c r="B2143" s="287"/>
      <c r="C2143" s="287"/>
      <c r="D2143" s="296" t="s">
        <v>28729</v>
      </c>
    </row>
    <row r="2144" spans="1:4">
      <c r="A2144" s="287"/>
      <c r="B2144" s="287"/>
      <c r="C2144" s="287"/>
      <c r="D2144" s="296" t="s">
        <v>28729</v>
      </c>
    </row>
    <row r="2145" spans="1:4">
      <c r="A2145" s="287"/>
      <c r="B2145" s="287"/>
      <c r="C2145" s="287"/>
      <c r="D2145" s="296" t="s">
        <v>28729</v>
      </c>
    </row>
    <row r="2146" spans="1:4" ht="18">
      <c r="A2146" s="287" t="s">
        <v>10946</v>
      </c>
      <c r="B2146" s="287"/>
      <c r="C2146" s="287"/>
      <c r="D2146" s="296" t="s">
        <v>28729</v>
      </c>
    </row>
    <row r="2147" spans="1:4" ht="27">
      <c r="A2147" s="288" t="s">
        <v>10947</v>
      </c>
      <c r="B2147" s="289" t="s">
        <v>10948</v>
      </c>
      <c r="C2147" s="288" t="s">
        <v>47</v>
      </c>
      <c r="D2147" s="303">
        <v>230.7</v>
      </c>
    </row>
    <row r="2148" spans="1:4" ht="27">
      <c r="A2148" s="288" t="s">
        <v>10949</v>
      </c>
      <c r="B2148" s="289" t="s">
        <v>10950</v>
      </c>
      <c r="C2148" s="288" t="s">
        <v>47</v>
      </c>
      <c r="D2148" s="303">
        <v>248.52</v>
      </c>
    </row>
    <row r="2149" spans="1:4" ht="27">
      <c r="A2149" s="288" t="s">
        <v>10951</v>
      </c>
      <c r="B2149" s="289" t="s">
        <v>10952</v>
      </c>
      <c r="C2149" s="288" t="s">
        <v>47</v>
      </c>
      <c r="D2149" s="303">
        <v>242.77</v>
      </c>
    </row>
    <row r="2150" spans="1:4" ht="27">
      <c r="A2150" s="288" t="s">
        <v>10953</v>
      </c>
      <c r="B2150" s="289" t="s">
        <v>10954</v>
      </c>
      <c r="C2150" s="288" t="s">
        <v>47</v>
      </c>
      <c r="D2150" s="303">
        <v>246.75</v>
      </c>
    </row>
    <row r="2151" spans="1:4" ht="27">
      <c r="A2151" s="288" t="s">
        <v>10955</v>
      </c>
      <c r="B2151" s="289" t="s">
        <v>10956</v>
      </c>
      <c r="C2151" s="288" t="s">
        <v>47</v>
      </c>
      <c r="D2151" s="303">
        <v>252.83</v>
      </c>
    </row>
    <row r="2152" spans="1:4" ht="27">
      <c r="A2152" s="288" t="s">
        <v>10957</v>
      </c>
      <c r="B2152" s="289" t="s">
        <v>10958</v>
      </c>
      <c r="C2152" s="288" t="s">
        <v>47</v>
      </c>
      <c r="D2152" s="303">
        <v>254.78</v>
      </c>
    </row>
    <row r="2153" spans="1:4" ht="27">
      <c r="A2153" s="288" t="s">
        <v>10959</v>
      </c>
      <c r="B2153" s="289" t="s">
        <v>10960</v>
      </c>
      <c r="C2153" s="288" t="s">
        <v>47</v>
      </c>
      <c r="D2153" s="303">
        <v>268.83999999999997</v>
      </c>
    </row>
    <row r="2154" spans="1:4" ht="27">
      <c r="A2154" s="288" t="s">
        <v>10961</v>
      </c>
      <c r="B2154" s="289" t="s">
        <v>10962</v>
      </c>
      <c r="C2154" s="288" t="s">
        <v>47</v>
      </c>
      <c r="D2154" s="303">
        <v>279.10000000000002</v>
      </c>
    </row>
    <row r="2155" spans="1:4" ht="27">
      <c r="A2155" s="288" t="s">
        <v>10963</v>
      </c>
      <c r="B2155" s="289" t="s">
        <v>10964</v>
      </c>
      <c r="C2155" s="288" t="s">
        <v>47</v>
      </c>
      <c r="D2155" s="303">
        <v>290.18</v>
      </c>
    </row>
    <row r="2156" spans="1:4" ht="27">
      <c r="A2156" s="288" t="s">
        <v>10965</v>
      </c>
      <c r="B2156" s="289" t="s">
        <v>10966</v>
      </c>
      <c r="C2156" s="288" t="s">
        <v>47</v>
      </c>
      <c r="D2156" s="303">
        <v>304.55</v>
      </c>
    </row>
    <row r="2157" spans="1:4" ht="27">
      <c r="A2157" s="288" t="s">
        <v>10967</v>
      </c>
      <c r="B2157" s="289" t="s">
        <v>10968</v>
      </c>
      <c r="C2157" s="288" t="s">
        <v>47</v>
      </c>
      <c r="D2157" s="303">
        <v>338.76</v>
      </c>
    </row>
    <row r="2158" spans="1:4" ht="27">
      <c r="A2158" s="288" t="s">
        <v>10969</v>
      </c>
      <c r="B2158" s="289" t="s">
        <v>10970</v>
      </c>
      <c r="C2158" s="288" t="s">
        <v>47</v>
      </c>
      <c r="D2158" s="303">
        <v>272.2</v>
      </c>
    </row>
    <row r="2159" spans="1:4" ht="18">
      <c r="A2159" s="287" t="s">
        <v>10971</v>
      </c>
      <c r="B2159" s="287"/>
      <c r="C2159" s="287"/>
      <c r="D2159" s="296" t="s">
        <v>28729</v>
      </c>
    </row>
    <row r="2160" spans="1:4" ht="27">
      <c r="A2160" s="288" t="s">
        <v>10972</v>
      </c>
      <c r="B2160" s="289" t="s">
        <v>10973</v>
      </c>
      <c r="C2160" s="288" t="s">
        <v>47</v>
      </c>
      <c r="D2160" s="303">
        <v>220.21</v>
      </c>
    </row>
    <row r="2161" spans="1:4" ht="18">
      <c r="A2161" s="287" t="s">
        <v>10974</v>
      </c>
      <c r="B2161" s="287"/>
      <c r="C2161" s="287"/>
      <c r="D2161" s="296" t="s">
        <v>28729</v>
      </c>
    </row>
    <row r="2162" spans="1:4" ht="27">
      <c r="A2162" s="288" t="s">
        <v>10975</v>
      </c>
      <c r="B2162" s="289" t="s">
        <v>10976</v>
      </c>
      <c r="C2162" s="288" t="s">
        <v>47</v>
      </c>
      <c r="D2162" s="303">
        <v>400</v>
      </c>
    </row>
    <row r="2163" spans="1:4">
      <c r="A2163" s="287" t="s">
        <v>10977</v>
      </c>
      <c r="B2163" s="287"/>
      <c r="C2163" s="287"/>
      <c r="D2163" s="296" t="s">
        <v>28729</v>
      </c>
    </row>
    <row r="2164" spans="1:4" ht="18">
      <c r="A2164" s="288" t="s">
        <v>10978</v>
      </c>
      <c r="B2164" s="289" t="s">
        <v>10979</v>
      </c>
      <c r="C2164" s="288" t="s">
        <v>47</v>
      </c>
      <c r="D2164" s="303">
        <v>106</v>
      </c>
    </row>
    <row r="2165" spans="1:4" ht="18">
      <c r="A2165" s="288" t="s">
        <v>10980</v>
      </c>
      <c r="B2165" s="289" t="s">
        <v>10981</v>
      </c>
      <c r="C2165" s="288" t="s">
        <v>47</v>
      </c>
      <c r="D2165" s="303">
        <v>54.47</v>
      </c>
    </row>
    <row r="2166" spans="1:4" ht="18">
      <c r="A2166" s="288" t="s">
        <v>10982</v>
      </c>
      <c r="B2166" s="289" t="s">
        <v>10983</v>
      </c>
      <c r="C2166" s="288" t="s">
        <v>47</v>
      </c>
      <c r="D2166" s="303">
        <v>80.25</v>
      </c>
    </row>
    <row r="2167" spans="1:4" ht="18">
      <c r="A2167" s="287" t="s">
        <v>10984</v>
      </c>
      <c r="B2167" s="287"/>
      <c r="C2167" s="287"/>
      <c r="D2167" s="296" t="s">
        <v>28729</v>
      </c>
    </row>
    <row r="2168" spans="1:4" ht="27">
      <c r="A2168" s="288" t="s">
        <v>10985</v>
      </c>
      <c r="B2168" s="289" t="s">
        <v>10986</v>
      </c>
      <c r="C2168" s="288" t="s">
        <v>47</v>
      </c>
      <c r="D2168" s="303">
        <v>43.12</v>
      </c>
    </row>
    <row r="2169" spans="1:4" ht="27">
      <c r="A2169" s="288" t="s">
        <v>10987</v>
      </c>
      <c r="B2169" s="289" t="s">
        <v>10988</v>
      </c>
      <c r="C2169" s="288" t="s">
        <v>47</v>
      </c>
      <c r="D2169" s="303">
        <v>50.5</v>
      </c>
    </row>
    <row r="2170" spans="1:4" ht="27">
      <c r="A2170" s="288" t="s">
        <v>10989</v>
      </c>
      <c r="B2170" s="289" t="s">
        <v>10990</v>
      </c>
      <c r="C2170" s="288" t="s">
        <v>47</v>
      </c>
      <c r="D2170" s="303">
        <v>44.4</v>
      </c>
    </row>
    <row r="2171" spans="1:4" ht="27">
      <c r="A2171" s="288" t="s">
        <v>10991</v>
      </c>
      <c r="B2171" s="289" t="s">
        <v>10992</v>
      </c>
      <c r="C2171" s="288" t="s">
        <v>47</v>
      </c>
      <c r="D2171" s="303">
        <v>51.78</v>
      </c>
    </row>
    <row r="2172" spans="1:4">
      <c r="A2172" s="287" t="s">
        <v>10993</v>
      </c>
      <c r="B2172" s="287"/>
      <c r="C2172" s="287"/>
      <c r="D2172" s="296" t="s">
        <v>28729</v>
      </c>
    </row>
    <row r="2173" spans="1:4" ht="27">
      <c r="A2173" s="288" t="s">
        <v>10994</v>
      </c>
      <c r="B2173" s="289" t="s">
        <v>10995</v>
      </c>
      <c r="C2173" s="288" t="s">
        <v>47</v>
      </c>
      <c r="D2173" s="303">
        <v>346.11</v>
      </c>
    </row>
    <row r="2174" spans="1:4" ht="18">
      <c r="A2174" s="287" t="s">
        <v>10996</v>
      </c>
      <c r="B2174" s="287"/>
      <c r="C2174" s="287"/>
      <c r="D2174" s="296" t="s">
        <v>28729</v>
      </c>
    </row>
    <row r="2175" spans="1:4" ht="27">
      <c r="A2175" s="288" t="s">
        <v>10997</v>
      </c>
      <c r="B2175" s="289" t="s">
        <v>10998</v>
      </c>
      <c r="C2175" s="288" t="s">
        <v>47</v>
      </c>
      <c r="D2175" s="303">
        <v>345.62</v>
      </c>
    </row>
    <row r="2176" spans="1:4">
      <c r="A2176" s="287" t="s">
        <v>10999</v>
      </c>
      <c r="B2176" s="287"/>
      <c r="C2176" s="287"/>
      <c r="D2176" s="296" t="s">
        <v>28729</v>
      </c>
    </row>
    <row r="2177" spans="1:4" ht="36">
      <c r="A2177" s="288" t="s">
        <v>11000</v>
      </c>
      <c r="B2177" s="289" t="s">
        <v>11001</v>
      </c>
      <c r="C2177" s="288" t="s">
        <v>47</v>
      </c>
      <c r="D2177" s="303">
        <v>255.87</v>
      </c>
    </row>
    <row r="2178" spans="1:4" ht="36">
      <c r="A2178" s="288" t="s">
        <v>11002</v>
      </c>
      <c r="B2178" s="289" t="s">
        <v>11003</v>
      </c>
      <c r="C2178" s="288" t="s">
        <v>47</v>
      </c>
      <c r="D2178" s="303">
        <v>289.89999999999998</v>
      </c>
    </row>
    <row r="2179" spans="1:4" ht="18">
      <c r="A2179" s="287" t="s">
        <v>11004</v>
      </c>
      <c r="B2179" s="287"/>
      <c r="C2179" s="287"/>
      <c r="D2179" s="296" t="s">
        <v>28729</v>
      </c>
    </row>
    <row r="2180" spans="1:4" ht="27">
      <c r="A2180" s="288" t="s">
        <v>11005</v>
      </c>
      <c r="B2180" s="289" t="s">
        <v>11006</v>
      </c>
      <c r="C2180" s="288" t="s">
        <v>54</v>
      </c>
      <c r="D2180" s="303">
        <v>51.67</v>
      </c>
    </row>
    <row r="2181" spans="1:4" ht="18">
      <c r="A2181" s="288" t="s">
        <v>11007</v>
      </c>
      <c r="B2181" s="289" t="s">
        <v>11008</v>
      </c>
      <c r="C2181" s="288" t="s">
        <v>47</v>
      </c>
      <c r="D2181" s="303">
        <v>1906.33</v>
      </c>
    </row>
    <row r="2182" spans="1:4" ht="18">
      <c r="A2182" s="287" t="s">
        <v>11009</v>
      </c>
      <c r="B2182" s="287"/>
      <c r="C2182" s="287"/>
      <c r="D2182" s="296" t="s">
        <v>28729</v>
      </c>
    </row>
    <row r="2183" spans="1:4" ht="27">
      <c r="A2183" s="288" t="s">
        <v>11010</v>
      </c>
      <c r="B2183" s="289" t="s">
        <v>11011</v>
      </c>
      <c r="C2183" s="288" t="s">
        <v>38</v>
      </c>
      <c r="D2183" s="303">
        <v>3.04</v>
      </c>
    </row>
    <row r="2184" spans="1:4">
      <c r="A2184" s="287" t="s">
        <v>11012</v>
      </c>
      <c r="B2184" s="287"/>
      <c r="C2184" s="287"/>
      <c r="D2184" s="296" t="s">
        <v>28729</v>
      </c>
    </row>
    <row r="2185" spans="1:4" ht="72">
      <c r="A2185" s="288" t="s">
        <v>11013</v>
      </c>
      <c r="B2185" s="289" t="s">
        <v>11014</v>
      </c>
      <c r="C2185" s="288" t="s">
        <v>47</v>
      </c>
      <c r="D2185" s="303">
        <v>2039.92</v>
      </c>
    </row>
    <row r="2186" spans="1:4" ht="72">
      <c r="A2186" s="288" t="s">
        <v>11015</v>
      </c>
      <c r="B2186" s="289" t="s">
        <v>11016</v>
      </c>
      <c r="C2186" s="288" t="s">
        <v>47</v>
      </c>
      <c r="D2186" s="303">
        <v>2350.46</v>
      </c>
    </row>
    <row r="2187" spans="1:4" ht="72">
      <c r="A2187" s="288" t="s">
        <v>11017</v>
      </c>
      <c r="B2187" s="289" t="s">
        <v>11018</v>
      </c>
      <c r="C2187" s="288" t="s">
        <v>47</v>
      </c>
      <c r="D2187" s="303">
        <v>2374.7800000000002</v>
      </c>
    </row>
    <row r="2188" spans="1:4" ht="18">
      <c r="A2188" s="287" t="s">
        <v>11019</v>
      </c>
      <c r="B2188" s="287"/>
      <c r="C2188" s="287"/>
      <c r="D2188" s="296" t="s">
        <v>28729</v>
      </c>
    </row>
    <row r="2189" spans="1:4" ht="27">
      <c r="A2189" s="288" t="s">
        <v>11020</v>
      </c>
      <c r="B2189" s="289" t="s">
        <v>11021</v>
      </c>
      <c r="C2189" s="288" t="s">
        <v>54</v>
      </c>
      <c r="D2189" s="303">
        <v>282.31</v>
      </c>
    </row>
    <row r="2190" spans="1:4" ht="27">
      <c r="A2190" s="288" t="s">
        <v>11022</v>
      </c>
      <c r="B2190" s="289" t="s">
        <v>11023</v>
      </c>
      <c r="C2190" s="288" t="s">
        <v>54</v>
      </c>
      <c r="D2190" s="303">
        <v>447.5</v>
      </c>
    </row>
    <row r="2191" spans="1:4" ht="36">
      <c r="A2191" s="288" t="s">
        <v>11024</v>
      </c>
      <c r="B2191" s="289" t="s">
        <v>11025</v>
      </c>
      <c r="C2191" s="288" t="s">
        <v>54</v>
      </c>
      <c r="D2191" s="303">
        <v>213.54</v>
      </c>
    </row>
    <row r="2192" spans="1:4">
      <c r="A2192" s="287" t="s">
        <v>11026</v>
      </c>
      <c r="B2192" s="287"/>
      <c r="C2192" s="287"/>
      <c r="D2192" s="296" t="s">
        <v>28729</v>
      </c>
    </row>
    <row r="2193" spans="1:4" ht="27">
      <c r="A2193" s="288" t="s">
        <v>11027</v>
      </c>
      <c r="B2193" s="289" t="s">
        <v>11028</v>
      </c>
      <c r="C2193" s="288" t="s">
        <v>54</v>
      </c>
      <c r="D2193" s="303">
        <v>55.14</v>
      </c>
    </row>
    <row r="2194" spans="1:4" ht="27">
      <c r="A2194" s="288" t="s">
        <v>11029</v>
      </c>
      <c r="B2194" s="289" t="s">
        <v>11030</v>
      </c>
      <c r="C2194" s="288" t="s">
        <v>54</v>
      </c>
      <c r="D2194" s="303">
        <v>175.03</v>
      </c>
    </row>
    <row r="2195" spans="1:4">
      <c r="A2195" s="287"/>
      <c r="B2195" s="287"/>
      <c r="C2195" s="287"/>
      <c r="D2195" s="296" t="s">
        <v>28729</v>
      </c>
    </row>
    <row r="2196" spans="1:4">
      <c r="A2196" s="287" t="s">
        <v>11031</v>
      </c>
      <c r="B2196" s="287"/>
      <c r="C2196" s="287"/>
      <c r="D2196" s="296" t="s">
        <v>28729</v>
      </c>
    </row>
    <row r="2197" spans="1:4" ht="27">
      <c r="A2197" s="288" t="s">
        <v>11032</v>
      </c>
      <c r="B2197" s="289" t="s">
        <v>11033</v>
      </c>
      <c r="C2197" s="288" t="s">
        <v>10941</v>
      </c>
      <c r="D2197" s="303">
        <v>7.12</v>
      </c>
    </row>
    <row r="2198" spans="1:4" ht="27">
      <c r="A2198" s="288" t="s">
        <v>11034</v>
      </c>
      <c r="B2198" s="289" t="s">
        <v>11035</v>
      </c>
      <c r="C2198" s="288" t="s">
        <v>10941</v>
      </c>
      <c r="D2198" s="303">
        <v>9.57</v>
      </c>
    </row>
    <row r="2199" spans="1:4" ht="27">
      <c r="A2199" s="288" t="s">
        <v>11036</v>
      </c>
      <c r="B2199" s="289" t="s">
        <v>11037</v>
      </c>
      <c r="C2199" s="288" t="s">
        <v>10941</v>
      </c>
      <c r="D2199" s="303">
        <v>8.9600000000000009</v>
      </c>
    </row>
    <row r="2200" spans="1:4" ht="27">
      <c r="A2200" s="288" t="s">
        <v>11038</v>
      </c>
      <c r="B2200" s="289" t="s">
        <v>11039</v>
      </c>
      <c r="C2200" s="288" t="s">
        <v>10941</v>
      </c>
      <c r="D2200" s="303">
        <v>9.19</v>
      </c>
    </row>
    <row r="2201" spans="1:4" ht="27">
      <c r="A2201" s="288" t="s">
        <v>11040</v>
      </c>
      <c r="B2201" s="289" t="s">
        <v>11041</v>
      </c>
      <c r="C2201" s="288" t="s">
        <v>10941</v>
      </c>
      <c r="D2201" s="303">
        <v>9.59</v>
      </c>
    </row>
    <row r="2202" spans="1:4" ht="27">
      <c r="A2202" s="288" t="s">
        <v>11042</v>
      </c>
      <c r="B2202" s="289" t="s">
        <v>11043</v>
      </c>
      <c r="C2202" s="288" t="s">
        <v>10941</v>
      </c>
      <c r="D2202" s="303">
        <v>9.39</v>
      </c>
    </row>
    <row r="2203" spans="1:4" ht="27">
      <c r="A2203" s="288" t="s">
        <v>11044</v>
      </c>
      <c r="B2203" s="289" t="s">
        <v>11045</v>
      </c>
      <c r="C2203" s="288" t="s">
        <v>10941</v>
      </c>
      <c r="D2203" s="303">
        <v>9.67</v>
      </c>
    </row>
    <row r="2204" spans="1:4" ht="27">
      <c r="A2204" s="288" t="s">
        <v>11046</v>
      </c>
      <c r="B2204" s="289" t="s">
        <v>11047</v>
      </c>
      <c r="C2204" s="288" t="s">
        <v>10941</v>
      </c>
      <c r="D2204" s="303">
        <v>7</v>
      </c>
    </row>
    <row r="2205" spans="1:4" ht="27">
      <c r="A2205" s="288" t="s">
        <v>11048</v>
      </c>
      <c r="B2205" s="289" t="s">
        <v>11049</v>
      </c>
      <c r="C2205" s="288" t="s">
        <v>10941</v>
      </c>
      <c r="D2205" s="303">
        <v>6.85</v>
      </c>
    </row>
    <row r="2206" spans="1:4" ht="27">
      <c r="A2206" s="288" t="s">
        <v>11050</v>
      </c>
      <c r="B2206" s="289" t="s">
        <v>11051</v>
      </c>
      <c r="C2206" s="288" t="s">
        <v>10941</v>
      </c>
      <c r="D2206" s="303">
        <v>7.12</v>
      </c>
    </row>
    <row r="2207" spans="1:4" ht="27">
      <c r="A2207" s="288" t="s">
        <v>11052</v>
      </c>
      <c r="B2207" s="289" t="s">
        <v>11053</v>
      </c>
      <c r="C2207" s="288" t="s">
        <v>10941</v>
      </c>
      <c r="D2207" s="303">
        <v>7.23</v>
      </c>
    </row>
    <row r="2208" spans="1:4" ht="27">
      <c r="A2208" s="288" t="s">
        <v>11054</v>
      </c>
      <c r="B2208" s="289" t="s">
        <v>11055</v>
      </c>
      <c r="C2208" s="288" t="s">
        <v>10941</v>
      </c>
      <c r="D2208" s="303">
        <v>7.69</v>
      </c>
    </row>
    <row r="2209" spans="1:4" ht="27">
      <c r="A2209" s="288" t="s">
        <v>11056</v>
      </c>
      <c r="B2209" s="289" t="s">
        <v>11057</v>
      </c>
      <c r="C2209" s="288" t="s">
        <v>10941</v>
      </c>
      <c r="D2209" s="303">
        <v>7.65</v>
      </c>
    </row>
    <row r="2210" spans="1:4" ht="27">
      <c r="A2210" s="288" t="s">
        <v>11058</v>
      </c>
      <c r="B2210" s="289" t="s">
        <v>11059</v>
      </c>
      <c r="C2210" s="288" t="s">
        <v>10941</v>
      </c>
      <c r="D2210" s="303">
        <v>6.77</v>
      </c>
    </row>
    <row r="2211" spans="1:4" ht="27">
      <c r="A2211" s="288" t="s">
        <v>11060</v>
      </c>
      <c r="B2211" s="289" t="s">
        <v>11061</v>
      </c>
      <c r="C2211" s="288" t="s">
        <v>10941</v>
      </c>
      <c r="D2211" s="303">
        <v>7</v>
      </c>
    </row>
    <row r="2212" spans="1:4" ht="27">
      <c r="A2212" s="288" t="s">
        <v>11062</v>
      </c>
      <c r="B2212" s="289" t="s">
        <v>11063</v>
      </c>
      <c r="C2212" s="288" t="s">
        <v>10941</v>
      </c>
      <c r="D2212" s="303">
        <v>7.34</v>
      </c>
    </row>
    <row r="2213" spans="1:4" ht="27">
      <c r="A2213" s="288" t="s">
        <v>11064</v>
      </c>
      <c r="B2213" s="289" t="s">
        <v>11065</v>
      </c>
      <c r="C2213" s="288" t="s">
        <v>10941</v>
      </c>
      <c r="D2213" s="303">
        <v>6.41</v>
      </c>
    </row>
    <row r="2214" spans="1:4" ht="27">
      <c r="A2214" s="288" t="s">
        <v>11066</v>
      </c>
      <c r="B2214" s="289" t="s">
        <v>11067</v>
      </c>
      <c r="C2214" s="288" t="s">
        <v>10941</v>
      </c>
      <c r="D2214" s="303">
        <v>6.59</v>
      </c>
    </row>
    <row r="2215" spans="1:4" ht="27">
      <c r="A2215" s="288" t="s">
        <v>11068</v>
      </c>
      <c r="B2215" s="289" t="s">
        <v>11069</v>
      </c>
      <c r="C2215" s="288" t="s">
        <v>10941</v>
      </c>
      <c r="D2215" s="303">
        <v>6.22</v>
      </c>
    </row>
    <row r="2216" spans="1:4" ht="27">
      <c r="A2216" s="288" t="s">
        <v>11070</v>
      </c>
      <c r="B2216" s="289" t="s">
        <v>11071</v>
      </c>
      <c r="C2216" s="288" t="s">
        <v>10941</v>
      </c>
      <c r="D2216" s="303">
        <v>6.59</v>
      </c>
    </row>
    <row r="2217" spans="1:4" ht="27">
      <c r="A2217" s="288" t="s">
        <v>11072</v>
      </c>
      <c r="B2217" s="289" t="s">
        <v>11073</v>
      </c>
      <c r="C2217" s="288" t="s">
        <v>10941</v>
      </c>
      <c r="D2217" s="303">
        <v>6.59</v>
      </c>
    </row>
    <row r="2218" spans="1:4" ht="27">
      <c r="A2218" s="288" t="s">
        <v>11074</v>
      </c>
      <c r="B2218" s="289" t="s">
        <v>11075</v>
      </c>
      <c r="C2218" s="288" t="s">
        <v>10941</v>
      </c>
      <c r="D2218" s="303">
        <v>7.04</v>
      </c>
    </row>
    <row r="2219" spans="1:4" ht="27">
      <c r="A2219" s="288" t="s">
        <v>11076</v>
      </c>
      <c r="B2219" s="289" t="s">
        <v>11077</v>
      </c>
      <c r="C2219" s="288" t="s">
        <v>10941</v>
      </c>
      <c r="D2219" s="303">
        <v>6.59</v>
      </c>
    </row>
    <row r="2220" spans="1:4" ht="27">
      <c r="A2220" s="288" t="s">
        <v>11078</v>
      </c>
      <c r="B2220" s="289" t="s">
        <v>11079</v>
      </c>
      <c r="C2220" s="288" t="s">
        <v>10941</v>
      </c>
      <c r="D2220" s="303">
        <v>8</v>
      </c>
    </row>
    <row r="2221" spans="1:4" ht="27">
      <c r="A2221" s="288" t="s">
        <v>11080</v>
      </c>
      <c r="B2221" s="289" t="s">
        <v>11081</v>
      </c>
      <c r="C2221" s="288" t="s">
        <v>10941</v>
      </c>
      <c r="D2221" s="303">
        <v>8.4700000000000006</v>
      </c>
    </row>
    <row r="2222" spans="1:4" ht="18">
      <c r="A2222" s="288" t="s">
        <v>11082</v>
      </c>
      <c r="B2222" s="289" t="s">
        <v>11083</v>
      </c>
      <c r="C2222" s="288" t="s">
        <v>54</v>
      </c>
      <c r="D2222" s="303">
        <v>9.49</v>
      </c>
    </row>
    <row r="2223" spans="1:4">
      <c r="A2223" s="288" t="s">
        <v>11084</v>
      </c>
      <c r="B2223" s="289" t="s">
        <v>11085</v>
      </c>
      <c r="C2223" s="288" t="s">
        <v>54</v>
      </c>
      <c r="D2223" s="303">
        <v>25.97</v>
      </c>
    </row>
    <row r="2224" spans="1:4" ht="27">
      <c r="A2224" s="287" t="s">
        <v>11086</v>
      </c>
      <c r="B2224" s="287"/>
      <c r="C2224" s="287"/>
      <c r="D2224" s="296" t="s">
        <v>28729</v>
      </c>
    </row>
    <row r="2225" spans="1:4" ht="18">
      <c r="A2225" s="288" t="s">
        <v>11087</v>
      </c>
      <c r="B2225" s="289" t="s">
        <v>11088</v>
      </c>
      <c r="C2225" s="288" t="s">
        <v>10941</v>
      </c>
      <c r="D2225" s="303">
        <v>4.24</v>
      </c>
    </row>
    <row r="2226" spans="1:4" ht="18">
      <c r="A2226" s="288" t="s">
        <v>11089</v>
      </c>
      <c r="B2226" s="289" t="s">
        <v>11090</v>
      </c>
      <c r="C2226" s="288" t="s">
        <v>10941</v>
      </c>
      <c r="D2226" s="303">
        <v>3.53</v>
      </c>
    </row>
    <row r="2227" spans="1:4" ht="18">
      <c r="A2227" s="288" t="s">
        <v>11091</v>
      </c>
      <c r="B2227" s="289" t="s">
        <v>11092</v>
      </c>
      <c r="C2227" s="288" t="s">
        <v>10941</v>
      </c>
      <c r="D2227" s="303">
        <v>2.82</v>
      </c>
    </row>
    <row r="2228" spans="1:4" ht="18">
      <c r="A2228" s="288" t="s">
        <v>11093</v>
      </c>
      <c r="B2228" s="289" t="s">
        <v>11094</v>
      </c>
      <c r="C2228" s="288" t="s">
        <v>10941</v>
      </c>
      <c r="D2228" s="303">
        <v>4.24</v>
      </c>
    </row>
    <row r="2229" spans="1:4" ht="18">
      <c r="A2229" s="288" t="s">
        <v>11095</v>
      </c>
      <c r="B2229" s="289" t="s">
        <v>25887</v>
      </c>
      <c r="C2229" s="288" t="s">
        <v>10941</v>
      </c>
      <c r="D2229" s="303">
        <v>3.71</v>
      </c>
    </row>
    <row r="2230" spans="1:4" ht="18">
      <c r="A2230" s="288" t="s">
        <v>11096</v>
      </c>
      <c r="B2230" s="289" t="s">
        <v>25888</v>
      </c>
      <c r="C2230" s="288" t="s">
        <v>10941</v>
      </c>
      <c r="D2230" s="303">
        <v>3.18</v>
      </c>
    </row>
    <row r="2231" spans="1:4" ht="18">
      <c r="A2231" s="288" t="s">
        <v>11097</v>
      </c>
      <c r="B2231" s="289" t="s">
        <v>11098</v>
      </c>
      <c r="C2231" s="288" t="s">
        <v>10941</v>
      </c>
      <c r="D2231" s="303">
        <v>3.88</v>
      </c>
    </row>
    <row r="2232" spans="1:4" ht="18">
      <c r="A2232" s="288" t="s">
        <v>11099</v>
      </c>
      <c r="B2232" s="289" t="s">
        <v>25889</v>
      </c>
      <c r="C2232" s="288" t="s">
        <v>10941</v>
      </c>
      <c r="D2232" s="303">
        <v>4.24</v>
      </c>
    </row>
    <row r="2233" spans="1:4">
      <c r="A2233" s="287"/>
      <c r="B2233" s="287"/>
      <c r="C2233" s="287"/>
      <c r="D2233" s="296" t="s">
        <v>28729</v>
      </c>
    </row>
    <row r="2234" spans="1:4" ht="18">
      <c r="A2234" s="287" t="s">
        <v>11100</v>
      </c>
      <c r="B2234" s="287"/>
      <c r="C2234" s="287"/>
      <c r="D2234" s="296" t="s">
        <v>28729</v>
      </c>
    </row>
    <row r="2235" spans="1:4" ht="27">
      <c r="A2235" s="288" t="s">
        <v>11101</v>
      </c>
      <c r="B2235" s="289" t="s">
        <v>11102</v>
      </c>
      <c r="C2235" s="288" t="s">
        <v>38</v>
      </c>
      <c r="D2235" s="303">
        <v>25.54</v>
      </c>
    </row>
    <row r="2236" spans="1:4" ht="18">
      <c r="A2236" s="287" t="s">
        <v>11103</v>
      </c>
      <c r="B2236" s="287"/>
      <c r="C2236" s="287"/>
      <c r="D2236" s="296" t="s">
        <v>28729</v>
      </c>
    </row>
    <row r="2237" spans="1:4" ht="36">
      <c r="A2237" s="288" t="s">
        <v>11104</v>
      </c>
      <c r="B2237" s="289" t="s">
        <v>11105</v>
      </c>
      <c r="C2237" s="288" t="s">
        <v>38</v>
      </c>
      <c r="D2237" s="303">
        <v>95.47</v>
      </c>
    </row>
    <row r="2238" spans="1:4" ht="36">
      <c r="A2238" s="288" t="s">
        <v>11106</v>
      </c>
      <c r="B2238" s="289" t="s">
        <v>11107</v>
      </c>
      <c r="C2238" s="288" t="s">
        <v>38</v>
      </c>
      <c r="D2238" s="303">
        <v>87.61</v>
      </c>
    </row>
    <row r="2239" spans="1:4" ht="36">
      <c r="A2239" s="288" t="s">
        <v>11108</v>
      </c>
      <c r="B2239" s="289" t="s">
        <v>11109</v>
      </c>
      <c r="C2239" s="288" t="s">
        <v>38</v>
      </c>
      <c r="D2239" s="303">
        <v>74.569999999999993</v>
      </c>
    </row>
    <row r="2240" spans="1:4" ht="27">
      <c r="A2240" s="288" t="s">
        <v>11110</v>
      </c>
      <c r="B2240" s="289" t="s">
        <v>11111</v>
      </c>
      <c r="C2240" s="288" t="s">
        <v>38</v>
      </c>
      <c r="D2240" s="303">
        <v>120.06</v>
      </c>
    </row>
    <row r="2241" spans="1:4" ht="27">
      <c r="A2241" s="288" t="s">
        <v>11112</v>
      </c>
      <c r="B2241" s="289" t="s">
        <v>11113</v>
      </c>
      <c r="C2241" s="288" t="s">
        <v>38</v>
      </c>
      <c r="D2241" s="303">
        <v>101.53</v>
      </c>
    </row>
    <row r="2242" spans="1:4" ht="27">
      <c r="A2242" s="288" t="s">
        <v>11114</v>
      </c>
      <c r="B2242" s="289" t="s">
        <v>11115</v>
      </c>
      <c r="C2242" s="288" t="s">
        <v>38</v>
      </c>
      <c r="D2242" s="303">
        <v>71.209999999999994</v>
      </c>
    </row>
    <row r="2243" spans="1:4" ht="18">
      <c r="A2243" s="288" t="s">
        <v>11116</v>
      </c>
      <c r="B2243" s="289" t="s">
        <v>11117</v>
      </c>
      <c r="C2243" s="288" t="s">
        <v>38</v>
      </c>
      <c r="D2243" s="303">
        <v>108.56</v>
      </c>
    </row>
    <row r="2244" spans="1:4" ht="36">
      <c r="A2244" s="288" t="s">
        <v>11118</v>
      </c>
      <c r="B2244" s="289" t="s">
        <v>11119</v>
      </c>
      <c r="C2244" s="288" t="s">
        <v>38</v>
      </c>
      <c r="D2244" s="303">
        <v>50.41</v>
      </c>
    </row>
    <row r="2245" spans="1:4" ht="27">
      <c r="A2245" s="288" t="s">
        <v>11120</v>
      </c>
      <c r="B2245" s="289" t="s">
        <v>11121</v>
      </c>
      <c r="C2245" s="288" t="s">
        <v>38</v>
      </c>
      <c r="D2245" s="303">
        <v>263.26</v>
      </c>
    </row>
    <row r="2246" spans="1:4" ht="27">
      <c r="A2246" s="288" t="s">
        <v>11122</v>
      </c>
      <c r="B2246" s="289" t="s">
        <v>11123</v>
      </c>
      <c r="C2246" s="288" t="s">
        <v>38</v>
      </c>
      <c r="D2246" s="303">
        <v>54.43</v>
      </c>
    </row>
    <row r="2247" spans="1:4" ht="18">
      <c r="A2247" s="287" t="s">
        <v>11124</v>
      </c>
      <c r="B2247" s="287"/>
      <c r="C2247" s="287"/>
      <c r="D2247" s="296" t="s">
        <v>28729</v>
      </c>
    </row>
    <row r="2248" spans="1:4" ht="27">
      <c r="A2248" s="288" t="s">
        <v>11125</v>
      </c>
      <c r="B2248" s="289" t="s">
        <v>11126</v>
      </c>
      <c r="C2248" s="288" t="s">
        <v>38</v>
      </c>
      <c r="D2248" s="303">
        <v>32.04</v>
      </c>
    </row>
    <row r="2249" spans="1:4" ht="27">
      <c r="A2249" s="288" t="s">
        <v>11127</v>
      </c>
      <c r="B2249" s="289" t="s">
        <v>11128</v>
      </c>
      <c r="C2249" s="288" t="s">
        <v>38</v>
      </c>
      <c r="D2249" s="303">
        <v>214.65</v>
      </c>
    </row>
    <row r="2250" spans="1:4" ht="27">
      <c r="A2250" s="288" t="s">
        <v>11129</v>
      </c>
      <c r="B2250" s="289" t="s">
        <v>11130</v>
      </c>
      <c r="C2250" s="288" t="s">
        <v>38</v>
      </c>
      <c r="D2250" s="303">
        <v>125.86</v>
      </c>
    </row>
    <row r="2251" spans="1:4" ht="27">
      <c r="A2251" s="288" t="s">
        <v>11131</v>
      </c>
      <c r="B2251" s="289" t="s">
        <v>11132</v>
      </c>
      <c r="C2251" s="288" t="s">
        <v>38</v>
      </c>
      <c r="D2251" s="303">
        <v>154.72</v>
      </c>
    </row>
    <row r="2252" spans="1:4">
      <c r="A2252" s="287" t="s">
        <v>11133</v>
      </c>
      <c r="B2252" s="287"/>
      <c r="C2252" s="287"/>
      <c r="D2252" s="296" t="s">
        <v>28729</v>
      </c>
    </row>
    <row r="2253" spans="1:4" ht="36">
      <c r="A2253" s="288" t="s">
        <v>11134</v>
      </c>
      <c r="B2253" s="289" t="s">
        <v>11135</v>
      </c>
      <c r="C2253" s="288" t="s">
        <v>38</v>
      </c>
      <c r="D2253" s="303">
        <v>87.76</v>
      </c>
    </row>
    <row r="2254" spans="1:4" ht="27">
      <c r="A2254" s="288" t="s">
        <v>11136</v>
      </c>
      <c r="B2254" s="289" t="s">
        <v>11137</v>
      </c>
      <c r="C2254" s="288" t="s">
        <v>38</v>
      </c>
      <c r="D2254" s="303">
        <v>75.650000000000006</v>
      </c>
    </row>
    <row r="2255" spans="1:4" ht="27">
      <c r="A2255" s="288" t="s">
        <v>11138</v>
      </c>
      <c r="B2255" s="289" t="s">
        <v>11139</v>
      </c>
      <c r="C2255" s="288" t="s">
        <v>38</v>
      </c>
      <c r="D2255" s="303">
        <v>236</v>
      </c>
    </row>
    <row r="2256" spans="1:4" ht="27">
      <c r="A2256" s="288" t="s">
        <v>11140</v>
      </c>
      <c r="B2256" s="289" t="s">
        <v>11141</v>
      </c>
      <c r="C2256" s="288" t="s">
        <v>38</v>
      </c>
      <c r="D2256" s="303">
        <v>163.71</v>
      </c>
    </row>
    <row r="2257" spans="1:4" ht="27">
      <c r="A2257" s="288" t="s">
        <v>11142</v>
      </c>
      <c r="B2257" s="289" t="s">
        <v>11143</v>
      </c>
      <c r="C2257" s="288" t="s">
        <v>38</v>
      </c>
      <c r="D2257" s="303">
        <v>114.68</v>
      </c>
    </row>
    <row r="2258" spans="1:4">
      <c r="A2258" s="287"/>
      <c r="B2258" s="287"/>
      <c r="C2258" s="287"/>
      <c r="D2258" s="296" t="s">
        <v>28729</v>
      </c>
    </row>
    <row r="2259" spans="1:4" ht="27">
      <c r="A2259" s="287" t="s">
        <v>11144</v>
      </c>
      <c r="B2259" s="287"/>
      <c r="C2259" s="287"/>
      <c r="D2259" s="296" t="s">
        <v>28729</v>
      </c>
    </row>
    <row r="2260" spans="1:4" ht="27">
      <c r="A2260" s="288" t="s">
        <v>11145</v>
      </c>
      <c r="B2260" s="289" t="s">
        <v>11146</v>
      </c>
      <c r="C2260" s="288" t="s">
        <v>47</v>
      </c>
      <c r="D2260" s="303">
        <v>123.39</v>
      </c>
    </row>
    <row r="2261" spans="1:4" ht="18">
      <c r="A2261" s="287" t="s">
        <v>11147</v>
      </c>
      <c r="B2261" s="287"/>
      <c r="C2261" s="287"/>
      <c r="D2261" s="296" t="s">
        <v>28729</v>
      </c>
    </row>
    <row r="2262" spans="1:4" ht="45">
      <c r="A2262" s="288" t="s">
        <v>11148</v>
      </c>
      <c r="B2262" s="289" t="s">
        <v>11149</v>
      </c>
      <c r="C2262" s="288" t="s">
        <v>11150</v>
      </c>
      <c r="D2262" s="303">
        <v>22.33</v>
      </c>
    </row>
    <row r="2263" spans="1:4" ht="45">
      <c r="A2263" s="288" t="s">
        <v>11151</v>
      </c>
      <c r="B2263" s="289" t="s">
        <v>11152</v>
      </c>
      <c r="C2263" s="288" t="s">
        <v>47</v>
      </c>
      <c r="D2263" s="303">
        <v>17.91</v>
      </c>
    </row>
    <row r="2264" spans="1:4" ht="18">
      <c r="A2264" s="287" t="s">
        <v>11153</v>
      </c>
      <c r="B2264" s="287"/>
      <c r="C2264" s="287"/>
      <c r="D2264" s="296" t="s">
        <v>28729</v>
      </c>
    </row>
    <row r="2265" spans="1:4" ht="18">
      <c r="A2265" s="288" t="s">
        <v>11154</v>
      </c>
      <c r="B2265" s="289" t="s">
        <v>11155</v>
      </c>
      <c r="C2265" s="288" t="s">
        <v>47</v>
      </c>
      <c r="D2265" s="303">
        <v>11.64</v>
      </c>
    </row>
    <row r="2266" spans="1:4" ht="18">
      <c r="A2266" s="288" t="s">
        <v>11156</v>
      </c>
      <c r="B2266" s="289" t="s">
        <v>11157</v>
      </c>
      <c r="C2266" s="288" t="s">
        <v>47</v>
      </c>
      <c r="D2266" s="303">
        <v>18.53</v>
      </c>
    </row>
    <row r="2267" spans="1:4" ht="18">
      <c r="A2267" s="288" t="s">
        <v>11158</v>
      </c>
      <c r="B2267" s="289" t="s">
        <v>11159</v>
      </c>
      <c r="C2267" s="288" t="s">
        <v>47</v>
      </c>
      <c r="D2267" s="303">
        <v>28.51</v>
      </c>
    </row>
    <row r="2268" spans="1:4" ht="18">
      <c r="A2268" s="287" t="s">
        <v>11160</v>
      </c>
      <c r="B2268" s="287"/>
      <c r="C2268" s="287"/>
      <c r="D2268" s="296" t="s">
        <v>28729</v>
      </c>
    </row>
    <row r="2269" spans="1:4" ht="27">
      <c r="A2269" s="288" t="s">
        <v>11161</v>
      </c>
      <c r="B2269" s="289" t="s">
        <v>11162</v>
      </c>
      <c r="C2269" s="288" t="s">
        <v>38</v>
      </c>
      <c r="D2269" s="303">
        <v>116.86</v>
      </c>
    </row>
    <row r="2270" spans="1:4" ht="18">
      <c r="A2270" s="287" t="s">
        <v>11163</v>
      </c>
      <c r="B2270" s="287"/>
      <c r="C2270" s="287"/>
      <c r="D2270" s="296" t="s">
        <v>28729</v>
      </c>
    </row>
    <row r="2271" spans="1:4" ht="27">
      <c r="A2271" s="288" t="s">
        <v>11164</v>
      </c>
      <c r="B2271" s="289" t="s">
        <v>11165</v>
      </c>
      <c r="C2271" s="288" t="s">
        <v>38</v>
      </c>
      <c r="D2271" s="303">
        <v>40.11</v>
      </c>
    </row>
    <row r="2272" spans="1:4" ht="27">
      <c r="A2272" s="288" t="s">
        <v>11166</v>
      </c>
      <c r="B2272" s="289" t="s">
        <v>11167</v>
      </c>
      <c r="C2272" s="288" t="s">
        <v>38</v>
      </c>
      <c r="D2272" s="303">
        <v>57.56</v>
      </c>
    </row>
    <row r="2273" spans="1:4" ht="27">
      <c r="A2273" s="288" t="s">
        <v>11168</v>
      </c>
      <c r="B2273" s="289" t="s">
        <v>11169</v>
      </c>
      <c r="C2273" s="288" t="s">
        <v>38</v>
      </c>
      <c r="D2273" s="303">
        <v>89.66</v>
      </c>
    </row>
    <row r="2274" spans="1:4" ht="27">
      <c r="A2274" s="288" t="s">
        <v>11170</v>
      </c>
      <c r="B2274" s="289" t="s">
        <v>11171</v>
      </c>
      <c r="C2274" s="288" t="s">
        <v>38</v>
      </c>
      <c r="D2274" s="303">
        <v>48.41</v>
      </c>
    </row>
    <row r="2275" spans="1:4" ht="27">
      <c r="A2275" s="288" t="s">
        <v>11172</v>
      </c>
      <c r="B2275" s="289" t="s">
        <v>11173</v>
      </c>
      <c r="C2275" s="288" t="s">
        <v>38</v>
      </c>
      <c r="D2275" s="303">
        <v>58.3</v>
      </c>
    </row>
    <row r="2276" spans="1:4" ht="27">
      <c r="A2276" s="288" t="s">
        <v>11174</v>
      </c>
      <c r="B2276" s="289" t="s">
        <v>11175</v>
      </c>
      <c r="C2276" s="288" t="s">
        <v>38</v>
      </c>
      <c r="D2276" s="303">
        <v>110.2</v>
      </c>
    </row>
    <row r="2277" spans="1:4">
      <c r="A2277" s="287"/>
      <c r="B2277" s="287"/>
      <c r="C2277" s="287"/>
      <c r="D2277" s="296" t="s">
        <v>28729</v>
      </c>
    </row>
    <row r="2278" spans="1:4">
      <c r="A2278" s="287" t="s">
        <v>11176</v>
      </c>
      <c r="B2278" s="287"/>
      <c r="C2278" s="287"/>
      <c r="D2278" s="296" t="s">
        <v>28729</v>
      </c>
    </row>
    <row r="2279" spans="1:4" ht="54">
      <c r="A2279" s="288" t="s">
        <v>11177</v>
      </c>
      <c r="B2279" s="289" t="s">
        <v>11178</v>
      </c>
      <c r="C2279" s="288" t="s">
        <v>54</v>
      </c>
      <c r="D2279" s="303">
        <v>171.33</v>
      </c>
    </row>
    <row r="2280" spans="1:4" ht="18">
      <c r="A2280" s="288" t="s">
        <v>25890</v>
      </c>
      <c r="B2280" s="289" t="s">
        <v>25891</v>
      </c>
      <c r="C2280" s="288" t="s">
        <v>38</v>
      </c>
      <c r="D2280" s="303">
        <v>168.2</v>
      </c>
    </row>
    <row r="2281" spans="1:4" ht="108">
      <c r="A2281" s="288" t="s">
        <v>28730</v>
      </c>
      <c r="B2281" s="289" t="s">
        <v>28731</v>
      </c>
      <c r="C2281" s="288" t="s">
        <v>54</v>
      </c>
      <c r="D2281" s="303">
        <v>1654.29</v>
      </c>
    </row>
    <row r="2282" spans="1:4" ht="117">
      <c r="A2282" s="288" t="s">
        <v>28732</v>
      </c>
      <c r="B2282" s="289" t="s">
        <v>28733</v>
      </c>
      <c r="C2282" s="288" t="s">
        <v>54</v>
      </c>
      <c r="D2282" s="297">
        <v>1583.66</v>
      </c>
    </row>
    <row r="2283" spans="1:4" ht="63">
      <c r="A2283" s="288" t="s">
        <v>11179</v>
      </c>
      <c r="B2283" s="289" t="s">
        <v>11180</v>
      </c>
      <c r="C2283" s="288" t="s">
        <v>38</v>
      </c>
      <c r="D2283" s="303">
        <v>408.45</v>
      </c>
    </row>
    <row r="2284" spans="1:4" ht="18">
      <c r="A2284" s="288" t="s">
        <v>11181</v>
      </c>
      <c r="B2284" s="289" t="s">
        <v>11182</v>
      </c>
      <c r="C2284" s="288" t="s">
        <v>54</v>
      </c>
      <c r="D2284" s="303">
        <v>297.69</v>
      </c>
    </row>
    <row r="2285" spans="1:4" ht="18">
      <c r="A2285" s="288" t="s">
        <v>11183</v>
      </c>
      <c r="B2285" s="289" t="s">
        <v>11184</v>
      </c>
      <c r="C2285" s="288" t="s">
        <v>38</v>
      </c>
      <c r="D2285" s="303">
        <v>330.81</v>
      </c>
    </row>
    <row r="2286" spans="1:4" ht="45">
      <c r="A2286" s="288" t="s">
        <v>11185</v>
      </c>
      <c r="B2286" s="289" t="s">
        <v>11186</v>
      </c>
      <c r="C2286" s="288" t="s">
        <v>10941</v>
      </c>
      <c r="D2286" s="303">
        <v>24.32</v>
      </c>
    </row>
    <row r="2287" spans="1:4" ht="45">
      <c r="A2287" s="288" t="s">
        <v>11187</v>
      </c>
      <c r="B2287" s="289" t="s">
        <v>11188</v>
      </c>
      <c r="C2287" s="288" t="s">
        <v>38</v>
      </c>
      <c r="D2287" s="303">
        <v>946.7</v>
      </c>
    </row>
    <row r="2288" spans="1:4" ht="36">
      <c r="A2288" s="288" t="s">
        <v>11189</v>
      </c>
      <c r="B2288" s="289" t="s">
        <v>11190</v>
      </c>
      <c r="C2288" s="288" t="s">
        <v>38</v>
      </c>
      <c r="D2288" s="303">
        <v>738.67</v>
      </c>
    </row>
    <row r="2289" spans="1:4" ht="45">
      <c r="A2289" s="288" t="s">
        <v>11191</v>
      </c>
      <c r="B2289" s="289" t="s">
        <v>11192</v>
      </c>
      <c r="C2289" s="288" t="s">
        <v>38</v>
      </c>
      <c r="D2289" s="303">
        <v>173.66</v>
      </c>
    </row>
    <row r="2290" spans="1:4" ht="18">
      <c r="A2290" s="288" t="s">
        <v>11193</v>
      </c>
      <c r="B2290" s="289" t="s">
        <v>11194</v>
      </c>
      <c r="C2290" s="288" t="s">
        <v>7148</v>
      </c>
      <c r="D2290" s="303">
        <v>14616</v>
      </c>
    </row>
    <row r="2291" spans="1:4" ht="36">
      <c r="A2291" s="288" t="s">
        <v>11195</v>
      </c>
      <c r="B2291" s="289" t="s">
        <v>11196</v>
      </c>
      <c r="C2291" s="288" t="s">
        <v>7148</v>
      </c>
      <c r="D2291" s="303">
        <v>15565.92</v>
      </c>
    </row>
    <row r="2292" spans="1:4" ht="90">
      <c r="A2292" s="288" t="s">
        <v>11197</v>
      </c>
      <c r="B2292" s="289" t="s">
        <v>11198</v>
      </c>
      <c r="C2292" s="288" t="s">
        <v>38</v>
      </c>
      <c r="D2292" s="303">
        <v>563.20000000000005</v>
      </c>
    </row>
    <row r="2293" spans="1:4" ht="18">
      <c r="A2293" s="288" t="s">
        <v>11199</v>
      </c>
      <c r="B2293" s="289" t="s">
        <v>11200</v>
      </c>
      <c r="C2293" s="288" t="s">
        <v>10941</v>
      </c>
      <c r="D2293" s="303">
        <v>17.850000000000001</v>
      </c>
    </row>
    <row r="2294" spans="1:4" ht="27">
      <c r="A2294" s="288" t="s">
        <v>11201</v>
      </c>
      <c r="B2294" s="289" t="s">
        <v>11202</v>
      </c>
      <c r="C2294" s="288" t="s">
        <v>10941</v>
      </c>
      <c r="D2294" s="303">
        <v>18.43</v>
      </c>
    </row>
    <row r="2295" spans="1:4" ht="27">
      <c r="A2295" s="288" t="s">
        <v>11203</v>
      </c>
      <c r="B2295" s="289" t="s">
        <v>11204</v>
      </c>
      <c r="C2295" s="288" t="s">
        <v>10941</v>
      </c>
      <c r="D2295" s="303">
        <v>18.11</v>
      </c>
    </row>
    <row r="2296" spans="1:4" ht="18">
      <c r="A2296" s="288" t="s">
        <v>11205</v>
      </c>
      <c r="B2296" s="289" t="s">
        <v>11206</v>
      </c>
      <c r="C2296" s="288" t="s">
        <v>54</v>
      </c>
      <c r="D2296" s="303">
        <v>43.65</v>
      </c>
    </row>
    <row r="2297" spans="1:4" ht="18">
      <c r="A2297" s="288" t="s">
        <v>11207</v>
      </c>
      <c r="B2297" s="289" t="s">
        <v>11208</v>
      </c>
      <c r="C2297" s="288" t="s">
        <v>10941</v>
      </c>
      <c r="D2297" s="303">
        <v>18.989999999999998</v>
      </c>
    </row>
    <row r="2298" spans="1:4">
      <c r="A2298" s="290"/>
      <c r="B2298" s="290"/>
      <c r="C2298" s="290"/>
      <c r="D2298" s="298"/>
    </row>
    <row r="2299" spans="1:4" ht="18">
      <c r="A2299" s="287" t="s">
        <v>11209</v>
      </c>
      <c r="B2299" s="287"/>
      <c r="C2299" s="287"/>
      <c r="D2299" s="296" t="s">
        <v>28729</v>
      </c>
    </row>
    <row r="2300" spans="1:4" ht="18">
      <c r="A2300" s="288" t="s">
        <v>11210</v>
      </c>
      <c r="B2300" s="289" t="s">
        <v>11211</v>
      </c>
      <c r="C2300" s="288" t="s">
        <v>10941</v>
      </c>
      <c r="D2300" s="303">
        <v>25.66</v>
      </c>
    </row>
    <row r="2301" spans="1:4" ht="18">
      <c r="A2301" s="287" t="s">
        <v>11212</v>
      </c>
      <c r="B2301" s="287"/>
      <c r="C2301" s="287"/>
      <c r="D2301" s="296" t="s">
        <v>28729</v>
      </c>
    </row>
    <row r="2302" spans="1:4" ht="18">
      <c r="A2302" s="288" t="s">
        <v>11213</v>
      </c>
      <c r="B2302" s="289" t="s">
        <v>11214</v>
      </c>
      <c r="C2302" s="288" t="s">
        <v>38</v>
      </c>
      <c r="D2302" s="303">
        <v>23.23</v>
      </c>
    </row>
    <row r="2303" spans="1:4" ht="27">
      <c r="A2303" s="288" t="s">
        <v>11215</v>
      </c>
      <c r="B2303" s="289" t="s">
        <v>11216</v>
      </c>
      <c r="C2303" s="288" t="s">
        <v>54</v>
      </c>
      <c r="D2303" s="303">
        <v>64.17</v>
      </c>
    </row>
    <row r="2304" spans="1:4" ht="45">
      <c r="A2304" s="288" t="s">
        <v>11217</v>
      </c>
      <c r="B2304" s="289" t="s">
        <v>11218</v>
      </c>
      <c r="C2304" s="288" t="s">
        <v>47</v>
      </c>
      <c r="D2304" s="303">
        <v>26102</v>
      </c>
    </row>
    <row r="2305" spans="1:4" ht="36">
      <c r="A2305" s="288" t="s">
        <v>11219</v>
      </c>
      <c r="B2305" s="289" t="s">
        <v>11220</v>
      </c>
      <c r="C2305" s="288" t="s">
        <v>54</v>
      </c>
      <c r="D2305" s="303">
        <v>644.5</v>
      </c>
    </row>
    <row r="2306" spans="1:4" ht="36">
      <c r="A2306" s="288" t="s">
        <v>11221</v>
      </c>
      <c r="B2306" s="289" t="s">
        <v>11222</v>
      </c>
      <c r="C2306" s="288" t="s">
        <v>54</v>
      </c>
      <c r="D2306" s="303">
        <v>957.34</v>
      </c>
    </row>
    <row r="2307" spans="1:4" ht="36">
      <c r="A2307" s="288" t="s">
        <v>11223</v>
      </c>
      <c r="B2307" s="289" t="s">
        <v>11224</v>
      </c>
      <c r="C2307" s="288" t="s">
        <v>54</v>
      </c>
      <c r="D2307" s="303">
        <v>1690.47</v>
      </c>
    </row>
    <row r="2308" spans="1:4" ht="36">
      <c r="A2308" s="288" t="s">
        <v>11225</v>
      </c>
      <c r="B2308" s="289" t="s">
        <v>11226</v>
      </c>
      <c r="C2308" s="288" t="s">
        <v>54</v>
      </c>
      <c r="D2308" s="303">
        <v>1687.5</v>
      </c>
    </row>
    <row r="2309" spans="1:4" ht="36">
      <c r="A2309" s="288" t="s">
        <v>11227</v>
      </c>
      <c r="B2309" s="289" t="s">
        <v>11228</v>
      </c>
      <c r="C2309" s="288" t="s">
        <v>54</v>
      </c>
      <c r="D2309" s="303">
        <v>1400</v>
      </c>
    </row>
    <row r="2310" spans="1:4" ht="36">
      <c r="A2310" s="288" t="s">
        <v>11229</v>
      </c>
      <c r="B2310" s="289" t="s">
        <v>11230</v>
      </c>
      <c r="C2310" s="288" t="s">
        <v>54</v>
      </c>
      <c r="D2310" s="303">
        <v>1729</v>
      </c>
    </row>
    <row r="2311" spans="1:4" ht="18">
      <c r="A2311" s="288" t="s">
        <v>11231</v>
      </c>
      <c r="B2311" s="289" t="s">
        <v>11232</v>
      </c>
      <c r="C2311" s="288" t="s">
        <v>54</v>
      </c>
      <c r="D2311" s="303">
        <v>160.29</v>
      </c>
    </row>
    <row r="2312" spans="1:4" ht="27">
      <c r="A2312" s="288" t="s">
        <v>11233</v>
      </c>
      <c r="B2312" s="289" t="s">
        <v>11234</v>
      </c>
      <c r="C2312" s="288" t="s">
        <v>54</v>
      </c>
      <c r="D2312" s="303">
        <v>64.209999999999994</v>
      </c>
    </row>
    <row r="2313" spans="1:4">
      <c r="A2313" s="287" t="s">
        <v>11235</v>
      </c>
      <c r="B2313" s="287"/>
      <c r="C2313" s="287"/>
      <c r="D2313" s="296" t="s">
        <v>28729</v>
      </c>
    </row>
    <row r="2314" spans="1:4" ht="18">
      <c r="A2314" s="288" t="s">
        <v>11236</v>
      </c>
      <c r="B2314" s="289" t="s">
        <v>11237</v>
      </c>
      <c r="C2314" s="288" t="s">
        <v>7079</v>
      </c>
      <c r="D2314" s="303">
        <v>1477.09</v>
      </c>
    </row>
    <row r="2315" spans="1:4">
      <c r="A2315" s="290"/>
      <c r="B2315" s="290"/>
      <c r="C2315" s="290"/>
      <c r="D2315" s="298"/>
    </row>
    <row r="2316" spans="1:4">
      <c r="A2316" s="287" t="s">
        <v>11238</v>
      </c>
      <c r="B2316" s="287"/>
      <c r="C2316" s="287"/>
      <c r="D2316" s="296" t="s">
        <v>28729</v>
      </c>
    </row>
    <row r="2317" spans="1:4">
      <c r="A2317" s="291"/>
      <c r="B2317" s="291"/>
      <c r="C2317" s="291"/>
      <c r="D2317" s="299"/>
    </row>
    <row r="2318" spans="1:4" ht="36">
      <c r="A2318" s="288" t="s">
        <v>11239</v>
      </c>
      <c r="B2318" s="289" t="s">
        <v>11240</v>
      </c>
      <c r="C2318" s="288" t="s">
        <v>7079</v>
      </c>
      <c r="D2318" s="303">
        <v>283.51</v>
      </c>
    </row>
    <row r="2319" spans="1:4" ht="36">
      <c r="A2319" s="288" t="s">
        <v>11241</v>
      </c>
      <c r="B2319" s="289" t="s">
        <v>11242</v>
      </c>
      <c r="C2319" s="288" t="s">
        <v>7079</v>
      </c>
      <c r="D2319" s="303">
        <v>650.75</v>
      </c>
    </row>
    <row r="2320" spans="1:4" ht="36">
      <c r="A2320" s="288" t="s">
        <v>11243</v>
      </c>
      <c r="B2320" s="289" t="s">
        <v>11244</v>
      </c>
      <c r="C2320" s="288" t="s">
        <v>7079</v>
      </c>
      <c r="D2320" s="303">
        <v>308.47000000000003</v>
      </c>
    </row>
    <row r="2321" spans="1:4" ht="36">
      <c r="A2321" s="288" t="s">
        <v>11245</v>
      </c>
      <c r="B2321" s="289" t="s">
        <v>11246</v>
      </c>
      <c r="C2321" s="288" t="s">
        <v>7079</v>
      </c>
      <c r="D2321" s="303">
        <v>675.72</v>
      </c>
    </row>
    <row r="2322" spans="1:4" ht="18">
      <c r="A2322" s="288" t="s">
        <v>11247</v>
      </c>
      <c r="B2322" s="289" t="s">
        <v>11248</v>
      </c>
      <c r="C2322" s="288" t="s">
        <v>11249</v>
      </c>
      <c r="D2322" s="303">
        <v>62.35</v>
      </c>
    </row>
    <row r="2323" spans="1:4" ht="27">
      <c r="A2323" s="288" t="s">
        <v>11250</v>
      </c>
      <c r="B2323" s="289" t="s">
        <v>11251</v>
      </c>
      <c r="C2323" s="288" t="s">
        <v>54</v>
      </c>
      <c r="D2323" s="303">
        <v>139.97999999999999</v>
      </c>
    </row>
    <row r="2324" spans="1:4" ht="27">
      <c r="A2324" s="288" t="s">
        <v>11252</v>
      </c>
      <c r="B2324" s="289" t="s">
        <v>11253</v>
      </c>
      <c r="C2324" s="288" t="s">
        <v>54</v>
      </c>
      <c r="D2324" s="303">
        <v>341.51</v>
      </c>
    </row>
    <row r="2325" spans="1:4" ht="36">
      <c r="A2325" s="288" t="s">
        <v>11254</v>
      </c>
      <c r="B2325" s="289" t="s">
        <v>11255</v>
      </c>
      <c r="C2325" s="288" t="s">
        <v>7079</v>
      </c>
      <c r="D2325" s="303">
        <v>621.57000000000005</v>
      </c>
    </row>
    <row r="2326" spans="1:4" ht="27">
      <c r="A2326" s="287" t="s">
        <v>11256</v>
      </c>
      <c r="B2326" s="287"/>
      <c r="C2326" s="287"/>
      <c r="D2326" s="296" t="s">
        <v>28729</v>
      </c>
    </row>
    <row r="2327" spans="1:4" ht="18">
      <c r="A2327" s="288" t="s">
        <v>11257</v>
      </c>
      <c r="B2327" s="289" t="s">
        <v>11258</v>
      </c>
      <c r="C2327" s="288" t="s">
        <v>54</v>
      </c>
      <c r="D2327" s="303">
        <v>71.91</v>
      </c>
    </row>
    <row r="2328" spans="1:4" ht="27">
      <c r="A2328" s="287" t="s">
        <v>11259</v>
      </c>
      <c r="B2328" s="287"/>
      <c r="C2328" s="287"/>
      <c r="D2328" s="296" t="s">
        <v>28729</v>
      </c>
    </row>
    <row r="2329" spans="1:4" ht="27">
      <c r="A2329" s="288" t="s">
        <v>11260</v>
      </c>
      <c r="B2329" s="289" t="s">
        <v>11261</v>
      </c>
      <c r="C2329" s="288" t="s">
        <v>10941</v>
      </c>
      <c r="D2329" s="303">
        <v>26</v>
      </c>
    </row>
    <row r="2330" spans="1:4" ht="27">
      <c r="A2330" s="288" t="s">
        <v>11262</v>
      </c>
      <c r="B2330" s="289" t="s">
        <v>11263</v>
      </c>
      <c r="C2330" s="288" t="s">
        <v>10941</v>
      </c>
      <c r="D2330" s="303">
        <v>21.15</v>
      </c>
    </row>
    <row r="2331" spans="1:4" ht="27">
      <c r="A2331" s="288" t="s">
        <v>11264</v>
      </c>
      <c r="B2331" s="289" t="s">
        <v>11265</v>
      </c>
      <c r="C2331" s="288" t="s">
        <v>10941</v>
      </c>
      <c r="D2331" s="303">
        <v>19.21</v>
      </c>
    </row>
    <row r="2332" spans="1:4" ht="18">
      <c r="A2332" s="288" t="s">
        <v>11266</v>
      </c>
      <c r="B2332" s="289" t="s">
        <v>11267</v>
      </c>
      <c r="C2332" s="288" t="s">
        <v>54</v>
      </c>
      <c r="D2332" s="303">
        <v>11.94</v>
      </c>
    </row>
    <row r="2333" spans="1:4" ht="18">
      <c r="A2333" s="288" t="s">
        <v>11268</v>
      </c>
      <c r="B2333" s="289" t="s">
        <v>11269</v>
      </c>
      <c r="C2333" s="288" t="s">
        <v>54</v>
      </c>
      <c r="D2333" s="303">
        <v>31.75</v>
      </c>
    </row>
    <row r="2334" spans="1:4" ht="27">
      <c r="A2334" s="288" t="s">
        <v>11270</v>
      </c>
      <c r="B2334" s="289" t="s">
        <v>11271</v>
      </c>
      <c r="C2334" s="288" t="s">
        <v>54</v>
      </c>
      <c r="D2334" s="303">
        <v>16.829999999999998</v>
      </c>
    </row>
    <row r="2335" spans="1:4" ht="18">
      <c r="A2335" s="287" t="s">
        <v>11272</v>
      </c>
      <c r="B2335" s="287"/>
      <c r="C2335" s="287"/>
      <c r="D2335" s="296" t="s">
        <v>28729</v>
      </c>
    </row>
    <row r="2336" spans="1:4" ht="18">
      <c r="A2336" s="288" t="s">
        <v>11273</v>
      </c>
      <c r="B2336" s="289" t="s">
        <v>11274</v>
      </c>
      <c r="C2336" s="288" t="s">
        <v>7079</v>
      </c>
      <c r="D2336" s="303">
        <v>1238.68</v>
      </c>
    </row>
    <row r="2337" spans="1:4" ht="36">
      <c r="A2337" s="288" t="s">
        <v>11275</v>
      </c>
      <c r="B2337" s="289" t="s">
        <v>11276</v>
      </c>
      <c r="C2337" s="288" t="s">
        <v>54</v>
      </c>
      <c r="D2337" s="303">
        <v>133.69</v>
      </c>
    </row>
    <row r="2338" spans="1:4" ht="36">
      <c r="A2338" s="288" t="s">
        <v>11277</v>
      </c>
      <c r="B2338" s="289" t="s">
        <v>11278</v>
      </c>
      <c r="C2338" s="288" t="s">
        <v>54</v>
      </c>
      <c r="D2338" s="303">
        <v>104.02</v>
      </c>
    </row>
    <row r="2339" spans="1:4" ht="36">
      <c r="A2339" s="288" t="s">
        <v>11279</v>
      </c>
      <c r="B2339" s="289" t="s">
        <v>11280</v>
      </c>
      <c r="C2339" s="288" t="s">
        <v>54</v>
      </c>
      <c r="D2339" s="303">
        <v>157.4</v>
      </c>
    </row>
    <row r="2340" spans="1:4" ht="36">
      <c r="A2340" s="288" t="s">
        <v>11281</v>
      </c>
      <c r="B2340" s="289" t="s">
        <v>11282</v>
      </c>
      <c r="C2340" s="288" t="s">
        <v>54</v>
      </c>
      <c r="D2340" s="303">
        <v>114.35</v>
      </c>
    </row>
    <row r="2341" spans="1:4" ht="18">
      <c r="A2341" s="287" t="s">
        <v>11283</v>
      </c>
      <c r="B2341" s="287"/>
      <c r="C2341" s="287"/>
      <c r="D2341" s="296" t="s">
        <v>28729</v>
      </c>
    </row>
    <row r="2342" spans="1:4" ht="36">
      <c r="A2342" s="288" t="s">
        <v>11284</v>
      </c>
      <c r="B2342" s="289" t="s">
        <v>11285</v>
      </c>
      <c r="C2342" s="288" t="s">
        <v>7079</v>
      </c>
      <c r="D2342" s="303">
        <v>792.23</v>
      </c>
    </row>
    <row r="2343" spans="1:4">
      <c r="A2343" s="287" t="s">
        <v>11286</v>
      </c>
      <c r="B2343" s="287"/>
      <c r="C2343" s="287"/>
      <c r="D2343" s="296" t="s">
        <v>28729</v>
      </c>
    </row>
    <row r="2344" spans="1:4" ht="27">
      <c r="A2344" s="288" t="s">
        <v>11287</v>
      </c>
      <c r="B2344" s="289" t="s">
        <v>11288</v>
      </c>
      <c r="C2344" s="288" t="s">
        <v>7079</v>
      </c>
      <c r="D2344" s="303">
        <v>659.34</v>
      </c>
    </row>
    <row r="2345" spans="1:4" ht="27">
      <c r="A2345" s="288" t="s">
        <v>11289</v>
      </c>
      <c r="B2345" s="289" t="s">
        <v>11290</v>
      </c>
      <c r="C2345" s="288" t="s">
        <v>7079</v>
      </c>
      <c r="D2345" s="303">
        <v>1645.84</v>
      </c>
    </row>
    <row r="2346" spans="1:4" ht="27">
      <c r="A2346" s="288" t="s">
        <v>11291</v>
      </c>
      <c r="B2346" s="289" t="s">
        <v>11292</v>
      </c>
      <c r="C2346" s="288" t="s">
        <v>7079</v>
      </c>
      <c r="D2346" s="303">
        <v>3071.32</v>
      </c>
    </row>
    <row r="2347" spans="1:4">
      <c r="A2347" s="290"/>
      <c r="B2347" s="290"/>
      <c r="C2347" s="290"/>
      <c r="D2347" s="298"/>
    </row>
    <row r="2348" spans="1:4" ht="18">
      <c r="A2348" s="287" t="s">
        <v>11293</v>
      </c>
      <c r="B2348" s="287"/>
      <c r="C2348" s="287"/>
      <c r="D2348" s="296" t="s">
        <v>28729</v>
      </c>
    </row>
    <row r="2349" spans="1:4" ht="27">
      <c r="A2349" s="288" t="s">
        <v>11294</v>
      </c>
      <c r="B2349" s="289" t="s">
        <v>11295</v>
      </c>
      <c r="C2349" s="288" t="s">
        <v>38</v>
      </c>
      <c r="D2349" s="303">
        <v>84.4</v>
      </c>
    </row>
    <row r="2350" spans="1:4" ht="27">
      <c r="A2350" s="288" t="s">
        <v>11296</v>
      </c>
      <c r="B2350" s="289" t="s">
        <v>11297</v>
      </c>
      <c r="C2350" s="288" t="s">
        <v>38</v>
      </c>
      <c r="D2350" s="303">
        <v>73.489999999999995</v>
      </c>
    </row>
    <row r="2351" spans="1:4" ht="18">
      <c r="A2351" s="288" t="s">
        <v>11298</v>
      </c>
      <c r="B2351" s="289" t="s">
        <v>11299</v>
      </c>
      <c r="C2351" s="288" t="s">
        <v>38</v>
      </c>
      <c r="D2351" s="303">
        <v>11.6</v>
      </c>
    </row>
    <row r="2352" spans="1:4" ht="18">
      <c r="A2352" s="288" t="s">
        <v>11300</v>
      </c>
      <c r="B2352" s="289" t="s">
        <v>11301</v>
      </c>
      <c r="C2352" s="288" t="s">
        <v>38</v>
      </c>
      <c r="D2352" s="303">
        <v>18.37</v>
      </c>
    </row>
    <row r="2353" spans="1:4" ht="18">
      <c r="A2353" s="288" t="s">
        <v>11302</v>
      </c>
      <c r="B2353" s="289" t="s">
        <v>11303</v>
      </c>
      <c r="C2353" s="288" t="s">
        <v>38</v>
      </c>
      <c r="D2353" s="303">
        <v>31.87</v>
      </c>
    </row>
    <row r="2354" spans="1:4" ht="18">
      <c r="A2354" s="288" t="s">
        <v>11304</v>
      </c>
      <c r="B2354" s="289" t="s">
        <v>11305</v>
      </c>
      <c r="C2354" s="288" t="s">
        <v>38</v>
      </c>
      <c r="D2354" s="303">
        <v>43.55</v>
      </c>
    </row>
    <row r="2355" spans="1:4" ht="18">
      <c r="A2355" s="288" t="s">
        <v>11306</v>
      </c>
      <c r="B2355" s="289" t="s">
        <v>11307</v>
      </c>
      <c r="C2355" s="288" t="s">
        <v>38</v>
      </c>
      <c r="D2355" s="303">
        <v>51.14</v>
      </c>
    </row>
    <row r="2356" spans="1:4" ht="18">
      <c r="A2356" s="288" t="s">
        <v>11308</v>
      </c>
      <c r="B2356" s="289" t="s">
        <v>11309</v>
      </c>
      <c r="C2356" s="288" t="s">
        <v>38</v>
      </c>
      <c r="D2356" s="303">
        <v>54.74</v>
      </c>
    </row>
    <row r="2357" spans="1:4" ht="18">
      <c r="A2357" s="288" t="s">
        <v>11310</v>
      </c>
      <c r="B2357" s="289" t="s">
        <v>11311</v>
      </c>
      <c r="C2357" s="288" t="s">
        <v>38</v>
      </c>
      <c r="D2357" s="303">
        <v>92.37</v>
      </c>
    </row>
    <row r="2358" spans="1:4" ht="18">
      <c r="A2358" s="288" t="s">
        <v>11312</v>
      </c>
      <c r="B2358" s="289" t="s">
        <v>11313</v>
      </c>
      <c r="C2358" s="288" t="s">
        <v>38</v>
      </c>
      <c r="D2358" s="303">
        <v>145.22999999999999</v>
      </c>
    </row>
    <row r="2359" spans="1:4" ht="18">
      <c r="A2359" s="288" t="s">
        <v>11314</v>
      </c>
      <c r="B2359" s="289" t="s">
        <v>11315</v>
      </c>
      <c r="C2359" s="288" t="s">
        <v>38</v>
      </c>
      <c r="D2359" s="303">
        <v>8.15</v>
      </c>
    </row>
    <row r="2360" spans="1:4" ht="18">
      <c r="A2360" s="288" t="s">
        <v>11316</v>
      </c>
      <c r="B2360" s="289" t="s">
        <v>11317</v>
      </c>
      <c r="C2360" s="288" t="s">
        <v>38</v>
      </c>
      <c r="D2360" s="303">
        <v>9.33</v>
      </c>
    </row>
    <row r="2361" spans="1:4" ht="18">
      <c r="A2361" s="288" t="s">
        <v>11318</v>
      </c>
      <c r="B2361" s="289" t="s">
        <v>11319</v>
      </c>
      <c r="C2361" s="288" t="s">
        <v>38</v>
      </c>
      <c r="D2361" s="303">
        <v>15.91</v>
      </c>
    </row>
    <row r="2362" spans="1:4" ht="18">
      <c r="A2362" s="288" t="s">
        <v>11320</v>
      </c>
      <c r="B2362" s="289" t="s">
        <v>11321</v>
      </c>
      <c r="C2362" s="288" t="s">
        <v>38</v>
      </c>
      <c r="D2362" s="303">
        <v>62.57</v>
      </c>
    </row>
    <row r="2363" spans="1:4" ht="18">
      <c r="A2363" s="288" t="s">
        <v>11322</v>
      </c>
      <c r="B2363" s="289" t="s">
        <v>11323</v>
      </c>
      <c r="C2363" s="288" t="s">
        <v>38</v>
      </c>
      <c r="D2363" s="303">
        <v>12.94</v>
      </c>
    </row>
    <row r="2364" spans="1:4">
      <c r="A2364" s="288" t="s">
        <v>11324</v>
      </c>
      <c r="B2364" s="289" t="s">
        <v>11325</v>
      </c>
      <c r="C2364" s="288" t="s">
        <v>38</v>
      </c>
      <c r="D2364" s="303">
        <v>0.6</v>
      </c>
    </row>
    <row r="2365" spans="1:4">
      <c r="A2365" s="290"/>
      <c r="B2365" s="290"/>
      <c r="C2365" s="290"/>
      <c r="D2365" s="298"/>
    </row>
    <row r="2366" spans="1:4">
      <c r="A2366" s="287" t="s">
        <v>11326</v>
      </c>
      <c r="B2366" s="287"/>
      <c r="C2366" s="287"/>
      <c r="D2366" s="296" t="s">
        <v>28729</v>
      </c>
    </row>
    <row r="2367" spans="1:4" ht="27">
      <c r="A2367" s="288" t="s">
        <v>11327</v>
      </c>
      <c r="B2367" s="289" t="s">
        <v>11328</v>
      </c>
      <c r="C2367" s="288" t="s">
        <v>47</v>
      </c>
      <c r="D2367" s="303">
        <v>1340.17</v>
      </c>
    </row>
    <row r="2368" spans="1:4" ht="99">
      <c r="A2368" s="288" t="s">
        <v>11329</v>
      </c>
      <c r="B2368" s="289" t="s">
        <v>11330</v>
      </c>
      <c r="C2368" s="288" t="s">
        <v>38</v>
      </c>
      <c r="D2368" s="303">
        <v>1472.24</v>
      </c>
    </row>
    <row r="2369" spans="1:4">
      <c r="A2369" s="287" t="s">
        <v>11331</v>
      </c>
      <c r="B2369" s="287"/>
      <c r="C2369" s="287"/>
      <c r="D2369" s="296" t="s">
        <v>28729</v>
      </c>
    </row>
    <row r="2370" spans="1:4" ht="27">
      <c r="A2370" s="288" t="s">
        <v>11332</v>
      </c>
      <c r="B2370" s="289" t="s">
        <v>11333</v>
      </c>
      <c r="C2370" s="288" t="s">
        <v>47</v>
      </c>
      <c r="D2370" s="303">
        <v>480.47</v>
      </c>
    </row>
    <row r="2371" spans="1:4" ht="27">
      <c r="A2371" s="288" t="s">
        <v>11334</v>
      </c>
      <c r="B2371" s="289" t="s">
        <v>11335</v>
      </c>
      <c r="C2371" s="288" t="s">
        <v>47</v>
      </c>
      <c r="D2371" s="303">
        <v>416</v>
      </c>
    </row>
    <row r="2372" spans="1:4" ht="27">
      <c r="A2372" s="288" t="s">
        <v>11336</v>
      </c>
      <c r="B2372" s="289" t="s">
        <v>11337</v>
      </c>
      <c r="C2372" s="288" t="s">
        <v>47</v>
      </c>
      <c r="D2372" s="303">
        <v>392.37</v>
      </c>
    </row>
    <row r="2373" spans="1:4" ht="27">
      <c r="A2373" s="288" t="s">
        <v>11338</v>
      </c>
      <c r="B2373" s="289" t="s">
        <v>11339</v>
      </c>
      <c r="C2373" s="288" t="s">
        <v>47</v>
      </c>
      <c r="D2373" s="303">
        <v>514.95000000000005</v>
      </c>
    </row>
    <row r="2374" spans="1:4" ht="27">
      <c r="A2374" s="288" t="s">
        <v>11340</v>
      </c>
      <c r="B2374" s="289" t="s">
        <v>11341</v>
      </c>
      <c r="C2374" s="288" t="s">
        <v>47</v>
      </c>
      <c r="D2374" s="303">
        <v>402.87</v>
      </c>
    </row>
    <row r="2375" spans="1:4" ht="27">
      <c r="A2375" s="288" t="s">
        <v>11342</v>
      </c>
      <c r="B2375" s="289" t="s">
        <v>11343</v>
      </c>
      <c r="C2375" s="288" t="s">
        <v>47</v>
      </c>
      <c r="D2375" s="303">
        <v>413.37</v>
      </c>
    </row>
    <row r="2376" spans="1:4" ht="27">
      <c r="A2376" s="288" t="s">
        <v>11344</v>
      </c>
      <c r="B2376" s="289" t="s">
        <v>11345</v>
      </c>
      <c r="C2376" s="288" t="s">
        <v>47</v>
      </c>
      <c r="D2376" s="303">
        <v>471.12</v>
      </c>
    </row>
    <row r="2377" spans="1:4" ht="27">
      <c r="A2377" s="288" t="s">
        <v>11346</v>
      </c>
      <c r="B2377" s="289" t="s">
        <v>11347</v>
      </c>
      <c r="C2377" s="288" t="s">
        <v>47</v>
      </c>
      <c r="D2377" s="303">
        <v>497.37</v>
      </c>
    </row>
    <row r="2378" spans="1:4">
      <c r="A2378" s="290"/>
      <c r="B2378" s="290"/>
      <c r="C2378" s="290"/>
      <c r="D2378" s="298"/>
    </row>
    <row r="2379" spans="1:4" ht="18">
      <c r="A2379" s="287" t="s">
        <v>11348</v>
      </c>
      <c r="B2379" s="287"/>
      <c r="C2379" s="287"/>
      <c r="D2379" s="296" t="s">
        <v>28729</v>
      </c>
    </row>
    <row r="2380" spans="1:4" ht="72">
      <c r="A2380" s="288" t="s">
        <v>25892</v>
      </c>
      <c r="B2380" s="289" t="s">
        <v>25893</v>
      </c>
      <c r="C2380" s="288" t="s">
        <v>38</v>
      </c>
      <c r="D2380" s="303">
        <v>127.75</v>
      </c>
    </row>
    <row r="2381" spans="1:4" ht="18">
      <c r="A2381" s="288" t="s">
        <v>11349</v>
      </c>
      <c r="B2381" s="289" t="s">
        <v>11350</v>
      </c>
      <c r="C2381" s="288" t="s">
        <v>38</v>
      </c>
      <c r="D2381" s="303">
        <v>772.48</v>
      </c>
    </row>
    <row r="2382" spans="1:4" ht="27">
      <c r="A2382" s="288" t="s">
        <v>11351</v>
      </c>
      <c r="B2382" s="289" t="s">
        <v>11352</v>
      </c>
      <c r="C2382" s="288" t="s">
        <v>38</v>
      </c>
      <c r="D2382" s="303">
        <v>405.39</v>
      </c>
    </row>
    <row r="2383" spans="1:4">
      <c r="A2383" s="290"/>
      <c r="B2383" s="290"/>
      <c r="C2383" s="290"/>
      <c r="D2383" s="298"/>
    </row>
    <row r="2384" spans="1:4">
      <c r="A2384" s="287" t="s">
        <v>11353</v>
      </c>
      <c r="B2384" s="287"/>
      <c r="C2384" s="287"/>
      <c r="D2384" s="296" t="s">
        <v>28729</v>
      </c>
    </row>
    <row r="2385" spans="1:4" ht="27">
      <c r="A2385" s="288" t="s">
        <v>11354</v>
      </c>
      <c r="B2385" s="289" t="s">
        <v>11355</v>
      </c>
      <c r="C2385" s="288" t="s">
        <v>38</v>
      </c>
      <c r="D2385" s="303">
        <v>499.62</v>
      </c>
    </row>
    <row r="2386" spans="1:4" ht="27">
      <c r="A2386" s="288" t="s">
        <v>11356</v>
      </c>
      <c r="B2386" s="289" t="s">
        <v>11357</v>
      </c>
      <c r="C2386" s="288" t="s">
        <v>38</v>
      </c>
      <c r="D2386" s="303">
        <v>89.56</v>
      </c>
    </row>
    <row r="2387" spans="1:4" ht="27">
      <c r="A2387" s="288" t="s">
        <v>11358</v>
      </c>
      <c r="B2387" s="289" t="s">
        <v>11359</v>
      </c>
      <c r="C2387" s="288" t="s">
        <v>38</v>
      </c>
      <c r="D2387" s="303">
        <v>117.53</v>
      </c>
    </row>
    <row r="2388" spans="1:4" ht="36">
      <c r="A2388" s="288" t="s">
        <v>11360</v>
      </c>
      <c r="B2388" s="289" t="s">
        <v>11361</v>
      </c>
      <c r="C2388" s="288" t="s">
        <v>38</v>
      </c>
      <c r="D2388" s="303">
        <v>111.84</v>
      </c>
    </row>
    <row r="2389" spans="1:4" ht="36">
      <c r="A2389" s="288" t="s">
        <v>11362</v>
      </c>
      <c r="B2389" s="289" t="s">
        <v>11363</v>
      </c>
      <c r="C2389" s="288" t="s">
        <v>38</v>
      </c>
      <c r="D2389" s="303">
        <v>155.53</v>
      </c>
    </row>
    <row r="2390" spans="1:4" ht="36">
      <c r="A2390" s="288" t="s">
        <v>11364</v>
      </c>
      <c r="B2390" s="289" t="s">
        <v>11365</v>
      </c>
      <c r="C2390" s="288" t="s">
        <v>38</v>
      </c>
      <c r="D2390" s="303">
        <v>148.47</v>
      </c>
    </row>
    <row r="2391" spans="1:4" ht="36">
      <c r="A2391" s="288" t="s">
        <v>11366</v>
      </c>
      <c r="B2391" s="289" t="s">
        <v>11367</v>
      </c>
      <c r="C2391" s="288" t="s">
        <v>38</v>
      </c>
      <c r="D2391" s="303">
        <v>194.71</v>
      </c>
    </row>
    <row r="2392" spans="1:4" ht="36">
      <c r="A2392" s="288" t="s">
        <v>11368</v>
      </c>
      <c r="B2392" s="289" t="s">
        <v>11369</v>
      </c>
      <c r="C2392" s="288" t="s">
        <v>38</v>
      </c>
      <c r="D2392" s="303">
        <v>173.37</v>
      </c>
    </row>
    <row r="2393" spans="1:4" ht="18">
      <c r="A2393" s="287" t="s">
        <v>11370</v>
      </c>
      <c r="B2393" s="287"/>
      <c r="C2393" s="287"/>
      <c r="D2393" s="296" t="s">
        <v>28729</v>
      </c>
    </row>
    <row r="2394" spans="1:4" ht="27">
      <c r="A2394" s="288" t="s">
        <v>11371</v>
      </c>
      <c r="B2394" s="289" t="s">
        <v>11372</v>
      </c>
      <c r="C2394" s="288" t="s">
        <v>7079</v>
      </c>
      <c r="D2394" s="303">
        <v>40.51</v>
      </c>
    </row>
    <row r="2395" spans="1:4" ht="27">
      <c r="A2395" s="288" t="s">
        <v>11373</v>
      </c>
      <c r="B2395" s="289" t="s">
        <v>11374</v>
      </c>
      <c r="C2395" s="288" t="s">
        <v>7079</v>
      </c>
      <c r="D2395" s="303">
        <v>38.08</v>
      </c>
    </row>
    <row r="2396" spans="1:4" ht="27">
      <c r="A2396" s="288" t="s">
        <v>11375</v>
      </c>
      <c r="B2396" s="289" t="s">
        <v>11376</v>
      </c>
      <c r="C2396" s="288" t="s">
        <v>38</v>
      </c>
      <c r="D2396" s="303">
        <v>763.89</v>
      </c>
    </row>
    <row r="2397" spans="1:4" ht="18">
      <c r="A2397" s="288" t="s">
        <v>11377</v>
      </c>
      <c r="B2397" s="289" t="s">
        <v>11378</v>
      </c>
      <c r="C2397" s="288" t="s">
        <v>38</v>
      </c>
      <c r="D2397" s="303">
        <v>853.99</v>
      </c>
    </row>
    <row r="2398" spans="1:4" ht="27">
      <c r="A2398" s="288" t="s">
        <v>11379</v>
      </c>
      <c r="B2398" s="289" t="s">
        <v>11380</v>
      </c>
      <c r="C2398" s="288" t="s">
        <v>54</v>
      </c>
      <c r="D2398" s="303">
        <v>7785.1</v>
      </c>
    </row>
    <row r="2399" spans="1:4" ht="27">
      <c r="A2399" s="288" t="s">
        <v>11381</v>
      </c>
      <c r="B2399" s="289" t="s">
        <v>11382</v>
      </c>
      <c r="C2399" s="288" t="s">
        <v>54</v>
      </c>
      <c r="D2399" s="303">
        <v>10120.700000000001</v>
      </c>
    </row>
    <row r="2400" spans="1:4" ht="27">
      <c r="A2400" s="288" t="s">
        <v>11383</v>
      </c>
      <c r="B2400" s="289" t="s">
        <v>11384</v>
      </c>
      <c r="C2400" s="288" t="s">
        <v>54</v>
      </c>
      <c r="D2400" s="303">
        <v>10509.97</v>
      </c>
    </row>
    <row r="2401" spans="1:4" ht="45">
      <c r="A2401" s="288" t="s">
        <v>11385</v>
      </c>
      <c r="B2401" s="289" t="s">
        <v>11386</v>
      </c>
      <c r="C2401" s="288" t="s">
        <v>54</v>
      </c>
      <c r="D2401" s="303">
        <v>15598.59</v>
      </c>
    </row>
    <row r="2402" spans="1:4" ht="45">
      <c r="A2402" s="288" t="s">
        <v>11387</v>
      </c>
      <c r="B2402" s="289" t="s">
        <v>11388</v>
      </c>
      <c r="C2402" s="288" t="s">
        <v>54</v>
      </c>
      <c r="D2402" s="303">
        <v>17938.439999999999</v>
      </c>
    </row>
    <row r="2403" spans="1:4" ht="45">
      <c r="A2403" s="288" t="s">
        <v>11389</v>
      </c>
      <c r="B2403" s="289" t="s">
        <v>11390</v>
      </c>
      <c r="C2403" s="288" t="s">
        <v>54</v>
      </c>
      <c r="D2403" s="303">
        <v>19108.28</v>
      </c>
    </row>
    <row r="2404" spans="1:4" ht="45">
      <c r="A2404" s="288" t="s">
        <v>11391</v>
      </c>
      <c r="B2404" s="289" t="s">
        <v>11392</v>
      </c>
      <c r="C2404" s="288" t="s">
        <v>54</v>
      </c>
      <c r="D2404" s="303">
        <v>20278.14</v>
      </c>
    </row>
    <row r="2405" spans="1:4" ht="45">
      <c r="A2405" s="288" t="s">
        <v>11393</v>
      </c>
      <c r="B2405" s="289" t="s">
        <v>11394</v>
      </c>
      <c r="C2405" s="288" t="s">
        <v>54</v>
      </c>
      <c r="D2405" s="303">
        <v>35763.199999999997</v>
      </c>
    </row>
    <row r="2406" spans="1:4" ht="45">
      <c r="A2406" s="288" t="s">
        <v>11395</v>
      </c>
      <c r="B2406" s="289" t="s">
        <v>11396</v>
      </c>
      <c r="C2406" s="288" t="s">
        <v>54</v>
      </c>
      <c r="D2406" s="303">
        <v>39339.58</v>
      </c>
    </row>
    <row r="2407" spans="1:4" ht="45">
      <c r="A2407" s="288" t="s">
        <v>11397</v>
      </c>
      <c r="B2407" s="289" t="s">
        <v>11398</v>
      </c>
      <c r="C2407" s="288" t="s">
        <v>54</v>
      </c>
      <c r="D2407" s="303">
        <v>42915.86</v>
      </c>
    </row>
    <row r="2408" spans="1:4" ht="45">
      <c r="A2408" s="288" t="s">
        <v>11399</v>
      </c>
      <c r="B2408" s="289" t="s">
        <v>11400</v>
      </c>
      <c r="C2408" s="288" t="s">
        <v>54</v>
      </c>
      <c r="D2408" s="303">
        <v>50068.53</v>
      </c>
    </row>
    <row r="2409" spans="1:4" ht="45">
      <c r="A2409" s="288" t="s">
        <v>11401</v>
      </c>
      <c r="B2409" s="289" t="s">
        <v>11402</v>
      </c>
      <c r="C2409" s="288" t="s">
        <v>54</v>
      </c>
      <c r="D2409" s="303">
        <v>38860.14</v>
      </c>
    </row>
    <row r="2410" spans="1:4" ht="45">
      <c r="A2410" s="288" t="s">
        <v>11403</v>
      </c>
      <c r="B2410" s="289" t="s">
        <v>11404</v>
      </c>
      <c r="C2410" s="288" t="s">
        <v>54</v>
      </c>
      <c r="D2410" s="303">
        <v>42746.18</v>
      </c>
    </row>
    <row r="2411" spans="1:4" ht="45">
      <c r="A2411" s="288" t="s">
        <v>11405</v>
      </c>
      <c r="B2411" s="289" t="s">
        <v>11406</v>
      </c>
      <c r="C2411" s="288" t="s">
        <v>54</v>
      </c>
      <c r="D2411" s="303">
        <v>46632.14</v>
      </c>
    </row>
    <row r="2412" spans="1:4" ht="45">
      <c r="A2412" s="288" t="s">
        <v>11407</v>
      </c>
      <c r="B2412" s="289" t="s">
        <v>11408</v>
      </c>
      <c r="C2412" s="288" t="s">
        <v>54</v>
      </c>
      <c r="D2412" s="303">
        <v>54404.18</v>
      </c>
    </row>
    <row r="2413" spans="1:4" ht="27">
      <c r="A2413" s="287" t="s">
        <v>11409</v>
      </c>
      <c r="B2413" s="287"/>
      <c r="C2413" s="287"/>
      <c r="D2413" s="296" t="s">
        <v>28729</v>
      </c>
    </row>
    <row r="2414" spans="1:4" ht="45">
      <c r="A2414" s="288" t="s">
        <v>11410</v>
      </c>
      <c r="B2414" s="289" t="s">
        <v>11411</v>
      </c>
      <c r="C2414" s="288" t="s">
        <v>38</v>
      </c>
      <c r="D2414" s="303">
        <v>625.63</v>
      </c>
    </row>
    <row r="2415" spans="1:4" ht="45">
      <c r="A2415" s="288" t="s">
        <v>11412</v>
      </c>
      <c r="B2415" s="289" t="s">
        <v>11413</v>
      </c>
      <c r="C2415" s="288" t="s">
        <v>38</v>
      </c>
      <c r="D2415" s="303">
        <v>248.39</v>
      </c>
    </row>
    <row r="2416" spans="1:4">
      <c r="A2416" s="290"/>
      <c r="B2416" s="290"/>
      <c r="C2416" s="290"/>
      <c r="D2416" s="298"/>
    </row>
    <row r="2417" spans="1:4" ht="18">
      <c r="A2417" s="287" t="s">
        <v>11414</v>
      </c>
      <c r="B2417" s="287"/>
      <c r="C2417" s="287"/>
      <c r="D2417" s="296" t="s">
        <v>28729</v>
      </c>
    </row>
    <row r="2418" spans="1:4" ht="18">
      <c r="A2418" s="288" t="s">
        <v>11415</v>
      </c>
      <c r="B2418" s="289" t="s">
        <v>11416</v>
      </c>
      <c r="C2418" s="288" t="s">
        <v>47</v>
      </c>
      <c r="D2418" s="303">
        <v>274.98</v>
      </c>
    </row>
    <row r="2419" spans="1:4" ht="18">
      <c r="A2419" s="288" t="s">
        <v>11417</v>
      </c>
      <c r="B2419" s="289" t="s">
        <v>11418</v>
      </c>
      <c r="C2419" s="288" t="s">
        <v>47</v>
      </c>
      <c r="D2419" s="303">
        <v>307</v>
      </c>
    </row>
    <row r="2420" spans="1:4" ht="18">
      <c r="A2420" s="288" t="s">
        <v>11419</v>
      </c>
      <c r="B2420" s="289" t="s">
        <v>11420</v>
      </c>
      <c r="C2420" s="288" t="s">
        <v>47</v>
      </c>
      <c r="D2420" s="303">
        <v>309</v>
      </c>
    </row>
    <row r="2421" spans="1:4" ht="18">
      <c r="A2421" s="288" t="s">
        <v>11421</v>
      </c>
      <c r="B2421" s="289" t="s">
        <v>11422</v>
      </c>
      <c r="C2421" s="288" t="s">
        <v>47</v>
      </c>
      <c r="D2421" s="303">
        <v>320</v>
      </c>
    </row>
    <row r="2422" spans="1:4" ht="18">
      <c r="A2422" s="288" t="s">
        <v>11423</v>
      </c>
      <c r="B2422" s="289" t="s">
        <v>11424</v>
      </c>
      <c r="C2422" s="288" t="s">
        <v>47</v>
      </c>
      <c r="D2422" s="303">
        <v>313.70999999999998</v>
      </c>
    </row>
    <row r="2423" spans="1:4" ht="18">
      <c r="A2423" s="288" t="s">
        <v>11425</v>
      </c>
      <c r="B2423" s="289" t="s">
        <v>11426</v>
      </c>
      <c r="C2423" s="288" t="s">
        <v>47</v>
      </c>
      <c r="D2423" s="303">
        <v>343</v>
      </c>
    </row>
    <row r="2424" spans="1:4" ht="18">
      <c r="A2424" s="288" t="s">
        <v>11427</v>
      </c>
      <c r="B2424" s="289" t="s">
        <v>11428</v>
      </c>
      <c r="C2424" s="288" t="s">
        <v>47</v>
      </c>
      <c r="D2424" s="303">
        <v>359.72</v>
      </c>
    </row>
    <row r="2425" spans="1:4" ht="18">
      <c r="A2425" s="288" t="s">
        <v>11429</v>
      </c>
      <c r="B2425" s="289" t="s">
        <v>11430</v>
      </c>
      <c r="C2425" s="288" t="s">
        <v>47</v>
      </c>
      <c r="D2425" s="303">
        <v>376.5</v>
      </c>
    </row>
    <row r="2426" spans="1:4" ht="18">
      <c r="A2426" s="288" t="s">
        <v>11431</v>
      </c>
      <c r="B2426" s="289" t="s">
        <v>11432</v>
      </c>
      <c r="C2426" s="288" t="s">
        <v>47</v>
      </c>
      <c r="D2426" s="303">
        <v>395</v>
      </c>
    </row>
    <row r="2427" spans="1:4" ht="27">
      <c r="A2427" s="288" t="s">
        <v>11433</v>
      </c>
      <c r="B2427" s="289" t="s">
        <v>11434</v>
      </c>
      <c r="C2427" s="288" t="s">
        <v>47</v>
      </c>
      <c r="D2427" s="303">
        <v>322.79000000000002</v>
      </c>
    </row>
    <row r="2428" spans="1:4" ht="27">
      <c r="A2428" s="287" t="s">
        <v>11435</v>
      </c>
      <c r="B2428" s="287"/>
      <c r="C2428" s="287"/>
      <c r="D2428" s="296" t="s">
        <v>28729</v>
      </c>
    </row>
    <row r="2429" spans="1:4" ht="27">
      <c r="A2429" s="288" t="s">
        <v>11436</v>
      </c>
      <c r="B2429" s="289" t="s">
        <v>11437</v>
      </c>
      <c r="C2429" s="288" t="s">
        <v>47</v>
      </c>
      <c r="D2429" s="303">
        <v>359.72</v>
      </c>
    </row>
    <row r="2430" spans="1:4" ht="27">
      <c r="A2430" s="288" t="s">
        <v>11438</v>
      </c>
      <c r="B2430" s="289" t="s">
        <v>11439</v>
      </c>
      <c r="C2430" s="288" t="s">
        <v>47</v>
      </c>
      <c r="D2430" s="303">
        <v>590.69000000000005</v>
      </c>
    </row>
    <row r="2431" spans="1:4" ht="18">
      <c r="A2431" s="287" t="s">
        <v>11440</v>
      </c>
      <c r="B2431" s="287"/>
      <c r="C2431" s="287"/>
      <c r="D2431" s="296"/>
    </row>
    <row r="2432" spans="1:4">
      <c r="A2432" s="288" t="s">
        <v>11441</v>
      </c>
      <c r="B2432" s="289" t="s">
        <v>11442</v>
      </c>
      <c r="C2432" s="288" t="s">
        <v>47</v>
      </c>
      <c r="D2432" s="303">
        <v>35</v>
      </c>
    </row>
    <row r="2433" spans="1:4">
      <c r="A2433" s="290"/>
      <c r="B2433" s="290"/>
      <c r="C2433" s="290"/>
      <c r="D2433" s="298"/>
    </row>
    <row r="2434" spans="1:4" ht="27">
      <c r="A2434" s="287" t="s">
        <v>11443</v>
      </c>
      <c r="B2434" s="287"/>
      <c r="C2434" s="287"/>
      <c r="D2434" s="296" t="s">
        <v>28729</v>
      </c>
    </row>
    <row r="2435" spans="1:4" ht="27">
      <c r="A2435" s="288" t="s">
        <v>11444</v>
      </c>
      <c r="B2435" s="289" t="s">
        <v>11445</v>
      </c>
      <c r="C2435" s="288" t="s">
        <v>38</v>
      </c>
      <c r="D2435" s="303">
        <v>41.45</v>
      </c>
    </row>
    <row r="2436" spans="1:4" ht="18">
      <c r="A2436" s="288" t="s">
        <v>11446</v>
      </c>
      <c r="B2436" s="289" t="s">
        <v>11447</v>
      </c>
      <c r="C2436" s="288" t="s">
        <v>10941</v>
      </c>
      <c r="D2436" s="303">
        <v>23.05</v>
      </c>
    </row>
    <row r="2437" spans="1:4">
      <c r="A2437" s="288" t="s">
        <v>11448</v>
      </c>
      <c r="B2437" s="289" t="s">
        <v>11449</v>
      </c>
      <c r="C2437" s="288" t="s">
        <v>10941</v>
      </c>
      <c r="D2437" s="303">
        <v>147.97</v>
      </c>
    </row>
    <row r="2438" spans="1:4" ht="36">
      <c r="A2438" s="288" t="s">
        <v>11450</v>
      </c>
      <c r="B2438" s="289" t="s">
        <v>11451</v>
      </c>
      <c r="C2438" s="288" t="s">
        <v>38</v>
      </c>
      <c r="D2438" s="303">
        <v>1273.53</v>
      </c>
    </row>
    <row r="2439" spans="1:4" ht="36">
      <c r="A2439" s="288" t="s">
        <v>11452</v>
      </c>
      <c r="B2439" s="289" t="s">
        <v>11453</v>
      </c>
      <c r="C2439" s="288" t="s">
        <v>38</v>
      </c>
      <c r="D2439" s="303">
        <v>173.98</v>
      </c>
    </row>
    <row r="2440" spans="1:4" ht="18">
      <c r="A2440" s="288" t="s">
        <v>11454</v>
      </c>
      <c r="B2440" s="289" t="s">
        <v>11455</v>
      </c>
      <c r="C2440" s="288" t="s">
        <v>38</v>
      </c>
      <c r="D2440" s="303">
        <v>59.8</v>
      </c>
    </row>
    <row r="2441" spans="1:4">
      <c r="A2441" s="290"/>
      <c r="B2441" s="290"/>
      <c r="C2441" s="290"/>
      <c r="D2441" s="298"/>
    </row>
    <row r="2442" spans="1:4" ht="18">
      <c r="A2442" s="287" t="s">
        <v>11456</v>
      </c>
      <c r="B2442" s="287"/>
      <c r="C2442" s="287"/>
      <c r="D2442" s="296" t="s">
        <v>28729</v>
      </c>
    </row>
    <row r="2443" spans="1:4" ht="36">
      <c r="A2443" s="288" t="s">
        <v>11457</v>
      </c>
      <c r="B2443" s="289" t="s">
        <v>11458</v>
      </c>
      <c r="C2443" s="288" t="s">
        <v>7079</v>
      </c>
      <c r="D2443" s="303">
        <v>15.93</v>
      </c>
    </row>
    <row r="2444" spans="1:4">
      <c r="A2444" s="290"/>
      <c r="B2444" s="290"/>
      <c r="C2444" s="290"/>
      <c r="D2444" s="298"/>
    </row>
    <row r="2445" spans="1:4" ht="18">
      <c r="A2445" s="287" t="s">
        <v>11459</v>
      </c>
      <c r="B2445" s="287"/>
      <c r="C2445" s="287"/>
      <c r="D2445" s="296" t="s">
        <v>28729</v>
      </c>
    </row>
    <row r="2446" spans="1:4">
      <c r="A2446" s="288" t="s">
        <v>11460</v>
      </c>
      <c r="B2446" s="289" t="s">
        <v>11461</v>
      </c>
      <c r="C2446" s="288" t="s">
        <v>47</v>
      </c>
      <c r="D2446" s="303">
        <v>3608.69</v>
      </c>
    </row>
    <row r="2447" spans="1:4" ht="45">
      <c r="A2447" s="288" t="s">
        <v>11462</v>
      </c>
      <c r="B2447" s="289" t="s">
        <v>11463</v>
      </c>
      <c r="C2447" s="288" t="s">
        <v>10941</v>
      </c>
      <c r="D2447" s="303">
        <v>77.459999999999994</v>
      </c>
    </row>
    <row r="2448" spans="1:4">
      <c r="A2448" s="288" t="s">
        <v>11464</v>
      </c>
      <c r="B2448" s="289" t="s">
        <v>11465</v>
      </c>
      <c r="C2448" s="288" t="s">
        <v>47</v>
      </c>
      <c r="D2448" s="303">
        <v>3299.59</v>
      </c>
    </row>
    <row r="2449" spans="1:4" ht="18">
      <c r="A2449" s="288" t="s">
        <v>11466</v>
      </c>
      <c r="B2449" s="289" t="s">
        <v>11467</v>
      </c>
      <c r="C2449" s="288" t="s">
        <v>11468</v>
      </c>
      <c r="D2449" s="303">
        <v>201.4</v>
      </c>
    </row>
    <row r="2450" spans="1:4" ht="18">
      <c r="A2450" s="288" t="s">
        <v>11469</v>
      </c>
      <c r="B2450" s="289" t="s">
        <v>11470</v>
      </c>
      <c r="C2450" s="288" t="s">
        <v>11468</v>
      </c>
      <c r="D2450" s="303">
        <v>112.92</v>
      </c>
    </row>
    <row r="2451" spans="1:4" ht="18">
      <c r="A2451" s="288" t="s">
        <v>11471</v>
      </c>
      <c r="B2451" s="289" t="s">
        <v>11472</v>
      </c>
      <c r="C2451" s="288" t="s">
        <v>11468</v>
      </c>
      <c r="D2451" s="303">
        <v>67.02</v>
      </c>
    </row>
    <row r="2452" spans="1:4" ht="27">
      <c r="A2452" s="288" t="s">
        <v>11473</v>
      </c>
      <c r="B2452" s="289" t="s">
        <v>11474</v>
      </c>
      <c r="C2452" s="288" t="s">
        <v>11468</v>
      </c>
      <c r="D2452" s="303">
        <v>47.23</v>
      </c>
    </row>
    <row r="2453" spans="1:4" ht="27">
      <c r="A2453" s="288" t="s">
        <v>11475</v>
      </c>
      <c r="B2453" s="289" t="s">
        <v>11476</v>
      </c>
      <c r="C2453" s="288" t="s">
        <v>54</v>
      </c>
      <c r="D2453" s="303">
        <v>186.82</v>
      </c>
    </row>
    <row r="2454" spans="1:4" ht="18">
      <c r="A2454" s="288" t="s">
        <v>11477</v>
      </c>
      <c r="B2454" s="289" t="s">
        <v>11478</v>
      </c>
      <c r="C2454" s="288" t="s">
        <v>38</v>
      </c>
      <c r="D2454" s="303">
        <v>8.7899999999999991</v>
      </c>
    </row>
    <row r="2455" spans="1:4">
      <c r="A2455" s="290"/>
      <c r="B2455" s="290"/>
      <c r="C2455" s="290"/>
      <c r="D2455" s="298"/>
    </row>
    <row r="2456" spans="1:4" ht="18">
      <c r="A2456" s="287" t="s">
        <v>11479</v>
      </c>
      <c r="B2456" s="287"/>
      <c r="C2456" s="287"/>
      <c r="D2456" s="296" t="s">
        <v>28729</v>
      </c>
    </row>
    <row r="2457" spans="1:4" ht="18">
      <c r="A2457" s="288" t="s">
        <v>11480</v>
      </c>
      <c r="B2457" s="289" t="s">
        <v>11481</v>
      </c>
      <c r="C2457" s="288" t="s">
        <v>47</v>
      </c>
      <c r="D2457" s="303">
        <v>66.22</v>
      </c>
    </row>
    <row r="2458" spans="1:4" ht="18">
      <c r="A2458" s="288" t="s">
        <v>25894</v>
      </c>
      <c r="B2458" s="289" t="s">
        <v>25895</v>
      </c>
      <c r="C2458" s="288" t="s">
        <v>38</v>
      </c>
      <c r="D2458" s="303">
        <v>9.8699999999999992</v>
      </c>
    </row>
    <row r="2459" spans="1:4" ht="18">
      <c r="A2459" s="288" t="s">
        <v>11482</v>
      </c>
      <c r="B2459" s="289" t="s">
        <v>11483</v>
      </c>
      <c r="C2459" s="288" t="s">
        <v>47</v>
      </c>
      <c r="D2459" s="303">
        <v>2285.04</v>
      </c>
    </row>
    <row r="2460" spans="1:4" ht="27">
      <c r="A2460" s="288" t="s">
        <v>25896</v>
      </c>
      <c r="B2460" s="289" t="s">
        <v>25897</v>
      </c>
      <c r="C2460" s="288" t="s">
        <v>47</v>
      </c>
      <c r="D2460" s="303">
        <v>10526.61</v>
      </c>
    </row>
    <row r="2461" spans="1:4" ht="18">
      <c r="A2461" s="288" t="s">
        <v>11484</v>
      </c>
      <c r="B2461" s="289" t="s">
        <v>11485</v>
      </c>
      <c r="C2461" s="288" t="s">
        <v>10941</v>
      </c>
      <c r="D2461" s="303">
        <v>4.8</v>
      </c>
    </row>
    <row r="2462" spans="1:4">
      <c r="A2462" s="290"/>
      <c r="B2462" s="290"/>
      <c r="C2462" s="290"/>
      <c r="D2462" s="298"/>
    </row>
    <row r="2463" spans="1:4" ht="18">
      <c r="A2463" s="287" t="s">
        <v>11486</v>
      </c>
      <c r="B2463" s="287"/>
      <c r="C2463" s="287"/>
      <c r="D2463" s="296" t="s">
        <v>28729</v>
      </c>
    </row>
    <row r="2464" spans="1:4" ht="81">
      <c r="A2464" s="288" t="s">
        <v>11487</v>
      </c>
      <c r="B2464" s="289" t="s">
        <v>11488</v>
      </c>
      <c r="C2464" s="288" t="s">
        <v>38</v>
      </c>
      <c r="D2464" s="303">
        <v>1051.94</v>
      </c>
    </row>
    <row r="2465" spans="1:4" ht="81">
      <c r="A2465" s="288" t="s">
        <v>11489</v>
      </c>
      <c r="B2465" s="289" t="s">
        <v>11490</v>
      </c>
      <c r="C2465" s="288" t="s">
        <v>38</v>
      </c>
      <c r="D2465" s="303">
        <v>1168.49</v>
      </c>
    </row>
    <row r="2466" spans="1:4" ht="81">
      <c r="A2466" s="287" t="s">
        <v>11491</v>
      </c>
      <c r="B2466" s="289" t="s">
        <v>11492</v>
      </c>
      <c r="C2466" s="288" t="s">
        <v>38</v>
      </c>
      <c r="D2466" s="303">
        <v>1492.34</v>
      </c>
    </row>
    <row r="2467" spans="1:4">
      <c r="A2467" s="292"/>
      <c r="B2467" s="292"/>
      <c r="C2467" s="292"/>
      <c r="D2467" s="300"/>
    </row>
    <row r="2468" spans="1:4" ht="18">
      <c r="A2468" s="287" t="s">
        <v>11493</v>
      </c>
      <c r="B2468" s="287"/>
      <c r="C2468" s="287"/>
      <c r="D2468" s="296" t="s">
        <v>28729</v>
      </c>
    </row>
    <row r="2469" spans="1:4" ht="27">
      <c r="A2469" s="288" t="s">
        <v>11494</v>
      </c>
      <c r="B2469" s="289" t="s">
        <v>11495</v>
      </c>
      <c r="C2469" s="288" t="s">
        <v>54</v>
      </c>
      <c r="D2469" s="303">
        <v>60.85</v>
      </c>
    </row>
    <row r="2470" spans="1:4" ht="18">
      <c r="A2470" s="287" t="s">
        <v>11496</v>
      </c>
      <c r="B2470" s="287"/>
      <c r="C2470" s="287"/>
      <c r="D2470" s="296" t="s">
        <v>28729</v>
      </c>
    </row>
    <row r="2471" spans="1:4" ht="72">
      <c r="A2471" s="288" t="s">
        <v>11497</v>
      </c>
      <c r="B2471" s="289" t="s">
        <v>11498</v>
      </c>
      <c r="C2471" s="288" t="s">
        <v>38</v>
      </c>
      <c r="D2471" s="303">
        <v>994.21</v>
      </c>
    </row>
    <row r="2472" spans="1:4">
      <c r="A2472" s="292"/>
      <c r="B2472" s="292"/>
      <c r="C2472" s="292"/>
      <c r="D2472" s="300"/>
    </row>
    <row r="2473" spans="1:4">
      <c r="A2473" s="287" t="s">
        <v>11499</v>
      </c>
      <c r="B2473" s="287"/>
      <c r="C2473" s="287"/>
      <c r="D2473" s="296" t="s">
        <v>28729</v>
      </c>
    </row>
    <row r="2474" spans="1:4" ht="36">
      <c r="A2474" s="288" t="s">
        <v>11500</v>
      </c>
      <c r="B2474" s="289" t="s">
        <v>11501</v>
      </c>
      <c r="C2474" s="288" t="s">
        <v>38</v>
      </c>
      <c r="D2474" s="303">
        <v>137.01</v>
      </c>
    </row>
    <row r="2475" spans="1:4">
      <c r="A2475" s="287"/>
      <c r="B2475" s="287"/>
      <c r="C2475" s="287"/>
      <c r="D2475" s="296" t="s">
        <v>28729</v>
      </c>
    </row>
    <row r="2476" spans="1:4">
      <c r="A2476" s="290"/>
      <c r="B2476" s="290"/>
      <c r="C2476" s="290"/>
      <c r="D2476" s="298"/>
    </row>
    <row r="2477" spans="1:4">
      <c r="A2477" s="292"/>
      <c r="B2477" s="292"/>
      <c r="C2477" s="292"/>
      <c r="D2477" s="300"/>
    </row>
    <row r="2478" spans="1:4" ht="18">
      <c r="A2478" s="287" t="s">
        <v>11502</v>
      </c>
      <c r="B2478" s="287"/>
      <c r="C2478" s="287"/>
      <c r="D2478" s="296" t="s">
        <v>28729</v>
      </c>
    </row>
    <row r="2479" spans="1:4" ht="27">
      <c r="A2479" s="288" t="s">
        <v>11503</v>
      </c>
      <c r="B2479" s="289" t="s">
        <v>11504</v>
      </c>
      <c r="C2479" s="288" t="s">
        <v>54</v>
      </c>
      <c r="D2479" s="303">
        <v>465.66</v>
      </c>
    </row>
    <row r="2480" spans="1:4" ht="27">
      <c r="A2480" s="288" t="s">
        <v>11505</v>
      </c>
      <c r="B2480" s="289" t="s">
        <v>11506</v>
      </c>
      <c r="C2480" s="288" t="s">
        <v>54</v>
      </c>
      <c r="D2480" s="303">
        <v>89.37</v>
      </c>
    </row>
    <row r="2481" spans="1:4" ht="27">
      <c r="A2481" s="288" t="s">
        <v>11507</v>
      </c>
      <c r="B2481" s="289" t="s">
        <v>11508</v>
      </c>
      <c r="C2481" s="288" t="s">
        <v>54</v>
      </c>
      <c r="D2481" s="303">
        <v>570.54999999999995</v>
      </c>
    </row>
    <row r="2482" spans="1:4" ht="27">
      <c r="A2482" s="288" t="s">
        <v>11509</v>
      </c>
      <c r="B2482" s="289" t="s">
        <v>11510</v>
      </c>
      <c r="C2482" s="288" t="s">
        <v>54</v>
      </c>
      <c r="D2482" s="303">
        <v>243.12</v>
      </c>
    </row>
    <row r="2483" spans="1:4" ht="27">
      <c r="A2483" s="287" t="s">
        <v>11511</v>
      </c>
      <c r="B2483" s="287"/>
      <c r="C2483" s="287"/>
      <c r="D2483" s="296" t="s">
        <v>28729</v>
      </c>
    </row>
    <row r="2484" spans="1:4" ht="27">
      <c r="A2484" s="288" t="s">
        <v>11512</v>
      </c>
      <c r="B2484" s="289" t="s">
        <v>11513</v>
      </c>
      <c r="C2484" s="288" t="s">
        <v>54</v>
      </c>
      <c r="D2484" s="303">
        <v>148.04</v>
      </c>
    </row>
    <row r="2485" spans="1:4" ht="27">
      <c r="A2485" s="288" t="s">
        <v>11514</v>
      </c>
      <c r="B2485" s="289" t="s">
        <v>11515</v>
      </c>
      <c r="C2485" s="288" t="s">
        <v>54</v>
      </c>
      <c r="D2485" s="303">
        <v>174.57</v>
      </c>
    </row>
    <row r="2486" spans="1:4" ht="27">
      <c r="A2486" s="288" t="s">
        <v>11516</v>
      </c>
      <c r="B2486" s="289" t="s">
        <v>11517</v>
      </c>
      <c r="C2486" s="288" t="s">
        <v>54</v>
      </c>
      <c r="D2486" s="303">
        <v>239.15</v>
      </c>
    </row>
    <row r="2487" spans="1:4" ht="18">
      <c r="A2487" s="288" t="s">
        <v>11518</v>
      </c>
      <c r="B2487" s="289" t="s">
        <v>11519</v>
      </c>
      <c r="C2487" s="288" t="s">
        <v>7079</v>
      </c>
      <c r="D2487" s="303">
        <v>55.38</v>
      </c>
    </row>
    <row r="2488" spans="1:4" ht="18">
      <c r="A2488" s="288" t="s">
        <v>11520</v>
      </c>
      <c r="B2488" s="289" t="s">
        <v>11521</v>
      </c>
      <c r="C2488" s="288" t="s">
        <v>7079</v>
      </c>
      <c r="D2488" s="303">
        <v>71.989999999999995</v>
      </c>
    </row>
    <row r="2489" spans="1:4" ht="18">
      <c r="A2489" s="288" t="s">
        <v>11522</v>
      </c>
      <c r="B2489" s="289" t="s">
        <v>11523</v>
      </c>
      <c r="C2489" s="288" t="s">
        <v>7079</v>
      </c>
      <c r="D2489" s="303">
        <v>91.34</v>
      </c>
    </row>
    <row r="2490" spans="1:4" ht="18">
      <c r="A2490" s="288" t="s">
        <v>11524</v>
      </c>
      <c r="B2490" s="289" t="s">
        <v>11525</v>
      </c>
      <c r="C2490" s="288" t="s">
        <v>7079</v>
      </c>
      <c r="D2490" s="303">
        <v>72.599999999999994</v>
      </c>
    </row>
    <row r="2491" spans="1:4" ht="36">
      <c r="A2491" s="288" t="s">
        <v>11526</v>
      </c>
      <c r="B2491" s="289" t="s">
        <v>11527</v>
      </c>
      <c r="C2491" s="288" t="s">
        <v>54</v>
      </c>
      <c r="D2491" s="303">
        <v>415.1</v>
      </c>
    </row>
    <row r="2492" spans="1:4" ht="36">
      <c r="A2492" s="288" t="s">
        <v>11528</v>
      </c>
      <c r="B2492" s="289" t="s">
        <v>11529</v>
      </c>
      <c r="C2492" s="288" t="s">
        <v>54</v>
      </c>
      <c r="D2492" s="303">
        <v>432.29</v>
      </c>
    </row>
    <row r="2493" spans="1:4" ht="18">
      <c r="A2493" s="287" t="s">
        <v>11530</v>
      </c>
      <c r="B2493" s="287"/>
      <c r="C2493" s="287"/>
      <c r="D2493" s="296" t="s">
        <v>28729</v>
      </c>
    </row>
    <row r="2494" spans="1:4" ht="27">
      <c r="A2494" s="288" t="s">
        <v>11531</v>
      </c>
      <c r="B2494" s="289" t="s">
        <v>11532</v>
      </c>
      <c r="C2494" s="288" t="s">
        <v>54</v>
      </c>
      <c r="D2494" s="303">
        <v>83.75</v>
      </c>
    </row>
    <row r="2495" spans="1:4" ht="27">
      <c r="A2495" s="288" t="s">
        <v>11533</v>
      </c>
      <c r="B2495" s="289" t="s">
        <v>11534</v>
      </c>
      <c r="C2495" s="288" t="s">
        <v>54</v>
      </c>
      <c r="D2495" s="303">
        <v>94.4</v>
      </c>
    </row>
    <row r="2496" spans="1:4" ht="18">
      <c r="A2496" s="287" t="s">
        <v>11535</v>
      </c>
      <c r="B2496" s="287"/>
      <c r="C2496" s="287"/>
      <c r="D2496" s="296" t="s">
        <v>28729</v>
      </c>
    </row>
    <row r="2497" spans="1:4" ht="36">
      <c r="A2497" s="288" t="s">
        <v>11536</v>
      </c>
      <c r="B2497" s="289" t="s">
        <v>11537</v>
      </c>
      <c r="C2497" s="288" t="s">
        <v>54</v>
      </c>
      <c r="D2497" s="303">
        <v>233.17</v>
      </c>
    </row>
    <row r="2498" spans="1:4" ht="36">
      <c r="A2498" s="288" t="s">
        <v>11538</v>
      </c>
      <c r="B2498" s="289" t="s">
        <v>11539</v>
      </c>
      <c r="C2498" s="288" t="s">
        <v>54</v>
      </c>
      <c r="D2498" s="303">
        <v>424.29</v>
      </c>
    </row>
    <row r="2499" spans="1:4">
      <c r="A2499" s="287" t="s">
        <v>11540</v>
      </c>
      <c r="B2499" s="287"/>
      <c r="C2499" s="287"/>
      <c r="D2499" s="296" t="s">
        <v>28729</v>
      </c>
    </row>
    <row r="2500" spans="1:4" ht="27">
      <c r="A2500" s="288" t="s">
        <v>11541</v>
      </c>
      <c r="B2500" s="289" t="s">
        <v>11542</v>
      </c>
      <c r="C2500" s="288" t="s">
        <v>54</v>
      </c>
      <c r="D2500" s="303">
        <v>400.55</v>
      </c>
    </row>
    <row r="2501" spans="1:4" ht="27">
      <c r="A2501" s="288" t="s">
        <v>11543</v>
      </c>
      <c r="B2501" s="289" t="s">
        <v>11544</v>
      </c>
      <c r="C2501" s="288" t="s">
        <v>54</v>
      </c>
      <c r="D2501" s="303">
        <v>485.8</v>
      </c>
    </row>
    <row r="2502" spans="1:4" ht="27">
      <c r="A2502" s="288" t="s">
        <v>11545</v>
      </c>
      <c r="B2502" s="289" t="s">
        <v>11546</v>
      </c>
      <c r="C2502" s="288" t="s">
        <v>54</v>
      </c>
      <c r="D2502" s="303">
        <v>699.9</v>
      </c>
    </row>
    <row r="2503" spans="1:4" ht="18">
      <c r="A2503" s="287" t="s">
        <v>11547</v>
      </c>
      <c r="B2503" s="287"/>
      <c r="C2503" s="287"/>
      <c r="D2503" s="296" t="s">
        <v>28729</v>
      </c>
    </row>
    <row r="2504" spans="1:4" ht="27">
      <c r="A2504" s="288" t="s">
        <v>11548</v>
      </c>
      <c r="B2504" s="289" t="s">
        <v>11549</v>
      </c>
      <c r="C2504" s="288" t="s">
        <v>54</v>
      </c>
      <c r="D2504" s="303">
        <v>958.12</v>
      </c>
    </row>
    <row r="2505" spans="1:4" ht="72">
      <c r="A2505" s="288" t="s">
        <v>11550</v>
      </c>
      <c r="B2505" s="289" t="s">
        <v>11551</v>
      </c>
      <c r="C2505" s="288" t="s">
        <v>54</v>
      </c>
      <c r="D2505" s="303">
        <v>1472.68</v>
      </c>
    </row>
    <row r="2506" spans="1:4" ht="27">
      <c r="A2506" s="288" t="s">
        <v>11552</v>
      </c>
      <c r="B2506" s="289" t="s">
        <v>11553</v>
      </c>
      <c r="C2506" s="288" t="s">
        <v>54</v>
      </c>
      <c r="D2506" s="303">
        <v>1295.3800000000001</v>
      </c>
    </row>
    <row r="2507" spans="1:4" ht="27">
      <c r="A2507" s="288" t="s">
        <v>11554</v>
      </c>
      <c r="B2507" s="289" t="s">
        <v>11555</v>
      </c>
      <c r="C2507" s="288" t="s">
        <v>47</v>
      </c>
      <c r="D2507" s="303">
        <v>474.83</v>
      </c>
    </row>
    <row r="2508" spans="1:4" ht="72">
      <c r="A2508" s="288" t="s">
        <v>11556</v>
      </c>
      <c r="B2508" s="289" t="s">
        <v>11557</v>
      </c>
      <c r="C2508" s="288" t="s">
        <v>54</v>
      </c>
      <c r="D2508" s="303">
        <v>2081.73</v>
      </c>
    </row>
    <row r="2509" spans="1:4" ht="72">
      <c r="A2509" s="288" t="s">
        <v>11558</v>
      </c>
      <c r="B2509" s="289" t="s">
        <v>11559</v>
      </c>
      <c r="C2509" s="288" t="s">
        <v>54</v>
      </c>
      <c r="D2509" s="303">
        <v>2806.97</v>
      </c>
    </row>
    <row r="2510" spans="1:4" ht="72">
      <c r="A2510" s="288" t="s">
        <v>11560</v>
      </c>
      <c r="B2510" s="289" t="s">
        <v>11561</v>
      </c>
      <c r="C2510" s="288" t="s">
        <v>54</v>
      </c>
      <c r="D2510" s="303">
        <v>2964.84</v>
      </c>
    </row>
    <row r="2511" spans="1:4" ht="18">
      <c r="A2511" s="287" t="s">
        <v>11562</v>
      </c>
      <c r="B2511" s="287"/>
      <c r="C2511" s="287"/>
      <c r="D2511" s="296" t="s">
        <v>28729</v>
      </c>
    </row>
    <row r="2512" spans="1:4" ht="63">
      <c r="A2512" s="288" t="s">
        <v>11563</v>
      </c>
      <c r="B2512" s="289" t="s">
        <v>11564</v>
      </c>
      <c r="C2512" s="288" t="s">
        <v>47</v>
      </c>
      <c r="D2512" s="303">
        <v>1945.09</v>
      </c>
    </row>
    <row r="2513" spans="1:4" ht="18">
      <c r="A2513" s="287" t="s">
        <v>11565</v>
      </c>
      <c r="B2513" s="287"/>
      <c r="C2513" s="287"/>
      <c r="D2513" s="296" t="s">
        <v>28729</v>
      </c>
    </row>
    <row r="2514" spans="1:4" ht="27">
      <c r="A2514" s="288" t="s">
        <v>11566</v>
      </c>
      <c r="B2514" s="289" t="s">
        <v>11567</v>
      </c>
      <c r="C2514" s="288" t="s">
        <v>7079</v>
      </c>
      <c r="D2514" s="303">
        <v>152.19</v>
      </c>
    </row>
    <row r="2515" spans="1:4" ht="27">
      <c r="A2515" s="288" t="s">
        <v>11568</v>
      </c>
      <c r="B2515" s="289" t="s">
        <v>11569</v>
      </c>
      <c r="C2515" s="288" t="s">
        <v>7079</v>
      </c>
      <c r="D2515" s="303">
        <v>190.54</v>
      </c>
    </row>
    <row r="2516" spans="1:4" ht="27">
      <c r="A2516" s="288" t="s">
        <v>11570</v>
      </c>
      <c r="B2516" s="289" t="s">
        <v>11571</v>
      </c>
      <c r="C2516" s="288" t="s">
        <v>7079</v>
      </c>
      <c r="D2516" s="303">
        <v>792.82</v>
      </c>
    </row>
    <row r="2517" spans="1:4" ht="27">
      <c r="A2517" s="288" t="s">
        <v>11572</v>
      </c>
      <c r="B2517" s="289" t="s">
        <v>11573</v>
      </c>
      <c r="C2517" s="288" t="s">
        <v>7079</v>
      </c>
      <c r="D2517" s="303">
        <v>905.04</v>
      </c>
    </row>
    <row r="2518" spans="1:4">
      <c r="A2518" s="288" t="s">
        <v>11574</v>
      </c>
      <c r="B2518" s="289" t="s">
        <v>11575</v>
      </c>
      <c r="C2518" s="288" t="s">
        <v>10941</v>
      </c>
      <c r="D2518" s="303">
        <v>3.3</v>
      </c>
    </row>
    <row r="2519" spans="1:4">
      <c r="A2519" s="288" t="s">
        <v>11576</v>
      </c>
      <c r="B2519" s="289" t="s">
        <v>11577</v>
      </c>
      <c r="C2519" s="288" t="s">
        <v>10941</v>
      </c>
      <c r="D2519" s="303">
        <v>5</v>
      </c>
    </row>
    <row r="2520" spans="1:4" ht="27">
      <c r="A2520" s="287" t="s">
        <v>11578</v>
      </c>
      <c r="B2520" s="287"/>
      <c r="C2520" s="287"/>
      <c r="D2520" s="296" t="s">
        <v>28729</v>
      </c>
    </row>
    <row r="2521" spans="1:4" ht="18">
      <c r="A2521" s="288" t="s">
        <v>11579</v>
      </c>
      <c r="B2521" s="289" t="s">
        <v>11580</v>
      </c>
      <c r="C2521" s="288" t="s">
        <v>7079</v>
      </c>
      <c r="D2521" s="303">
        <v>40.700000000000003</v>
      </c>
    </row>
    <row r="2522" spans="1:4" ht="18">
      <c r="A2522" s="288" t="s">
        <v>11581</v>
      </c>
      <c r="B2522" s="289" t="s">
        <v>11582</v>
      </c>
      <c r="C2522" s="288" t="s">
        <v>7079</v>
      </c>
      <c r="D2522" s="303">
        <v>77.78</v>
      </c>
    </row>
    <row r="2523" spans="1:4" ht="18">
      <c r="A2523" s="288" t="s">
        <v>11583</v>
      </c>
      <c r="B2523" s="289" t="s">
        <v>11584</v>
      </c>
      <c r="C2523" s="288" t="s">
        <v>7079</v>
      </c>
      <c r="D2523" s="303">
        <v>118.47</v>
      </c>
    </row>
    <row r="2524" spans="1:4">
      <c r="A2524" s="288" t="s">
        <v>11585</v>
      </c>
      <c r="B2524" s="289" t="s">
        <v>11586</v>
      </c>
      <c r="C2524" s="288" t="s">
        <v>7079</v>
      </c>
      <c r="D2524" s="303">
        <v>159.16999999999999</v>
      </c>
    </row>
    <row r="2525" spans="1:4" ht="18">
      <c r="A2525" s="287" t="s">
        <v>11587</v>
      </c>
      <c r="B2525" s="287"/>
      <c r="C2525" s="287"/>
      <c r="D2525" s="296" t="s">
        <v>28729</v>
      </c>
    </row>
    <row r="2526" spans="1:4" ht="18">
      <c r="A2526" s="288" t="s">
        <v>11588</v>
      </c>
      <c r="B2526" s="289" t="s">
        <v>11589</v>
      </c>
      <c r="C2526" s="288" t="s">
        <v>7079</v>
      </c>
      <c r="D2526" s="303">
        <v>155.29</v>
      </c>
    </row>
    <row r="2527" spans="1:4" ht="18">
      <c r="A2527" s="287" t="s">
        <v>11590</v>
      </c>
      <c r="B2527" s="287"/>
      <c r="C2527" s="287"/>
      <c r="D2527" s="296" t="s">
        <v>28729</v>
      </c>
    </row>
    <row r="2528" spans="1:4" ht="45">
      <c r="A2528" s="288" t="s">
        <v>11591</v>
      </c>
      <c r="B2528" s="289" t="s">
        <v>11592</v>
      </c>
      <c r="C2528" s="288" t="s">
        <v>54</v>
      </c>
      <c r="D2528" s="303">
        <v>156.72</v>
      </c>
    </row>
    <row r="2529" spans="1:4" ht="18">
      <c r="A2529" s="287" t="s">
        <v>11593</v>
      </c>
      <c r="B2529" s="287"/>
      <c r="C2529" s="287"/>
      <c r="D2529" s="296" t="s">
        <v>28729</v>
      </c>
    </row>
    <row r="2530" spans="1:4" ht="27">
      <c r="A2530" s="288" t="s">
        <v>11594</v>
      </c>
      <c r="B2530" s="289" t="s">
        <v>11595</v>
      </c>
      <c r="C2530" s="288" t="s">
        <v>38</v>
      </c>
      <c r="D2530" s="303">
        <v>166.6</v>
      </c>
    </row>
    <row r="2531" spans="1:4">
      <c r="A2531" s="287" t="s">
        <v>11596</v>
      </c>
      <c r="B2531" s="287"/>
      <c r="C2531" s="287"/>
      <c r="D2531" s="296" t="s">
        <v>28729</v>
      </c>
    </row>
    <row r="2532" spans="1:4" ht="18">
      <c r="A2532" s="288" t="s">
        <v>11597</v>
      </c>
      <c r="B2532" s="289" t="s">
        <v>11598</v>
      </c>
      <c r="C2532" s="288" t="s">
        <v>54</v>
      </c>
      <c r="D2532" s="303">
        <v>450</v>
      </c>
    </row>
    <row r="2533" spans="1:4" ht="18">
      <c r="A2533" s="288" t="s">
        <v>11599</v>
      </c>
      <c r="B2533" s="289" t="s">
        <v>11600</v>
      </c>
      <c r="C2533" s="288" t="s">
        <v>54</v>
      </c>
      <c r="D2533" s="303">
        <v>540</v>
      </c>
    </row>
    <row r="2534" spans="1:4" ht="18">
      <c r="A2534" s="288" t="s">
        <v>11601</v>
      </c>
      <c r="B2534" s="289" t="s">
        <v>11602</v>
      </c>
      <c r="C2534" s="288" t="s">
        <v>54</v>
      </c>
      <c r="D2534" s="303">
        <v>710</v>
      </c>
    </row>
    <row r="2535" spans="1:4" ht="18">
      <c r="A2535" s="288" t="s">
        <v>11603</v>
      </c>
      <c r="B2535" s="289" t="s">
        <v>11604</v>
      </c>
      <c r="C2535" s="288" t="s">
        <v>54</v>
      </c>
      <c r="D2535" s="303">
        <v>1025</v>
      </c>
    </row>
    <row r="2536" spans="1:4">
      <c r="A2536" s="290"/>
      <c r="B2536" s="290"/>
      <c r="C2536" s="290"/>
      <c r="D2536" s="298"/>
    </row>
    <row r="2537" spans="1:4" ht="18">
      <c r="A2537" s="287" t="s">
        <v>11605</v>
      </c>
      <c r="B2537" s="287"/>
      <c r="C2537" s="287"/>
      <c r="D2537" s="296" t="s">
        <v>28729</v>
      </c>
    </row>
    <row r="2538" spans="1:4" ht="54">
      <c r="A2538" s="288" t="s">
        <v>11606</v>
      </c>
      <c r="B2538" s="289" t="s">
        <v>11607</v>
      </c>
      <c r="C2538" s="288" t="s">
        <v>38</v>
      </c>
      <c r="D2538" s="303">
        <v>218.39</v>
      </c>
    </row>
    <row r="2539" spans="1:4" ht="63">
      <c r="A2539" s="288" t="s">
        <v>11608</v>
      </c>
      <c r="B2539" s="289" t="s">
        <v>11609</v>
      </c>
      <c r="C2539" s="288" t="s">
        <v>38</v>
      </c>
      <c r="D2539" s="303">
        <v>310.24</v>
      </c>
    </row>
    <row r="2540" spans="1:4" ht="18">
      <c r="A2540" s="287" t="s">
        <v>11610</v>
      </c>
      <c r="B2540" s="287"/>
      <c r="C2540" s="287"/>
      <c r="D2540" s="296" t="s">
        <v>28729</v>
      </c>
    </row>
    <row r="2541" spans="1:4" ht="54">
      <c r="A2541" s="288" t="s">
        <v>11611</v>
      </c>
      <c r="B2541" s="289" t="s">
        <v>11612</v>
      </c>
      <c r="C2541" s="288" t="s">
        <v>38</v>
      </c>
      <c r="D2541" s="303">
        <v>254.87</v>
      </c>
    </row>
    <row r="2542" spans="1:4" ht="54">
      <c r="A2542" s="288" t="s">
        <v>11613</v>
      </c>
      <c r="B2542" s="289" t="s">
        <v>11614</v>
      </c>
      <c r="C2542" s="288" t="s">
        <v>38</v>
      </c>
      <c r="D2542" s="303">
        <v>267.61</v>
      </c>
    </row>
    <row r="2543" spans="1:4" ht="18">
      <c r="A2543" s="287" t="s">
        <v>11615</v>
      </c>
      <c r="B2543" s="287"/>
      <c r="C2543" s="287"/>
      <c r="D2543" s="296" t="s">
        <v>28729</v>
      </c>
    </row>
    <row r="2544" spans="1:4" ht="36">
      <c r="A2544" s="288" t="s">
        <v>11616</v>
      </c>
      <c r="B2544" s="289" t="s">
        <v>11617</v>
      </c>
      <c r="C2544" s="288" t="s">
        <v>38</v>
      </c>
      <c r="D2544" s="303">
        <v>219.37</v>
      </c>
    </row>
    <row r="2545" spans="1:4" ht="18">
      <c r="A2545" s="287" t="s">
        <v>11618</v>
      </c>
      <c r="B2545" s="287"/>
      <c r="C2545" s="287"/>
      <c r="D2545" s="296" t="s">
        <v>28729</v>
      </c>
    </row>
    <row r="2546" spans="1:4" ht="18">
      <c r="A2546" s="288" t="s">
        <v>11619</v>
      </c>
      <c r="B2546" s="289" t="s">
        <v>11620</v>
      </c>
      <c r="C2546" s="288" t="s">
        <v>7079</v>
      </c>
      <c r="D2546" s="303">
        <v>62.85</v>
      </c>
    </row>
    <row r="2547" spans="1:4" ht="27">
      <c r="A2547" s="287" t="s">
        <v>11621</v>
      </c>
      <c r="B2547" s="287"/>
      <c r="C2547" s="287"/>
      <c r="D2547" s="296" t="s">
        <v>28729</v>
      </c>
    </row>
    <row r="2548" spans="1:4" ht="36">
      <c r="A2548" s="288" t="s">
        <v>11622</v>
      </c>
      <c r="B2548" s="289" t="s">
        <v>11623</v>
      </c>
      <c r="C2548" s="288" t="s">
        <v>38</v>
      </c>
      <c r="D2548" s="303">
        <v>74.040000000000006</v>
      </c>
    </row>
    <row r="2549" spans="1:4" ht="18">
      <c r="A2549" s="287" t="s">
        <v>11624</v>
      </c>
      <c r="B2549" s="287"/>
      <c r="C2549" s="287"/>
      <c r="D2549" s="296" t="s">
        <v>28729</v>
      </c>
    </row>
    <row r="2550" spans="1:4" ht="36">
      <c r="A2550" s="288" t="s">
        <v>11625</v>
      </c>
      <c r="B2550" s="289" t="s">
        <v>11626</v>
      </c>
      <c r="C2550" s="288" t="s">
        <v>7079</v>
      </c>
      <c r="D2550" s="303">
        <v>94.93</v>
      </c>
    </row>
    <row r="2551" spans="1:4" ht="36">
      <c r="A2551" s="288" t="s">
        <v>11627</v>
      </c>
      <c r="B2551" s="289" t="s">
        <v>11628</v>
      </c>
      <c r="C2551" s="288" t="s">
        <v>7079</v>
      </c>
      <c r="D2551" s="303">
        <v>155.29</v>
      </c>
    </row>
    <row r="2552" spans="1:4" ht="36">
      <c r="A2552" s="288" t="s">
        <v>11629</v>
      </c>
      <c r="B2552" s="289" t="s">
        <v>11630</v>
      </c>
      <c r="C2552" s="288" t="s">
        <v>54</v>
      </c>
      <c r="D2552" s="303">
        <v>62.41</v>
      </c>
    </row>
    <row r="2553" spans="1:4">
      <c r="A2553" s="292"/>
      <c r="B2553" s="292"/>
      <c r="C2553" s="292"/>
      <c r="D2553" s="300"/>
    </row>
    <row r="2554" spans="1:4">
      <c r="A2554" s="287" t="s">
        <v>11631</v>
      </c>
      <c r="B2554" s="287"/>
      <c r="C2554" s="287"/>
      <c r="D2554" s="296" t="s">
        <v>28729</v>
      </c>
    </row>
    <row r="2555" spans="1:4" ht="36">
      <c r="A2555" s="288" t="s">
        <v>11632</v>
      </c>
      <c r="B2555" s="289" t="s">
        <v>11633</v>
      </c>
      <c r="C2555" s="288" t="s">
        <v>38</v>
      </c>
      <c r="D2555" s="303">
        <v>551.80999999999995</v>
      </c>
    </row>
    <row r="2556" spans="1:4" ht="18">
      <c r="A2556" s="288" t="s">
        <v>11634</v>
      </c>
      <c r="B2556" s="289" t="s">
        <v>11635</v>
      </c>
      <c r="C2556" s="288" t="s">
        <v>10941</v>
      </c>
      <c r="D2556" s="303">
        <v>13.24</v>
      </c>
    </row>
    <row r="2557" spans="1:4">
      <c r="A2557" s="292"/>
      <c r="B2557" s="292"/>
      <c r="C2557" s="292"/>
      <c r="D2557" s="300"/>
    </row>
    <row r="2558" spans="1:4" ht="18">
      <c r="A2558" s="287" t="s">
        <v>11636</v>
      </c>
      <c r="B2558" s="287"/>
      <c r="C2558" s="287"/>
      <c r="D2558" s="296" t="s">
        <v>28729</v>
      </c>
    </row>
    <row r="2559" spans="1:4" ht="18">
      <c r="A2559" s="288" t="s">
        <v>11637</v>
      </c>
      <c r="B2559" s="289" t="s">
        <v>11638</v>
      </c>
      <c r="C2559" s="288" t="s">
        <v>47</v>
      </c>
      <c r="D2559" s="303">
        <v>427.55</v>
      </c>
    </row>
    <row r="2560" spans="1:4" ht="18">
      <c r="A2560" s="288" t="s">
        <v>11639</v>
      </c>
      <c r="B2560" s="289" t="s">
        <v>11640</v>
      </c>
      <c r="C2560" s="288" t="s">
        <v>47</v>
      </c>
      <c r="D2560" s="303">
        <v>521.9</v>
      </c>
    </row>
    <row r="2561" spans="1:4">
      <c r="A2561" s="287"/>
      <c r="B2561" s="287"/>
      <c r="C2561" s="287"/>
      <c r="D2561" s="296" t="s">
        <v>28729</v>
      </c>
    </row>
    <row r="2562" spans="1:4">
      <c r="A2562" s="290"/>
      <c r="B2562" s="290"/>
      <c r="C2562" s="290"/>
      <c r="D2562" s="298"/>
    </row>
    <row r="2563" spans="1:4">
      <c r="A2563" s="292"/>
      <c r="B2563" s="292"/>
      <c r="C2563" s="292"/>
      <c r="D2563" s="300"/>
    </row>
    <row r="2564" spans="1:4">
      <c r="A2564" s="287" t="s">
        <v>11641</v>
      </c>
      <c r="B2564" s="287"/>
      <c r="C2564" s="287"/>
      <c r="D2564" s="296" t="s">
        <v>28729</v>
      </c>
    </row>
    <row r="2565" spans="1:4" ht="18">
      <c r="A2565" s="288" t="s">
        <v>11642</v>
      </c>
      <c r="B2565" s="289" t="s">
        <v>11643</v>
      </c>
      <c r="C2565" s="288" t="s">
        <v>7079</v>
      </c>
      <c r="D2565" s="303">
        <v>1368</v>
      </c>
    </row>
    <row r="2566" spans="1:4" ht="18">
      <c r="A2566" s="288" t="s">
        <v>11644</v>
      </c>
      <c r="B2566" s="289" t="s">
        <v>11645</v>
      </c>
      <c r="C2566" s="288" t="s">
        <v>7079</v>
      </c>
      <c r="D2566" s="303">
        <v>2277</v>
      </c>
    </row>
    <row r="2567" spans="1:4" ht="18">
      <c r="A2567" s="288" t="s">
        <v>11646</v>
      </c>
      <c r="B2567" s="289" t="s">
        <v>11647</v>
      </c>
      <c r="C2567" s="288" t="s">
        <v>7079</v>
      </c>
      <c r="D2567" s="303">
        <v>1330.77</v>
      </c>
    </row>
    <row r="2568" spans="1:4" ht="18">
      <c r="A2568" s="288" t="s">
        <v>11648</v>
      </c>
      <c r="B2568" s="289" t="s">
        <v>11649</v>
      </c>
      <c r="C2568" s="288" t="s">
        <v>7079</v>
      </c>
      <c r="D2568" s="303">
        <v>1448.82</v>
      </c>
    </row>
    <row r="2569" spans="1:4" ht="18">
      <c r="A2569" s="288" t="s">
        <v>11650</v>
      </c>
      <c r="B2569" s="289" t="s">
        <v>11651</v>
      </c>
      <c r="C2569" s="288" t="s">
        <v>7079</v>
      </c>
      <c r="D2569" s="303">
        <v>2039.08</v>
      </c>
    </row>
    <row r="2570" spans="1:4" ht="18">
      <c r="A2570" s="288" t="s">
        <v>11652</v>
      </c>
      <c r="B2570" s="289" t="s">
        <v>11653</v>
      </c>
      <c r="C2570" s="288" t="s">
        <v>7079</v>
      </c>
      <c r="D2570" s="303">
        <v>4072.8</v>
      </c>
    </row>
    <row r="2571" spans="1:4" ht="18">
      <c r="A2571" s="288" t="s">
        <v>11654</v>
      </c>
      <c r="B2571" s="289" t="s">
        <v>11655</v>
      </c>
      <c r="C2571" s="288" t="s">
        <v>7079</v>
      </c>
      <c r="D2571" s="303">
        <v>5880</v>
      </c>
    </row>
    <row r="2572" spans="1:4" ht="18">
      <c r="A2572" s="288" t="s">
        <v>11656</v>
      </c>
      <c r="B2572" s="289" t="s">
        <v>11657</v>
      </c>
      <c r="C2572" s="288" t="s">
        <v>7079</v>
      </c>
      <c r="D2572" s="303">
        <v>6943.2</v>
      </c>
    </row>
    <row r="2573" spans="1:4">
      <c r="A2573" s="287" t="s">
        <v>11658</v>
      </c>
      <c r="B2573" s="287"/>
      <c r="C2573" s="287"/>
      <c r="D2573" s="296" t="s">
        <v>28729</v>
      </c>
    </row>
    <row r="2574" spans="1:4" ht="18">
      <c r="A2574" s="288" t="s">
        <v>11660</v>
      </c>
      <c r="B2574" s="289" t="s">
        <v>11661</v>
      </c>
      <c r="C2574" s="288" t="s">
        <v>7079</v>
      </c>
      <c r="D2574" s="303">
        <v>610</v>
      </c>
    </row>
    <row r="2575" spans="1:4" ht="18">
      <c r="A2575" s="288" t="s">
        <v>11662</v>
      </c>
      <c r="B2575" s="289" t="s">
        <v>11663</v>
      </c>
      <c r="C2575" s="288" t="s">
        <v>7079</v>
      </c>
      <c r="D2575" s="303">
        <v>692.5</v>
      </c>
    </row>
    <row r="2576" spans="1:4" ht="18">
      <c r="A2576" s="288" t="s">
        <v>11664</v>
      </c>
      <c r="B2576" s="289" t="s">
        <v>11665</v>
      </c>
      <c r="C2576" s="288" t="s">
        <v>7079</v>
      </c>
      <c r="D2576" s="303">
        <v>815</v>
      </c>
    </row>
    <row r="2577" spans="1:4" ht="18">
      <c r="A2577" s="288" t="s">
        <v>11666</v>
      </c>
      <c r="B2577" s="289" t="s">
        <v>11667</v>
      </c>
      <c r="C2577" s="288" t="s">
        <v>7079</v>
      </c>
      <c r="D2577" s="303">
        <v>1062.5</v>
      </c>
    </row>
    <row r="2578" spans="1:4" ht="18">
      <c r="A2578" s="288" t="s">
        <v>11668</v>
      </c>
      <c r="B2578" s="289" t="s">
        <v>11669</v>
      </c>
      <c r="C2578" s="288" t="s">
        <v>7079</v>
      </c>
      <c r="D2578" s="303">
        <v>2238.4</v>
      </c>
    </row>
    <row r="2579" spans="1:4" ht="18">
      <c r="A2579" s="288" t="s">
        <v>11670</v>
      </c>
      <c r="B2579" s="289" t="s">
        <v>11671</v>
      </c>
      <c r="C2579" s="288" t="s">
        <v>7079</v>
      </c>
      <c r="D2579" s="303">
        <v>2177.41</v>
      </c>
    </row>
    <row r="2580" spans="1:4" ht="18">
      <c r="A2580" s="288" t="s">
        <v>11672</v>
      </c>
      <c r="B2580" s="289" t="s">
        <v>11673</v>
      </c>
      <c r="C2580" s="288" t="s">
        <v>7079</v>
      </c>
      <c r="D2580" s="303">
        <v>2164.73</v>
      </c>
    </row>
    <row r="2581" spans="1:4" ht="18">
      <c r="A2581" s="288" t="s">
        <v>11674</v>
      </c>
      <c r="B2581" s="289" t="s">
        <v>11675</v>
      </c>
      <c r="C2581" s="288" t="s">
        <v>7079</v>
      </c>
      <c r="D2581" s="303">
        <v>3763.2</v>
      </c>
    </row>
    <row r="2582" spans="1:4" ht="18">
      <c r="A2582" s="288" t="s">
        <v>11676</v>
      </c>
      <c r="B2582" s="289" t="s">
        <v>11677</v>
      </c>
      <c r="C2582" s="288" t="s">
        <v>7079</v>
      </c>
      <c r="D2582" s="303">
        <v>4640.1099999999997</v>
      </c>
    </row>
    <row r="2583" spans="1:4" ht="18">
      <c r="A2583" s="288" t="s">
        <v>11678</v>
      </c>
      <c r="B2583" s="289" t="s">
        <v>11679</v>
      </c>
      <c r="C2583" s="288" t="s">
        <v>7079</v>
      </c>
      <c r="D2583" s="303">
        <v>5985.28</v>
      </c>
    </row>
    <row r="2584" spans="1:4" ht="18">
      <c r="A2584" s="288" t="s">
        <v>11680</v>
      </c>
      <c r="B2584" s="289" t="s">
        <v>11681</v>
      </c>
      <c r="C2584" s="288" t="s">
        <v>7079</v>
      </c>
      <c r="D2584" s="303">
        <v>3746.12</v>
      </c>
    </row>
    <row r="2585" spans="1:4" ht="45">
      <c r="A2585" s="288" t="s">
        <v>11682</v>
      </c>
      <c r="B2585" s="289" t="s">
        <v>11683</v>
      </c>
      <c r="C2585" s="288" t="s">
        <v>7079</v>
      </c>
      <c r="D2585" s="303">
        <v>15877.93</v>
      </c>
    </row>
    <row r="2586" spans="1:4" ht="18">
      <c r="A2586" s="288" t="s">
        <v>11684</v>
      </c>
      <c r="B2586" s="289" t="s">
        <v>11685</v>
      </c>
      <c r="C2586" s="288" t="s">
        <v>7079</v>
      </c>
      <c r="D2586" s="303">
        <v>8899.68</v>
      </c>
    </row>
    <row r="2587" spans="1:4" ht="18">
      <c r="A2587" s="287" t="s">
        <v>11686</v>
      </c>
      <c r="B2587" s="287"/>
      <c r="C2587" s="287"/>
      <c r="D2587" s="296" t="s">
        <v>28729</v>
      </c>
    </row>
    <row r="2588" spans="1:4" ht="36">
      <c r="A2588" s="288" t="s">
        <v>11687</v>
      </c>
      <c r="B2588" s="289" t="s">
        <v>11688</v>
      </c>
      <c r="C2588" s="288" t="s">
        <v>7079</v>
      </c>
      <c r="D2588" s="303">
        <v>1429.74</v>
      </c>
    </row>
    <row r="2589" spans="1:4" ht="36">
      <c r="A2589" s="288" t="s">
        <v>11689</v>
      </c>
      <c r="B2589" s="289" t="s">
        <v>11690</v>
      </c>
      <c r="C2589" s="288" t="s">
        <v>7079</v>
      </c>
      <c r="D2589" s="303">
        <v>1867.6</v>
      </c>
    </row>
    <row r="2590" spans="1:4" ht="36">
      <c r="A2590" s="288" t="s">
        <v>11691</v>
      </c>
      <c r="B2590" s="289" t="s">
        <v>11692</v>
      </c>
      <c r="C2590" s="288" t="s">
        <v>7079</v>
      </c>
      <c r="D2590" s="303">
        <v>2275.84</v>
      </c>
    </row>
    <row r="2591" spans="1:4" ht="36">
      <c r="A2591" s="288" t="s">
        <v>11693</v>
      </c>
      <c r="B2591" s="289" t="s">
        <v>11694</v>
      </c>
      <c r="C2591" s="288" t="s">
        <v>7079</v>
      </c>
      <c r="D2591" s="303">
        <v>3232.57</v>
      </c>
    </row>
    <row r="2592" spans="1:4" ht="36">
      <c r="A2592" s="288" t="s">
        <v>11695</v>
      </c>
      <c r="B2592" s="289" t="s">
        <v>11696</v>
      </c>
      <c r="C2592" s="288" t="s">
        <v>7079</v>
      </c>
      <c r="D2592" s="303">
        <v>3816.99</v>
      </c>
    </row>
    <row r="2593" spans="1:4" ht="36">
      <c r="A2593" s="288" t="s">
        <v>11697</v>
      </c>
      <c r="B2593" s="289" t="s">
        <v>11698</v>
      </c>
      <c r="C2593" s="288" t="s">
        <v>7079</v>
      </c>
      <c r="D2593" s="303">
        <v>9194.34</v>
      </c>
    </row>
    <row r="2594" spans="1:4" ht="36">
      <c r="A2594" s="288" t="s">
        <v>11699</v>
      </c>
      <c r="B2594" s="289" t="s">
        <v>11700</v>
      </c>
      <c r="C2594" s="288" t="s">
        <v>7079</v>
      </c>
      <c r="D2594" s="303">
        <v>6778.11</v>
      </c>
    </row>
    <row r="2595" spans="1:4" ht="36">
      <c r="A2595" s="288" t="s">
        <v>11701</v>
      </c>
      <c r="B2595" s="289" t="s">
        <v>11702</v>
      </c>
      <c r="C2595" s="288" t="s">
        <v>7079</v>
      </c>
      <c r="D2595" s="303">
        <v>9046.2099999999991</v>
      </c>
    </row>
    <row r="2596" spans="1:4" ht="36">
      <c r="A2596" s="288" t="s">
        <v>11703</v>
      </c>
      <c r="B2596" s="289" t="s">
        <v>11704</v>
      </c>
      <c r="C2596" s="288" t="s">
        <v>7079</v>
      </c>
      <c r="D2596" s="303">
        <v>7512.16</v>
      </c>
    </row>
    <row r="2597" spans="1:4" ht="36">
      <c r="A2597" s="288" t="s">
        <v>11705</v>
      </c>
      <c r="B2597" s="289" t="s">
        <v>11706</v>
      </c>
      <c r="C2597" s="288" t="s">
        <v>7079</v>
      </c>
      <c r="D2597" s="303">
        <v>10940.07</v>
      </c>
    </row>
    <row r="2598" spans="1:4" ht="18">
      <c r="A2598" s="287" t="s">
        <v>11707</v>
      </c>
      <c r="B2598" s="287"/>
      <c r="C2598" s="287"/>
      <c r="D2598" s="296" t="s">
        <v>28729</v>
      </c>
    </row>
    <row r="2599" spans="1:4" ht="27">
      <c r="A2599" s="288" t="s">
        <v>11708</v>
      </c>
      <c r="B2599" s="289" t="s">
        <v>11709</v>
      </c>
      <c r="C2599" s="288" t="s">
        <v>7079</v>
      </c>
      <c r="D2599" s="303">
        <v>127.1</v>
      </c>
    </row>
    <row r="2600" spans="1:4" ht="18">
      <c r="A2600" s="288" t="s">
        <v>11710</v>
      </c>
      <c r="B2600" s="289" t="s">
        <v>11711</v>
      </c>
      <c r="C2600" s="288" t="s">
        <v>7079</v>
      </c>
      <c r="D2600" s="303">
        <v>110.92</v>
      </c>
    </row>
    <row r="2601" spans="1:4" ht="36">
      <c r="A2601" s="288" t="s">
        <v>11712</v>
      </c>
      <c r="B2601" s="289" t="s">
        <v>25898</v>
      </c>
      <c r="C2601" s="288" t="s">
        <v>7079</v>
      </c>
      <c r="D2601" s="303">
        <v>136.34</v>
      </c>
    </row>
    <row r="2602" spans="1:4" ht="36">
      <c r="A2602" s="288" t="s">
        <v>11713</v>
      </c>
      <c r="B2602" s="289" t="s">
        <v>25899</v>
      </c>
      <c r="C2602" s="288" t="s">
        <v>7079</v>
      </c>
      <c r="D2602" s="303">
        <v>274.48</v>
      </c>
    </row>
    <row r="2603" spans="1:4" ht="18">
      <c r="A2603" s="288" t="s">
        <v>11714</v>
      </c>
      <c r="B2603" s="289" t="s">
        <v>11715</v>
      </c>
      <c r="C2603" s="288" t="s">
        <v>7079</v>
      </c>
      <c r="D2603" s="303">
        <v>549.91</v>
      </c>
    </row>
    <row r="2604" spans="1:4" ht="27">
      <c r="A2604" s="288" t="s">
        <v>11716</v>
      </c>
      <c r="B2604" s="289" t="s">
        <v>11717</v>
      </c>
      <c r="C2604" s="288" t="s">
        <v>7079</v>
      </c>
      <c r="D2604" s="303">
        <v>274.48</v>
      </c>
    </row>
    <row r="2605" spans="1:4" ht="27">
      <c r="A2605" s="288" t="s">
        <v>11718</v>
      </c>
      <c r="B2605" s="289" t="s">
        <v>11719</v>
      </c>
      <c r="C2605" s="288" t="s">
        <v>7079</v>
      </c>
      <c r="D2605" s="303">
        <v>325.32</v>
      </c>
    </row>
    <row r="2606" spans="1:4" ht="27">
      <c r="A2606" s="288" t="s">
        <v>11720</v>
      </c>
      <c r="B2606" s="289" t="s">
        <v>11721</v>
      </c>
      <c r="C2606" s="288" t="s">
        <v>54</v>
      </c>
      <c r="D2606" s="303">
        <v>254.2</v>
      </c>
    </row>
    <row r="2607" spans="1:4" ht="18">
      <c r="A2607" s="288" t="s">
        <v>11722</v>
      </c>
      <c r="B2607" s="289" t="s">
        <v>11723</v>
      </c>
      <c r="C2607" s="288" t="s">
        <v>7079</v>
      </c>
      <c r="D2607" s="303">
        <v>3890.3</v>
      </c>
    </row>
    <row r="2608" spans="1:4" ht="27">
      <c r="A2608" s="288" t="s">
        <v>11724</v>
      </c>
      <c r="B2608" s="289" t="s">
        <v>11725</v>
      </c>
      <c r="C2608" s="288" t="s">
        <v>7079</v>
      </c>
      <c r="D2608" s="303">
        <v>812.23</v>
      </c>
    </row>
    <row r="2609" spans="1:4" ht="27">
      <c r="A2609" s="288" t="s">
        <v>11726</v>
      </c>
      <c r="B2609" s="289" t="s">
        <v>11727</v>
      </c>
      <c r="C2609" s="288" t="s">
        <v>7079</v>
      </c>
      <c r="D2609" s="303">
        <v>841.23</v>
      </c>
    </row>
    <row r="2610" spans="1:4" ht="27">
      <c r="A2610" s="288" t="s">
        <v>11728</v>
      </c>
      <c r="B2610" s="289" t="s">
        <v>11729</v>
      </c>
      <c r="C2610" s="288" t="s">
        <v>7079</v>
      </c>
      <c r="D2610" s="303">
        <v>1249.93</v>
      </c>
    </row>
    <row r="2611" spans="1:4" ht="18">
      <c r="A2611" s="288" t="s">
        <v>11730</v>
      </c>
      <c r="B2611" s="289" t="s">
        <v>11731</v>
      </c>
      <c r="C2611" s="288" t="s">
        <v>7079</v>
      </c>
      <c r="D2611" s="303">
        <v>286.7</v>
      </c>
    </row>
    <row r="2612" spans="1:4" ht="18">
      <c r="A2612" s="288" t="s">
        <v>11732</v>
      </c>
      <c r="B2612" s="289" t="s">
        <v>11733</v>
      </c>
      <c r="C2612" s="288" t="s">
        <v>7079</v>
      </c>
      <c r="D2612" s="303">
        <v>312.12</v>
      </c>
    </row>
    <row r="2613" spans="1:4" ht="18">
      <c r="A2613" s="288" t="s">
        <v>11734</v>
      </c>
      <c r="B2613" s="289" t="s">
        <v>11735</v>
      </c>
      <c r="C2613" s="288" t="s">
        <v>7079</v>
      </c>
      <c r="D2613" s="303">
        <v>358.19</v>
      </c>
    </row>
    <row r="2614" spans="1:4" ht="18">
      <c r="A2614" s="288" t="s">
        <v>11736</v>
      </c>
      <c r="B2614" s="289" t="s">
        <v>11737</v>
      </c>
      <c r="C2614" s="288" t="s">
        <v>7079</v>
      </c>
      <c r="D2614" s="303">
        <v>438.71</v>
      </c>
    </row>
    <row r="2615" spans="1:4" ht="18">
      <c r="A2615" s="288" t="s">
        <v>11738</v>
      </c>
      <c r="B2615" s="289" t="s">
        <v>11739</v>
      </c>
      <c r="C2615" s="288" t="s">
        <v>7079</v>
      </c>
      <c r="D2615" s="303">
        <v>582.41</v>
      </c>
    </row>
    <row r="2616" spans="1:4" ht="36">
      <c r="A2616" s="288" t="s">
        <v>25900</v>
      </c>
      <c r="B2616" s="289" t="s">
        <v>25901</v>
      </c>
      <c r="C2616" s="288" t="s">
        <v>7079</v>
      </c>
      <c r="D2616" s="303">
        <v>88.97</v>
      </c>
    </row>
    <row r="2617" spans="1:4" ht="27">
      <c r="A2617" s="288" t="s">
        <v>25902</v>
      </c>
      <c r="B2617" s="289" t="s">
        <v>25903</v>
      </c>
      <c r="C2617" s="288" t="s">
        <v>7079</v>
      </c>
      <c r="D2617" s="303">
        <v>152.52000000000001</v>
      </c>
    </row>
    <row r="2618" spans="1:4" ht="27">
      <c r="A2618" s="287" t="s">
        <v>11740</v>
      </c>
      <c r="B2618" s="287"/>
      <c r="C2618" s="287"/>
      <c r="D2618" s="296" t="s">
        <v>28729</v>
      </c>
    </row>
    <row r="2619" spans="1:4" ht="27">
      <c r="A2619" s="288" t="s">
        <v>11741</v>
      </c>
      <c r="B2619" s="289" t="s">
        <v>11742</v>
      </c>
      <c r="C2619" s="288" t="s">
        <v>7079</v>
      </c>
      <c r="D2619" s="303">
        <v>127.1</v>
      </c>
    </row>
    <row r="2620" spans="1:4" ht="27">
      <c r="A2620" s="288" t="s">
        <v>11743</v>
      </c>
      <c r="B2620" s="289" t="s">
        <v>11744</v>
      </c>
      <c r="C2620" s="288" t="s">
        <v>7079</v>
      </c>
      <c r="D2620" s="303">
        <v>190.65</v>
      </c>
    </row>
    <row r="2621" spans="1:4" ht="27">
      <c r="A2621" s="288" t="s">
        <v>11745</v>
      </c>
      <c r="B2621" s="289" t="s">
        <v>11746</v>
      </c>
      <c r="C2621" s="288" t="s">
        <v>7079</v>
      </c>
      <c r="D2621" s="303">
        <v>254.2</v>
      </c>
    </row>
    <row r="2622" spans="1:4" ht="27">
      <c r="A2622" s="288" t="s">
        <v>11747</v>
      </c>
      <c r="B2622" s="289" t="s">
        <v>11748</v>
      </c>
      <c r="C2622" s="288" t="s">
        <v>7079</v>
      </c>
      <c r="D2622" s="303">
        <v>127.1</v>
      </c>
    </row>
    <row r="2623" spans="1:4" ht="27">
      <c r="A2623" s="288" t="s">
        <v>11749</v>
      </c>
      <c r="B2623" s="289" t="s">
        <v>11750</v>
      </c>
      <c r="C2623" s="288" t="s">
        <v>7079</v>
      </c>
      <c r="D2623" s="303">
        <v>152.52000000000001</v>
      </c>
    </row>
    <row r="2624" spans="1:4" ht="27">
      <c r="A2624" s="288" t="s">
        <v>11751</v>
      </c>
      <c r="B2624" s="289" t="s">
        <v>11752</v>
      </c>
      <c r="C2624" s="288" t="s">
        <v>7079</v>
      </c>
      <c r="D2624" s="303">
        <v>203.36</v>
      </c>
    </row>
    <row r="2625" spans="1:4" ht="18">
      <c r="A2625" s="288" t="s">
        <v>11753</v>
      </c>
      <c r="B2625" s="289" t="s">
        <v>11754</v>
      </c>
      <c r="C2625" s="288" t="s">
        <v>7079</v>
      </c>
      <c r="D2625" s="303">
        <v>701.79</v>
      </c>
    </row>
    <row r="2626" spans="1:4" ht="18">
      <c r="A2626" s="287" t="s">
        <v>11755</v>
      </c>
      <c r="B2626" s="287"/>
      <c r="C2626" s="287"/>
      <c r="D2626" s="296" t="s">
        <v>28729</v>
      </c>
    </row>
    <row r="2627" spans="1:4" ht="27">
      <c r="A2627" s="288" t="s">
        <v>11756</v>
      </c>
      <c r="B2627" s="289" t="s">
        <v>11757</v>
      </c>
      <c r="C2627" s="288" t="s">
        <v>7079</v>
      </c>
      <c r="D2627" s="303">
        <v>136.97</v>
      </c>
    </row>
    <row r="2628" spans="1:4" ht="36">
      <c r="A2628" s="288" t="s">
        <v>11758</v>
      </c>
      <c r="B2628" s="289" t="s">
        <v>25904</v>
      </c>
      <c r="C2628" s="288" t="s">
        <v>7079</v>
      </c>
      <c r="D2628" s="303">
        <v>138.19999999999999</v>
      </c>
    </row>
    <row r="2629" spans="1:4" ht="36">
      <c r="A2629" s="288" t="s">
        <v>11759</v>
      </c>
      <c r="B2629" s="289" t="s">
        <v>25905</v>
      </c>
      <c r="C2629" s="288" t="s">
        <v>7079</v>
      </c>
      <c r="D2629" s="303">
        <v>149.31</v>
      </c>
    </row>
    <row r="2630" spans="1:4" ht="27">
      <c r="A2630" s="288" t="s">
        <v>11760</v>
      </c>
      <c r="B2630" s="289" t="s">
        <v>11761</v>
      </c>
      <c r="C2630" s="288" t="s">
        <v>7079</v>
      </c>
      <c r="D2630" s="303">
        <v>149.31</v>
      </c>
    </row>
    <row r="2631" spans="1:4" ht="27">
      <c r="A2631" s="288" t="s">
        <v>11762</v>
      </c>
      <c r="B2631" s="289" t="s">
        <v>11763</v>
      </c>
      <c r="C2631" s="288" t="s">
        <v>7079</v>
      </c>
      <c r="D2631" s="303">
        <v>262.58</v>
      </c>
    </row>
    <row r="2632" spans="1:4" ht="27">
      <c r="A2632" s="288" t="s">
        <v>11764</v>
      </c>
      <c r="B2632" s="289" t="s">
        <v>11765</v>
      </c>
      <c r="C2632" s="288" t="s">
        <v>7079</v>
      </c>
      <c r="D2632" s="303">
        <v>493.72</v>
      </c>
    </row>
    <row r="2633" spans="1:4" ht="27">
      <c r="A2633" s="288" t="s">
        <v>11766</v>
      </c>
      <c r="B2633" s="289" t="s">
        <v>11767</v>
      </c>
      <c r="C2633" s="288" t="s">
        <v>7079</v>
      </c>
      <c r="D2633" s="303">
        <v>149.31</v>
      </c>
    </row>
    <row r="2634" spans="1:4" ht="27">
      <c r="A2634" s="288" t="s">
        <v>11768</v>
      </c>
      <c r="B2634" s="289" t="s">
        <v>11769</v>
      </c>
      <c r="C2634" s="288" t="s">
        <v>7079</v>
      </c>
      <c r="D2634" s="303">
        <v>262.58</v>
      </c>
    </row>
    <row r="2635" spans="1:4" ht="18">
      <c r="A2635" s="287" t="s">
        <v>11770</v>
      </c>
      <c r="B2635" s="287"/>
      <c r="C2635" s="287"/>
      <c r="D2635" s="296" t="s">
        <v>28729</v>
      </c>
    </row>
    <row r="2636" spans="1:4" ht="27">
      <c r="A2636" s="288" t="s">
        <v>11771</v>
      </c>
      <c r="B2636" s="289" t="s">
        <v>11772</v>
      </c>
      <c r="C2636" s="288" t="s">
        <v>7079</v>
      </c>
      <c r="D2636" s="303">
        <v>737.25</v>
      </c>
    </row>
    <row r="2637" spans="1:4" ht="27">
      <c r="A2637" s="288" t="s">
        <v>11773</v>
      </c>
      <c r="B2637" s="289" t="s">
        <v>11774</v>
      </c>
      <c r="C2637" s="288" t="s">
        <v>7079</v>
      </c>
      <c r="D2637" s="303">
        <v>886.29</v>
      </c>
    </row>
    <row r="2638" spans="1:4" ht="18">
      <c r="A2638" s="288" t="s">
        <v>11775</v>
      </c>
      <c r="B2638" s="289" t="s">
        <v>11776</v>
      </c>
      <c r="C2638" s="288" t="s">
        <v>7079</v>
      </c>
      <c r="D2638" s="303">
        <v>2315.4299999999998</v>
      </c>
    </row>
    <row r="2639" spans="1:4" ht="18">
      <c r="A2639" s="288" t="s">
        <v>11777</v>
      </c>
      <c r="B2639" s="289" t="s">
        <v>11778</v>
      </c>
      <c r="C2639" s="288" t="s">
        <v>7079</v>
      </c>
      <c r="D2639" s="303">
        <v>3518.14</v>
      </c>
    </row>
    <row r="2640" spans="1:4" ht="18">
      <c r="A2640" s="288" t="s">
        <v>11779</v>
      </c>
      <c r="B2640" s="289" t="s">
        <v>11780</v>
      </c>
      <c r="C2640" s="288" t="s">
        <v>7079</v>
      </c>
      <c r="D2640" s="303">
        <v>4207.8500000000004</v>
      </c>
    </row>
    <row r="2641" spans="1:4" ht="27">
      <c r="A2641" s="288" t="s">
        <v>11781</v>
      </c>
      <c r="B2641" s="289" t="s">
        <v>11782</v>
      </c>
      <c r="C2641" s="288" t="s">
        <v>7079</v>
      </c>
      <c r="D2641" s="303">
        <v>4746.6000000000004</v>
      </c>
    </row>
    <row r="2642" spans="1:4" ht="72">
      <c r="A2642" s="288" t="s">
        <v>11783</v>
      </c>
      <c r="B2642" s="289" t="s">
        <v>11784</v>
      </c>
      <c r="C2642" s="288" t="s">
        <v>7079</v>
      </c>
      <c r="D2642" s="303">
        <v>1854.86</v>
      </c>
    </row>
    <row r="2643" spans="1:4">
      <c r="A2643" s="287" t="s">
        <v>11785</v>
      </c>
      <c r="B2643" s="287"/>
      <c r="C2643" s="287"/>
      <c r="D2643" s="296" t="s">
        <v>28729</v>
      </c>
    </row>
    <row r="2644" spans="1:4">
      <c r="A2644" s="287" t="s">
        <v>11786</v>
      </c>
      <c r="B2644" s="287"/>
      <c r="C2644" s="287"/>
      <c r="D2644" s="296" t="s">
        <v>28729</v>
      </c>
    </row>
    <row r="2645" spans="1:4" ht="45">
      <c r="A2645" s="288" t="s">
        <v>11787</v>
      </c>
      <c r="B2645" s="289" t="s">
        <v>11788</v>
      </c>
      <c r="C2645" s="288" t="s">
        <v>7079</v>
      </c>
      <c r="D2645" s="303">
        <v>90.78</v>
      </c>
    </row>
    <row r="2646" spans="1:4" ht="45">
      <c r="A2646" s="288" t="s">
        <v>11789</v>
      </c>
      <c r="B2646" s="289" t="s">
        <v>11790</v>
      </c>
      <c r="C2646" s="288" t="s">
        <v>7079</v>
      </c>
      <c r="D2646" s="303">
        <v>149.53</v>
      </c>
    </row>
    <row r="2647" spans="1:4" ht="45">
      <c r="A2647" s="288" t="s">
        <v>11791</v>
      </c>
      <c r="B2647" s="289" t="s">
        <v>11792</v>
      </c>
      <c r="C2647" s="288" t="s">
        <v>7079</v>
      </c>
      <c r="D2647" s="303">
        <v>338.26</v>
      </c>
    </row>
    <row r="2648" spans="1:4" ht="45">
      <c r="A2648" s="288" t="s">
        <v>11793</v>
      </c>
      <c r="B2648" s="289" t="s">
        <v>11794</v>
      </c>
      <c r="C2648" s="288" t="s">
        <v>7079</v>
      </c>
      <c r="D2648" s="303">
        <v>664.61</v>
      </c>
    </row>
    <row r="2649" spans="1:4" ht="18">
      <c r="A2649" s="288" t="s">
        <v>11795</v>
      </c>
      <c r="B2649" s="289" t="s">
        <v>11796</v>
      </c>
      <c r="C2649" s="288" t="s">
        <v>7079</v>
      </c>
      <c r="D2649" s="303">
        <v>413.22</v>
      </c>
    </row>
    <row r="2650" spans="1:4" ht="45">
      <c r="A2650" s="288" t="s">
        <v>11797</v>
      </c>
      <c r="B2650" s="289" t="s">
        <v>11798</v>
      </c>
      <c r="C2650" s="288" t="s">
        <v>7079</v>
      </c>
      <c r="D2650" s="303">
        <v>576.91</v>
      </c>
    </row>
    <row r="2651" spans="1:4">
      <c r="A2651" s="287" t="s">
        <v>11799</v>
      </c>
      <c r="B2651" s="287"/>
      <c r="C2651" s="287"/>
      <c r="D2651" s="296" t="s">
        <v>28729</v>
      </c>
    </row>
    <row r="2652" spans="1:4" ht="18">
      <c r="A2652" s="288" t="s">
        <v>11800</v>
      </c>
      <c r="B2652" s="289" t="s">
        <v>11801</v>
      </c>
      <c r="C2652" s="288" t="s">
        <v>7079</v>
      </c>
      <c r="D2652" s="303">
        <v>25.42</v>
      </c>
    </row>
    <row r="2653" spans="1:4" ht="27">
      <c r="A2653" s="288" t="s">
        <v>11802</v>
      </c>
      <c r="B2653" s="289" t="s">
        <v>11803</v>
      </c>
      <c r="C2653" s="288" t="s">
        <v>7079</v>
      </c>
      <c r="D2653" s="303">
        <v>156.32</v>
      </c>
    </row>
    <row r="2654" spans="1:4" ht="27">
      <c r="A2654" s="288" t="s">
        <v>11804</v>
      </c>
      <c r="B2654" s="289" t="s">
        <v>11805</v>
      </c>
      <c r="C2654" s="288" t="s">
        <v>7079</v>
      </c>
      <c r="D2654" s="303">
        <v>312.64</v>
      </c>
    </row>
    <row r="2655" spans="1:4" ht="27">
      <c r="A2655" s="288" t="s">
        <v>11806</v>
      </c>
      <c r="B2655" s="289" t="s">
        <v>11807</v>
      </c>
      <c r="C2655" s="288" t="s">
        <v>7079</v>
      </c>
      <c r="D2655" s="303">
        <v>338.06</v>
      </c>
    </row>
    <row r="2656" spans="1:4" ht="27">
      <c r="A2656" s="288" t="s">
        <v>11808</v>
      </c>
      <c r="B2656" s="289" t="s">
        <v>11809</v>
      </c>
      <c r="C2656" s="288" t="s">
        <v>7079</v>
      </c>
      <c r="D2656" s="303">
        <v>38.130000000000003</v>
      </c>
    </row>
    <row r="2657" spans="1:4">
      <c r="A2657" s="287" t="s">
        <v>11810</v>
      </c>
      <c r="B2657" s="287"/>
      <c r="C2657" s="287"/>
      <c r="D2657" s="296" t="s">
        <v>28729</v>
      </c>
    </row>
    <row r="2658" spans="1:4">
      <c r="A2658" s="288" t="s">
        <v>11811</v>
      </c>
      <c r="B2658" s="289" t="s">
        <v>11812</v>
      </c>
      <c r="C2658" s="288" t="s">
        <v>7079</v>
      </c>
      <c r="D2658" s="303">
        <v>26.78</v>
      </c>
    </row>
    <row r="2659" spans="1:4" ht="18">
      <c r="A2659" s="288" t="s">
        <v>11813</v>
      </c>
      <c r="B2659" s="289" t="s">
        <v>11814</v>
      </c>
      <c r="C2659" s="288" t="s">
        <v>7079</v>
      </c>
      <c r="D2659" s="303">
        <v>119.81</v>
      </c>
    </row>
    <row r="2660" spans="1:4" ht="18">
      <c r="A2660" s="288" t="s">
        <v>11815</v>
      </c>
      <c r="B2660" s="289" t="s">
        <v>11816</v>
      </c>
      <c r="C2660" s="288" t="s">
        <v>7079</v>
      </c>
      <c r="D2660" s="303">
        <v>167.37</v>
      </c>
    </row>
    <row r="2661" spans="1:4" ht="18">
      <c r="A2661" s="288" t="s">
        <v>11817</v>
      </c>
      <c r="B2661" s="289" t="s">
        <v>11818</v>
      </c>
      <c r="C2661" s="288" t="s">
        <v>7079</v>
      </c>
      <c r="D2661" s="303">
        <v>158.38999999999999</v>
      </c>
    </row>
    <row r="2662" spans="1:4" ht="18">
      <c r="A2662" s="288" t="s">
        <v>11819</v>
      </c>
      <c r="B2662" s="289" t="s">
        <v>11820</v>
      </c>
      <c r="C2662" s="288" t="s">
        <v>7079</v>
      </c>
      <c r="D2662" s="303">
        <v>440.27</v>
      </c>
    </row>
    <row r="2663" spans="1:4" ht="18">
      <c r="A2663" s="288" t="s">
        <v>11821</v>
      </c>
      <c r="B2663" s="289" t="s">
        <v>11822</v>
      </c>
      <c r="C2663" s="288" t="s">
        <v>7079</v>
      </c>
      <c r="D2663" s="303">
        <v>959.82</v>
      </c>
    </row>
    <row r="2664" spans="1:4">
      <c r="A2664" s="290"/>
      <c r="B2664" s="290"/>
      <c r="C2664" s="290"/>
      <c r="D2664" s="298"/>
    </row>
    <row r="2665" spans="1:4">
      <c r="A2665" s="287" t="s">
        <v>11823</v>
      </c>
      <c r="B2665" s="287"/>
      <c r="C2665" s="287"/>
      <c r="D2665" s="296" t="s">
        <v>28729</v>
      </c>
    </row>
    <row r="2666" spans="1:4">
      <c r="A2666" s="287" t="s">
        <v>11824</v>
      </c>
      <c r="B2666" s="287"/>
      <c r="C2666" s="287"/>
      <c r="D2666" s="296" t="s">
        <v>28729</v>
      </c>
    </row>
    <row r="2667" spans="1:4" ht="45">
      <c r="A2667" s="288" t="s">
        <v>11825</v>
      </c>
      <c r="B2667" s="289" t="s">
        <v>11826</v>
      </c>
      <c r="C2667" s="288" t="s">
        <v>7079</v>
      </c>
      <c r="D2667" s="297" t="s">
        <v>11659</v>
      </c>
    </row>
    <row r="2668" spans="1:4">
      <c r="A2668" s="290"/>
      <c r="B2668" s="290"/>
      <c r="C2668" s="290"/>
      <c r="D2668" s="298"/>
    </row>
    <row r="2669" spans="1:4" ht="18">
      <c r="A2669" s="287" t="s">
        <v>11827</v>
      </c>
      <c r="B2669" s="287"/>
      <c r="C2669" s="287"/>
      <c r="D2669" s="296" t="s">
        <v>28729</v>
      </c>
    </row>
    <row r="2670" spans="1:4" ht="18">
      <c r="A2670" s="288" t="s">
        <v>11828</v>
      </c>
      <c r="B2670" s="289" t="s">
        <v>11829</v>
      </c>
      <c r="C2670" s="288" t="s">
        <v>7079</v>
      </c>
      <c r="D2670" s="303">
        <v>12.71</v>
      </c>
    </row>
    <row r="2671" spans="1:4">
      <c r="A2671" s="288" t="s">
        <v>11830</v>
      </c>
      <c r="B2671" s="289" t="s">
        <v>11831</v>
      </c>
      <c r="C2671" s="288" t="s">
        <v>7079</v>
      </c>
      <c r="D2671" s="303">
        <v>22.16</v>
      </c>
    </row>
    <row r="2672" spans="1:4">
      <c r="A2672" s="288" t="s">
        <v>11832</v>
      </c>
      <c r="B2672" s="289" t="s">
        <v>11833</v>
      </c>
      <c r="C2672" s="288" t="s">
        <v>7079</v>
      </c>
      <c r="D2672" s="303">
        <v>76.06</v>
      </c>
    </row>
    <row r="2673" spans="1:4" ht="36">
      <c r="A2673" s="288" t="s">
        <v>11834</v>
      </c>
      <c r="B2673" s="289" t="s">
        <v>11835</v>
      </c>
      <c r="C2673" s="288" t="s">
        <v>7079</v>
      </c>
      <c r="D2673" s="303">
        <v>101.88</v>
      </c>
    </row>
    <row r="2674" spans="1:4" ht="36">
      <c r="A2674" s="288" t="s">
        <v>11836</v>
      </c>
      <c r="B2674" s="289" t="s">
        <v>11837</v>
      </c>
      <c r="C2674" s="288" t="s">
        <v>7079</v>
      </c>
      <c r="D2674" s="303">
        <v>120.52</v>
      </c>
    </row>
    <row r="2675" spans="1:4" ht="18">
      <c r="A2675" s="287" t="s">
        <v>11838</v>
      </c>
      <c r="B2675" s="287"/>
      <c r="C2675" s="287"/>
      <c r="D2675" s="296" t="s">
        <v>28729</v>
      </c>
    </row>
    <row r="2676" spans="1:4" ht="18">
      <c r="A2676" s="288" t="s">
        <v>11839</v>
      </c>
      <c r="B2676" s="289" t="s">
        <v>11840</v>
      </c>
      <c r="C2676" s="288" t="s">
        <v>7079</v>
      </c>
      <c r="D2676" s="303">
        <v>101.68</v>
      </c>
    </row>
    <row r="2677" spans="1:4" ht="27">
      <c r="A2677" s="288" t="s">
        <v>11841</v>
      </c>
      <c r="B2677" s="289" t="s">
        <v>11842</v>
      </c>
      <c r="C2677" s="288" t="s">
        <v>7079</v>
      </c>
      <c r="D2677" s="303">
        <v>50.84</v>
      </c>
    </row>
    <row r="2678" spans="1:4" ht="27">
      <c r="A2678" s="288" t="s">
        <v>11843</v>
      </c>
      <c r="B2678" s="289" t="s">
        <v>11844</v>
      </c>
      <c r="C2678" s="288" t="s">
        <v>7079</v>
      </c>
      <c r="D2678" s="303">
        <v>862.77</v>
      </c>
    </row>
    <row r="2679" spans="1:4" ht="27">
      <c r="A2679" s="288" t="s">
        <v>11845</v>
      </c>
      <c r="B2679" s="289" t="s">
        <v>11846</v>
      </c>
      <c r="C2679" s="288" t="s">
        <v>7079</v>
      </c>
      <c r="D2679" s="303">
        <v>1586.76</v>
      </c>
    </row>
    <row r="2680" spans="1:4" ht="27">
      <c r="A2680" s="288" t="s">
        <v>11847</v>
      </c>
      <c r="B2680" s="289" t="s">
        <v>11848</v>
      </c>
      <c r="C2680" s="288" t="s">
        <v>7079</v>
      </c>
      <c r="D2680" s="303">
        <v>88.97</v>
      </c>
    </row>
    <row r="2681" spans="1:4" ht="27">
      <c r="A2681" s="288" t="s">
        <v>11849</v>
      </c>
      <c r="B2681" s="289" t="s">
        <v>11850</v>
      </c>
      <c r="C2681" s="288" t="s">
        <v>7079</v>
      </c>
      <c r="D2681" s="303">
        <v>101.68</v>
      </c>
    </row>
    <row r="2682" spans="1:4" ht="27">
      <c r="A2682" s="288" t="s">
        <v>11851</v>
      </c>
      <c r="B2682" s="289" t="s">
        <v>11852</v>
      </c>
      <c r="C2682" s="288" t="s">
        <v>7079</v>
      </c>
      <c r="D2682" s="303">
        <v>1920.57</v>
      </c>
    </row>
    <row r="2683" spans="1:4" ht="18">
      <c r="A2683" s="287" t="s">
        <v>11853</v>
      </c>
      <c r="B2683" s="287"/>
      <c r="C2683" s="287"/>
      <c r="D2683" s="296" t="s">
        <v>28729</v>
      </c>
    </row>
    <row r="2684" spans="1:4" ht="18">
      <c r="A2684" s="288" t="s">
        <v>11854</v>
      </c>
      <c r="B2684" s="289" t="s">
        <v>11855</v>
      </c>
      <c r="C2684" s="288" t="s">
        <v>7079</v>
      </c>
      <c r="D2684" s="303">
        <v>101.68</v>
      </c>
    </row>
    <row r="2685" spans="1:4" ht="18">
      <c r="A2685" s="287" t="s">
        <v>11856</v>
      </c>
      <c r="B2685" s="287"/>
      <c r="C2685" s="287"/>
      <c r="D2685" s="296" t="s">
        <v>28729</v>
      </c>
    </row>
    <row r="2686" spans="1:4" ht="18">
      <c r="A2686" s="288" t="s">
        <v>11857</v>
      </c>
      <c r="B2686" s="289" t="s">
        <v>11858</v>
      </c>
      <c r="C2686" s="288" t="s">
        <v>7079</v>
      </c>
      <c r="D2686" s="303">
        <v>76.260000000000005</v>
      </c>
    </row>
    <row r="2687" spans="1:4" ht="18">
      <c r="A2687" s="288" t="s">
        <v>11859</v>
      </c>
      <c r="B2687" s="289" t="s">
        <v>11860</v>
      </c>
      <c r="C2687" s="288" t="s">
        <v>7079</v>
      </c>
      <c r="D2687" s="303">
        <v>101.68</v>
      </c>
    </row>
    <row r="2688" spans="1:4">
      <c r="A2688" s="287" t="s">
        <v>11861</v>
      </c>
      <c r="B2688" s="287"/>
      <c r="C2688" s="287"/>
      <c r="D2688" s="296" t="s">
        <v>28729</v>
      </c>
    </row>
    <row r="2689" spans="1:4" ht="27">
      <c r="A2689" s="288" t="s">
        <v>11862</v>
      </c>
      <c r="B2689" s="289" t="s">
        <v>11863</v>
      </c>
      <c r="C2689" s="288" t="s">
        <v>7079</v>
      </c>
      <c r="D2689" s="303">
        <v>6.93</v>
      </c>
    </row>
    <row r="2690" spans="1:4" ht="18">
      <c r="A2690" s="288" t="s">
        <v>11864</v>
      </c>
      <c r="B2690" s="289" t="s">
        <v>11865</v>
      </c>
      <c r="C2690" s="288" t="s">
        <v>7079</v>
      </c>
      <c r="D2690" s="303">
        <v>4.74</v>
      </c>
    </row>
    <row r="2691" spans="1:4" ht="27">
      <c r="A2691" s="288" t="s">
        <v>11866</v>
      </c>
      <c r="B2691" s="289" t="s">
        <v>11867</v>
      </c>
      <c r="C2691" s="288" t="s">
        <v>7079</v>
      </c>
      <c r="D2691" s="303">
        <v>13.42</v>
      </c>
    </row>
    <row r="2692" spans="1:4" ht="18">
      <c r="A2692" s="288" t="s">
        <v>11868</v>
      </c>
      <c r="B2692" s="289" t="s">
        <v>11869</v>
      </c>
      <c r="C2692" s="288" t="s">
        <v>7079</v>
      </c>
      <c r="D2692" s="303">
        <v>4.95</v>
      </c>
    </row>
    <row r="2693" spans="1:4">
      <c r="A2693" s="288" t="s">
        <v>11870</v>
      </c>
      <c r="B2693" s="289" t="s">
        <v>11871</v>
      </c>
      <c r="C2693" s="288" t="s">
        <v>7079</v>
      </c>
      <c r="D2693" s="303">
        <v>4.3899999999999997</v>
      </c>
    </row>
    <row r="2694" spans="1:4" ht="18">
      <c r="A2694" s="287" t="s">
        <v>11872</v>
      </c>
      <c r="B2694" s="287"/>
      <c r="C2694" s="287"/>
      <c r="D2694" s="296" t="s">
        <v>28729</v>
      </c>
    </row>
    <row r="2695" spans="1:4" ht="18">
      <c r="A2695" s="288" t="s">
        <v>11873</v>
      </c>
      <c r="B2695" s="289" t="s">
        <v>11874</v>
      </c>
      <c r="C2695" s="288" t="s">
        <v>7079</v>
      </c>
      <c r="D2695" s="303">
        <v>49.71</v>
      </c>
    </row>
    <row r="2696" spans="1:4" ht="18">
      <c r="A2696" s="288" t="s">
        <v>11875</v>
      </c>
      <c r="B2696" s="289" t="s">
        <v>11876</v>
      </c>
      <c r="C2696" s="288" t="s">
        <v>7079</v>
      </c>
      <c r="D2696" s="303">
        <v>3.38</v>
      </c>
    </row>
    <row r="2697" spans="1:4" ht="18">
      <c r="A2697" s="288" t="s">
        <v>11877</v>
      </c>
      <c r="B2697" s="289" t="s">
        <v>11878</v>
      </c>
      <c r="C2697" s="288" t="s">
        <v>7079</v>
      </c>
      <c r="D2697" s="303">
        <v>5.77</v>
      </c>
    </row>
    <row r="2698" spans="1:4">
      <c r="A2698" s="288" t="s">
        <v>11879</v>
      </c>
      <c r="B2698" s="289" t="s">
        <v>11880</v>
      </c>
      <c r="C2698" s="288" t="s">
        <v>7079</v>
      </c>
      <c r="D2698" s="303">
        <v>5.28</v>
      </c>
    </row>
    <row r="2699" spans="1:4" ht="18">
      <c r="A2699" s="288" t="s">
        <v>11881</v>
      </c>
      <c r="B2699" s="289" t="s">
        <v>11882</v>
      </c>
      <c r="C2699" s="288" t="s">
        <v>7079</v>
      </c>
      <c r="D2699" s="303">
        <v>12.47</v>
      </c>
    </row>
    <row r="2700" spans="1:4">
      <c r="A2700" s="288" t="s">
        <v>11883</v>
      </c>
      <c r="B2700" s="289" t="s">
        <v>11884</v>
      </c>
      <c r="C2700" s="288" t="s">
        <v>7079</v>
      </c>
      <c r="D2700" s="303">
        <v>39.229999999999997</v>
      </c>
    </row>
    <row r="2701" spans="1:4" ht="27">
      <c r="A2701" s="288" t="s">
        <v>11885</v>
      </c>
      <c r="B2701" s="289" t="s">
        <v>11886</v>
      </c>
      <c r="C2701" s="288" t="s">
        <v>7079</v>
      </c>
      <c r="D2701" s="303">
        <v>11.23</v>
      </c>
    </row>
    <row r="2702" spans="1:4" ht="27">
      <c r="A2702" s="288" t="s">
        <v>11887</v>
      </c>
      <c r="B2702" s="289" t="s">
        <v>11888</v>
      </c>
      <c r="C2702" s="288" t="s">
        <v>7079</v>
      </c>
      <c r="D2702" s="303">
        <v>9.41</v>
      </c>
    </row>
    <row r="2703" spans="1:4" ht="27">
      <c r="A2703" s="288" t="s">
        <v>11889</v>
      </c>
      <c r="B2703" s="289" t="s">
        <v>11890</v>
      </c>
      <c r="C2703" s="288" t="s">
        <v>7079</v>
      </c>
      <c r="D2703" s="303">
        <v>9.69</v>
      </c>
    </row>
    <row r="2704" spans="1:4" ht="27">
      <c r="A2704" s="288" t="s">
        <v>11891</v>
      </c>
      <c r="B2704" s="289" t="s">
        <v>11892</v>
      </c>
      <c r="C2704" s="288" t="s">
        <v>7079</v>
      </c>
      <c r="D2704" s="303">
        <v>6.27</v>
      </c>
    </row>
    <row r="2705" spans="1:4" ht="27">
      <c r="A2705" s="288" t="s">
        <v>11893</v>
      </c>
      <c r="B2705" s="289" t="s">
        <v>11894</v>
      </c>
      <c r="C2705" s="288" t="s">
        <v>7079</v>
      </c>
      <c r="D2705" s="303">
        <v>7.44</v>
      </c>
    </row>
    <row r="2706" spans="1:4" ht="27">
      <c r="A2706" s="288" t="s">
        <v>11895</v>
      </c>
      <c r="B2706" s="289" t="s">
        <v>11896</v>
      </c>
      <c r="C2706" s="288" t="s">
        <v>7079</v>
      </c>
      <c r="D2706" s="303">
        <v>11.01</v>
      </c>
    </row>
    <row r="2707" spans="1:4" ht="27">
      <c r="A2707" s="288" t="s">
        <v>11897</v>
      </c>
      <c r="B2707" s="289" t="s">
        <v>11898</v>
      </c>
      <c r="C2707" s="288" t="s">
        <v>7079</v>
      </c>
      <c r="D2707" s="303">
        <v>13.2</v>
      </c>
    </row>
    <row r="2708" spans="1:4" ht="27">
      <c r="A2708" s="288" t="s">
        <v>11899</v>
      </c>
      <c r="B2708" s="289" t="s">
        <v>11900</v>
      </c>
      <c r="C2708" s="288" t="s">
        <v>7079</v>
      </c>
      <c r="D2708" s="303">
        <v>10.09</v>
      </c>
    </row>
    <row r="2709" spans="1:4" ht="27">
      <c r="A2709" s="288" t="s">
        <v>11901</v>
      </c>
      <c r="B2709" s="289" t="s">
        <v>11902</v>
      </c>
      <c r="C2709" s="288" t="s">
        <v>7079</v>
      </c>
      <c r="D2709" s="303">
        <v>9.68</v>
      </c>
    </row>
    <row r="2710" spans="1:4" ht="27">
      <c r="A2710" s="288" t="s">
        <v>11903</v>
      </c>
      <c r="B2710" s="289" t="s">
        <v>11904</v>
      </c>
      <c r="C2710" s="288" t="s">
        <v>7079</v>
      </c>
      <c r="D2710" s="303">
        <v>9.39</v>
      </c>
    </row>
    <row r="2711" spans="1:4" ht="27">
      <c r="A2711" s="288" t="s">
        <v>11905</v>
      </c>
      <c r="B2711" s="289" t="s">
        <v>11906</v>
      </c>
      <c r="C2711" s="288" t="s">
        <v>7079</v>
      </c>
      <c r="D2711" s="303">
        <v>11.95</v>
      </c>
    </row>
    <row r="2712" spans="1:4" ht="27">
      <c r="A2712" s="288" t="s">
        <v>11907</v>
      </c>
      <c r="B2712" s="289" t="s">
        <v>11908</v>
      </c>
      <c r="C2712" s="288" t="s">
        <v>7079</v>
      </c>
      <c r="D2712" s="303">
        <v>12.68</v>
      </c>
    </row>
    <row r="2713" spans="1:4" ht="27">
      <c r="A2713" s="288" t="s">
        <v>11909</v>
      </c>
      <c r="B2713" s="289" t="s">
        <v>11910</v>
      </c>
      <c r="C2713" s="288" t="s">
        <v>7079</v>
      </c>
      <c r="D2713" s="303">
        <v>21.27</v>
      </c>
    </row>
    <row r="2714" spans="1:4" ht="27">
      <c r="A2714" s="288" t="s">
        <v>11911</v>
      </c>
      <c r="B2714" s="289" t="s">
        <v>11912</v>
      </c>
      <c r="C2714" s="288" t="s">
        <v>7079</v>
      </c>
      <c r="D2714" s="303">
        <v>13.5</v>
      </c>
    </row>
    <row r="2715" spans="1:4" ht="63">
      <c r="A2715" s="288" t="s">
        <v>11913</v>
      </c>
      <c r="B2715" s="289" t="s">
        <v>11914</v>
      </c>
      <c r="C2715" s="288" t="s">
        <v>7079</v>
      </c>
      <c r="D2715" s="303">
        <v>19.3</v>
      </c>
    </row>
    <row r="2716" spans="1:4" ht="63">
      <c r="A2716" s="288" t="s">
        <v>11915</v>
      </c>
      <c r="B2716" s="289" t="s">
        <v>11916</v>
      </c>
      <c r="C2716" s="288" t="s">
        <v>7079</v>
      </c>
      <c r="D2716" s="303">
        <v>98.9</v>
      </c>
    </row>
    <row r="2717" spans="1:4" ht="63">
      <c r="A2717" s="288" t="s">
        <v>11917</v>
      </c>
      <c r="B2717" s="289" t="s">
        <v>11918</v>
      </c>
      <c r="C2717" s="288" t="s">
        <v>7079</v>
      </c>
      <c r="D2717" s="303">
        <v>98.9</v>
      </c>
    </row>
    <row r="2718" spans="1:4" ht="63">
      <c r="A2718" s="288" t="s">
        <v>11919</v>
      </c>
      <c r="B2718" s="289" t="s">
        <v>11920</v>
      </c>
      <c r="C2718" s="288" t="s">
        <v>7079</v>
      </c>
      <c r="D2718" s="303">
        <v>388</v>
      </c>
    </row>
    <row r="2719" spans="1:4" ht="18">
      <c r="A2719" s="288" t="s">
        <v>25906</v>
      </c>
      <c r="B2719" s="289" t="s">
        <v>25907</v>
      </c>
      <c r="C2719" s="288" t="s">
        <v>7079</v>
      </c>
      <c r="D2719" s="303">
        <v>3.81</v>
      </c>
    </row>
    <row r="2720" spans="1:4" ht="27">
      <c r="A2720" s="288" t="s">
        <v>11921</v>
      </c>
      <c r="B2720" s="289" t="s">
        <v>11922</v>
      </c>
      <c r="C2720" s="288" t="s">
        <v>7079</v>
      </c>
      <c r="D2720" s="303">
        <v>6.74</v>
      </c>
    </row>
    <row r="2721" spans="1:4">
      <c r="A2721" s="288" t="s">
        <v>11923</v>
      </c>
      <c r="B2721" s="289" t="s">
        <v>11924</v>
      </c>
      <c r="C2721" s="288" t="s">
        <v>7079</v>
      </c>
      <c r="D2721" s="303">
        <v>75.03</v>
      </c>
    </row>
    <row r="2722" spans="1:4">
      <c r="A2722" s="287" t="s">
        <v>11925</v>
      </c>
      <c r="B2722" s="287"/>
      <c r="C2722" s="287"/>
      <c r="D2722" s="296" t="s">
        <v>28729</v>
      </c>
    </row>
    <row r="2723" spans="1:4" ht="18">
      <c r="A2723" s="288" t="s">
        <v>11926</v>
      </c>
      <c r="B2723" s="289" t="s">
        <v>11927</v>
      </c>
      <c r="C2723" s="288" t="s">
        <v>7079</v>
      </c>
      <c r="D2723" s="303">
        <v>7.09</v>
      </c>
    </row>
    <row r="2724" spans="1:4" ht="18">
      <c r="A2724" s="288" t="s">
        <v>11928</v>
      </c>
      <c r="B2724" s="289" t="s">
        <v>11929</v>
      </c>
      <c r="C2724" s="288" t="s">
        <v>7079</v>
      </c>
      <c r="D2724" s="303">
        <v>5.52</v>
      </c>
    </row>
    <row r="2725" spans="1:4" ht="18">
      <c r="A2725" s="288" t="s">
        <v>11930</v>
      </c>
      <c r="B2725" s="289" t="s">
        <v>11931</v>
      </c>
      <c r="C2725" s="288" t="s">
        <v>7079</v>
      </c>
      <c r="D2725" s="303">
        <v>6.1</v>
      </c>
    </row>
    <row r="2726" spans="1:4" ht="18">
      <c r="A2726" s="288" t="s">
        <v>11932</v>
      </c>
      <c r="B2726" s="289" t="s">
        <v>11933</v>
      </c>
      <c r="C2726" s="288" t="s">
        <v>7079</v>
      </c>
      <c r="D2726" s="303">
        <v>20.81</v>
      </c>
    </row>
    <row r="2727" spans="1:4" ht="18">
      <c r="A2727" s="288" t="s">
        <v>11934</v>
      </c>
      <c r="B2727" s="289" t="s">
        <v>11935</v>
      </c>
      <c r="C2727" s="288" t="s">
        <v>7079</v>
      </c>
      <c r="D2727" s="303">
        <v>61.2</v>
      </c>
    </row>
    <row r="2728" spans="1:4">
      <c r="A2728" s="288" t="s">
        <v>11936</v>
      </c>
      <c r="B2728" s="289" t="s">
        <v>11937</v>
      </c>
      <c r="C2728" s="288" t="s">
        <v>7079</v>
      </c>
      <c r="D2728" s="303">
        <v>85.8</v>
      </c>
    </row>
    <row r="2729" spans="1:4" ht="18">
      <c r="A2729" s="288" t="s">
        <v>11938</v>
      </c>
      <c r="B2729" s="289" t="s">
        <v>11939</v>
      </c>
      <c r="C2729" s="288" t="s">
        <v>7079</v>
      </c>
      <c r="D2729" s="303">
        <v>21.26</v>
      </c>
    </row>
    <row r="2730" spans="1:4" ht="18">
      <c r="A2730" s="287" t="s">
        <v>11940</v>
      </c>
      <c r="B2730" s="287"/>
      <c r="C2730" s="287"/>
      <c r="D2730" s="296" t="s">
        <v>28729</v>
      </c>
    </row>
    <row r="2731" spans="1:4" ht="27">
      <c r="A2731" s="288" t="s">
        <v>11941</v>
      </c>
      <c r="B2731" s="289" t="s">
        <v>11942</v>
      </c>
      <c r="C2731" s="288" t="s">
        <v>7079</v>
      </c>
      <c r="D2731" s="303">
        <v>5.33</v>
      </c>
    </row>
    <row r="2732" spans="1:4" ht="27">
      <c r="A2732" s="288" t="s">
        <v>11943</v>
      </c>
      <c r="B2732" s="289" t="s">
        <v>11944</v>
      </c>
      <c r="C2732" s="288" t="s">
        <v>7079</v>
      </c>
      <c r="D2732" s="303">
        <v>6.34</v>
      </c>
    </row>
    <row r="2733" spans="1:4">
      <c r="A2733" s="290"/>
      <c r="B2733" s="290"/>
      <c r="C2733" s="290"/>
      <c r="D2733" s="298"/>
    </row>
    <row r="2734" spans="1:4" ht="18">
      <c r="A2734" s="287" t="s">
        <v>11945</v>
      </c>
      <c r="B2734" s="287"/>
      <c r="C2734" s="287"/>
      <c r="D2734" s="296" t="s">
        <v>28729</v>
      </c>
    </row>
    <row r="2735" spans="1:4" ht="18">
      <c r="A2735" s="288" t="s">
        <v>11946</v>
      </c>
      <c r="B2735" s="289" t="s">
        <v>11947</v>
      </c>
      <c r="C2735" s="288" t="s">
        <v>7079</v>
      </c>
      <c r="D2735" s="303">
        <v>25.42</v>
      </c>
    </row>
    <row r="2736" spans="1:4" ht="18">
      <c r="A2736" s="288" t="s">
        <v>11948</v>
      </c>
      <c r="B2736" s="289" t="s">
        <v>11949</v>
      </c>
      <c r="C2736" s="288" t="s">
        <v>7079</v>
      </c>
      <c r="D2736" s="303">
        <v>38.130000000000003</v>
      </c>
    </row>
    <row r="2737" spans="1:4" ht="18">
      <c r="A2737" s="288" t="s">
        <v>11950</v>
      </c>
      <c r="B2737" s="289" t="s">
        <v>11951</v>
      </c>
      <c r="C2737" s="288" t="s">
        <v>7079</v>
      </c>
      <c r="D2737" s="303">
        <v>7.37</v>
      </c>
    </row>
    <row r="2738" spans="1:4" ht="18">
      <c r="A2738" s="288" t="s">
        <v>11952</v>
      </c>
      <c r="B2738" s="289" t="s">
        <v>11953</v>
      </c>
      <c r="C2738" s="288" t="s">
        <v>7079</v>
      </c>
      <c r="D2738" s="303">
        <v>63.55</v>
      </c>
    </row>
    <row r="2739" spans="1:4" ht="18">
      <c r="A2739" s="288" t="s">
        <v>11954</v>
      </c>
      <c r="B2739" s="289" t="s">
        <v>11955</v>
      </c>
      <c r="C2739" s="288" t="s">
        <v>7079</v>
      </c>
      <c r="D2739" s="303">
        <v>76.260000000000005</v>
      </c>
    </row>
    <row r="2740" spans="1:4" ht="18">
      <c r="A2740" s="288" t="s">
        <v>11956</v>
      </c>
      <c r="B2740" s="289" t="s">
        <v>11957</v>
      </c>
      <c r="C2740" s="288" t="s">
        <v>7079</v>
      </c>
      <c r="D2740" s="303">
        <v>82.62</v>
      </c>
    </row>
    <row r="2741" spans="1:4" ht="18">
      <c r="A2741" s="288" t="s">
        <v>11958</v>
      </c>
      <c r="B2741" s="289" t="s">
        <v>11959</v>
      </c>
      <c r="C2741" s="288" t="s">
        <v>7079</v>
      </c>
      <c r="D2741" s="303">
        <v>127.1</v>
      </c>
    </row>
    <row r="2742" spans="1:4" ht="18">
      <c r="A2742" s="287" t="s">
        <v>11960</v>
      </c>
      <c r="B2742" s="287"/>
      <c r="C2742" s="287"/>
      <c r="D2742" s="296" t="s">
        <v>28729</v>
      </c>
    </row>
    <row r="2743" spans="1:4" ht="18">
      <c r="A2743" s="288" t="s">
        <v>11961</v>
      </c>
      <c r="B2743" s="289" t="s">
        <v>11962</v>
      </c>
      <c r="C2743" s="288" t="s">
        <v>7079</v>
      </c>
      <c r="D2743" s="303">
        <v>80.069999999999993</v>
      </c>
    </row>
    <row r="2744" spans="1:4" ht="18">
      <c r="A2744" s="288" t="s">
        <v>11963</v>
      </c>
      <c r="B2744" s="289" t="s">
        <v>11964</v>
      </c>
      <c r="C2744" s="288" t="s">
        <v>7079</v>
      </c>
      <c r="D2744" s="303">
        <v>101.68</v>
      </c>
    </row>
    <row r="2745" spans="1:4" ht="18">
      <c r="A2745" s="288" t="s">
        <v>11965</v>
      </c>
      <c r="B2745" s="289" t="s">
        <v>11966</v>
      </c>
      <c r="C2745" s="288" t="s">
        <v>7079</v>
      </c>
      <c r="D2745" s="303">
        <v>88.97</v>
      </c>
    </row>
    <row r="2746" spans="1:4" ht="18">
      <c r="A2746" s="288" t="s">
        <v>11967</v>
      </c>
      <c r="B2746" s="289" t="s">
        <v>11968</v>
      </c>
      <c r="C2746" s="288" t="s">
        <v>7079</v>
      </c>
      <c r="D2746" s="303">
        <v>152.52000000000001</v>
      </c>
    </row>
    <row r="2747" spans="1:4" ht="18">
      <c r="A2747" s="288" t="s">
        <v>11969</v>
      </c>
      <c r="B2747" s="289" t="s">
        <v>11970</v>
      </c>
      <c r="C2747" s="288" t="s">
        <v>7079</v>
      </c>
      <c r="D2747" s="303">
        <v>127.1</v>
      </c>
    </row>
    <row r="2748" spans="1:4">
      <c r="A2748" s="287" t="s">
        <v>11971</v>
      </c>
      <c r="B2748" s="287"/>
      <c r="C2748" s="287"/>
      <c r="D2748" s="296" t="s">
        <v>28729</v>
      </c>
    </row>
    <row r="2749" spans="1:4" ht="18">
      <c r="A2749" s="288" t="s">
        <v>11972</v>
      </c>
      <c r="B2749" s="289" t="s">
        <v>11973</v>
      </c>
      <c r="C2749" s="288" t="s">
        <v>7079</v>
      </c>
      <c r="D2749" s="303">
        <v>4.37</v>
      </c>
    </row>
    <row r="2750" spans="1:4">
      <c r="A2750" s="288" t="s">
        <v>11974</v>
      </c>
      <c r="B2750" s="289" t="s">
        <v>11975</v>
      </c>
      <c r="C2750" s="288" t="s">
        <v>7079</v>
      </c>
      <c r="D2750" s="303">
        <v>25.1</v>
      </c>
    </row>
    <row r="2751" spans="1:4">
      <c r="A2751" s="287" t="s">
        <v>11976</v>
      </c>
      <c r="B2751" s="287"/>
      <c r="C2751" s="287"/>
      <c r="D2751" s="296" t="s">
        <v>28729</v>
      </c>
    </row>
    <row r="2752" spans="1:4" ht="18">
      <c r="A2752" s="288" t="s">
        <v>11977</v>
      </c>
      <c r="B2752" s="289" t="s">
        <v>11978</v>
      </c>
      <c r="C2752" s="288" t="s">
        <v>7079</v>
      </c>
      <c r="D2752" s="303">
        <v>210.28</v>
      </c>
    </row>
    <row r="2753" spans="1:4">
      <c r="A2753" s="287" t="s">
        <v>11979</v>
      </c>
      <c r="B2753" s="287"/>
      <c r="C2753" s="287"/>
      <c r="D2753" s="296" t="s">
        <v>28729</v>
      </c>
    </row>
    <row r="2754" spans="1:4">
      <c r="A2754" s="288" t="s">
        <v>11980</v>
      </c>
      <c r="B2754" s="289" t="s">
        <v>11981</v>
      </c>
      <c r="C2754" s="288" t="s">
        <v>10941</v>
      </c>
      <c r="D2754" s="303">
        <v>51.11</v>
      </c>
    </row>
    <row r="2755" spans="1:4">
      <c r="A2755" s="288" t="s">
        <v>11982</v>
      </c>
      <c r="B2755" s="289" t="s">
        <v>11983</v>
      </c>
      <c r="C2755" s="288" t="s">
        <v>10941</v>
      </c>
      <c r="D2755" s="303">
        <v>81.680000000000007</v>
      </c>
    </row>
    <row r="2756" spans="1:4">
      <c r="A2756" s="288" t="s">
        <v>11984</v>
      </c>
      <c r="B2756" s="289" t="s">
        <v>11985</v>
      </c>
      <c r="C2756" s="288" t="s">
        <v>10941</v>
      </c>
      <c r="D2756" s="303">
        <v>117.29</v>
      </c>
    </row>
    <row r="2757" spans="1:4" ht="18">
      <c r="A2757" s="287" t="s">
        <v>11986</v>
      </c>
      <c r="B2757" s="287"/>
      <c r="C2757" s="287"/>
      <c r="D2757" s="296" t="s">
        <v>28729</v>
      </c>
    </row>
    <row r="2758" spans="1:4">
      <c r="A2758" s="288" t="s">
        <v>11987</v>
      </c>
      <c r="B2758" s="289" t="s">
        <v>11988</v>
      </c>
      <c r="C2758" s="288" t="s">
        <v>54</v>
      </c>
      <c r="D2758" s="303">
        <v>1.1100000000000001</v>
      </c>
    </row>
    <row r="2759" spans="1:4" ht="18">
      <c r="A2759" s="288" t="s">
        <v>11989</v>
      </c>
      <c r="B2759" s="289" t="s">
        <v>11990</v>
      </c>
      <c r="C2759" s="288" t="s">
        <v>54</v>
      </c>
      <c r="D2759" s="303">
        <v>2.95</v>
      </c>
    </row>
    <row r="2760" spans="1:4" ht="18">
      <c r="A2760" s="288" t="s">
        <v>11991</v>
      </c>
      <c r="B2760" s="289" t="s">
        <v>11992</v>
      </c>
      <c r="C2760" s="288" t="s">
        <v>54</v>
      </c>
      <c r="D2760" s="303">
        <v>4.18</v>
      </c>
    </row>
    <row r="2761" spans="1:4" ht="18">
      <c r="A2761" s="288" t="s">
        <v>11993</v>
      </c>
      <c r="B2761" s="289" t="s">
        <v>11994</v>
      </c>
      <c r="C2761" s="288" t="s">
        <v>54</v>
      </c>
      <c r="D2761" s="303">
        <v>14.14</v>
      </c>
    </row>
    <row r="2762" spans="1:4" ht="18">
      <c r="A2762" s="288" t="s">
        <v>11995</v>
      </c>
      <c r="B2762" s="289" t="s">
        <v>11996</v>
      </c>
      <c r="C2762" s="288" t="s">
        <v>54</v>
      </c>
      <c r="D2762" s="303">
        <v>6.54</v>
      </c>
    </row>
    <row r="2763" spans="1:4" ht="18">
      <c r="A2763" s="288" t="s">
        <v>11997</v>
      </c>
      <c r="B2763" s="289" t="s">
        <v>11998</v>
      </c>
      <c r="C2763" s="288" t="s">
        <v>54</v>
      </c>
      <c r="D2763" s="303">
        <v>7.31</v>
      </c>
    </row>
    <row r="2764" spans="1:4" ht="18">
      <c r="A2764" s="288" t="s">
        <v>11999</v>
      </c>
      <c r="B2764" s="289" t="s">
        <v>12000</v>
      </c>
      <c r="C2764" s="288" t="s">
        <v>54</v>
      </c>
      <c r="D2764" s="303">
        <v>10.46</v>
      </c>
    </row>
    <row r="2765" spans="1:4" ht="18">
      <c r="A2765" s="288" t="s">
        <v>12001</v>
      </c>
      <c r="B2765" s="289" t="s">
        <v>12002</v>
      </c>
      <c r="C2765" s="288" t="s">
        <v>54</v>
      </c>
      <c r="D2765" s="303">
        <v>13.7</v>
      </c>
    </row>
    <row r="2766" spans="1:4" ht="18">
      <c r="A2766" s="288" t="s">
        <v>12003</v>
      </c>
      <c r="B2766" s="289" t="s">
        <v>12004</v>
      </c>
      <c r="C2766" s="288" t="s">
        <v>54</v>
      </c>
      <c r="D2766" s="303">
        <v>14.9</v>
      </c>
    </row>
    <row r="2767" spans="1:4" ht="18">
      <c r="A2767" s="288" t="s">
        <v>12005</v>
      </c>
      <c r="B2767" s="289" t="s">
        <v>12006</v>
      </c>
      <c r="C2767" s="288" t="s">
        <v>54</v>
      </c>
      <c r="D2767" s="303">
        <v>17.09</v>
      </c>
    </row>
    <row r="2768" spans="1:4" ht="18">
      <c r="A2768" s="288" t="s">
        <v>12007</v>
      </c>
      <c r="B2768" s="289" t="s">
        <v>12008</v>
      </c>
      <c r="C2768" s="288" t="s">
        <v>54</v>
      </c>
      <c r="D2768" s="303">
        <v>23.79</v>
      </c>
    </row>
    <row r="2769" spans="1:4" ht="18">
      <c r="A2769" s="288" t="s">
        <v>12009</v>
      </c>
      <c r="B2769" s="289" t="s">
        <v>12010</v>
      </c>
      <c r="C2769" s="288" t="s">
        <v>54</v>
      </c>
      <c r="D2769" s="303">
        <v>32.130000000000003</v>
      </c>
    </row>
    <row r="2770" spans="1:4">
      <c r="A2770" s="288" t="s">
        <v>12011</v>
      </c>
      <c r="B2770" s="289" t="s">
        <v>12012</v>
      </c>
      <c r="C2770" s="288" t="s">
        <v>54</v>
      </c>
      <c r="D2770" s="303">
        <v>10.47</v>
      </c>
    </row>
    <row r="2771" spans="1:4" ht="18">
      <c r="A2771" s="288" t="s">
        <v>12013</v>
      </c>
      <c r="B2771" s="289" t="s">
        <v>12014</v>
      </c>
      <c r="C2771" s="288" t="s">
        <v>54</v>
      </c>
      <c r="D2771" s="303">
        <v>53.97</v>
      </c>
    </row>
    <row r="2772" spans="1:4" ht="18">
      <c r="A2772" s="287" t="s">
        <v>12015</v>
      </c>
      <c r="B2772" s="287"/>
      <c r="C2772" s="287"/>
      <c r="D2772" s="296" t="s">
        <v>28729</v>
      </c>
    </row>
    <row r="2773" spans="1:4">
      <c r="A2773" s="288" t="s">
        <v>12016</v>
      </c>
      <c r="B2773" s="289" t="s">
        <v>12017</v>
      </c>
      <c r="C2773" s="288" t="s">
        <v>54</v>
      </c>
      <c r="D2773" s="303">
        <v>5.03</v>
      </c>
    </row>
    <row r="2774" spans="1:4">
      <c r="A2774" s="288" t="s">
        <v>12018</v>
      </c>
      <c r="B2774" s="289" t="s">
        <v>12019</v>
      </c>
      <c r="C2774" s="288" t="s">
        <v>54</v>
      </c>
      <c r="D2774" s="303">
        <v>10.56</v>
      </c>
    </row>
    <row r="2775" spans="1:4" ht="36">
      <c r="A2775" s="288" t="s">
        <v>12020</v>
      </c>
      <c r="B2775" s="289" t="s">
        <v>12021</v>
      </c>
      <c r="C2775" s="288" t="s">
        <v>54</v>
      </c>
      <c r="D2775" s="303">
        <v>5.08</v>
      </c>
    </row>
    <row r="2776" spans="1:4">
      <c r="A2776" s="288" t="s">
        <v>12022</v>
      </c>
      <c r="B2776" s="289" t="s">
        <v>12023</v>
      </c>
      <c r="C2776" s="288" t="s">
        <v>54</v>
      </c>
      <c r="D2776" s="303">
        <v>12.36</v>
      </c>
    </row>
    <row r="2777" spans="1:4">
      <c r="A2777" s="288" t="s">
        <v>12024</v>
      </c>
      <c r="B2777" s="289" t="s">
        <v>12025</v>
      </c>
      <c r="C2777" s="288" t="s">
        <v>54</v>
      </c>
      <c r="D2777" s="303">
        <v>14.26</v>
      </c>
    </row>
    <row r="2778" spans="1:4" ht="36">
      <c r="A2778" s="288" t="s">
        <v>12026</v>
      </c>
      <c r="B2778" s="289" t="s">
        <v>12027</v>
      </c>
      <c r="C2778" s="288" t="s">
        <v>54</v>
      </c>
      <c r="D2778" s="303">
        <v>11.49</v>
      </c>
    </row>
    <row r="2779" spans="1:4" ht="18">
      <c r="A2779" s="288" t="s">
        <v>12028</v>
      </c>
      <c r="B2779" s="289" t="s">
        <v>12029</v>
      </c>
      <c r="C2779" s="288" t="s">
        <v>54</v>
      </c>
      <c r="D2779" s="303">
        <v>28.08</v>
      </c>
    </row>
    <row r="2780" spans="1:4">
      <c r="A2780" s="288" t="s">
        <v>12030</v>
      </c>
      <c r="B2780" s="289" t="s">
        <v>12031</v>
      </c>
      <c r="C2780" s="288" t="s">
        <v>54</v>
      </c>
      <c r="D2780" s="303">
        <v>19.61</v>
      </c>
    </row>
    <row r="2781" spans="1:4" ht="36">
      <c r="A2781" s="288" t="s">
        <v>12032</v>
      </c>
      <c r="B2781" s="289" t="s">
        <v>12033</v>
      </c>
      <c r="C2781" s="288" t="s">
        <v>54</v>
      </c>
      <c r="D2781" s="303">
        <v>16.100000000000001</v>
      </c>
    </row>
    <row r="2782" spans="1:4">
      <c r="A2782" s="288" t="s">
        <v>12034</v>
      </c>
      <c r="B2782" s="289" t="s">
        <v>12035</v>
      </c>
      <c r="C2782" s="288" t="s">
        <v>54</v>
      </c>
      <c r="D2782" s="303">
        <v>27.41</v>
      </c>
    </row>
    <row r="2783" spans="1:4" ht="36">
      <c r="A2783" s="288" t="s">
        <v>12036</v>
      </c>
      <c r="B2783" s="289" t="s">
        <v>12037</v>
      </c>
      <c r="C2783" s="288" t="s">
        <v>54</v>
      </c>
      <c r="D2783" s="303">
        <v>21.69</v>
      </c>
    </row>
    <row r="2784" spans="1:4" ht="18">
      <c r="A2784" s="288" t="s">
        <v>12038</v>
      </c>
      <c r="B2784" s="289" t="s">
        <v>12039</v>
      </c>
      <c r="C2784" s="288" t="s">
        <v>54</v>
      </c>
      <c r="D2784" s="303">
        <v>140.54</v>
      </c>
    </row>
    <row r="2785" spans="1:4" ht="36">
      <c r="A2785" s="288" t="s">
        <v>12040</v>
      </c>
      <c r="B2785" s="289" t="s">
        <v>12041</v>
      </c>
      <c r="C2785" s="288" t="s">
        <v>54</v>
      </c>
      <c r="D2785" s="303">
        <v>38.78</v>
      </c>
    </row>
    <row r="2786" spans="1:4">
      <c r="A2786" s="287" t="s">
        <v>12042</v>
      </c>
      <c r="B2786" s="287"/>
      <c r="C2786" s="287"/>
      <c r="D2786" s="296" t="s">
        <v>28729</v>
      </c>
    </row>
    <row r="2787" spans="1:4" ht="18">
      <c r="A2787" s="288" t="s">
        <v>12043</v>
      </c>
      <c r="B2787" s="289" t="s">
        <v>12044</v>
      </c>
      <c r="C2787" s="288" t="s">
        <v>54</v>
      </c>
      <c r="D2787" s="303">
        <v>3.12</v>
      </c>
    </row>
    <row r="2788" spans="1:4">
      <c r="A2788" s="288" t="s">
        <v>12045</v>
      </c>
      <c r="B2788" s="289" t="s">
        <v>12046</v>
      </c>
      <c r="C2788" s="288" t="s">
        <v>54</v>
      </c>
      <c r="D2788" s="303">
        <v>3.09</v>
      </c>
    </row>
    <row r="2789" spans="1:4" ht="36">
      <c r="A2789" s="288" t="s">
        <v>12047</v>
      </c>
      <c r="B2789" s="289" t="s">
        <v>12048</v>
      </c>
      <c r="C2789" s="288" t="s">
        <v>54</v>
      </c>
      <c r="D2789" s="303">
        <v>1.85</v>
      </c>
    </row>
    <row r="2790" spans="1:4" ht="18">
      <c r="A2790" s="288" t="s">
        <v>12049</v>
      </c>
      <c r="B2790" s="289" t="s">
        <v>12050</v>
      </c>
      <c r="C2790" s="288" t="s">
        <v>54</v>
      </c>
      <c r="D2790" s="303">
        <v>8.3800000000000008</v>
      </c>
    </row>
    <row r="2791" spans="1:4" ht="36">
      <c r="A2791" s="288" t="s">
        <v>12051</v>
      </c>
      <c r="B2791" s="289" t="s">
        <v>12052</v>
      </c>
      <c r="C2791" s="288" t="s">
        <v>54</v>
      </c>
      <c r="D2791" s="303">
        <v>7.16</v>
      </c>
    </row>
    <row r="2792" spans="1:4">
      <c r="A2792" s="288" t="s">
        <v>12053</v>
      </c>
      <c r="B2792" s="289" t="s">
        <v>12054</v>
      </c>
      <c r="C2792" s="288" t="s">
        <v>54</v>
      </c>
      <c r="D2792" s="303">
        <v>4.8899999999999997</v>
      </c>
    </row>
    <row r="2793" spans="1:4" ht="36">
      <c r="A2793" s="288" t="s">
        <v>12055</v>
      </c>
      <c r="B2793" s="289" t="s">
        <v>12056</v>
      </c>
      <c r="C2793" s="288" t="s">
        <v>54</v>
      </c>
      <c r="D2793" s="303">
        <v>3.27</v>
      </c>
    </row>
    <row r="2794" spans="1:4" ht="36">
      <c r="A2794" s="288" t="s">
        <v>12057</v>
      </c>
      <c r="B2794" s="289" t="s">
        <v>12058</v>
      </c>
      <c r="C2794" s="288" t="s">
        <v>54</v>
      </c>
      <c r="D2794" s="303">
        <v>3.43</v>
      </c>
    </row>
    <row r="2795" spans="1:4" ht="36">
      <c r="A2795" s="288" t="s">
        <v>12059</v>
      </c>
      <c r="B2795" s="289" t="s">
        <v>12060</v>
      </c>
      <c r="C2795" s="288" t="s">
        <v>54</v>
      </c>
      <c r="D2795" s="303">
        <v>6.11</v>
      </c>
    </row>
    <row r="2796" spans="1:4">
      <c r="A2796" s="287" t="s">
        <v>12061</v>
      </c>
      <c r="B2796" s="287"/>
      <c r="C2796" s="287"/>
      <c r="D2796" s="296" t="s">
        <v>28729</v>
      </c>
    </row>
    <row r="2797" spans="1:4" ht="45">
      <c r="A2797" s="288" t="s">
        <v>12062</v>
      </c>
      <c r="B2797" s="289" t="s">
        <v>12063</v>
      </c>
      <c r="C2797" s="288" t="s">
        <v>54</v>
      </c>
      <c r="D2797" s="303">
        <v>8.64</v>
      </c>
    </row>
    <row r="2798" spans="1:4" ht="45">
      <c r="A2798" s="288" t="s">
        <v>12064</v>
      </c>
      <c r="B2798" s="289" t="s">
        <v>12065</v>
      </c>
      <c r="C2798" s="288" t="s">
        <v>54</v>
      </c>
      <c r="D2798" s="303">
        <v>12.01</v>
      </c>
    </row>
    <row r="2799" spans="1:4" ht="18">
      <c r="A2799" s="287" t="s">
        <v>12066</v>
      </c>
      <c r="B2799" s="287"/>
      <c r="C2799" s="287"/>
      <c r="D2799" s="296" t="s">
        <v>28729</v>
      </c>
    </row>
    <row r="2800" spans="1:4" ht="18">
      <c r="A2800" s="288" t="s">
        <v>12067</v>
      </c>
      <c r="B2800" s="289" t="s">
        <v>12068</v>
      </c>
      <c r="C2800" s="288" t="s">
        <v>54</v>
      </c>
      <c r="D2800" s="303">
        <v>2.0099999999999998</v>
      </c>
    </row>
    <row r="2801" spans="1:4" ht="18">
      <c r="A2801" s="288" t="s">
        <v>12069</v>
      </c>
      <c r="B2801" s="289" t="s">
        <v>12070</v>
      </c>
      <c r="C2801" s="288" t="s">
        <v>54</v>
      </c>
      <c r="D2801" s="303">
        <v>2.54</v>
      </c>
    </row>
    <row r="2802" spans="1:4" ht="18">
      <c r="A2802" s="288" t="s">
        <v>12071</v>
      </c>
      <c r="B2802" s="289" t="s">
        <v>12072</v>
      </c>
      <c r="C2802" s="288" t="s">
        <v>54</v>
      </c>
      <c r="D2802" s="303">
        <v>3.81</v>
      </c>
    </row>
    <row r="2803" spans="1:4" ht="18">
      <c r="A2803" s="288" t="s">
        <v>12073</v>
      </c>
      <c r="B2803" s="289" t="s">
        <v>12074</v>
      </c>
      <c r="C2803" s="288" t="s">
        <v>54</v>
      </c>
      <c r="D2803" s="303">
        <v>5.09</v>
      </c>
    </row>
    <row r="2804" spans="1:4" ht="18">
      <c r="A2804" s="288" t="s">
        <v>12075</v>
      </c>
      <c r="B2804" s="289" t="s">
        <v>12076</v>
      </c>
      <c r="C2804" s="288" t="s">
        <v>54</v>
      </c>
      <c r="D2804" s="303">
        <v>6.36</v>
      </c>
    </row>
    <row r="2805" spans="1:4" ht="18">
      <c r="A2805" s="288" t="s">
        <v>12077</v>
      </c>
      <c r="B2805" s="289" t="s">
        <v>12078</v>
      </c>
      <c r="C2805" s="288" t="s">
        <v>54</v>
      </c>
      <c r="D2805" s="303">
        <v>3.81</v>
      </c>
    </row>
    <row r="2806" spans="1:4" ht="18">
      <c r="A2806" s="288" t="s">
        <v>12079</v>
      </c>
      <c r="B2806" s="289" t="s">
        <v>12080</v>
      </c>
      <c r="C2806" s="288" t="s">
        <v>54</v>
      </c>
      <c r="D2806" s="303">
        <v>3.81</v>
      </c>
    </row>
    <row r="2807" spans="1:4" ht="18">
      <c r="A2807" s="288" t="s">
        <v>25908</v>
      </c>
      <c r="B2807" s="289" t="s">
        <v>25909</v>
      </c>
      <c r="C2807" s="288" t="s">
        <v>54</v>
      </c>
      <c r="D2807" s="303">
        <v>3.81</v>
      </c>
    </row>
    <row r="2808" spans="1:4">
      <c r="A2808" s="287" t="s">
        <v>12081</v>
      </c>
      <c r="B2808" s="287"/>
      <c r="C2808" s="287"/>
      <c r="D2808" s="296" t="s">
        <v>28729</v>
      </c>
    </row>
    <row r="2809" spans="1:4" ht="18">
      <c r="A2809" s="288" t="s">
        <v>12082</v>
      </c>
      <c r="B2809" s="289" t="s">
        <v>12083</v>
      </c>
      <c r="C2809" s="288" t="s">
        <v>7079</v>
      </c>
      <c r="D2809" s="303">
        <v>0.1</v>
      </c>
    </row>
    <row r="2810" spans="1:4" ht="18">
      <c r="A2810" s="288" t="s">
        <v>12084</v>
      </c>
      <c r="B2810" s="289" t="s">
        <v>12085</v>
      </c>
      <c r="C2810" s="288" t="s">
        <v>7079</v>
      </c>
      <c r="D2810" s="303">
        <v>0.14000000000000001</v>
      </c>
    </row>
    <row r="2811" spans="1:4">
      <c r="A2811" s="287" t="s">
        <v>12086</v>
      </c>
      <c r="B2811" s="287"/>
      <c r="C2811" s="287"/>
      <c r="D2811" s="296" t="s">
        <v>28729</v>
      </c>
    </row>
    <row r="2812" spans="1:4" ht="18">
      <c r="A2812" s="288" t="s">
        <v>12087</v>
      </c>
      <c r="B2812" s="289" t="s">
        <v>12088</v>
      </c>
      <c r="C2812" s="288" t="s">
        <v>7079</v>
      </c>
      <c r="D2812" s="303">
        <v>2932</v>
      </c>
    </row>
    <row r="2813" spans="1:4" ht="18">
      <c r="A2813" s="288" t="s">
        <v>12089</v>
      </c>
      <c r="B2813" s="289" t="s">
        <v>12090</v>
      </c>
      <c r="C2813" s="288" t="s">
        <v>7079</v>
      </c>
      <c r="D2813" s="303">
        <v>3039</v>
      </c>
    </row>
    <row r="2814" spans="1:4" ht="45">
      <c r="A2814" s="288" t="s">
        <v>12091</v>
      </c>
      <c r="B2814" s="289" t="s">
        <v>12092</v>
      </c>
      <c r="C2814" s="288" t="s">
        <v>7079</v>
      </c>
      <c r="D2814" s="303">
        <v>6120</v>
      </c>
    </row>
    <row r="2815" spans="1:4" ht="18">
      <c r="A2815" s="288" t="s">
        <v>12093</v>
      </c>
      <c r="B2815" s="289" t="s">
        <v>12094</v>
      </c>
      <c r="C2815" s="288" t="s">
        <v>7079</v>
      </c>
      <c r="D2815" s="303">
        <v>8631</v>
      </c>
    </row>
    <row r="2816" spans="1:4" ht="18">
      <c r="A2816" s="288" t="s">
        <v>12095</v>
      </c>
      <c r="B2816" s="289" t="s">
        <v>12096</v>
      </c>
      <c r="C2816" s="288" t="s">
        <v>7079</v>
      </c>
      <c r="D2816" s="303">
        <v>8006</v>
      </c>
    </row>
    <row r="2817" spans="1:4" ht="18">
      <c r="A2817" s="288" t="s">
        <v>12097</v>
      </c>
      <c r="B2817" s="289" t="s">
        <v>12098</v>
      </c>
      <c r="C2817" s="288" t="s">
        <v>7079</v>
      </c>
      <c r="D2817" s="303">
        <v>11535</v>
      </c>
    </row>
    <row r="2818" spans="1:4" ht="18">
      <c r="A2818" s="288" t="s">
        <v>12099</v>
      </c>
      <c r="B2818" s="289" t="s">
        <v>12100</v>
      </c>
      <c r="C2818" s="288" t="s">
        <v>7079</v>
      </c>
      <c r="D2818" s="303">
        <v>13634</v>
      </c>
    </row>
    <row r="2819" spans="1:4">
      <c r="A2819" s="288" t="s">
        <v>12101</v>
      </c>
      <c r="B2819" s="289" t="s">
        <v>12102</v>
      </c>
      <c r="C2819" s="288" t="s">
        <v>7079</v>
      </c>
      <c r="D2819" s="303">
        <v>198.63</v>
      </c>
    </row>
    <row r="2820" spans="1:4" ht="18">
      <c r="A2820" s="287" t="s">
        <v>12103</v>
      </c>
      <c r="B2820" s="287"/>
      <c r="C2820" s="287"/>
      <c r="D2820" s="296" t="s">
        <v>28729</v>
      </c>
    </row>
    <row r="2821" spans="1:4" ht="36">
      <c r="A2821" s="288" t="s">
        <v>12104</v>
      </c>
      <c r="B2821" s="289" t="s">
        <v>12105</v>
      </c>
      <c r="C2821" s="288" t="s">
        <v>7079</v>
      </c>
      <c r="D2821" s="303">
        <v>203.36</v>
      </c>
    </row>
    <row r="2822" spans="1:4">
      <c r="A2822" s="290"/>
      <c r="B2822" s="290"/>
      <c r="C2822" s="290"/>
      <c r="D2822" s="298"/>
    </row>
    <row r="2823" spans="1:4">
      <c r="A2823" s="287" t="s">
        <v>12106</v>
      </c>
      <c r="B2823" s="287"/>
      <c r="C2823" s="287"/>
      <c r="D2823" s="296" t="s">
        <v>28729</v>
      </c>
    </row>
    <row r="2824" spans="1:4">
      <c r="A2824" s="288" t="s">
        <v>12107</v>
      </c>
      <c r="B2824" s="289" t="s">
        <v>12108</v>
      </c>
      <c r="C2824" s="288" t="s">
        <v>7079</v>
      </c>
      <c r="D2824" s="303">
        <v>35.72</v>
      </c>
    </row>
    <row r="2825" spans="1:4">
      <c r="A2825" s="288" t="s">
        <v>12109</v>
      </c>
      <c r="B2825" s="289" t="s">
        <v>12110</v>
      </c>
      <c r="C2825" s="288" t="s">
        <v>7079</v>
      </c>
      <c r="D2825" s="303">
        <v>57.39</v>
      </c>
    </row>
    <row r="2826" spans="1:4">
      <c r="A2826" s="288" t="s">
        <v>12111</v>
      </c>
      <c r="B2826" s="289" t="s">
        <v>12112</v>
      </c>
      <c r="C2826" s="288" t="s">
        <v>7079</v>
      </c>
      <c r="D2826" s="303">
        <v>90.19</v>
      </c>
    </row>
    <row r="2827" spans="1:4" ht="18">
      <c r="A2827" s="288" t="s">
        <v>12113</v>
      </c>
      <c r="B2827" s="289" t="s">
        <v>12114</v>
      </c>
      <c r="C2827" s="288" t="s">
        <v>7079</v>
      </c>
      <c r="D2827" s="303">
        <v>49.95</v>
      </c>
    </row>
    <row r="2828" spans="1:4" ht="18">
      <c r="A2828" s="288" t="s">
        <v>12115</v>
      </c>
      <c r="B2828" s="289" t="s">
        <v>12116</v>
      </c>
      <c r="C2828" s="288" t="s">
        <v>7079</v>
      </c>
      <c r="D2828" s="303">
        <v>6.36</v>
      </c>
    </row>
    <row r="2829" spans="1:4" ht="18">
      <c r="A2829" s="288" t="s">
        <v>12117</v>
      </c>
      <c r="B2829" s="289" t="s">
        <v>12118</v>
      </c>
      <c r="C2829" s="288" t="s">
        <v>7079</v>
      </c>
      <c r="D2829" s="303">
        <v>114.39</v>
      </c>
    </row>
    <row r="2830" spans="1:4">
      <c r="A2830" s="288" t="s">
        <v>12119</v>
      </c>
      <c r="B2830" s="289" t="s">
        <v>12120</v>
      </c>
      <c r="C2830" s="288" t="s">
        <v>7079</v>
      </c>
      <c r="D2830" s="303">
        <v>678.99</v>
      </c>
    </row>
    <row r="2831" spans="1:4" ht="18">
      <c r="A2831" s="288" t="s">
        <v>12121</v>
      </c>
      <c r="B2831" s="289" t="s">
        <v>12122</v>
      </c>
      <c r="C2831" s="288" t="s">
        <v>7079</v>
      </c>
      <c r="D2831" s="303">
        <v>335.14</v>
      </c>
    </row>
    <row r="2832" spans="1:4" ht="18">
      <c r="A2832" s="288" t="s">
        <v>12123</v>
      </c>
      <c r="B2832" s="289" t="s">
        <v>12124</v>
      </c>
      <c r="C2832" s="288" t="s">
        <v>7079</v>
      </c>
      <c r="D2832" s="303">
        <v>67.66</v>
      </c>
    </row>
    <row r="2833" spans="1:4" ht="18">
      <c r="A2833" s="288" t="s">
        <v>12125</v>
      </c>
      <c r="B2833" s="289" t="s">
        <v>12126</v>
      </c>
      <c r="C2833" s="288" t="s">
        <v>7079</v>
      </c>
      <c r="D2833" s="303">
        <v>197.76</v>
      </c>
    </row>
    <row r="2834" spans="1:4" ht="18">
      <c r="A2834" s="288" t="s">
        <v>25910</v>
      </c>
      <c r="B2834" s="289" t="s">
        <v>25911</v>
      </c>
      <c r="C2834" s="288" t="s">
        <v>7079</v>
      </c>
      <c r="D2834" s="303">
        <v>76.260000000000005</v>
      </c>
    </row>
    <row r="2835" spans="1:4" ht="36">
      <c r="A2835" s="288" t="s">
        <v>25912</v>
      </c>
      <c r="B2835" s="289" t="s">
        <v>25913</v>
      </c>
      <c r="C2835" s="288" t="s">
        <v>54</v>
      </c>
      <c r="D2835" s="303">
        <v>12.32</v>
      </c>
    </row>
    <row r="2836" spans="1:4" ht="36">
      <c r="A2836" s="288" t="s">
        <v>25914</v>
      </c>
      <c r="B2836" s="289" t="s">
        <v>25915</v>
      </c>
      <c r="C2836" s="288" t="s">
        <v>54</v>
      </c>
      <c r="D2836" s="303">
        <v>15.04</v>
      </c>
    </row>
    <row r="2837" spans="1:4">
      <c r="A2837" s="290"/>
      <c r="B2837" s="290"/>
      <c r="C2837" s="290"/>
      <c r="D2837" s="298"/>
    </row>
    <row r="2838" spans="1:4">
      <c r="A2838" s="287" t="s">
        <v>12127</v>
      </c>
      <c r="B2838" s="287"/>
      <c r="C2838" s="287"/>
      <c r="D2838" s="296" t="s">
        <v>28729</v>
      </c>
    </row>
    <row r="2839" spans="1:4">
      <c r="A2839" s="288" t="s">
        <v>12128</v>
      </c>
      <c r="B2839" s="289" t="s">
        <v>12129</v>
      </c>
      <c r="C2839" s="288" t="s">
        <v>7079</v>
      </c>
      <c r="D2839" s="303">
        <v>18.72</v>
      </c>
    </row>
    <row r="2840" spans="1:4" ht="18">
      <c r="A2840" s="288" t="s">
        <v>12130</v>
      </c>
      <c r="B2840" s="289" t="s">
        <v>12131</v>
      </c>
      <c r="C2840" s="288" t="s">
        <v>7079</v>
      </c>
      <c r="D2840" s="303">
        <v>76</v>
      </c>
    </row>
    <row r="2841" spans="1:4" ht="18">
      <c r="A2841" s="288" t="s">
        <v>12132</v>
      </c>
      <c r="B2841" s="289" t="s">
        <v>12133</v>
      </c>
      <c r="C2841" s="288" t="s">
        <v>7079</v>
      </c>
      <c r="D2841" s="303">
        <v>561.74</v>
      </c>
    </row>
    <row r="2842" spans="1:4">
      <c r="A2842" s="287" t="s">
        <v>12134</v>
      </c>
      <c r="B2842" s="287"/>
      <c r="C2842" s="287"/>
      <c r="D2842" s="296" t="s">
        <v>28729</v>
      </c>
    </row>
    <row r="2843" spans="1:4" ht="27">
      <c r="A2843" s="288" t="s">
        <v>12135</v>
      </c>
      <c r="B2843" s="289" t="s">
        <v>12136</v>
      </c>
      <c r="C2843" s="288" t="s">
        <v>7079</v>
      </c>
      <c r="D2843" s="303">
        <v>144.91999999999999</v>
      </c>
    </row>
    <row r="2844" spans="1:4" ht="18">
      <c r="A2844" s="288" t="s">
        <v>12137</v>
      </c>
      <c r="B2844" s="289" t="s">
        <v>12138</v>
      </c>
      <c r="C2844" s="288" t="s">
        <v>7079</v>
      </c>
      <c r="D2844" s="303">
        <v>320.79000000000002</v>
      </c>
    </row>
    <row r="2845" spans="1:4" ht="18">
      <c r="A2845" s="288" t="s">
        <v>12139</v>
      </c>
      <c r="B2845" s="289" t="s">
        <v>12140</v>
      </c>
      <c r="C2845" s="288" t="s">
        <v>7079</v>
      </c>
      <c r="D2845" s="303">
        <v>474.81</v>
      </c>
    </row>
    <row r="2846" spans="1:4" ht="27">
      <c r="A2846" s="288" t="s">
        <v>12141</v>
      </c>
      <c r="B2846" s="289" t="s">
        <v>12142</v>
      </c>
      <c r="C2846" s="288" t="s">
        <v>7079</v>
      </c>
      <c r="D2846" s="303">
        <v>195.55</v>
      </c>
    </row>
    <row r="2847" spans="1:4" ht="27">
      <c r="A2847" s="288" t="s">
        <v>12143</v>
      </c>
      <c r="B2847" s="289" t="s">
        <v>12144</v>
      </c>
      <c r="C2847" s="288" t="s">
        <v>7079</v>
      </c>
      <c r="D2847" s="303">
        <v>101.68</v>
      </c>
    </row>
    <row r="2848" spans="1:4" ht="27">
      <c r="A2848" s="288" t="s">
        <v>12145</v>
      </c>
      <c r="B2848" s="289" t="s">
        <v>12146</v>
      </c>
      <c r="C2848" s="288" t="s">
        <v>7079</v>
      </c>
      <c r="D2848" s="303">
        <v>210.53</v>
      </c>
    </row>
    <row r="2849" spans="1:4" ht="27">
      <c r="A2849" s="288" t="s">
        <v>12147</v>
      </c>
      <c r="B2849" s="289" t="s">
        <v>12148</v>
      </c>
      <c r="C2849" s="288" t="s">
        <v>7079</v>
      </c>
      <c r="D2849" s="303">
        <v>76.260000000000005</v>
      </c>
    </row>
    <row r="2850" spans="1:4" ht="27">
      <c r="A2850" s="288" t="s">
        <v>12149</v>
      </c>
      <c r="B2850" s="289" t="s">
        <v>12150</v>
      </c>
      <c r="C2850" s="288" t="s">
        <v>7079</v>
      </c>
      <c r="D2850" s="303">
        <v>127.1</v>
      </c>
    </row>
    <row r="2851" spans="1:4" ht="27">
      <c r="A2851" s="288" t="s">
        <v>12151</v>
      </c>
      <c r="B2851" s="289" t="s">
        <v>12152</v>
      </c>
      <c r="C2851" s="288" t="s">
        <v>7079</v>
      </c>
      <c r="D2851" s="303">
        <v>290.38</v>
      </c>
    </row>
    <row r="2852" spans="1:4" ht="36">
      <c r="A2852" s="288" t="s">
        <v>12153</v>
      </c>
      <c r="B2852" s="289" t="s">
        <v>12154</v>
      </c>
      <c r="C2852" s="288" t="s">
        <v>7079</v>
      </c>
      <c r="D2852" s="303">
        <v>305.36</v>
      </c>
    </row>
    <row r="2853" spans="1:4" ht="27">
      <c r="A2853" s="288" t="s">
        <v>12155</v>
      </c>
      <c r="B2853" s="289" t="s">
        <v>12156</v>
      </c>
      <c r="C2853" s="288" t="s">
        <v>7079</v>
      </c>
      <c r="D2853" s="303">
        <v>379.4</v>
      </c>
    </row>
    <row r="2854" spans="1:4" ht="18">
      <c r="A2854" s="288" t="s">
        <v>12157</v>
      </c>
      <c r="B2854" s="289" t="s">
        <v>12158</v>
      </c>
      <c r="C2854" s="288" t="s">
        <v>7079</v>
      </c>
      <c r="D2854" s="303">
        <v>76.260000000000005</v>
      </c>
    </row>
    <row r="2855" spans="1:4" ht="36">
      <c r="A2855" s="288" t="s">
        <v>12159</v>
      </c>
      <c r="B2855" s="289" t="s">
        <v>12160</v>
      </c>
      <c r="C2855" s="288" t="s">
        <v>7079</v>
      </c>
      <c r="D2855" s="303">
        <v>468.11</v>
      </c>
    </row>
    <row r="2856" spans="1:4" ht="36">
      <c r="A2856" s="288" t="s">
        <v>12161</v>
      </c>
      <c r="B2856" s="289" t="s">
        <v>12162</v>
      </c>
      <c r="C2856" s="288" t="s">
        <v>7079</v>
      </c>
      <c r="D2856" s="303">
        <v>833.95</v>
      </c>
    </row>
    <row r="2857" spans="1:4" ht="27">
      <c r="A2857" s="288" t="s">
        <v>12163</v>
      </c>
      <c r="B2857" s="289" t="s">
        <v>12164</v>
      </c>
      <c r="C2857" s="288" t="s">
        <v>7079</v>
      </c>
      <c r="D2857" s="303">
        <v>12.83</v>
      </c>
    </row>
    <row r="2858" spans="1:4">
      <c r="A2858" s="287" t="s">
        <v>12165</v>
      </c>
      <c r="B2858" s="287"/>
      <c r="C2858" s="287"/>
      <c r="D2858" s="296" t="s">
        <v>28729</v>
      </c>
    </row>
    <row r="2859" spans="1:4">
      <c r="A2859" s="288" t="s">
        <v>12166</v>
      </c>
      <c r="B2859" s="289" t="s">
        <v>12167</v>
      </c>
      <c r="C2859" s="288" t="s">
        <v>7079</v>
      </c>
      <c r="D2859" s="303">
        <v>12.71</v>
      </c>
    </row>
    <row r="2860" spans="1:4">
      <c r="A2860" s="287" t="s">
        <v>12168</v>
      </c>
      <c r="B2860" s="287"/>
      <c r="C2860" s="287"/>
      <c r="D2860" s="296" t="s">
        <v>28729</v>
      </c>
    </row>
    <row r="2861" spans="1:4">
      <c r="A2861" s="288" t="s">
        <v>12169</v>
      </c>
      <c r="B2861" s="289" t="s">
        <v>12170</v>
      </c>
      <c r="C2861" s="288" t="s">
        <v>7079</v>
      </c>
      <c r="D2861" s="303">
        <v>309.5</v>
      </c>
    </row>
    <row r="2862" spans="1:4" ht="45">
      <c r="A2862" s="288" t="s">
        <v>12171</v>
      </c>
      <c r="B2862" s="289" t="s">
        <v>12172</v>
      </c>
      <c r="C2862" s="288" t="s">
        <v>7079</v>
      </c>
      <c r="D2862" s="303">
        <v>598</v>
      </c>
    </row>
    <row r="2863" spans="1:4" ht="36">
      <c r="A2863" s="288" t="s">
        <v>12173</v>
      </c>
      <c r="B2863" s="289" t="s">
        <v>12174</v>
      </c>
      <c r="C2863" s="288" t="s">
        <v>7079</v>
      </c>
      <c r="D2863" s="303">
        <v>190</v>
      </c>
    </row>
    <row r="2864" spans="1:4" ht="45">
      <c r="A2864" s="288" t="s">
        <v>12175</v>
      </c>
      <c r="B2864" s="289" t="s">
        <v>12176</v>
      </c>
      <c r="C2864" s="288" t="s">
        <v>7079</v>
      </c>
      <c r="D2864" s="303">
        <v>380</v>
      </c>
    </row>
    <row r="2865" spans="1:4" ht="45">
      <c r="A2865" s="288" t="s">
        <v>12177</v>
      </c>
      <c r="B2865" s="289" t="s">
        <v>12178</v>
      </c>
      <c r="C2865" s="288" t="s">
        <v>7079</v>
      </c>
      <c r="D2865" s="303">
        <v>509.79</v>
      </c>
    </row>
    <row r="2866" spans="1:4" ht="45">
      <c r="A2866" s="288" t="s">
        <v>25916</v>
      </c>
      <c r="B2866" s="289" t="s">
        <v>25917</v>
      </c>
      <c r="C2866" s="288" t="s">
        <v>7079</v>
      </c>
      <c r="D2866" s="303">
        <v>1150</v>
      </c>
    </row>
    <row r="2867" spans="1:4" ht="45">
      <c r="A2867" s="288" t="s">
        <v>25918</v>
      </c>
      <c r="B2867" s="289" t="s">
        <v>25919</v>
      </c>
      <c r="C2867" s="288" t="s">
        <v>7079</v>
      </c>
      <c r="D2867" s="303">
        <v>1150</v>
      </c>
    </row>
    <row r="2868" spans="1:4" ht="27">
      <c r="A2868" s="288" t="s">
        <v>12179</v>
      </c>
      <c r="B2868" s="289" t="s">
        <v>12180</v>
      </c>
      <c r="C2868" s="288" t="s">
        <v>7079</v>
      </c>
      <c r="D2868" s="303">
        <v>28</v>
      </c>
    </row>
    <row r="2869" spans="1:4">
      <c r="A2869" s="290"/>
      <c r="B2869" s="290"/>
      <c r="C2869" s="290"/>
      <c r="D2869" s="298"/>
    </row>
    <row r="2870" spans="1:4">
      <c r="A2870" s="287" t="s">
        <v>12181</v>
      </c>
      <c r="B2870" s="287"/>
      <c r="C2870" s="287"/>
      <c r="D2870" s="296" t="s">
        <v>28729</v>
      </c>
    </row>
    <row r="2871" spans="1:4">
      <c r="A2871" s="288" t="s">
        <v>12182</v>
      </c>
      <c r="B2871" s="289" t="s">
        <v>12183</v>
      </c>
      <c r="C2871" s="288" t="s">
        <v>54</v>
      </c>
      <c r="D2871" s="303">
        <v>25.32</v>
      </c>
    </row>
    <row r="2872" spans="1:4">
      <c r="A2872" s="288" t="s">
        <v>12184</v>
      </c>
      <c r="B2872" s="289" t="s">
        <v>12185</v>
      </c>
      <c r="C2872" s="288" t="s">
        <v>54</v>
      </c>
      <c r="D2872" s="303">
        <v>31.04</v>
      </c>
    </row>
    <row r="2873" spans="1:4">
      <c r="A2873" s="288" t="s">
        <v>12186</v>
      </c>
      <c r="B2873" s="289" t="s">
        <v>12187</v>
      </c>
      <c r="C2873" s="288" t="s">
        <v>54</v>
      </c>
      <c r="D2873" s="303">
        <v>41.9</v>
      </c>
    </row>
    <row r="2874" spans="1:4">
      <c r="A2874" s="288" t="s">
        <v>12188</v>
      </c>
      <c r="B2874" s="289" t="s">
        <v>12189</v>
      </c>
      <c r="C2874" s="288" t="s">
        <v>54</v>
      </c>
      <c r="D2874" s="303">
        <v>39.619999999999997</v>
      </c>
    </row>
    <row r="2875" spans="1:4">
      <c r="A2875" s="287" t="s">
        <v>12190</v>
      </c>
      <c r="B2875" s="287"/>
      <c r="C2875" s="287"/>
      <c r="D2875" s="296" t="s">
        <v>28729</v>
      </c>
    </row>
    <row r="2876" spans="1:4" ht="18">
      <c r="A2876" s="288" t="s">
        <v>12191</v>
      </c>
      <c r="B2876" s="289" t="s">
        <v>12192</v>
      </c>
      <c r="C2876" s="288" t="s">
        <v>7079</v>
      </c>
      <c r="D2876" s="303">
        <v>7.39</v>
      </c>
    </row>
    <row r="2877" spans="1:4" ht="18">
      <c r="A2877" s="288" t="s">
        <v>12193</v>
      </c>
      <c r="B2877" s="289" t="s">
        <v>12194</v>
      </c>
      <c r="C2877" s="288" t="s">
        <v>7079</v>
      </c>
      <c r="D2877" s="303">
        <v>37.49</v>
      </c>
    </row>
    <row r="2878" spans="1:4" ht="18">
      <c r="A2878" s="288" t="s">
        <v>12195</v>
      </c>
      <c r="B2878" s="289" t="s">
        <v>12196</v>
      </c>
      <c r="C2878" s="288" t="s">
        <v>7079</v>
      </c>
      <c r="D2878" s="303">
        <v>60.15</v>
      </c>
    </row>
    <row r="2879" spans="1:4">
      <c r="A2879" s="288" t="s">
        <v>12197</v>
      </c>
      <c r="B2879" s="289" t="s">
        <v>12198</v>
      </c>
      <c r="C2879" s="288" t="s">
        <v>7079</v>
      </c>
      <c r="D2879" s="303">
        <v>11.46</v>
      </c>
    </row>
    <row r="2880" spans="1:4" ht="18">
      <c r="A2880" s="288" t="s">
        <v>12199</v>
      </c>
      <c r="B2880" s="289" t="s">
        <v>12200</v>
      </c>
      <c r="C2880" s="288" t="s">
        <v>7079</v>
      </c>
      <c r="D2880" s="303">
        <v>18</v>
      </c>
    </row>
    <row r="2881" spans="1:4">
      <c r="A2881" s="288" t="s">
        <v>12201</v>
      </c>
      <c r="B2881" s="289" t="s">
        <v>12202</v>
      </c>
      <c r="C2881" s="288" t="s">
        <v>7079</v>
      </c>
      <c r="D2881" s="303">
        <v>27.2</v>
      </c>
    </row>
    <row r="2882" spans="1:4">
      <c r="A2882" s="288" t="s">
        <v>12203</v>
      </c>
      <c r="B2882" s="289" t="s">
        <v>12204</v>
      </c>
      <c r="C2882" s="288" t="s">
        <v>7079</v>
      </c>
      <c r="D2882" s="303">
        <v>14.96</v>
      </c>
    </row>
    <row r="2883" spans="1:4" ht="18">
      <c r="A2883" s="287" t="s">
        <v>12205</v>
      </c>
      <c r="B2883" s="287"/>
      <c r="C2883" s="287"/>
      <c r="D2883" s="296" t="s">
        <v>28729</v>
      </c>
    </row>
    <row r="2884" spans="1:4">
      <c r="A2884" s="288" t="s">
        <v>12206</v>
      </c>
      <c r="B2884" s="289" t="s">
        <v>12207</v>
      </c>
      <c r="C2884" s="288" t="s">
        <v>54</v>
      </c>
      <c r="D2884" s="303">
        <v>1.45</v>
      </c>
    </row>
    <row r="2885" spans="1:4">
      <c r="A2885" s="288" t="s">
        <v>12208</v>
      </c>
      <c r="B2885" s="289" t="s">
        <v>12209</v>
      </c>
      <c r="C2885" s="288" t="s">
        <v>54</v>
      </c>
      <c r="D2885" s="303">
        <v>10.14</v>
      </c>
    </row>
    <row r="2886" spans="1:4">
      <c r="A2886" s="288" t="s">
        <v>12210</v>
      </c>
      <c r="B2886" s="289" t="s">
        <v>12211</v>
      </c>
      <c r="C2886" s="288" t="s">
        <v>54</v>
      </c>
      <c r="D2886" s="303">
        <v>18.32</v>
      </c>
    </row>
    <row r="2887" spans="1:4" ht="18">
      <c r="A2887" s="287" t="s">
        <v>12212</v>
      </c>
      <c r="B2887" s="287"/>
      <c r="C2887" s="287"/>
      <c r="D2887" s="296" t="s">
        <v>28729</v>
      </c>
    </row>
    <row r="2888" spans="1:4" ht="18">
      <c r="A2888" s="288" t="s">
        <v>12213</v>
      </c>
      <c r="B2888" s="289" t="s">
        <v>12214</v>
      </c>
      <c r="C2888" s="288" t="s">
        <v>7079</v>
      </c>
      <c r="D2888" s="303">
        <v>2.82</v>
      </c>
    </row>
    <row r="2889" spans="1:4" ht="18">
      <c r="A2889" s="288" t="s">
        <v>12215</v>
      </c>
      <c r="B2889" s="289" t="s">
        <v>12216</v>
      </c>
      <c r="C2889" s="288" t="s">
        <v>7079</v>
      </c>
      <c r="D2889" s="303">
        <v>3.76</v>
      </c>
    </row>
    <row r="2890" spans="1:4" ht="18">
      <c r="A2890" s="288" t="s">
        <v>12217</v>
      </c>
      <c r="B2890" s="289" t="s">
        <v>12218</v>
      </c>
      <c r="C2890" s="288" t="s">
        <v>7079</v>
      </c>
      <c r="D2890" s="303">
        <v>10.92</v>
      </c>
    </row>
    <row r="2891" spans="1:4" ht="18">
      <c r="A2891" s="288" t="s">
        <v>12219</v>
      </c>
      <c r="B2891" s="289" t="s">
        <v>12220</v>
      </c>
      <c r="C2891" s="288" t="s">
        <v>7079</v>
      </c>
      <c r="D2891" s="303">
        <v>37.07</v>
      </c>
    </row>
    <row r="2892" spans="1:4" ht="18">
      <c r="A2892" s="288" t="s">
        <v>12221</v>
      </c>
      <c r="B2892" s="289" t="s">
        <v>12222</v>
      </c>
      <c r="C2892" s="288" t="s">
        <v>7079</v>
      </c>
      <c r="D2892" s="303">
        <v>104.12</v>
      </c>
    </row>
    <row r="2893" spans="1:4" ht="18">
      <c r="A2893" s="288" t="s">
        <v>12223</v>
      </c>
      <c r="B2893" s="289" t="s">
        <v>12224</v>
      </c>
      <c r="C2893" s="288" t="s">
        <v>7079</v>
      </c>
      <c r="D2893" s="303">
        <v>1.78</v>
      </c>
    </row>
    <row r="2894" spans="1:4" ht="18">
      <c r="A2894" s="288" t="s">
        <v>12225</v>
      </c>
      <c r="B2894" s="289" t="s">
        <v>12226</v>
      </c>
      <c r="C2894" s="288" t="s">
        <v>7079</v>
      </c>
      <c r="D2894" s="303">
        <v>1.92</v>
      </c>
    </row>
    <row r="2895" spans="1:4" ht="18">
      <c r="A2895" s="288" t="s">
        <v>12227</v>
      </c>
      <c r="B2895" s="289" t="s">
        <v>12228</v>
      </c>
      <c r="C2895" s="288" t="s">
        <v>7079</v>
      </c>
      <c r="D2895" s="303">
        <v>13.97</v>
      </c>
    </row>
    <row r="2896" spans="1:4" ht="18">
      <c r="A2896" s="288" t="s">
        <v>12229</v>
      </c>
      <c r="B2896" s="289" t="s">
        <v>12230</v>
      </c>
      <c r="C2896" s="288" t="s">
        <v>7079</v>
      </c>
      <c r="D2896" s="303">
        <v>9.0299999999999994</v>
      </c>
    </row>
    <row r="2897" spans="1:4">
      <c r="A2897" s="287" t="s">
        <v>12231</v>
      </c>
      <c r="B2897" s="287"/>
      <c r="C2897" s="287"/>
      <c r="D2897" s="296" t="s">
        <v>28729</v>
      </c>
    </row>
    <row r="2898" spans="1:4" ht="18">
      <c r="A2898" s="288" t="s">
        <v>12232</v>
      </c>
      <c r="B2898" s="289" t="s">
        <v>12233</v>
      </c>
      <c r="C2898" s="288" t="s">
        <v>54</v>
      </c>
      <c r="D2898" s="303">
        <v>15.29</v>
      </c>
    </row>
    <row r="2899" spans="1:4" ht="18">
      <c r="A2899" s="287" t="s">
        <v>12234</v>
      </c>
      <c r="B2899" s="287"/>
      <c r="C2899" s="287"/>
      <c r="D2899" s="296" t="s">
        <v>28729</v>
      </c>
    </row>
    <row r="2900" spans="1:4">
      <c r="A2900" s="288" t="s">
        <v>12235</v>
      </c>
      <c r="B2900" s="289" t="s">
        <v>12236</v>
      </c>
      <c r="C2900" s="288" t="s">
        <v>7079</v>
      </c>
      <c r="D2900" s="303">
        <v>15.35</v>
      </c>
    </row>
    <row r="2901" spans="1:4">
      <c r="A2901" s="288" t="s">
        <v>12237</v>
      </c>
      <c r="B2901" s="289" t="s">
        <v>12238</v>
      </c>
      <c r="C2901" s="288" t="s">
        <v>7079</v>
      </c>
      <c r="D2901" s="303">
        <v>36.1</v>
      </c>
    </row>
    <row r="2902" spans="1:4">
      <c r="A2902" s="288" t="s">
        <v>12239</v>
      </c>
      <c r="B2902" s="289" t="s">
        <v>12240</v>
      </c>
      <c r="C2902" s="288" t="s">
        <v>7079</v>
      </c>
      <c r="D2902" s="303">
        <v>111.46</v>
      </c>
    </row>
    <row r="2903" spans="1:4">
      <c r="A2903" s="290"/>
      <c r="B2903" s="290"/>
      <c r="C2903" s="290"/>
      <c r="D2903" s="298"/>
    </row>
    <row r="2904" spans="1:4">
      <c r="A2904" s="287" t="s">
        <v>12241</v>
      </c>
      <c r="B2904" s="287"/>
      <c r="C2904" s="287"/>
      <c r="D2904" s="296" t="s">
        <v>28729</v>
      </c>
    </row>
    <row r="2905" spans="1:4">
      <c r="A2905" s="288" t="s">
        <v>12242</v>
      </c>
      <c r="B2905" s="289" t="s">
        <v>12243</v>
      </c>
      <c r="C2905" s="288" t="s">
        <v>10941</v>
      </c>
      <c r="D2905" s="303">
        <v>15</v>
      </c>
    </row>
    <row r="2906" spans="1:4">
      <c r="A2906" s="287" t="s">
        <v>12244</v>
      </c>
      <c r="B2906" s="287"/>
      <c r="C2906" s="287"/>
      <c r="D2906" s="296" t="s">
        <v>28729</v>
      </c>
    </row>
    <row r="2907" spans="1:4">
      <c r="A2907" s="288" t="s">
        <v>12245</v>
      </c>
      <c r="B2907" s="289" t="s">
        <v>12246</v>
      </c>
      <c r="C2907" s="288" t="s">
        <v>7079</v>
      </c>
      <c r="D2907" s="303">
        <v>6486</v>
      </c>
    </row>
    <row r="2908" spans="1:4">
      <c r="A2908" s="288" t="s">
        <v>12247</v>
      </c>
      <c r="B2908" s="289" t="s">
        <v>12248</v>
      </c>
      <c r="C2908" s="288" t="s">
        <v>7079</v>
      </c>
      <c r="D2908" s="303">
        <v>7452</v>
      </c>
    </row>
    <row r="2909" spans="1:4" ht="18">
      <c r="A2909" s="288" t="s">
        <v>12249</v>
      </c>
      <c r="B2909" s="289" t="s">
        <v>12250</v>
      </c>
      <c r="C2909" s="288" t="s">
        <v>7079</v>
      </c>
      <c r="D2909" s="303">
        <v>4393</v>
      </c>
    </row>
    <row r="2910" spans="1:4">
      <c r="A2910" s="287" t="s">
        <v>12251</v>
      </c>
      <c r="B2910" s="287"/>
      <c r="C2910" s="287"/>
      <c r="D2910" s="296" t="s">
        <v>28729</v>
      </c>
    </row>
    <row r="2911" spans="1:4" ht="18">
      <c r="A2911" s="288" t="s">
        <v>12252</v>
      </c>
      <c r="B2911" s="289" t="s">
        <v>12253</v>
      </c>
      <c r="C2911" s="288" t="s">
        <v>7079</v>
      </c>
      <c r="D2911" s="303">
        <v>88.97</v>
      </c>
    </row>
    <row r="2912" spans="1:4" ht="27">
      <c r="A2912" s="288" t="s">
        <v>12254</v>
      </c>
      <c r="B2912" s="289" t="s">
        <v>12255</v>
      </c>
      <c r="C2912" s="288" t="s">
        <v>7079</v>
      </c>
      <c r="D2912" s="303">
        <v>254.13</v>
      </c>
    </row>
    <row r="2913" spans="1:4" ht="18">
      <c r="A2913" s="288" t="s">
        <v>12256</v>
      </c>
      <c r="B2913" s="289" t="s">
        <v>12257</v>
      </c>
      <c r="C2913" s="288" t="s">
        <v>7079</v>
      </c>
      <c r="D2913" s="303">
        <v>5555</v>
      </c>
    </row>
    <row r="2914" spans="1:4" ht="18">
      <c r="A2914" s="288" t="s">
        <v>12258</v>
      </c>
      <c r="B2914" s="289" t="s">
        <v>12259</v>
      </c>
      <c r="C2914" s="288" t="s">
        <v>7079</v>
      </c>
      <c r="D2914" s="303">
        <v>3423.58</v>
      </c>
    </row>
    <row r="2915" spans="1:4">
      <c r="A2915" s="290"/>
      <c r="B2915" s="290"/>
      <c r="C2915" s="290"/>
      <c r="D2915" s="298"/>
    </row>
    <row r="2916" spans="1:4">
      <c r="A2916" s="287" t="s">
        <v>12260</v>
      </c>
      <c r="B2916" s="287"/>
      <c r="C2916" s="287"/>
      <c r="D2916" s="296" t="s">
        <v>28729</v>
      </c>
    </row>
    <row r="2917" spans="1:4">
      <c r="A2917" s="288" t="s">
        <v>12261</v>
      </c>
      <c r="B2917" s="289" t="s">
        <v>12262</v>
      </c>
      <c r="C2917" s="288" t="s">
        <v>7079</v>
      </c>
      <c r="D2917" s="303">
        <v>306.31</v>
      </c>
    </row>
    <row r="2918" spans="1:4" ht="18">
      <c r="A2918" s="288" t="s">
        <v>12263</v>
      </c>
      <c r="B2918" s="289" t="s">
        <v>12264</v>
      </c>
      <c r="C2918" s="288" t="s">
        <v>7079</v>
      </c>
      <c r="D2918" s="303">
        <v>222</v>
      </c>
    </row>
    <row r="2919" spans="1:4" ht="18">
      <c r="A2919" s="287" t="s">
        <v>12265</v>
      </c>
      <c r="B2919" s="287"/>
      <c r="C2919" s="287"/>
      <c r="D2919" s="296" t="s">
        <v>28729</v>
      </c>
    </row>
    <row r="2920" spans="1:4">
      <c r="A2920" s="288" t="s">
        <v>12266</v>
      </c>
      <c r="B2920" s="289" t="s">
        <v>12267</v>
      </c>
      <c r="C2920" s="288" t="s">
        <v>7079</v>
      </c>
      <c r="D2920" s="303">
        <v>2.21</v>
      </c>
    </row>
    <row r="2921" spans="1:4">
      <c r="A2921" s="288" t="s">
        <v>12268</v>
      </c>
      <c r="B2921" s="289" t="s">
        <v>12269</v>
      </c>
      <c r="C2921" s="288" t="s">
        <v>7079</v>
      </c>
      <c r="D2921" s="303">
        <v>18.84</v>
      </c>
    </row>
    <row r="2922" spans="1:4">
      <c r="A2922" s="288" t="s">
        <v>12270</v>
      </c>
      <c r="B2922" s="289" t="s">
        <v>12271</v>
      </c>
      <c r="C2922" s="288" t="s">
        <v>7079</v>
      </c>
      <c r="D2922" s="303">
        <v>45.5</v>
      </c>
    </row>
    <row r="2923" spans="1:4" ht="18">
      <c r="A2923" s="288" t="s">
        <v>12272</v>
      </c>
      <c r="B2923" s="289" t="s">
        <v>12273</v>
      </c>
      <c r="C2923" s="288" t="s">
        <v>7079</v>
      </c>
      <c r="D2923" s="303">
        <v>11.36</v>
      </c>
    </row>
    <row r="2924" spans="1:4" ht="18">
      <c r="A2924" s="288" t="s">
        <v>12274</v>
      </c>
      <c r="B2924" s="289" t="s">
        <v>12275</v>
      </c>
      <c r="C2924" s="288" t="s">
        <v>7079</v>
      </c>
      <c r="D2924" s="303">
        <v>15.25</v>
      </c>
    </row>
    <row r="2925" spans="1:4" ht="18">
      <c r="A2925" s="288" t="s">
        <v>12276</v>
      </c>
      <c r="B2925" s="289" t="s">
        <v>12277</v>
      </c>
      <c r="C2925" s="288" t="s">
        <v>7079</v>
      </c>
      <c r="D2925" s="303">
        <v>12.6</v>
      </c>
    </row>
    <row r="2926" spans="1:4">
      <c r="A2926" s="287" t="s">
        <v>12278</v>
      </c>
      <c r="B2926" s="287"/>
      <c r="C2926" s="287"/>
      <c r="D2926" s="296" t="s">
        <v>28729</v>
      </c>
    </row>
    <row r="2927" spans="1:4">
      <c r="A2927" s="288" t="s">
        <v>12279</v>
      </c>
      <c r="B2927" s="289" t="s">
        <v>12280</v>
      </c>
      <c r="C2927" s="288" t="s">
        <v>7079</v>
      </c>
      <c r="D2927" s="303">
        <v>65.55</v>
      </c>
    </row>
    <row r="2928" spans="1:4">
      <c r="A2928" s="288" t="s">
        <v>12281</v>
      </c>
      <c r="B2928" s="289" t="s">
        <v>12282</v>
      </c>
      <c r="C2928" s="288" t="s">
        <v>7079</v>
      </c>
      <c r="D2928" s="303">
        <v>70.290000000000006</v>
      </c>
    </row>
    <row r="2929" spans="1:4">
      <c r="A2929" s="288" t="s">
        <v>12283</v>
      </c>
      <c r="B2929" s="289" t="s">
        <v>12284</v>
      </c>
      <c r="C2929" s="288" t="s">
        <v>7079</v>
      </c>
      <c r="D2929" s="303">
        <v>224</v>
      </c>
    </row>
    <row r="2930" spans="1:4">
      <c r="A2930" s="290"/>
      <c r="B2930" s="290"/>
      <c r="C2930" s="290"/>
      <c r="D2930" s="298"/>
    </row>
    <row r="2931" spans="1:4">
      <c r="A2931" s="287" t="s">
        <v>12285</v>
      </c>
      <c r="B2931" s="287"/>
      <c r="C2931" s="287"/>
      <c r="D2931" s="296" t="s">
        <v>28729</v>
      </c>
    </row>
    <row r="2932" spans="1:4">
      <c r="A2932" s="288" t="s">
        <v>12286</v>
      </c>
      <c r="B2932" s="289" t="s">
        <v>12287</v>
      </c>
      <c r="C2932" s="288" t="s">
        <v>7079</v>
      </c>
      <c r="D2932" s="303">
        <v>14.03</v>
      </c>
    </row>
    <row r="2933" spans="1:4" ht="45">
      <c r="A2933" s="288" t="s">
        <v>12288</v>
      </c>
      <c r="B2933" s="289" t="s">
        <v>12289</v>
      </c>
      <c r="C2933" s="288" t="s">
        <v>7079</v>
      </c>
      <c r="D2933" s="303">
        <v>25.69</v>
      </c>
    </row>
    <row r="2934" spans="1:4">
      <c r="A2934" s="288" t="s">
        <v>12290</v>
      </c>
      <c r="B2934" s="289" t="s">
        <v>12291</v>
      </c>
      <c r="C2934" s="288" t="s">
        <v>7079</v>
      </c>
      <c r="D2934" s="303">
        <v>233.99</v>
      </c>
    </row>
    <row r="2935" spans="1:4">
      <c r="A2935" s="288" t="s">
        <v>12292</v>
      </c>
      <c r="B2935" s="289" t="s">
        <v>12293</v>
      </c>
      <c r="C2935" s="288" t="s">
        <v>7079</v>
      </c>
      <c r="D2935" s="303">
        <v>11.46</v>
      </c>
    </row>
    <row r="2936" spans="1:4">
      <c r="A2936" s="287" t="s">
        <v>12294</v>
      </c>
      <c r="B2936" s="287"/>
      <c r="C2936" s="287"/>
      <c r="D2936" s="296" t="s">
        <v>28729</v>
      </c>
    </row>
    <row r="2937" spans="1:4" ht="18">
      <c r="A2937" s="288" t="s">
        <v>12295</v>
      </c>
      <c r="B2937" s="289" t="s">
        <v>12296</v>
      </c>
      <c r="C2937" s="288" t="s">
        <v>7079</v>
      </c>
      <c r="D2937" s="303">
        <v>20.14</v>
      </c>
    </row>
    <row r="2938" spans="1:4" ht="27">
      <c r="A2938" s="288" t="s">
        <v>12297</v>
      </c>
      <c r="B2938" s="289" t="s">
        <v>12298</v>
      </c>
      <c r="C2938" s="288" t="s">
        <v>7079</v>
      </c>
      <c r="D2938" s="303">
        <v>106.74</v>
      </c>
    </row>
    <row r="2939" spans="1:4" ht="27">
      <c r="A2939" s="288" t="s">
        <v>12299</v>
      </c>
      <c r="B2939" s="289" t="s">
        <v>12300</v>
      </c>
      <c r="C2939" s="288" t="s">
        <v>7079</v>
      </c>
      <c r="D2939" s="303">
        <v>19.07</v>
      </c>
    </row>
    <row r="2940" spans="1:4">
      <c r="A2940" s="290"/>
      <c r="B2940" s="290"/>
      <c r="C2940" s="290"/>
      <c r="D2940" s="298"/>
    </row>
    <row r="2941" spans="1:4">
      <c r="A2941" s="287" t="s">
        <v>12301</v>
      </c>
      <c r="B2941" s="287"/>
      <c r="C2941" s="287"/>
      <c r="D2941" s="296" t="s">
        <v>28729</v>
      </c>
    </row>
    <row r="2942" spans="1:4" ht="36">
      <c r="A2942" s="288" t="s">
        <v>12302</v>
      </c>
      <c r="B2942" s="289" t="s">
        <v>12303</v>
      </c>
      <c r="C2942" s="288" t="s">
        <v>7079</v>
      </c>
      <c r="D2942" s="303">
        <v>498</v>
      </c>
    </row>
    <row r="2943" spans="1:4" ht="36">
      <c r="A2943" s="288" t="s">
        <v>12304</v>
      </c>
      <c r="B2943" s="289" t="s">
        <v>12305</v>
      </c>
      <c r="C2943" s="288" t="s">
        <v>7079</v>
      </c>
      <c r="D2943" s="303">
        <v>538</v>
      </c>
    </row>
    <row r="2944" spans="1:4" ht="45">
      <c r="A2944" s="288" t="s">
        <v>12306</v>
      </c>
      <c r="B2944" s="289" t="s">
        <v>12307</v>
      </c>
      <c r="C2944" s="288" t="s">
        <v>7079</v>
      </c>
      <c r="D2944" s="303">
        <v>790</v>
      </c>
    </row>
    <row r="2945" spans="1:4" ht="36">
      <c r="A2945" s="288" t="s">
        <v>12308</v>
      </c>
      <c r="B2945" s="289" t="s">
        <v>12309</v>
      </c>
      <c r="C2945" s="288" t="s">
        <v>7079</v>
      </c>
      <c r="D2945" s="303">
        <v>594</v>
      </c>
    </row>
    <row r="2946" spans="1:4" ht="45">
      <c r="A2946" s="288" t="s">
        <v>12310</v>
      </c>
      <c r="B2946" s="289" t="s">
        <v>12311</v>
      </c>
      <c r="C2946" s="288" t="s">
        <v>7079</v>
      </c>
      <c r="D2946" s="303">
        <v>840</v>
      </c>
    </row>
    <row r="2947" spans="1:4" ht="36">
      <c r="A2947" s="288" t="s">
        <v>12312</v>
      </c>
      <c r="B2947" s="289" t="s">
        <v>12313</v>
      </c>
      <c r="C2947" s="288" t="s">
        <v>7079</v>
      </c>
      <c r="D2947" s="303">
        <v>789</v>
      </c>
    </row>
    <row r="2948" spans="1:4" ht="45">
      <c r="A2948" s="288" t="s">
        <v>12314</v>
      </c>
      <c r="B2948" s="289" t="s">
        <v>12315</v>
      </c>
      <c r="C2948" s="288" t="s">
        <v>7079</v>
      </c>
      <c r="D2948" s="303">
        <v>860</v>
      </c>
    </row>
    <row r="2949" spans="1:4" ht="45">
      <c r="A2949" s="288" t="s">
        <v>25920</v>
      </c>
      <c r="B2949" s="289" t="s">
        <v>25921</v>
      </c>
      <c r="C2949" s="288" t="s">
        <v>7079</v>
      </c>
      <c r="D2949" s="303">
        <v>929.49</v>
      </c>
    </row>
    <row r="2950" spans="1:4" ht="45">
      <c r="A2950" s="288" t="s">
        <v>25922</v>
      </c>
      <c r="B2950" s="289" t="s">
        <v>25923</v>
      </c>
      <c r="C2950" s="288" t="s">
        <v>7079</v>
      </c>
      <c r="D2950" s="303">
        <v>982.8</v>
      </c>
    </row>
    <row r="2951" spans="1:4" ht="45">
      <c r="A2951" s="288" t="s">
        <v>25924</v>
      </c>
      <c r="B2951" s="289" t="s">
        <v>25925</v>
      </c>
      <c r="C2951" s="288" t="s">
        <v>7079</v>
      </c>
      <c r="D2951" s="303">
        <v>1078.08</v>
      </c>
    </row>
    <row r="2952" spans="1:4" ht="45">
      <c r="A2952" s="288" t="s">
        <v>25926</v>
      </c>
      <c r="B2952" s="289" t="s">
        <v>25927</v>
      </c>
      <c r="C2952" s="288" t="s">
        <v>7079</v>
      </c>
      <c r="D2952" s="303">
        <v>1093.8699999999999</v>
      </c>
    </row>
    <row r="2953" spans="1:4" ht="45">
      <c r="A2953" s="288" t="s">
        <v>25928</v>
      </c>
      <c r="B2953" s="289" t="s">
        <v>25929</v>
      </c>
      <c r="C2953" s="288" t="s">
        <v>7079</v>
      </c>
      <c r="D2953" s="303">
        <v>1588.16</v>
      </c>
    </row>
    <row r="2954" spans="1:4" ht="45">
      <c r="A2954" s="288" t="s">
        <v>25930</v>
      </c>
      <c r="B2954" s="289" t="s">
        <v>25931</v>
      </c>
      <c r="C2954" s="288" t="s">
        <v>7079</v>
      </c>
      <c r="D2954" s="303">
        <v>1580.23</v>
      </c>
    </row>
    <row r="2955" spans="1:4" ht="45">
      <c r="A2955" s="288" t="s">
        <v>25932</v>
      </c>
      <c r="B2955" s="289" t="s">
        <v>25933</v>
      </c>
      <c r="C2955" s="288" t="s">
        <v>7079</v>
      </c>
      <c r="D2955" s="303">
        <v>1631.3</v>
      </c>
    </row>
    <row r="2956" spans="1:4" ht="45">
      <c r="A2956" s="288" t="s">
        <v>25934</v>
      </c>
      <c r="B2956" s="289" t="s">
        <v>25935</v>
      </c>
      <c r="C2956" s="288" t="s">
        <v>7079</v>
      </c>
      <c r="D2956" s="303">
        <v>2205.84</v>
      </c>
    </row>
    <row r="2957" spans="1:4" ht="45">
      <c r="A2957" s="288" t="s">
        <v>25936</v>
      </c>
      <c r="B2957" s="289" t="s">
        <v>25937</v>
      </c>
      <c r="C2957" s="288" t="s">
        <v>7079</v>
      </c>
      <c r="D2957" s="303">
        <v>3003.95</v>
      </c>
    </row>
    <row r="2958" spans="1:4" ht="18">
      <c r="A2958" s="287" t="s">
        <v>12316</v>
      </c>
      <c r="B2958" s="287"/>
      <c r="C2958" s="287"/>
      <c r="D2958" s="296" t="s">
        <v>28729</v>
      </c>
    </row>
    <row r="2959" spans="1:4" ht="54">
      <c r="A2959" s="288" t="s">
        <v>12317</v>
      </c>
      <c r="B2959" s="289" t="s">
        <v>12318</v>
      </c>
      <c r="C2959" s="288" t="s">
        <v>7079</v>
      </c>
      <c r="D2959" s="303">
        <v>572.96</v>
      </c>
    </row>
    <row r="2960" spans="1:4" ht="45">
      <c r="A2960" s="288" t="s">
        <v>12319</v>
      </c>
      <c r="B2960" s="289" t="s">
        <v>12320</v>
      </c>
      <c r="C2960" s="288" t="s">
        <v>7079</v>
      </c>
      <c r="D2960" s="303">
        <v>743.7</v>
      </c>
    </row>
    <row r="2961" spans="1:4" ht="45">
      <c r="A2961" s="288" t="s">
        <v>12321</v>
      </c>
      <c r="B2961" s="289" t="s">
        <v>12322</v>
      </c>
      <c r="C2961" s="288" t="s">
        <v>7079</v>
      </c>
      <c r="D2961" s="303">
        <v>743.7</v>
      </c>
    </row>
    <row r="2962" spans="1:4" ht="54">
      <c r="A2962" s="288" t="s">
        <v>12323</v>
      </c>
      <c r="B2962" s="289" t="s">
        <v>12324</v>
      </c>
      <c r="C2962" s="288" t="s">
        <v>7079</v>
      </c>
      <c r="D2962" s="303">
        <v>572.96</v>
      </c>
    </row>
    <row r="2963" spans="1:4" ht="27">
      <c r="A2963" s="288" t="s">
        <v>12325</v>
      </c>
      <c r="B2963" s="289" t="s">
        <v>12326</v>
      </c>
      <c r="C2963" s="288" t="s">
        <v>7079</v>
      </c>
      <c r="D2963" s="303">
        <v>516.03</v>
      </c>
    </row>
    <row r="2964" spans="1:4" ht="72">
      <c r="A2964" s="288" t="s">
        <v>12327</v>
      </c>
      <c r="B2964" s="289" t="s">
        <v>12328</v>
      </c>
      <c r="C2964" s="288" t="s">
        <v>7079</v>
      </c>
      <c r="D2964" s="303">
        <v>1075.3399999999999</v>
      </c>
    </row>
    <row r="2965" spans="1:4" ht="36">
      <c r="A2965" s="288" t="s">
        <v>12329</v>
      </c>
      <c r="B2965" s="289" t="s">
        <v>12330</v>
      </c>
      <c r="C2965" s="288" t="s">
        <v>7079</v>
      </c>
      <c r="D2965" s="303">
        <v>3700.65</v>
      </c>
    </row>
    <row r="2966" spans="1:4">
      <c r="A2966" s="287" t="s">
        <v>12331</v>
      </c>
      <c r="B2966" s="287"/>
      <c r="C2966" s="287"/>
      <c r="D2966" s="296" t="s">
        <v>28729</v>
      </c>
    </row>
    <row r="2967" spans="1:4" ht="45">
      <c r="A2967" s="288" t="s">
        <v>12332</v>
      </c>
      <c r="B2967" s="289" t="s">
        <v>12333</v>
      </c>
      <c r="C2967" s="288" t="s">
        <v>7079</v>
      </c>
      <c r="D2967" s="303">
        <v>660</v>
      </c>
    </row>
    <row r="2968" spans="1:4" ht="18">
      <c r="A2968" s="287" t="s">
        <v>12334</v>
      </c>
      <c r="B2968" s="287"/>
      <c r="C2968" s="287"/>
      <c r="D2968" s="296" t="s">
        <v>28729</v>
      </c>
    </row>
    <row r="2969" spans="1:4" ht="45">
      <c r="A2969" s="288" t="s">
        <v>12335</v>
      </c>
      <c r="B2969" s="289" t="s">
        <v>12336</v>
      </c>
      <c r="C2969" s="288" t="s">
        <v>10370</v>
      </c>
      <c r="D2969" s="303">
        <v>140.56</v>
      </c>
    </row>
    <row r="2970" spans="1:4" ht="45">
      <c r="A2970" s="288" t="s">
        <v>12337</v>
      </c>
      <c r="B2970" s="289" t="s">
        <v>12338</v>
      </c>
      <c r="C2970" s="288" t="s">
        <v>10370</v>
      </c>
      <c r="D2970" s="303">
        <v>212.39</v>
      </c>
    </row>
    <row r="2971" spans="1:4" ht="45">
      <c r="A2971" s="288" t="s">
        <v>12339</v>
      </c>
      <c r="B2971" s="289" t="s">
        <v>12340</v>
      </c>
      <c r="C2971" s="288" t="s">
        <v>7079</v>
      </c>
      <c r="D2971" s="303">
        <v>544.57000000000005</v>
      </c>
    </row>
    <row r="2972" spans="1:4" ht="45">
      <c r="A2972" s="288" t="s">
        <v>12341</v>
      </c>
      <c r="B2972" s="289" t="s">
        <v>12342</v>
      </c>
      <c r="C2972" s="288" t="s">
        <v>10370</v>
      </c>
      <c r="D2972" s="303">
        <v>195.16</v>
      </c>
    </row>
    <row r="2973" spans="1:4" ht="45">
      <c r="A2973" s="288" t="s">
        <v>12343</v>
      </c>
      <c r="B2973" s="289" t="s">
        <v>12344</v>
      </c>
      <c r="C2973" s="288" t="s">
        <v>10370</v>
      </c>
      <c r="D2973" s="303">
        <v>248.53</v>
      </c>
    </row>
    <row r="2974" spans="1:4" ht="45">
      <c r="A2974" s="288" t="s">
        <v>12345</v>
      </c>
      <c r="B2974" s="289" t="s">
        <v>12346</v>
      </c>
      <c r="C2974" s="288" t="s">
        <v>10370</v>
      </c>
      <c r="D2974" s="303">
        <v>257.17</v>
      </c>
    </row>
    <row r="2975" spans="1:4" ht="45">
      <c r="A2975" s="288" t="s">
        <v>12347</v>
      </c>
      <c r="B2975" s="289" t="s">
        <v>12348</v>
      </c>
      <c r="C2975" s="288" t="s">
        <v>10370</v>
      </c>
      <c r="D2975" s="303">
        <v>303.27999999999997</v>
      </c>
    </row>
    <row r="2976" spans="1:4" ht="45">
      <c r="A2976" s="288" t="s">
        <v>12349</v>
      </c>
      <c r="B2976" s="289" t="s">
        <v>12350</v>
      </c>
      <c r="C2976" s="288" t="s">
        <v>7079</v>
      </c>
      <c r="D2976" s="303">
        <v>317.70999999999998</v>
      </c>
    </row>
    <row r="2977" spans="1:4" ht="45">
      <c r="A2977" s="288" t="s">
        <v>12351</v>
      </c>
      <c r="B2977" s="289" t="s">
        <v>12352</v>
      </c>
      <c r="C2977" s="288" t="s">
        <v>10370</v>
      </c>
      <c r="D2977" s="303">
        <v>334.51</v>
      </c>
    </row>
    <row r="2978" spans="1:4" ht="18">
      <c r="A2978" s="288" t="s">
        <v>25938</v>
      </c>
      <c r="B2978" s="289" t="s">
        <v>25939</v>
      </c>
      <c r="C2978" s="288" t="s">
        <v>7079</v>
      </c>
      <c r="D2978" s="303">
        <v>12.71</v>
      </c>
    </row>
    <row r="2979" spans="1:4" ht="18">
      <c r="A2979" s="288" t="s">
        <v>25940</v>
      </c>
      <c r="B2979" s="289" t="s">
        <v>25941</v>
      </c>
      <c r="C2979" s="288" t="s">
        <v>7079</v>
      </c>
      <c r="D2979" s="303">
        <v>25.42</v>
      </c>
    </row>
    <row r="2980" spans="1:4" ht="18">
      <c r="A2980" s="288" t="s">
        <v>25942</v>
      </c>
      <c r="B2980" s="289" t="s">
        <v>25943</v>
      </c>
      <c r="C2980" s="288" t="s">
        <v>7079</v>
      </c>
      <c r="D2980" s="303">
        <v>38.130000000000003</v>
      </c>
    </row>
    <row r="2981" spans="1:4" ht="18">
      <c r="A2981" s="288" t="s">
        <v>25944</v>
      </c>
      <c r="B2981" s="289" t="s">
        <v>25945</v>
      </c>
      <c r="C2981" s="288" t="s">
        <v>7079</v>
      </c>
      <c r="D2981" s="303">
        <v>76.260000000000005</v>
      </c>
    </row>
    <row r="2982" spans="1:4" ht="18">
      <c r="A2982" s="288" t="s">
        <v>25946</v>
      </c>
      <c r="B2982" s="289" t="s">
        <v>25947</v>
      </c>
      <c r="C2982" s="288" t="s">
        <v>7079</v>
      </c>
      <c r="D2982" s="303">
        <v>101.68</v>
      </c>
    </row>
    <row r="2983" spans="1:4" ht="27">
      <c r="A2983" s="288" t="s">
        <v>25948</v>
      </c>
      <c r="B2983" s="289" t="s">
        <v>25949</v>
      </c>
      <c r="C2983" s="288" t="s">
        <v>7079</v>
      </c>
      <c r="D2983" s="303">
        <v>50.84</v>
      </c>
    </row>
    <row r="2984" spans="1:4" ht="27">
      <c r="A2984" s="288" t="s">
        <v>25950</v>
      </c>
      <c r="B2984" s="289" t="s">
        <v>25951</v>
      </c>
      <c r="C2984" s="288" t="s">
        <v>7079</v>
      </c>
      <c r="D2984" s="303">
        <v>76.260000000000005</v>
      </c>
    </row>
    <row r="2985" spans="1:4" ht="27">
      <c r="A2985" s="288" t="s">
        <v>25952</v>
      </c>
      <c r="B2985" s="289" t="s">
        <v>25953</v>
      </c>
      <c r="C2985" s="288" t="s">
        <v>7079</v>
      </c>
      <c r="D2985" s="303">
        <v>101.68</v>
      </c>
    </row>
    <row r="2986" spans="1:4" ht="27">
      <c r="A2986" s="288" t="s">
        <v>25954</v>
      </c>
      <c r="B2986" s="289" t="s">
        <v>25955</v>
      </c>
      <c r="C2986" s="288" t="s">
        <v>7079</v>
      </c>
      <c r="D2986" s="303">
        <v>127.1</v>
      </c>
    </row>
    <row r="2987" spans="1:4">
      <c r="A2987" s="287" t="s">
        <v>12353</v>
      </c>
      <c r="B2987" s="287"/>
      <c r="C2987" s="287"/>
      <c r="D2987" s="296" t="s">
        <v>28729</v>
      </c>
    </row>
    <row r="2988" spans="1:4" ht="18">
      <c r="A2988" s="288" t="s">
        <v>12354</v>
      </c>
      <c r="B2988" s="289" t="s">
        <v>12355</v>
      </c>
      <c r="C2988" s="288" t="s">
        <v>7079</v>
      </c>
      <c r="D2988" s="303">
        <v>9.9</v>
      </c>
    </row>
    <row r="2989" spans="1:4" ht="18">
      <c r="A2989" s="288" t="s">
        <v>12356</v>
      </c>
      <c r="B2989" s="289" t="s">
        <v>12357</v>
      </c>
      <c r="C2989" s="288" t="s">
        <v>7079</v>
      </c>
      <c r="D2989" s="303">
        <v>13.8</v>
      </c>
    </row>
    <row r="2990" spans="1:4">
      <c r="A2990" s="288" t="s">
        <v>12358</v>
      </c>
      <c r="B2990" s="289" t="s">
        <v>12359</v>
      </c>
      <c r="C2990" s="288" t="s">
        <v>7079</v>
      </c>
      <c r="D2990" s="303">
        <v>28.9</v>
      </c>
    </row>
    <row r="2991" spans="1:4" ht="18">
      <c r="A2991" s="288" t="s">
        <v>12360</v>
      </c>
      <c r="B2991" s="289" t="s">
        <v>12361</v>
      </c>
      <c r="C2991" s="288" t="s">
        <v>7079</v>
      </c>
      <c r="D2991" s="303">
        <v>99.8</v>
      </c>
    </row>
    <row r="2992" spans="1:4" ht="18">
      <c r="A2992" s="288" t="s">
        <v>12362</v>
      </c>
      <c r="B2992" s="289" t="s">
        <v>12363</v>
      </c>
      <c r="C2992" s="288" t="s">
        <v>7079</v>
      </c>
      <c r="D2992" s="303">
        <v>192.49</v>
      </c>
    </row>
    <row r="2993" spans="1:4" ht="45">
      <c r="A2993" s="288" t="s">
        <v>12364</v>
      </c>
      <c r="B2993" s="289" t="s">
        <v>12365</v>
      </c>
      <c r="C2993" s="288" t="s">
        <v>7079</v>
      </c>
      <c r="D2993" s="303">
        <v>201.88</v>
      </c>
    </row>
    <row r="2994" spans="1:4" ht="45">
      <c r="A2994" s="288" t="s">
        <v>12366</v>
      </c>
      <c r="B2994" s="289" t="s">
        <v>12367</v>
      </c>
      <c r="C2994" s="288" t="s">
        <v>7079</v>
      </c>
      <c r="D2994" s="303">
        <v>146.44</v>
      </c>
    </row>
    <row r="2995" spans="1:4" ht="18">
      <c r="A2995" s="288" t="s">
        <v>12368</v>
      </c>
      <c r="B2995" s="289" t="s">
        <v>12369</v>
      </c>
      <c r="C2995" s="288" t="s">
        <v>7079</v>
      </c>
      <c r="D2995" s="303">
        <v>287.02</v>
      </c>
    </row>
    <row r="2996" spans="1:4" ht="18">
      <c r="A2996" s="288" t="s">
        <v>12370</v>
      </c>
      <c r="B2996" s="289" t="s">
        <v>12371</v>
      </c>
      <c r="C2996" s="288" t="s">
        <v>7079</v>
      </c>
      <c r="D2996" s="303">
        <v>99.5</v>
      </c>
    </row>
    <row r="2997" spans="1:4" ht="18">
      <c r="A2997" s="288" t="s">
        <v>12372</v>
      </c>
      <c r="B2997" s="289" t="s">
        <v>12373</v>
      </c>
      <c r="C2997" s="288" t="s">
        <v>7079</v>
      </c>
      <c r="D2997" s="303">
        <v>93.44</v>
      </c>
    </row>
    <row r="2998" spans="1:4" ht="36">
      <c r="A2998" s="288" t="s">
        <v>12374</v>
      </c>
      <c r="B2998" s="289" t="s">
        <v>12375</v>
      </c>
      <c r="C2998" s="288" t="s">
        <v>7079</v>
      </c>
      <c r="D2998" s="303">
        <v>71.31</v>
      </c>
    </row>
    <row r="2999" spans="1:4" ht="18">
      <c r="A2999" s="288" t="s">
        <v>12376</v>
      </c>
      <c r="B2999" s="289" t="s">
        <v>12377</v>
      </c>
      <c r="C2999" s="288" t="s">
        <v>7079</v>
      </c>
      <c r="D2999" s="303">
        <v>40.97</v>
      </c>
    </row>
    <row r="3000" spans="1:4" ht="36">
      <c r="A3000" s="288" t="s">
        <v>12378</v>
      </c>
      <c r="B3000" s="289" t="s">
        <v>12379</v>
      </c>
      <c r="C3000" s="288" t="s">
        <v>7079</v>
      </c>
      <c r="D3000" s="303">
        <v>31.8</v>
      </c>
    </row>
    <row r="3001" spans="1:4" ht="36">
      <c r="A3001" s="288" t="s">
        <v>12380</v>
      </c>
      <c r="B3001" s="289" t="s">
        <v>12381</v>
      </c>
      <c r="C3001" s="288" t="s">
        <v>7079</v>
      </c>
      <c r="D3001" s="303">
        <v>34.299999999999997</v>
      </c>
    </row>
    <row r="3002" spans="1:4" ht="45">
      <c r="A3002" s="288" t="s">
        <v>12382</v>
      </c>
      <c r="B3002" s="289" t="s">
        <v>12383</v>
      </c>
      <c r="C3002" s="288" t="s">
        <v>7079</v>
      </c>
      <c r="D3002" s="303">
        <v>23.81</v>
      </c>
    </row>
    <row r="3003" spans="1:4" ht="36">
      <c r="A3003" s="288" t="s">
        <v>12384</v>
      </c>
      <c r="B3003" s="289" t="s">
        <v>12385</v>
      </c>
      <c r="C3003" s="288" t="s">
        <v>7079</v>
      </c>
      <c r="D3003" s="303">
        <v>57.24</v>
      </c>
    </row>
    <row r="3004" spans="1:4" ht="45">
      <c r="A3004" s="288" t="s">
        <v>12386</v>
      </c>
      <c r="B3004" s="289" t="s">
        <v>12387</v>
      </c>
      <c r="C3004" s="288" t="s">
        <v>7079</v>
      </c>
      <c r="D3004" s="303">
        <v>59.8</v>
      </c>
    </row>
    <row r="3005" spans="1:4" ht="36">
      <c r="A3005" s="288" t="s">
        <v>12388</v>
      </c>
      <c r="B3005" s="289" t="s">
        <v>12389</v>
      </c>
      <c r="C3005" s="288" t="s">
        <v>7079</v>
      </c>
      <c r="D3005" s="303">
        <v>55.4</v>
      </c>
    </row>
    <row r="3006" spans="1:4" ht="45">
      <c r="A3006" s="288" t="s">
        <v>12390</v>
      </c>
      <c r="B3006" s="289" t="s">
        <v>12391</v>
      </c>
      <c r="C3006" s="288" t="s">
        <v>7079</v>
      </c>
      <c r="D3006" s="303">
        <v>52</v>
      </c>
    </row>
    <row r="3007" spans="1:4" ht="45">
      <c r="A3007" s="288" t="s">
        <v>12392</v>
      </c>
      <c r="B3007" s="289" t="s">
        <v>12393</v>
      </c>
      <c r="C3007" s="288" t="s">
        <v>7079</v>
      </c>
      <c r="D3007" s="303">
        <v>50.3</v>
      </c>
    </row>
    <row r="3008" spans="1:4" ht="36">
      <c r="A3008" s="288" t="s">
        <v>12394</v>
      </c>
      <c r="B3008" s="289" t="s">
        <v>12395</v>
      </c>
      <c r="C3008" s="288" t="s">
        <v>7079</v>
      </c>
      <c r="D3008" s="303">
        <v>55.4</v>
      </c>
    </row>
    <row r="3009" spans="1:4" ht="36">
      <c r="A3009" s="288" t="s">
        <v>12396</v>
      </c>
      <c r="B3009" s="289" t="s">
        <v>12397</v>
      </c>
      <c r="C3009" s="288" t="s">
        <v>7079</v>
      </c>
      <c r="D3009" s="303">
        <v>84.7</v>
      </c>
    </row>
    <row r="3010" spans="1:4">
      <c r="A3010" s="287" t="s">
        <v>12398</v>
      </c>
      <c r="B3010" s="287"/>
      <c r="C3010" s="287"/>
      <c r="D3010" s="296" t="s">
        <v>28729</v>
      </c>
    </row>
    <row r="3011" spans="1:4" ht="27">
      <c r="A3011" s="288" t="s">
        <v>12399</v>
      </c>
      <c r="B3011" s="289" t="s">
        <v>12400</v>
      </c>
      <c r="C3011" s="288" t="s">
        <v>7079</v>
      </c>
      <c r="D3011" s="303">
        <v>60.98</v>
      </c>
    </row>
    <row r="3012" spans="1:4" ht="36">
      <c r="A3012" s="288" t="s">
        <v>12401</v>
      </c>
      <c r="B3012" s="289" t="s">
        <v>12402</v>
      </c>
      <c r="C3012" s="288" t="s">
        <v>7079</v>
      </c>
      <c r="D3012" s="303">
        <v>81.95</v>
      </c>
    </row>
    <row r="3013" spans="1:4" ht="27">
      <c r="A3013" s="288" t="s">
        <v>12403</v>
      </c>
      <c r="B3013" s="289" t="s">
        <v>12404</v>
      </c>
      <c r="C3013" s="288" t="s">
        <v>7079</v>
      </c>
      <c r="D3013" s="303">
        <v>49.33</v>
      </c>
    </row>
    <row r="3014" spans="1:4" ht="36">
      <c r="A3014" s="288" t="s">
        <v>12405</v>
      </c>
      <c r="B3014" s="289" t="s">
        <v>12406</v>
      </c>
      <c r="C3014" s="288" t="s">
        <v>7079</v>
      </c>
      <c r="D3014" s="303">
        <v>71.95</v>
      </c>
    </row>
    <row r="3015" spans="1:4" ht="27">
      <c r="A3015" s="287" t="s">
        <v>12407</v>
      </c>
      <c r="B3015" s="287"/>
      <c r="C3015" s="287"/>
      <c r="D3015" s="296" t="s">
        <v>28729</v>
      </c>
    </row>
    <row r="3016" spans="1:4" ht="18">
      <c r="A3016" s="288" t="s">
        <v>12408</v>
      </c>
      <c r="B3016" s="289" t="s">
        <v>12409</v>
      </c>
      <c r="C3016" s="288" t="s">
        <v>7079</v>
      </c>
      <c r="D3016" s="303">
        <v>337.62</v>
      </c>
    </row>
    <row r="3017" spans="1:4" ht="18">
      <c r="A3017" s="288" t="s">
        <v>12410</v>
      </c>
      <c r="B3017" s="289" t="s">
        <v>12411</v>
      </c>
      <c r="C3017" s="288" t="s">
        <v>7079</v>
      </c>
      <c r="D3017" s="303">
        <v>101.68</v>
      </c>
    </row>
    <row r="3018" spans="1:4" ht="18">
      <c r="A3018" s="288" t="s">
        <v>12412</v>
      </c>
      <c r="B3018" s="289" t="s">
        <v>12413</v>
      </c>
      <c r="C3018" s="288" t="s">
        <v>7079</v>
      </c>
      <c r="D3018" s="303">
        <v>83.02</v>
      </c>
    </row>
    <row r="3019" spans="1:4" ht="18">
      <c r="A3019" s="288" t="s">
        <v>12414</v>
      </c>
      <c r="B3019" s="289" t="s">
        <v>12415</v>
      </c>
      <c r="C3019" s="288" t="s">
        <v>7079</v>
      </c>
      <c r="D3019" s="303">
        <v>216.7</v>
      </c>
    </row>
    <row r="3020" spans="1:4" ht="18">
      <c r="A3020" s="288" t="s">
        <v>12416</v>
      </c>
      <c r="B3020" s="289" t="s">
        <v>12417</v>
      </c>
      <c r="C3020" s="288" t="s">
        <v>7079</v>
      </c>
      <c r="D3020" s="303">
        <v>204.7</v>
      </c>
    </row>
    <row r="3021" spans="1:4" ht="18">
      <c r="A3021" s="288" t="s">
        <v>12418</v>
      </c>
      <c r="B3021" s="289" t="s">
        <v>12419</v>
      </c>
      <c r="C3021" s="288" t="s">
        <v>7079</v>
      </c>
      <c r="D3021" s="303">
        <v>260.06</v>
      </c>
    </row>
    <row r="3022" spans="1:4" ht="18">
      <c r="A3022" s="288" t="s">
        <v>12420</v>
      </c>
      <c r="B3022" s="289" t="s">
        <v>12421</v>
      </c>
      <c r="C3022" s="288" t="s">
        <v>7079</v>
      </c>
      <c r="D3022" s="303">
        <v>342.61</v>
      </c>
    </row>
    <row r="3023" spans="1:4" ht="18">
      <c r="A3023" s="288" t="s">
        <v>12422</v>
      </c>
      <c r="B3023" s="289" t="s">
        <v>12423</v>
      </c>
      <c r="C3023" s="288" t="s">
        <v>7079</v>
      </c>
      <c r="D3023" s="303">
        <v>5.13</v>
      </c>
    </row>
    <row r="3024" spans="1:4" ht="36">
      <c r="A3024" s="288" t="s">
        <v>25956</v>
      </c>
      <c r="B3024" s="289" t="s">
        <v>25957</v>
      </c>
      <c r="C3024" s="288" t="s">
        <v>7079</v>
      </c>
      <c r="D3024" s="303">
        <v>25.42</v>
      </c>
    </row>
    <row r="3025" spans="1:4" ht="36">
      <c r="A3025" s="288" t="s">
        <v>25958</v>
      </c>
      <c r="B3025" s="289" t="s">
        <v>25959</v>
      </c>
      <c r="C3025" s="288" t="s">
        <v>7079</v>
      </c>
      <c r="D3025" s="303">
        <v>38.130000000000003</v>
      </c>
    </row>
    <row r="3026" spans="1:4" ht="36">
      <c r="A3026" s="288" t="s">
        <v>25960</v>
      </c>
      <c r="B3026" s="289" t="s">
        <v>25961</v>
      </c>
      <c r="C3026" s="288" t="s">
        <v>7079</v>
      </c>
      <c r="D3026" s="303">
        <v>50.84</v>
      </c>
    </row>
    <row r="3027" spans="1:4" ht="36">
      <c r="A3027" s="288" t="s">
        <v>25962</v>
      </c>
      <c r="B3027" s="289" t="s">
        <v>25963</v>
      </c>
      <c r="C3027" s="288" t="s">
        <v>7079</v>
      </c>
      <c r="D3027" s="303">
        <v>76.260000000000005</v>
      </c>
    </row>
    <row r="3028" spans="1:4" ht="18">
      <c r="A3028" s="287" t="s">
        <v>12424</v>
      </c>
      <c r="B3028" s="287"/>
      <c r="C3028" s="287"/>
      <c r="D3028" s="296" t="s">
        <v>28729</v>
      </c>
    </row>
    <row r="3029" spans="1:4" ht="36">
      <c r="A3029" s="288" t="s">
        <v>12425</v>
      </c>
      <c r="B3029" s="289" t="s">
        <v>25964</v>
      </c>
      <c r="C3029" s="288" t="s">
        <v>7079</v>
      </c>
      <c r="D3029" s="303">
        <v>12.71</v>
      </c>
    </row>
    <row r="3030" spans="1:4" ht="18">
      <c r="A3030" s="288" t="s">
        <v>12426</v>
      </c>
      <c r="B3030" s="289" t="s">
        <v>12427</v>
      </c>
      <c r="C3030" s="288" t="s">
        <v>7079</v>
      </c>
      <c r="D3030" s="303">
        <v>12.71</v>
      </c>
    </row>
    <row r="3031" spans="1:4" ht="27">
      <c r="A3031" s="288" t="s">
        <v>12428</v>
      </c>
      <c r="B3031" s="289" t="s">
        <v>12429</v>
      </c>
      <c r="C3031" s="288" t="s">
        <v>7079</v>
      </c>
      <c r="D3031" s="303">
        <v>25.42</v>
      </c>
    </row>
    <row r="3032" spans="1:4" ht="27">
      <c r="A3032" s="288" t="s">
        <v>12430</v>
      </c>
      <c r="B3032" s="289" t="s">
        <v>12431</v>
      </c>
      <c r="C3032" s="288" t="s">
        <v>7079</v>
      </c>
      <c r="D3032" s="303">
        <v>19.07</v>
      </c>
    </row>
    <row r="3033" spans="1:4" ht="27">
      <c r="A3033" s="288" t="s">
        <v>12432</v>
      </c>
      <c r="B3033" s="289" t="s">
        <v>12433</v>
      </c>
      <c r="C3033" s="288" t="s">
        <v>7079</v>
      </c>
      <c r="D3033" s="303">
        <v>63.55</v>
      </c>
    </row>
    <row r="3034" spans="1:4" ht="36">
      <c r="A3034" s="288" t="s">
        <v>25965</v>
      </c>
      <c r="B3034" s="289" t="s">
        <v>25966</v>
      </c>
      <c r="C3034" s="288" t="s">
        <v>7079</v>
      </c>
      <c r="D3034" s="303">
        <v>76.260000000000005</v>
      </c>
    </row>
    <row r="3035" spans="1:4" ht="27">
      <c r="A3035" s="288" t="s">
        <v>12434</v>
      </c>
      <c r="B3035" s="289" t="s">
        <v>12435</v>
      </c>
      <c r="C3035" s="288" t="s">
        <v>7079</v>
      </c>
      <c r="D3035" s="303">
        <v>25.42</v>
      </c>
    </row>
    <row r="3036" spans="1:4" ht="27">
      <c r="A3036" s="288" t="s">
        <v>12436</v>
      </c>
      <c r="B3036" s="289" t="s">
        <v>12437</v>
      </c>
      <c r="C3036" s="288" t="s">
        <v>7079</v>
      </c>
      <c r="D3036" s="303">
        <v>38.130000000000003</v>
      </c>
    </row>
    <row r="3037" spans="1:4" ht="18">
      <c r="A3037" s="287" t="s">
        <v>12438</v>
      </c>
      <c r="B3037" s="287"/>
      <c r="C3037" s="287"/>
      <c r="D3037" s="296" t="s">
        <v>28729</v>
      </c>
    </row>
    <row r="3038" spans="1:4" ht="27">
      <c r="A3038" s="288" t="s">
        <v>12439</v>
      </c>
      <c r="B3038" s="289" t="s">
        <v>12440</v>
      </c>
      <c r="C3038" s="288" t="s">
        <v>7079</v>
      </c>
      <c r="D3038" s="303">
        <v>25.42</v>
      </c>
    </row>
    <row r="3039" spans="1:4" ht="27">
      <c r="A3039" s="288" t="s">
        <v>12441</v>
      </c>
      <c r="B3039" s="289" t="s">
        <v>12442</v>
      </c>
      <c r="C3039" s="288" t="s">
        <v>7079</v>
      </c>
      <c r="D3039" s="303">
        <v>26.49</v>
      </c>
    </row>
    <row r="3040" spans="1:4" ht="27">
      <c r="A3040" s="288" t="s">
        <v>12443</v>
      </c>
      <c r="B3040" s="289" t="s">
        <v>12444</v>
      </c>
      <c r="C3040" s="288" t="s">
        <v>7079</v>
      </c>
      <c r="D3040" s="303">
        <v>34.97</v>
      </c>
    </row>
    <row r="3041" spans="1:4">
      <c r="A3041" s="288" t="s">
        <v>12445</v>
      </c>
      <c r="B3041" s="289" t="s">
        <v>12446</v>
      </c>
      <c r="C3041" s="288" t="s">
        <v>7079</v>
      </c>
      <c r="D3041" s="303">
        <v>3.08</v>
      </c>
    </row>
    <row r="3042" spans="1:4">
      <c r="A3042" s="290"/>
      <c r="B3042" s="290"/>
      <c r="C3042" s="290"/>
      <c r="D3042" s="298"/>
    </row>
    <row r="3043" spans="1:4">
      <c r="A3043" s="287" t="s">
        <v>12447</v>
      </c>
      <c r="B3043" s="287"/>
      <c r="C3043" s="287"/>
      <c r="D3043" s="296" t="s">
        <v>28729</v>
      </c>
    </row>
    <row r="3044" spans="1:4">
      <c r="A3044" s="288" t="s">
        <v>12448</v>
      </c>
      <c r="B3044" s="289" t="s">
        <v>12449</v>
      </c>
      <c r="C3044" s="288" t="s">
        <v>7079</v>
      </c>
      <c r="D3044" s="303">
        <v>21.66</v>
      </c>
    </row>
    <row r="3045" spans="1:4">
      <c r="A3045" s="288" t="s">
        <v>12450</v>
      </c>
      <c r="B3045" s="289" t="s">
        <v>12451</v>
      </c>
      <c r="C3045" s="288" t="s">
        <v>7079</v>
      </c>
      <c r="D3045" s="303">
        <v>15.86</v>
      </c>
    </row>
    <row r="3046" spans="1:4" ht="18">
      <c r="A3046" s="288" t="s">
        <v>25967</v>
      </c>
      <c r="B3046" s="289" t="s">
        <v>25968</v>
      </c>
      <c r="C3046" s="288" t="s">
        <v>54</v>
      </c>
      <c r="D3046" s="303">
        <v>0.32</v>
      </c>
    </row>
    <row r="3047" spans="1:4" ht="18">
      <c r="A3047" s="287" t="s">
        <v>12452</v>
      </c>
      <c r="B3047" s="287"/>
      <c r="C3047" s="287"/>
      <c r="D3047" s="296" t="s">
        <v>28729</v>
      </c>
    </row>
    <row r="3048" spans="1:4">
      <c r="A3048" s="288" t="s">
        <v>12453</v>
      </c>
      <c r="B3048" s="289" t="s">
        <v>12454</v>
      </c>
      <c r="C3048" s="288" t="s">
        <v>7079</v>
      </c>
      <c r="D3048" s="303">
        <v>0.28000000000000003</v>
      </c>
    </row>
    <row r="3049" spans="1:4">
      <c r="A3049" s="288" t="s">
        <v>12455</v>
      </c>
      <c r="B3049" s="289" t="s">
        <v>12456</v>
      </c>
      <c r="C3049" s="288" t="s">
        <v>7079</v>
      </c>
      <c r="D3049" s="303">
        <v>0.38</v>
      </c>
    </row>
    <row r="3050" spans="1:4">
      <c r="A3050" s="288" t="s">
        <v>12457</v>
      </c>
      <c r="B3050" s="289" t="s">
        <v>12458</v>
      </c>
      <c r="C3050" s="288" t="s">
        <v>7079</v>
      </c>
      <c r="D3050" s="303">
        <v>2.0499999999999998</v>
      </c>
    </row>
    <row r="3051" spans="1:4">
      <c r="A3051" s="288" t="s">
        <v>12459</v>
      </c>
      <c r="B3051" s="289" t="s">
        <v>12460</v>
      </c>
      <c r="C3051" s="288" t="s">
        <v>7079</v>
      </c>
      <c r="D3051" s="303">
        <v>13.79</v>
      </c>
    </row>
    <row r="3052" spans="1:4" ht="27">
      <c r="A3052" s="288" t="s">
        <v>12461</v>
      </c>
      <c r="B3052" s="289" t="s">
        <v>12462</v>
      </c>
      <c r="C3052" s="288" t="s">
        <v>7079</v>
      </c>
      <c r="D3052" s="303">
        <v>12</v>
      </c>
    </row>
    <row r="3053" spans="1:4" ht="18">
      <c r="A3053" s="288" t="s">
        <v>12463</v>
      </c>
      <c r="B3053" s="289" t="s">
        <v>12464</v>
      </c>
      <c r="C3053" s="288" t="s">
        <v>7079</v>
      </c>
      <c r="D3053" s="303">
        <v>8.65</v>
      </c>
    </row>
    <row r="3054" spans="1:4">
      <c r="A3054" s="288" t="s">
        <v>12465</v>
      </c>
      <c r="B3054" s="289" t="s">
        <v>12466</v>
      </c>
      <c r="C3054" s="288" t="s">
        <v>12467</v>
      </c>
      <c r="D3054" s="303">
        <v>44.05</v>
      </c>
    </row>
    <row r="3055" spans="1:4">
      <c r="A3055" s="288" t="s">
        <v>12468</v>
      </c>
      <c r="B3055" s="289" t="s">
        <v>12469</v>
      </c>
      <c r="C3055" s="288" t="s">
        <v>12467</v>
      </c>
      <c r="D3055" s="303">
        <v>59.6</v>
      </c>
    </row>
    <row r="3056" spans="1:4">
      <c r="A3056" s="288" t="s">
        <v>12470</v>
      </c>
      <c r="B3056" s="289" t="s">
        <v>12471</v>
      </c>
      <c r="C3056" s="288" t="s">
        <v>7079</v>
      </c>
      <c r="D3056" s="303">
        <v>112</v>
      </c>
    </row>
    <row r="3057" spans="1:4">
      <c r="A3057" s="288" t="s">
        <v>12472</v>
      </c>
      <c r="B3057" s="289" t="s">
        <v>12473</v>
      </c>
      <c r="C3057" s="288" t="s">
        <v>7079</v>
      </c>
      <c r="D3057" s="303">
        <v>27.5</v>
      </c>
    </row>
    <row r="3058" spans="1:4">
      <c r="A3058" s="288" t="s">
        <v>12474</v>
      </c>
      <c r="B3058" s="289" t="s">
        <v>12475</v>
      </c>
      <c r="C3058" s="288" t="s">
        <v>7079</v>
      </c>
      <c r="D3058" s="303">
        <v>1.8</v>
      </c>
    </row>
    <row r="3059" spans="1:4">
      <c r="A3059" s="288" t="s">
        <v>12476</v>
      </c>
      <c r="B3059" s="289" t="s">
        <v>12477</v>
      </c>
      <c r="C3059" s="288" t="s">
        <v>7079</v>
      </c>
      <c r="D3059" s="303">
        <v>1.01</v>
      </c>
    </row>
    <row r="3060" spans="1:4">
      <c r="A3060" s="288" t="s">
        <v>12478</v>
      </c>
      <c r="B3060" s="289" t="s">
        <v>12479</v>
      </c>
      <c r="C3060" s="288" t="s">
        <v>7079</v>
      </c>
      <c r="D3060" s="303">
        <v>2.82</v>
      </c>
    </row>
    <row r="3061" spans="1:4">
      <c r="A3061" s="288" t="s">
        <v>12480</v>
      </c>
      <c r="B3061" s="289" t="s">
        <v>12481</v>
      </c>
      <c r="C3061" s="288" t="s">
        <v>7079</v>
      </c>
      <c r="D3061" s="303">
        <v>1.07</v>
      </c>
    </row>
    <row r="3062" spans="1:4">
      <c r="A3062" s="288" t="s">
        <v>12482</v>
      </c>
      <c r="B3062" s="289" t="s">
        <v>12483</v>
      </c>
      <c r="C3062" s="288" t="s">
        <v>7079</v>
      </c>
      <c r="D3062" s="303">
        <v>0.68</v>
      </c>
    </row>
    <row r="3063" spans="1:4">
      <c r="A3063" s="288" t="s">
        <v>12484</v>
      </c>
      <c r="B3063" s="289" t="s">
        <v>12485</v>
      </c>
      <c r="C3063" s="288" t="s">
        <v>7079</v>
      </c>
      <c r="D3063" s="303">
        <v>0.23</v>
      </c>
    </row>
    <row r="3064" spans="1:4" ht="18">
      <c r="A3064" s="287" t="s">
        <v>12486</v>
      </c>
      <c r="B3064" s="287"/>
      <c r="C3064" s="287"/>
      <c r="D3064" s="296" t="s">
        <v>28729</v>
      </c>
    </row>
    <row r="3065" spans="1:4" ht="18">
      <c r="A3065" s="288" t="s">
        <v>12487</v>
      </c>
      <c r="B3065" s="289" t="s">
        <v>12488</v>
      </c>
      <c r="C3065" s="288" t="s">
        <v>7079</v>
      </c>
      <c r="D3065" s="303">
        <v>81.14</v>
      </c>
    </row>
    <row r="3066" spans="1:4">
      <c r="A3066" s="288" t="s">
        <v>12489</v>
      </c>
      <c r="B3066" s="289" t="s">
        <v>12490</v>
      </c>
      <c r="C3066" s="288" t="s">
        <v>7079</v>
      </c>
      <c r="D3066" s="303">
        <v>102</v>
      </c>
    </row>
    <row r="3067" spans="1:4">
      <c r="A3067" s="290"/>
      <c r="B3067" s="290"/>
      <c r="C3067" s="290"/>
      <c r="D3067" s="298"/>
    </row>
    <row r="3068" spans="1:4">
      <c r="A3068" s="287" t="s">
        <v>12491</v>
      </c>
      <c r="B3068" s="287"/>
      <c r="C3068" s="287"/>
      <c r="D3068" s="296" t="s">
        <v>28729</v>
      </c>
    </row>
    <row r="3069" spans="1:4">
      <c r="A3069" s="288" t="s">
        <v>12492</v>
      </c>
      <c r="B3069" s="289" t="s">
        <v>12493</v>
      </c>
      <c r="C3069" s="288" t="s">
        <v>7167</v>
      </c>
      <c r="D3069" s="303">
        <v>12.71</v>
      </c>
    </row>
    <row r="3070" spans="1:4" ht="18">
      <c r="A3070" s="288" t="s">
        <v>12494</v>
      </c>
      <c r="B3070" s="289" t="s">
        <v>12495</v>
      </c>
      <c r="C3070" s="288" t="s">
        <v>7167</v>
      </c>
      <c r="D3070" s="303">
        <v>28.34</v>
      </c>
    </row>
    <row r="3071" spans="1:4" ht="18">
      <c r="A3071" s="288" t="s">
        <v>12496</v>
      </c>
      <c r="B3071" s="289" t="s">
        <v>12497</v>
      </c>
      <c r="C3071" s="288" t="s">
        <v>7167</v>
      </c>
      <c r="D3071" s="303">
        <v>25.42</v>
      </c>
    </row>
    <row r="3072" spans="1:4" ht="18">
      <c r="A3072" s="287" t="s">
        <v>12498</v>
      </c>
      <c r="B3072" s="287"/>
      <c r="C3072" s="287"/>
      <c r="D3072" s="296" t="s">
        <v>28729</v>
      </c>
    </row>
    <row r="3073" spans="1:4" ht="18">
      <c r="A3073" s="288" t="s">
        <v>12499</v>
      </c>
      <c r="B3073" s="289" t="s">
        <v>12500</v>
      </c>
      <c r="C3073" s="288" t="s">
        <v>7079</v>
      </c>
      <c r="D3073" s="303">
        <v>158.02000000000001</v>
      </c>
    </row>
    <row r="3074" spans="1:4" ht="18">
      <c r="A3074" s="288" t="s">
        <v>12501</v>
      </c>
      <c r="B3074" s="289" t="s">
        <v>12502</v>
      </c>
      <c r="C3074" s="288" t="s">
        <v>7079</v>
      </c>
      <c r="D3074" s="303">
        <v>211.92</v>
      </c>
    </row>
    <row r="3075" spans="1:4">
      <c r="A3075" s="287" t="s">
        <v>12503</v>
      </c>
      <c r="B3075" s="287"/>
      <c r="C3075" s="287"/>
      <c r="D3075" s="296" t="s">
        <v>28729</v>
      </c>
    </row>
    <row r="3076" spans="1:4">
      <c r="A3076" s="288" t="s">
        <v>12504</v>
      </c>
      <c r="B3076" s="289" t="s">
        <v>12505</v>
      </c>
      <c r="C3076" s="288" t="s">
        <v>7079</v>
      </c>
      <c r="D3076" s="303">
        <v>12.71</v>
      </c>
    </row>
    <row r="3077" spans="1:4">
      <c r="A3077" s="288" t="s">
        <v>12506</v>
      </c>
      <c r="B3077" s="289" t="s">
        <v>12507</v>
      </c>
      <c r="C3077" s="288" t="s">
        <v>7079</v>
      </c>
      <c r="D3077" s="303">
        <v>6.36</v>
      </c>
    </row>
    <row r="3078" spans="1:4">
      <c r="A3078" s="288" t="s">
        <v>12508</v>
      </c>
      <c r="B3078" s="289" t="s">
        <v>12509</v>
      </c>
      <c r="C3078" s="288" t="s">
        <v>7079</v>
      </c>
      <c r="D3078" s="303">
        <v>6.36</v>
      </c>
    </row>
    <row r="3079" spans="1:4">
      <c r="A3079" s="288" t="s">
        <v>12510</v>
      </c>
      <c r="B3079" s="289" t="s">
        <v>12511</v>
      </c>
      <c r="C3079" s="288" t="s">
        <v>7079</v>
      </c>
      <c r="D3079" s="303">
        <v>25.42</v>
      </c>
    </row>
    <row r="3080" spans="1:4" ht="18">
      <c r="A3080" s="288" t="s">
        <v>12512</v>
      </c>
      <c r="B3080" s="289" t="s">
        <v>12513</v>
      </c>
      <c r="C3080" s="288" t="s">
        <v>54</v>
      </c>
      <c r="D3080" s="303">
        <v>2.54</v>
      </c>
    </row>
    <row r="3081" spans="1:4">
      <c r="A3081" s="288" t="s">
        <v>12514</v>
      </c>
      <c r="B3081" s="289" t="s">
        <v>12515</v>
      </c>
      <c r="C3081" s="288" t="s">
        <v>7079</v>
      </c>
      <c r="D3081" s="303">
        <v>25.42</v>
      </c>
    </row>
    <row r="3082" spans="1:4">
      <c r="A3082" s="288" t="s">
        <v>12516</v>
      </c>
      <c r="B3082" s="289" t="s">
        <v>12517</v>
      </c>
      <c r="C3082" s="288" t="s">
        <v>7079</v>
      </c>
      <c r="D3082" s="303">
        <v>19.07</v>
      </c>
    </row>
    <row r="3083" spans="1:4" ht="18">
      <c r="A3083" s="288" t="s">
        <v>12518</v>
      </c>
      <c r="B3083" s="289" t="s">
        <v>12519</v>
      </c>
      <c r="C3083" s="288" t="s">
        <v>7079</v>
      </c>
      <c r="D3083" s="303">
        <v>6.36</v>
      </c>
    </row>
    <row r="3084" spans="1:4">
      <c r="A3084" s="288" t="s">
        <v>12520</v>
      </c>
      <c r="B3084" s="289" t="s">
        <v>12521</v>
      </c>
      <c r="C3084" s="288" t="s">
        <v>7079</v>
      </c>
      <c r="D3084" s="303">
        <v>6.36</v>
      </c>
    </row>
    <row r="3085" spans="1:4">
      <c r="A3085" s="288" t="s">
        <v>12522</v>
      </c>
      <c r="B3085" s="289" t="s">
        <v>12523</v>
      </c>
      <c r="C3085" s="288" t="s">
        <v>7079</v>
      </c>
      <c r="D3085" s="303">
        <v>19.07</v>
      </c>
    </row>
    <row r="3086" spans="1:4">
      <c r="A3086" s="288" t="s">
        <v>12524</v>
      </c>
      <c r="B3086" s="289" t="s">
        <v>12525</v>
      </c>
      <c r="C3086" s="288" t="s">
        <v>7079</v>
      </c>
      <c r="D3086" s="303">
        <v>25.42</v>
      </c>
    </row>
    <row r="3087" spans="1:4">
      <c r="A3087" s="288" t="s">
        <v>12526</v>
      </c>
      <c r="B3087" s="289" t="s">
        <v>12527</v>
      </c>
      <c r="C3087" s="288" t="s">
        <v>7079</v>
      </c>
      <c r="D3087" s="303">
        <v>38.130000000000003</v>
      </c>
    </row>
    <row r="3088" spans="1:4">
      <c r="A3088" s="288" t="s">
        <v>12528</v>
      </c>
      <c r="B3088" s="289" t="s">
        <v>12529</v>
      </c>
      <c r="C3088" s="288" t="s">
        <v>7079</v>
      </c>
      <c r="D3088" s="303">
        <v>76.260000000000005</v>
      </c>
    </row>
    <row r="3089" spans="1:4">
      <c r="A3089" s="288" t="s">
        <v>12530</v>
      </c>
      <c r="B3089" s="289" t="s">
        <v>12531</v>
      </c>
      <c r="C3089" s="288" t="s">
        <v>7079</v>
      </c>
      <c r="D3089" s="303">
        <v>25.42</v>
      </c>
    </row>
    <row r="3090" spans="1:4">
      <c r="A3090" s="288" t="s">
        <v>12532</v>
      </c>
      <c r="B3090" s="289" t="s">
        <v>12533</v>
      </c>
      <c r="C3090" s="288" t="s">
        <v>7079</v>
      </c>
      <c r="D3090" s="303">
        <v>12.71</v>
      </c>
    </row>
    <row r="3091" spans="1:4" ht="18">
      <c r="A3091" s="288" t="s">
        <v>12534</v>
      </c>
      <c r="B3091" s="289" t="s">
        <v>12535</v>
      </c>
      <c r="C3091" s="288" t="s">
        <v>7079</v>
      </c>
      <c r="D3091" s="303">
        <v>38.130000000000003</v>
      </c>
    </row>
    <row r="3092" spans="1:4" ht="18">
      <c r="A3092" s="288" t="s">
        <v>12536</v>
      </c>
      <c r="B3092" s="289" t="s">
        <v>12537</v>
      </c>
      <c r="C3092" s="288" t="s">
        <v>7079</v>
      </c>
      <c r="D3092" s="303">
        <v>50.84</v>
      </c>
    </row>
    <row r="3093" spans="1:4" ht="18">
      <c r="A3093" s="288" t="s">
        <v>12538</v>
      </c>
      <c r="B3093" s="289" t="s">
        <v>12539</v>
      </c>
      <c r="C3093" s="288" t="s">
        <v>7079</v>
      </c>
      <c r="D3093" s="303">
        <v>76.260000000000005</v>
      </c>
    </row>
    <row r="3094" spans="1:4">
      <c r="A3094" s="288" t="s">
        <v>12540</v>
      </c>
      <c r="B3094" s="289" t="s">
        <v>12541</v>
      </c>
      <c r="C3094" s="288" t="s">
        <v>7079</v>
      </c>
      <c r="D3094" s="303">
        <v>101.68</v>
      </c>
    </row>
    <row r="3095" spans="1:4">
      <c r="A3095" s="288" t="s">
        <v>12542</v>
      </c>
      <c r="B3095" s="289" t="s">
        <v>12543</v>
      </c>
      <c r="C3095" s="288" t="s">
        <v>7079</v>
      </c>
      <c r="D3095" s="303">
        <v>127.1</v>
      </c>
    </row>
    <row r="3096" spans="1:4">
      <c r="A3096" s="288" t="s">
        <v>12544</v>
      </c>
      <c r="B3096" s="289" t="s">
        <v>12545</v>
      </c>
      <c r="C3096" s="288" t="s">
        <v>7079</v>
      </c>
      <c r="D3096" s="303">
        <v>254.2</v>
      </c>
    </row>
    <row r="3097" spans="1:4">
      <c r="A3097" s="288" t="s">
        <v>12546</v>
      </c>
      <c r="B3097" s="289" t="s">
        <v>12547</v>
      </c>
      <c r="C3097" s="288" t="s">
        <v>7079</v>
      </c>
      <c r="D3097" s="303">
        <v>317.76</v>
      </c>
    </row>
    <row r="3098" spans="1:4">
      <c r="A3098" s="288" t="s">
        <v>12548</v>
      </c>
      <c r="B3098" s="289" t="s">
        <v>12549</v>
      </c>
      <c r="C3098" s="288" t="s">
        <v>7079</v>
      </c>
      <c r="D3098" s="303">
        <v>110.59</v>
      </c>
    </row>
    <row r="3099" spans="1:4">
      <c r="A3099" s="288" t="s">
        <v>12550</v>
      </c>
      <c r="B3099" s="289" t="s">
        <v>12551</v>
      </c>
      <c r="C3099" s="288" t="s">
        <v>7079</v>
      </c>
      <c r="D3099" s="303">
        <v>19.07</v>
      </c>
    </row>
    <row r="3100" spans="1:4">
      <c r="A3100" s="288" t="s">
        <v>12552</v>
      </c>
      <c r="B3100" s="289" t="s">
        <v>12553</v>
      </c>
      <c r="C3100" s="288" t="s">
        <v>7079</v>
      </c>
      <c r="D3100" s="303">
        <v>50.84</v>
      </c>
    </row>
    <row r="3101" spans="1:4">
      <c r="A3101" s="288" t="s">
        <v>12554</v>
      </c>
      <c r="B3101" s="289" t="s">
        <v>12555</v>
      </c>
      <c r="C3101" s="288" t="s">
        <v>7079</v>
      </c>
      <c r="D3101" s="303">
        <v>6.36</v>
      </c>
    </row>
    <row r="3102" spans="1:4" ht="18">
      <c r="A3102" s="288" t="s">
        <v>12556</v>
      </c>
      <c r="B3102" s="289" t="s">
        <v>12557</v>
      </c>
      <c r="C3102" s="288" t="s">
        <v>7079</v>
      </c>
      <c r="D3102" s="303">
        <v>12.71</v>
      </c>
    </row>
    <row r="3103" spans="1:4" ht="18">
      <c r="A3103" s="288" t="s">
        <v>12558</v>
      </c>
      <c r="B3103" s="289" t="s">
        <v>12559</v>
      </c>
      <c r="C3103" s="288" t="s">
        <v>7079</v>
      </c>
      <c r="D3103" s="303">
        <v>6.36</v>
      </c>
    </row>
    <row r="3104" spans="1:4" ht="18">
      <c r="A3104" s="288" t="s">
        <v>12560</v>
      </c>
      <c r="B3104" s="289" t="s">
        <v>12561</v>
      </c>
      <c r="C3104" s="288" t="s">
        <v>7079</v>
      </c>
      <c r="D3104" s="303">
        <v>6.36</v>
      </c>
    </row>
    <row r="3105" spans="1:4">
      <c r="A3105" s="288" t="s">
        <v>12562</v>
      </c>
      <c r="B3105" s="289" t="s">
        <v>12563</v>
      </c>
      <c r="C3105" s="288" t="s">
        <v>7079</v>
      </c>
      <c r="D3105" s="303">
        <v>101.68</v>
      </c>
    </row>
    <row r="3106" spans="1:4">
      <c r="A3106" s="288" t="s">
        <v>12564</v>
      </c>
      <c r="B3106" s="289" t="s">
        <v>12565</v>
      </c>
      <c r="C3106" s="288" t="s">
        <v>7167</v>
      </c>
      <c r="D3106" s="303">
        <v>6.36</v>
      </c>
    </row>
    <row r="3107" spans="1:4">
      <c r="A3107" s="288" t="s">
        <v>12566</v>
      </c>
      <c r="B3107" s="289" t="s">
        <v>12567</v>
      </c>
      <c r="C3107" s="288" t="s">
        <v>7079</v>
      </c>
      <c r="D3107" s="303">
        <v>6.36</v>
      </c>
    </row>
    <row r="3108" spans="1:4" ht="18">
      <c r="A3108" s="288" t="s">
        <v>25969</v>
      </c>
      <c r="B3108" s="289" t="s">
        <v>25970</v>
      </c>
      <c r="C3108" s="288" t="s">
        <v>7079</v>
      </c>
      <c r="D3108" s="303">
        <v>6.36</v>
      </c>
    </row>
    <row r="3109" spans="1:4" ht="18">
      <c r="A3109" s="288" t="s">
        <v>25971</v>
      </c>
      <c r="B3109" s="289" t="s">
        <v>25972</v>
      </c>
      <c r="C3109" s="288" t="s">
        <v>7079</v>
      </c>
      <c r="D3109" s="303">
        <v>12.71</v>
      </c>
    </row>
    <row r="3110" spans="1:4" ht="18">
      <c r="A3110" s="288" t="s">
        <v>25973</v>
      </c>
      <c r="B3110" s="289" t="s">
        <v>25974</v>
      </c>
      <c r="C3110" s="288" t="s">
        <v>7079</v>
      </c>
      <c r="D3110" s="303">
        <v>25.42</v>
      </c>
    </row>
    <row r="3111" spans="1:4" ht="18">
      <c r="A3111" s="288" t="s">
        <v>25975</v>
      </c>
      <c r="B3111" s="289" t="s">
        <v>25976</v>
      </c>
      <c r="C3111" s="288" t="s">
        <v>7079</v>
      </c>
      <c r="D3111" s="303">
        <v>50.84</v>
      </c>
    </row>
    <row r="3112" spans="1:4" ht="18">
      <c r="A3112" s="288" t="s">
        <v>25977</v>
      </c>
      <c r="B3112" s="289" t="s">
        <v>25978</v>
      </c>
      <c r="C3112" s="288" t="s">
        <v>7079</v>
      </c>
      <c r="D3112" s="303">
        <v>76.260000000000005</v>
      </c>
    </row>
    <row r="3113" spans="1:4" ht="18">
      <c r="A3113" s="288" t="s">
        <v>25979</v>
      </c>
      <c r="B3113" s="289" t="s">
        <v>25980</v>
      </c>
      <c r="C3113" s="288" t="s">
        <v>7079</v>
      </c>
      <c r="D3113" s="303">
        <v>50.84</v>
      </c>
    </row>
    <row r="3114" spans="1:4" ht="18">
      <c r="A3114" s="288" t="s">
        <v>25981</v>
      </c>
      <c r="B3114" s="289" t="s">
        <v>25982</v>
      </c>
      <c r="C3114" s="288" t="s">
        <v>7079</v>
      </c>
      <c r="D3114" s="303">
        <v>63.55</v>
      </c>
    </row>
    <row r="3115" spans="1:4">
      <c r="A3115" s="292"/>
      <c r="B3115" s="292"/>
      <c r="C3115" s="292"/>
      <c r="D3115" s="300"/>
    </row>
    <row r="3116" spans="1:4">
      <c r="A3116" s="287" t="s">
        <v>12568</v>
      </c>
      <c r="B3116" s="287"/>
      <c r="C3116" s="287"/>
      <c r="D3116" s="296" t="s">
        <v>28729</v>
      </c>
    </row>
    <row r="3117" spans="1:4">
      <c r="A3117" s="288" t="s">
        <v>12569</v>
      </c>
      <c r="B3117" s="289" t="s">
        <v>12570</v>
      </c>
      <c r="C3117" s="288" t="s">
        <v>10941</v>
      </c>
      <c r="D3117" s="303">
        <v>14.76</v>
      </c>
    </row>
    <row r="3118" spans="1:4">
      <c r="A3118" s="288" t="s">
        <v>12571</v>
      </c>
      <c r="B3118" s="289" t="s">
        <v>12572</v>
      </c>
      <c r="C3118" s="288" t="s">
        <v>54</v>
      </c>
      <c r="D3118" s="303">
        <v>5.26</v>
      </c>
    </row>
    <row r="3119" spans="1:4" ht="18">
      <c r="A3119" s="288" t="s">
        <v>12573</v>
      </c>
      <c r="B3119" s="289" t="s">
        <v>12574</v>
      </c>
      <c r="C3119" s="288" t="s">
        <v>7079</v>
      </c>
      <c r="D3119" s="303">
        <v>11.24</v>
      </c>
    </row>
    <row r="3120" spans="1:4" ht="27">
      <c r="A3120" s="288" t="s">
        <v>12575</v>
      </c>
      <c r="B3120" s="289" t="s">
        <v>12576</v>
      </c>
      <c r="C3120" s="288" t="s">
        <v>7079</v>
      </c>
      <c r="D3120" s="303">
        <v>7.43</v>
      </c>
    </row>
    <row r="3121" spans="1:4">
      <c r="A3121" s="287"/>
      <c r="B3121" s="287"/>
      <c r="C3121" s="287"/>
      <c r="D3121" s="296" t="s">
        <v>28729</v>
      </c>
    </row>
    <row r="3122" spans="1:4">
      <c r="A3122" s="290"/>
      <c r="B3122" s="290"/>
      <c r="C3122" s="290"/>
      <c r="D3122" s="298"/>
    </row>
    <row r="3123" spans="1:4">
      <c r="A3123" s="290"/>
      <c r="B3123" s="290"/>
      <c r="C3123" s="290"/>
      <c r="D3123" s="298"/>
    </row>
    <row r="3124" spans="1:4">
      <c r="A3124" s="287" t="s">
        <v>12577</v>
      </c>
      <c r="B3124" s="287"/>
      <c r="C3124" s="287"/>
      <c r="D3124" s="296" t="s">
        <v>28729</v>
      </c>
    </row>
    <row r="3125" spans="1:4" ht="27">
      <c r="A3125" s="288" t="s">
        <v>12578</v>
      </c>
      <c r="B3125" s="289" t="s">
        <v>12579</v>
      </c>
      <c r="C3125" s="288" t="s">
        <v>54</v>
      </c>
      <c r="D3125" s="303">
        <v>151.66</v>
      </c>
    </row>
    <row r="3126" spans="1:4" ht="27">
      <c r="A3126" s="288" t="s">
        <v>12580</v>
      </c>
      <c r="B3126" s="289" t="s">
        <v>12581</v>
      </c>
      <c r="C3126" s="288" t="s">
        <v>54</v>
      </c>
      <c r="D3126" s="303">
        <v>189.93</v>
      </c>
    </row>
    <row r="3127" spans="1:4">
      <c r="A3127" s="290"/>
      <c r="B3127" s="290"/>
      <c r="C3127" s="290"/>
      <c r="D3127" s="298"/>
    </row>
    <row r="3128" spans="1:4" ht="36">
      <c r="A3128" s="287" t="s">
        <v>12582</v>
      </c>
      <c r="B3128" s="287"/>
      <c r="C3128" s="287"/>
      <c r="D3128" s="296" t="s">
        <v>28729</v>
      </c>
    </row>
    <row r="3129" spans="1:4" ht="18">
      <c r="A3129" s="288" t="s">
        <v>12583</v>
      </c>
      <c r="B3129" s="289" t="s">
        <v>12584</v>
      </c>
      <c r="C3129" s="288" t="s">
        <v>54</v>
      </c>
      <c r="D3129" s="303">
        <v>11.77</v>
      </c>
    </row>
    <row r="3130" spans="1:4" ht="18">
      <c r="A3130" s="288" t="s">
        <v>12585</v>
      </c>
      <c r="B3130" s="289" t="s">
        <v>12586</v>
      </c>
      <c r="C3130" s="288" t="s">
        <v>54</v>
      </c>
      <c r="D3130" s="303">
        <v>18.93</v>
      </c>
    </row>
    <row r="3131" spans="1:4" ht="18">
      <c r="A3131" s="288" t="s">
        <v>12587</v>
      </c>
      <c r="B3131" s="289" t="s">
        <v>12588</v>
      </c>
      <c r="C3131" s="288" t="s">
        <v>54</v>
      </c>
      <c r="D3131" s="303">
        <v>27.5</v>
      </c>
    </row>
    <row r="3132" spans="1:4" ht="18">
      <c r="A3132" s="288" t="s">
        <v>12589</v>
      </c>
      <c r="B3132" s="289" t="s">
        <v>12590</v>
      </c>
      <c r="C3132" s="288" t="s">
        <v>54</v>
      </c>
      <c r="D3132" s="303">
        <v>57.58</v>
      </c>
    </row>
    <row r="3133" spans="1:4" ht="18">
      <c r="A3133" s="288" t="s">
        <v>12591</v>
      </c>
      <c r="B3133" s="289" t="s">
        <v>12592</v>
      </c>
      <c r="C3133" s="288" t="s">
        <v>54</v>
      </c>
      <c r="D3133" s="303">
        <v>91.35</v>
      </c>
    </row>
    <row r="3134" spans="1:4" ht="18">
      <c r="A3134" s="288" t="s">
        <v>12593</v>
      </c>
      <c r="B3134" s="289" t="s">
        <v>12594</v>
      </c>
      <c r="C3134" s="288" t="s">
        <v>54</v>
      </c>
      <c r="D3134" s="303">
        <v>130.96</v>
      </c>
    </row>
    <row r="3135" spans="1:4" ht="18">
      <c r="A3135" s="287" t="s">
        <v>12595</v>
      </c>
      <c r="B3135" s="287"/>
      <c r="C3135" s="287"/>
      <c r="D3135" s="296" t="s">
        <v>28729</v>
      </c>
    </row>
    <row r="3136" spans="1:4" ht="27">
      <c r="A3136" s="288" t="s">
        <v>12596</v>
      </c>
      <c r="B3136" s="289" t="s">
        <v>12597</v>
      </c>
      <c r="C3136" s="288" t="s">
        <v>54</v>
      </c>
      <c r="D3136" s="303">
        <v>13.78</v>
      </c>
    </row>
    <row r="3137" spans="1:4" ht="27">
      <c r="A3137" s="288" t="s">
        <v>12598</v>
      </c>
      <c r="B3137" s="289" t="s">
        <v>12599</v>
      </c>
      <c r="C3137" s="288" t="s">
        <v>54</v>
      </c>
      <c r="D3137" s="303">
        <v>17.98</v>
      </c>
    </row>
    <row r="3138" spans="1:4" ht="27">
      <c r="A3138" s="288" t="s">
        <v>12600</v>
      </c>
      <c r="B3138" s="289" t="s">
        <v>12601</v>
      </c>
      <c r="C3138" s="288" t="s">
        <v>54</v>
      </c>
      <c r="D3138" s="303">
        <v>31</v>
      </c>
    </row>
    <row r="3139" spans="1:4" ht="27">
      <c r="A3139" s="288" t="s">
        <v>12602</v>
      </c>
      <c r="B3139" s="289" t="s">
        <v>12603</v>
      </c>
      <c r="C3139" s="288" t="s">
        <v>54</v>
      </c>
      <c r="D3139" s="303">
        <v>38.85</v>
      </c>
    </row>
    <row r="3140" spans="1:4" ht="27">
      <c r="A3140" s="288" t="s">
        <v>12604</v>
      </c>
      <c r="B3140" s="289" t="s">
        <v>12605</v>
      </c>
      <c r="C3140" s="288" t="s">
        <v>54</v>
      </c>
      <c r="D3140" s="303">
        <v>46.6</v>
      </c>
    </row>
    <row r="3141" spans="1:4" ht="27">
      <c r="A3141" s="288" t="s">
        <v>12606</v>
      </c>
      <c r="B3141" s="289" t="s">
        <v>12607</v>
      </c>
      <c r="C3141" s="288" t="s">
        <v>54</v>
      </c>
      <c r="D3141" s="303">
        <v>67.38</v>
      </c>
    </row>
    <row r="3142" spans="1:4" ht="27">
      <c r="A3142" s="288" t="s">
        <v>12608</v>
      </c>
      <c r="B3142" s="289" t="s">
        <v>12609</v>
      </c>
      <c r="C3142" s="288" t="s">
        <v>54</v>
      </c>
      <c r="D3142" s="303">
        <v>89.2</v>
      </c>
    </row>
    <row r="3143" spans="1:4" ht="27">
      <c r="A3143" s="288" t="s">
        <v>12610</v>
      </c>
      <c r="B3143" s="289" t="s">
        <v>12611</v>
      </c>
      <c r="C3143" s="288" t="s">
        <v>54</v>
      </c>
      <c r="D3143" s="303">
        <v>104.95</v>
      </c>
    </row>
    <row r="3144" spans="1:4" ht="27">
      <c r="A3144" s="288" t="s">
        <v>12612</v>
      </c>
      <c r="B3144" s="289" t="s">
        <v>12613</v>
      </c>
      <c r="C3144" s="288" t="s">
        <v>54</v>
      </c>
      <c r="D3144" s="303">
        <v>126.76</v>
      </c>
    </row>
    <row r="3145" spans="1:4" ht="27">
      <c r="A3145" s="288" t="s">
        <v>12614</v>
      </c>
      <c r="B3145" s="289" t="s">
        <v>12615</v>
      </c>
      <c r="C3145" s="288" t="s">
        <v>54</v>
      </c>
      <c r="D3145" s="303">
        <v>8.01</v>
      </c>
    </row>
    <row r="3146" spans="1:4" ht="27">
      <c r="A3146" s="288" t="s">
        <v>12616</v>
      </c>
      <c r="B3146" s="289" t="s">
        <v>12617</v>
      </c>
      <c r="C3146" s="288" t="s">
        <v>54</v>
      </c>
      <c r="D3146" s="303">
        <v>9.1999999999999993</v>
      </c>
    </row>
    <row r="3147" spans="1:4" ht="27">
      <c r="A3147" s="288" t="s">
        <v>12618</v>
      </c>
      <c r="B3147" s="289" t="s">
        <v>12619</v>
      </c>
      <c r="C3147" s="288" t="s">
        <v>54</v>
      </c>
      <c r="D3147" s="303">
        <v>16.62</v>
      </c>
    </row>
    <row r="3148" spans="1:4" ht="27">
      <c r="A3148" s="288" t="s">
        <v>12620</v>
      </c>
      <c r="B3148" s="289" t="s">
        <v>12621</v>
      </c>
      <c r="C3148" s="288" t="s">
        <v>54</v>
      </c>
      <c r="D3148" s="303">
        <v>22.21</v>
      </c>
    </row>
    <row r="3149" spans="1:4" ht="27">
      <c r="A3149" s="288" t="s">
        <v>12622</v>
      </c>
      <c r="B3149" s="289" t="s">
        <v>12623</v>
      </c>
      <c r="C3149" s="288" t="s">
        <v>54</v>
      </c>
      <c r="D3149" s="303">
        <v>36.75</v>
      </c>
    </row>
    <row r="3150" spans="1:4" ht="27">
      <c r="A3150" s="288" t="s">
        <v>12624</v>
      </c>
      <c r="B3150" s="289" t="s">
        <v>12625</v>
      </c>
      <c r="C3150" s="288" t="s">
        <v>54</v>
      </c>
      <c r="D3150" s="303">
        <v>94.52</v>
      </c>
    </row>
    <row r="3151" spans="1:4" ht="27">
      <c r="A3151" s="288" t="s">
        <v>12626</v>
      </c>
      <c r="B3151" s="289" t="s">
        <v>12627</v>
      </c>
      <c r="C3151" s="288" t="s">
        <v>54</v>
      </c>
      <c r="D3151" s="303">
        <v>173.64</v>
      </c>
    </row>
    <row r="3152" spans="1:4" ht="18">
      <c r="A3152" s="287" t="s">
        <v>12628</v>
      </c>
      <c r="B3152" s="287"/>
      <c r="C3152" s="287"/>
      <c r="D3152" s="296" t="s">
        <v>28729</v>
      </c>
    </row>
    <row r="3153" spans="1:4" ht="18">
      <c r="A3153" s="288" t="s">
        <v>12629</v>
      </c>
      <c r="B3153" s="289" t="s">
        <v>12630</v>
      </c>
      <c r="C3153" s="288" t="s">
        <v>7079</v>
      </c>
      <c r="D3153" s="303">
        <v>5.22</v>
      </c>
    </row>
    <row r="3154" spans="1:4">
      <c r="A3154" s="288" t="s">
        <v>12631</v>
      </c>
      <c r="B3154" s="289" t="s">
        <v>12632</v>
      </c>
      <c r="C3154" s="288" t="s">
        <v>7079</v>
      </c>
      <c r="D3154" s="303">
        <v>5.23</v>
      </c>
    </row>
    <row r="3155" spans="1:4">
      <c r="A3155" s="288" t="s">
        <v>12633</v>
      </c>
      <c r="B3155" s="289" t="s">
        <v>12634</v>
      </c>
      <c r="C3155" s="288" t="s">
        <v>7079</v>
      </c>
      <c r="D3155" s="303">
        <v>6.86</v>
      </c>
    </row>
    <row r="3156" spans="1:4" ht="18">
      <c r="A3156" s="288" t="s">
        <v>12635</v>
      </c>
      <c r="B3156" s="289" t="s">
        <v>12636</v>
      </c>
      <c r="C3156" s="288" t="s">
        <v>7079</v>
      </c>
      <c r="D3156" s="303">
        <v>7.62</v>
      </c>
    </row>
    <row r="3157" spans="1:4" ht="18">
      <c r="A3157" s="288" t="s">
        <v>12637</v>
      </c>
      <c r="B3157" s="289" t="s">
        <v>12638</v>
      </c>
      <c r="C3157" s="288" t="s">
        <v>7079</v>
      </c>
      <c r="D3157" s="303">
        <v>12.49</v>
      </c>
    </row>
    <row r="3158" spans="1:4" ht="18">
      <c r="A3158" s="288" t="s">
        <v>12639</v>
      </c>
      <c r="B3158" s="289" t="s">
        <v>12640</v>
      </c>
      <c r="C3158" s="288" t="s">
        <v>7079</v>
      </c>
      <c r="D3158" s="303">
        <v>4.37</v>
      </c>
    </row>
    <row r="3159" spans="1:4" ht="18">
      <c r="A3159" s="288" t="s">
        <v>12641</v>
      </c>
      <c r="B3159" s="289" t="s">
        <v>12642</v>
      </c>
      <c r="C3159" s="288" t="s">
        <v>7079</v>
      </c>
      <c r="D3159" s="303">
        <v>5.93</v>
      </c>
    </row>
    <row r="3160" spans="1:4" ht="18">
      <c r="A3160" s="288" t="s">
        <v>12643</v>
      </c>
      <c r="B3160" s="289" t="s">
        <v>12644</v>
      </c>
      <c r="C3160" s="288" t="s">
        <v>7079</v>
      </c>
      <c r="D3160" s="303">
        <v>37.54</v>
      </c>
    </row>
    <row r="3161" spans="1:4" ht="18">
      <c r="A3161" s="288" t="s">
        <v>12645</v>
      </c>
      <c r="B3161" s="289" t="s">
        <v>12646</v>
      </c>
      <c r="C3161" s="288" t="s">
        <v>7079</v>
      </c>
      <c r="D3161" s="303">
        <v>5.46</v>
      </c>
    </row>
    <row r="3162" spans="1:4" ht="18">
      <c r="A3162" s="288" t="s">
        <v>12647</v>
      </c>
      <c r="B3162" s="289" t="s">
        <v>12648</v>
      </c>
      <c r="C3162" s="288" t="s">
        <v>7079</v>
      </c>
      <c r="D3162" s="303">
        <v>7.83</v>
      </c>
    </row>
    <row r="3163" spans="1:4" ht="18">
      <c r="A3163" s="288" t="s">
        <v>12649</v>
      </c>
      <c r="B3163" s="289" t="s">
        <v>12650</v>
      </c>
      <c r="C3163" s="288" t="s">
        <v>7079</v>
      </c>
      <c r="D3163" s="303">
        <v>4.6399999999999997</v>
      </c>
    </row>
    <row r="3164" spans="1:4" ht="18">
      <c r="A3164" s="288" t="s">
        <v>12651</v>
      </c>
      <c r="B3164" s="289" t="s">
        <v>12652</v>
      </c>
      <c r="C3164" s="288" t="s">
        <v>7079</v>
      </c>
      <c r="D3164" s="303">
        <v>7.04</v>
      </c>
    </row>
    <row r="3165" spans="1:4">
      <c r="A3165" s="288" t="s">
        <v>12653</v>
      </c>
      <c r="B3165" s="289" t="s">
        <v>12654</v>
      </c>
      <c r="C3165" s="288" t="s">
        <v>7079</v>
      </c>
      <c r="D3165" s="303">
        <v>16.79</v>
      </c>
    </row>
    <row r="3166" spans="1:4" ht="18">
      <c r="A3166" s="288" t="s">
        <v>12655</v>
      </c>
      <c r="B3166" s="289" t="s">
        <v>12656</v>
      </c>
      <c r="C3166" s="288" t="s">
        <v>7079</v>
      </c>
      <c r="D3166" s="303">
        <v>27.7</v>
      </c>
    </row>
    <row r="3167" spans="1:4" ht="18">
      <c r="A3167" s="288" t="s">
        <v>12657</v>
      </c>
      <c r="B3167" s="289" t="s">
        <v>12658</v>
      </c>
      <c r="C3167" s="288" t="s">
        <v>7079</v>
      </c>
      <c r="D3167" s="303">
        <v>13.6</v>
      </c>
    </row>
    <row r="3168" spans="1:4" ht="18">
      <c r="A3168" s="287" t="s">
        <v>12659</v>
      </c>
      <c r="B3168" s="287"/>
      <c r="C3168" s="287"/>
      <c r="D3168" s="296" t="s">
        <v>28729</v>
      </c>
    </row>
    <row r="3169" spans="1:4" ht="27">
      <c r="A3169" s="288" t="s">
        <v>12660</v>
      </c>
      <c r="B3169" s="289" t="s">
        <v>12661</v>
      </c>
      <c r="C3169" s="288" t="s">
        <v>7079</v>
      </c>
      <c r="D3169" s="303">
        <v>1160.31</v>
      </c>
    </row>
    <row r="3170" spans="1:4" ht="27">
      <c r="A3170" s="288" t="s">
        <v>12662</v>
      </c>
      <c r="B3170" s="289" t="s">
        <v>12663</v>
      </c>
      <c r="C3170" s="288" t="s">
        <v>7079</v>
      </c>
      <c r="D3170" s="303">
        <v>874.77</v>
      </c>
    </row>
    <row r="3171" spans="1:4" ht="18">
      <c r="A3171" s="288" t="s">
        <v>12664</v>
      </c>
      <c r="B3171" s="289" t="s">
        <v>12665</v>
      </c>
      <c r="C3171" s="288" t="s">
        <v>7079</v>
      </c>
      <c r="D3171" s="303">
        <v>6066.21</v>
      </c>
    </row>
    <row r="3172" spans="1:4" ht="18">
      <c r="A3172" s="287" t="s">
        <v>12666</v>
      </c>
      <c r="B3172" s="287"/>
      <c r="C3172" s="287"/>
      <c r="D3172" s="296" t="s">
        <v>28729</v>
      </c>
    </row>
    <row r="3173" spans="1:4" ht="18">
      <c r="A3173" s="288" t="s">
        <v>12667</v>
      </c>
      <c r="B3173" s="289" t="s">
        <v>12668</v>
      </c>
      <c r="C3173" s="288" t="s">
        <v>54</v>
      </c>
      <c r="D3173" s="303">
        <v>39.229999999999997</v>
      </c>
    </row>
    <row r="3174" spans="1:4" ht="18">
      <c r="A3174" s="288" t="s">
        <v>12669</v>
      </c>
      <c r="B3174" s="289" t="s">
        <v>12670</v>
      </c>
      <c r="C3174" s="288" t="s">
        <v>54</v>
      </c>
      <c r="D3174" s="303">
        <v>53.68</v>
      </c>
    </row>
    <row r="3175" spans="1:4" ht="18">
      <c r="A3175" s="288" t="s">
        <v>12671</v>
      </c>
      <c r="B3175" s="289" t="s">
        <v>12672</v>
      </c>
      <c r="C3175" s="288" t="s">
        <v>54</v>
      </c>
      <c r="D3175" s="303">
        <v>64.930000000000007</v>
      </c>
    </row>
    <row r="3176" spans="1:4" ht="18">
      <c r="A3176" s="288" t="s">
        <v>12673</v>
      </c>
      <c r="B3176" s="289" t="s">
        <v>12674</v>
      </c>
      <c r="C3176" s="288" t="s">
        <v>54</v>
      </c>
      <c r="D3176" s="303">
        <v>72.7</v>
      </c>
    </row>
    <row r="3177" spans="1:4" ht="18">
      <c r="A3177" s="288" t="s">
        <v>12675</v>
      </c>
      <c r="B3177" s="289" t="s">
        <v>12676</v>
      </c>
      <c r="C3177" s="288" t="s">
        <v>54</v>
      </c>
      <c r="D3177" s="303">
        <v>95.97</v>
      </c>
    </row>
    <row r="3178" spans="1:4" ht="18">
      <c r="A3178" s="288" t="s">
        <v>12677</v>
      </c>
      <c r="B3178" s="289" t="s">
        <v>12678</v>
      </c>
      <c r="C3178" s="288" t="s">
        <v>54</v>
      </c>
      <c r="D3178" s="303">
        <v>121.25</v>
      </c>
    </row>
    <row r="3179" spans="1:4" ht="27">
      <c r="A3179" s="287" t="s">
        <v>12679</v>
      </c>
      <c r="B3179" s="287"/>
      <c r="C3179" s="287"/>
      <c r="D3179" s="296" t="s">
        <v>28729</v>
      </c>
    </row>
    <row r="3180" spans="1:4" ht="18">
      <c r="A3180" s="288" t="s">
        <v>12680</v>
      </c>
      <c r="B3180" s="289" t="s">
        <v>12681</v>
      </c>
      <c r="C3180" s="288" t="s">
        <v>54</v>
      </c>
      <c r="D3180" s="303">
        <v>5.75</v>
      </c>
    </row>
    <row r="3181" spans="1:4" ht="27">
      <c r="A3181" s="287" t="s">
        <v>12682</v>
      </c>
      <c r="B3181" s="287"/>
      <c r="C3181" s="287"/>
      <c r="D3181" s="296" t="s">
        <v>28729</v>
      </c>
    </row>
    <row r="3182" spans="1:4" ht="18">
      <c r="A3182" s="288" t="s">
        <v>12683</v>
      </c>
      <c r="B3182" s="289" t="s">
        <v>12684</v>
      </c>
      <c r="C3182" s="288" t="s">
        <v>7079</v>
      </c>
      <c r="D3182" s="303">
        <v>3.18</v>
      </c>
    </row>
    <row r="3183" spans="1:4" ht="18">
      <c r="A3183" s="288" t="s">
        <v>12685</v>
      </c>
      <c r="B3183" s="289" t="s">
        <v>12686</v>
      </c>
      <c r="C3183" s="288" t="s">
        <v>7079</v>
      </c>
      <c r="D3183" s="303">
        <v>19.66</v>
      </c>
    </row>
    <row r="3184" spans="1:4" ht="18">
      <c r="A3184" s="288" t="s">
        <v>12687</v>
      </c>
      <c r="B3184" s="289" t="s">
        <v>12688</v>
      </c>
      <c r="C3184" s="288" t="s">
        <v>7079</v>
      </c>
      <c r="D3184" s="303">
        <v>1.92</v>
      </c>
    </row>
    <row r="3185" spans="1:4" ht="18">
      <c r="A3185" s="288" t="s">
        <v>12689</v>
      </c>
      <c r="B3185" s="289" t="s">
        <v>12690</v>
      </c>
      <c r="C3185" s="288" t="s">
        <v>7079</v>
      </c>
      <c r="D3185" s="303">
        <v>13.66</v>
      </c>
    </row>
    <row r="3186" spans="1:4" ht="18">
      <c r="A3186" s="287" t="s">
        <v>12691</v>
      </c>
      <c r="B3186" s="287"/>
      <c r="C3186" s="287"/>
      <c r="D3186" s="296" t="s">
        <v>28729</v>
      </c>
    </row>
    <row r="3187" spans="1:4" ht="45">
      <c r="A3187" s="288" t="s">
        <v>12692</v>
      </c>
      <c r="B3187" s="289" t="s">
        <v>12693</v>
      </c>
      <c r="C3187" s="288" t="s">
        <v>54</v>
      </c>
      <c r="D3187" s="303">
        <v>35</v>
      </c>
    </row>
    <row r="3188" spans="1:4" ht="45">
      <c r="A3188" s="288" t="s">
        <v>12694</v>
      </c>
      <c r="B3188" s="289" t="s">
        <v>12695</v>
      </c>
      <c r="C3188" s="288" t="s">
        <v>54</v>
      </c>
      <c r="D3188" s="303">
        <v>42.87</v>
      </c>
    </row>
    <row r="3189" spans="1:4" ht="45">
      <c r="A3189" s="288" t="s">
        <v>12696</v>
      </c>
      <c r="B3189" s="289" t="s">
        <v>12697</v>
      </c>
      <c r="C3189" s="288" t="s">
        <v>54</v>
      </c>
      <c r="D3189" s="303">
        <v>46.3</v>
      </c>
    </row>
    <row r="3190" spans="1:4" ht="18">
      <c r="A3190" s="287" t="s">
        <v>12698</v>
      </c>
      <c r="B3190" s="287"/>
      <c r="C3190" s="287"/>
      <c r="D3190" s="296" t="s">
        <v>28729</v>
      </c>
    </row>
    <row r="3191" spans="1:4" ht="27">
      <c r="A3191" s="288" t="s">
        <v>12699</v>
      </c>
      <c r="B3191" s="289" t="s">
        <v>12700</v>
      </c>
      <c r="C3191" s="288" t="s">
        <v>54</v>
      </c>
      <c r="D3191" s="303">
        <v>31.07</v>
      </c>
    </row>
    <row r="3192" spans="1:4" ht="27">
      <c r="A3192" s="288" t="s">
        <v>12701</v>
      </c>
      <c r="B3192" s="289" t="s">
        <v>12702</v>
      </c>
      <c r="C3192" s="288" t="s">
        <v>54</v>
      </c>
      <c r="D3192" s="303">
        <v>31.06</v>
      </c>
    </row>
    <row r="3193" spans="1:4" ht="27">
      <c r="A3193" s="288" t="s">
        <v>12703</v>
      </c>
      <c r="B3193" s="289" t="s">
        <v>12704</v>
      </c>
      <c r="C3193" s="288" t="s">
        <v>54</v>
      </c>
      <c r="D3193" s="303">
        <v>55.3</v>
      </c>
    </row>
    <row r="3194" spans="1:4" ht="27">
      <c r="A3194" s="288" t="s">
        <v>12705</v>
      </c>
      <c r="B3194" s="289" t="s">
        <v>12706</v>
      </c>
      <c r="C3194" s="288" t="s">
        <v>54</v>
      </c>
      <c r="D3194" s="303">
        <v>75.22</v>
      </c>
    </row>
    <row r="3195" spans="1:4" ht="27">
      <c r="A3195" s="288" t="s">
        <v>12707</v>
      </c>
      <c r="B3195" s="289" t="s">
        <v>12708</v>
      </c>
      <c r="C3195" s="288" t="s">
        <v>54</v>
      </c>
      <c r="D3195" s="303">
        <v>80.430000000000007</v>
      </c>
    </row>
    <row r="3196" spans="1:4" ht="27">
      <c r="A3196" s="288" t="s">
        <v>12709</v>
      </c>
      <c r="B3196" s="289" t="s">
        <v>12710</v>
      </c>
      <c r="C3196" s="288" t="s">
        <v>54</v>
      </c>
      <c r="D3196" s="303">
        <v>120.17</v>
      </c>
    </row>
    <row r="3197" spans="1:4" ht="27">
      <c r="A3197" s="288" t="s">
        <v>12711</v>
      </c>
      <c r="B3197" s="289" t="s">
        <v>12712</v>
      </c>
      <c r="C3197" s="288" t="s">
        <v>54</v>
      </c>
      <c r="D3197" s="303">
        <v>176.51</v>
      </c>
    </row>
    <row r="3198" spans="1:4" ht="27">
      <c r="A3198" s="288" t="s">
        <v>12713</v>
      </c>
      <c r="B3198" s="289" t="s">
        <v>12714</v>
      </c>
      <c r="C3198" s="288" t="s">
        <v>54</v>
      </c>
      <c r="D3198" s="303">
        <v>231.98</v>
      </c>
    </row>
    <row r="3199" spans="1:4" ht="27">
      <c r="A3199" s="288" t="s">
        <v>12715</v>
      </c>
      <c r="B3199" s="289" t="s">
        <v>12716</v>
      </c>
      <c r="C3199" s="288" t="s">
        <v>54</v>
      </c>
      <c r="D3199" s="303">
        <v>258.60000000000002</v>
      </c>
    </row>
    <row r="3200" spans="1:4" ht="18">
      <c r="A3200" s="288" t="s">
        <v>12717</v>
      </c>
      <c r="B3200" s="289" t="s">
        <v>12718</v>
      </c>
      <c r="C3200" s="288" t="s">
        <v>54</v>
      </c>
      <c r="D3200" s="303">
        <v>89.32</v>
      </c>
    </row>
    <row r="3201" spans="1:4" ht="18">
      <c r="A3201" s="288" t="s">
        <v>12719</v>
      </c>
      <c r="B3201" s="289" t="s">
        <v>12720</v>
      </c>
      <c r="C3201" s="288" t="s">
        <v>54</v>
      </c>
      <c r="D3201" s="303">
        <v>121.45</v>
      </c>
    </row>
    <row r="3202" spans="1:4" ht="18">
      <c r="A3202" s="287" t="s">
        <v>12721</v>
      </c>
      <c r="B3202" s="287"/>
      <c r="C3202" s="287"/>
      <c r="D3202" s="296" t="s">
        <v>28729</v>
      </c>
    </row>
    <row r="3203" spans="1:4" ht="27">
      <c r="A3203" s="288" t="s">
        <v>12722</v>
      </c>
      <c r="B3203" s="289" t="s">
        <v>12723</v>
      </c>
      <c r="C3203" s="288" t="s">
        <v>54</v>
      </c>
      <c r="D3203" s="303">
        <v>31.07</v>
      </c>
    </row>
    <row r="3204" spans="1:4" ht="27">
      <c r="A3204" s="288" t="s">
        <v>12724</v>
      </c>
      <c r="B3204" s="289" t="s">
        <v>12725</v>
      </c>
      <c r="C3204" s="288" t="s">
        <v>54</v>
      </c>
      <c r="D3204" s="303">
        <v>31.06</v>
      </c>
    </row>
    <row r="3205" spans="1:4" ht="27">
      <c r="A3205" s="288" t="s">
        <v>12726</v>
      </c>
      <c r="B3205" s="289" t="s">
        <v>12727</v>
      </c>
      <c r="C3205" s="288" t="s">
        <v>54</v>
      </c>
      <c r="D3205" s="303">
        <v>55.3</v>
      </c>
    </row>
    <row r="3206" spans="1:4" ht="27">
      <c r="A3206" s="288" t="s">
        <v>12728</v>
      </c>
      <c r="B3206" s="289" t="s">
        <v>12729</v>
      </c>
      <c r="C3206" s="288" t="s">
        <v>54</v>
      </c>
      <c r="D3206" s="303">
        <v>81.28</v>
      </c>
    </row>
    <row r="3207" spans="1:4" ht="27">
      <c r="A3207" s="288" t="s">
        <v>12730</v>
      </c>
      <c r="B3207" s="289" t="s">
        <v>12731</v>
      </c>
      <c r="C3207" s="288" t="s">
        <v>54</v>
      </c>
      <c r="D3207" s="303">
        <v>80.430000000000007</v>
      </c>
    </row>
    <row r="3208" spans="1:4" ht="27">
      <c r="A3208" s="288" t="s">
        <v>12732</v>
      </c>
      <c r="B3208" s="289" t="s">
        <v>12733</v>
      </c>
      <c r="C3208" s="288" t="s">
        <v>54</v>
      </c>
      <c r="D3208" s="303">
        <v>120.17</v>
      </c>
    </row>
    <row r="3209" spans="1:4" ht="27">
      <c r="A3209" s="288" t="s">
        <v>12734</v>
      </c>
      <c r="B3209" s="289" t="s">
        <v>12735</v>
      </c>
      <c r="C3209" s="288" t="s">
        <v>54</v>
      </c>
      <c r="D3209" s="303">
        <v>176.51</v>
      </c>
    </row>
    <row r="3210" spans="1:4" ht="27">
      <c r="A3210" s="288" t="s">
        <v>12736</v>
      </c>
      <c r="B3210" s="289" t="s">
        <v>12737</v>
      </c>
      <c r="C3210" s="288" t="s">
        <v>54</v>
      </c>
      <c r="D3210" s="303">
        <v>231.98</v>
      </c>
    </row>
    <row r="3211" spans="1:4" ht="27">
      <c r="A3211" s="288" t="s">
        <v>12738</v>
      </c>
      <c r="B3211" s="289" t="s">
        <v>12739</v>
      </c>
      <c r="C3211" s="288" t="s">
        <v>54</v>
      </c>
      <c r="D3211" s="303">
        <v>258.60000000000002</v>
      </c>
    </row>
    <row r="3212" spans="1:4" ht="18">
      <c r="A3212" s="287" t="s">
        <v>12740</v>
      </c>
      <c r="B3212" s="287"/>
      <c r="C3212" s="287"/>
      <c r="D3212" s="296" t="s">
        <v>28729</v>
      </c>
    </row>
    <row r="3213" spans="1:4" ht="27">
      <c r="A3213" s="288" t="s">
        <v>12741</v>
      </c>
      <c r="B3213" s="289" t="s">
        <v>12742</v>
      </c>
      <c r="C3213" s="288" t="s">
        <v>7079</v>
      </c>
      <c r="D3213" s="303">
        <v>80.11</v>
      </c>
    </row>
    <row r="3214" spans="1:4" ht="27">
      <c r="A3214" s="288" t="s">
        <v>12743</v>
      </c>
      <c r="B3214" s="289" t="s">
        <v>12744</v>
      </c>
      <c r="C3214" s="288" t="s">
        <v>7079</v>
      </c>
      <c r="D3214" s="303">
        <v>334.41</v>
      </c>
    </row>
    <row r="3215" spans="1:4" ht="27">
      <c r="A3215" s="288" t="s">
        <v>12745</v>
      </c>
      <c r="B3215" s="289" t="s">
        <v>12746</v>
      </c>
      <c r="C3215" s="288" t="s">
        <v>7079</v>
      </c>
      <c r="D3215" s="303">
        <v>194.17</v>
      </c>
    </row>
    <row r="3216" spans="1:4" ht="18">
      <c r="A3216" s="288" t="s">
        <v>12747</v>
      </c>
      <c r="B3216" s="289" t="s">
        <v>12748</v>
      </c>
      <c r="C3216" s="288" t="s">
        <v>7079</v>
      </c>
      <c r="D3216" s="303">
        <v>320.68</v>
      </c>
    </row>
    <row r="3217" spans="1:4">
      <c r="A3217" s="288" t="s">
        <v>12749</v>
      </c>
      <c r="B3217" s="289" t="s">
        <v>12750</v>
      </c>
      <c r="C3217" s="288" t="s">
        <v>7079</v>
      </c>
      <c r="D3217" s="303">
        <v>24.25</v>
      </c>
    </row>
    <row r="3218" spans="1:4" ht="18">
      <c r="A3218" s="288" t="s">
        <v>12751</v>
      </c>
      <c r="B3218" s="289" t="s">
        <v>12752</v>
      </c>
      <c r="C3218" s="288" t="s">
        <v>7079</v>
      </c>
      <c r="D3218" s="303">
        <v>24.34</v>
      </c>
    </row>
    <row r="3219" spans="1:4">
      <c r="A3219" s="288" t="s">
        <v>12753</v>
      </c>
      <c r="B3219" s="289" t="s">
        <v>12754</v>
      </c>
      <c r="C3219" s="288" t="s">
        <v>7079</v>
      </c>
      <c r="D3219" s="303">
        <v>11.46</v>
      </c>
    </row>
    <row r="3220" spans="1:4" ht="18">
      <c r="A3220" s="288" t="s">
        <v>12755</v>
      </c>
      <c r="B3220" s="289" t="s">
        <v>12756</v>
      </c>
      <c r="C3220" s="288" t="s">
        <v>7079</v>
      </c>
      <c r="D3220" s="303">
        <v>24.46</v>
      </c>
    </row>
    <row r="3221" spans="1:4" ht="18">
      <c r="A3221" s="288" t="s">
        <v>12757</v>
      </c>
      <c r="B3221" s="289" t="s">
        <v>12758</v>
      </c>
      <c r="C3221" s="288" t="s">
        <v>7079</v>
      </c>
      <c r="D3221" s="303">
        <v>2.02</v>
      </c>
    </row>
    <row r="3222" spans="1:4" ht="18">
      <c r="A3222" s="288" t="s">
        <v>12759</v>
      </c>
      <c r="B3222" s="289" t="s">
        <v>12760</v>
      </c>
      <c r="C3222" s="288" t="s">
        <v>7079</v>
      </c>
      <c r="D3222" s="303">
        <v>11.2</v>
      </c>
    </row>
    <row r="3223" spans="1:4" ht="18">
      <c r="A3223" s="288" t="s">
        <v>12761</v>
      </c>
      <c r="B3223" s="289" t="s">
        <v>12762</v>
      </c>
      <c r="C3223" s="288" t="s">
        <v>7079</v>
      </c>
      <c r="D3223" s="303">
        <v>37.409999999999997</v>
      </c>
    </row>
    <row r="3224" spans="1:4" ht="18">
      <c r="A3224" s="288" t="s">
        <v>12763</v>
      </c>
      <c r="B3224" s="289" t="s">
        <v>12764</v>
      </c>
      <c r="C3224" s="288" t="s">
        <v>7079</v>
      </c>
      <c r="D3224" s="303">
        <v>1.83</v>
      </c>
    </row>
    <row r="3225" spans="1:4" ht="18">
      <c r="A3225" s="288" t="s">
        <v>12765</v>
      </c>
      <c r="B3225" s="289" t="s">
        <v>12766</v>
      </c>
      <c r="C3225" s="288" t="s">
        <v>7079</v>
      </c>
      <c r="D3225" s="303">
        <v>128.55000000000001</v>
      </c>
    </row>
    <row r="3226" spans="1:4" ht="18">
      <c r="A3226" s="288" t="s">
        <v>12767</v>
      </c>
      <c r="B3226" s="289" t="s">
        <v>12768</v>
      </c>
      <c r="C3226" s="288" t="s">
        <v>7079</v>
      </c>
      <c r="D3226" s="303">
        <v>21.92</v>
      </c>
    </row>
    <row r="3227" spans="1:4" ht="18">
      <c r="A3227" s="288" t="s">
        <v>12769</v>
      </c>
      <c r="B3227" s="289" t="s">
        <v>12770</v>
      </c>
      <c r="C3227" s="288" t="s">
        <v>7079</v>
      </c>
      <c r="D3227" s="303">
        <v>58.26</v>
      </c>
    </row>
    <row r="3228" spans="1:4" ht="18">
      <c r="A3228" s="288" t="s">
        <v>12771</v>
      </c>
      <c r="B3228" s="289" t="s">
        <v>12772</v>
      </c>
      <c r="C3228" s="288" t="s">
        <v>7079</v>
      </c>
      <c r="D3228" s="303">
        <v>50.78</v>
      </c>
    </row>
    <row r="3229" spans="1:4" ht="18">
      <c r="A3229" s="287" t="s">
        <v>12773</v>
      </c>
      <c r="B3229" s="287"/>
      <c r="C3229" s="287"/>
      <c r="D3229" s="296" t="s">
        <v>28729</v>
      </c>
    </row>
    <row r="3230" spans="1:4" ht="18">
      <c r="A3230" s="288" t="s">
        <v>12774</v>
      </c>
      <c r="B3230" s="289" t="s">
        <v>12775</v>
      </c>
      <c r="C3230" s="288" t="s">
        <v>54</v>
      </c>
      <c r="D3230" s="303">
        <v>107.25</v>
      </c>
    </row>
    <row r="3231" spans="1:4" ht="18">
      <c r="A3231" s="288" t="s">
        <v>12776</v>
      </c>
      <c r="B3231" s="289" t="s">
        <v>12777</v>
      </c>
      <c r="C3231" s="288" t="s">
        <v>54</v>
      </c>
      <c r="D3231" s="303">
        <v>114.34</v>
      </c>
    </row>
    <row r="3232" spans="1:4">
      <c r="A3232" s="288" t="s">
        <v>12778</v>
      </c>
      <c r="B3232" s="289" t="s">
        <v>12779</v>
      </c>
      <c r="C3232" s="288" t="s">
        <v>54</v>
      </c>
      <c r="D3232" s="303">
        <v>151.63</v>
      </c>
    </row>
    <row r="3233" spans="1:4" ht="18">
      <c r="A3233" s="287" t="s">
        <v>12780</v>
      </c>
      <c r="B3233" s="287"/>
      <c r="C3233" s="287"/>
      <c r="D3233" s="296" t="s">
        <v>28729</v>
      </c>
    </row>
    <row r="3234" spans="1:4">
      <c r="A3234" s="288" t="s">
        <v>12781</v>
      </c>
      <c r="B3234" s="289" t="s">
        <v>12782</v>
      </c>
      <c r="C3234" s="288" t="s">
        <v>54</v>
      </c>
      <c r="D3234" s="303">
        <v>43.55</v>
      </c>
    </row>
    <row r="3235" spans="1:4">
      <c r="A3235" s="288" t="s">
        <v>12783</v>
      </c>
      <c r="B3235" s="289" t="s">
        <v>12784</v>
      </c>
      <c r="C3235" s="288" t="s">
        <v>54</v>
      </c>
      <c r="D3235" s="303">
        <v>83.27</v>
      </c>
    </row>
    <row r="3236" spans="1:4">
      <c r="A3236" s="288" t="s">
        <v>12785</v>
      </c>
      <c r="B3236" s="289" t="s">
        <v>12786</v>
      </c>
      <c r="C3236" s="288" t="s">
        <v>54</v>
      </c>
      <c r="D3236" s="303">
        <v>98.31</v>
      </c>
    </row>
    <row r="3237" spans="1:4">
      <c r="A3237" s="288" t="s">
        <v>12787</v>
      </c>
      <c r="B3237" s="289" t="s">
        <v>12788</v>
      </c>
      <c r="C3237" s="288" t="s">
        <v>54</v>
      </c>
      <c r="D3237" s="303">
        <v>191.11</v>
      </c>
    </row>
    <row r="3238" spans="1:4" ht="18">
      <c r="A3238" s="288" t="s">
        <v>12789</v>
      </c>
      <c r="B3238" s="289" t="s">
        <v>12790</v>
      </c>
      <c r="C3238" s="288" t="s">
        <v>54</v>
      </c>
      <c r="D3238" s="303">
        <v>68.510000000000005</v>
      </c>
    </row>
    <row r="3239" spans="1:4" ht="18">
      <c r="A3239" s="287" t="s">
        <v>12791</v>
      </c>
      <c r="B3239" s="287"/>
      <c r="C3239" s="287"/>
      <c r="D3239" s="296" t="s">
        <v>28729</v>
      </c>
    </row>
    <row r="3240" spans="1:4" ht="18">
      <c r="A3240" s="288" t="s">
        <v>12792</v>
      </c>
      <c r="B3240" s="289" t="s">
        <v>12793</v>
      </c>
      <c r="C3240" s="288" t="s">
        <v>7079</v>
      </c>
      <c r="D3240" s="303">
        <v>12.37</v>
      </c>
    </row>
    <row r="3241" spans="1:4" ht="18">
      <c r="A3241" s="288" t="s">
        <v>12794</v>
      </c>
      <c r="B3241" s="289" t="s">
        <v>12795</v>
      </c>
      <c r="C3241" s="288" t="s">
        <v>7079</v>
      </c>
      <c r="D3241" s="303">
        <v>10.6</v>
      </c>
    </row>
    <row r="3242" spans="1:4" ht="18">
      <c r="A3242" s="288" t="s">
        <v>12796</v>
      </c>
      <c r="B3242" s="289" t="s">
        <v>12797</v>
      </c>
      <c r="C3242" s="288" t="s">
        <v>7079</v>
      </c>
      <c r="D3242" s="303">
        <v>12.37</v>
      </c>
    </row>
    <row r="3243" spans="1:4" ht="18">
      <c r="A3243" s="288" t="s">
        <v>12798</v>
      </c>
      <c r="B3243" s="289" t="s">
        <v>12799</v>
      </c>
      <c r="C3243" s="288" t="s">
        <v>7079</v>
      </c>
      <c r="D3243" s="303">
        <v>15.19</v>
      </c>
    </row>
    <row r="3244" spans="1:4" ht="18">
      <c r="A3244" s="288" t="s">
        <v>12800</v>
      </c>
      <c r="B3244" s="289" t="s">
        <v>12801</v>
      </c>
      <c r="C3244" s="288" t="s">
        <v>7079</v>
      </c>
      <c r="D3244" s="303">
        <v>16.95</v>
      </c>
    </row>
    <row r="3245" spans="1:4" ht="18">
      <c r="A3245" s="288" t="s">
        <v>12802</v>
      </c>
      <c r="B3245" s="289" t="s">
        <v>12803</v>
      </c>
      <c r="C3245" s="288" t="s">
        <v>7079</v>
      </c>
      <c r="D3245" s="303">
        <v>22.97</v>
      </c>
    </row>
    <row r="3246" spans="1:4" ht="18">
      <c r="A3246" s="288" t="s">
        <v>12804</v>
      </c>
      <c r="B3246" s="289" t="s">
        <v>12805</v>
      </c>
      <c r="C3246" s="288" t="s">
        <v>7079</v>
      </c>
      <c r="D3246" s="303">
        <v>37.9</v>
      </c>
    </row>
    <row r="3247" spans="1:4" ht="18">
      <c r="A3247" s="288" t="s">
        <v>12806</v>
      </c>
      <c r="B3247" s="289" t="s">
        <v>12807</v>
      </c>
      <c r="C3247" s="288" t="s">
        <v>7079</v>
      </c>
      <c r="D3247" s="303">
        <v>63.77</v>
      </c>
    </row>
    <row r="3248" spans="1:4" ht="18">
      <c r="A3248" s="288" t="s">
        <v>12808</v>
      </c>
      <c r="B3248" s="289" t="s">
        <v>12809</v>
      </c>
      <c r="C3248" s="288" t="s">
        <v>7079</v>
      </c>
      <c r="D3248" s="303">
        <v>71.569999999999993</v>
      </c>
    </row>
    <row r="3249" spans="1:4" ht="18">
      <c r="A3249" s="288" t="s">
        <v>12810</v>
      </c>
      <c r="B3249" s="289" t="s">
        <v>12811</v>
      </c>
      <c r="C3249" s="288" t="s">
        <v>7079</v>
      </c>
      <c r="D3249" s="303">
        <v>89.98</v>
      </c>
    </row>
    <row r="3250" spans="1:4" ht="18">
      <c r="A3250" s="287" t="s">
        <v>12812</v>
      </c>
      <c r="B3250" s="287"/>
      <c r="C3250" s="287"/>
      <c r="D3250" s="296" t="s">
        <v>28729</v>
      </c>
    </row>
    <row r="3251" spans="1:4" ht="18">
      <c r="A3251" s="288" t="s">
        <v>12813</v>
      </c>
      <c r="B3251" s="289" t="s">
        <v>12814</v>
      </c>
      <c r="C3251" s="288" t="s">
        <v>7079</v>
      </c>
      <c r="D3251" s="303">
        <v>7.23</v>
      </c>
    </row>
    <row r="3252" spans="1:4">
      <c r="A3252" s="288" t="s">
        <v>12815</v>
      </c>
      <c r="B3252" s="289" t="s">
        <v>12816</v>
      </c>
      <c r="C3252" s="288" t="s">
        <v>7079</v>
      </c>
      <c r="D3252" s="303">
        <v>3.86</v>
      </c>
    </row>
    <row r="3253" spans="1:4" ht="27">
      <c r="A3253" s="288" t="s">
        <v>12817</v>
      </c>
      <c r="B3253" s="289" t="s">
        <v>12818</v>
      </c>
      <c r="C3253" s="288" t="s">
        <v>7079</v>
      </c>
      <c r="D3253" s="303">
        <v>7.94</v>
      </c>
    </row>
    <row r="3254" spans="1:4" ht="18">
      <c r="A3254" s="288" t="s">
        <v>12819</v>
      </c>
      <c r="B3254" s="289" t="s">
        <v>12820</v>
      </c>
      <c r="C3254" s="288" t="s">
        <v>7079</v>
      </c>
      <c r="D3254" s="303">
        <v>14.59</v>
      </c>
    </row>
    <row r="3255" spans="1:4" ht="18">
      <c r="A3255" s="288" t="s">
        <v>12821</v>
      </c>
      <c r="B3255" s="289" t="s">
        <v>12822</v>
      </c>
      <c r="C3255" s="288" t="s">
        <v>7079</v>
      </c>
      <c r="D3255" s="303">
        <v>30.76</v>
      </c>
    </row>
    <row r="3256" spans="1:4" ht="18">
      <c r="A3256" s="288" t="s">
        <v>12823</v>
      </c>
      <c r="B3256" s="289" t="s">
        <v>12824</v>
      </c>
      <c r="C3256" s="288" t="s">
        <v>7079</v>
      </c>
      <c r="D3256" s="303">
        <v>37.28</v>
      </c>
    </row>
    <row r="3257" spans="1:4" ht="18">
      <c r="A3257" s="288" t="s">
        <v>12825</v>
      </c>
      <c r="B3257" s="289" t="s">
        <v>12826</v>
      </c>
      <c r="C3257" s="288" t="s">
        <v>7079</v>
      </c>
      <c r="D3257" s="303">
        <v>48.98</v>
      </c>
    </row>
    <row r="3258" spans="1:4">
      <c r="A3258" s="290"/>
      <c r="B3258" s="290"/>
      <c r="C3258" s="290"/>
      <c r="D3258" s="298"/>
    </row>
    <row r="3259" spans="1:4">
      <c r="A3259" s="287" t="s">
        <v>12827</v>
      </c>
      <c r="B3259" s="287"/>
      <c r="C3259" s="287"/>
      <c r="D3259" s="296" t="s">
        <v>28729</v>
      </c>
    </row>
    <row r="3260" spans="1:4" ht="36">
      <c r="A3260" s="288" t="s">
        <v>12828</v>
      </c>
      <c r="B3260" s="289" t="s">
        <v>12829</v>
      </c>
      <c r="C3260" s="288" t="s">
        <v>7079</v>
      </c>
      <c r="D3260" s="303">
        <v>751.64</v>
      </c>
    </row>
    <row r="3261" spans="1:4" ht="36">
      <c r="A3261" s="288" t="s">
        <v>12830</v>
      </c>
      <c r="B3261" s="289" t="s">
        <v>12831</v>
      </c>
      <c r="C3261" s="288" t="s">
        <v>7079</v>
      </c>
      <c r="D3261" s="303">
        <v>789.89</v>
      </c>
    </row>
    <row r="3262" spans="1:4">
      <c r="A3262" s="287" t="s">
        <v>12832</v>
      </c>
      <c r="B3262" s="287"/>
      <c r="C3262" s="287"/>
      <c r="D3262" s="296" t="s">
        <v>28729</v>
      </c>
    </row>
    <row r="3263" spans="1:4">
      <c r="A3263" s="288" t="s">
        <v>12833</v>
      </c>
      <c r="B3263" s="289" t="s">
        <v>12834</v>
      </c>
      <c r="C3263" s="288" t="s">
        <v>7079</v>
      </c>
      <c r="D3263" s="303">
        <v>59.81</v>
      </c>
    </row>
    <row r="3264" spans="1:4">
      <c r="A3264" s="288" t="s">
        <v>12835</v>
      </c>
      <c r="B3264" s="289" t="s">
        <v>12836</v>
      </c>
      <c r="C3264" s="288" t="s">
        <v>7079</v>
      </c>
      <c r="D3264" s="303">
        <v>222.96</v>
      </c>
    </row>
    <row r="3265" spans="1:4" ht="18">
      <c r="A3265" s="288" t="s">
        <v>12837</v>
      </c>
      <c r="B3265" s="289" t="s">
        <v>12838</v>
      </c>
      <c r="C3265" s="288" t="s">
        <v>7079</v>
      </c>
      <c r="D3265" s="303">
        <v>144.03</v>
      </c>
    </row>
    <row r="3266" spans="1:4" ht="18">
      <c r="A3266" s="288" t="s">
        <v>12839</v>
      </c>
      <c r="B3266" s="289" t="s">
        <v>12840</v>
      </c>
      <c r="C3266" s="288" t="s">
        <v>7079</v>
      </c>
      <c r="D3266" s="303">
        <v>31.47</v>
      </c>
    </row>
    <row r="3267" spans="1:4">
      <c r="A3267" s="287" t="s">
        <v>12841</v>
      </c>
      <c r="B3267" s="287"/>
      <c r="C3267" s="287"/>
      <c r="D3267" s="296" t="s">
        <v>28729</v>
      </c>
    </row>
    <row r="3268" spans="1:4" ht="18">
      <c r="A3268" s="288" t="s">
        <v>12842</v>
      </c>
      <c r="B3268" s="289" t="s">
        <v>12843</v>
      </c>
      <c r="C3268" s="288" t="s">
        <v>7079</v>
      </c>
      <c r="D3268" s="303">
        <v>713.01</v>
      </c>
    </row>
    <row r="3269" spans="1:4" ht="27">
      <c r="A3269" s="288" t="s">
        <v>12844</v>
      </c>
      <c r="B3269" s="289" t="s">
        <v>12845</v>
      </c>
      <c r="C3269" s="288" t="s">
        <v>7079</v>
      </c>
      <c r="D3269" s="303">
        <v>3246.03</v>
      </c>
    </row>
    <row r="3270" spans="1:4" ht="36">
      <c r="A3270" s="288" t="s">
        <v>12846</v>
      </c>
      <c r="B3270" s="289" t="s">
        <v>12847</v>
      </c>
      <c r="C3270" s="288" t="s">
        <v>7079</v>
      </c>
      <c r="D3270" s="303">
        <v>2566.46</v>
      </c>
    </row>
    <row r="3271" spans="1:4" ht="27">
      <c r="A3271" s="288" t="s">
        <v>12848</v>
      </c>
      <c r="B3271" s="289" t="s">
        <v>12849</v>
      </c>
      <c r="C3271" s="288" t="s">
        <v>38</v>
      </c>
      <c r="D3271" s="303">
        <v>540.21</v>
      </c>
    </row>
    <row r="3272" spans="1:4">
      <c r="A3272" s="287" t="s">
        <v>12850</v>
      </c>
      <c r="B3272" s="287"/>
      <c r="C3272" s="287"/>
      <c r="D3272" s="296" t="s">
        <v>28729</v>
      </c>
    </row>
    <row r="3273" spans="1:4" ht="27">
      <c r="A3273" s="288" t="s">
        <v>12851</v>
      </c>
      <c r="B3273" s="289" t="s">
        <v>12852</v>
      </c>
      <c r="C3273" s="288" t="s">
        <v>7079</v>
      </c>
      <c r="D3273" s="303">
        <v>6994.21</v>
      </c>
    </row>
    <row r="3274" spans="1:4" ht="27">
      <c r="A3274" s="287" t="s">
        <v>12853</v>
      </c>
      <c r="B3274" s="287"/>
      <c r="C3274" s="287"/>
      <c r="D3274" s="296" t="s">
        <v>28729</v>
      </c>
    </row>
    <row r="3275" spans="1:4">
      <c r="A3275" s="288" t="s">
        <v>12854</v>
      </c>
      <c r="B3275" s="289" t="s">
        <v>12855</v>
      </c>
      <c r="C3275" s="288" t="s">
        <v>7079</v>
      </c>
      <c r="D3275" s="303">
        <v>142.57</v>
      </c>
    </row>
    <row r="3276" spans="1:4">
      <c r="A3276" s="288" t="s">
        <v>12856</v>
      </c>
      <c r="B3276" s="289" t="s">
        <v>12857</v>
      </c>
      <c r="C3276" s="288" t="s">
        <v>7079</v>
      </c>
      <c r="D3276" s="303">
        <v>114.93</v>
      </c>
    </row>
    <row r="3277" spans="1:4">
      <c r="A3277" s="288" t="s">
        <v>12858</v>
      </c>
      <c r="B3277" s="289" t="s">
        <v>12859</v>
      </c>
      <c r="C3277" s="288" t="s">
        <v>7079</v>
      </c>
      <c r="D3277" s="303">
        <v>398.09</v>
      </c>
    </row>
    <row r="3278" spans="1:4" ht="36">
      <c r="A3278" s="288" t="s">
        <v>12860</v>
      </c>
      <c r="B3278" s="289" t="s">
        <v>12861</v>
      </c>
      <c r="C3278" s="288" t="s">
        <v>7079</v>
      </c>
      <c r="D3278" s="303">
        <v>858.84</v>
      </c>
    </row>
    <row r="3279" spans="1:4" ht="36">
      <c r="A3279" s="288" t="s">
        <v>12862</v>
      </c>
      <c r="B3279" s="289" t="s">
        <v>12863</v>
      </c>
      <c r="C3279" s="288" t="s">
        <v>7079</v>
      </c>
      <c r="D3279" s="303">
        <v>914.09</v>
      </c>
    </row>
    <row r="3280" spans="1:4" ht="45">
      <c r="A3280" s="288" t="s">
        <v>12864</v>
      </c>
      <c r="B3280" s="289" t="s">
        <v>12865</v>
      </c>
      <c r="C3280" s="288" t="s">
        <v>7079</v>
      </c>
      <c r="D3280" s="303">
        <v>683.2</v>
      </c>
    </row>
    <row r="3281" spans="1:4" ht="36">
      <c r="A3281" s="288" t="s">
        <v>12866</v>
      </c>
      <c r="B3281" s="289" t="s">
        <v>12867</v>
      </c>
      <c r="C3281" s="288" t="s">
        <v>7079</v>
      </c>
      <c r="D3281" s="303">
        <v>914.09</v>
      </c>
    </row>
    <row r="3282" spans="1:4" ht="36">
      <c r="A3282" s="288" t="s">
        <v>12868</v>
      </c>
      <c r="B3282" s="289" t="s">
        <v>12869</v>
      </c>
      <c r="C3282" s="288" t="s">
        <v>7079</v>
      </c>
      <c r="D3282" s="303">
        <v>1005.47</v>
      </c>
    </row>
    <row r="3283" spans="1:4" ht="36">
      <c r="A3283" s="288" t="s">
        <v>12870</v>
      </c>
      <c r="B3283" s="289" t="s">
        <v>12871</v>
      </c>
      <c r="C3283" s="288" t="s">
        <v>7079</v>
      </c>
      <c r="D3283" s="303">
        <v>909.89</v>
      </c>
    </row>
    <row r="3284" spans="1:4">
      <c r="A3284" s="287" t="s">
        <v>12872</v>
      </c>
      <c r="B3284" s="287"/>
      <c r="C3284" s="287"/>
      <c r="D3284" s="296" t="s">
        <v>28729</v>
      </c>
    </row>
    <row r="3285" spans="1:4" ht="18">
      <c r="A3285" s="288" t="s">
        <v>12873</v>
      </c>
      <c r="B3285" s="289" t="s">
        <v>12874</v>
      </c>
      <c r="C3285" s="288" t="s">
        <v>7079</v>
      </c>
      <c r="D3285" s="303">
        <v>52.12</v>
      </c>
    </row>
    <row r="3286" spans="1:4" ht="18">
      <c r="A3286" s="288" t="s">
        <v>12875</v>
      </c>
      <c r="B3286" s="289" t="s">
        <v>12876</v>
      </c>
      <c r="C3286" s="288" t="s">
        <v>7079</v>
      </c>
      <c r="D3286" s="303">
        <v>44.15</v>
      </c>
    </row>
    <row r="3287" spans="1:4" ht="18">
      <c r="A3287" s="288" t="s">
        <v>12877</v>
      </c>
      <c r="B3287" s="289" t="s">
        <v>12878</v>
      </c>
      <c r="C3287" s="288" t="s">
        <v>7079</v>
      </c>
      <c r="D3287" s="303">
        <v>77.56</v>
      </c>
    </row>
    <row r="3288" spans="1:4" ht="18">
      <c r="A3288" s="288" t="s">
        <v>12879</v>
      </c>
      <c r="B3288" s="289" t="s">
        <v>12880</v>
      </c>
      <c r="C3288" s="288" t="s">
        <v>7079</v>
      </c>
      <c r="D3288" s="303">
        <v>73.260000000000005</v>
      </c>
    </row>
    <row r="3289" spans="1:4" ht="18">
      <c r="A3289" s="288" t="s">
        <v>12881</v>
      </c>
      <c r="B3289" s="289" t="s">
        <v>12882</v>
      </c>
      <c r="C3289" s="288" t="s">
        <v>7079</v>
      </c>
      <c r="D3289" s="303">
        <v>116.22</v>
      </c>
    </row>
    <row r="3290" spans="1:4" ht="18">
      <c r="A3290" s="288" t="s">
        <v>12883</v>
      </c>
      <c r="B3290" s="289" t="s">
        <v>12884</v>
      </c>
      <c r="C3290" s="288" t="s">
        <v>7079</v>
      </c>
      <c r="D3290" s="303">
        <v>130.93</v>
      </c>
    </row>
    <row r="3291" spans="1:4" ht="18">
      <c r="A3291" s="288" t="s">
        <v>12885</v>
      </c>
      <c r="B3291" s="289" t="s">
        <v>12886</v>
      </c>
      <c r="C3291" s="288" t="s">
        <v>7079</v>
      </c>
      <c r="D3291" s="303">
        <v>265.17</v>
      </c>
    </row>
    <row r="3292" spans="1:4" ht="18">
      <c r="A3292" s="288" t="s">
        <v>12887</v>
      </c>
      <c r="B3292" s="289" t="s">
        <v>12888</v>
      </c>
      <c r="C3292" s="288" t="s">
        <v>7079</v>
      </c>
      <c r="D3292" s="303">
        <v>385.57</v>
      </c>
    </row>
    <row r="3293" spans="1:4" ht="18">
      <c r="A3293" s="288" t="s">
        <v>12889</v>
      </c>
      <c r="B3293" s="289" t="s">
        <v>12890</v>
      </c>
      <c r="C3293" s="288" t="s">
        <v>7079</v>
      </c>
      <c r="D3293" s="303">
        <v>1048.76</v>
      </c>
    </row>
    <row r="3294" spans="1:4" ht="18">
      <c r="A3294" s="288" t="s">
        <v>12891</v>
      </c>
      <c r="B3294" s="289" t="s">
        <v>12892</v>
      </c>
      <c r="C3294" s="288" t="s">
        <v>7079</v>
      </c>
      <c r="D3294" s="303">
        <v>77.78</v>
      </c>
    </row>
    <row r="3295" spans="1:4" ht="18">
      <c r="A3295" s="288" t="s">
        <v>12893</v>
      </c>
      <c r="B3295" s="289" t="s">
        <v>12894</v>
      </c>
      <c r="C3295" s="288" t="s">
        <v>7079</v>
      </c>
      <c r="D3295" s="303">
        <v>127.9</v>
      </c>
    </row>
    <row r="3296" spans="1:4" ht="18">
      <c r="A3296" s="288" t="s">
        <v>12895</v>
      </c>
      <c r="B3296" s="289" t="s">
        <v>12896</v>
      </c>
      <c r="C3296" s="288" t="s">
        <v>7079</v>
      </c>
      <c r="D3296" s="303">
        <v>38.39</v>
      </c>
    </row>
    <row r="3297" spans="1:4" ht="18">
      <c r="A3297" s="288" t="s">
        <v>12897</v>
      </c>
      <c r="B3297" s="289" t="s">
        <v>12898</v>
      </c>
      <c r="C3297" s="288" t="s">
        <v>7079</v>
      </c>
      <c r="D3297" s="303">
        <v>75.66</v>
      </c>
    </row>
    <row r="3298" spans="1:4" ht="18">
      <c r="A3298" s="288" t="s">
        <v>12899</v>
      </c>
      <c r="B3298" s="289" t="s">
        <v>12900</v>
      </c>
      <c r="C3298" s="288" t="s">
        <v>7079</v>
      </c>
      <c r="D3298" s="303">
        <v>152.47999999999999</v>
      </c>
    </row>
    <row r="3299" spans="1:4" ht="18">
      <c r="A3299" s="288" t="s">
        <v>12901</v>
      </c>
      <c r="B3299" s="289" t="s">
        <v>12902</v>
      </c>
      <c r="C3299" s="288" t="s">
        <v>7079</v>
      </c>
      <c r="D3299" s="303">
        <v>1638.43</v>
      </c>
    </row>
    <row r="3300" spans="1:4" ht="18">
      <c r="A3300" s="287" t="s">
        <v>12903</v>
      </c>
      <c r="B3300" s="287"/>
      <c r="C3300" s="287"/>
      <c r="D3300" s="296" t="s">
        <v>28729</v>
      </c>
    </row>
    <row r="3301" spans="1:4" ht="18">
      <c r="A3301" s="288" t="s">
        <v>12904</v>
      </c>
      <c r="B3301" s="289" t="s">
        <v>12905</v>
      </c>
      <c r="C3301" s="288" t="s">
        <v>7079</v>
      </c>
      <c r="D3301" s="303">
        <v>82.52</v>
      </c>
    </row>
    <row r="3302" spans="1:4" ht="18">
      <c r="A3302" s="288" t="s">
        <v>12906</v>
      </c>
      <c r="B3302" s="289" t="s">
        <v>12907</v>
      </c>
      <c r="C3302" s="288" t="s">
        <v>7079</v>
      </c>
      <c r="D3302" s="303">
        <v>92.36</v>
      </c>
    </row>
    <row r="3303" spans="1:4" ht="18">
      <c r="A3303" s="288" t="s">
        <v>12908</v>
      </c>
      <c r="B3303" s="289" t="s">
        <v>12909</v>
      </c>
      <c r="C3303" s="288" t="s">
        <v>7079</v>
      </c>
      <c r="D3303" s="303">
        <v>73.709999999999994</v>
      </c>
    </row>
    <row r="3304" spans="1:4" ht="18">
      <c r="A3304" s="288" t="s">
        <v>12910</v>
      </c>
      <c r="B3304" s="289" t="s">
        <v>12911</v>
      </c>
      <c r="C3304" s="288" t="s">
        <v>7079</v>
      </c>
      <c r="D3304" s="303">
        <v>151.57</v>
      </c>
    </row>
    <row r="3305" spans="1:4" ht="18">
      <c r="A3305" s="288" t="s">
        <v>12912</v>
      </c>
      <c r="B3305" s="289" t="s">
        <v>12913</v>
      </c>
      <c r="C3305" s="288" t="s">
        <v>7079</v>
      </c>
      <c r="D3305" s="303">
        <v>113.18</v>
      </c>
    </row>
    <row r="3306" spans="1:4" ht="18">
      <c r="A3306" s="288" t="s">
        <v>12914</v>
      </c>
      <c r="B3306" s="289" t="s">
        <v>12915</v>
      </c>
      <c r="C3306" s="288" t="s">
        <v>7079</v>
      </c>
      <c r="D3306" s="303">
        <v>145.68</v>
      </c>
    </row>
    <row r="3307" spans="1:4" ht="18">
      <c r="A3307" s="288" t="s">
        <v>12916</v>
      </c>
      <c r="B3307" s="289" t="s">
        <v>12917</v>
      </c>
      <c r="C3307" s="288" t="s">
        <v>7079</v>
      </c>
      <c r="D3307" s="303">
        <v>502.57</v>
      </c>
    </row>
    <row r="3308" spans="1:4" ht="18">
      <c r="A3308" s="288" t="s">
        <v>12918</v>
      </c>
      <c r="B3308" s="289" t="s">
        <v>12919</v>
      </c>
      <c r="C3308" s="288" t="s">
        <v>7079</v>
      </c>
      <c r="D3308" s="303">
        <v>892.27</v>
      </c>
    </row>
    <row r="3309" spans="1:4" ht="18">
      <c r="A3309" s="288" t="s">
        <v>12920</v>
      </c>
      <c r="B3309" s="289" t="s">
        <v>12921</v>
      </c>
      <c r="C3309" s="288" t="s">
        <v>7079</v>
      </c>
      <c r="D3309" s="303">
        <v>93.21</v>
      </c>
    </row>
    <row r="3310" spans="1:4" ht="18">
      <c r="A3310" s="288" t="s">
        <v>12922</v>
      </c>
      <c r="B3310" s="289" t="s">
        <v>12923</v>
      </c>
      <c r="C3310" s="288" t="s">
        <v>7079</v>
      </c>
      <c r="D3310" s="303">
        <v>142.9</v>
      </c>
    </row>
    <row r="3311" spans="1:4" ht="18">
      <c r="A3311" s="288" t="s">
        <v>12924</v>
      </c>
      <c r="B3311" s="289" t="s">
        <v>12925</v>
      </c>
      <c r="C3311" s="288" t="s">
        <v>7079</v>
      </c>
      <c r="D3311" s="303">
        <v>243.36</v>
      </c>
    </row>
    <row r="3312" spans="1:4" ht="18">
      <c r="A3312" s="288" t="s">
        <v>12926</v>
      </c>
      <c r="B3312" s="289" t="s">
        <v>12927</v>
      </c>
      <c r="C3312" s="288" t="s">
        <v>7079</v>
      </c>
      <c r="D3312" s="303">
        <v>349.42</v>
      </c>
    </row>
    <row r="3313" spans="1:4" ht="18">
      <c r="A3313" s="288" t="s">
        <v>12928</v>
      </c>
      <c r="B3313" s="289" t="s">
        <v>12929</v>
      </c>
      <c r="C3313" s="288" t="s">
        <v>7079</v>
      </c>
      <c r="D3313" s="303">
        <v>3224.88</v>
      </c>
    </row>
    <row r="3314" spans="1:4" ht="18">
      <c r="A3314" s="288" t="s">
        <v>12930</v>
      </c>
      <c r="B3314" s="289" t="s">
        <v>12931</v>
      </c>
      <c r="C3314" s="288" t="s">
        <v>7079</v>
      </c>
      <c r="D3314" s="303">
        <v>61.97</v>
      </c>
    </row>
    <row r="3315" spans="1:4" ht="18">
      <c r="A3315" s="288" t="s">
        <v>12932</v>
      </c>
      <c r="B3315" s="289" t="s">
        <v>12933</v>
      </c>
      <c r="C3315" s="288" t="s">
        <v>7079</v>
      </c>
      <c r="D3315" s="303">
        <v>71.8</v>
      </c>
    </row>
    <row r="3316" spans="1:4" ht="18">
      <c r="A3316" s="288" t="s">
        <v>12934</v>
      </c>
      <c r="B3316" s="289" t="s">
        <v>12935</v>
      </c>
      <c r="C3316" s="288" t="s">
        <v>7079</v>
      </c>
      <c r="D3316" s="303">
        <v>86.78</v>
      </c>
    </row>
    <row r="3317" spans="1:4" ht="18">
      <c r="A3317" s="288" t="s">
        <v>12936</v>
      </c>
      <c r="B3317" s="289" t="s">
        <v>12937</v>
      </c>
      <c r="C3317" s="288" t="s">
        <v>7079</v>
      </c>
      <c r="D3317" s="303">
        <v>121.49</v>
      </c>
    </row>
    <row r="3318" spans="1:4" ht="18">
      <c r="A3318" s="288" t="s">
        <v>12938</v>
      </c>
      <c r="B3318" s="289" t="s">
        <v>12939</v>
      </c>
      <c r="C3318" s="288" t="s">
        <v>7079</v>
      </c>
      <c r="D3318" s="303">
        <v>173.14</v>
      </c>
    </row>
    <row r="3319" spans="1:4" ht="18">
      <c r="A3319" s="288" t="s">
        <v>12940</v>
      </c>
      <c r="B3319" s="289" t="s">
        <v>12941</v>
      </c>
      <c r="C3319" s="288" t="s">
        <v>7079</v>
      </c>
      <c r="D3319" s="303">
        <v>353.1</v>
      </c>
    </row>
    <row r="3320" spans="1:4" ht="18">
      <c r="A3320" s="288" t="s">
        <v>12942</v>
      </c>
      <c r="B3320" s="289" t="s">
        <v>12943</v>
      </c>
      <c r="C3320" s="288" t="s">
        <v>7079</v>
      </c>
      <c r="D3320" s="303">
        <v>321.85000000000002</v>
      </c>
    </row>
    <row r="3321" spans="1:4" ht="18">
      <c r="A3321" s="288" t="s">
        <v>12944</v>
      </c>
      <c r="B3321" s="289" t="s">
        <v>12945</v>
      </c>
      <c r="C3321" s="288" t="s">
        <v>7079</v>
      </c>
      <c r="D3321" s="303">
        <v>803.41</v>
      </c>
    </row>
    <row r="3322" spans="1:4" ht="18">
      <c r="A3322" s="287" t="s">
        <v>12946</v>
      </c>
      <c r="B3322" s="287"/>
      <c r="C3322" s="287"/>
      <c r="D3322" s="296" t="s">
        <v>28729</v>
      </c>
    </row>
    <row r="3323" spans="1:4" ht="18">
      <c r="A3323" s="288" t="s">
        <v>12947</v>
      </c>
      <c r="B3323" s="289" t="s">
        <v>12948</v>
      </c>
      <c r="C3323" s="288" t="s">
        <v>7079</v>
      </c>
      <c r="D3323" s="303">
        <v>263.07</v>
      </c>
    </row>
    <row r="3324" spans="1:4" ht="18">
      <c r="A3324" s="288" t="s">
        <v>12949</v>
      </c>
      <c r="B3324" s="289" t="s">
        <v>12950</v>
      </c>
      <c r="C3324" s="288" t="s">
        <v>7079</v>
      </c>
      <c r="D3324" s="303">
        <v>84.39</v>
      </c>
    </row>
    <row r="3325" spans="1:4" ht="18">
      <c r="A3325" s="288" t="s">
        <v>12951</v>
      </c>
      <c r="B3325" s="289" t="s">
        <v>12952</v>
      </c>
      <c r="C3325" s="288" t="s">
        <v>7079</v>
      </c>
      <c r="D3325" s="303">
        <v>80.12</v>
      </c>
    </row>
    <row r="3326" spans="1:4" ht="18">
      <c r="A3326" s="288" t="s">
        <v>12953</v>
      </c>
      <c r="B3326" s="289" t="s">
        <v>12954</v>
      </c>
      <c r="C3326" s="288" t="s">
        <v>7079</v>
      </c>
      <c r="D3326" s="303">
        <v>173.65</v>
      </c>
    </row>
    <row r="3327" spans="1:4" ht="18">
      <c r="A3327" s="288" t="s">
        <v>12955</v>
      </c>
      <c r="B3327" s="289" t="s">
        <v>12956</v>
      </c>
      <c r="C3327" s="288" t="s">
        <v>7079</v>
      </c>
      <c r="D3327" s="303">
        <v>303.24</v>
      </c>
    </row>
    <row r="3328" spans="1:4" ht="18">
      <c r="A3328" s="287" t="s">
        <v>12957</v>
      </c>
      <c r="B3328" s="287"/>
      <c r="C3328" s="287"/>
      <c r="D3328" s="296" t="s">
        <v>28729</v>
      </c>
    </row>
    <row r="3329" spans="1:4" ht="36">
      <c r="A3329" s="288" t="s">
        <v>12958</v>
      </c>
      <c r="B3329" s="289" t="s">
        <v>12959</v>
      </c>
      <c r="C3329" s="288" t="s">
        <v>7079</v>
      </c>
      <c r="D3329" s="303">
        <v>760.99</v>
      </c>
    </row>
    <row r="3330" spans="1:4" ht="36">
      <c r="A3330" s="288" t="s">
        <v>12960</v>
      </c>
      <c r="B3330" s="289" t="s">
        <v>12961</v>
      </c>
      <c r="C3330" s="288" t="s">
        <v>7079</v>
      </c>
      <c r="D3330" s="303">
        <v>940.41</v>
      </c>
    </row>
    <row r="3331" spans="1:4" ht="27">
      <c r="A3331" s="287" t="s">
        <v>12962</v>
      </c>
      <c r="B3331" s="287"/>
      <c r="C3331" s="287"/>
      <c r="D3331" s="296" t="s">
        <v>28729</v>
      </c>
    </row>
    <row r="3332" spans="1:4" ht="27">
      <c r="A3332" s="288" t="s">
        <v>12963</v>
      </c>
      <c r="B3332" s="289" t="s">
        <v>12964</v>
      </c>
      <c r="C3332" s="288" t="s">
        <v>7079</v>
      </c>
      <c r="D3332" s="303">
        <v>1614.54</v>
      </c>
    </row>
    <row r="3333" spans="1:4" ht="27">
      <c r="A3333" s="288" t="s">
        <v>12965</v>
      </c>
      <c r="B3333" s="289" t="s">
        <v>12966</v>
      </c>
      <c r="C3333" s="288" t="s">
        <v>7079</v>
      </c>
      <c r="D3333" s="303">
        <v>1777.68</v>
      </c>
    </row>
    <row r="3334" spans="1:4" ht="27">
      <c r="A3334" s="288" t="s">
        <v>12967</v>
      </c>
      <c r="B3334" s="289" t="s">
        <v>12968</v>
      </c>
      <c r="C3334" s="288" t="s">
        <v>7079</v>
      </c>
      <c r="D3334" s="303">
        <v>603.32000000000005</v>
      </c>
    </row>
    <row r="3335" spans="1:4">
      <c r="A3335" s="287" t="s">
        <v>12969</v>
      </c>
      <c r="B3335" s="287"/>
      <c r="C3335" s="287"/>
      <c r="D3335" s="296" t="s">
        <v>28729</v>
      </c>
    </row>
    <row r="3336" spans="1:4" ht="27">
      <c r="A3336" s="288" t="s">
        <v>12970</v>
      </c>
      <c r="B3336" s="289" t="s">
        <v>12971</v>
      </c>
      <c r="C3336" s="288" t="s">
        <v>7079</v>
      </c>
      <c r="D3336" s="303">
        <v>1326.42</v>
      </c>
    </row>
    <row r="3337" spans="1:4">
      <c r="A3337" s="290"/>
      <c r="B3337" s="290"/>
      <c r="C3337" s="290"/>
      <c r="D3337" s="298"/>
    </row>
    <row r="3338" spans="1:4" ht="27">
      <c r="A3338" s="287" t="s">
        <v>12972</v>
      </c>
      <c r="B3338" s="287"/>
      <c r="C3338" s="287"/>
      <c r="D3338" s="296" t="s">
        <v>28729</v>
      </c>
    </row>
    <row r="3339" spans="1:4" ht="18">
      <c r="A3339" s="288" t="s">
        <v>12973</v>
      </c>
      <c r="B3339" s="289" t="s">
        <v>12974</v>
      </c>
      <c r="C3339" s="288" t="s">
        <v>7079</v>
      </c>
      <c r="D3339" s="303">
        <v>58.48</v>
      </c>
    </row>
    <row r="3340" spans="1:4" ht="27">
      <c r="A3340" s="288" t="s">
        <v>12975</v>
      </c>
      <c r="B3340" s="289" t="s">
        <v>12976</v>
      </c>
      <c r="C3340" s="288" t="s">
        <v>54</v>
      </c>
      <c r="D3340" s="303">
        <v>21.28</v>
      </c>
    </row>
    <row r="3341" spans="1:4" ht="18">
      <c r="A3341" s="288" t="s">
        <v>12977</v>
      </c>
      <c r="B3341" s="289" t="s">
        <v>12978</v>
      </c>
      <c r="C3341" s="288" t="s">
        <v>54</v>
      </c>
      <c r="D3341" s="303">
        <v>34.159999999999997</v>
      </c>
    </row>
    <row r="3342" spans="1:4" ht="27">
      <c r="A3342" s="288" t="s">
        <v>12979</v>
      </c>
      <c r="B3342" s="289" t="s">
        <v>12980</v>
      </c>
      <c r="C3342" s="288" t="s">
        <v>54</v>
      </c>
      <c r="D3342" s="303">
        <v>54.58</v>
      </c>
    </row>
    <row r="3343" spans="1:4" ht="27">
      <c r="A3343" s="288" t="s">
        <v>12981</v>
      </c>
      <c r="B3343" s="289" t="s">
        <v>12982</v>
      </c>
      <c r="C3343" s="288" t="s">
        <v>54</v>
      </c>
      <c r="D3343" s="303">
        <v>36.85</v>
      </c>
    </row>
    <row r="3344" spans="1:4" ht="27">
      <c r="A3344" s="288" t="s">
        <v>12983</v>
      </c>
      <c r="B3344" s="289" t="s">
        <v>12984</v>
      </c>
      <c r="C3344" s="288" t="s">
        <v>54</v>
      </c>
      <c r="D3344" s="303">
        <v>57.83</v>
      </c>
    </row>
    <row r="3345" spans="1:4" ht="27">
      <c r="A3345" s="288" t="s">
        <v>12985</v>
      </c>
      <c r="B3345" s="289" t="s">
        <v>12986</v>
      </c>
      <c r="C3345" s="288" t="s">
        <v>54</v>
      </c>
      <c r="D3345" s="303">
        <v>155.26</v>
      </c>
    </row>
    <row r="3346" spans="1:4">
      <c r="A3346" s="288" t="s">
        <v>12987</v>
      </c>
      <c r="B3346" s="289" t="s">
        <v>12988</v>
      </c>
      <c r="C3346" s="288" t="s">
        <v>54</v>
      </c>
      <c r="D3346" s="303">
        <v>104.01</v>
      </c>
    </row>
    <row r="3347" spans="1:4">
      <c r="A3347" s="288" t="s">
        <v>12989</v>
      </c>
      <c r="B3347" s="289" t="s">
        <v>12990</v>
      </c>
      <c r="C3347" s="288" t="s">
        <v>54</v>
      </c>
      <c r="D3347" s="303">
        <v>14.38</v>
      </c>
    </row>
    <row r="3348" spans="1:4">
      <c r="A3348" s="288" t="s">
        <v>12991</v>
      </c>
      <c r="B3348" s="289" t="s">
        <v>12992</v>
      </c>
      <c r="C3348" s="288" t="s">
        <v>54</v>
      </c>
      <c r="D3348" s="303">
        <v>12.67</v>
      </c>
    </row>
    <row r="3349" spans="1:4" ht="27">
      <c r="A3349" s="288" t="s">
        <v>12993</v>
      </c>
      <c r="B3349" s="289" t="s">
        <v>12994</v>
      </c>
      <c r="C3349" s="288" t="s">
        <v>54</v>
      </c>
      <c r="D3349" s="303">
        <v>20.69</v>
      </c>
    </row>
    <row r="3350" spans="1:4" ht="27">
      <c r="A3350" s="287" t="s">
        <v>12995</v>
      </c>
      <c r="B3350" s="287"/>
      <c r="C3350" s="287"/>
      <c r="D3350" s="296" t="s">
        <v>28729</v>
      </c>
    </row>
    <row r="3351" spans="1:4" ht="18">
      <c r="A3351" s="288" t="s">
        <v>12996</v>
      </c>
      <c r="B3351" s="289" t="s">
        <v>12997</v>
      </c>
      <c r="C3351" s="288" t="s">
        <v>7079</v>
      </c>
      <c r="D3351" s="303">
        <v>4.18</v>
      </c>
    </row>
    <row r="3352" spans="1:4">
      <c r="A3352" s="288" t="s">
        <v>12998</v>
      </c>
      <c r="B3352" s="289" t="s">
        <v>12999</v>
      </c>
      <c r="C3352" s="288" t="s">
        <v>7079</v>
      </c>
      <c r="D3352" s="303">
        <v>62.64</v>
      </c>
    </row>
    <row r="3353" spans="1:4" ht="18">
      <c r="A3353" s="288" t="s">
        <v>13000</v>
      </c>
      <c r="B3353" s="289" t="s">
        <v>13001</v>
      </c>
      <c r="C3353" s="288" t="s">
        <v>7079</v>
      </c>
      <c r="D3353" s="303">
        <v>38.270000000000003</v>
      </c>
    </row>
    <row r="3354" spans="1:4" ht="18">
      <c r="A3354" s="288" t="s">
        <v>13002</v>
      </c>
      <c r="B3354" s="289" t="s">
        <v>13003</v>
      </c>
      <c r="C3354" s="288" t="s">
        <v>7079</v>
      </c>
      <c r="D3354" s="303">
        <v>26.81</v>
      </c>
    </row>
    <row r="3355" spans="1:4" ht="18">
      <c r="A3355" s="288" t="s">
        <v>13004</v>
      </c>
      <c r="B3355" s="289" t="s">
        <v>13005</v>
      </c>
      <c r="C3355" s="288" t="s">
        <v>7079</v>
      </c>
      <c r="D3355" s="303">
        <v>31.33</v>
      </c>
    </row>
    <row r="3356" spans="1:4" ht="18">
      <c r="A3356" s="288" t="s">
        <v>13006</v>
      </c>
      <c r="B3356" s="289" t="s">
        <v>13007</v>
      </c>
      <c r="C3356" s="288" t="s">
        <v>7079</v>
      </c>
      <c r="D3356" s="303">
        <v>79.97</v>
      </c>
    </row>
    <row r="3357" spans="1:4" ht="18">
      <c r="A3357" s="288" t="s">
        <v>13008</v>
      </c>
      <c r="B3357" s="289" t="s">
        <v>13009</v>
      </c>
      <c r="C3357" s="288" t="s">
        <v>7079</v>
      </c>
      <c r="D3357" s="303">
        <v>17.7</v>
      </c>
    </row>
    <row r="3358" spans="1:4" ht="18">
      <c r="A3358" s="288" t="s">
        <v>13010</v>
      </c>
      <c r="B3358" s="289" t="s">
        <v>13011</v>
      </c>
      <c r="C3358" s="288" t="s">
        <v>7079</v>
      </c>
      <c r="D3358" s="303">
        <v>28.21</v>
      </c>
    </row>
    <row r="3359" spans="1:4" ht="18">
      <c r="A3359" s="288" t="s">
        <v>13012</v>
      </c>
      <c r="B3359" s="289" t="s">
        <v>13013</v>
      </c>
      <c r="C3359" s="288" t="s">
        <v>7079</v>
      </c>
      <c r="D3359" s="303">
        <v>35.49</v>
      </c>
    </row>
    <row r="3360" spans="1:4" ht="18">
      <c r="A3360" s="288" t="s">
        <v>13014</v>
      </c>
      <c r="B3360" s="289" t="s">
        <v>13015</v>
      </c>
      <c r="C3360" s="288" t="s">
        <v>7079</v>
      </c>
      <c r="D3360" s="303">
        <v>38.69</v>
      </c>
    </row>
    <row r="3361" spans="1:4" ht="18">
      <c r="A3361" s="288" t="s">
        <v>13016</v>
      </c>
      <c r="B3361" s="289" t="s">
        <v>13017</v>
      </c>
      <c r="C3361" s="288" t="s">
        <v>7079</v>
      </c>
      <c r="D3361" s="303">
        <v>50.21</v>
      </c>
    </row>
    <row r="3362" spans="1:4" ht="18">
      <c r="A3362" s="288" t="s">
        <v>13018</v>
      </c>
      <c r="B3362" s="289" t="s">
        <v>13019</v>
      </c>
      <c r="C3362" s="288" t="s">
        <v>7079</v>
      </c>
      <c r="D3362" s="303">
        <v>164.64</v>
      </c>
    </row>
    <row r="3363" spans="1:4" ht="18">
      <c r="A3363" s="288" t="s">
        <v>13020</v>
      </c>
      <c r="B3363" s="289" t="s">
        <v>13021</v>
      </c>
      <c r="C3363" s="288" t="s">
        <v>7079</v>
      </c>
      <c r="D3363" s="303">
        <v>87.57</v>
      </c>
    </row>
    <row r="3364" spans="1:4" ht="18">
      <c r="A3364" s="288" t="s">
        <v>13022</v>
      </c>
      <c r="B3364" s="289" t="s">
        <v>13023</v>
      </c>
      <c r="C3364" s="288" t="s">
        <v>7079</v>
      </c>
      <c r="D3364" s="303">
        <v>13.49</v>
      </c>
    </row>
    <row r="3365" spans="1:4" ht="18">
      <c r="A3365" s="288" t="s">
        <v>13024</v>
      </c>
      <c r="B3365" s="289" t="s">
        <v>13025</v>
      </c>
      <c r="C3365" s="288" t="s">
        <v>7079</v>
      </c>
      <c r="D3365" s="303">
        <v>15.16</v>
      </c>
    </row>
    <row r="3366" spans="1:4" ht="18">
      <c r="A3366" s="288" t="s">
        <v>13026</v>
      </c>
      <c r="B3366" s="289" t="s">
        <v>13027</v>
      </c>
      <c r="C3366" s="288" t="s">
        <v>7079</v>
      </c>
      <c r="D3366" s="303">
        <v>18.72</v>
      </c>
    </row>
    <row r="3367" spans="1:4" ht="18">
      <c r="A3367" s="288" t="s">
        <v>13028</v>
      </c>
      <c r="B3367" s="289" t="s">
        <v>13029</v>
      </c>
      <c r="C3367" s="288" t="s">
        <v>7079</v>
      </c>
      <c r="D3367" s="303">
        <v>22.28</v>
      </c>
    </row>
    <row r="3368" spans="1:4" ht="18">
      <c r="A3368" s="288" t="s">
        <v>13030</v>
      </c>
      <c r="B3368" s="289" t="s">
        <v>13031</v>
      </c>
      <c r="C3368" s="288" t="s">
        <v>7079</v>
      </c>
      <c r="D3368" s="303">
        <v>49.54</v>
      </c>
    </row>
    <row r="3369" spans="1:4" ht="18">
      <c r="A3369" s="288" t="s">
        <v>13032</v>
      </c>
      <c r="B3369" s="289" t="s">
        <v>13033</v>
      </c>
      <c r="C3369" s="288" t="s">
        <v>7079</v>
      </c>
      <c r="D3369" s="303">
        <v>34.950000000000003</v>
      </c>
    </row>
    <row r="3370" spans="1:4" ht="18">
      <c r="A3370" s="288" t="s">
        <v>13034</v>
      </c>
      <c r="B3370" s="289" t="s">
        <v>13035</v>
      </c>
      <c r="C3370" s="288" t="s">
        <v>7079</v>
      </c>
      <c r="D3370" s="303">
        <v>55.36</v>
      </c>
    </row>
    <row r="3371" spans="1:4" ht="18">
      <c r="A3371" s="288" t="s">
        <v>13036</v>
      </c>
      <c r="B3371" s="289" t="s">
        <v>13037</v>
      </c>
      <c r="C3371" s="288" t="s">
        <v>7079</v>
      </c>
      <c r="D3371" s="303">
        <v>41.99</v>
      </c>
    </row>
    <row r="3372" spans="1:4" ht="18">
      <c r="A3372" s="288" t="s">
        <v>13038</v>
      </c>
      <c r="B3372" s="289" t="s">
        <v>13039</v>
      </c>
      <c r="C3372" s="288" t="s">
        <v>7079</v>
      </c>
      <c r="D3372" s="303">
        <v>62.82</v>
      </c>
    </row>
    <row r="3373" spans="1:4" ht="18">
      <c r="A3373" s="287" t="s">
        <v>13040</v>
      </c>
      <c r="B3373" s="287"/>
      <c r="C3373" s="287"/>
      <c r="D3373" s="296" t="s">
        <v>28729</v>
      </c>
    </row>
    <row r="3374" spans="1:4" ht="18">
      <c r="A3374" s="288" t="s">
        <v>13041</v>
      </c>
      <c r="B3374" s="289" t="s">
        <v>13042</v>
      </c>
      <c r="C3374" s="288" t="s">
        <v>7079</v>
      </c>
      <c r="D3374" s="303">
        <v>90.42</v>
      </c>
    </row>
    <row r="3375" spans="1:4" ht="18">
      <c r="A3375" s="288" t="s">
        <v>13043</v>
      </c>
      <c r="B3375" s="289" t="s">
        <v>13044</v>
      </c>
      <c r="C3375" s="288" t="s">
        <v>7079</v>
      </c>
      <c r="D3375" s="303">
        <v>508.01</v>
      </c>
    </row>
    <row r="3376" spans="1:4" ht="18">
      <c r="A3376" s="288" t="s">
        <v>13045</v>
      </c>
      <c r="B3376" s="289" t="s">
        <v>13046</v>
      </c>
      <c r="C3376" s="288" t="s">
        <v>7079</v>
      </c>
      <c r="D3376" s="303">
        <v>521.58000000000004</v>
      </c>
    </row>
    <row r="3377" spans="1:4" ht="18">
      <c r="A3377" s="288" t="s">
        <v>13047</v>
      </c>
      <c r="B3377" s="289" t="s">
        <v>13048</v>
      </c>
      <c r="C3377" s="288" t="s">
        <v>7079</v>
      </c>
      <c r="D3377" s="303">
        <v>192.68</v>
      </c>
    </row>
    <row r="3378" spans="1:4" ht="18">
      <c r="A3378" s="288" t="s">
        <v>13049</v>
      </c>
      <c r="B3378" s="289" t="s">
        <v>13050</v>
      </c>
      <c r="C3378" s="288" t="s">
        <v>7079</v>
      </c>
      <c r="D3378" s="303">
        <v>277.38</v>
      </c>
    </row>
    <row r="3379" spans="1:4" ht="18">
      <c r="A3379" s="287" t="s">
        <v>13051</v>
      </c>
      <c r="B3379" s="287"/>
      <c r="C3379" s="287"/>
      <c r="D3379" s="296" t="s">
        <v>28729</v>
      </c>
    </row>
    <row r="3380" spans="1:4" ht="18">
      <c r="A3380" s="288" t="s">
        <v>13052</v>
      </c>
      <c r="B3380" s="289" t="s">
        <v>13053</v>
      </c>
      <c r="C3380" s="288" t="s">
        <v>54</v>
      </c>
      <c r="D3380" s="303">
        <v>37.47</v>
      </c>
    </row>
    <row r="3381" spans="1:4" ht="18">
      <c r="A3381" s="288" t="s">
        <v>13054</v>
      </c>
      <c r="B3381" s="289" t="s">
        <v>13055</v>
      </c>
      <c r="C3381" s="288" t="s">
        <v>54</v>
      </c>
      <c r="D3381" s="303">
        <v>56.86</v>
      </c>
    </row>
    <row r="3382" spans="1:4" ht="18">
      <c r="A3382" s="288" t="s">
        <v>13056</v>
      </c>
      <c r="B3382" s="289" t="s">
        <v>13057</v>
      </c>
      <c r="C3382" s="288" t="s">
        <v>54</v>
      </c>
      <c r="D3382" s="303">
        <v>85.06</v>
      </c>
    </row>
    <row r="3383" spans="1:4" ht="18">
      <c r="A3383" s="288" t="s">
        <v>13058</v>
      </c>
      <c r="B3383" s="289" t="s">
        <v>13059</v>
      </c>
      <c r="C3383" s="288" t="s">
        <v>54</v>
      </c>
      <c r="D3383" s="303">
        <v>32.4</v>
      </c>
    </row>
    <row r="3384" spans="1:4" ht="18">
      <c r="A3384" s="288" t="s">
        <v>13060</v>
      </c>
      <c r="B3384" s="289" t="s">
        <v>13061</v>
      </c>
      <c r="C3384" s="288" t="s">
        <v>54</v>
      </c>
      <c r="D3384" s="303">
        <v>52.05</v>
      </c>
    </row>
    <row r="3385" spans="1:4" ht="18">
      <c r="A3385" s="288" t="s">
        <v>13062</v>
      </c>
      <c r="B3385" s="289" t="s">
        <v>13063</v>
      </c>
      <c r="C3385" s="288" t="s">
        <v>54</v>
      </c>
      <c r="D3385" s="303">
        <v>404.53</v>
      </c>
    </row>
    <row r="3386" spans="1:4">
      <c r="A3386" s="287" t="s">
        <v>13064</v>
      </c>
      <c r="B3386" s="287"/>
      <c r="C3386" s="287"/>
      <c r="D3386" s="296" t="s">
        <v>28729</v>
      </c>
    </row>
    <row r="3387" spans="1:4" ht="36">
      <c r="A3387" s="288" t="s">
        <v>13065</v>
      </c>
      <c r="B3387" s="289" t="s">
        <v>13066</v>
      </c>
      <c r="C3387" s="288" t="s">
        <v>7079</v>
      </c>
      <c r="D3387" s="303">
        <v>134.19999999999999</v>
      </c>
    </row>
    <row r="3388" spans="1:4" ht="45">
      <c r="A3388" s="288" t="s">
        <v>13067</v>
      </c>
      <c r="B3388" s="289" t="s">
        <v>13068</v>
      </c>
      <c r="C3388" s="288" t="s">
        <v>7079</v>
      </c>
      <c r="D3388" s="303">
        <v>239.6</v>
      </c>
    </row>
    <row r="3389" spans="1:4" ht="45">
      <c r="A3389" s="288" t="s">
        <v>13069</v>
      </c>
      <c r="B3389" s="289" t="s">
        <v>13070</v>
      </c>
      <c r="C3389" s="288" t="s">
        <v>7079</v>
      </c>
      <c r="D3389" s="303">
        <v>358.17</v>
      </c>
    </row>
    <row r="3390" spans="1:4" ht="45">
      <c r="A3390" s="288" t="s">
        <v>13071</v>
      </c>
      <c r="B3390" s="289" t="s">
        <v>13072</v>
      </c>
      <c r="C3390" s="288" t="s">
        <v>7079</v>
      </c>
      <c r="D3390" s="303">
        <v>413.94</v>
      </c>
    </row>
    <row r="3391" spans="1:4">
      <c r="A3391" s="287" t="s">
        <v>13073</v>
      </c>
      <c r="B3391" s="287"/>
      <c r="C3391" s="287"/>
      <c r="D3391" s="296" t="s">
        <v>28729</v>
      </c>
    </row>
    <row r="3392" spans="1:4" ht="27">
      <c r="A3392" s="288" t="s">
        <v>13074</v>
      </c>
      <c r="B3392" s="289" t="s">
        <v>13075</v>
      </c>
      <c r="C3392" s="288" t="s">
        <v>7079</v>
      </c>
      <c r="D3392" s="303">
        <v>179.95</v>
      </c>
    </row>
    <row r="3393" spans="1:4" ht="27">
      <c r="A3393" s="288" t="s">
        <v>13076</v>
      </c>
      <c r="B3393" s="289" t="s">
        <v>13077</v>
      </c>
      <c r="C3393" s="288" t="s">
        <v>7079</v>
      </c>
      <c r="D3393" s="303">
        <v>233.84</v>
      </c>
    </row>
    <row r="3394" spans="1:4" ht="27">
      <c r="A3394" s="288" t="s">
        <v>13078</v>
      </c>
      <c r="B3394" s="289" t="s">
        <v>13079</v>
      </c>
      <c r="C3394" s="288" t="s">
        <v>7079</v>
      </c>
      <c r="D3394" s="303">
        <v>2210.08</v>
      </c>
    </row>
    <row r="3395" spans="1:4" ht="36">
      <c r="A3395" s="288" t="s">
        <v>13080</v>
      </c>
      <c r="B3395" s="289" t="s">
        <v>13081</v>
      </c>
      <c r="C3395" s="288" t="s">
        <v>7079</v>
      </c>
      <c r="D3395" s="303">
        <v>2165.36</v>
      </c>
    </row>
    <row r="3396" spans="1:4">
      <c r="A3396" s="287" t="s">
        <v>13082</v>
      </c>
      <c r="B3396" s="287"/>
      <c r="C3396" s="287"/>
      <c r="D3396" s="296" t="s">
        <v>28729</v>
      </c>
    </row>
    <row r="3397" spans="1:4" ht="18">
      <c r="A3397" s="288" t="s">
        <v>13083</v>
      </c>
      <c r="B3397" s="289" t="s">
        <v>13084</v>
      </c>
      <c r="C3397" s="288" t="s">
        <v>7079</v>
      </c>
      <c r="D3397" s="303">
        <v>86.59</v>
      </c>
    </row>
    <row r="3398" spans="1:4" ht="27">
      <c r="A3398" s="288" t="s">
        <v>13085</v>
      </c>
      <c r="B3398" s="289" t="s">
        <v>13086</v>
      </c>
      <c r="C3398" s="288" t="s">
        <v>7079</v>
      </c>
      <c r="D3398" s="303">
        <v>181.82</v>
      </c>
    </row>
    <row r="3399" spans="1:4">
      <c r="A3399" s="287" t="s">
        <v>13087</v>
      </c>
      <c r="B3399" s="287"/>
      <c r="C3399" s="287"/>
      <c r="D3399" s="296" t="s">
        <v>28729</v>
      </c>
    </row>
    <row r="3400" spans="1:4" ht="27">
      <c r="A3400" s="288" t="s">
        <v>13088</v>
      </c>
      <c r="B3400" s="289" t="s">
        <v>13089</v>
      </c>
      <c r="C3400" s="288" t="s">
        <v>7079</v>
      </c>
      <c r="D3400" s="303">
        <v>4493.5</v>
      </c>
    </row>
    <row r="3401" spans="1:4" ht="27">
      <c r="A3401" s="288" t="s">
        <v>13090</v>
      </c>
      <c r="B3401" s="289" t="s">
        <v>13091</v>
      </c>
      <c r="C3401" s="288" t="s">
        <v>7079</v>
      </c>
      <c r="D3401" s="303">
        <v>5343.98</v>
      </c>
    </row>
    <row r="3402" spans="1:4" ht="27">
      <c r="A3402" s="288" t="s">
        <v>13092</v>
      </c>
      <c r="B3402" s="289" t="s">
        <v>13093</v>
      </c>
      <c r="C3402" s="288" t="s">
        <v>7079</v>
      </c>
      <c r="D3402" s="303">
        <v>7795.4</v>
      </c>
    </row>
    <row r="3403" spans="1:4" ht="27">
      <c r="A3403" s="288" t="s">
        <v>13094</v>
      </c>
      <c r="B3403" s="289" t="s">
        <v>13095</v>
      </c>
      <c r="C3403" s="288" t="s">
        <v>7079</v>
      </c>
      <c r="D3403" s="303">
        <v>9630.4599999999991</v>
      </c>
    </row>
    <row r="3404" spans="1:4">
      <c r="A3404" s="287" t="s">
        <v>13096</v>
      </c>
      <c r="B3404" s="287"/>
      <c r="C3404" s="287"/>
      <c r="D3404" s="296" t="s">
        <v>28729</v>
      </c>
    </row>
    <row r="3405" spans="1:4" ht="18">
      <c r="A3405" s="288" t="s">
        <v>13097</v>
      </c>
      <c r="B3405" s="289" t="s">
        <v>13098</v>
      </c>
      <c r="C3405" s="288" t="s">
        <v>7079</v>
      </c>
      <c r="D3405" s="303">
        <v>20823.59</v>
      </c>
    </row>
    <row r="3406" spans="1:4">
      <c r="A3406" s="287" t="s">
        <v>13099</v>
      </c>
      <c r="B3406" s="287"/>
      <c r="C3406" s="287"/>
      <c r="D3406" s="296" t="s">
        <v>28729</v>
      </c>
    </row>
    <row r="3407" spans="1:4" ht="18">
      <c r="A3407" s="288" t="s">
        <v>13100</v>
      </c>
      <c r="B3407" s="289" t="s">
        <v>13101</v>
      </c>
      <c r="C3407" s="288" t="s">
        <v>7079</v>
      </c>
      <c r="D3407" s="303">
        <v>3136.72</v>
      </c>
    </row>
    <row r="3408" spans="1:4" ht="27">
      <c r="A3408" s="287" t="s">
        <v>13102</v>
      </c>
      <c r="B3408" s="287"/>
      <c r="C3408" s="287"/>
      <c r="D3408" s="296" t="s">
        <v>28729</v>
      </c>
    </row>
    <row r="3409" spans="1:4">
      <c r="A3409" s="288" t="s">
        <v>13103</v>
      </c>
      <c r="B3409" s="289" t="s">
        <v>13104</v>
      </c>
      <c r="C3409" s="288" t="s">
        <v>7079</v>
      </c>
      <c r="D3409" s="303">
        <v>1535.97</v>
      </c>
    </row>
    <row r="3410" spans="1:4" ht="27">
      <c r="A3410" s="288" t="s">
        <v>13105</v>
      </c>
      <c r="B3410" s="289" t="s">
        <v>13106</v>
      </c>
      <c r="C3410" s="288" t="s">
        <v>7079</v>
      </c>
      <c r="D3410" s="303">
        <v>667.8</v>
      </c>
    </row>
    <row r="3411" spans="1:4" ht="27">
      <c r="A3411" s="288" t="s">
        <v>13107</v>
      </c>
      <c r="B3411" s="289" t="s">
        <v>13108</v>
      </c>
      <c r="C3411" s="288" t="s">
        <v>7079</v>
      </c>
      <c r="D3411" s="303">
        <v>355.94</v>
      </c>
    </row>
    <row r="3412" spans="1:4" ht="18">
      <c r="A3412" s="288" t="s">
        <v>13109</v>
      </c>
      <c r="B3412" s="289" t="s">
        <v>13110</v>
      </c>
      <c r="C3412" s="288" t="s">
        <v>7079</v>
      </c>
      <c r="D3412" s="303">
        <v>519.39</v>
      </c>
    </row>
    <row r="3413" spans="1:4" ht="18">
      <c r="A3413" s="288" t="s">
        <v>13111</v>
      </c>
      <c r="B3413" s="289" t="s">
        <v>13112</v>
      </c>
      <c r="C3413" s="288" t="s">
        <v>7079</v>
      </c>
      <c r="D3413" s="303">
        <v>585.14</v>
      </c>
    </row>
    <row r="3414" spans="1:4" ht="27">
      <c r="A3414" s="288" t="s">
        <v>13113</v>
      </c>
      <c r="B3414" s="289" t="s">
        <v>13114</v>
      </c>
      <c r="C3414" s="288" t="s">
        <v>7079</v>
      </c>
      <c r="D3414" s="303">
        <v>397.52</v>
      </c>
    </row>
    <row r="3415" spans="1:4" ht="27">
      <c r="A3415" s="288" t="s">
        <v>13115</v>
      </c>
      <c r="B3415" s="289" t="s">
        <v>13116</v>
      </c>
      <c r="C3415" s="288" t="s">
        <v>7079</v>
      </c>
      <c r="D3415" s="303">
        <v>988.05</v>
      </c>
    </row>
    <row r="3416" spans="1:4" ht="36">
      <c r="A3416" s="288" t="s">
        <v>13117</v>
      </c>
      <c r="B3416" s="289" t="s">
        <v>13118</v>
      </c>
      <c r="C3416" s="288" t="s">
        <v>7079</v>
      </c>
      <c r="D3416" s="303">
        <v>664.36</v>
      </c>
    </row>
    <row r="3417" spans="1:4" ht="27">
      <c r="A3417" s="288" t="s">
        <v>13119</v>
      </c>
      <c r="B3417" s="289" t="s">
        <v>13120</v>
      </c>
      <c r="C3417" s="288" t="s">
        <v>7079</v>
      </c>
      <c r="D3417" s="303">
        <v>1652.78</v>
      </c>
    </row>
    <row r="3418" spans="1:4" ht="27">
      <c r="A3418" s="288" t="s">
        <v>13121</v>
      </c>
      <c r="B3418" s="289" t="s">
        <v>13122</v>
      </c>
      <c r="C3418" s="288" t="s">
        <v>7079</v>
      </c>
      <c r="D3418" s="303">
        <v>1177.01</v>
      </c>
    </row>
    <row r="3419" spans="1:4" ht="27">
      <c r="A3419" s="288" t="s">
        <v>13123</v>
      </c>
      <c r="B3419" s="289" t="s">
        <v>13124</v>
      </c>
      <c r="C3419" s="288" t="s">
        <v>7079</v>
      </c>
      <c r="D3419" s="303">
        <v>1230.56</v>
      </c>
    </row>
    <row r="3420" spans="1:4" ht="27">
      <c r="A3420" s="288" t="s">
        <v>13125</v>
      </c>
      <c r="B3420" s="289" t="s">
        <v>13126</v>
      </c>
      <c r="C3420" s="288" t="s">
        <v>7079</v>
      </c>
      <c r="D3420" s="303">
        <v>1861.56</v>
      </c>
    </row>
    <row r="3421" spans="1:4" ht="27">
      <c r="A3421" s="288" t="s">
        <v>13127</v>
      </c>
      <c r="B3421" s="289" t="s">
        <v>13128</v>
      </c>
      <c r="C3421" s="288" t="s">
        <v>7079</v>
      </c>
      <c r="D3421" s="303">
        <v>1601.97</v>
      </c>
    </row>
    <row r="3422" spans="1:4">
      <c r="A3422" s="288" t="s">
        <v>13129</v>
      </c>
      <c r="B3422" s="289" t="s">
        <v>13130</v>
      </c>
      <c r="C3422" s="288" t="s">
        <v>7079</v>
      </c>
      <c r="D3422" s="303">
        <v>1073.25</v>
      </c>
    </row>
    <row r="3423" spans="1:4">
      <c r="A3423" s="288" t="s">
        <v>13131</v>
      </c>
      <c r="B3423" s="289" t="s">
        <v>13132</v>
      </c>
      <c r="C3423" s="288" t="s">
        <v>7079</v>
      </c>
      <c r="D3423" s="303">
        <v>636.03</v>
      </c>
    </row>
    <row r="3424" spans="1:4">
      <c r="A3424" s="287" t="s">
        <v>13133</v>
      </c>
      <c r="B3424" s="287"/>
      <c r="C3424" s="287"/>
      <c r="D3424" s="296" t="s">
        <v>28729</v>
      </c>
    </row>
    <row r="3425" spans="1:4" ht="27">
      <c r="A3425" s="288" t="s">
        <v>13134</v>
      </c>
      <c r="B3425" s="289" t="s">
        <v>13135</v>
      </c>
      <c r="C3425" s="288" t="s">
        <v>7079</v>
      </c>
      <c r="D3425" s="303">
        <v>401.69</v>
      </c>
    </row>
    <row r="3426" spans="1:4" ht="27">
      <c r="A3426" s="288" t="s">
        <v>13136</v>
      </c>
      <c r="B3426" s="289" t="s">
        <v>13137</v>
      </c>
      <c r="C3426" s="288" t="s">
        <v>7079</v>
      </c>
      <c r="D3426" s="303">
        <v>422.85</v>
      </c>
    </row>
    <row r="3427" spans="1:4" ht="27">
      <c r="A3427" s="288" t="s">
        <v>13138</v>
      </c>
      <c r="B3427" s="289" t="s">
        <v>13139</v>
      </c>
      <c r="C3427" s="288" t="s">
        <v>7079</v>
      </c>
      <c r="D3427" s="303">
        <v>454.97</v>
      </c>
    </row>
    <row r="3428" spans="1:4" ht="27">
      <c r="A3428" s="288" t="s">
        <v>13140</v>
      </c>
      <c r="B3428" s="289" t="s">
        <v>13141</v>
      </c>
      <c r="C3428" s="288" t="s">
        <v>7079</v>
      </c>
      <c r="D3428" s="303">
        <v>426.95</v>
      </c>
    </row>
    <row r="3429" spans="1:4">
      <c r="A3429" s="290"/>
      <c r="B3429" s="290"/>
      <c r="C3429" s="290"/>
      <c r="D3429" s="298"/>
    </row>
    <row r="3430" spans="1:4" ht="27">
      <c r="A3430" s="287" t="s">
        <v>13142</v>
      </c>
      <c r="B3430" s="287"/>
      <c r="C3430" s="287"/>
      <c r="D3430" s="296" t="s">
        <v>28729</v>
      </c>
    </row>
    <row r="3431" spans="1:4" ht="27">
      <c r="A3431" s="288" t="s">
        <v>13143</v>
      </c>
      <c r="B3431" s="289" t="s">
        <v>13144</v>
      </c>
      <c r="C3431" s="288" t="s">
        <v>7079</v>
      </c>
      <c r="D3431" s="303">
        <v>215.18</v>
      </c>
    </row>
    <row r="3432" spans="1:4" ht="36">
      <c r="A3432" s="288" t="s">
        <v>13145</v>
      </c>
      <c r="B3432" s="289" t="s">
        <v>13146</v>
      </c>
      <c r="C3432" s="288" t="s">
        <v>7079</v>
      </c>
      <c r="D3432" s="303">
        <v>545.35</v>
      </c>
    </row>
    <row r="3433" spans="1:4" ht="27">
      <c r="A3433" s="288" t="s">
        <v>13147</v>
      </c>
      <c r="B3433" s="289" t="s">
        <v>13148</v>
      </c>
      <c r="C3433" s="288" t="s">
        <v>7079</v>
      </c>
      <c r="D3433" s="303">
        <v>311.82</v>
      </c>
    </row>
    <row r="3434" spans="1:4" ht="36">
      <c r="A3434" s="288" t="s">
        <v>13149</v>
      </c>
      <c r="B3434" s="289" t="s">
        <v>13150</v>
      </c>
      <c r="C3434" s="288" t="s">
        <v>7079</v>
      </c>
      <c r="D3434" s="303">
        <v>552.01</v>
      </c>
    </row>
    <row r="3435" spans="1:4" ht="18">
      <c r="A3435" s="288" t="s">
        <v>13151</v>
      </c>
      <c r="B3435" s="289" t="s">
        <v>13152</v>
      </c>
      <c r="C3435" s="288" t="s">
        <v>7079</v>
      </c>
      <c r="D3435" s="303">
        <v>221.42</v>
      </c>
    </row>
    <row r="3436" spans="1:4" ht="18">
      <c r="A3436" s="288" t="s">
        <v>13153</v>
      </c>
      <c r="B3436" s="289" t="s">
        <v>13154</v>
      </c>
      <c r="C3436" s="288" t="s">
        <v>7079</v>
      </c>
      <c r="D3436" s="303">
        <v>12.78</v>
      </c>
    </row>
    <row r="3437" spans="1:4" ht="18">
      <c r="A3437" s="288" t="s">
        <v>13155</v>
      </c>
      <c r="B3437" s="289" t="s">
        <v>13156</v>
      </c>
      <c r="C3437" s="288" t="s">
        <v>7079</v>
      </c>
      <c r="D3437" s="303">
        <v>218.04</v>
      </c>
    </row>
    <row r="3438" spans="1:4" ht="18">
      <c r="A3438" s="288" t="s">
        <v>13157</v>
      </c>
      <c r="B3438" s="289" t="s">
        <v>13158</v>
      </c>
      <c r="C3438" s="288" t="s">
        <v>7079</v>
      </c>
      <c r="D3438" s="303">
        <v>309.22000000000003</v>
      </c>
    </row>
    <row r="3439" spans="1:4" ht="27">
      <c r="A3439" s="288" t="s">
        <v>13159</v>
      </c>
      <c r="B3439" s="289" t="s">
        <v>13160</v>
      </c>
      <c r="C3439" s="288" t="s">
        <v>7079</v>
      </c>
      <c r="D3439" s="303">
        <v>295.25</v>
      </c>
    </row>
    <row r="3440" spans="1:4" ht="27">
      <c r="A3440" s="288" t="s">
        <v>13161</v>
      </c>
      <c r="B3440" s="289" t="s">
        <v>13162</v>
      </c>
      <c r="C3440" s="288" t="s">
        <v>7079</v>
      </c>
      <c r="D3440" s="303">
        <v>416.46</v>
      </c>
    </row>
    <row r="3441" spans="1:4" ht="18">
      <c r="A3441" s="288" t="s">
        <v>13163</v>
      </c>
      <c r="B3441" s="289" t="s">
        <v>13164</v>
      </c>
      <c r="C3441" s="288" t="s">
        <v>7079</v>
      </c>
      <c r="D3441" s="303">
        <v>369.06</v>
      </c>
    </row>
    <row r="3442" spans="1:4" ht="36">
      <c r="A3442" s="288" t="s">
        <v>13165</v>
      </c>
      <c r="B3442" s="289" t="s">
        <v>13166</v>
      </c>
      <c r="C3442" s="288" t="s">
        <v>7079</v>
      </c>
      <c r="D3442" s="303">
        <v>265.35000000000002</v>
      </c>
    </row>
    <row r="3443" spans="1:4" ht="27">
      <c r="A3443" s="288" t="s">
        <v>13167</v>
      </c>
      <c r="B3443" s="289" t="s">
        <v>13168</v>
      </c>
      <c r="C3443" s="288" t="s">
        <v>7079</v>
      </c>
      <c r="D3443" s="303">
        <v>322.43</v>
      </c>
    </row>
    <row r="3444" spans="1:4" ht="27">
      <c r="A3444" s="288" t="s">
        <v>13169</v>
      </c>
      <c r="B3444" s="289" t="s">
        <v>13170</v>
      </c>
      <c r="C3444" s="288" t="s">
        <v>7079</v>
      </c>
      <c r="D3444" s="303">
        <v>387.51</v>
      </c>
    </row>
    <row r="3445" spans="1:4" ht="18">
      <c r="A3445" s="288" t="s">
        <v>13171</v>
      </c>
      <c r="B3445" s="289" t="s">
        <v>13172</v>
      </c>
      <c r="C3445" s="288" t="s">
        <v>7079</v>
      </c>
      <c r="D3445" s="303">
        <v>72.17</v>
      </c>
    </row>
    <row r="3446" spans="1:4" ht="27">
      <c r="A3446" s="288" t="s">
        <v>13173</v>
      </c>
      <c r="B3446" s="289" t="s">
        <v>13174</v>
      </c>
      <c r="C3446" s="288" t="s">
        <v>7079</v>
      </c>
      <c r="D3446" s="303">
        <v>201.63</v>
      </c>
    </row>
    <row r="3447" spans="1:4" ht="27">
      <c r="A3447" s="288" t="s">
        <v>13175</v>
      </c>
      <c r="B3447" s="289" t="s">
        <v>13176</v>
      </c>
      <c r="C3447" s="288" t="s">
        <v>7079</v>
      </c>
      <c r="D3447" s="303">
        <v>435.49</v>
      </c>
    </row>
    <row r="3448" spans="1:4" ht="27">
      <c r="A3448" s="288" t="s">
        <v>13177</v>
      </c>
      <c r="B3448" s="289" t="s">
        <v>13178</v>
      </c>
      <c r="C3448" s="288" t="s">
        <v>7079</v>
      </c>
      <c r="D3448" s="303">
        <v>65.8</v>
      </c>
    </row>
    <row r="3449" spans="1:4" ht="27">
      <c r="A3449" s="288" t="s">
        <v>13179</v>
      </c>
      <c r="B3449" s="289" t="s">
        <v>13180</v>
      </c>
      <c r="C3449" s="288" t="s">
        <v>7079</v>
      </c>
      <c r="D3449" s="303">
        <v>137.76</v>
      </c>
    </row>
    <row r="3450" spans="1:4" ht="27">
      <c r="A3450" s="288" t="s">
        <v>13181</v>
      </c>
      <c r="B3450" s="289" t="s">
        <v>13182</v>
      </c>
      <c r="C3450" s="288" t="s">
        <v>7079</v>
      </c>
      <c r="D3450" s="303">
        <v>253.59</v>
      </c>
    </row>
    <row r="3451" spans="1:4" ht="18">
      <c r="A3451" s="288" t="s">
        <v>13183</v>
      </c>
      <c r="B3451" s="289" t="s">
        <v>13184</v>
      </c>
      <c r="C3451" s="288" t="s">
        <v>7079</v>
      </c>
      <c r="D3451" s="303">
        <v>43.14</v>
      </c>
    </row>
    <row r="3452" spans="1:4" ht="18">
      <c r="A3452" s="288" t="s">
        <v>13185</v>
      </c>
      <c r="B3452" s="289" t="s">
        <v>13186</v>
      </c>
      <c r="C3452" s="288" t="s">
        <v>7079</v>
      </c>
      <c r="D3452" s="303">
        <v>41.9</v>
      </c>
    </row>
    <row r="3453" spans="1:4" ht="18">
      <c r="A3453" s="288" t="s">
        <v>13187</v>
      </c>
      <c r="B3453" s="289" t="s">
        <v>13188</v>
      </c>
      <c r="C3453" s="288" t="s">
        <v>7079</v>
      </c>
      <c r="D3453" s="303">
        <v>54.41</v>
      </c>
    </row>
    <row r="3454" spans="1:4">
      <c r="A3454" s="288" t="s">
        <v>13189</v>
      </c>
      <c r="B3454" s="289" t="s">
        <v>13190</v>
      </c>
      <c r="C3454" s="288" t="s">
        <v>7079</v>
      </c>
      <c r="D3454" s="303">
        <v>55.44</v>
      </c>
    </row>
    <row r="3455" spans="1:4" ht="27">
      <c r="A3455" s="288" t="s">
        <v>13191</v>
      </c>
      <c r="B3455" s="289" t="s">
        <v>13192</v>
      </c>
      <c r="C3455" s="288" t="s">
        <v>7079</v>
      </c>
      <c r="D3455" s="303">
        <v>327.01</v>
      </c>
    </row>
    <row r="3456" spans="1:4" ht="18">
      <c r="A3456" s="288" t="s">
        <v>13193</v>
      </c>
      <c r="B3456" s="289" t="s">
        <v>13194</v>
      </c>
      <c r="C3456" s="288" t="s">
        <v>7079</v>
      </c>
      <c r="D3456" s="303">
        <v>407.57</v>
      </c>
    </row>
    <row r="3457" spans="1:4" ht="45">
      <c r="A3457" s="288" t="s">
        <v>13195</v>
      </c>
      <c r="B3457" s="289" t="s">
        <v>13196</v>
      </c>
      <c r="C3457" s="288" t="s">
        <v>7079</v>
      </c>
      <c r="D3457" s="303">
        <v>535.86</v>
      </c>
    </row>
    <row r="3458" spans="1:4" ht="36">
      <c r="A3458" s="288" t="s">
        <v>13197</v>
      </c>
      <c r="B3458" s="289" t="s">
        <v>13198</v>
      </c>
      <c r="C3458" s="288" t="s">
        <v>7079</v>
      </c>
      <c r="D3458" s="303">
        <v>624.94000000000005</v>
      </c>
    </row>
    <row r="3459" spans="1:4" ht="45">
      <c r="A3459" s="288" t="s">
        <v>13199</v>
      </c>
      <c r="B3459" s="289" t="s">
        <v>13200</v>
      </c>
      <c r="C3459" s="288" t="s">
        <v>7079</v>
      </c>
      <c r="D3459" s="303">
        <v>540.78</v>
      </c>
    </row>
    <row r="3460" spans="1:4" ht="45">
      <c r="A3460" s="288" t="s">
        <v>13201</v>
      </c>
      <c r="B3460" s="289" t="s">
        <v>13202</v>
      </c>
      <c r="C3460" s="288" t="s">
        <v>7079</v>
      </c>
      <c r="D3460" s="303">
        <v>351.42</v>
      </c>
    </row>
    <row r="3461" spans="1:4" ht="45">
      <c r="A3461" s="288" t="s">
        <v>13203</v>
      </c>
      <c r="B3461" s="289" t="s">
        <v>13204</v>
      </c>
      <c r="C3461" s="288" t="s">
        <v>7079</v>
      </c>
      <c r="D3461" s="303">
        <v>540.42999999999995</v>
      </c>
    </row>
    <row r="3462" spans="1:4" ht="27">
      <c r="A3462" s="287" t="s">
        <v>13205</v>
      </c>
      <c r="B3462" s="287"/>
      <c r="C3462" s="287"/>
      <c r="D3462" s="296" t="s">
        <v>28729</v>
      </c>
    </row>
    <row r="3463" spans="1:4" ht="18">
      <c r="A3463" s="288" t="s">
        <v>13206</v>
      </c>
      <c r="B3463" s="289" t="s">
        <v>13207</v>
      </c>
      <c r="C3463" s="288" t="s">
        <v>7079</v>
      </c>
      <c r="D3463" s="303">
        <v>626.13</v>
      </c>
    </row>
    <row r="3464" spans="1:4">
      <c r="A3464" s="290"/>
      <c r="B3464" s="290"/>
      <c r="C3464" s="290"/>
      <c r="D3464" s="298"/>
    </row>
    <row r="3465" spans="1:4" ht="36">
      <c r="A3465" s="287" t="s">
        <v>13208</v>
      </c>
      <c r="B3465" s="287"/>
      <c r="C3465" s="287"/>
      <c r="D3465" s="296" t="s">
        <v>28729</v>
      </c>
    </row>
    <row r="3466" spans="1:4" ht="18">
      <c r="A3466" s="288" t="s">
        <v>13209</v>
      </c>
      <c r="B3466" s="289" t="s">
        <v>13210</v>
      </c>
      <c r="C3466" s="288" t="s">
        <v>7079</v>
      </c>
      <c r="D3466" s="303">
        <v>11.03</v>
      </c>
    </row>
    <row r="3467" spans="1:4" ht="18">
      <c r="A3467" s="288" t="s">
        <v>13211</v>
      </c>
      <c r="B3467" s="289" t="s">
        <v>13212</v>
      </c>
      <c r="C3467" s="288" t="s">
        <v>7079</v>
      </c>
      <c r="D3467" s="303">
        <v>22.06</v>
      </c>
    </row>
    <row r="3468" spans="1:4" ht="18">
      <c r="A3468" s="288" t="s">
        <v>13213</v>
      </c>
      <c r="B3468" s="289" t="s">
        <v>13214</v>
      </c>
      <c r="C3468" s="288" t="s">
        <v>7079</v>
      </c>
      <c r="D3468" s="303">
        <v>44.13</v>
      </c>
    </row>
    <row r="3469" spans="1:4" ht="18">
      <c r="A3469" s="288" t="s">
        <v>13215</v>
      </c>
      <c r="B3469" s="289" t="s">
        <v>13216</v>
      </c>
      <c r="C3469" s="288" t="s">
        <v>7079</v>
      </c>
      <c r="D3469" s="303">
        <v>99.28</v>
      </c>
    </row>
    <row r="3470" spans="1:4" ht="18">
      <c r="A3470" s="287" t="s">
        <v>13217</v>
      </c>
      <c r="B3470" s="287"/>
      <c r="C3470" s="287"/>
      <c r="D3470" s="296" t="s">
        <v>28729</v>
      </c>
    </row>
    <row r="3471" spans="1:4" ht="18">
      <c r="A3471" s="288" t="s">
        <v>13218</v>
      </c>
      <c r="B3471" s="289" t="s">
        <v>13219</v>
      </c>
      <c r="C3471" s="288" t="s">
        <v>54</v>
      </c>
      <c r="D3471" s="303">
        <v>6.04</v>
      </c>
    </row>
    <row r="3472" spans="1:4" ht="18">
      <c r="A3472" s="288" t="s">
        <v>13220</v>
      </c>
      <c r="B3472" s="289" t="s">
        <v>13221</v>
      </c>
      <c r="C3472" s="288" t="s">
        <v>54</v>
      </c>
      <c r="D3472" s="303">
        <v>6.24</v>
      </c>
    </row>
    <row r="3473" spans="1:4" ht="18">
      <c r="A3473" s="288" t="s">
        <v>13222</v>
      </c>
      <c r="B3473" s="289" t="s">
        <v>13223</v>
      </c>
      <c r="C3473" s="288" t="s">
        <v>54</v>
      </c>
      <c r="D3473" s="303">
        <v>8.31</v>
      </c>
    </row>
    <row r="3474" spans="1:4" ht="18">
      <c r="A3474" s="288" t="s">
        <v>13224</v>
      </c>
      <c r="B3474" s="289" t="s">
        <v>13225</v>
      </c>
      <c r="C3474" s="288" t="s">
        <v>54</v>
      </c>
      <c r="D3474" s="303">
        <v>9.98</v>
      </c>
    </row>
    <row r="3475" spans="1:4" ht="18">
      <c r="A3475" s="288" t="s">
        <v>13226</v>
      </c>
      <c r="B3475" s="289" t="s">
        <v>13227</v>
      </c>
      <c r="C3475" s="288" t="s">
        <v>54</v>
      </c>
      <c r="D3475" s="303">
        <v>11.13</v>
      </c>
    </row>
    <row r="3476" spans="1:4" ht="18">
      <c r="A3476" s="288" t="s">
        <v>13228</v>
      </c>
      <c r="B3476" s="289" t="s">
        <v>13229</v>
      </c>
      <c r="C3476" s="288" t="s">
        <v>54</v>
      </c>
      <c r="D3476" s="303">
        <v>14.72</v>
      </c>
    </row>
    <row r="3477" spans="1:4" ht="18">
      <c r="A3477" s="288" t="s">
        <v>13230</v>
      </c>
      <c r="B3477" s="289" t="s">
        <v>13231</v>
      </c>
      <c r="C3477" s="288" t="s">
        <v>54</v>
      </c>
      <c r="D3477" s="303">
        <v>31.56</v>
      </c>
    </row>
    <row r="3478" spans="1:4" ht="18">
      <c r="A3478" s="288" t="s">
        <v>13232</v>
      </c>
      <c r="B3478" s="289" t="s">
        <v>13233</v>
      </c>
      <c r="C3478" s="288" t="s">
        <v>54</v>
      </c>
      <c r="D3478" s="303">
        <v>36.86</v>
      </c>
    </row>
    <row r="3479" spans="1:4" ht="27">
      <c r="A3479" s="287" t="s">
        <v>13234</v>
      </c>
      <c r="B3479" s="287"/>
      <c r="C3479" s="287"/>
      <c r="D3479" s="296" t="s">
        <v>28729</v>
      </c>
    </row>
    <row r="3480" spans="1:4" ht="18">
      <c r="A3480" s="288" t="s">
        <v>13235</v>
      </c>
      <c r="B3480" s="289" t="s">
        <v>13236</v>
      </c>
      <c r="C3480" s="288" t="s">
        <v>7079</v>
      </c>
      <c r="D3480" s="303">
        <v>7.03</v>
      </c>
    </row>
    <row r="3481" spans="1:4" ht="18">
      <c r="A3481" s="288" t="s">
        <v>13237</v>
      </c>
      <c r="B3481" s="289" t="s">
        <v>13238</v>
      </c>
      <c r="C3481" s="288" t="s">
        <v>7079</v>
      </c>
      <c r="D3481" s="303">
        <v>7.41</v>
      </c>
    </row>
    <row r="3482" spans="1:4" ht="18">
      <c r="A3482" s="287" t="s">
        <v>13239</v>
      </c>
      <c r="B3482" s="287"/>
      <c r="C3482" s="287"/>
      <c r="D3482" s="296" t="s">
        <v>28729</v>
      </c>
    </row>
    <row r="3483" spans="1:4" ht="18">
      <c r="A3483" s="288" t="s">
        <v>13240</v>
      </c>
      <c r="B3483" s="289" t="s">
        <v>13241</v>
      </c>
      <c r="C3483" s="288" t="s">
        <v>54</v>
      </c>
      <c r="D3483" s="303">
        <v>4.83</v>
      </c>
    </row>
    <row r="3484" spans="1:4" ht="18">
      <c r="A3484" s="288" t="s">
        <v>13242</v>
      </c>
      <c r="B3484" s="289" t="s">
        <v>13243</v>
      </c>
      <c r="C3484" s="288" t="s">
        <v>54</v>
      </c>
      <c r="D3484" s="303">
        <v>5.0599999999999996</v>
      </c>
    </row>
    <row r="3485" spans="1:4" ht="18">
      <c r="A3485" s="288" t="s">
        <v>13244</v>
      </c>
      <c r="B3485" s="289" t="s">
        <v>13245</v>
      </c>
      <c r="C3485" s="288" t="s">
        <v>54</v>
      </c>
      <c r="D3485" s="303">
        <v>6.29</v>
      </c>
    </row>
    <row r="3486" spans="1:4" ht="18">
      <c r="A3486" s="287" t="s">
        <v>13246</v>
      </c>
      <c r="B3486" s="287"/>
      <c r="C3486" s="287"/>
      <c r="D3486" s="296" t="s">
        <v>28729</v>
      </c>
    </row>
    <row r="3487" spans="1:4" ht="27">
      <c r="A3487" s="288" t="s">
        <v>13247</v>
      </c>
      <c r="B3487" s="289" t="s">
        <v>13248</v>
      </c>
      <c r="C3487" s="288" t="s">
        <v>54</v>
      </c>
      <c r="D3487" s="303">
        <v>6.15</v>
      </c>
    </row>
    <row r="3488" spans="1:4" ht="27">
      <c r="A3488" s="288" t="s">
        <v>13249</v>
      </c>
      <c r="B3488" s="289" t="s">
        <v>13250</v>
      </c>
      <c r="C3488" s="288" t="s">
        <v>54</v>
      </c>
      <c r="D3488" s="303">
        <v>7.45</v>
      </c>
    </row>
    <row r="3489" spans="1:4" ht="27">
      <c r="A3489" s="288" t="s">
        <v>13251</v>
      </c>
      <c r="B3489" s="289" t="s">
        <v>13252</v>
      </c>
      <c r="C3489" s="288" t="s">
        <v>54</v>
      </c>
      <c r="D3489" s="303">
        <v>13.4</v>
      </c>
    </row>
    <row r="3490" spans="1:4" ht="27">
      <c r="A3490" s="288" t="s">
        <v>13253</v>
      </c>
      <c r="B3490" s="289" t="s">
        <v>13254</v>
      </c>
      <c r="C3490" s="288" t="s">
        <v>54</v>
      </c>
      <c r="D3490" s="303">
        <v>17.21</v>
      </c>
    </row>
    <row r="3491" spans="1:4" ht="27">
      <c r="A3491" s="288" t="s">
        <v>13255</v>
      </c>
      <c r="B3491" s="289" t="s">
        <v>13256</v>
      </c>
      <c r="C3491" s="288" t="s">
        <v>54</v>
      </c>
      <c r="D3491" s="303">
        <v>20</v>
      </c>
    </row>
    <row r="3492" spans="1:4" ht="27">
      <c r="A3492" s="288" t="s">
        <v>13257</v>
      </c>
      <c r="B3492" s="289" t="s">
        <v>13258</v>
      </c>
      <c r="C3492" s="288" t="s">
        <v>54</v>
      </c>
      <c r="D3492" s="303">
        <v>12.82</v>
      </c>
    </row>
    <row r="3493" spans="1:4" ht="36">
      <c r="A3493" s="288" t="s">
        <v>13259</v>
      </c>
      <c r="B3493" s="289" t="s">
        <v>13260</v>
      </c>
      <c r="C3493" s="288" t="s">
        <v>54</v>
      </c>
      <c r="D3493" s="303">
        <v>14.12</v>
      </c>
    </row>
    <row r="3494" spans="1:4" ht="36">
      <c r="A3494" s="288" t="s">
        <v>13261</v>
      </c>
      <c r="B3494" s="289" t="s">
        <v>13262</v>
      </c>
      <c r="C3494" s="288" t="s">
        <v>54</v>
      </c>
      <c r="D3494" s="303">
        <v>20.07</v>
      </c>
    </row>
    <row r="3495" spans="1:4" ht="27">
      <c r="A3495" s="288" t="s">
        <v>13263</v>
      </c>
      <c r="B3495" s="289" t="s">
        <v>13264</v>
      </c>
      <c r="C3495" s="288" t="s">
        <v>54</v>
      </c>
      <c r="D3495" s="303">
        <v>23.88</v>
      </c>
    </row>
    <row r="3496" spans="1:4" ht="27">
      <c r="A3496" s="288" t="s">
        <v>13265</v>
      </c>
      <c r="B3496" s="289" t="s">
        <v>13266</v>
      </c>
      <c r="C3496" s="288" t="s">
        <v>54</v>
      </c>
      <c r="D3496" s="303">
        <v>26.67</v>
      </c>
    </row>
    <row r="3497" spans="1:4" ht="36">
      <c r="A3497" s="288" t="s">
        <v>13267</v>
      </c>
      <c r="B3497" s="289" t="s">
        <v>13268</v>
      </c>
      <c r="C3497" s="288" t="s">
        <v>54</v>
      </c>
      <c r="D3497" s="303">
        <v>23.5</v>
      </c>
    </row>
    <row r="3498" spans="1:4" ht="36">
      <c r="A3498" s="288" t="s">
        <v>13269</v>
      </c>
      <c r="B3498" s="289" t="s">
        <v>13270</v>
      </c>
      <c r="C3498" s="288" t="s">
        <v>54</v>
      </c>
      <c r="D3498" s="303">
        <v>35.4</v>
      </c>
    </row>
    <row r="3499" spans="1:4" ht="36">
      <c r="A3499" s="288" t="s">
        <v>13271</v>
      </c>
      <c r="B3499" s="289" t="s">
        <v>13272</v>
      </c>
      <c r="C3499" s="288" t="s">
        <v>54</v>
      </c>
      <c r="D3499" s="303">
        <v>74.03</v>
      </c>
    </row>
    <row r="3500" spans="1:4" ht="36">
      <c r="A3500" s="288" t="s">
        <v>13273</v>
      </c>
      <c r="B3500" s="289" t="s">
        <v>13274</v>
      </c>
      <c r="C3500" s="288" t="s">
        <v>54</v>
      </c>
      <c r="D3500" s="303">
        <v>79.59</v>
      </c>
    </row>
    <row r="3501" spans="1:4" ht="18">
      <c r="A3501" s="287" t="s">
        <v>13275</v>
      </c>
      <c r="B3501" s="287"/>
      <c r="C3501" s="287"/>
      <c r="D3501" s="296" t="s">
        <v>28729</v>
      </c>
    </row>
    <row r="3502" spans="1:4" ht="27">
      <c r="A3502" s="288" t="s">
        <v>13276</v>
      </c>
      <c r="B3502" s="289" t="s">
        <v>13277</v>
      </c>
      <c r="C3502" s="288" t="s">
        <v>54</v>
      </c>
      <c r="D3502" s="303">
        <v>50.3</v>
      </c>
    </row>
    <row r="3503" spans="1:4" ht="27">
      <c r="A3503" s="288" t="s">
        <v>13278</v>
      </c>
      <c r="B3503" s="289" t="s">
        <v>13279</v>
      </c>
      <c r="C3503" s="288" t="s">
        <v>54</v>
      </c>
      <c r="D3503" s="303">
        <v>100.84</v>
      </c>
    </row>
    <row r="3504" spans="1:4" ht="27">
      <c r="A3504" s="288" t="s">
        <v>13280</v>
      </c>
      <c r="B3504" s="289" t="s">
        <v>13281</v>
      </c>
      <c r="C3504" s="288" t="s">
        <v>54</v>
      </c>
      <c r="D3504" s="303">
        <v>150.94</v>
      </c>
    </row>
    <row r="3505" spans="1:4" ht="27">
      <c r="A3505" s="288" t="s">
        <v>13282</v>
      </c>
      <c r="B3505" s="289" t="s">
        <v>13283</v>
      </c>
      <c r="C3505" s="288" t="s">
        <v>54</v>
      </c>
      <c r="D3505" s="303">
        <v>201.27</v>
      </c>
    </row>
    <row r="3506" spans="1:4" ht="27">
      <c r="A3506" s="288" t="s">
        <v>13284</v>
      </c>
      <c r="B3506" s="289" t="s">
        <v>13285</v>
      </c>
      <c r="C3506" s="288" t="s">
        <v>54</v>
      </c>
      <c r="D3506" s="303">
        <v>301.89</v>
      </c>
    </row>
    <row r="3507" spans="1:4" ht="18">
      <c r="A3507" s="287" t="s">
        <v>13286</v>
      </c>
      <c r="B3507" s="287"/>
      <c r="C3507" s="287"/>
      <c r="D3507" s="296" t="s">
        <v>28729</v>
      </c>
    </row>
    <row r="3508" spans="1:4" ht="27">
      <c r="A3508" s="288" t="s">
        <v>13287</v>
      </c>
      <c r="B3508" s="289" t="s">
        <v>13288</v>
      </c>
      <c r="C3508" s="288" t="s">
        <v>7079</v>
      </c>
      <c r="D3508" s="303">
        <v>206.11</v>
      </c>
    </row>
    <row r="3509" spans="1:4" ht="18">
      <c r="A3509" s="288" t="s">
        <v>13289</v>
      </c>
      <c r="B3509" s="289" t="s">
        <v>13290</v>
      </c>
      <c r="C3509" s="288" t="s">
        <v>7079</v>
      </c>
      <c r="D3509" s="303">
        <v>42.31</v>
      </c>
    </row>
    <row r="3510" spans="1:4" ht="18">
      <c r="A3510" s="288" t="s">
        <v>13291</v>
      </c>
      <c r="B3510" s="289" t="s">
        <v>13292</v>
      </c>
      <c r="C3510" s="288" t="s">
        <v>7079</v>
      </c>
      <c r="D3510" s="303">
        <v>72.61</v>
      </c>
    </row>
    <row r="3511" spans="1:4" ht="27">
      <c r="A3511" s="288" t="s">
        <v>13293</v>
      </c>
      <c r="B3511" s="289" t="s">
        <v>13294</v>
      </c>
      <c r="C3511" s="288" t="s">
        <v>7079</v>
      </c>
      <c r="D3511" s="303">
        <v>42.54</v>
      </c>
    </row>
    <row r="3512" spans="1:4" ht="27">
      <c r="A3512" s="288" t="s">
        <v>13295</v>
      </c>
      <c r="B3512" s="289" t="s">
        <v>13296</v>
      </c>
      <c r="C3512" s="288" t="s">
        <v>7079</v>
      </c>
      <c r="D3512" s="303">
        <v>69.09</v>
      </c>
    </row>
    <row r="3513" spans="1:4" ht="18">
      <c r="A3513" s="287" t="s">
        <v>13297</v>
      </c>
      <c r="B3513" s="287"/>
      <c r="C3513" s="287"/>
      <c r="D3513" s="296" t="s">
        <v>28729</v>
      </c>
    </row>
    <row r="3514" spans="1:4" ht="18">
      <c r="A3514" s="288" t="s">
        <v>13298</v>
      </c>
      <c r="B3514" s="289" t="s">
        <v>13299</v>
      </c>
      <c r="C3514" s="288" t="s">
        <v>54</v>
      </c>
      <c r="D3514" s="303">
        <v>15.43</v>
      </c>
    </row>
    <row r="3515" spans="1:4" ht="18">
      <c r="A3515" s="288" t="s">
        <v>13300</v>
      </c>
      <c r="B3515" s="289" t="s">
        <v>13301</v>
      </c>
      <c r="C3515" s="288" t="s">
        <v>54</v>
      </c>
      <c r="D3515" s="303">
        <v>31.16</v>
      </c>
    </row>
    <row r="3516" spans="1:4" ht="27">
      <c r="A3516" s="288" t="s">
        <v>13302</v>
      </c>
      <c r="B3516" s="289" t="s">
        <v>13303</v>
      </c>
      <c r="C3516" s="288" t="s">
        <v>54</v>
      </c>
      <c r="D3516" s="303">
        <v>37.47</v>
      </c>
    </row>
    <row r="3517" spans="1:4" ht="18">
      <c r="A3517" s="288" t="s">
        <v>13304</v>
      </c>
      <c r="B3517" s="289" t="s">
        <v>13305</v>
      </c>
      <c r="C3517" s="288" t="s">
        <v>54</v>
      </c>
      <c r="D3517" s="303">
        <v>48.82</v>
      </c>
    </row>
    <row r="3518" spans="1:4" ht="18">
      <c r="A3518" s="288" t="s">
        <v>13306</v>
      </c>
      <c r="B3518" s="289" t="s">
        <v>13307</v>
      </c>
      <c r="C3518" s="288" t="s">
        <v>54</v>
      </c>
      <c r="D3518" s="303">
        <v>51.97</v>
      </c>
    </row>
    <row r="3519" spans="1:4" ht="27">
      <c r="A3519" s="288" t="s">
        <v>13308</v>
      </c>
      <c r="B3519" s="289" t="s">
        <v>13309</v>
      </c>
      <c r="C3519" s="288" t="s">
        <v>54</v>
      </c>
      <c r="D3519" s="303">
        <v>42.26</v>
      </c>
    </row>
    <row r="3520" spans="1:4" ht="18">
      <c r="A3520" s="288" t="s">
        <v>13310</v>
      </c>
      <c r="B3520" s="289" t="s">
        <v>13311</v>
      </c>
      <c r="C3520" s="288" t="s">
        <v>54</v>
      </c>
      <c r="D3520" s="303">
        <v>52.62</v>
      </c>
    </row>
    <row r="3521" spans="1:4" ht="18">
      <c r="A3521" s="288" t="s">
        <v>13312</v>
      </c>
      <c r="B3521" s="289" t="s">
        <v>13313</v>
      </c>
      <c r="C3521" s="288" t="s">
        <v>54</v>
      </c>
      <c r="D3521" s="303">
        <v>54.85</v>
      </c>
    </row>
    <row r="3522" spans="1:4" ht="27">
      <c r="A3522" s="288" t="s">
        <v>13314</v>
      </c>
      <c r="B3522" s="289" t="s">
        <v>13315</v>
      </c>
      <c r="C3522" s="288" t="s">
        <v>54</v>
      </c>
      <c r="D3522" s="303">
        <v>65.11</v>
      </c>
    </row>
    <row r="3523" spans="1:4" ht="18">
      <c r="A3523" s="288" t="s">
        <v>13316</v>
      </c>
      <c r="B3523" s="289" t="s">
        <v>13317</v>
      </c>
      <c r="C3523" s="288" t="s">
        <v>54</v>
      </c>
      <c r="D3523" s="303">
        <v>27.05</v>
      </c>
    </row>
    <row r="3524" spans="1:4" ht="18">
      <c r="A3524" s="287" t="s">
        <v>13318</v>
      </c>
      <c r="B3524" s="287"/>
      <c r="C3524" s="287"/>
      <c r="D3524" s="296" t="s">
        <v>28729</v>
      </c>
    </row>
    <row r="3525" spans="1:4" ht="18">
      <c r="A3525" s="288" t="s">
        <v>13319</v>
      </c>
      <c r="B3525" s="289" t="s">
        <v>13320</v>
      </c>
      <c r="C3525" s="288" t="s">
        <v>7079</v>
      </c>
      <c r="D3525" s="303">
        <v>26.43</v>
      </c>
    </row>
    <row r="3526" spans="1:4" ht="18">
      <c r="A3526" s="288" t="s">
        <v>13321</v>
      </c>
      <c r="B3526" s="289" t="s">
        <v>13322</v>
      </c>
      <c r="C3526" s="288" t="s">
        <v>7079</v>
      </c>
      <c r="D3526" s="303">
        <v>43.85</v>
      </c>
    </row>
    <row r="3527" spans="1:4">
      <c r="A3527" s="287" t="s">
        <v>13323</v>
      </c>
      <c r="B3527" s="287"/>
      <c r="C3527" s="287"/>
      <c r="D3527" s="296" t="s">
        <v>28729</v>
      </c>
    </row>
    <row r="3528" spans="1:4" ht="18">
      <c r="A3528" s="288" t="s">
        <v>13324</v>
      </c>
      <c r="B3528" s="289" t="s">
        <v>13325</v>
      </c>
      <c r="C3528" s="288" t="s">
        <v>54</v>
      </c>
      <c r="D3528" s="303">
        <v>83.34</v>
      </c>
    </row>
    <row r="3529" spans="1:4" ht="18">
      <c r="A3529" s="288" t="s">
        <v>13326</v>
      </c>
      <c r="B3529" s="289" t="s">
        <v>13327</v>
      </c>
      <c r="C3529" s="288" t="s">
        <v>54</v>
      </c>
      <c r="D3529" s="303">
        <v>154.86000000000001</v>
      </c>
    </row>
    <row r="3530" spans="1:4" ht="18">
      <c r="A3530" s="288" t="s">
        <v>13328</v>
      </c>
      <c r="B3530" s="289" t="s">
        <v>13329</v>
      </c>
      <c r="C3530" s="288" t="s">
        <v>54</v>
      </c>
      <c r="D3530" s="303">
        <v>30.23</v>
      </c>
    </row>
    <row r="3531" spans="1:4" ht="18">
      <c r="A3531" s="288" t="s">
        <v>13330</v>
      </c>
      <c r="B3531" s="289" t="s">
        <v>13331</v>
      </c>
      <c r="C3531" s="288" t="s">
        <v>54</v>
      </c>
      <c r="D3531" s="303">
        <v>54.84</v>
      </c>
    </row>
    <row r="3532" spans="1:4">
      <c r="A3532" s="287" t="s">
        <v>13332</v>
      </c>
      <c r="B3532" s="287"/>
      <c r="C3532" s="287"/>
      <c r="D3532" s="296" t="s">
        <v>28729</v>
      </c>
    </row>
    <row r="3533" spans="1:4" ht="18">
      <c r="A3533" s="288" t="s">
        <v>13333</v>
      </c>
      <c r="B3533" s="289" t="s">
        <v>13334</v>
      </c>
      <c r="C3533" s="288" t="s">
        <v>7079</v>
      </c>
      <c r="D3533" s="303">
        <v>44.68</v>
      </c>
    </row>
    <row r="3534" spans="1:4" ht="36">
      <c r="A3534" s="288" t="s">
        <v>13335</v>
      </c>
      <c r="B3534" s="289" t="s">
        <v>13336</v>
      </c>
      <c r="C3534" s="288" t="s">
        <v>7079</v>
      </c>
      <c r="D3534" s="303">
        <v>192.85</v>
      </c>
    </row>
    <row r="3535" spans="1:4" ht="36">
      <c r="A3535" s="288" t="s">
        <v>13337</v>
      </c>
      <c r="B3535" s="289" t="s">
        <v>13338</v>
      </c>
      <c r="C3535" s="288" t="s">
        <v>7079</v>
      </c>
      <c r="D3535" s="303">
        <v>408.4</v>
      </c>
    </row>
    <row r="3536" spans="1:4" ht="36">
      <c r="A3536" s="288" t="s">
        <v>13339</v>
      </c>
      <c r="B3536" s="289" t="s">
        <v>13340</v>
      </c>
      <c r="C3536" s="288" t="s">
        <v>7079</v>
      </c>
      <c r="D3536" s="303">
        <v>211.54</v>
      </c>
    </row>
    <row r="3537" spans="1:4" ht="27">
      <c r="A3537" s="288" t="s">
        <v>13341</v>
      </c>
      <c r="B3537" s="289" t="s">
        <v>13342</v>
      </c>
      <c r="C3537" s="288" t="s">
        <v>7079</v>
      </c>
      <c r="D3537" s="303">
        <v>117.76</v>
      </c>
    </row>
    <row r="3538" spans="1:4" ht="36">
      <c r="A3538" s="288" t="s">
        <v>13343</v>
      </c>
      <c r="B3538" s="289" t="s">
        <v>13344</v>
      </c>
      <c r="C3538" s="288" t="s">
        <v>7079</v>
      </c>
      <c r="D3538" s="303">
        <v>380.91</v>
      </c>
    </row>
    <row r="3539" spans="1:4" ht="36">
      <c r="A3539" s="288" t="s">
        <v>13345</v>
      </c>
      <c r="B3539" s="289" t="s">
        <v>13346</v>
      </c>
      <c r="C3539" s="288" t="s">
        <v>7079</v>
      </c>
      <c r="D3539" s="303">
        <v>495.37</v>
      </c>
    </row>
    <row r="3540" spans="1:4" ht="36">
      <c r="A3540" s="288" t="s">
        <v>13347</v>
      </c>
      <c r="B3540" s="289" t="s">
        <v>13348</v>
      </c>
      <c r="C3540" s="288" t="s">
        <v>7079</v>
      </c>
      <c r="D3540" s="303">
        <v>1365.06</v>
      </c>
    </row>
    <row r="3541" spans="1:4" ht="36">
      <c r="A3541" s="288" t="s">
        <v>13349</v>
      </c>
      <c r="B3541" s="289" t="s">
        <v>13350</v>
      </c>
      <c r="C3541" s="288" t="s">
        <v>7079</v>
      </c>
      <c r="D3541" s="303">
        <v>615.77</v>
      </c>
    </row>
    <row r="3542" spans="1:4" ht="18">
      <c r="A3542" s="288" t="s">
        <v>13351</v>
      </c>
      <c r="B3542" s="289" t="s">
        <v>13352</v>
      </c>
      <c r="C3542" s="288" t="s">
        <v>7079</v>
      </c>
      <c r="D3542" s="303">
        <v>603.25</v>
      </c>
    </row>
    <row r="3543" spans="1:4" ht="36">
      <c r="A3543" s="288" t="s">
        <v>13353</v>
      </c>
      <c r="B3543" s="289" t="s">
        <v>13354</v>
      </c>
      <c r="C3543" s="288" t="s">
        <v>7079</v>
      </c>
      <c r="D3543" s="303">
        <v>592.54</v>
      </c>
    </row>
    <row r="3544" spans="1:4" ht="36">
      <c r="A3544" s="288" t="s">
        <v>13355</v>
      </c>
      <c r="B3544" s="289" t="s">
        <v>13356</v>
      </c>
      <c r="C3544" s="288" t="s">
        <v>7079</v>
      </c>
      <c r="D3544" s="303">
        <v>706.16</v>
      </c>
    </row>
    <row r="3545" spans="1:4" ht="36">
      <c r="A3545" s="288" t="s">
        <v>13357</v>
      </c>
      <c r="B3545" s="289" t="s">
        <v>13358</v>
      </c>
      <c r="C3545" s="288" t="s">
        <v>7079</v>
      </c>
      <c r="D3545" s="303">
        <v>669.14</v>
      </c>
    </row>
    <row r="3546" spans="1:4" ht="36">
      <c r="A3546" s="288" t="s">
        <v>13359</v>
      </c>
      <c r="B3546" s="289" t="s">
        <v>13360</v>
      </c>
      <c r="C3546" s="288" t="s">
        <v>7079</v>
      </c>
      <c r="D3546" s="303">
        <v>820.61</v>
      </c>
    </row>
    <row r="3547" spans="1:4" ht="27">
      <c r="A3547" s="288" t="s">
        <v>13361</v>
      </c>
      <c r="B3547" s="289" t="s">
        <v>13362</v>
      </c>
      <c r="C3547" s="288" t="s">
        <v>7079</v>
      </c>
      <c r="D3547" s="303">
        <v>963.94</v>
      </c>
    </row>
    <row r="3548" spans="1:4" ht="18">
      <c r="A3548" s="288" t="s">
        <v>13363</v>
      </c>
      <c r="B3548" s="289" t="s">
        <v>13364</v>
      </c>
      <c r="C3548" s="288" t="s">
        <v>7079</v>
      </c>
      <c r="D3548" s="303">
        <v>180.85</v>
      </c>
    </row>
    <row r="3549" spans="1:4">
      <c r="A3549" s="287" t="s">
        <v>13365</v>
      </c>
      <c r="B3549" s="287"/>
      <c r="C3549" s="287"/>
      <c r="D3549" s="296" t="s">
        <v>28729</v>
      </c>
    </row>
    <row r="3550" spans="1:4" ht="18">
      <c r="A3550" s="288" t="s">
        <v>13366</v>
      </c>
      <c r="B3550" s="289" t="s">
        <v>13367</v>
      </c>
      <c r="C3550" s="288" t="s">
        <v>7079</v>
      </c>
      <c r="D3550" s="303">
        <v>409.93</v>
      </c>
    </row>
    <row r="3551" spans="1:4" ht="18">
      <c r="A3551" s="288" t="s">
        <v>13368</v>
      </c>
      <c r="B3551" s="289" t="s">
        <v>13369</v>
      </c>
      <c r="C3551" s="288" t="s">
        <v>7079</v>
      </c>
      <c r="D3551" s="303">
        <v>374.47</v>
      </c>
    </row>
    <row r="3552" spans="1:4" ht="18">
      <c r="A3552" s="288" t="s">
        <v>13370</v>
      </c>
      <c r="B3552" s="289" t="s">
        <v>13371</v>
      </c>
      <c r="C3552" s="288" t="s">
        <v>7079</v>
      </c>
      <c r="D3552" s="303">
        <v>776.32</v>
      </c>
    </row>
    <row r="3553" spans="1:4" ht="18">
      <c r="A3553" s="288" t="s">
        <v>13372</v>
      </c>
      <c r="B3553" s="289" t="s">
        <v>13373</v>
      </c>
      <c r="C3553" s="288" t="s">
        <v>7079</v>
      </c>
      <c r="D3553" s="303">
        <v>607.73</v>
      </c>
    </row>
    <row r="3554" spans="1:4" ht="18">
      <c r="A3554" s="288" t="s">
        <v>13374</v>
      </c>
      <c r="B3554" s="289" t="s">
        <v>13375</v>
      </c>
      <c r="C3554" s="288" t="s">
        <v>7079</v>
      </c>
      <c r="D3554" s="303">
        <v>454.75</v>
      </c>
    </row>
    <row r="3555" spans="1:4" ht="18">
      <c r="A3555" s="288" t="s">
        <v>13376</v>
      </c>
      <c r="B3555" s="289" t="s">
        <v>13377</v>
      </c>
      <c r="C3555" s="288" t="s">
        <v>7079</v>
      </c>
      <c r="D3555" s="303">
        <v>826.48</v>
      </c>
    </row>
    <row r="3556" spans="1:4">
      <c r="A3556" s="287" t="s">
        <v>13378</v>
      </c>
      <c r="B3556" s="287"/>
      <c r="C3556" s="287"/>
      <c r="D3556" s="296" t="s">
        <v>28729</v>
      </c>
    </row>
    <row r="3557" spans="1:4" ht="18">
      <c r="A3557" s="288" t="s">
        <v>13379</v>
      </c>
      <c r="B3557" s="289" t="s">
        <v>13380</v>
      </c>
      <c r="C3557" s="288" t="s">
        <v>7079</v>
      </c>
      <c r="D3557" s="303">
        <v>132.37</v>
      </c>
    </row>
    <row r="3558" spans="1:4">
      <c r="A3558" s="287" t="s">
        <v>13381</v>
      </c>
      <c r="B3558" s="287"/>
      <c r="C3558" s="287"/>
      <c r="D3558" s="296" t="s">
        <v>28729</v>
      </c>
    </row>
    <row r="3559" spans="1:4" ht="18">
      <c r="A3559" s="288" t="s">
        <v>13382</v>
      </c>
      <c r="B3559" s="289" t="s">
        <v>13383</v>
      </c>
      <c r="C3559" s="288" t="s">
        <v>7079</v>
      </c>
      <c r="D3559" s="303">
        <v>133.30000000000001</v>
      </c>
    </row>
    <row r="3560" spans="1:4" ht="36">
      <c r="A3560" s="288" t="s">
        <v>13384</v>
      </c>
      <c r="B3560" s="289" t="s">
        <v>13385</v>
      </c>
      <c r="C3560" s="288" t="s">
        <v>7079</v>
      </c>
      <c r="D3560" s="303">
        <v>197.78</v>
      </c>
    </row>
    <row r="3561" spans="1:4" ht="36">
      <c r="A3561" s="288" t="s">
        <v>13386</v>
      </c>
      <c r="B3561" s="289" t="s">
        <v>13387</v>
      </c>
      <c r="C3561" s="288" t="s">
        <v>7079</v>
      </c>
      <c r="D3561" s="303">
        <v>199.88</v>
      </c>
    </row>
    <row r="3562" spans="1:4" ht="36">
      <c r="A3562" s="288" t="s">
        <v>13388</v>
      </c>
      <c r="B3562" s="289" t="s">
        <v>13389</v>
      </c>
      <c r="C3562" s="288" t="s">
        <v>7079</v>
      </c>
      <c r="D3562" s="303">
        <v>278.02</v>
      </c>
    </row>
    <row r="3563" spans="1:4" ht="36">
      <c r="A3563" s="288" t="s">
        <v>13390</v>
      </c>
      <c r="B3563" s="289" t="s">
        <v>13391</v>
      </c>
      <c r="C3563" s="288" t="s">
        <v>7079</v>
      </c>
      <c r="D3563" s="303">
        <v>440.76</v>
      </c>
    </row>
    <row r="3564" spans="1:4" ht="18">
      <c r="A3564" s="288" t="s">
        <v>13392</v>
      </c>
      <c r="B3564" s="289" t="s">
        <v>13393</v>
      </c>
      <c r="C3564" s="288" t="s">
        <v>7079</v>
      </c>
      <c r="D3564" s="303">
        <v>8.2100000000000009</v>
      </c>
    </row>
    <row r="3565" spans="1:4" ht="18">
      <c r="A3565" s="288" t="s">
        <v>13394</v>
      </c>
      <c r="B3565" s="289" t="s">
        <v>13395</v>
      </c>
      <c r="C3565" s="288" t="s">
        <v>7079</v>
      </c>
      <c r="D3565" s="303">
        <v>19.100000000000001</v>
      </c>
    </row>
    <row r="3566" spans="1:4" ht="27">
      <c r="A3566" s="288" t="s">
        <v>13396</v>
      </c>
      <c r="B3566" s="289" t="s">
        <v>13397</v>
      </c>
      <c r="C3566" s="288" t="s">
        <v>7079</v>
      </c>
      <c r="D3566" s="303">
        <v>163.38999999999999</v>
      </c>
    </row>
    <row r="3567" spans="1:4" ht="18">
      <c r="A3567" s="288" t="s">
        <v>13398</v>
      </c>
      <c r="B3567" s="289" t="s">
        <v>13399</v>
      </c>
      <c r="C3567" s="288" t="s">
        <v>7079</v>
      </c>
      <c r="D3567" s="303">
        <v>115.87</v>
      </c>
    </row>
    <row r="3568" spans="1:4" ht="27">
      <c r="A3568" s="288" t="s">
        <v>13400</v>
      </c>
      <c r="B3568" s="289" t="s">
        <v>13401</v>
      </c>
      <c r="C3568" s="288" t="s">
        <v>7079</v>
      </c>
      <c r="D3568" s="303">
        <v>72.73</v>
      </c>
    </row>
    <row r="3569" spans="1:4" ht="36">
      <c r="A3569" s="288" t="s">
        <v>13402</v>
      </c>
      <c r="B3569" s="289" t="s">
        <v>13403</v>
      </c>
      <c r="C3569" s="288" t="s">
        <v>7079</v>
      </c>
      <c r="D3569" s="303">
        <v>340.52</v>
      </c>
    </row>
    <row r="3570" spans="1:4" ht="36">
      <c r="A3570" s="288" t="s">
        <v>13404</v>
      </c>
      <c r="B3570" s="289" t="s">
        <v>13405</v>
      </c>
      <c r="C3570" s="288" t="s">
        <v>7079</v>
      </c>
      <c r="D3570" s="303">
        <v>402.94</v>
      </c>
    </row>
    <row r="3571" spans="1:4" ht="27">
      <c r="A3571" s="288" t="s">
        <v>13406</v>
      </c>
      <c r="B3571" s="289" t="s">
        <v>13407</v>
      </c>
      <c r="C3571" s="288" t="s">
        <v>7079</v>
      </c>
      <c r="D3571" s="303">
        <v>257.45</v>
      </c>
    </row>
    <row r="3572" spans="1:4" ht="27">
      <c r="A3572" s="288" t="s">
        <v>13408</v>
      </c>
      <c r="B3572" s="289" t="s">
        <v>13409</v>
      </c>
      <c r="C3572" s="288" t="s">
        <v>7079</v>
      </c>
      <c r="D3572" s="303">
        <v>34.1</v>
      </c>
    </row>
    <row r="3573" spans="1:4" ht="18">
      <c r="A3573" s="288" t="s">
        <v>13410</v>
      </c>
      <c r="B3573" s="289" t="s">
        <v>13411</v>
      </c>
      <c r="C3573" s="288" t="s">
        <v>7079</v>
      </c>
      <c r="D3573" s="303">
        <v>15.13</v>
      </c>
    </row>
    <row r="3574" spans="1:4">
      <c r="A3574" s="287" t="s">
        <v>13412</v>
      </c>
      <c r="B3574" s="287"/>
      <c r="C3574" s="287"/>
      <c r="D3574" s="296" t="s">
        <v>28729</v>
      </c>
    </row>
    <row r="3575" spans="1:4" ht="18">
      <c r="A3575" s="288" t="s">
        <v>13413</v>
      </c>
      <c r="B3575" s="289" t="s">
        <v>13414</v>
      </c>
      <c r="C3575" s="288" t="s">
        <v>7079</v>
      </c>
      <c r="D3575" s="303">
        <v>18.73</v>
      </c>
    </row>
    <row r="3576" spans="1:4" ht="18">
      <c r="A3576" s="288" t="s">
        <v>13415</v>
      </c>
      <c r="B3576" s="289" t="s">
        <v>13416</v>
      </c>
      <c r="C3576" s="288" t="s">
        <v>7079</v>
      </c>
      <c r="D3576" s="303">
        <v>19.73</v>
      </c>
    </row>
    <row r="3577" spans="1:4" ht="18">
      <c r="A3577" s="288" t="s">
        <v>13417</v>
      </c>
      <c r="B3577" s="289" t="s">
        <v>13418</v>
      </c>
      <c r="C3577" s="288" t="s">
        <v>7079</v>
      </c>
      <c r="D3577" s="303">
        <v>37.65</v>
      </c>
    </row>
    <row r="3578" spans="1:4" ht="18">
      <c r="A3578" s="288" t="s">
        <v>13419</v>
      </c>
      <c r="B3578" s="289" t="s">
        <v>13420</v>
      </c>
      <c r="C3578" s="288" t="s">
        <v>7079</v>
      </c>
      <c r="D3578" s="303">
        <v>10.44</v>
      </c>
    </row>
    <row r="3579" spans="1:4" ht="18">
      <c r="A3579" s="288" t="s">
        <v>13421</v>
      </c>
      <c r="B3579" s="289" t="s">
        <v>13422</v>
      </c>
      <c r="C3579" s="288" t="s">
        <v>7079</v>
      </c>
      <c r="D3579" s="303">
        <v>121.71</v>
      </c>
    </row>
    <row r="3580" spans="1:4" ht="18">
      <c r="A3580" s="288" t="s">
        <v>13423</v>
      </c>
      <c r="B3580" s="289" t="s">
        <v>13424</v>
      </c>
      <c r="C3580" s="288" t="s">
        <v>7079</v>
      </c>
      <c r="D3580" s="303">
        <v>114.16</v>
      </c>
    </row>
    <row r="3581" spans="1:4" ht="18">
      <c r="A3581" s="288" t="s">
        <v>13425</v>
      </c>
      <c r="B3581" s="289" t="s">
        <v>13426</v>
      </c>
      <c r="C3581" s="288" t="s">
        <v>7079</v>
      </c>
      <c r="D3581" s="303">
        <v>10.36</v>
      </c>
    </row>
    <row r="3582" spans="1:4" ht="45">
      <c r="A3582" s="287" t="s">
        <v>13427</v>
      </c>
      <c r="B3582" s="287"/>
      <c r="C3582" s="287"/>
      <c r="D3582" s="296" t="s">
        <v>28729</v>
      </c>
    </row>
    <row r="3583" spans="1:4" ht="27">
      <c r="A3583" s="288" t="s">
        <v>13428</v>
      </c>
      <c r="B3583" s="289" t="s">
        <v>13429</v>
      </c>
      <c r="C3583" s="288" t="s">
        <v>54</v>
      </c>
      <c r="D3583" s="303">
        <v>2.81</v>
      </c>
    </row>
    <row r="3584" spans="1:4" ht="27">
      <c r="A3584" s="288" t="s">
        <v>13430</v>
      </c>
      <c r="B3584" s="289" t="s">
        <v>13431</v>
      </c>
      <c r="C3584" s="288" t="s">
        <v>54</v>
      </c>
      <c r="D3584" s="303">
        <v>3.9</v>
      </c>
    </row>
    <row r="3585" spans="1:4" ht="27">
      <c r="A3585" s="288" t="s">
        <v>13432</v>
      </c>
      <c r="B3585" s="289" t="s">
        <v>13433</v>
      </c>
      <c r="C3585" s="288" t="s">
        <v>54</v>
      </c>
      <c r="D3585" s="303">
        <v>5.36</v>
      </c>
    </row>
    <row r="3586" spans="1:4" ht="27">
      <c r="A3586" s="288" t="s">
        <v>13434</v>
      </c>
      <c r="B3586" s="289" t="s">
        <v>13435</v>
      </c>
      <c r="C3586" s="288" t="s">
        <v>54</v>
      </c>
      <c r="D3586" s="303">
        <v>6.94</v>
      </c>
    </row>
    <row r="3587" spans="1:4" ht="27">
      <c r="A3587" s="288" t="s">
        <v>13436</v>
      </c>
      <c r="B3587" s="289" t="s">
        <v>13437</v>
      </c>
      <c r="C3587" s="288" t="s">
        <v>54</v>
      </c>
      <c r="D3587" s="303">
        <v>12.5</v>
      </c>
    </row>
    <row r="3588" spans="1:4" ht="27">
      <c r="A3588" s="288" t="s">
        <v>13438</v>
      </c>
      <c r="B3588" s="289" t="s">
        <v>13439</v>
      </c>
      <c r="C3588" s="288" t="s">
        <v>54</v>
      </c>
      <c r="D3588" s="303">
        <v>19.329999999999998</v>
      </c>
    </row>
    <row r="3589" spans="1:4" ht="27">
      <c r="A3589" s="288" t="s">
        <v>13440</v>
      </c>
      <c r="B3589" s="289" t="s">
        <v>13441</v>
      </c>
      <c r="C3589" s="288" t="s">
        <v>54</v>
      </c>
      <c r="D3589" s="303">
        <v>28.39</v>
      </c>
    </row>
    <row r="3590" spans="1:4" ht="27">
      <c r="A3590" s="288" t="s">
        <v>13442</v>
      </c>
      <c r="B3590" s="289" t="s">
        <v>13443</v>
      </c>
      <c r="C3590" s="288" t="s">
        <v>54</v>
      </c>
      <c r="D3590" s="303">
        <v>42.89</v>
      </c>
    </row>
    <row r="3591" spans="1:4" ht="27">
      <c r="A3591" s="288" t="s">
        <v>13444</v>
      </c>
      <c r="B3591" s="289" t="s">
        <v>13445</v>
      </c>
      <c r="C3591" s="288" t="s">
        <v>54</v>
      </c>
      <c r="D3591" s="303">
        <v>83.23</v>
      </c>
    </row>
    <row r="3592" spans="1:4" ht="18">
      <c r="A3592" s="288" t="s">
        <v>13446</v>
      </c>
      <c r="B3592" s="289" t="s">
        <v>13447</v>
      </c>
      <c r="C3592" s="288" t="s">
        <v>54</v>
      </c>
      <c r="D3592" s="303">
        <v>6.53</v>
      </c>
    </row>
    <row r="3593" spans="1:4" ht="54">
      <c r="A3593" s="287" t="s">
        <v>13448</v>
      </c>
      <c r="B3593" s="287"/>
      <c r="C3593" s="287"/>
      <c r="D3593" s="296" t="s">
        <v>28729</v>
      </c>
    </row>
    <row r="3594" spans="1:4" ht="27">
      <c r="A3594" s="288" t="s">
        <v>13449</v>
      </c>
      <c r="B3594" s="289" t="s">
        <v>13450</v>
      </c>
      <c r="C3594" s="288" t="s">
        <v>54</v>
      </c>
      <c r="D3594" s="303">
        <v>3.21</v>
      </c>
    </row>
    <row r="3595" spans="1:4" ht="27">
      <c r="A3595" s="288" t="s">
        <v>13451</v>
      </c>
      <c r="B3595" s="289" t="s">
        <v>13452</v>
      </c>
      <c r="C3595" s="288" t="s">
        <v>54</v>
      </c>
      <c r="D3595" s="303">
        <v>4.3499999999999996</v>
      </c>
    </row>
    <row r="3596" spans="1:4" ht="27">
      <c r="A3596" s="288" t="s">
        <v>13453</v>
      </c>
      <c r="B3596" s="289" t="s">
        <v>13454</v>
      </c>
      <c r="C3596" s="288" t="s">
        <v>54</v>
      </c>
      <c r="D3596" s="303">
        <v>13.1</v>
      </c>
    </row>
    <row r="3597" spans="1:4" ht="27">
      <c r="A3597" s="288" t="s">
        <v>13455</v>
      </c>
      <c r="B3597" s="289" t="s">
        <v>13456</v>
      </c>
      <c r="C3597" s="288" t="s">
        <v>54</v>
      </c>
      <c r="D3597" s="303">
        <v>19.670000000000002</v>
      </c>
    </row>
    <row r="3598" spans="1:4" ht="27">
      <c r="A3598" s="288" t="s">
        <v>13457</v>
      </c>
      <c r="B3598" s="289" t="s">
        <v>13458</v>
      </c>
      <c r="C3598" s="288" t="s">
        <v>54</v>
      </c>
      <c r="D3598" s="303">
        <v>31.9</v>
      </c>
    </row>
    <row r="3599" spans="1:4" ht="27">
      <c r="A3599" s="288" t="s">
        <v>13459</v>
      </c>
      <c r="B3599" s="289" t="s">
        <v>13460</v>
      </c>
      <c r="C3599" s="288" t="s">
        <v>54</v>
      </c>
      <c r="D3599" s="303">
        <v>48.93</v>
      </c>
    </row>
    <row r="3600" spans="1:4" ht="27">
      <c r="A3600" s="288" t="s">
        <v>13461</v>
      </c>
      <c r="B3600" s="289" t="s">
        <v>13462</v>
      </c>
      <c r="C3600" s="288" t="s">
        <v>54</v>
      </c>
      <c r="D3600" s="303">
        <v>110.93</v>
      </c>
    </row>
    <row r="3601" spans="1:4" ht="27">
      <c r="A3601" s="288" t="s">
        <v>13463</v>
      </c>
      <c r="B3601" s="289" t="s">
        <v>13464</v>
      </c>
      <c r="C3601" s="288" t="s">
        <v>54</v>
      </c>
      <c r="D3601" s="303">
        <v>133.71</v>
      </c>
    </row>
    <row r="3602" spans="1:4" ht="27">
      <c r="A3602" s="288" t="s">
        <v>13465</v>
      </c>
      <c r="B3602" s="289" t="s">
        <v>13466</v>
      </c>
      <c r="C3602" s="288" t="s">
        <v>54</v>
      </c>
      <c r="D3602" s="303">
        <v>155.76</v>
      </c>
    </row>
    <row r="3603" spans="1:4" ht="27">
      <c r="A3603" s="288" t="s">
        <v>13467</v>
      </c>
      <c r="B3603" s="289" t="s">
        <v>13468</v>
      </c>
      <c r="C3603" s="288" t="s">
        <v>54</v>
      </c>
      <c r="D3603" s="303">
        <v>185.01</v>
      </c>
    </row>
    <row r="3604" spans="1:4" ht="27">
      <c r="A3604" s="288" t="s">
        <v>13469</v>
      </c>
      <c r="B3604" s="289" t="s">
        <v>13470</v>
      </c>
      <c r="C3604" s="288" t="s">
        <v>54</v>
      </c>
      <c r="D3604" s="303">
        <v>230.07</v>
      </c>
    </row>
    <row r="3605" spans="1:4" ht="27">
      <c r="A3605" s="288" t="s">
        <v>13471</v>
      </c>
      <c r="B3605" s="289" t="s">
        <v>13472</v>
      </c>
      <c r="C3605" s="288" t="s">
        <v>54</v>
      </c>
      <c r="D3605" s="303">
        <v>321.23</v>
      </c>
    </row>
    <row r="3606" spans="1:4" ht="27">
      <c r="A3606" s="288" t="s">
        <v>13473</v>
      </c>
      <c r="B3606" s="289" t="s">
        <v>13474</v>
      </c>
      <c r="C3606" s="288" t="s">
        <v>54</v>
      </c>
      <c r="D3606" s="303">
        <v>81.59</v>
      </c>
    </row>
    <row r="3607" spans="1:4" ht="18">
      <c r="A3607" s="288" t="s">
        <v>13475</v>
      </c>
      <c r="B3607" s="289" t="s">
        <v>13476</v>
      </c>
      <c r="C3607" s="288" t="s">
        <v>54</v>
      </c>
      <c r="D3607" s="303">
        <v>16.100000000000001</v>
      </c>
    </row>
    <row r="3608" spans="1:4" ht="27">
      <c r="A3608" s="288" t="s">
        <v>13477</v>
      </c>
      <c r="B3608" s="289" t="s">
        <v>13478</v>
      </c>
      <c r="C3608" s="288" t="s">
        <v>54</v>
      </c>
      <c r="D3608" s="303">
        <v>5.87</v>
      </c>
    </row>
    <row r="3609" spans="1:4">
      <c r="A3609" s="288" t="s">
        <v>13479</v>
      </c>
      <c r="B3609" s="289" t="s">
        <v>13480</v>
      </c>
      <c r="C3609" s="288" t="s">
        <v>54</v>
      </c>
      <c r="D3609" s="303">
        <v>6.68</v>
      </c>
    </row>
    <row r="3610" spans="1:4">
      <c r="A3610" s="288" t="s">
        <v>13481</v>
      </c>
      <c r="B3610" s="289" t="s">
        <v>13482</v>
      </c>
      <c r="C3610" s="288" t="s">
        <v>54</v>
      </c>
      <c r="D3610" s="303">
        <v>11.68</v>
      </c>
    </row>
    <row r="3611" spans="1:4" ht="18">
      <c r="A3611" s="288" t="s">
        <v>13483</v>
      </c>
      <c r="B3611" s="289" t="s">
        <v>13484</v>
      </c>
      <c r="C3611" s="288" t="s">
        <v>54</v>
      </c>
      <c r="D3611" s="303">
        <v>12.86</v>
      </c>
    </row>
    <row r="3612" spans="1:4" ht="18">
      <c r="A3612" s="288" t="s">
        <v>13485</v>
      </c>
      <c r="B3612" s="289" t="s">
        <v>13486</v>
      </c>
      <c r="C3612" s="288" t="s">
        <v>54</v>
      </c>
      <c r="D3612" s="303">
        <v>19.43</v>
      </c>
    </row>
    <row r="3613" spans="1:4" ht="18">
      <c r="A3613" s="288" t="s">
        <v>13487</v>
      </c>
      <c r="B3613" s="289" t="s">
        <v>13488</v>
      </c>
      <c r="C3613" s="288" t="s">
        <v>54</v>
      </c>
      <c r="D3613" s="303">
        <v>31.31</v>
      </c>
    </row>
    <row r="3614" spans="1:4" ht="18">
      <c r="A3614" s="288" t="s">
        <v>13489</v>
      </c>
      <c r="B3614" s="289" t="s">
        <v>13490</v>
      </c>
      <c r="C3614" s="288" t="s">
        <v>54</v>
      </c>
      <c r="D3614" s="303">
        <v>48.61</v>
      </c>
    </row>
    <row r="3615" spans="1:4" ht="18">
      <c r="A3615" s="288" t="s">
        <v>13491</v>
      </c>
      <c r="B3615" s="289" t="s">
        <v>13492</v>
      </c>
      <c r="C3615" s="288" t="s">
        <v>54</v>
      </c>
      <c r="D3615" s="303">
        <v>83.23</v>
      </c>
    </row>
    <row r="3616" spans="1:4" ht="18">
      <c r="A3616" s="288" t="s">
        <v>13493</v>
      </c>
      <c r="B3616" s="289" t="s">
        <v>13494</v>
      </c>
      <c r="C3616" s="288" t="s">
        <v>54</v>
      </c>
      <c r="D3616" s="303">
        <v>116.36</v>
      </c>
    </row>
    <row r="3617" spans="1:4" ht="18">
      <c r="A3617" s="288" t="s">
        <v>13495</v>
      </c>
      <c r="B3617" s="289" t="s">
        <v>13496</v>
      </c>
      <c r="C3617" s="288" t="s">
        <v>54</v>
      </c>
      <c r="D3617" s="303">
        <v>112.81</v>
      </c>
    </row>
    <row r="3618" spans="1:4" ht="18">
      <c r="A3618" s="288" t="s">
        <v>13497</v>
      </c>
      <c r="B3618" s="289" t="s">
        <v>13498</v>
      </c>
      <c r="C3618" s="288" t="s">
        <v>54</v>
      </c>
      <c r="D3618" s="303">
        <v>132.93</v>
      </c>
    </row>
    <row r="3619" spans="1:4" ht="18">
      <c r="A3619" s="288" t="s">
        <v>13499</v>
      </c>
      <c r="B3619" s="289" t="s">
        <v>13500</v>
      </c>
      <c r="C3619" s="288" t="s">
        <v>54</v>
      </c>
      <c r="D3619" s="303">
        <v>240.68</v>
      </c>
    </row>
    <row r="3620" spans="1:4" ht="45">
      <c r="A3620" s="287" t="s">
        <v>13501</v>
      </c>
      <c r="B3620" s="287"/>
      <c r="C3620" s="287"/>
      <c r="D3620" s="296" t="s">
        <v>28729</v>
      </c>
    </row>
    <row r="3621" spans="1:4" ht="18">
      <c r="A3621" s="288" t="s">
        <v>13502</v>
      </c>
      <c r="B3621" s="289" t="s">
        <v>13503</v>
      </c>
      <c r="C3621" s="288" t="s">
        <v>54</v>
      </c>
      <c r="D3621" s="303">
        <v>50.35</v>
      </c>
    </row>
    <row r="3622" spans="1:4" ht="18">
      <c r="A3622" s="287" t="s">
        <v>13504</v>
      </c>
      <c r="B3622" s="287"/>
      <c r="C3622" s="287"/>
      <c r="D3622" s="296" t="s">
        <v>28729</v>
      </c>
    </row>
    <row r="3623" spans="1:4" ht="18">
      <c r="A3623" s="288" t="s">
        <v>13505</v>
      </c>
      <c r="B3623" s="289" t="s">
        <v>13506</v>
      </c>
      <c r="C3623" s="288" t="s">
        <v>54</v>
      </c>
      <c r="D3623" s="303">
        <v>6.86</v>
      </c>
    </row>
    <row r="3624" spans="1:4" ht="18">
      <c r="A3624" s="288" t="s">
        <v>13507</v>
      </c>
      <c r="B3624" s="289" t="s">
        <v>13508</v>
      </c>
      <c r="C3624" s="288" t="s">
        <v>54</v>
      </c>
      <c r="D3624" s="303">
        <v>9.7799999999999994</v>
      </c>
    </row>
    <row r="3625" spans="1:4" ht="18">
      <c r="A3625" s="288" t="s">
        <v>13509</v>
      </c>
      <c r="B3625" s="289" t="s">
        <v>13510</v>
      </c>
      <c r="C3625" s="288" t="s">
        <v>54</v>
      </c>
      <c r="D3625" s="303">
        <v>1.91</v>
      </c>
    </row>
    <row r="3626" spans="1:4" ht="18">
      <c r="A3626" s="288" t="s">
        <v>13511</v>
      </c>
      <c r="B3626" s="289" t="s">
        <v>13512</v>
      </c>
      <c r="C3626" s="288" t="s">
        <v>54</v>
      </c>
      <c r="D3626" s="303">
        <v>3.38</v>
      </c>
    </row>
    <row r="3627" spans="1:4" ht="18">
      <c r="A3627" s="288" t="s">
        <v>13513</v>
      </c>
      <c r="B3627" s="289" t="s">
        <v>13514</v>
      </c>
      <c r="C3627" s="288" t="s">
        <v>54</v>
      </c>
      <c r="D3627" s="303">
        <v>5.55</v>
      </c>
    </row>
    <row r="3628" spans="1:4" ht="18">
      <c r="A3628" s="288" t="s">
        <v>13515</v>
      </c>
      <c r="B3628" s="289" t="s">
        <v>13516</v>
      </c>
      <c r="C3628" s="288" t="s">
        <v>54</v>
      </c>
      <c r="D3628" s="303">
        <v>46.92</v>
      </c>
    </row>
    <row r="3629" spans="1:4">
      <c r="A3629" s="287" t="s">
        <v>13517</v>
      </c>
      <c r="B3629" s="287"/>
      <c r="C3629" s="287"/>
      <c r="D3629" s="296" t="s">
        <v>28729</v>
      </c>
    </row>
    <row r="3630" spans="1:4" ht="18">
      <c r="A3630" s="288" t="s">
        <v>13518</v>
      </c>
      <c r="B3630" s="289" t="s">
        <v>13519</v>
      </c>
      <c r="C3630" s="288" t="s">
        <v>10941</v>
      </c>
      <c r="D3630" s="303">
        <v>59.41</v>
      </c>
    </row>
    <row r="3631" spans="1:4" ht="18">
      <c r="A3631" s="288" t="s">
        <v>13520</v>
      </c>
      <c r="B3631" s="289" t="s">
        <v>13521</v>
      </c>
      <c r="C3631" s="288" t="s">
        <v>10941</v>
      </c>
      <c r="D3631" s="303">
        <v>57.11</v>
      </c>
    </row>
    <row r="3632" spans="1:4" ht="18">
      <c r="A3632" s="288" t="s">
        <v>13522</v>
      </c>
      <c r="B3632" s="289" t="s">
        <v>13523</v>
      </c>
      <c r="C3632" s="288" t="s">
        <v>10941</v>
      </c>
      <c r="D3632" s="303">
        <v>88.4</v>
      </c>
    </row>
    <row r="3633" spans="1:4" ht="18">
      <c r="A3633" s="288" t="s">
        <v>13524</v>
      </c>
      <c r="B3633" s="289" t="s">
        <v>13525</v>
      </c>
      <c r="C3633" s="288" t="s">
        <v>10941</v>
      </c>
      <c r="D3633" s="303">
        <v>124.36</v>
      </c>
    </row>
    <row r="3634" spans="1:4" ht="18">
      <c r="A3634" s="288" t="s">
        <v>13526</v>
      </c>
      <c r="B3634" s="289" t="s">
        <v>13527</v>
      </c>
      <c r="C3634" s="288" t="s">
        <v>10941</v>
      </c>
      <c r="D3634" s="303">
        <v>124.92</v>
      </c>
    </row>
    <row r="3635" spans="1:4" ht="45">
      <c r="A3635" s="287" t="s">
        <v>13528</v>
      </c>
      <c r="B3635" s="287"/>
      <c r="C3635" s="287"/>
      <c r="D3635" s="296" t="s">
        <v>28729</v>
      </c>
    </row>
    <row r="3636" spans="1:4" ht="27">
      <c r="A3636" s="288" t="s">
        <v>13529</v>
      </c>
      <c r="B3636" s="289" t="s">
        <v>13530</v>
      </c>
      <c r="C3636" s="288" t="s">
        <v>54</v>
      </c>
      <c r="D3636" s="303">
        <v>2.23</v>
      </c>
    </row>
    <row r="3637" spans="1:4" ht="27">
      <c r="A3637" s="288" t="s">
        <v>13531</v>
      </c>
      <c r="B3637" s="289" t="s">
        <v>13532</v>
      </c>
      <c r="C3637" s="288" t="s">
        <v>54</v>
      </c>
      <c r="D3637" s="303">
        <v>3.01</v>
      </c>
    </row>
    <row r="3638" spans="1:4" ht="27">
      <c r="A3638" s="288" t="s">
        <v>13533</v>
      </c>
      <c r="B3638" s="289" t="s">
        <v>13534</v>
      </c>
      <c r="C3638" s="288" t="s">
        <v>54</v>
      </c>
      <c r="D3638" s="303">
        <v>4.24</v>
      </c>
    </row>
    <row r="3639" spans="1:4" ht="27">
      <c r="A3639" s="288" t="s">
        <v>13535</v>
      </c>
      <c r="B3639" s="289" t="s">
        <v>13536</v>
      </c>
      <c r="C3639" s="288" t="s">
        <v>54</v>
      </c>
      <c r="D3639" s="303">
        <v>5.85</v>
      </c>
    </row>
    <row r="3640" spans="1:4" ht="27">
      <c r="A3640" s="288" t="s">
        <v>13537</v>
      </c>
      <c r="B3640" s="289" t="s">
        <v>13538</v>
      </c>
      <c r="C3640" s="288" t="s">
        <v>54</v>
      </c>
      <c r="D3640" s="303">
        <v>5.58</v>
      </c>
    </row>
    <row r="3641" spans="1:4" ht="27">
      <c r="A3641" s="288" t="s">
        <v>13539</v>
      </c>
      <c r="B3641" s="289" t="s">
        <v>13540</v>
      </c>
      <c r="C3641" s="288" t="s">
        <v>54</v>
      </c>
      <c r="D3641" s="303">
        <v>14.18</v>
      </c>
    </row>
    <row r="3642" spans="1:4" ht="18">
      <c r="A3642" s="288" t="s">
        <v>13541</v>
      </c>
      <c r="B3642" s="289" t="s">
        <v>13542</v>
      </c>
      <c r="C3642" s="288" t="s">
        <v>54</v>
      </c>
      <c r="D3642" s="303">
        <v>5.1100000000000003</v>
      </c>
    </row>
    <row r="3643" spans="1:4" ht="18">
      <c r="A3643" s="288" t="s">
        <v>13543</v>
      </c>
      <c r="B3643" s="289" t="s">
        <v>13544</v>
      </c>
      <c r="C3643" s="288" t="s">
        <v>54</v>
      </c>
      <c r="D3643" s="303">
        <v>6.41</v>
      </c>
    </row>
    <row r="3644" spans="1:4" ht="18">
      <c r="A3644" s="288" t="s">
        <v>13545</v>
      </c>
      <c r="B3644" s="289" t="s">
        <v>13546</v>
      </c>
      <c r="C3644" s="288" t="s">
        <v>54</v>
      </c>
      <c r="D3644" s="303">
        <v>7.87</v>
      </c>
    </row>
    <row r="3645" spans="1:4">
      <c r="A3645" s="287" t="s">
        <v>13547</v>
      </c>
      <c r="B3645" s="287"/>
      <c r="C3645" s="287"/>
      <c r="D3645" s="296" t="s">
        <v>28729</v>
      </c>
    </row>
    <row r="3646" spans="1:4">
      <c r="A3646" s="288" t="s">
        <v>13548</v>
      </c>
      <c r="B3646" s="289" t="s">
        <v>13549</v>
      </c>
      <c r="C3646" s="288" t="s">
        <v>54</v>
      </c>
      <c r="D3646" s="303">
        <v>1.45</v>
      </c>
    </row>
    <row r="3647" spans="1:4">
      <c r="A3647" s="288" t="s">
        <v>13550</v>
      </c>
      <c r="B3647" s="289" t="s">
        <v>13551</v>
      </c>
      <c r="C3647" s="288" t="s">
        <v>54</v>
      </c>
      <c r="D3647" s="303">
        <v>2.0299999999999998</v>
      </c>
    </row>
    <row r="3648" spans="1:4">
      <c r="A3648" s="288" t="s">
        <v>13552</v>
      </c>
      <c r="B3648" s="289" t="s">
        <v>13553</v>
      </c>
      <c r="C3648" s="288" t="s">
        <v>54</v>
      </c>
      <c r="D3648" s="303">
        <v>2.4700000000000002</v>
      </c>
    </row>
    <row r="3649" spans="1:4">
      <c r="A3649" s="288" t="s">
        <v>13554</v>
      </c>
      <c r="B3649" s="289" t="s">
        <v>13555</v>
      </c>
      <c r="C3649" s="288" t="s">
        <v>54</v>
      </c>
      <c r="D3649" s="303">
        <v>5.51</v>
      </c>
    </row>
    <row r="3650" spans="1:4">
      <c r="A3650" s="288" t="s">
        <v>13556</v>
      </c>
      <c r="B3650" s="289" t="s">
        <v>13557</v>
      </c>
      <c r="C3650" s="288" t="s">
        <v>54</v>
      </c>
      <c r="D3650" s="303">
        <v>7.29</v>
      </c>
    </row>
    <row r="3651" spans="1:4">
      <c r="A3651" s="288" t="s">
        <v>13558</v>
      </c>
      <c r="B3651" s="289" t="s">
        <v>13559</v>
      </c>
      <c r="C3651" s="288" t="s">
        <v>54</v>
      </c>
      <c r="D3651" s="303">
        <v>10.1</v>
      </c>
    </row>
    <row r="3652" spans="1:4">
      <c r="A3652" s="288" t="s">
        <v>13560</v>
      </c>
      <c r="B3652" s="289" t="s">
        <v>13561</v>
      </c>
      <c r="C3652" s="288" t="s">
        <v>54</v>
      </c>
      <c r="D3652" s="303">
        <v>24.97</v>
      </c>
    </row>
    <row r="3653" spans="1:4">
      <c r="A3653" s="287" t="s">
        <v>13562</v>
      </c>
      <c r="B3653" s="287"/>
      <c r="C3653" s="287"/>
      <c r="D3653" s="296" t="s">
        <v>28729</v>
      </c>
    </row>
    <row r="3654" spans="1:4" ht="18">
      <c r="A3654" s="288" t="s">
        <v>13563</v>
      </c>
      <c r="B3654" s="289" t="s">
        <v>13564</v>
      </c>
      <c r="C3654" s="288" t="s">
        <v>7079</v>
      </c>
      <c r="D3654" s="303">
        <v>12.02</v>
      </c>
    </row>
    <row r="3655" spans="1:4" ht="18">
      <c r="A3655" s="288" t="s">
        <v>13565</v>
      </c>
      <c r="B3655" s="289" t="s">
        <v>13566</v>
      </c>
      <c r="C3655" s="288" t="s">
        <v>7079</v>
      </c>
      <c r="D3655" s="303">
        <v>11.15</v>
      </c>
    </row>
    <row r="3656" spans="1:4" ht="18">
      <c r="A3656" s="288" t="s">
        <v>13567</v>
      </c>
      <c r="B3656" s="289" t="s">
        <v>13568</v>
      </c>
      <c r="C3656" s="288" t="s">
        <v>7079</v>
      </c>
      <c r="D3656" s="303">
        <v>13.37</v>
      </c>
    </row>
    <row r="3657" spans="1:4" ht="18">
      <c r="A3657" s="288" t="s">
        <v>13569</v>
      </c>
      <c r="B3657" s="289" t="s">
        <v>13570</v>
      </c>
      <c r="C3657" s="288" t="s">
        <v>7079</v>
      </c>
      <c r="D3657" s="303">
        <v>7.64</v>
      </c>
    </row>
    <row r="3658" spans="1:4" ht="18">
      <c r="A3658" s="288" t="s">
        <v>13571</v>
      </c>
      <c r="B3658" s="289" t="s">
        <v>13572</v>
      </c>
      <c r="C3658" s="288" t="s">
        <v>7079</v>
      </c>
      <c r="D3658" s="303">
        <v>11.69</v>
      </c>
    </row>
    <row r="3659" spans="1:4" ht="18">
      <c r="A3659" s="288" t="s">
        <v>13573</v>
      </c>
      <c r="B3659" s="289" t="s">
        <v>13574</v>
      </c>
      <c r="C3659" s="288" t="s">
        <v>7079</v>
      </c>
      <c r="D3659" s="303">
        <v>84.49</v>
      </c>
    </row>
    <row r="3660" spans="1:4" ht="18">
      <c r="A3660" s="288" t="s">
        <v>13575</v>
      </c>
      <c r="B3660" s="289" t="s">
        <v>13576</v>
      </c>
      <c r="C3660" s="288" t="s">
        <v>7079</v>
      </c>
      <c r="D3660" s="303">
        <v>50.35</v>
      </c>
    </row>
    <row r="3661" spans="1:4" ht="18">
      <c r="A3661" s="288" t="s">
        <v>13577</v>
      </c>
      <c r="B3661" s="289" t="s">
        <v>13578</v>
      </c>
      <c r="C3661" s="288" t="s">
        <v>7079</v>
      </c>
      <c r="D3661" s="303">
        <v>156.5</v>
      </c>
    </row>
    <row r="3662" spans="1:4" ht="18">
      <c r="A3662" s="288" t="s">
        <v>13579</v>
      </c>
      <c r="B3662" s="289" t="s">
        <v>13580</v>
      </c>
      <c r="C3662" s="288" t="s">
        <v>7079</v>
      </c>
      <c r="D3662" s="303">
        <v>279.24</v>
      </c>
    </row>
    <row r="3663" spans="1:4" ht="18">
      <c r="A3663" s="288" t="s">
        <v>13581</v>
      </c>
      <c r="B3663" s="289" t="s">
        <v>13582</v>
      </c>
      <c r="C3663" s="288" t="s">
        <v>7079</v>
      </c>
      <c r="D3663" s="303">
        <v>502.67</v>
      </c>
    </row>
    <row r="3664" spans="1:4" ht="18">
      <c r="A3664" s="288" t="s">
        <v>13583</v>
      </c>
      <c r="B3664" s="289" t="s">
        <v>13584</v>
      </c>
      <c r="C3664" s="288" t="s">
        <v>7079</v>
      </c>
      <c r="D3664" s="303">
        <v>983.25</v>
      </c>
    </row>
    <row r="3665" spans="1:4" ht="18">
      <c r="A3665" s="288" t="s">
        <v>13585</v>
      </c>
      <c r="B3665" s="289" t="s">
        <v>13586</v>
      </c>
      <c r="C3665" s="288" t="s">
        <v>7079</v>
      </c>
      <c r="D3665" s="303">
        <v>1014.1</v>
      </c>
    </row>
    <row r="3666" spans="1:4" ht="18">
      <c r="A3666" s="288" t="s">
        <v>13587</v>
      </c>
      <c r="B3666" s="289" t="s">
        <v>13588</v>
      </c>
      <c r="C3666" s="288" t="s">
        <v>7079</v>
      </c>
      <c r="D3666" s="303">
        <v>350.16</v>
      </c>
    </row>
    <row r="3667" spans="1:4" ht="18">
      <c r="A3667" s="288" t="s">
        <v>13589</v>
      </c>
      <c r="B3667" s="289" t="s">
        <v>13590</v>
      </c>
      <c r="C3667" s="288" t="s">
        <v>7079</v>
      </c>
      <c r="D3667" s="303">
        <v>414.35</v>
      </c>
    </row>
    <row r="3668" spans="1:4" ht="18">
      <c r="A3668" s="288" t="s">
        <v>13591</v>
      </c>
      <c r="B3668" s="289" t="s">
        <v>13592</v>
      </c>
      <c r="C3668" s="288" t="s">
        <v>38</v>
      </c>
      <c r="D3668" s="303">
        <v>119.87</v>
      </c>
    </row>
    <row r="3669" spans="1:4" ht="18">
      <c r="A3669" s="288" t="s">
        <v>13593</v>
      </c>
      <c r="B3669" s="289" t="s">
        <v>13594</v>
      </c>
      <c r="C3669" s="288" t="s">
        <v>7079</v>
      </c>
      <c r="D3669" s="303">
        <v>15.18</v>
      </c>
    </row>
    <row r="3670" spans="1:4" ht="18">
      <c r="A3670" s="288" t="s">
        <v>13595</v>
      </c>
      <c r="B3670" s="289" t="s">
        <v>13596</v>
      </c>
      <c r="C3670" s="288" t="s">
        <v>7079</v>
      </c>
      <c r="D3670" s="303">
        <v>19.18</v>
      </c>
    </row>
    <row r="3671" spans="1:4" ht="18">
      <c r="A3671" s="288" t="s">
        <v>13597</v>
      </c>
      <c r="B3671" s="289" t="s">
        <v>13598</v>
      </c>
      <c r="C3671" s="288" t="s">
        <v>7079</v>
      </c>
      <c r="D3671" s="303">
        <v>15.18</v>
      </c>
    </row>
    <row r="3672" spans="1:4" ht="18">
      <c r="A3672" s="288" t="s">
        <v>13599</v>
      </c>
      <c r="B3672" s="289" t="s">
        <v>13600</v>
      </c>
      <c r="C3672" s="288" t="s">
        <v>7079</v>
      </c>
      <c r="D3672" s="303">
        <v>17.23</v>
      </c>
    </row>
    <row r="3673" spans="1:4" ht="18">
      <c r="A3673" s="288" t="s">
        <v>13601</v>
      </c>
      <c r="B3673" s="289" t="s">
        <v>13602</v>
      </c>
      <c r="C3673" s="288" t="s">
        <v>7079</v>
      </c>
      <c r="D3673" s="303">
        <v>19.71</v>
      </c>
    </row>
    <row r="3674" spans="1:4" ht="18">
      <c r="A3674" s="288" t="s">
        <v>13603</v>
      </c>
      <c r="B3674" s="289" t="s">
        <v>13604</v>
      </c>
      <c r="C3674" s="288" t="s">
        <v>7079</v>
      </c>
      <c r="D3674" s="303">
        <v>19.22</v>
      </c>
    </row>
    <row r="3675" spans="1:4" ht="18">
      <c r="A3675" s="288" t="s">
        <v>13605</v>
      </c>
      <c r="B3675" s="289" t="s">
        <v>13606</v>
      </c>
      <c r="C3675" s="288" t="s">
        <v>7079</v>
      </c>
      <c r="D3675" s="303">
        <v>24.15</v>
      </c>
    </row>
    <row r="3676" spans="1:4" ht="18">
      <c r="A3676" s="287" t="s">
        <v>13607</v>
      </c>
      <c r="B3676" s="287"/>
      <c r="C3676" s="287"/>
      <c r="D3676" s="296" t="s">
        <v>28729</v>
      </c>
    </row>
    <row r="3677" spans="1:4" ht="27">
      <c r="A3677" s="288" t="s">
        <v>13608</v>
      </c>
      <c r="B3677" s="289" t="s">
        <v>13609</v>
      </c>
      <c r="C3677" s="288" t="s">
        <v>7079</v>
      </c>
      <c r="D3677" s="303">
        <v>89.22</v>
      </c>
    </row>
    <row r="3678" spans="1:4" ht="18">
      <c r="A3678" s="288" t="s">
        <v>13610</v>
      </c>
      <c r="B3678" s="289" t="s">
        <v>13611</v>
      </c>
      <c r="C3678" s="288" t="s">
        <v>7079</v>
      </c>
      <c r="D3678" s="303">
        <v>102.34</v>
      </c>
    </row>
    <row r="3679" spans="1:4" ht="27">
      <c r="A3679" s="288" t="s">
        <v>13612</v>
      </c>
      <c r="B3679" s="289" t="s">
        <v>13613</v>
      </c>
      <c r="C3679" s="288" t="s">
        <v>7079</v>
      </c>
      <c r="D3679" s="303">
        <v>102.4</v>
      </c>
    </row>
    <row r="3680" spans="1:4" ht="27">
      <c r="A3680" s="288" t="s">
        <v>13614</v>
      </c>
      <c r="B3680" s="289" t="s">
        <v>13615</v>
      </c>
      <c r="C3680" s="288" t="s">
        <v>7079</v>
      </c>
      <c r="D3680" s="303">
        <v>168.22</v>
      </c>
    </row>
    <row r="3681" spans="1:4" ht="18">
      <c r="A3681" s="288" t="s">
        <v>13616</v>
      </c>
      <c r="B3681" s="289" t="s">
        <v>13617</v>
      </c>
      <c r="C3681" s="288" t="s">
        <v>7079</v>
      </c>
      <c r="D3681" s="303">
        <v>627.36</v>
      </c>
    </row>
    <row r="3682" spans="1:4" ht="36">
      <c r="A3682" s="288" t="s">
        <v>13618</v>
      </c>
      <c r="B3682" s="289" t="s">
        <v>13619</v>
      </c>
      <c r="C3682" s="288" t="s">
        <v>7079</v>
      </c>
      <c r="D3682" s="303">
        <v>192.43</v>
      </c>
    </row>
    <row r="3683" spans="1:4" ht="36">
      <c r="A3683" s="288" t="s">
        <v>13620</v>
      </c>
      <c r="B3683" s="289" t="s">
        <v>13621</v>
      </c>
      <c r="C3683" s="288" t="s">
        <v>7079</v>
      </c>
      <c r="D3683" s="303">
        <v>242.65</v>
      </c>
    </row>
    <row r="3684" spans="1:4" ht="36">
      <c r="A3684" s="288" t="s">
        <v>13622</v>
      </c>
      <c r="B3684" s="289" t="s">
        <v>13623</v>
      </c>
      <c r="C3684" s="288" t="s">
        <v>7079</v>
      </c>
      <c r="D3684" s="303">
        <v>312.64999999999998</v>
      </c>
    </row>
    <row r="3685" spans="1:4" ht="36">
      <c r="A3685" s="288" t="s">
        <v>13624</v>
      </c>
      <c r="B3685" s="289" t="s">
        <v>13625</v>
      </c>
      <c r="C3685" s="288" t="s">
        <v>7079</v>
      </c>
      <c r="D3685" s="303">
        <v>618.58000000000004</v>
      </c>
    </row>
    <row r="3686" spans="1:4" ht="36">
      <c r="A3686" s="288" t="s">
        <v>13626</v>
      </c>
      <c r="B3686" s="289" t="s">
        <v>13627</v>
      </c>
      <c r="C3686" s="288" t="s">
        <v>7079</v>
      </c>
      <c r="D3686" s="303">
        <v>1949.59</v>
      </c>
    </row>
    <row r="3687" spans="1:4">
      <c r="A3687" s="288" t="s">
        <v>13628</v>
      </c>
      <c r="B3687" s="289" t="s">
        <v>13629</v>
      </c>
      <c r="C3687" s="288" t="s">
        <v>7079</v>
      </c>
      <c r="D3687" s="303">
        <v>1529.75</v>
      </c>
    </row>
    <row r="3688" spans="1:4" ht="27">
      <c r="A3688" s="288" t="s">
        <v>13630</v>
      </c>
      <c r="B3688" s="289" t="s">
        <v>13631</v>
      </c>
      <c r="C3688" s="288" t="s">
        <v>7079</v>
      </c>
      <c r="D3688" s="303">
        <v>1169.02</v>
      </c>
    </row>
    <row r="3689" spans="1:4" ht="18">
      <c r="A3689" s="288" t="s">
        <v>13632</v>
      </c>
      <c r="B3689" s="289" t="s">
        <v>13633</v>
      </c>
      <c r="C3689" s="288" t="s">
        <v>7079</v>
      </c>
      <c r="D3689" s="303">
        <v>15181.14</v>
      </c>
    </row>
    <row r="3690" spans="1:4">
      <c r="A3690" s="287" t="s">
        <v>13634</v>
      </c>
      <c r="B3690" s="287"/>
      <c r="C3690" s="287"/>
      <c r="D3690" s="296" t="s">
        <v>28729</v>
      </c>
    </row>
    <row r="3691" spans="1:4" ht="18">
      <c r="A3691" s="288" t="s">
        <v>13635</v>
      </c>
      <c r="B3691" s="289" t="s">
        <v>13636</v>
      </c>
      <c r="C3691" s="288" t="s">
        <v>7079</v>
      </c>
      <c r="D3691" s="303">
        <v>23.91</v>
      </c>
    </row>
    <row r="3692" spans="1:4">
      <c r="A3692" s="288" t="s">
        <v>13637</v>
      </c>
      <c r="B3692" s="289" t="s">
        <v>13638</v>
      </c>
      <c r="C3692" s="288" t="s">
        <v>7079</v>
      </c>
      <c r="D3692" s="303">
        <v>33.869999999999997</v>
      </c>
    </row>
    <row r="3693" spans="1:4" ht="18">
      <c r="A3693" s="288" t="s">
        <v>13639</v>
      </c>
      <c r="B3693" s="289" t="s">
        <v>13640</v>
      </c>
      <c r="C3693" s="288" t="s">
        <v>7079</v>
      </c>
      <c r="D3693" s="303">
        <v>86.99</v>
      </c>
    </row>
    <row r="3694" spans="1:4" ht="18">
      <c r="A3694" s="288" t="s">
        <v>13641</v>
      </c>
      <c r="B3694" s="289" t="s">
        <v>13642</v>
      </c>
      <c r="C3694" s="288" t="s">
        <v>7079</v>
      </c>
      <c r="D3694" s="303">
        <v>88.91</v>
      </c>
    </row>
    <row r="3695" spans="1:4">
      <c r="A3695" s="288" t="s">
        <v>13643</v>
      </c>
      <c r="B3695" s="289" t="s">
        <v>13644</v>
      </c>
      <c r="C3695" s="288" t="s">
        <v>7079</v>
      </c>
      <c r="D3695" s="303">
        <v>84.42</v>
      </c>
    </row>
    <row r="3696" spans="1:4">
      <c r="A3696" s="288" t="s">
        <v>13645</v>
      </c>
      <c r="B3696" s="289" t="s">
        <v>13646</v>
      </c>
      <c r="C3696" s="288" t="s">
        <v>7079</v>
      </c>
      <c r="D3696" s="303">
        <v>82.31</v>
      </c>
    </row>
    <row r="3697" spans="1:4" ht="18">
      <c r="A3697" s="288" t="s">
        <v>13647</v>
      </c>
      <c r="B3697" s="289" t="s">
        <v>13648</v>
      </c>
      <c r="C3697" s="288" t="s">
        <v>7079</v>
      </c>
      <c r="D3697" s="303">
        <v>82.31</v>
      </c>
    </row>
    <row r="3698" spans="1:4">
      <c r="A3698" s="288" t="s">
        <v>13649</v>
      </c>
      <c r="B3698" s="289" t="s">
        <v>13650</v>
      </c>
      <c r="C3698" s="288" t="s">
        <v>7079</v>
      </c>
      <c r="D3698" s="303">
        <v>621.38</v>
      </c>
    </row>
    <row r="3699" spans="1:4" ht="18">
      <c r="A3699" s="288" t="s">
        <v>13651</v>
      </c>
      <c r="B3699" s="289" t="s">
        <v>13652</v>
      </c>
      <c r="C3699" s="288" t="s">
        <v>7079</v>
      </c>
      <c r="D3699" s="303">
        <v>2391.34</v>
      </c>
    </row>
    <row r="3700" spans="1:4" ht="45">
      <c r="A3700" s="288" t="s">
        <v>13653</v>
      </c>
      <c r="B3700" s="289" t="s">
        <v>13654</v>
      </c>
      <c r="C3700" s="288" t="s">
        <v>7079</v>
      </c>
      <c r="D3700" s="303">
        <v>54003.41</v>
      </c>
    </row>
    <row r="3701" spans="1:4" ht="18">
      <c r="A3701" s="288" t="s">
        <v>13655</v>
      </c>
      <c r="B3701" s="289" t="s">
        <v>13656</v>
      </c>
      <c r="C3701" s="288" t="s">
        <v>7079</v>
      </c>
      <c r="D3701" s="303">
        <v>487.13</v>
      </c>
    </row>
    <row r="3702" spans="1:4" ht="18">
      <c r="A3702" s="288" t="s">
        <v>13657</v>
      </c>
      <c r="B3702" s="289" t="s">
        <v>13658</v>
      </c>
      <c r="C3702" s="288" t="s">
        <v>7079</v>
      </c>
      <c r="D3702" s="303">
        <v>482.23</v>
      </c>
    </row>
    <row r="3703" spans="1:4" ht="18">
      <c r="A3703" s="288" t="s">
        <v>13659</v>
      </c>
      <c r="B3703" s="289" t="s">
        <v>13660</v>
      </c>
      <c r="C3703" s="288" t="s">
        <v>7079</v>
      </c>
      <c r="D3703" s="303">
        <v>819.34</v>
      </c>
    </row>
    <row r="3704" spans="1:4" ht="18">
      <c r="A3704" s="288" t="s">
        <v>13661</v>
      </c>
      <c r="B3704" s="289" t="s">
        <v>13662</v>
      </c>
      <c r="C3704" s="288" t="s">
        <v>7079</v>
      </c>
      <c r="D3704" s="303">
        <v>944.24</v>
      </c>
    </row>
    <row r="3705" spans="1:4" ht="18">
      <c r="A3705" s="288" t="s">
        <v>13663</v>
      </c>
      <c r="B3705" s="289" t="s">
        <v>13664</v>
      </c>
      <c r="C3705" s="288" t="s">
        <v>7079</v>
      </c>
      <c r="D3705" s="303">
        <v>2724.98</v>
      </c>
    </row>
    <row r="3706" spans="1:4" ht="27">
      <c r="A3706" s="288" t="s">
        <v>13665</v>
      </c>
      <c r="B3706" s="289" t="s">
        <v>13666</v>
      </c>
      <c r="C3706" s="288" t="s">
        <v>7079</v>
      </c>
      <c r="D3706" s="303">
        <v>56488.5</v>
      </c>
    </row>
    <row r="3707" spans="1:4">
      <c r="A3707" s="287" t="s">
        <v>13667</v>
      </c>
      <c r="B3707" s="287"/>
      <c r="C3707" s="287"/>
      <c r="D3707" s="296" t="s">
        <v>28729</v>
      </c>
    </row>
    <row r="3708" spans="1:4" ht="18">
      <c r="A3708" s="288" t="s">
        <v>13668</v>
      </c>
      <c r="B3708" s="289" t="s">
        <v>13669</v>
      </c>
      <c r="C3708" s="288" t="s">
        <v>7079</v>
      </c>
      <c r="D3708" s="303">
        <v>1037.45</v>
      </c>
    </row>
    <row r="3709" spans="1:4" ht="18">
      <c r="A3709" s="288" t="s">
        <v>13670</v>
      </c>
      <c r="B3709" s="289" t="s">
        <v>13671</v>
      </c>
      <c r="C3709" s="288" t="s">
        <v>7079</v>
      </c>
      <c r="D3709" s="303">
        <v>399.13</v>
      </c>
    </row>
    <row r="3710" spans="1:4" ht="18">
      <c r="A3710" s="288" t="s">
        <v>13672</v>
      </c>
      <c r="B3710" s="289" t="s">
        <v>13673</v>
      </c>
      <c r="C3710" s="288" t="s">
        <v>7079</v>
      </c>
      <c r="D3710" s="303">
        <v>1094.1300000000001</v>
      </c>
    </row>
    <row r="3711" spans="1:4" ht="18">
      <c r="A3711" s="288" t="s">
        <v>13674</v>
      </c>
      <c r="B3711" s="289" t="s">
        <v>13675</v>
      </c>
      <c r="C3711" s="288" t="s">
        <v>7079</v>
      </c>
      <c r="D3711" s="303">
        <v>3543.11</v>
      </c>
    </row>
    <row r="3712" spans="1:4" ht="18">
      <c r="A3712" s="288" t="s">
        <v>13676</v>
      </c>
      <c r="B3712" s="289" t="s">
        <v>13677</v>
      </c>
      <c r="C3712" s="288" t="s">
        <v>7079</v>
      </c>
      <c r="D3712" s="303">
        <v>6486.98</v>
      </c>
    </row>
    <row r="3713" spans="1:4" ht="18">
      <c r="A3713" s="288" t="s">
        <v>13678</v>
      </c>
      <c r="B3713" s="289" t="s">
        <v>13679</v>
      </c>
      <c r="C3713" s="288" t="s">
        <v>7079</v>
      </c>
      <c r="D3713" s="303">
        <v>174.44</v>
      </c>
    </row>
    <row r="3714" spans="1:4" ht="18">
      <c r="A3714" s="288" t="s">
        <v>13680</v>
      </c>
      <c r="B3714" s="289" t="s">
        <v>13681</v>
      </c>
      <c r="C3714" s="288" t="s">
        <v>7079</v>
      </c>
      <c r="D3714" s="303">
        <v>298.64999999999998</v>
      </c>
    </row>
    <row r="3715" spans="1:4" ht="18">
      <c r="A3715" s="288" t="s">
        <v>13682</v>
      </c>
      <c r="B3715" s="289" t="s">
        <v>13683</v>
      </c>
      <c r="C3715" s="288" t="s">
        <v>7079</v>
      </c>
      <c r="D3715" s="303">
        <v>622.14</v>
      </c>
    </row>
    <row r="3716" spans="1:4" ht="18">
      <c r="A3716" s="288" t="s">
        <v>13684</v>
      </c>
      <c r="B3716" s="289" t="s">
        <v>13685</v>
      </c>
      <c r="C3716" s="288" t="s">
        <v>7079</v>
      </c>
      <c r="D3716" s="303">
        <v>48.92</v>
      </c>
    </row>
    <row r="3717" spans="1:4" ht="18">
      <c r="A3717" s="288" t="s">
        <v>13686</v>
      </c>
      <c r="B3717" s="289" t="s">
        <v>13687</v>
      </c>
      <c r="C3717" s="288" t="s">
        <v>7079</v>
      </c>
      <c r="D3717" s="303">
        <v>226.03</v>
      </c>
    </row>
    <row r="3718" spans="1:4" ht="18">
      <c r="A3718" s="288" t="s">
        <v>13688</v>
      </c>
      <c r="B3718" s="289" t="s">
        <v>13689</v>
      </c>
      <c r="C3718" s="288" t="s">
        <v>7079</v>
      </c>
      <c r="D3718" s="303">
        <v>106.38</v>
      </c>
    </row>
    <row r="3719" spans="1:4" ht="18">
      <c r="A3719" s="288" t="s">
        <v>13690</v>
      </c>
      <c r="B3719" s="289" t="s">
        <v>13691</v>
      </c>
      <c r="C3719" s="288" t="s">
        <v>7079</v>
      </c>
      <c r="D3719" s="303">
        <v>653.4</v>
      </c>
    </row>
    <row r="3720" spans="1:4" ht="18">
      <c r="A3720" s="288" t="s">
        <v>13692</v>
      </c>
      <c r="B3720" s="289" t="s">
        <v>13693</v>
      </c>
      <c r="C3720" s="288" t="s">
        <v>7079</v>
      </c>
      <c r="D3720" s="303">
        <v>1097.6600000000001</v>
      </c>
    </row>
    <row r="3721" spans="1:4" ht="18">
      <c r="A3721" s="288" t="s">
        <v>13694</v>
      </c>
      <c r="B3721" s="289" t="s">
        <v>13695</v>
      </c>
      <c r="C3721" s="288" t="s">
        <v>7079</v>
      </c>
      <c r="D3721" s="303">
        <v>153.61000000000001</v>
      </c>
    </row>
    <row r="3722" spans="1:4" ht="18">
      <c r="A3722" s="288" t="s">
        <v>13696</v>
      </c>
      <c r="B3722" s="289" t="s">
        <v>13697</v>
      </c>
      <c r="C3722" s="288" t="s">
        <v>7079</v>
      </c>
      <c r="D3722" s="303">
        <v>45.71</v>
      </c>
    </row>
    <row r="3723" spans="1:4" ht="18">
      <c r="A3723" s="288" t="s">
        <v>13698</v>
      </c>
      <c r="B3723" s="289" t="s">
        <v>13699</v>
      </c>
      <c r="C3723" s="288" t="s">
        <v>7079</v>
      </c>
      <c r="D3723" s="303">
        <v>63.4</v>
      </c>
    </row>
    <row r="3724" spans="1:4" ht="27">
      <c r="A3724" s="288" t="s">
        <v>13700</v>
      </c>
      <c r="B3724" s="289" t="s">
        <v>13701</v>
      </c>
      <c r="C3724" s="288" t="s">
        <v>7079</v>
      </c>
      <c r="D3724" s="303">
        <v>226.93</v>
      </c>
    </row>
    <row r="3725" spans="1:4" ht="27">
      <c r="A3725" s="288" t="s">
        <v>13702</v>
      </c>
      <c r="B3725" s="289" t="s">
        <v>13703</v>
      </c>
      <c r="C3725" s="288" t="s">
        <v>7079</v>
      </c>
      <c r="D3725" s="303">
        <v>467.33</v>
      </c>
    </row>
    <row r="3726" spans="1:4" ht="27">
      <c r="A3726" s="288" t="s">
        <v>13704</v>
      </c>
      <c r="B3726" s="289" t="s">
        <v>13705</v>
      </c>
      <c r="C3726" s="288" t="s">
        <v>7079</v>
      </c>
      <c r="D3726" s="303">
        <v>143.09</v>
      </c>
    </row>
    <row r="3727" spans="1:4" ht="18">
      <c r="A3727" s="288" t="s">
        <v>13706</v>
      </c>
      <c r="B3727" s="289" t="s">
        <v>13707</v>
      </c>
      <c r="C3727" s="288" t="s">
        <v>7079</v>
      </c>
      <c r="D3727" s="303">
        <v>279.81</v>
      </c>
    </row>
    <row r="3728" spans="1:4">
      <c r="A3728" s="287" t="s">
        <v>13708</v>
      </c>
      <c r="B3728" s="287"/>
      <c r="C3728" s="287"/>
      <c r="D3728" s="296" t="s">
        <v>28729</v>
      </c>
    </row>
    <row r="3729" spans="1:4">
      <c r="A3729" s="288" t="s">
        <v>13709</v>
      </c>
      <c r="B3729" s="289" t="s">
        <v>13710</v>
      </c>
      <c r="C3729" s="288" t="s">
        <v>7079</v>
      </c>
      <c r="D3729" s="303">
        <v>9.1300000000000008</v>
      </c>
    </row>
    <row r="3730" spans="1:4">
      <c r="A3730" s="288" t="s">
        <v>13711</v>
      </c>
      <c r="B3730" s="289" t="s">
        <v>13712</v>
      </c>
      <c r="C3730" s="288" t="s">
        <v>7079</v>
      </c>
      <c r="D3730" s="303">
        <v>11.21</v>
      </c>
    </row>
    <row r="3731" spans="1:4" ht="18">
      <c r="A3731" s="288" t="s">
        <v>13713</v>
      </c>
      <c r="B3731" s="289" t="s">
        <v>13714</v>
      </c>
      <c r="C3731" s="288" t="s">
        <v>7079</v>
      </c>
      <c r="D3731" s="303">
        <v>33.93</v>
      </c>
    </row>
    <row r="3732" spans="1:4" ht="18">
      <c r="A3732" s="288" t="s">
        <v>13715</v>
      </c>
      <c r="B3732" s="289" t="s">
        <v>13716</v>
      </c>
      <c r="C3732" s="288" t="s">
        <v>7079</v>
      </c>
      <c r="D3732" s="303">
        <v>47.27</v>
      </c>
    </row>
    <row r="3733" spans="1:4" ht="18">
      <c r="A3733" s="288" t="s">
        <v>13717</v>
      </c>
      <c r="B3733" s="289" t="s">
        <v>13718</v>
      </c>
      <c r="C3733" s="288" t="s">
        <v>7079</v>
      </c>
      <c r="D3733" s="303">
        <v>33.93</v>
      </c>
    </row>
    <row r="3734" spans="1:4" ht="18">
      <c r="A3734" s="288" t="s">
        <v>13719</v>
      </c>
      <c r="B3734" s="289" t="s">
        <v>13720</v>
      </c>
      <c r="C3734" s="288" t="s">
        <v>7079</v>
      </c>
      <c r="D3734" s="303">
        <v>83.28</v>
      </c>
    </row>
    <row r="3735" spans="1:4" ht="18">
      <c r="A3735" s="288" t="s">
        <v>13721</v>
      </c>
      <c r="B3735" s="289" t="s">
        <v>13722</v>
      </c>
      <c r="C3735" s="288" t="s">
        <v>7079</v>
      </c>
      <c r="D3735" s="303">
        <v>40.43</v>
      </c>
    </row>
    <row r="3736" spans="1:4" ht="18">
      <c r="A3736" s="288" t="s">
        <v>13723</v>
      </c>
      <c r="B3736" s="289" t="s">
        <v>13724</v>
      </c>
      <c r="C3736" s="288" t="s">
        <v>7079</v>
      </c>
      <c r="D3736" s="303">
        <v>29.57</v>
      </c>
    </row>
    <row r="3737" spans="1:4" ht="18">
      <c r="A3737" s="288" t="s">
        <v>13725</v>
      </c>
      <c r="B3737" s="289" t="s">
        <v>13726</v>
      </c>
      <c r="C3737" s="288" t="s">
        <v>7079</v>
      </c>
      <c r="D3737" s="303">
        <v>27.55</v>
      </c>
    </row>
    <row r="3738" spans="1:4" ht="18">
      <c r="A3738" s="288" t="s">
        <v>13727</v>
      </c>
      <c r="B3738" s="289" t="s">
        <v>13728</v>
      </c>
      <c r="C3738" s="288" t="s">
        <v>7079</v>
      </c>
      <c r="D3738" s="303">
        <v>46.98</v>
      </c>
    </row>
    <row r="3739" spans="1:4" ht="18">
      <c r="A3739" s="288" t="s">
        <v>13729</v>
      </c>
      <c r="B3739" s="289" t="s">
        <v>13730</v>
      </c>
      <c r="C3739" s="288" t="s">
        <v>7079</v>
      </c>
      <c r="D3739" s="303">
        <v>52.62</v>
      </c>
    </row>
    <row r="3740" spans="1:4">
      <c r="A3740" s="287" t="s">
        <v>13731</v>
      </c>
      <c r="B3740" s="287"/>
      <c r="C3740" s="287"/>
      <c r="D3740" s="296" t="s">
        <v>28729</v>
      </c>
    </row>
    <row r="3741" spans="1:4">
      <c r="A3741" s="288" t="s">
        <v>13732</v>
      </c>
      <c r="B3741" s="289" t="s">
        <v>13733</v>
      </c>
      <c r="C3741" s="288" t="s">
        <v>7079</v>
      </c>
      <c r="D3741" s="303">
        <v>2432.84</v>
      </c>
    </row>
    <row r="3742" spans="1:4">
      <c r="A3742" s="288" t="s">
        <v>13734</v>
      </c>
      <c r="B3742" s="289" t="s">
        <v>13735</v>
      </c>
      <c r="C3742" s="288" t="s">
        <v>7079</v>
      </c>
      <c r="D3742" s="303">
        <v>2617.84</v>
      </c>
    </row>
    <row r="3743" spans="1:4">
      <c r="A3743" s="287" t="s">
        <v>13736</v>
      </c>
      <c r="B3743" s="287"/>
      <c r="C3743" s="287"/>
      <c r="D3743" s="296" t="s">
        <v>28729</v>
      </c>
    </row>
    <row r="3744" spans="1:4" ht="18">
      <c r="A3744" s="288" t="s">
        <v>13737</v>
      </c>
      <c r="B3744" s="289" t="s">
        <v>13738</v>
      </c>
      <c r="C3744" s="288" t="s">
        <v>7079</v>
      </c>
      <c r="D3744" s="303">
        <v>154.26</v>
      </c>
    </row>
    <row r="3745" spans="1:4" ht="18">
      <c r="A3745" s="288" t="s">
        <v>13739</v>
      </c>
      <c r="B3745" s="289" t="s">
        <v>13740</v>
      </c>
      <c r="C3745" s="288" t="s">
        <v>7079</v>
      </c>
      <c r="D3745" s="303">
        <v>384.27</v>
      </c>
    </row>
    <row r="3746" spans="1:4" ht="18">
      <c r="A3746" s="288" t="s">
        <v>13741</v>
      </c>
      <c r="B3746" s="289" t="s">
        <v>13742</v>
      </c>
      <c r="C3746" s="288" t="s">
        <v>7079</v>
      </c>
      <c r="D3746" s="303">
        <v>613.82000000000005</v>
      </c>
    </row>
    <row r="3747" spans="1:4" ht="18">
      <c r="A3747" s="288" t="s">
        <v>13743</v>
      </c>
      <c r="B3747" s="289" t="s">
        <v>13744</v>
      </c>
      <c r="C3747" s="288" t="s">
        <v>7079</v>
      </c>
      <c r="D3747" s="303">
        <v>688.51</v>
      </c>
    </row>
    <row r="3748" spans="1:4" ht="18">
      <c r="A3748" s="288" t="s">
        <v>13745</v>
      </c>
      <c r="B3748" s="289" t="s">
        <v>13746</v>
      </c>
      <c r="C3748" s="288" t="s">
        <v>7079</v>
      </c>
      <c r="D3748" s="303">
        <v>1302.32</v>
      </c>
    </row>
    <row r="3749" spans="1:4" ht="18">
      <c r="A3749" s="288" t="s">
        <v>13747</v>
      </c>
      <c r="B3749" s="289" t="s">
        <v>13748</v>
      </c>
      <c r="C3749" s="288" t="s">
        <v>7079</v>
      </c>
      <c r="D3749" s="303">
        <v>1335.32</v>
      </c>
    </row>
    <row r="3750" spans="1:4" ht="18">
      <c r="A3750" s="288" t="s">
        <v>13749</v>
      </c>
      <c r="B3750" s="289" t="s">
        <v>13750</v>
      </c>
      <c r="C3750" s="288" t="s">
        <v>7079</v>
      </c>
      <c r="D3750" s="303">
        <v>328.85</v>
      </c>
    </row>
    <row r="3751" spans="1:4" ht="18">
      <c r="A3751" s="288" t="s">
        <v>13751</v>
      </c>
      <c r="B3751" s="289" t="s">
        <v>13752</v>
      </c>
      <c r="C3751" s="288" t="s">
        <v>7079</v>
      </c>
      <c r="D3751" s="303">
        <v>246.54</v>
      </c>
    </row>
    <row r="3752" spans="1:4" ht="18">
      <c r="A3752" s="288" t="s">
        <v>13753</v>
      </c>
      <c r="B3752" s="289" t="s">
        <v>13754</v>
      </c>
      <c r="C3752" s="288" t="s">
        <v>7079</v>
      </c>
      <c r="D3752" s="303">
        <v>2343.0700000000002</v>
      </c>
    </row>
    <row r="3753" spans="1:4" ht="18">
      <c r="A3753" s="288" t="s">
        <v>13755</v>
      </c>
      <c r="B3753" s="289" t="s">
        <v>13756</v>
      </c>
      <c r="C3753" s="288" t="s">
        <v>7079</v>
      </c>
      <c r="D3753" s="303">
        <v>232.3</v>
      </c>
    </row>
    <row r="3754" spans="1:4" ht="18">
      <c r="A3754" s="288" t="s">
        <v>13757</v>
      </c>
      <c r="B3754" s="289" t="s">
        <v>13758</v>
      </c>
      <c r="C3754" s="288" t="s">
        <v>7079</v>
      </c>
      <c r="D3754" s="303">
        <v>348.53</v>
      </c>
    </row>
    <row r="3755" spans="1:4" ht="18">
      <c r="A3755" s="288" t="s">
        <v>13759</v>
      </c>
      <c r="B3755" s="289" t="s">
        <v>13760</v>
      </c>
      <c r="C3755" s="288" t="s">
        <v>7079</v>
      </c>
      <c r="D3755" s="303">
        <v>888.93</v>
      </c>
    </row>
    <row r="3756" spans="1:4" ht="18">
      <c r="A3756" s="288" t="s">
        <v>13761</v>
      </c>
      <c r="B3756" s="289" t="s">
        <v>13762</v>
      </c>
      <c r="C3756" s="288" t="s">
        <v>7079</v>
      </c>
      <c r="D3756" s="303">
        <v>685.44</v>
      </c>
    </row>
    <row r="3757" spans="1:4" ht="18">
      <c r="A3757" s="288" t="s">
        <v>13763</v>
      </c>
      <c r="B3757" s="289" t="s">
        <v>13764</v>
      </c>
      <c r="C3757" s="288" t="s">
        <v>7079</v>
      </c>
      <c r="D3757" s="303">
        <v>245.91</v>
      </c>
    </row>
    <row r="3758" spans="1:4" ht="18">
      <c r="A3758" s="288" t="s">
        <v>13765</v>
      </c>
      <c r="B3758" s="289" t="s">
        <v>13766</v>
      </c>
      <c r="C3758" s="288" t="s">
        <v>7079</v>
      </c>
      <c r="D3758" s="303">
        <v>56.62</v>
      </c>
    </row>
    <row r="3759" spans="1:4" ht="18">
      <c r="A3759" s="287" t="s">
        <v>13767</v>
      </c>
      <c r="B3759" s="287"/>
      <c r="C3759" s="287"/>
      <c r="D3759" s="296" t="s">
        <v>28729</v>
      </c>
    </row>
    <row r="3760" spans="1:4" ht="18">
      <c r="A3760" s="288" t="s">
        <v>13768</v>
      </c>
      <c r="B3760" s="289" t="s">
        <v>13769</v>
      </c>
      <c r="C3760" s="288" t="s">
        <v>7079</v>
      </c>
      <c r="D3760" s="303">
        <v>9.8000000000000007</v>
      </c>
    </row>
    <row r="3761" spans="1:4">
      <c r="A3761" s="288" t="s">
        <v>13770</v>
      </c>
      <c r="B3761" s="289" t="s">
        <v>13771</v>
      </c>
      <c r="C3761" s="288" t="s">
        <v>7079</v>
      </c>
      <c r="D3761" s="303">
        <v>2.8</v>
      </c>
    </row>
    <row r="3762" spans="1:4">
      <c r="A3762" s="288" t="s">
        <v>13772</v>
      </c>
      <c r="B3762" s="289" t="s">
        <v>13773</v>
      </c>
      <c r="C3762" s="288" t="s">
        <v>7079</v>
      </c>
      <c r="D3762" s="303">
        <v>3.62</v>
      </c>
    </row>
    <row r="3763" spans="1:4">
      <c r="A3763" s="288" t="s">
        <v>13774</v>
      </c>
      <c r="B3763" s="289" t="s">
        <v>13775</v>
      </c>
      <c r="C3763" s="288" t="s">
        <v>7079</v>
      </c>
      <c r="D3763" s="303">
        <v>18.11</v>
      </c>
    </row>
    <row r="3764" spans="1:4">
      <c r="A3764" s="288" t="s">
        <v>13776</v>
      </c>
      <c r="B3764" s="289" t="s">
        <v>13777</v>
      </c>
      <c r="C3764" s="288" t="s">
        <v>54</v>
      </c>
      <c r="D3764" s="303">
        <v>31.78</v>
      </c>
    </row>
    <row r="3765" spans="1:4">
      <c r="A3765" s="288" t="s">
        <v>13778</v>
      </c>
      <c r="B3765" s="289" t="s">
        <v>13779</v>
      </c>
      <c r="C3765" s="288" t="s">
        <v>7079</v>
      </c>
      <c r="D3765" s="303">
        <v>69.2</v>
      </c>
    </row>
    <row r="3766" spans="1:4">
      <c r="A3766" s="287" t="s">
        <v>13780</v>
      </c>
      <c r="B3766" s="287"/>
      <c r="C3766" s="287"/>
      <c r="D3766" s="296" t="s">
        <v>28729</v>
      </c>
    </row>
    <row r="3767" spans="1:4" ht="18">
      <c r="A3767" s="288" t="s">
        <v>13781</v>
      </c>
      <c r="B3767" s="289" t="s">
        <v>13782</v>
      </c>
      <c r="C3767" s="288" t="s">
        <v>7079</v>
      </c>
      <c r="D3767" s="303">
        <v>9.17</v>
      </c>
    </row>
    <row r="3768" spans="1:4" ht="18">
      <c r="A3768" s="288" t="s">
        <v>13783</v>
      </c>
      <c r="B3768" s="289" t="s">
        <v>13784</v>
      </c>
      <c r="C3768" s="288" t="s">
        <v>7079</v>
      </c>
      <c r="D3768" s="303">
        <v>11.62</v>
      </c>
    </row>
    <row r="3769" spans="1:4" ht="18">
      <c r="A3769" s="288" t="s">
        <v>13785</v>
      </c>
      <c r="B3769" s="289" t="s">
        <v>13786</v>
      </c>
      <c r="C3769" s="288" t="s">
        <v>7079</v>
      </c>
      <c r="D3769" s="303">
        <v>14.55</v>
      </c>
    </row>
    <row r="3770" spans="1:4" ht="18">
      <c r="A3770" s="288" t="s">
        <v>13787</v>
      </c>
      <c r="B3770" s="289" t="s">
        <v>13788</v>
      </c>
      <c r="C3770" s="288" t="s">
        <v>7079</v>
      </c>
      <c r="D3770" s="303">
        <v>50.86</v>
      </c>
    </row>
    <row r="3771" spans="1:4" ht="18">
      <c r="A3771" s="288" t="s">
        <v>13789</v>
      </c>
      <c r="B3771" s="289" t="s">
        <v>13790</v>
      </c>
      <c r="C3771" s="288" t="s">
        <v>7079</v>
      </c>
      <c r="D3771" s="303">
        <v>12.23</v>
      </c>
    </row>
    <row r="3772" spans="1:4" ht="18">
      <c r="A3772" s="288" t="s">
        <v>13791</v>
      </c>
      <c r="B3772" s="289" t="s">
        <v>13792</v>
      </c>
      <c r="C3772" s="288" t="s">
        <v>7079</v>
      </c>
      <c r="D3772" s="303">
        <v>42.13</v>
      </c>
    </row>
    <row r="3773" spans="1:4" ht="45">
      <c r="A3773" s="288" t="s">
        <v>13793</v>
      </c>
      <c r="B3773" s="289" t="s">
        <v>13794</v>
      </c>
      <c r="C3773" s="288" t="s">
        <v>7079</v>
      </c>
      <c r="D3773" s="303">
        <v>61.08</v>
      </c>
    </row>
    <row r="3774" spans="1:4" ht="45">
      <c r="A3774" s="288" t="s">
        <v>13795</v>
      </c>
      <c r="B3774" s="289" t="s">
        <v>13796</v>
      </c>
      <c r="C3774" s="288" t="s">
        <v>7079</v>
      </c>
      <c r="D3774" s="303">
        <v>32.82</v>
      </c>
    </row>
    <row r="3775" spans="1:4" ht="36">
      <c r="A3775" s="288" t="s">
        <v>13797</v>
      </c>
      <c r="B3775" s="289" t="s">
        <v>13798</v>
      </c>
      <c r="C3775" s="288" t="s">
        <v>7079</v>
      </c>
      <c r="D3775" s="303">
        <v>27.38</v>
      </c>
    </row>
    <row r="3776" spans="1:4" ht="36">
      <c r="A3776" s="288" t="s">
        <v>13799</v>
      </c>
      <c r="B3776" s="289" t="s">
        <v>13800</v>
      </c>
      <c r="C3776" s="288" t="s">
        <v>7079</v>
      </c>
      <c r="D3776" s="303">
        <v>100.88</v>
      </c>
    </row>
    <row r="3777" spans="1:4" ht="36">
      <c r="A3777" s="288" t="s">
        <v>13801</v>
      </c>
      <c r="B3777" s="289" t="s">
        <v>13802</v>
      </c>
      <c r="C3777" s="288" t="s">
        <v>7079</v>
      </c>
      <c r="D3777" s="303">
        <v>100.71</v>
      </c>
    </row>
    <row r="3778" spans="1:4">
      <c r="A3778" s="287" t="s">
        <v>13803</v>
      </c>
      <c r="B3778" s="287"/>
      <c r="C3778" s="287"/>
      <c r="D3778" s="296" t="s">
        <v>28729</v>
      </c>
    </row>
    <row r="3779" spans="1:4" ht="18">
      <c r="A3779" s="288" t="s">
        <v>13804</v>
      </c>
      <c r="B3779" s="289" t="s">
        <v>13805</v>
      </c>
      <c r="C3779" s="288" t="s">
        <v>7079</v>
      </c>
      <c r="D3779" s="303">
        <v>150.13</v>
      </c>
    </row>
    <row r="3780" spans="1:4" ht="18">
      <c r="A3780" s="288" t="s">
        <v>13806</v>
      </c>
      <c r="B3780" s="289" t="s">
        <v>13807</v>
      </c>
      <c r="C3780" s="288" t="s">
        <v>7079</v>
      </c>
      <c r="D3780" s="303">
        <v>182.29</v>
      </c>
    </row>
    <row r="3781" spans="1:4" ht="18">
      <c r="A3781" s="288" t="s">
        <v>13808</v>
      </c>
      <c r="B3781" s="289" t="s">
        <v>13809</v>
      </c>
      <c r="C3781" s="288" t="s">
        <v>7079</v>
      </c>
      <c r="D3781" s="303">
        <v>3890.71</v>
      </c>
    </row>
    <row r="3782" spans="1:4" ht="18">
      <c r="A3782" s="288" t="s">
        <v>13810</v>
      </c>
      <c r="B3782" s="289" t="s">
        <v>13811</v>
      </c>
      <c r="C3782" s="288" t="s">
        <v>7079</v>
      </c>
      <c r="D3782" s="303">
        <v>225.88</v>
      </c>
    </row>
    <row r="3783" spans="1:4" ht="18">
      <c r="A3783" s="288" t="s">
        <v>13812</v>
      </c>
      <c r="B3783" s="289" t="s">
        <v>13813</v>
      </c>
      <c r="C3783" s="288" t="s">
        <v>7079</v>
      </c>
      <c r="D3783" s="303">
        <v>136.08000000000001</v>
      </c>
    </row>
    <row r="3784" spans="1:4">
      <c r="A3784" s="288" t="s">
        <v>13814</v>
      </c>
      <c r="B3784" s="289" t="s">
        <v>13815</v>
      </c>
      <c r="C3784" s="288" t="s">
        <v>7079</v>
      </c>
      <c r="D3784" s="303">
        <v>172.84</v>
      </c>
    </row>
    <row r="3785" spans="1:4">
      <c r="A3785" s="288" t="s">
        <v>13816</v>
      </c>
      <c r="B3785" s="289" t="s">
        <v>13817</v>
      </c>
      <c r="C3785" s="288" t="s">
        <v>7079</v>
      </c>
      <c r="D3785" s="303">
        <v>249.34</v>
      </c>
    </row>
    <row r="3786" spans="1:4" ht="18">
      <c r="A3786" s="288" t="s">
        <v>13818</v>
      </c>
      <c r="B3786" s="289" t="s">
        <v>13819</v>
      </c>
      <c r="C3786" s="288" t="s">
        <v>7079</v>
      </c>
      <c r="D3786" s="303">
        <v>397.81</v>
      </c>
    </row>
    <row r="3787" spans="1:4">
      <c r="A3787" s="288" t="s">
        <v>13820</v>
      </c>
      <c r="B3787" s="289" t="s">
        <v>13821</v>
      </c>
      <c r="C3787" s="288" t="s">
        <v>7079</v>
      </c>
      <c r="D3787" s="303">
        <v>312</v>
      </c>
    </row>
    <row r="3788" spans="1:4" ht="18">
      <c r="A3788" s="288" t="s">
        <v>13822</v>
      </c>
      <c r="B3788" s="289" t="s">
        <v>13823</v>
      </c>
      <c r="C3788" s="288" t="s">
        <v>7079</v>
      </c>
      <c r="D3788" s="303">
        <v>120.7</v>
      </c>
    </row>
    <row r="3789" spans="1:4" ht="27">
      <c r="A3789" s="287" t="s">
        <v>13824</v>
      </c>
      <c r="B3789" s="287"/>
      <c r="C3789" s="287"/>
      <c r="D3789" s="296" t="s">
        <v>28729</v>
      </c>
    </row>
    <row r="3790" spans="1:4" ht="18">
      <c r="A3790" s="288" t="s">
        <v>13825</v>
      </c>
      <c r="B3790" s="289" t="s">
        <v>13826</v>
      </c>
      <c r="C3790" s="288" t="s">
        <v>7079</v>
      </c>
      <c r="D3790" s="303">
        <v>212.36</v>
      </c>
    </row>
    <row r="3791" spans="1:4" ht="45">
      <c r="A3791" s="288" t="s">
        <v>13827</v>
      </c>
      <c r="B3791" s="289" t="s">
        <v>13828</v>
      </c>
      <c r="C3791" s="288" t="s">
        <v>7079</v>
      </c>
      <c r="D3791" s="303">
        <v>11979.59</v>
      </c>
    </row>
    <row r="3792" spans="1:4" ht="18">
      <c r="A3792" s="288" t="s">
        <v>13829</v>
      </c>
      <c r="B3792" s="289" t="s">
        <v>13830</v>
      </c>
      <c r="C3792" s="288" t="s">
        <v>7079</v>
      </c>
      <c r="D3792" s="303">
        <v>3133.85</v>
      </c>
    </row>
    <row r="3793" spans="1:4" ht="18">
      <c r="A3793" s="288" t="s">
        <v>13831</v>
      </c>
      <c r="B3793" s="289" t="s">
        <v>13832</v>
      </c>
      <c r="C3793" s="288" t="s">
        <v>7079</v>
      </c>
      <c r="D3793" s="303">
        <v>108802.58</v>
      </c>
    </row>
    <row r="3794" spans="1:4" ht="36">
      <c r="A3794" s="288" t="s">
        <v>13833</v>
      </c>
      <c r="B3794" s="289" t="s">
        <v>13834</v>
      </c>
      <c r="C3794" s="288" t="s">
        <v>7079</v>
      </c>
      <c r="D3794" s="303">
        <v>10807.41</v>
      </c>
    </row>
    <row r="3795" spans="1:4" ht="36">
      <c r="A3795" s="288" t="s">
        <v>13835</v>
      </c>
      <c r="B3795" s="289" t="s">
        <v>13836</v>
      </c>
      <c r="C3795" s="288" t="s">
        <v>7079</v>
      </c>
      <c r="D3795" s="303">
        <v>31234.78</v>
      </c>
    </row>
    <row r="3796" spans="1:4">
      <c r="A3796" s="287" t="s">
        <v>13837</v>
      </c>
      <c r="B3796" s="287"/>
      <c r="C3796" s="287"/>
      <c r="D3796" s="296" t="s">
        <v>28729</v>
      </c>
    </row>
    <row r="3797" spans="1:4" ht="18">
      <c r="A3797" s="288" t="s">
        <v>13838</v>
      </c>
      <c r="B3797" s="289" t="s">
        <v>13839</v>
      </c>
      <c r="C3797" s="288" t="s">
        <v>7079</v>
      </c>
      <c r="D3797" s="303">
        <v>1318.42</v>
      </c>
    </row>
    <row r="3798" spans="1:4" ht="18">
      <c r="A3798" s="288" t="s">
        <v>13840</v>
      </c>
      <c r="B3798" s="289" t="s">
        <v>13841</v>
      </c>
      <c r="C3798" s="288" t="s">
        <v>7079</v>
      </c>
      <c r="D3798" s="303">
        <v>1861.37</v>
      </c>
    </row>
    <row r="3799" spans="1:4" ht="18">
      <c r="A3799" s="288" t="s">
        <v>13842</v>
      </c>
      <c r="B3799" s="289" t="s">
        <v>13843</v>
      </c>
      <c r="C3799" s="288" t="s">
        <v>7079</v>
      </c>
      <c r="D3799" s="303">
        <v>1497.55</v>
      </c>
    </row>
    <row r="3800" spans="1:4" ht="18">
      <c r="A3800" s="288" t="s">
        <v>13844</v>
      </c>
      <c r="B3800" s="289" t="s">
        <v>13845</v>
      </c>
      <c r="C3800" s="288" t="s">
        <v>7079</v>
      </c>
      <c r="D3800" s="303">
        <v>1133.74</v>
      </c>
    </row>
    <row r="3801" spans="1:4" ht="27">
      <c r="A3801" s="288" t="s">
        <v>13846</v>
      </c>
      <c r="B3801" s="289" t="s">
        <v>13847</v>
      </c>
      <c r="C3801" s="288" t="s">
        <v>7079</v>
      </c>
      <c r="D3801" s="303">
        <v>1654.06</v>
      </c>
    </row>
    <row r="3802" spans="1:4" ht="27">
      <c r="A3802" s="288" t="s">
        <v>13848</v>
      </c>
      <c r="B3802" s="289" t="s">
        <v>13849</v>
      </c>
      <c r="C3802" s="288" t="s">
        <v>7079</v>
      </c>
      <c r="D3802" s="303">
        <v>14198.75</v>
      </c>
    </row>
    <row r="3803" spans="1:4" ht="27">
      <c r="A3803" s="287" t="s">
        <v>13850</v>
      </c>
      <c r="B3803" s="287"/>
      <c r="C3803" s="287"/>
      <c r="D3803" s="296" t="s">
        <v>28729</v>
      </c>
    </row>
    <row r="3804" spans="1:4" ht="36">
      <c r="A3804" s="288" t="s">
        <v>13851</v>
      </c>
      <c r="B3804" s="289" t="s">
        <v>13852</v>
      </c>
      <c r="C3804" s="288" t="s">
        <v>7079</v>
      </c>
      <c r="D3804" s="303">
        <v>107350</v>
      </c>
    </row>
    <row r="3805" spans="1:4" ht="18">
      <c r="A3805" s="288" t="s">
        <v>13853</v>
      </c>
      <c r="B3805" s="289" t="s">
        <v>13854</v>
      </c>
      <c r="C3805" s="288" t="s">
        <v>7079</v>
      </c>
      <c r="D3805" s="303">
        <v>173.71</v>
      </c>
    </row>
    <row r="3806" spans="1:4" ht="18">
      <c r="A3806" s="288" t="s">
        <v>13855</v>
      </c>
      <c r="B3806" s="289" t="s">
        <v>13856</v>
      </c>
      <c r="C3806" s="288" t="s">
        <v>7079</v>
      </c>
      <c r="D3806" s="303">
        <v>169.57</v>
      </c>
    </row>
    <row r="3807" spans="1:4" ht="18">
      <c r="A3807" s="288" t="s">
        <v>13857</v>
      </c>
      <c r="B3807" s="289" t="s">
        <v>13858</v>
      </c>
      <c r="C3807" s="288" t="s">
        <v>7079</v>
      </c>
      <c r="D3807" s="303">
        <v>249.86</v>
      </c>
    </row>
    <row r="3808" spans="1:4" ht="36">
      <c r="A3808" s="288" t="s">
        <v>13859</v>
      </c>
      <c r="B3808" s="289" t="s">
        <v>13860</v>
      </c>
      <c r="C3808" s="288" t="s">
        <v>7079</v>
      </c>
      <c r="D3808" s="303">
        <v>4298.3999999999996</v>
      </c>
    </row>
    <row r="3809" spans="1:4">
      <c r="A3809" s="287" t="s">
        <v>13861</v>
      </c>
      <c r="B3809" s="287"/>
      <c r="C3809" s="287"/>
      <c r="D3809" s="296" t="s">
        <v>28729</v>
      </c>
    </row>
    <row r="3810" spans="1:4" ht="18">
      <c r="A3810" s="288" t="s">
        <v>13862</v>
      </c>
      <c r="B3810" s="289" t="s">
        <v>13863</v>
      </c>
      <c r="C3810" s="288" t="s">
        <v>7079</v>
      </c>
      <c r="D3810" s="303">
        <v>4309.25</v>
      </c>
    </row>
    <row r="3811" spans="1:4" ht="27">
      <c r="A3811" s="288" t="s">
        <v>13864</v>
      </c>
      <c r="B3811" s="289" t="s">
        <v>13865</v>
      </c>
      <c r="C3811" s="288" t="s">
        <v>7079</v>
      </c>
      <c r="D3811" s="303">
        <v>24505.55</v>
      </c>
    </row>
    <row r="3812" spans="1:4" ht="27">
      <c r="A3812" s="288" t="s">
        <v>13866</v>
      </c>
      <c r="B3812" s="289" t="s">
        <v>13867</v>
      </c>
      <c r="C3812" s="288" t="s">
        <v>7079</v>
      </c>
      <c r="D3812" s="303">
        <v>47347.35</v>
      </c>
    </row>
    <row r="3813" spans="1:4" ht="27">
      <c r="A3813" s="288" t="s">
        <v>13868</v>
      </c>
      <c r="B3813" s="289" t="s">
        <v>13869</v>
      </c>
      <c r="C3813" s="288" t="s">
        <v>7079</v>
      </c>
      <c r="D3813" s="303">
        <v>57637.31</v>
      </c>
    </row>
    <row r="3814" spans="1:4" ht="27">
      <c r="A3814" s="288" t="s">
        <v>13870</v>
      </c>
      <c r="B3814" s="289" t="s">
        <v>13871</v>
      </c>
      <c r="C3814" s="288" t="s">
        <v>7079</v>
      </c>
      <c r="D3814" s="303">
        <v>84025.35</v>
      </c>
    </row>
    <row r="3815" spans="1:4" ht="27">
      <c r="A3815" s="288" t="s">
        <v>13872</v>
      </c>
      <c r="B3815" s="289" t="s">
        <v>13873</v>
      </c>
      <c r="C3815" s="288" t="s">
        <v>7079</v>
      </c>
      <c r="D3815" s="303">
        <v>73577.63</v>
      </c>
    </row>
    <row r="3816" spans="1:4" ht="27">
      <c r="A3816" s="288" t="s">
        <v>13874</v>
      </c>
      <c r="B3816" s="289" t="s">
        <v>13875</v>
      </c>
      <c r="C3816" s="288" t="s">
        <v>7079</v>
      </c>
      <c r="D3816" s="303">
        <v>142817.35</v>
      </c>
    </row>
    <row r="3817" spans="1:4" ht="27">
      <c r="A3817" s="288" t="s">
        <v>13876</v>
      </c>
      <c r="B3817" s="289" t="s">
        <v>13877</v>
      </c>
      <c r="C3817" s="288" t="s">
        <v>7079</v>
      </c>
      <c r="D3817" s="303">
        <v>128624.94</v>
      </c>
    </row>
    <row r="3818" spans="1:4" ht="18">
      <c r="A3818" s="288" t="s">
        <v>13878</v>
      </c>
      <c r="B3818" s="289" t="s">
        <v>13879</v>
      </c>
      <c r="C3818" s="288" t="s">
        <v>7079</v>
      </c>
      <c r="D3818" s="303">
        <v>8931.9699999999993</v>
      </c>
    </row>
    <row r="3819" spans="1:4" ht="18">
      <c r="A3819" s="288" t="s">
        <v>13880</v>
      </c>
      <c r="B3819" s="289" t="s">
        <v>13881</v>
      </c>
      <c r="C3819" s="288" t="s">
        <v>7079</v>
      </c>
      <c r="D3819" s="303">
        <v>21657.08</v>
      </c>
    </row>
    <row r="3820" spans="1:4" ht="27">
      <c r="A3820" s="288" t="s">
        <v>13882</v>
      </c>
      <c r="B3820" s="289" t="s">
        <v>13883</v>
      </c>
      <c r="C3820" s="288" t="s">
        <v>7079</v>
      </c>
      <c r="D3820" s="303">
        <v>38962.85</v>
      </c>
    </row>
    <row r="3821" spans="1:4" ht="27">
      <c r="A3821" s="288" t="s">
        <v>13884</v>
      </c>
      <c r="B3821" s="289" t="s">
        <v>13885</v>
      </c>
      <c r="C3821" s="288" t="s">
        <v>7079</v>
      </c>
      <c r="D3821" s="303">
        <v>48419.57</v>
      </c>
    </row>
    <row r="3822" spans="1:4" ht="27">
      <c r="A3822" s="288" t="s">
        <v>13886</v>
      </c>
      <c r="B3822" s="289" t="s">
        <v>13887</v>
      </c>
      <c r="C3822" s="288" t="s">
        <v>7079</v>
      </c>
      <c r="D3822" s="303">
        <v>72643.850000000006</v>
      </c>
    </row>
    <row r="3823" spans="1:4" ht="27">
      <c r="A3823" s="288" t="s">
        <v>13888</v>
      </c>
      <c r="B3823" s="289" t="s">
        <v>13889</v>
      </c>
      <c r="C3823" s="288" t="s">
        <v>7079</v>
      </c>
      <c r="D3823" s="303">
        <v>70561.210000000006</v>
      </c>
    </row>
    <row r="3824" spans="1:4" ht="27">
      <c r="A3824" s="288" t="s">
        <v>13890</v>
      </c>
      <c r="B3824" s="289" t="s">
        <v>13891</v>
      </c>
      <c r="C3824" s="288" t="s">
        <v>7079</v>
      </c>
      <c r="D3824" s="303">
        <v>129241.35</v>
      </c>
    </row>
    <row r="3825" spans="1:4" ht="18">
      <c r="A3825" s="287" t="s">
        <v>13892</v>
      </c>
      <c r="B3825" s="287"/>
      <c r="C3825" s="287"/>
      <c r="D3825" s="296" t="s">
        <v>28729</v>
      </c>
    </row>
    <row r="3826" spans="1:4" ht="18">
      <c r="A3826" s="288" t="s">
        <v>13893</v>
      </c>
      <c r="B3826" s="289" t="s">
        <v>13894</v>
      </c>
      <c r="C3826" s="288" t="s">
        <v>7079</v>
      </c>
      <c r="D3826" s="303">
        <v>8.17</v>
      </c>
    </row>
    <row r="3827" spans="1:4" ht="18">
      <c r="A3827" s="288" t="s">
        <v>13895</v>
      </c>
      <c r="B3827" s="289" t="s">
        <v>13896</v>
      </c>
      <c r="C3827" s="288" t="s">
        <v>7079</v>
      </c>
      <c r="D3827" s="303">
        <v>8.5299999999999994</v>
      </c>
    </row>
    <row r="3828" spans="1:4" ht="18">
      <c r="A3828" s="288" t="s">
        <v>13897</v>
      </c>
      <c r="B3828" s="289" t="s">
        <v>13898</v>
      </c>
      <c r="C3828" s="288" t="s">
        <v>7079</v>
      </c>
      <c r="D3828" s="303">
        <v>8.08</v>
      </c>
    </row>
    <row r="3829" spans="1:4" ht="18">
      <c r="A3829" s="288" t="s">
        <v>13899</v>
      </c>
      <c r="B3829" s="289" t="s">
        <v>13900</v>
      </c>
      <c r="C3829" s="288" t="s">
        <v>7079</v>
      </c>
      <c r="D3829" s="303">
        <v>8.77</v>
      </c>
    </row>
    <row r="3830" spans="1:4" ht="18">
      <c r="A3830" s="288" t="s">
        <v>13901</v>
      </c>
      <c r="B3830" s="289" t="s">
        <v>13902</v>
      </c>
      <c r="C3830" s="288" t="s">
        <v>7079</v>
      </c>
      <c r="D3830" s="303">
        <v>8.7799999999999994</v>
      </c>
    </row>
    <row r="3831" spans="1:4">
      <c r="A3831" s="287" t="s">
        <v>13903</v>
      </c>
      <c r="B3831" s="287"/>
      <c r="C3831" s="287"/>
      <c r="D3831" s="296" t="s">
        <v>28729</v>
      </c>
    </row>
    <row r="3832" spans="1:4" ht="18">
      <c r="A3832" s="288" t="s">
        <v>13904</v>
      </c>
      <c r="B3832" s="289" t="s">
        <v>13905</v>
      </c>
      <c r="C3832" s="288" t="s">
        <v>7079</v>
      </c>
      <c r="D3832" s="303">
        <v>138.66</v>
      </c>
    </row>
    <row r="3833" spans="1:4" ht="18">
      <c r="A3833" s="288" t="s">
        <v>13906</v>
      </c>
      <c r="B3833" s="289" t="s">
        <v>13907</v>
      </c>
      <c r="C3833" s="288" t="s">
        <v>7079</v>
      </c>
      <c r="D3833" s="303">
        <v>40</v>
      </c>
    </row>
    <row r="3834" spans="1:4" ht="18">
      <c r="A3834" s="288" t="s">
        <v>13908</v>
      </c>
      <c r="B3834" s="289" t="s">
        <v>13909</v>
      </c>
      <c r="C3834" s="288" t="s">
        <v>7079</v>
      </c>
      <c r="D3834" s="303">
        <v>465</v>
      </c>
    </row>
    <row r="3835" spans="1:4" ht="18">
      <c r="A3835" s="288" t="s">
        <v>13910</v>
      </c>
      <c r="B3835" s="289" t="s">
        <v>13911</v>
      </c>
      <c r="C3835" s="288" t="s">
        <v>7079</v>
      </c>
      <c r="D3835" s="303">
        <v>94.26</v>
      </c>
    </row>
    <row r="3836" spans="1:4" ht="18">
      <c r="A3836" s="288" t="s">
        <v>13912</v>
      </c>
      <c r="B3836" s="289" t="s">
        <v>13913</v>
      </c>
      <c r="C3836" s="288" t="s">
        <v>54</v>
      </c>
      <c r="D3836" s="303">
        <v>7.07</v>
      </c>
    </row>
    <row r="3837" spans="1:4">
      <c r="A3837" s="288" t="s">
        <v>13914</v>
      </c>
      <c r="B3837" s="289" t="s">
        <v>13915</v>
      </c>
      <c r="C3837" s="288" t="s">
        <v>7079</v>
      </c>
      <c r="D3837" s="303">
        <v>135.28</v>
      </c>
    </row>
    <row r="3838" spans="1:4" ht="18">
      <c r="A3838" s="288" t="s">
        <v>13916</v>
      </c>
      <c r="B3838" s="289" t="s">
        <v>13917</v>
      </c>
      <c r="C3838" s="288" t="s">
        <v>7079</v>
      </c>
      <c r="D3838" s="303">
        <v>211.33</v>
      </c>
    </row>
    <row r="3839" spans="1:4" ht="18">
      <c r="A3839" s="288" t="s">
        <v>13918</v>
      </c>
      <c r="B3839" s="289" t="s">
        <v>13919</v>
      </c>
      <c r="C3839" s="288" t="s">
        <v>7079</v>
      </c>
      <c r="D3839" s="303">
        <v>244.06</v>
      </c>
    </row>
    <row r="3840" spans="1:4" ht="18">
      <c r="A3840" s="288" t="s">
        <v>13920</v>
      </c>
      <c r="B3840" s="289" t="s">
        <v>13921</v>
      </c>
      <c r="C3840" s="288" t="s">
        <v>7079</v>
      </c>
      <c r="D3840" s="303">
        <v>236.29</v>
      </c>
    </row>
    <row r="3841" spans="1:4" ht="18">
      <c r="A3841" s="288" t="s">
        <v>13922</v>
      </c>
      <c r="B3841" s="289" t="s">
        <v>13923</v>
      </c>
      <c r="C3841" s="288" t="s">
        <v>7079</v>
      </c>
      <c r="D3841" s="303">
        <v>164.07</v>
      </c>
    </row>
    <row r="3842" spans="1:4">
      <c r="A3842" s="290"/>
      <c r="B3842" s="290"/>
      <c r="C3842" s="290"/>
      <c r="D3842" s="298"/>
    </row>
    <row r="3843" spans="1:4" ht="18">
      <c r="A3843" s="287" t="s">
        <v>13924</v>
      </c>
      <c r="B3843" s="287"/>
      <c r="C3843" s="287"/>
      <c r="D3843" s="296" t="s">
        <v>28729</v>
      </c>
    </row>
    <row r="3844" spans="1:4" ht="18">
      <c r="A3844" s="288" t="s">
        <v>13925</v>
      </c>
      <c r="B3844" s="289" t="s">
        <v>13926</v>
      </c>
      <c r="C3844" s="288" t="s">
        <v>7079</v>
      </c>
      <c r="D3844" s="303">
        <v>207.66</v>
      </c>
    </row>
    <row r="3845" spans="1:4" ht="27">
      <c r="A3845" s="288" t="s">
        <v>13927</v>
      </c>
      <c r="B3845" s="289" t="s">
        <v>13928</v>
      </c>
      <c r="C3845" s="288" t="s">
        <v>7079</v>
      </c>
      <c r="D3845" s="303">
        <v>106.54</v>
      </c>
    </row>
    <row r="3846" spans="1:4" ht="18">
      <c r="A3846" s="288" t="s">
        <v>13929</v>
      </c>
      <c r="B3846" s="289" t="s">
        <v>13930</v>
      </c>
      <c r="C3846" s="288" t="s">
        <v>7079</v>
      </c>
      <c r="D3846" s="303">
        <v>184.81</v>
      </c>
    </row>
    <row r="3847" spans="1:4" ht="27">
      <c r="A3847" s="288" t="s">
        <v>13931</v>
      </c>
      <c r="B3847" s="289" t="s">
        <v>13932</v>
      </c>
      <c r="C3847" s="288" t="s">
        <v>7079</v>
      </c>
      <c r="D3847" s="303">
        <v>114.36</v>
      </c>
    </row>
    <row r="3848" spans="1:4" ht="27">
      <c r="A3848" s="288" t="s">
        <v>13933</v>
      </c>
      <c r="B3848" s="289" t="s">
        <v>13934</v>
      </c>
      <c r="C3848" s="288" t="s">
        <v>7079</v>
      </c>
      <c r="D3848" s="303">
        <v>114.36</v>
      </c>
    </row>
    <row r="3849" spans="1:4" ht="27">
      <c r="A3849" s="288" t="s">
        <v>13935</v>
      </c>
      <c r="B3849" s="289" t="s">
        <v>13936</v>
      </c>
      <c r="C3849" s="288" t="s">
        <v>7079</v>
      </c>
      <c r="D3849" s="303">
        <v>106.54</v>
      </c>
    </row>
    <row r="3850" spans="1:4" ht="27">
      <c r="A3850" s="288" t="s">
        <v>13937</v>
      </c>
      <c r="B3850" s="289" t="s">
        <v>13938</v>
      </c>
      <c r="C3850" s="288" t="s">
        <v>7079</v>
      </c>
      <c r="D3850" s="303">
        <v>106.54</v>
      </c>
    </row>
    <row r="3851" spans="1:4" ht="18">
      <c r="A3851" s="288" t="s">
        <v>13939</v>
      </c>
      <c r="B3851" s="289" t="s">
        <v>13940</v>
      </c>
      <c r="C3851" s="288" t="s">
        <v>7079</v>
      </c>
      <c r="D3851" s="303">
        <v>45.15</v>
      </c>
    </row>
    <row r="3852" spans="1:4" ht="18">
      <c r="A3852" s="288" t="s">
        <v>13941</v>
      </c>
      <c r="B3852" s="289" t="s">
        <v>13942</v>
      </c>
      <c r="C3852" s="288" t="s">
        <v>7079</v>
      </c>
      <c r="D3852" s="303">
        <v>34.71</v>
      </c>
    </row>
    <row r="3853" spans="1:4" ht="18">
      <c r="A3853" s="288" t="s">
        <v>13943</v>
      </c>
      <c r="B3853" s="289" t="s">
        <v>13944</v>
      </c>
      <c r="C3853" s="288" t="s">
        <v>7079</v>
      </c>
      <c r="D3853" s="303">
        <v>350.74</v>
      </c>
    </row>
    <row r="3854" spans="1:4" ht="18">
      <c r="A3854" s="288" t="s">
        <v>13945</v>
      </c>
      <c r="B3854" s="289" t="s">
        <v>13946</v>
      </c>
      <c r="C3854" s="288" t="s">
        <v>7079</v>
      </c>
      <c r="D3854" s="303">
        <v>164.64</v>
      </c>
    </row>
    <row r="3855" spans="1:4" ht="18">
      <c r="A3855" s="288" t="s">
        <v>13947</v>
      </c>
      <c r="B3855" s="289" t="s">
        <v>13948</v>
      </c>
      <c r="C3855" s="288" t="s">
        <v>7079</v>
      </c>
      <c r="D3855" s="303">
        <v>23.66</v>
      </c>
    </row>
    <row r="3856" spans="1:4">
      <c r="A3856" s="288" t="s">
        <v>13949</v>
      </c>
      <c r="B3856" s="289" t="s">
        <v>13950</v>
      </c>
      <c r="C3856" s="288" t="s">
        <v>7079</v>
      </c>
      <c r="D3856" s="303">
        <v>5.57</v>
      </c>
    </row>
    <row r="3857" spans="1:4">
      <c r="A3857" s="288" t="s">
        <v>13951</v>
      </c>
      <c r="B3857" s="289" t="s">
        <v>13952</v>
      </c>
      <c r="C3857" s="288" t="s">
        <v>7079</v>
      </c>
      <c r="D3857" s="303">
        <v>12.15</v>
      </c>
    </row>
    <row r="3858" spans="1:4">
      <c r="A3858" s="287" t="s">
        <v>13953</v>
      </c>
      <c r="B3858" s="287"/>
      <c r="C3858" s="287"/>
      <c r="D3858" s="296" t="s">
        <v>28729</v>
      </c>
    </row>
    <row r="3859" spans="1:4" ht="27">
      <c r="A3859" s="288" t="s">
        <v>13954</v>
      </c>
      <c r="B3859" s="289" t="s">
        <v>13955</v>
      </c>
      <c r="C3859" s="288" t="s">
        <v>7079</v>
      </c>
      <c r="D3859" s="303">
        <v>104.39</v>
      </c>
    </row>
    <row r="3860" spans="1:4" ht="27">
      <c r="A3860" s="288" t="s">
        <v>13956</v>
      </c>
      <c r="B3860" s="289" t="s">
        <v>13957</v>
      </c>
      <c r="C3860" s="288" t="s">
        <v>7079</v>
      </c>
      <c r="D3860" s="303">
        <v>244.21</v>
      </c>
    </row>
    <row r="3861" spans="1:4" ht="18">
      <c r="A3861" s="288" t="s">
        <v>13958</v>
      </c>
      <c r="B3861" s="289" t="s">
        <v>13959</v>
      </c>
      <c r="C3861" s="288" t="s">
        <v>7079</v>
      </c>
      <c r="D3861" s="303">
        <v>66.150000000000006</v>
      </c>
    </row>
    <row r="3862" spans="1:4" ht="18">
      <c r="A3862" s="288" t="s">
        <v>13960</v>
      </c>
      <c r="B3862" s="289" t="s">
        <v>13961</v>
      </c>
      <c r="C3862" s="288" t="s">
        <v>7079</v>
      </c>
      <c r="D3862" s="303">
        <v>44.28</v>
      </c>
    </row>
    <row r="3863" spans="1:4" ht="18">
      <c r="A3863" s="288" t="s">
        <v>13962</v>
      </c>
      <c r="B3863" s="289" t="s">
        <v>13963</v>
      </c>
      <c r="C3863" s="288" t="s">
        <v>7079</v>
      </c>
      <c r="D3863" s="303">
        <v>788.74</v>
      </c>
    </row>
    <row r="3864" spans="1:4" ht="18">
      <c r="A3864" s="287" t="s">
        <v>13964</v>
      </c>
      <c r="B3864" s="287"/>
      <c r="C3864" s="287"/>
      <c r="D3864" s="296" t="s">
        <v>28729</v>
      </c>
    </row>
    <row r="3865" spans="1:4" ht="36">
      <c r="A3865" s="288" t="s">
        <v>13965</v>
      </c>
      <c r="B3865" s="289" t="s">
        <v>13966</v>
      </c>
      <c r="C3865" s="288" t="s">
        <v>7079</v>
      </c>
      <c r="D3865" s="303">
        <v>76.099999999999994</v>
      </c>
    </row>
    <row r="3866" spans="1:4" ht="27">
      <c r="A3866" s="288" t="s">
        <v>13967</v>
      </c>
      <c r="B3866" s="289" t="s">
        <v>13968</v>
      </c>
      <c r="C3866" s="288" t="s">
        <v>7079</v>
      </c>
      <c r="D3866" s="303">
        <v>166.41</v>
      </c>
    </row>
    <row r="3867" spans="1:4" ht="36">
      <c r="A3867" s="288" t="s">
        <v>13969</v>
      </c>
      <c r="B3867" s="289" t="s">
        <v>13970</v>
      </c>
      <c r="C3867" s="288" t="s">
        <v>7079</v>
      </c>
      <c r="D3867" s="303">
        <v>133.12</v>
      </c>
    </row>
    <row r="3868" spans="1:4" ht="36">
      <c r="A3868" s="288" t="s">
        <v>13971</v>
      </c>
      <c r="B3868" s="289" t="s">
        <v>13972</v>
      </c>
      <c r="C3868" s="288" t="s">
        <v>7079</v>
      </c>
      <c r="D3868" s="303">
        <v>225.2</v>
      </c>
    </row>
    <row r="3869" spans="1:4" ht="45">
      <c r="A3869" s="288" t="s">
        <v>13973</v>
      </c>
      <c r="B3869" s="289" t="s">
        <v>13974</v>
      </c>
      <c r="C3869" s="288" t="s">
        <v>7079</v>
      </c>
      <c r="D3869" s="303">
        <v>217.22</v>
      </c>
    </row>
    <row r="3870" spans="1:4" ht="27">
      <c r="A3870" s="288" t="s">
        <v>13975</v>
      </c>
      <c r="B3870" s="289" t="s">
        <v>13976</v>
      </c>
      <c r="C3870" s="288" t="s">
        <v>7079</v>
      </c>
      <c r="D3870" s="303">
        <v>278.06</v>
      </c>
    </row>
    <row r="3871" spans="1:4" ht="45">
      <c r="A3871" s="288" t="s">
        <v>13977</v>
      </c>
      <c r="B3871" s="289" t="s">
        <v>13978</v>
      </c>
      <c r="C3871" s="288" t="s">
        <v>7079</v>
      </c>
      <c r="D3871" s="303">
        <v>236.67</v>
      </c>
    </row>
    <row r="3872" spans="1:4" ht="27">
      <c r="A3872" s="288" t="s">
        <v>13979</v>
      </c>
      <c r="B3872" s="289" t="s">
        <v>13980</v>
      </c>
      <c r="C3872" s="288" t="s">
        <v>7079</v>
      </c>
      <c r="D3872" s="303">
        <v>64.680000000000007</v>
      </c>
    </row>
    <row r="3873" spans="1:4" ht="27">
      <c r="A3873" s="288" t="s">
        <v>13981</v>
      </c>
      <c r="B3873" s="289" t="s">
        <v>13982</v>
      </c>
      <c r="C3873" s="288" t="s">
        <v>7079</v>
      </c>
      <c r="D3873" s="303">
        <v>181.5</v>
      </c>
    </row>
    <row r="3874" spans="1:4" ht="36">
      <c r="A3874" s="288" t="s">
        <v>13983</v>
      </c>
      <c r="B3874" s="289" t="s">
        <v>13984</v>
      </c>
      <c r="C3874" s="288" t="s">
        <v>7079</v>
      </c>
      <c r="D3874" s="303">
        <v>153.97999999999999</v>
      </c>
    </row>
    <row r="3875" spans="1:4" ht="27">
      <c r="A3875" s="288" t="s">
        <v>13985</v>
      </c>
      <c r="B3875" s="289" t="s">
        <v>13986</v>
      </c>
      <c r="C3875" s="288" t="s">
        <v>7079</v>
      </c>
      <c r="D3875" s="303">
        <v>540.54999999999995</v>
      </c>
    </row>
    <row r="3876" spans="1:4" ht="18">
      <c r="A3876" s="288" t="s">
        <v>13987</v>
      </c>
      <c r="B3876" s="289" t="s">
        <v>13988</v>
      </c>
      <c r="C3876" s="288" t="s">
        <v>7079</v>
      </c>
      <c r="D3876" s="303">
        <v>280.58</v>
      </c>
    </row>
    <row r="3877" spans="1:4" ht="27">
      <c r="A3877" s="288" t="s">
        <v>13989</v>
      </c>
      <c r="B3877" s="289" t="s">
        <v>13990</v>
      </c>
      <c r="C3877" s="288" t="s">
        <v>7079</v>
      </c>
      <c r="D3877" s="303">
        <v>239.14</v>
      </c>
    </row>
    <row r="3878" spans="1:4" ht="27">
      <c r="A3878" s="288" t="s">
        <v>13991</v>
      </c>
      <c r="B3878" s="289" t="s">
        <v>13992</v>
      </c>
      <c r="C3878" s="288" t="s">
        <v>7079</v>
      </c>
      <c r="D3878" s="303">
        <v>298.37</v>
      </c>
    </row>
    <row r="3879" spans="1:4" ht="36">
      <c r="A3879" s="288" t="s">
        <v>13993</v>
      </c>
      <c r="B3879" s="289" t="s">
        <v>13994</v>
      </c>
      <c r="C3879" s="288" t="s">
        <v>7079</v>
      </c>
      <c r="D3879" s="303">
        <v>213.29</v>
      </c>
    </row>
    <row r="3880" spans="1:4" ht="36">
      <c r="A3880" s="288" t="s">
        <v>13995</v>
      </c>
      <c r="B3880" s="289" t="s">
        <v>13996</v>
      </c>
      <c r="C3880" s="288" t="s">
        <v>7079</v>
      </c>
      <c r="D3880" s="303">
        <v>254.35</v>
      </c>
    </row>
    <row r="3881" spans="1:4" ht="27">
      <c r="A3881" s="288" t="s">
        <v>13997</v>
      </c>
      <c r="B3881" s="289" t="s">
        <v>13998</v>
      </c>
      <c r="C3881" s="288" t="s">
        <v>7079</v>
      </c>
      <c r="D3881" s="303">
        <v>422.69</v>
      </c>
    </row>
    <row r="3882" spans="1:4" ht="45">
      <c r="A3882" s="288" t="s">
        <v>13999</v>
      </c>
      <c r="B3882" s="289" t="s">
        <v>14000</v>
      </c>
      <c r="C3882" s="288" t="s">
        <v>7079</v>
      </c>
      <c r="D3882" s="303">
        <v>490.5</v>
      </c>
    </row>
    <row r="3883" spans="1:4" ht="27">
      <c r="A3883" s="288" t="s">
        <v>14001</v>
      </c>
      <c r="B3883" s="289" t="s">
        <v>14002</v>
      </c>
      <c r="C3883" s="288" t="s">
        <v>7079</v>
      </c>
      <c r="D3883" s="303">
        <v>422.3</v>
      </c>
    </row>
    <row r="3884" spans="1:4" ht="18">
      <c r="A3884" s="288" t="s">
        <v>14003</v>
      </c>
      <c r="B3884" s="289" t="s">
        <v>14004</v>
      </c>
      <c r="C3884" s="288" t="s">
        <v>7079</v>
      </c>
      <c r="D3884" s="303">
        <v>113.48</v>
      </c>
    </row>
    <row r="3885" spans="1:4" ht="18">
      <c r="A3885" s="288" t="s">
        <v>14005</v>
      </c>
      <c r="B3885" s="289" t="s">
        <v>14006</v>
      </c>
      <c r="C3885" s="288" t="s">
        <v>7079</v>
      </c>
      <c r="D3885" s="303">
        <v>131.19</v>
      </c>
    </row>
    <row r="3886" spans="1:4" ht="18">
      <c r="A3886" s="288" t="s">
        <v>14007</v>
      </c>
      <c r="B3886" s="289" t="s">
        <v>14008</v>
      </c>
      <c r="C3886" s="288" t="s">
        <v>7079</v>
      </c>
      <c r="D3886" s="303">
        <v>48.02</v>
      </c>
    </row>
    <row r="3887" spans="1:4" ht="27">
      <c r="A3887" s="288" t="s">
        <v>14009</v>
      </c>
      <c r="B3887" s="289" t="s">
        <v>14010</v>
      </c>
      <c r="C3887" s="288" t="s">
        <v>7079</v>
      </c>
      <c r="D3887" s="303">
        <v>188.84</v>
      </c>
    </row>
    <row r="3888" spans="1:4" ht="18">
      <c r="A3888" s="288" t="s">
        <v>14011</v>
      </c>
      <c r="B3888" s="289" t="s">
        <v>14012</v>
      </c>
      <c r="C3888" s="288" t="s">
        <v>7079</v>
      </c>
      <c r="D3888" s="303">
        <v>171</v>
      </c>
    </row>
    <row r="3889" spans="1:4" ht="27">
      <c r="A3889" s="288" t="s">
        <v>14013</v>
      </c>
      <c r="B3889" s="289" t="s">
        <v>14014</v>
      </c>
      <c r="C3889" s="288" t="s">
        <v>7079</v>
      </c>
      <c r="D3889" s="303">
        <v>342.14</v>
      </c>
    </row>
    <row r="3890" spans="1:4" ht="36">
      <c r="A3890" s="288" t="s">
        <v>14015</v>
      </c>
      <c r="B3890" s="289" t="s">
        <v>14016</v>
      </c>
      <c r="C3890" s="288" t="s">
        <v>7079</v>
      </c>
      <c r="D3890" s="303">
        <v>173.3</v>
      </c>
    </row>
    <row r="3891" spans="1:4" ht="18">
      <c r="A3891" s="287" t="s">
        <v>14017</v>
      </c>
      <c r="B3891" s="287"/>
      <c r="C3891" s="287"/>
      <c r="D3891" s="296" t="s">
        <v>28729</v>
      </c>
    </row>
    <row r="3892" spans="1:4" ht="36">
      <c r="A3892" s="288" t="s">
        <v>14018</v>
      </c>
      <c r="B3892" s="289" t="s">
        <v>14019</v>
      </c>
      <c r="C3892" s="288" t="s">
        <v>7079</v>
      </c>
      <c r="D3892" s="303">
        <v>89.84</v>
      </c>
    </row>
    <row r="3893" spans="1:4" ht="27">
      <c r="A3893" s="288" t="s">
        <v>14020</v>
      </c>
      <c r="B3893" s="289" t="s">
        <v>14021</v>
      </c>
      <c r="C3893" s="288" t="s">
        <v>7079</v>
      </c>
      <c r="D3893" s="303">
        <v>1333.63</v>
      </c>
    </row>
    <row r="3894" spans="1:4" ht="27">
      <c r="A3894" s="288" t="s">
        <v>14022</v>
      </c>
      <c r="B3894" s="289" t="s">
        <v>14023</v>
      </c>
      <c r="C3894" s="288" t="s">
        <v>7079</v>
      </c>
      <c r="D3894" s="303">
        <v>438.4</v>
      </c>
    </row>
    <row r="3895" spans="1:4" ht="18">
      <c r="A3895" s="288" t="s">
        <v>14024</v>
      </c>
      <c r="B3895" s="289" t="s">
        <v>14025</v>
      </c>
      <c r="C3895" s="288" t="s">
        <v>7079</v>
      </c>
      <c r="D3895" s="303">
        <v>1150</v>
      </c>
    </row>
    <row r="3896" spans="1:4" ht="18">
      <c r="A3896" s="288" t="s">
        <v>14026</v>
      </c>
      <c r="B3896" s="289" t="s">
        <v>14027</v>
      </c>
      <c r="C3896" s="288" t="s">
        <v>7079</v>
      </c>
      <c r="D3896" s="303">
        <v>1595</v>
      </c>
    </row>
    <row r="3897" spans="1:4" ht="18">
      <c r="A3897" s="288" t="s">
        <v>14028</v>
      </c>
      <c r="B3897" s="289" t="s">
        <v>14029</v>
      </c>
      <c r="C3897" s="288" t="s">
        <v>7079</v>
      </c>
      <c r="D3897" s="303">
        <v>1720</v>
      </c>
    </row>
    <row r="3898" spans="1:4" ht="18">
      <c r="A3898" s="288" t="s">
        <v>14030</v>
      </c>
      <c r="B3898" s="289" t="s">
        <v>14031</v>
      </c>
      <c r="C3898" s="288" t="s">
        <v>7079</v>
      </c>
      <c r="D3898" s="303">
        <v>1300</v>
      </c>
    </row>
    <row r="3899" spans="1:4" ht="18">
      <c r="A3899" s="288" t="s">
        <v>14032</v>
      </c>
      <c r="B3899" s="289" t="s">
        <v>14033</v>
      </c>
      <c r="C3899" s="288" t="s">
        <v>7079</v>
      </c>
      <c r="D3899" s="303">
        <v>1300</v>
      </c>
    </row>
    <row r="3900" spans="1:4" ht="18">
      <c r="A3900" s="288" t="s">
        <v>14034</v>
      </c>
      <c r="B3900" s="289" t="s">
        <v>14035</v>
      </c>
      <c r="C3900" s="288" t="s">
        <v>7079</v>
      </c>
      <c r="D3900" s="303">
        <v>2250</v>
      </c>
    </row>
    <row r="3901" spans="1:4" ht="18">
      <c r="A3901" s="288" t="s">
        <v>14036</v>
      </c>
      <c r="B3901" s="289" t="s">
        <v>14037</v>
      </c>
      <c r="C3901" s="288" t="s">
        <v>7079</v>
      </c>
      <c r="D3901" s="303">
        <v>184.46</v>
      </c>
    </row>
    <row r="3902" spans="1:4" ht="18">
      <c r="A3902" s="288" t="s">
        <v>14038</v>
      </c>
      <c r="B3902" s="289" t="s">
        <v>14039</v>
      </c>
      <c r="C3902" s="288" t="s">
        <v>7079</v>
      </c>
      <c r="D3902" s="303">
        <v>100.4</v>
      </c>
    </row>
    <row r="3903" spans="1:4" ht="18">
      <c r="A3903" s="287" t="s">
        <v>14040</v>
      </c>
      <c r="B3903" s="287"/>
      <c r="C3903" s="287"/>
      <c r="D3903" s="296" t="s">
        <v>28729</v>
      </c>
    </row>
    <row r="3904" spans="1:4">
      <c r="A3904" s="288" t="s">
        <v>14041</v>
      </c>
      <c r="B3904" s="289" t="s">
        <v>14042</v>
      </c>
      <c r="C3904" s="288" t="s">
        <v>7079</v>
      </c>
      <c r="D3904" s="303">
        <v>3.39</v>
      </c>
    </row>
    <row r="3905" spans="1:4" ht="18">
      <c r="A3905" s="288" t="s">
        <v>14043</v>
      </c>
      <c r="B3905" s="289" t="s">
        <v>14044</v>
      </c>
      <c r="C3905" s="288" t="s">
        <v>7079</v>
      </c>
      <c r="D3905" s="303">
        <v>42.5</v>
      </c>
    </row>
    <row r="3906" spans="1:4" ht="18">
      <c r="A3906" s="287" t="s">
        <v>14045</v>
      </c>
      <c r="B3906" s="287"/>
      <c r="C3906" s="287"/>
      <c r="D3906" s="296" t="s">
        <v>28729</v>
      </c>
    </row>
    <row r="3907" spans="1:4" ht="18">
      <c r="A3907" s="288" t="s">
        <v>14046</v>
      </c>
      <c r="B3907" s="289" t="s">
        <v>14047</v>
      </c>
      <c r="C3907" s="288" t="s">
        <v>7079</v>
      </c>
      <c r="D3907" s="303">
        <v>12.95</v>
      </c>
    </row>
    <row r="3908" spans="1:4" ht="27">
      <c r="A3908" s="288" t="s">
        <v>14048</v>
      </c>
      <c r="B3908" s="289" t="s">
        <v>14049</v>
      </c>
      <c r="C3908" s="288" t="s">
        <v>7079</v>
      </c>
      <c r="D3908" s="303">
        <v>11.55</v>
      </c>
    </row>
    <row r="3909" spans="1:4">
      <c r="A3909" s="288" t="s">
        <v>14050</v>
      </c>
      <c r="B3909" s="289" t="s">
        <v>14051</v>
      </c>
      <c r="C3909" s="288" t="s">
        <v>7079</v>
      </c>
      <c r="D3909" s="303">
        <v>14.26</v>
      </c>
    </row>
    <row r="3910" spans="1:4" ht="27">
      <c r="A3910" s="288" t="s">
        <v>14052</v>
      </c>
      <c r="B3910" s="289" t="s">
        <v>14053</v>
      </c>
      <c r="C3910" s="288" t="s">
        <v>7079</v>
      </c>
      <c r="D3910" s="303">
        <v>14.76</v>
      </c>
    </row>
    <row r="3911" spans="1:4" ht="27">
      <c r="A3911" s="288" t="s">
        <v>14054</v>
      </c>
      <c r="B3911" s="289" t="s">
        <v>14055</v>
      </c>
      <c r="C3911" s="288" t="s">
        <v>7079</v>
      </c>
      <c r="D3911" s="303">
        <v>12.73</v>
      </c>
    </row>
    <row r="3912" spans="1:4">
      <c r="A3912" s="288" t="s">
        <v>14056</v>
      </c>
      <c r="B3912" s="289" t="s">
        <v>14057</v>
      </c>
      <c r="C3912" s="288" t="s">
        <v>7079</v>
      </c>
      <c r="D3912" s="303">
        <v>16.34</v>
      </c>
    </row>
    <row r="3913" spans="1:4" ht="27">
      <c r="A3913" s="288" t="s">
        <v>14058</v>
      </c>
      <c r="B3913" s="289" t="s">
        <v>14059</v>
      </c>
      <c r="C3913" s="288" t="s">
        <v>7079</v>
      </c>
      <c r="D3913" s="303">
        <v>12.61</v>
      </c>
    </row>
    <row r="3914" spans="1:4" ht="18">
      <c r="A3914" s="288" t="s">
        <v>14060</v>
      </c>
      <c r="B3914" s="289" t="s">
        <v>14061</v>
      </c>
      <c r="C3914" s="288" t="s">
        <v>7079</v>
      </c>
      <c r="D3914" s="303">
        <v>67.23</v>
      </c>
    </row>
    <row r="3915" spans="1:4" ht="18">
      <c r="A3915" s="288" t="s">
        <v>14062</v>
      </c>
      <c r="B3915" s="289" t="s">
        <v>14063</v>
      </c>
      <c r="C3915" s="288" t="s">
        <v>7079</v>
      </c>
      <c r="D3915" s="303">
        <v>82.5</v>
      </c>
    </row>
    <row r="3916" spans="1:4" ht="18">
      <c r="A3916" s="287" t="s">
        <v>14064</v>
      </c>
      <c r="B3916" s="287"/>
      <c r="C3916" s="287"/>
      <c r="D3916" s="296" t="s">
        <v>28729</v>
      </c>
    </row>
    <row r="3917" spans="1:4" ht="27">
      <c r="A3917" s="288" t="s">
        <v>14065</v>
      </c>
      <c r="B3917" s="289" t="s">
        <v>14066</v>
      </c>
      <c r="C3917" s="288" t="s">
        <v>7079</v>
      </c>
      <c r="D3917" s="303">
        <v>176.58</v>
      </c>
    </row>
    <row r="3918" spans="1:4" ht="36">
      <c r="A3918" s="288" t="s">
        <v>14067</v>
      </c>
      <c r="B3918" s="289" t="s">
        <v>14068</v>
      </c>
      <c r="C3918" s="288" t="s">
        <v>7079</v>
      </c>
      <c r="D3918" s="303">
        <v>218.84</v>
      </c>
    </row>
    <row r="3919" spans="1:4" ht="18">
      <c r="A3919" s="287" t="s">
        <v>14069</v>
      </c>
      <c r="B3919" s="287"/>
      <c r="C3919" s="287"/>
      <c r="D3919" s="296" t="s">
        <v>28729</v>
      </c>
    </row>
    <row r="3920" spans="1:4" ht="18">
      <c r="A3920" s="288" t="s">
        <v>14070</v>
      </c>
      <c r="B3920" s="289" t="s">
        <v>14071</v>
      </c>
      <c r="C3920" s="288" t="s">
        <v>7079</v>
      </c>
      <c r="D3920" s="303">
        <v>73.06</v>
      </c>
    </row>
    <row r="3921" spans="1:4">
      <c r="A3921" s="287" t="s">
        <v>14072</v>
      </c>
      <c r="B3921" s="287"/>
      <c r="C3921" s="287"/>
      <c r="D3921" s="296" t="s">
        <v>28729</v>
      </c>
    </row>
    <row r="3922" spans="1:4" ht="18">
      <c r="A3922" s="288" t="s">
        <v>14073</v>
      </c>
      <c r="B3922" s="289" t="s">
        <v>14074</v>
      </c>
      <c r="C3922" s="288" t="s">
        <v>7079</v>
      </c>
      <c r="D3922" s="303">
        <v>30</v>
      </c>
    </row>
    <row r="3923" spans="1:4">
      <c r="A3923" s="290"/>
      <c r="B3923" s="290"/>
      <c r="C3923" s="290"/>
      <c r="D3923" s="298"/>
    </row>
    <row r="3924" spans="1:4" ht="18">
      <c r="A3924" s="287" t="s">
        <v>14075</v>
      </c>
      <c r="B3924" s="287"/>
      <c r="C3924" s="287"/>
      <c r="D3924" s="296" t="s">
        <v>28729</v>
      </c>
    </row>
    <row r="3925" spans="1:4" ht="27">
      <c r="A3925" s="288" t="s">
        <v>14076</v>
      </c>
      <c r="B3925" s="289" t="s">
        <v>14077</v>
      </c>
      <c r="C3925" s="288" t="s">
        <v>7079</v>
      </c>
      <c r="D3925" s="303">
        <v>171.17</v>
      </c>
    </row>
    <row r="3926" spans="1:4" ht="18">
      <c r="A3926" s="287" t="s">
        <v>14078</v>
      </c>
      <c r="B3926" s="287"/>
      <c r="C3926" s="287"/>
      <c r="D3926" s="296" t="s">
        <v>28729</v>
      </c>
    </row>
    <row r="3927" spans="1:4" ht="63">
      <c r="A3927" s="288" t="s">
        <v>14079</v>
      </c>
      <c r="B3927" s="289" t="s">
        <v>14080</v>
      </c>
      <c r="C3927" s="288" t="s">
        <v>7079</v>
      </c>
      <c r="D3927" s="303">
        <v>3328.61</v>
      </c>
    </row>
    <row r="3928" spans="1:4" ht="63">
      <c r="A3928" s="288" t="s">
        <v>14081</v>
      </c>
      <c r="B3928" s="289" t="s">
        <v>14082</v>
      </c>
      <c r="C3928" s="288" t="s">
        <v>7079</v>
      </c>
      <c r="D3928" s="303">
        <v>4111.22</v>
      </c>
    </row>
    <row r="3929" spans="1:4">
      <c r="A3929" s="290"/>
      <c r="B3929" s="290"/>
      <c r="C3929" s="290"/>
      <c r="D3929" s="298"/>
    </row>
    <row r="3930" spans="1:4">
      <c r="A3930" s="287" t="s">
        <v>14083</v>
      </c>
      <c r="B3930" s="287"/>
      <c r="C3930" s="287"/>
      <c r="D3930" s="296" t="s">
        <v>28729</v>
      </c>
    </row>
    <row r="3931" spans="1:4" ht="27">
      <c r="A3931" s="288" t="s">
        <v>14084</v>
      </c>
      <c r="B3931" s="289" t="s">
        <v>14085</v>
      </c>
      <c r="C3931" s="288" t="s">
        <v>7079</v>
      </c>
      <c r="D3931" s="303">
        <v>631.79999999999995</v>
      </c>
    </row>
    <row r="3932" spans="1:4" ht="27">
      <c r="A3932" s="288" t="s">
        <v>14086</v>
      </c>
      <c r="B3932" s="289" t="s">
        <v>14087</v>
      </c>
      <c r="C3932" s="288" t="s">
        <v>7079</v>
      </c>
      <c r="D3932" s="303">
        <v>1086.8</v>
      </c>
    </row>
    <row r="3933" spans="1:4" ht="36">
      <c r="A3933" s="288" t="s">
        <v>14088</v>
      </c>
      <c r="B3933" s="289" t="s">
        <v>14089</v>
      </c>
      <c r="C3933" s="288" t="s">
        <v>7079</v>
      </c>
      <c r="D3933" s="303">
        <v>336</v>
      </c>
    </row>
    <row r="3934" spans="1:4" ht="36">
      <c r="A3934" s="288" t="s">
        <v>14090</v>
      </c>
      <c r="B3934" s="289" t="s">
        <v>14091</v>
      </c>
      <c r="C3934" s="288" t="s">
        <v>7079</v>
      </c>
      <c r="D3934" s="303">
        <v>1869</v>
      </c>
    </row>
    <row r="3935" spans="1:4" ht="36">
      <c r="A3935" s="288" t="s">
        <v>14092</v>
      </c>
      <c r="B3935" s="289" t="s">
        <v>14093</v>
      </c>
      <c r="C3935" s="288" t="s">
        <v>7079</v>
      </c>
      <c r="D3935" s="303">
        <v>3459.75</v>
      </c>
    </row>
    <row r="3936" spans="1:4" ht="45">
      <c r="A3936" s="288" t="s">
        <v>14094</v>
      </c>
      <c r="B3936" s="289" t="s">
        <v>14095</v>
      </c>
      <c r="C3936" s="288" t="s">
        <v>7079</v>
      </c>
      <c r="D3936" s="303">
        <v>2089.5</v>
      </c>
    </row>
    <row r="3937" spans="1:4" ht="54">
      <c r="A3937" s="288" t="s">
        <v>14096</v>
      </c>
      <c r="B3937" s="289" t="s">
        <v>14097</v>
      </c>
      <c r="C3937" s="288" t="s">
        <v>7079</v>
      </c>
      <c r="D3937" s="303">
        <v>14400</v>
      </c>
    </row>
    <row r="3938" spans="1:4" ht="18">
      <c r="A3938" s="288" t="s">
        <v>14098</v>
      </c>
      <c r="B3938" s="289" t="s">
        <v>14099</v>
      </c>
      <c r="C3938" s="288" t="s">
        <v>7079</v>
      </c>
      <c r="D3938" s="303">
        <v>136.5</v>
      </c>
    </row>
    <row r="3939" spans="1:4" ht="18">
      <c r="A3939" s="288" t="s">
        <v>14100</v>
      </c>
      <c r="B3939" s="289" t="s">
        <v>14101</v>
      </c>
      <c r="C3939" s="288" t="s">
        <v>7079</v>
      </c>
      <c r="D3939" s="303">
        <v>1482.25</v>
      </c>
    </row>
    <row r="3940" spans="1:4" ht="18">
      <c r="A3940" s="288" t="s">
        <v>14102</v>
      </c>
      <c r="B3940" s="289" t="s">
        <v>14103</v>
      </c>
      <c r="C3940" s="288" t="s">
        <v>7079</v>
      </c>
      <c r="D3940" s="303">
        <v>2052.75</v>
      </c>
    </row>
    <row r="3941" spans="1:4">
      <c r="A3941" s="290"/>
      <c r="B3941" s="290"/>
      <c r="C3941" s="290"/>
      <c r="D3941" s="298"/>
    </row>
    <row r="3942" spans="1:4" ht="27">
      <c r="A3942" s="287" t="s">
        <v>14104</v>
      </c>
      <c r="B3942" s="287"/>
      <c r="C3942" s="287"/>
      <c r="D3942" s="296" t="s">
        <v>28729</v>
      </c>
    </row>
    <row r="3943" spans="1:4" ht="18">
      <c r="A3943" s="288" t="s">
        <v>14105</v>
      </c>
      <c r="B3943" s="289" t="s">
        <v>14106</v>
      </c>
      <c r="C3943" s="288" t="s">
        <v>7079</v>
      </c>
      <c r="D3943" s="303">
        <v>12991.41</v>
      </c>
    </row>
    <row r="3944" spans="1:4" ht="18">
      <c r="A3944" s="288" t="s">
        <v>14107</v>
      </c>
      <c r="B3944" s="289" t="s">
        <v>14108</v>
      </c>
      <c r="C3944" s="288" t="s">
        <v>7079</v>
      </c>
      <c r="D3944" s="303">
        <v>21014.18</v>
      </c>
    </row>
    <row r="3945" spans="1:4" ht="18">
      <c r="A3945" s="288" t="s">
        <v>14109</v>
      </c>
      <c r="B3945" s="289" t="s">
        <v>14110</v>
      </c>
      <c r="C3945" s="288" t="s">
        <v>7079</v>
      </c>
      <c r="D3945" s="303">
        <v>26792.04</v>
      </c>
    </row>
    <row r="3946" spans="1:4" ht="18">
      <c r="A3946" s="288" t="s">
        <v>14111</v>
      </c>
      <c r="B3946" s="289" t="s">
        <v>14112</v>
      </c>
      <c r="C3946" s="288" t="s">
        <v>7079</v>
      </c>
      <c r="D3946" s="303">
        <v>39671.03</v>
      </c>
    </row>
    <row r="3947" spans="1:4">
      <c r="A3947" s="290"/>
      <c r="B3947" s="290"/>
      <c r="C3947" s="290"/>
      <c r="D3947" s="298"/>
    </row>
    <row r="3948" spans="1:4">
      <c r="A3948" s="292"/>
      <c r="B3948" s="292"/>
      <c r="C3948" s="292"/>
      <c r="D3948" s="300"/>
    </row>
    <row r="3949" spans="1:4">
      <c r="A3949" s="287" t="s">
        <v>14113</v>
      </c>
      <c r="B3949" s="287"/>
      <c r="C3949" s="287"/>
      <c r="D3949" s="296" t="s">
        <v>28729</v>
      </c>
    </row>
    <row r="3950" spans="1:4" ht="27">
      <c r="A3950" s="288" t="s">
        <v>14114</v>
      </c>
      <c r="B3950" s="289" t="s">
        <v>14115</v>
      </c>
      <c r="C3950" s="288" t="s">
        <v>7167</v>
      </c>
      <c r="D3950" s="303">
        <v>13.74</v>
      </c>
    </row>
    <row r="3951" spans="1:4" ht="27">
      <c r="A3951" s="288" t="s">
        <v>14116</v>
      </c>
      <c r="B3951" s="289" t="s">
        <v>14117</v>
      </c>
      <c r="C3951" s="288" t="s">
        <v>7167</v>
      </c>
      <c r="D3951" s="303">
        <v>22.81</v>
      </c>
    </row>
    <row r="3952" spans="1:4" ht="27">
      <c r="A3952" s="288" t="s">
        <v>14118</v>
      </c>
      <c r="B3952" s="289" t="s">
        <v>14119</v>
      </c>
      <c r="C3952" s="288" t="s">
        <v>7167</v>
      </c>
      <c r="D3952" s="303">
        <v>25.09</v>
      </c>
    </row>
    <row r="3953" spans="1:4" ht="27">
      <c r="A3953" s="288" t="s">
        <v>14120</v>
      </c>
      <c r="B3953" s="289" t="s">
        <v>14121</v>
      </c>
      <c r="C3953" s="288" t="s">
        <v>7167</v>
      </c>
      <c r="D3953" s="303">
        <v>103.82</v>
      </c>
    </row>
    <row r="3954" spans="1:4" ht="27">
      <c r="A3954" s="288" t="s">
        <v>14122</v>
      </c>
      <c r="B3954" s="289" t="s">
        <v>14123</v>
      </c>
      <c r="C3954" s="288" t="s">
        <v>7167</v>
      </c>
      <c r="D3954" s="303">
        <v>22.81</v>
      </c>
    </row>
    <row r="3955" spans="1:4" ht="27">
      <c r="A3955" s="288" t="s">
        <v>14124</v>
      </c>
      <c r="B3955" s="289" t="s">
        <v>14125</v>
      </c>
      <c r="C3955" s="288" t="s">
        <v>7167</v>
      </c>
      <c r="D3955" s="303">
        <v>14.68</v>
      </c>
    </row>
    <row r="3956" spans="1:4" ht="27">
      <c r="A3956" s="288" t="s">
        <v>14126</v>
      </c>
      <c r="B3956" s="289" t="s">
        <v>14127</v>
      </c>
      <c r="C3956" s="288" t="s">
        <v>7167</v>
      </c>
      <c r="D3956" s="303">
        <v>19.29</v>
      </c>
    </row>
    <row r="3957" spans="1:4">
      <c r="A3957" s="287" t="s">
        <v>14128</v>
      </c>
      <c r="B3957" s="287"/>
      <c r="C3957" s="287"/>
      <c r="D3957" s="296" t="s">
        <v>28729</v>
      </c>
    </row>
    <row r="3958" spans="1:4" ht="54">
      <c r="A3958" s="288" t="s">
        <v>14129</v>
      </c>
      <c r="B3958" s="289" t="s">
        <v>14130</v>
      </c>
      <c r="C3958" s="288" t="s">
        <v>7182</v>
      </c>
      <c r="D3958" s="303">
        <v>275.05</v>
      </c>
    </row>
    <row r="3959" spans="1:4" ht="27">
      <c r="A3959" s="288" t="s">
        <v>14131</v>
      </c>
      <c r="B3959" s="289" t="s">
        <v>14132</v>
      </c>
      <c r="C3959" s="288" t="s">
        <v>14133</v>
      </c>
      <c r="D3959" s="303">
        <v>1576.32</v>
      </c>
    </row>
    <row r="3960" spans="1:4" ht="27">
      <c r="A3960" s="288" t="s">
        <v>14134</v>
      </c>
      <c r="B3960" s="289" t="s">
        <v>14135</v>
      </c>
      <c r="C3960" s="288" t="s">
        <v>54</v>
      </c>
      <c r="D3960" s="303">
        <v>30.73</v>
      </c>
    </row>
    <row r="3961" spans="1:4" ht="27">
      <c r="A3961" s="288" t="s">
        <v>14136</v>
      </c>
      <c r="B3961" s="289" t="s">
        <v>14137</v>
      </c>
      <c r="C3961" s="288" t="s">
        <v>7079</v>
      </c>
      <c r="D3961" s="303">
        <v>133.22</v>
      </c>
    </row>
    <row r="3962" spans="1:4">
      <c r="A3962" s="290"/>
      <c r="B3962" s="290"/>
      <c r="C3962" s="290"/>
      <c r="D3962" s="298"/>
    </row>
    <row r="3963" spans="1:4">
      <c r="A3963" s="287" t="s">
        <v>14138</v>
      </c>
      <c r="B3963" s="287"/>
      <c r="C3963" s="287"/>
      <c r="D3963" s="296" t="s">
        <v>28729</v>
      </c>
    </row>
    <row r="3964" spans="1:4" ht="18">
      <c r="A3964" s="288" t="s">
        <v>14139</v>
      </c>
      <c r="B3964" s="289" t="s">
        <v>14140</v>
      </c>
      <c r="C3964" s="288" t="s">
        <v>7167</v>
      </c>
      <c r="D3964" s="303">
        <v>61.63</v>
      </c>
    </row>
    <row r="3965" spans="1:4" ht="18">
      <c r="A3965" s="288" t="s">
        <v>14141</v>
      </c>
      <c r="B3965" s="289" t="s">
        <v>14142</v>
      </c>
      <c r="C3965" s="288" t="s">
        <v>7167</v>
      </c>
      <c r="D3965" s="303">
        <v>120.63</v>
      </c>
    </row>
    <row r="3966" spans="1:4" ht="27">
      <c r="A3966" s="288" t="s">
        <v>14143</v>
      </c>
      <c r="B3966" s="289" t="s">
        <v>14144</v>
      </c>
      <c r="C3966" s="288" t="s">
        <v>7167</v>
      </c>
      <c r="D3966" s="303">
        <v>120.63</v>
      </c>
    </row>
    <row r="3967" spans="1:4">
      <c r="A3967" s="290"/>
      <c r="B3967" s="290"/>
      <c r="C3967" s="290"/>
      <c r="D3967" s="298"/>
    </row>
    <row r="3968" spans="1:4" ht="18">
      <c r="A3968" s="287" t="s">
        <v>14145</v>
      </c>
      <c r="B3968" s="287"/>
      <c r="C3968" s="287"/>
      <c r="D3968" s="296" t="s">
        <v>28729</v>
      </c>
    </row>
    <row r="3969" spans="1:4" ht="18">
      <c r="A3969" s="288" t="s">
        <v>14146</v>
      </c>
      <c r="B3969" s="289" t="s">
        <v>14147</v>
      </c>
      <c r="C3969" s="288" t="s">
        <v>7079</v>
      </c>
      <c r="D3969" s="303">
        <v>219.33</v>
      </c>
    </row>
    <row r="3970" spans="1:4" ht="18">
      <c r="A3970" s="288" t="s">
        <v>14148</v>
      </c>
      <c r="B3970" s="289" t="s">
        <v>14149</v>
      </c>
      <c r="C3970" s="288" t="s">
        <v>7079</v>
      </c>
      <c r="D3970" s="303">
        <v>1415.44</v>
      </c>
    </row>
    <row r="3971" spans="1:4" ht="18">
      <c r="A3971" s="288" t="s">
        <v>14150</v>
      </c>
      <c r="B3971" s="289" t="s">
        <v>14151</v>
      </c>
      <c r="C3971" s="288" t="s">
        <v>7079</v>
      </c>
      <c r="D3971" s="303">
        <v>352.3</v>
      </c>
    </row>
    <row r="3972" spans="1:4">
      <c r="A3972" s="287"/>
      <c r="B3972" s="287"/>
      <c r="C3972" s="287"/>
      <c r="D3972" s="296" t="s">
        <v>28729</v>
      </c>
    </row>
    <row r="3973" spans="1:4">
      <c r="A3973" s="290"/>
      <c r="B3973" s="290"/>
      <c r="C3973" s="290"/>
      <c r="D3973" s="298"/>
    </row>
    <row r="3974" spans="1:4">
      <c r="A3974" s="290"/>
      <c r="B3974" s="290"/>
      <c r="C3974" s="290"/>
      <c r="D3974" s="298"/>
    </row>
    <row r="3975" spans="1:4" ht="27">
      <c r="A3975" s="287" t="s">
        <v>14152</v>
      </c>
      <c r="B3975" s="287"/>
      <c r="C3975" s="287"/>
      <c r="D3975" s="296" t="s">
        <v>28729</v>
      </c>
    </row>
    <row r="3976" spans="1:4" ht="18">
      <c r="A3976" s="288" t="s">
        <v>14153</v>
      </c>
      <c r="B3976" s="289" t="s">
        <v>14154</v>
      </c>
      <c r="C3976" s="288" t="s">
        <v>47</v>
      </c>
      <c r="D3976" s="303">
        <v>29.66</v>
      </c>
    </row>
    <row r="3977" spans="1:4" ht="18">
      <c r="A3977" s="288" t="s">
        <v>14155</v>
      </c>
      <c r="B3977" s="289" t="s">
        <v>14156</v>
      </c>
      <c r="C3977" s="288" t="s">
        <v>47</v>
      </c>
      <c r="D3977" s="303">
        <v>66.739999999999995</v>
      </c>
    </row>
    <row r="3978" spans="1:4" ht="18">
      <c r="A3978" s="288" t="s">
        <v>14157</v>
      </c>
      <c r="B3978" s="289" t="s">
        <v>14158</v>
      </c>
      <c r="C3978" s="288" t="s">
        <v>47</v>
      </c>
      <c r="D3978" s="303">
        <v>88.99</v>
      </c>
    </row>
    <row r="3979" spans="1:4" ht="18">
      <c r="A3979" s="288" t="s">
        <v>14159</v>
      </c>
      <c r="B3979" s="289" t="s">
        <v>14160</v>
      </c>
      <c r="C3979" s="288" t="s">
        <v>47</v>
      </c>
      <c r="D3979" s="303">
        <v>118.66</v>
      </c>
    </row>
    <row r="3980" spans="1:4" ht="27">
      <c r="A3980" s="287" t="s">
        <v>14161</v>
      </c>
      <c r="B3980" s="287"/>
      <c r="C3980" s="287"/>
      <c r="D3980" s="296" t="s">
        <v>28729</v>
      </c>
    </row>
    <row r="3981" spans="1:4" ht="18">
      <c r="A3981" s="288" t="s">
        <v>14162</v>
      </c>
      <c r="B3981" s="289" t="s">
        <v>14163</v>
      </c>
      <c r="C3981" s="288" t="s">
        <v>47</v>
      </c>
      <c r="D3981" s="303">
        <v>68.7</v>
      </c>
    </row>
    <row r="3982" spans="1:4" ht="27">
      <c r="A3982" s="288" t="s">
        <v>14164</v>
      </c>
      <c r="B3982" s="289" t="s">
        <v>14165</v>
      </c>
      <c r="C3982" s="288" t="s">
        <v>47</v>
      </c>
      <c r="D3982" s="303">
        <v>74.430000000000007</v>
      </c>
    </row>
    <row r="3983" spans="1:4" ht="27">
      <c r="A3983" s="288" t="s">
        <v>14166</v>
      </c>
      <c r="B3983" s="289" t="s">
        <v>14167</v>
      </c>
      <c r="C3983" s="288" t="s">
        <v>47</v>
      </c>
      <c r="D3983" s="303">
        <v>79.59</v>
      </c>
    </row>
    <row r="3984" spans="1:4" ht="27">
      <c r="A3984" s="288" t="s">
        <v>14168</v>
      </c>
      <c r="B3984" s="289" t="s">
        <v>14169</v>
      </c>
      <c r="C3984" s="288" t="s">
        <v>47</v>
      </c>
      <c r="D3984" s="303">
        <v>30.48</v>
      </c>
    </row>
    <row r="3985" spans="1:4" ht="18">
      <c r="A3985" s="287" t="s">
        <v>14170</v>
      </c>
      <c r="B3985" s="287"/>
      <c r="C3985" s="287"/>
      <c r="D3985" s="296" t="s">
        <v>28729</v>
      </c>
    </row>
    <row r="3986" spans="1:4" ht="18">
      <c r="A3986" s="288" t="s">
        <v>14171</v>
      </c>
      <c r="B3986" s="289" t="s">
        <v>14172</v>
      </c>
      <c r="C3986" s="288" t="s">
        <v>7079</v>
      </c>
      <c r="D3986" s="303">
        <v>5.38</v>
      </c>
    </row>
    <row r="3987" spans="1:4" ht="18">
      <c r="A3987" s="288" t="s">
        <v>14173</v>
      </c>
      <c r="B3987" s="289" t="s">
        <v>14174</v>
      </c>
      <c r="C3987" s="288" t="s">
        <v>47</v>
      </c>
      <c r="D3987" s="303">
        <v>81.58</v>
      </c>
    </row>
    <row r="3988" spans="1:4" ht="27">
      <c r="A3988" s="287" t="s">
        <v>14175</v>
      </c>
      <c r="B3988" s="287"/>
      <c r="C3988" s="287"/>
      <c r="D3988" s="296" t="s">
        <v>28729</v>
      </c>
    </row>
    <row r="3989" spans="1:4" ht="18">
      <c r="A3989" s="288" t="s">
        <v>14176</v>
      </c>
      <c r="B3989" s="289" t="s">
        <v>14177</v>
      </c>
      <c r="C3989" s="288" t="s">
        <v>54</v>
      </c>
      <c r="D3989" s="303">
        <v>7.42</v>
      </c>
    </row>
    <row r="3990" spans="1:4" ht="18">
      <c r="A3990" s="288" t="s">
        <v>14178</v>
      </c>
      <c r="B3990" s="289" t="s">
        <v>14179</v>
      </c>
      <c r="C3990" s="288" t="s">
        <v>54</v>
      </c>
      <c r="D3990" s="303">
        <v>36.479999999999997</v>
      </c>
    </row>
    <row r="3991" spans="1:4" ht="18">
      <c r="A3991" s="287" t="s">
        <v>14180</v>
      </c>
      <c r="B3991" s="287"/>
      <c r="C3991" s="287"/>
      <c r="D3991" s="296" t="s">
        <v>28729</v>
      </c>
    </row>
    <row r="3992" spans="1:4" ht="18">
      <c r="A3992" s="288" t="s">
        <v>14181</v>
      </c>
      <c r="B3992" s="289" t="s">
        <v>14182</v>
      </c>
      <c r="C3992" s="288" t="s">
        <v>47</v>
      </c>
      <c r="D3992" s="303">
        <v>76.33</v>
      </c>
    </row>
    <row r="3993" spans="1:4" ht="27">
      <c r="A3993" s="287" t="s">
        <v>14183</v>
      </c>
      <c r="B3993" s="287"/>
      <c r="C3993" s="287"/>
      <c r="D3993" s="296" t="s">
        <v>28729</v>
      </c>
    </row>
    <row r="3994" spans="1:4" ht="18">
      <c r="A3994" s="288" t="s">
        <v>14184</v>
      </c>
      <c r="B3994" s="289" t="s">
        <v>14185</v>
      </c>
      <c r="C3994" s="288" t="s">
        <v>47</v>
      </c>
      <c r="D3994" s="303">
        <v>35.6</v>
      </c>
    </row>
    <row r="3995" spans="1:4" ht="18">
      <c r="A3995" s="288" t="s">
        <v>14186</v>
      </c>
      <c r="B3995" s="289" t="s">
        <v>14187</v>
      </c>
      <c r="C3995" s="288" t="s">
        <v>47</v>
      </c>
      <c r="D3995" s="303">
        <v>41.53</v>
      </c>
    </row>
    <row r="3996" spans="1:4" ht="18">
      <c r="A3996" s="287" t="s">
        <v>14188</v>
      </c>
      <c r="B3996" s="287"/>
      <c r="C3996" s="287"/>
      <c r="D3996" s="296" t="s">
        <v>28729</v>
      </c>
    </row>
    <row r="3997" spans="1:4" ht="18">
      <c r="A3997" s="288" t="s">
        <v>14189</v>
      </c>
      <c r="B3997" s="289" t="s">
        <v>14190</v>
      </c>
      <c r="C3997" s="288" t="s">
        <v>38</v>
      </c>
      <c r="D3997" s="303">
        <v>44</v>
      </c>
    </row>
    <row r="3998" spans="1:4" ht="18">
      <c r="A3998" s="288" t="s">
        <v>14191</v>
      </c>
      <c r="B3998" s="289" t="s">
        <v>14192</v>
      </c>
      <c r="C3998" s="288" t="s">
        <v>38</v>
      </c>
      <c r="D3998" s="303">
        <v>90.01</v>
      </c>
    </row>
    <row r="3999" spans="1:4">
      <c r="A3999" s="287" t="s">
        <v>14193</v>
      </c>
      <c r="B3999" s="287"/>
      <c r="C3999" s="287"/>
      <c r="D3999" s="296" t="s">
        <v>28729</v>
      </c>
    </row>
    <row r="4000" spans="1:4" ht="36">
      <c r="A4000" s="288" t="s">
        <v>14194</v>
      </c>
      <c r="B4000" s="289" t="s">
        <v>14195</v>
      </c>
      <c r="C4000" s="288" t="s">
        <v>54</v>
      </c>
      <c r="D4000" s="303">
        <v>17.23</v>
      </c>
    </row>
    <row r="4001" spans="1:4" ht="36">
      <c r="A4001" s="288" t="s">
        <v>14196</v>
      </c>
      <c r="B4001" s="289" t="s">
        <v>14197</v>
      </c>
      <c r="C4001" s="288" t="s">
        <v>54</v>
      </c>
      <c r="D4001" s="303">
        <v>5.08</v>
      </c>
    </row>
    <row r="4002" spans="1:4" ht="36">
      <c r="A4002" s="288" t="s">
        <v>14198</v>
      </c>
      <c r="B4002" s="289" t="s">
        <v>14199</v>
      </c>
      <c r="C4002" s="288" t="s">
        <v>54</v>
      </c>
      <c r="D4002" s="303">
        <v>3.46</v>
      </c>
    </row>
    <row r="4003" spans="1:4" ht="36">
      <c r="A4003" s="288" t="s">
        <v>14200</v>
      </c>
      <c r="B4003" s="289" t="s">
        <v>14201</v>
      </c>
      <c r="C4003" s="288" t="s">
        <v>54</v>
      </c>
      <c r="D4003" s="303">
        <v>11.39</v>
      </c>
    </row>
    <row r="4004" spans="1:4" ht="27">
      <c r="A4004" s="288" t="s">
        <v>14202</v>
      </c>
      <c r="B4004" s="289" t="s">
        <v>14203</v>
      </c>
      <c r="C4004" s="288" t="s">
        <v>54</v>
      </c>
      <c r="D4004" s="303">
        <v>4.12</v>
      </c>
    </row>
    <row r="4005" spans="1:4" ht="18">
      <c r="A4005" s="287" t="s">
        <v>14204</v>
      </c>
      <c r="B4005" s="287"/>
      <c r="C4005" s="287"/>
      <c r="D4005" s="296" t="s">
        <v>28729</v>
      </c>
    </row>
    <row r="4006" spans="1:4" ht="27">
      <c r="A4006" s="288" t="s">
        <v>14205</v>
      </c>
      <c r="B4006" s="289" t="s">
        <v>14206</v>
      </c>
      <c r="C4006" s="288" t="s">
        <v>47</v>
      </c>
      <c r="D4006" s="303">
        <v>172.12</v>
      </c>
    </row>
    <row r="4007" spans="1:4" ht="36">
      <c r="A4007" s="288" t="s">
        <v>14207</v>
      </c>
      <c r="B4007" s="289" t="s">
        <v>14208</v>
      </c>
      <c r="C4007" s="288" t="s">
        <v>47</v>
      </c>
      <c r="D4007" s="303">
        <v>174.26</v>
      </c>
    </row>
    <row r="4008" spans="1:4" ht="18">
      <c r="A4008" s="288" t="s">
        <v>14209</v>
      </c>
      <c r="B4008" s="289" t="s">
        <v>14210</v>
      </c>
      <c r="C4008" s="288" t="s">
        <v>47</v>
      </c>
      <c r="D4008" s="303">
        <v>138.51</v>
      </c>
    </row>
    <row r="4009" spans="1:4">
      <c r="A4009" s="290"/>
      <c r="B4009" s="290"/>
      <c r="C4009" s="290"/>
      <c r="D4009" s="298"/>
    </row>
    <row r="4010" spans="1:4" ht="27">
      <c r="A4010" s="287" t="s">
        <v>14211</v>
      </c>
      <c r="B4010" s="287"/>
      <c r="C4010" s="287"/>
      <c r="D4010" s="296" t="s">
        <v>28729</v>
      </c>
    </row>
    <row r="4011" spans="1:4" ht="18">
      <c r="A4011" s="288" t="s">
        <v>14212</v>
      </c>
      <c r="B4011" s="289" t="s">
        <v>14213</v>
      </c>
      <c r="C4011" s="288" t="s">
        <v>47</v>
      </c>
      <c r="D4011" s="303">
        <v>7.63</v>
      </c>
    </row>
    <row r="4012" spans="1:4">
      <c r="A4012" s="293"/>
      <c r="B4012" s="293"/>
      <c r="C4012" s="293"/>
      <c r="D4012" s="301"/>
    </row>
    <row r="4013" spans="1:4" ht="27">
      <c r="A4013" s="287" t="s">
        <v>14214</v>
      </c>
      <c r="B4013" s="287"/>
      <c r="C4013" s="287"/>
      <c r="D4013" s="296" t="s">
        <v>28729</v>
      </c>
    </row>
    <row r="4014" spans="1:4" ht="18">
      <c r="A4014" s="288" t="s">
        <v>14215</v>
      </c>
      <c r="B4014" s="289" t="s">
        <v>14216</v>
      </c>
      <c r="C4014" s="288" t="s">
        <v>47</v>
      </c>
      <c r="D4014" s="303">
        <v>3.09</v>
      </c>
    </row>
    <row r="4015" spans="1:4" ht="45">
      <c r="A4015" s="288" t="s">
        <v>14217</v>
      </c>
      <c r="B4015" s="289" t="s">
        <v>14218</v>
      </c>
      <c r="C4015" s="288" t="s">
        <v>47</v>
      </c>
      <c r="D4015" s="303">
        <v>18.350000000000001</v>
      </c>
    </row>
    <row r="4016" spans="1:4" ht="27">
      <c r="A4016" s="287" t="s">
        <v>14219</v>
      </c>
      <c r="B4016" s="287"/>
      <c r="C4016" s="287"/>
      <c r="D4016" s="296" t="s">
        <v>28729</v>
      </c>
    </row>
    <row r="4017" spans="1:4" ht="18">
      <c r="A4017" s="288" t="s">
        <v>14220</v>
      </c>
      <c r="B4017" s="289" t="s">
        <v>14221</v>
      </c>
      <c r="C4017" s="288" t="s">
        <v>47</v>
      </c>
      <c r="D4017" s="303">
        <v>0.98</v>
      </c>
    </row>
    <row r="4018" spans="1:4">
      <c r="A4018" s="287" t="s">
        <v>14222</v>
      </c>
      <c r="B4018" s="287"/>
      <c r="C4018" s="287"/>
      <c r="D4018" s="296" t="s">
        <v>28729</v>
      </c>
    </row>
    <row r="4019" spans="1:4" ht="18">
      <c r="A4019" s="288" t="s">
        <v>14223</v>
      </c>
      <c r="B4019" s="289" t="s">
        <v>14224</v>
      </c>
      <c r="C4019" s="288" t="s">
        <v>47</v>
      </c>
      <c r="D4019" s="303">
        <v>4.1500000000000004</v>
      </c>
    </row>
    <row r="4020" spans="1:4" ht="18">
      <c r="A4020" s="288" t="s">
        <v>14225</v>
      </c>
      <c r="B4020" s="289" t="s">
        <v>14226</v>
      </c>
      <c r="C4020" s="288" t="s">
        <v>47</v>
      </c>
      <c r="D4020" s="303">
        <v>5</v>
      </c>
    </row>
    <row r="4021" spans="1:4" ht="27">
      <c r="A4021" s="287" t="s">
        <v>14227</v>
      </c>
      <c r="B4021" s="287"/>
      <c r="C4021" s="287"/>
      <c r="D4021" s="296" t="s">
        <v>28729</v>
      </c>
    </row>
    <row r="4022" spans="1:4" ht="18">
      <c r="A4022" s="288" t="s">
        <v>14228</v>
      </c>
      <c r="B4022" s="289" t="s">
        <v>14229</v>
      </c>
      <c r="C4022" s="288" t="s">
        <v>47</v>
      </c>
      <c r="D4022" s="303">
        <v>375.63</v>
      </c>
    </row>
    <row r="4023" spans="1:4" ht="27">
      <c r="A4023" s="288" t="s">
        <v>14230</v>
      </c>
      <c r="B4023" s="289" t="s">
        <v>14231</v>
      </c>
      <c r="C4023" s="288" t="s">
        <v>47</v>
      </c>
      <c r="D4023" s="303">
        <v>161.11000000000001</v>
      </c>
    </row>
    <row r="4024" spans="1:4" ht="36">
      <c r="A4024" s="288" t="s">
        <v>14232</v>
      </c>
      <c r="B4024" s="289" t="s">
        <v>14233</v>
      </c>
      <c r="C4024" s="288" t="s">
        <v>47</v>
      </c>
      <c r="D4024" s="303">
        <v>152.41</v>
      </c>
    </row>
    <row r="4025" spans="1:4" ht="36">
      <c r="A4025" s="288" t="s">
        <v>14234</v>
      </c>
      <c r="B4025" s="289" t="s">
        <v>14235</v>
      </c>
      <c r="C4025" s="288" t="s">
        <v>47</v>
      </c>
      <c r="D4025" s="303">
        <v>445.92</v>
      </c>
    </row>
    <row r="4026" spans="1:4">
      <c r="A4026" s="291"/>
      <c r="B4026" s="291"/>
      <c r="C4026" s="291"/>
      <c r="D4026" s="299"/>
    </row>
    <row r="4027" spans="1:4" ht="45">
      <c r="A4027" s="288" t="s">
        <v>14236</v>
      </c>
      <c r="B4027" s="289" t="s">
        <v>14237</v>
      </c>
      <c r="C4027" s="288" t="s">
        <v>47</v>
      </c>
      <c r="D4027" s="303">
        <v>1294.1199999999999</v>
      </c>
    </row>
    <row r="4028" spans="1:4" ht="36">
      <c r="A4028" s="288" t="s">
        <v>14238</v>
      </c>
      <c r="B4028" s="289" t="s">
        <v>14239</v>
      </c>
      <c r="C4028" s="288" t="s">
        <v>47</v>
      </c>
      <c r="D4028" s="303">
        <v>1058.25</v>
      </c>
    </row>
    <row r="4029" spans="1:4" ht="36">
      <c r="A4029" s="288" t="s">
        <v>14240</v>
      </c>
      <c r="B4029" s="289" t="s">
        <v>14241</v>
      </c>
      <c r="C4029" s="288" t="s">
        <v>47</v>
      </c>
      <c r="D4029" s="303">
        <v>450.47</v>
      </c>
    </row>
    <row r="4030" spans="1:4">
      <c r="A4030" s="290"/>
      <c r="B4030" s="290"/>
      <c r="C4030" s="290"/>
      <c r="D4030" s="298"/>
    </row>
    <row r="4031" spans="1:4" ht="18">
      <c r="A4031" s="287" t="s">
        <v>14242</v>
      </c>
      <c r="B4031" s="287"/>
      <c r="C4031" s="287"/>
      <c r="D4031" s="296" t="s">
        <v>28729</v>
      </c>
    </row>
    <row r="4032" spans="1:4" ht="27">
      <c r="A4032" s="288" t="s">
        <v>14243</v>
      </c>
      <c r="B4032" s="289" t="s">
        <v>14244</v>
      </c>
      <c r="C4032" s="288" t="s">
        <v>47</v>
      </c>
      <c r="D4032" s="303">
        <v>66.739999999999995</v>
      </c>
    </row>
    <row r="4033" spans="1:4">
      <c r="A4033" s="288" t="s">
        <v>14245</v>
      </c>
      <c r="B4033" s="289" t="s">
        <v>14246</v>
      </c>
      <c r="C4033" s="288" t="s">
        <v>47</v>
      </c>
      <c r="D4033" s="303">
        <v>41.53</v>
      </c>
    </row>
    <row r="4034" spans="1:4">
      <c r="A4034" s="288" t="s">
        <v>14247</v>
      </c>
      <c r="B4034" s="289" t="s">
        <v>14248</v>
      </c>
      <c r="C4034" s="288" t="s">
        <v>47</v>
      </c>
      <c r="D4034" s="303">
        <v>37.08</v>
      </c>
    </row>
    <row r="4035" spans="1:4" ht="27">
      <c r="A4035" s="288" t="s">
        <v>14249</v>
      </c>
      <c r="B4035" s="289" t="s">
        <v>14250</v>
      </c>
      <c r="C4035" s="288" t="s">
        <v>47</v>
      </c>
      <c r="D4035" s="303">
        <v>38.85</v>
      </c>
    </row>
    <row r="4036" spans="1:4" ht="18">
      <c r="A4036" s="288" t="s">
        <v>14251</v>
      </c>
      <c r="B4036" s="289" t="s">
        <v>14252</v>
      </c>
      <c r="C4036" s="288" t="s">
        <v>47</v>
      </c>
      <c r="D4036" s="303">
        <v>31.15</v>
      </c>
    </row>
    <row r="4037" spans="1:4" ht="18">
      <c r="A4037" s="288" t="s">
        <v>14253</v>
      </c>
      <c r="B4037" s="289" t="s">
        <v>14254</v>
      </c>
      <c r="C4037" s="288" t="s">
        <v>47</v>
      </c>
      <c r="D4037" s="303">
        <v>108.37</v>
      </c>
    </row>
    <row r="4038" spans="1:4" ht="18">
      <c r="A4038" s="287" t="s">
        <v>14255</v>
      </c>
      <c r="B4038" s="287"/>
      <c r="C4038" s="287"/>
      <c r="D4038" s="296" t="s">
        <v>28729</v>
      </c>
    </row>
    <row r="4039" spans="1:4" ht="36">
      <c r="A4039" s="288" t="s">
        <v>14256</v>
      </c>
      <c r="B4039" s="289" t="s">
        <v>14257</v>
      </c>
      <c r="C4039" s="288" t="s">
        <v>47</v>
      </c>
      <c r="D4039" s="303">
        <v>1.31</v>
      </c>
    </row>
    <row r="4040" spans="1:4" ht="27">
      <c r="A4040" s="288" t="s">
        <v>14258</v>
      </c>
      <c r="B4040" s="289" t="s">
        <v>14259</v>
      </c>
      <c r="C4040" s="288" t="s">
        <v>47</v>
      </c>
      <c r="D4040" s="303">
        <v>3.52</v>
      </c>
    </row>
    <row r="4041" spans="1:4" ht="27">
      <c r="A4041" s="288" t="s">
        <v>14260</v>
      </c>
      <c r="B4041" s="289" t="s">
        <v>14261</v>
      </c>
      <c r="C4041" s="288" t="s">
        <v>47</v>
      </c>
      <c r="D4041" s="303">
        <v>4.13</v>
      </c>
    </row>
    <row r="4042" spans="1:4">
      <c r="A4042" s="287" t="s">
        <v>14262</v>
      </c>
      <c r="B4042" s="287"/>
      <c r="C4042" s="287"/>
      <c r="D4042" s="296" t="s">
        <v>28729</v>
      </c>
    </row>
    <row r="4043" spans="1:4" ht="18">
      <c r="A4043" s="288" t="s">
        <v>14263</v>
      </c>
      <c r="B4043" s="289" t="s">
        <v>14264</v>
      </c>
      <c r="C4043" s="288" t="s">
        <v>38</v>
      </c>
      <c r="D4043" s="303">
        <v>11.62</v>
      </c>
    </row>
    <row r="4044" spans="1:4">
      <c r="A4044" s="290"/>
      <c r="B4044" s="290"/>
      <c r="C4044" s="290"/>
      <c r="D4044" s="298"/>
    </row>
    <row r="4045" spans="1:4" ht="18">
      <c r="A4045" s="287" t="s">
        <v>14265</v>
      </c>
      <c r="B4045" s="287"/>
      <c r="C4045" s="287"/>
      <c r="D4045" s="296" t="s">
        <v>28729</v>
      </c>
    </row>
    <row r="4046" spans="1:4" ht="18">
      <c r="A4046" s="288" t="s">
        <v>14266</v>
      </c>
      <c r="B4046" s="289" t="s">
        <v>14267</v>
      </c>
      <c r="C4046" s="288" t="s">
        <v>47</v>
      </c>
      <c r="D4046" s="303">
        <v>0.65</v>
      </c>
    </row>
    <row r="4047" spans="1:4">
      <c r="A4047" s="287"/>
      <c r="B4047" s="287"/>
      <c r="C4047" s="287"/>
      <c r="D4047" s="296" t="s">
        <v>28729</v>
      </c>
    </row>
    <row r="4048" spans="1:4">
      <c r="A4048" s="290"/>
      <c r="B4048" s="290"/>
      <c r="C4048" s="290"/>
      <c r="D4048" s="298"/>
    </row>
    <row r="4049" spans="1:4">
      <c r="A4049" s="290"/>
      <c r="B4049" s="290"/>
      <c r="C4049" s="290"/>
      <c r="D4049" s="298"/>
    </row>
    <row r="4050" spans="1:4" ht="18">
      <c r="A4050" s="287" t="s">
        <v>14268</v>
      </c>
      <c r="B4050" s="287"/>
      <c r="C4050" s="287"/>
      <c r="D4050" s="296" t="s">
        <v>28729</v>
      </c>
    </row>
    <row r="4051" spans="1:4" ht="36">
      <c r="A4051" s="288" t="s">
        <v>14269</v>
      </c>
      <c r="B4051" s="289" t="s">
        <v>14270</v>
      </c>
      <c r="C4051" s="288" t="s">
        <v>38</v>
      </c>
      <c r="D4051" s="303">
        <v>72</v>
      </c>
    </row>
    <row r="4052" spans="1:4" ht="36">
      <c r="A4052" s="288" t="s">
        <v>14271</v>
      </c>
      <c r="B4052" s="289" t="s">
        <v>14272</v>
      </c>
      <c r="C4052" s="288" t="s">
        <v>38</v>
      </c>
      <c r="D4052" s="303">
        <v>60</v>
      </c>
    </row>
    <row r="4053" spans="1:4" ht="45">
      <c r="A4053" s="288" t="s">
        <v>14273</v>
      </c>
      <c r="B4053" s="289" t="s">
        <v>14274</v>
      </c>
      <c r="C4053" s="288" t="s">
        <v>38</v>
      </c>
      <c r="D4053" s="303">
        <v>120</v>
      </c>
    </row>
    <row r="4054" spans="1:4" ht="36">
      <c r="A4054" s="288" t="s">
        <v>14275</v>
      </c>
      <c r="B4054" s="289" t="s">
        <v>14276</v>
      </c>
      <c r="C4054" s="288" t="s">
        <v>38</v>
      </c>
      <c r="D4054" s="303">
        <v>160</v>
      </c>
    </row>
    <row r="4055" spans="1:4" ht="63">
      <c r="A4055" s="288" t="s">
        <v>14277</v>
      </c>
      <c r="B4055" s="289" t="s">
        <v>14278</v>
      </c>
      <c r="C4055" s="288" t="s">
        <v>38</v>
      </c>
      <c r="D4055" s="303">
        <v>50.4</v>
      </c>
    </row>
    <row r="4056" spans="1:4" ht="36">
      <c r="A4056" s="288" t="s">
        <v>14279</v>
      </c>
      <c r="B4056" s="289" t="s">
        <v>14280</v>
      </c>
      <c r="C4056" s="288" t="s">
        <v>38</v>
      </c>
      <c r="D4056" s="303">
        <v>120</v>
      </c>
    </row>
    <row r="4057" spans="1:4" ht="45">
      <c r="A4057" s="288" t="s">
        <v>14281</v>
      </c>
      <c r="B4057" s="289" t="s">
        <v>14282</v>
      </c>
      <c r="C4057" s="288" t="s">
        <v>38</v>
      </c>
      <c r="D4057" s="303">
        <v>32</v>
      </c>
    </row>
    <row r="4058" spans="1:4" ht="45">
      <c r="A4058" s="288" t="s">
        <v>14283</v>
      </c>
      <c r="B4058" s="289" t="s">
        <v>14284</v>
      </c>
      <c r="C4058" s="288" t="s">
        <v>38</v>
      </c>
      <c r="D4058" s="303">
        <v>60.8</v>
      </c>
    </row>
    <row r="4059" spans="1:4" ht="126">
      <c r="A4059" s="288" t="s">
        <v>14285</v>
      </c>
      <c r="B4059" s="289" t="s">
        <v>14286</v>
      </c>
      <c r="C4059" s="288" t="s">
        <v>38</v>
      </c>
      <c r="D4059" s="303">
        <v>15</v>
      </c>
    </row>
    <row r="4060" spans="1:4" ht="81">
      <c r="A4060" s="288" t="s">
        <v>14287</v>
      </c>
      <c r="B4060" s="289" t="s">
        <v>14288</v>
      </c>
      <c r="C4060" s="288" t="s">
        <v>38</v>
      </c>
      <c r="D4060" s="303">
        <v>20</v>
      </c>
    </row>
    <row r="4061" spans="1:4" ht="63">
      <c r="A4061" s="288" t="s">
        <v>14289</v>
      </c>
      <c r="B4061" s="289" t="s">
        <v>14290</v>
      </c>
      <c r="C4061" s="288" t="s">
        <v>38</v>
      </c>
      <c r="D4061" s="303">
        <v>75</v>
      </c>
    </row>
    <row r="4062" spans="1:4" ht="27">
      <c r="A4062" s="288" t="s">
        <v>14291</v>
      </c>
      <c r="B4062" s="289" t="s">
        <v>14292</v>
      </c>
      <c r="C4062" s="288" t="s">
        <v>38</v>
      </c>
      <c r="D4062" s="303">
        <v>50</v>
      </c>
    </row>
    <row r="4063" spans="1:4" ht="18">
      <c r="A4063" s="287" t="s">
        <v>14293</v>
      </c>
      <c r="B4063" s="287"/>
      <c r="C4063" s="287"/>
      <c r="D4063" s="296" t="s">
        <v>28729</v>
      </c>
    </row>
    <row r="4064" spans="1:4">
      <c r="A4064" s="288" t="s">
        <v>14294</v>
      </c>
      <c r="B4064" s="289" t="s">
        <v>14295</v>
      </c>
      <c r="C4064" s="288" t="s">
        <v>7079</v>
      </c>
      <c r="D4064" s="303">
        <v>0.4</v>
      </c>
    </row>
    <row r="4065" spans="1:4">
      <c r="A4065" s="288" t="s">
        <v>14296</v>
      </c>
      <c r="B4065" s="289" t="s">
        <v>14297</v>
      </c>
      <c r="C4065" s="288" t="s">
        <v>38</v>
      </c>
      <c r="D4065" s="303">
        <v>1.6</v>
      </c>
    </row>
    <row r="4066" spans="1:4">
      <c r="A4066" s="288" t="s">
        <v>14298</v>
      </c>
      <c r="B4066" s="289" t="s">
        <v>14299</v>
      </c>
      <c r="C4066" s="288" t="s">
        <v>38</v>
      </c>
      <c r="D4066" s="303">
        <v>3.2</v>
      </c>
    </row>
    <row r="4067" spans="1:4">
      <c r="A4067" s="288" t="s">
        <v>14300</v>
      </c>
      <c r="B4067" s="289" t="s">
        <v>14301</v>
      </c>
      <c r="C4067" s="288" t="s">
        <v>38</v>
      </c>
      <c r="D4067" s="303">
        <v>4.8</v>
      </c>
    </row>
    <row r="4068" spans="1:4">
      <c r="A4068" s="288" t="s">
        <v>14302</v>
      </c>
      <c r="B4068" s="289" t="s">
        <v>14303</v>
      </c>
      <c r="C4068" s="288" t="s">
        <v>38</v>
      </c>
      <c r="D4068" s="303">
        <v>6.4</v>
      </c>
    </row>
    <row r="4069" spans="1:4">
      <c r="A4069" s="288" t="s">
        <v>14304</v>
      </c>
      <c r="B4069" s="289" t="s">
        <v>14305</v>
      </c>
      <c r="C4069" s="288" t="s">
        <v>38</v>
      </c>
      <c r="D4069" s="303">
        <v>10</v>
      </c>
    </row>
    <row r="4070" spans="1:4" ht="18">
      <c r="A4070" s="288" t="s">
        <v>14306</v>
      </c>
      <c r="B4070" s="289" t="s">
        <v>14307</v>
      </c>
      <c r="C4070" s="288" t="s">
        <v>38</v>
      </c>
      <c r="D4070" s="303">
        <v>22.11</v>
      </c>
    </row>
    <row r="4071" spans="1:4" ht="18">
      <c r="A4071" s="288" t="s">
        <v>14308</v>
      </c>
      <c r="B4071" s="289" t="s">
        <v>14309</v>
      </c>
      <c r="C4071" s="288" t="s">
        <v>38</v>
      </c>
      <c r="D4071" s="303">
        <v>26.16</v>
      </c>
    </row>
    <row r="4072" spans="1:4" ht="18">
      <c r="A4072" s="288" t="s">
        <v>14310</v>
      </c>
      <c r="B4072" s="289" t="s">
        <v>14311</v>
      </c>
      <c r="C4072" s="288" t="s">
        <v>38</v>
      </c>
      <c r="D4072" s="303">
        <v>25.88</v>
      </c>
    </row>
    <row r="4073" spans="1:4">
      <c r="A4073" s="288" t="s">
        <v>14312</v>
      </c>
      <c r="B4073" s="289" t="s">
        <v>14313</v>
      </c>
      <c r="C4073" s="288" t="s">
        <v>38</v>
      </c>
      <c r="D4073" s="303">
        <v>11.64</v>
      </c>
    </row>
    <row r="4074" spans="1:4" ht="27">
      <c r="A4074" s="288" t="s">
        <v>14314</v>
      </c>
      <c r="B4074" s="289" t="s">
        <v>14315</v>
      </c>
      <c r="C4074" s="288" t="s">
        <v>38</v>
      </c>
      <c r="D4074" s="303">
        <v>17.29</v>
      </c>
    </row>
    <row r="4075" spans="1:4" ht="27">
      <c r="A4075" s="288" t="s">
        <v>14316</v>
      </c>
      <c r="B4075" s="289" t="s">
        <v>14317</v>
      </c>
      <c r="C4075" s="288" t="s">
        <v>38</v>
      </c>
      <c r="D4075" s="303">
        <v>56.28</v>
      </c>
    </row>
    <row r="4076" spans="1:4" ht="27">
      <c r="A4076" s="288" t="s">
        <v>14318</v>
      </c>
      <c r="B4076" s="289" t="s">
        <v>14319</v>
      </c>
      <c r="C4076" s="288" t="s">
        <v>38</v>
      </c>
      <c r="D4076" s="303">
        <v>51.63</v>
      </c>
    </row>
    <row r="4077" spans="1:4" ht="27">
      <c r="A4077" s="288" t="s">
        <v>14320</v>
      </c>
      <c r="B4077" s="289" t="s">
        <v>14321</v>
      </c>
      <c r="C4077" s="288" t="s">
        <v>38</v>
      </c>
      <c r="D4077" s="303">
        <v>47</v>
      </c>
    </row>
    <row r="4078" spans="1:4">
      <c r="A4078" s="287" t="s">
        <v>14322</v>
      </c>
      <c r="B4078" s="287"/>
      <c r="C4078" s="287"/>
      <c r="D4078" s="296" t="s">
        <v>28729</v>
      </c>
    </row>
    <row r="4079" spans="1:4" ht="45">
      <c r="A4079" s="288" t="s">
        <v>14323</v>
      </c>
      <c r="B4079" s="289" t="s">
        <v>14324</v>
      </c>
      <c r="C4079" s="288" t="s">
        <v>38</v>
      </c>
      <c r="D4079" s="303">
        <v>108.69</v>
      </c>
    </row>
    <row r="4080" spans="1:4" ht="63">
      <c r="A4080" s="288" t="s">
        <v>14325</v>
      </c>
      <c r="B4080" s="289" t="s">
        <v>14326</v>
      </c>
      <c r="C4080" s="288" t="s">
        <v>38</v>
      </c>
      <c r="D4080" s="303">
        <v>156.33000000000001</v>
      </c>
    </row>
    <row r="4081" spans="1:4" ht="81">
      <c r="A4081" s="288" t="s">
        <v>14327</v>
      </c>
      <c r="B4081" s="289" t="s">
        <v>14328</v>
      </c>
      <c r="C4081" s="288" t="s">
        <v>38</v>
      </c>
      <c r="D4081" s="303">
        <v>13.35</v>
      </c>
    </row>
    <row r="4082" spans="1:4" ht="81">
      <c r="A4082" s="288" t="s">
        <v>14329</v>
      </c>
      <c r="B4082" s="289" t="s">
        <v>14330</v>
      </c>
      <c r="C4082" s="288" t="s">
        <v>38</v>
      </c>
      <c r="D4082" s="303">
        <v>199.57</v>
      </c>
    </row>
    <row r="4083" spans="1:4" ht="18">
      <c r="A4083" s="288" t="s">
        <v>14331</v>
      </c>
      <c r="B4083" s="289" t="s">
        <v>14332</v>
      </c>
      <c r="C4083" s="288" t="s">
        <v>38</v>
      </c>
      <c r="D4083" s="303">
        <v>5.36</v>
      </c>
    </row>
    <row r="4084" spans="1:4">
      <c r="A4084" s="290"/>
      <c r="B4084" s="290"/>
      <c r="C4084" s="290"/>
      <c r="D4084" s="298"/>
    </row>
    <row r="4085" spans="1:4" ht="18">
      <c r="A4085" s="287" t="s">
        <v>14333</v>
      </c>
      <c r="B4085" s="287"/>
      <c r="C4085" s="287"/>
      <c r="D4085" s="296" t="s">
        <v>28729</v>
      </c>
    </row>
    <row r="4086" spans="1:4">
      <c r="A4086" s="288" t="s">
        <v>14334</v>
      </c>
      <c r="B4086" s="289" t="s">
        <v>14335</v>
      </c>
      <c r="C4086" s="288" t="s">
        <v>7079</v>
      </c>
      <c r="D4086" s="303">
        <v>0.74</v>
      </c>
    </row>
    <row r="4087" spans="1:4">
      <c r="A4087" s="288" t="s">
        <v>14336</v>
      </c>
      <c r="B4087" s="289" t="s">
        <v>14337</v>
      </c>
      <c r="C4087" s="288" t="s">
        <v>7079</v>
      </c>
      <c r="D4087" s="303">
        <v>1.1499999999999999</v>
      </c>
    </row>
    <row r="4088" spans="1:4" ht="18">
      <c r="A4088" s="288" t="s">
        <v>14338</v>
      </c>
      <c r="B4088" s="289" t="s">
        <v>14339</v>
      </c>
      <c r="C4088" s="288" t="s">
        <v>7079</v>
      </c>
      <c r="D4088" s="303">
        <v>2.37</v>
      </c>
    </row>
    <row r="4089" spans="1:4" ht="36">
      <c r="A4089" s="288" t="s">
        <v>14340</v>
      </c>
      <c r="B4089" s="289" t="s">
        <v>14341</v>
      </c>
      <c r="C4089" s="288" t="s">
        <v>7079</v>
      </c>
      <c r="D4089" s="303">
        <v>192.08</v>
      </c>
    </row>
    <row r="4090" spans="1:4" ht="45">
      <c r="A4090" s="288" t="s">
        <v>14342</v>
      </c>
      <c r="B4090" s="289" t="s">
        <v>14343</v>
      </c>
      <c r="C4090" s="288" t="s">
        <v>7079</v>
      </c>
      <c r="D4090" s="303">
        <v>229.57</v>
      </c>
    </row>
    <row r="4091" spans="1:4" ht="45">
      <c r="A4091" s="288" t="s">
        <v>14344</v>
      </c>
      <c r="B4091" s="289" t="s">
        <v>14345</v>
      </c>
      <c r="C4091" s="288" t="s">
        <v>7079</v>
      </c>
      <c r="D4091" s="303">
        <v>259.27999999999997</v>
      </c>
    </row>
    <row r="4092" spans="1:4" ht="45">
      <c r="A4092" s="288" t="s">
        <v>14346</v>
      </c>
      <c r="B4092" s="289" t="s">
        <v>14347</v>
      </c>
      <c r="C4092" s="288" t="s">
        <v>7079</v>
      </c>
      <c r="D4092" s="303">
        <v>288.99</v>
      </c>
    </row>
    <row r="4093" spans="1:4" ht="45">
      <c r="A4093" s="288" t="s">
        <v>14348</v>
      </c>
      <c r="B4093" s="289" t="s">
        <v>14349</v>
      </c>
      <c r="C4093" s="288" t="s">
        <v>7079</v>
      </c>
      <c r="D4093" s="303">
        <v>318.69</v>
      </c>
    </row>
    <row r="4094" spans="1:4" ht="45">
      <c r="A4094" s="288" t="s">
        <v>14350</v>
      </c>
      <c r="B4094" s="289" t="s">
        <v>14351</v>
      </c>
      <c r="C4094" s="288" t="s">
        <v>7079</v>
      </c>
      <c r="D4094" s="303">
        <v>348.4</v>
      </c>
    </row>
    <row r="4095" spans="1:4" ht="45">
      <c r="A4095" s="288" t="s">
        <v>14352</v>
      </c>
      <c r="B4095" s="289" t="s">
        <v>14353</v>
      </c>
      <c r="C4095" s="288" t="s">
        <v>7079</v>
      </c>
      <c r="D4095" s="303">
        <v>378.11</v>
      </c>
    </row>
    <row r="4096" spans="1:4" ht="45">
      <c r="A4096" s="288" t="s">
        <v>14354</v>
      </c>
      <c r="B4096" s="289" t="s">
        <v>14355</v>
      </c>
      <c r="C4096" s="288" t="s">
        <v>7079</v>
      </c>
      <c r="D4096" s="303">
        <v>407.81</v>
      </c>
    </row>
    <row r="4097" spans="1:4" ht="45">
      <c r="A4097" s="288" t="s">
        <v>14356</v>
      </c>
      <c r="B4097" s="289" t="s">
        <v>14357</v>
      </c>
      <c r="C4097" s="288" t="s">
        <v>7079</v>
      </c>
      <c r="D4097" s="303">
        <v>437.52</v>
      </c>
    </row>
    <row r="4098" spans="1:4" ht="45">
      <c r="A4098" s="288" t="s">
        <v>14358</v>
      </c>
      <c r="B4098" s="289" t="s">
        <v>14359</v>
      </c>
      <c r="C4098" s="288" t="s">
        <v>7079</v>
      </c>
      <c r="D4098" s="303">
        <v>467.23</v>
      </c>
    </row>
    <row r="4099" spans="1:4" ht="45">
      <c r="A4099" s="288" t="s">
        <v>14360</v>
      </c>
      <c r="B4099" s="289" t="s">
        <v>14361</v>
      </c>
      <c r="C4099" s="288" t="s">
        <v>7079</v>
      </c>
      <c r="D4099" s="303">
        <v>496.94</v>
      </c>
    </row>
    <row r="4100" spans="1:4" ht="18">
      <c r="A4100" s="287" t="s">
        <v>14362</v>
      </c>
      <c r="B4100" s="287"/>
      <c r="C4100" s="287"/>
      <c r="D4100" s="296" t="s">
        <v>28729</v>
      </c>
    </row>
    <row r="4101" spans="1:4" ht="63">
      <c r="A4101" s="288" t="s">
        <v>14363</v>
      </c>
      <c r="B4101" s="289" t="s">
        <v>14364</v>
      </c>
      <c r="C4101" s="288" t="s">
        <v>7079</v>
      </c>
      <c r="D4101" s="303">
        <v>35</v>
      </c>
    </row>
    <row r="4102" spans="1:4" ht="90">
      <c r="A4102" s="288" t="s">
        <v>14365</v>
      </c>
      <c r="B4102" s="289" t="s">
        <v>14366</v>
      </c>
      <c r="C4102" s="288" t="s">
        <v>7079</v>
      </c>
      <c r="D4102" s="303">
        <v>18</v>
      </c>
    </row>
    <row r="4103" spans="1:4">
      <c r="A4103" s="287" t="s">
        <v>14367</v>
      </c>
      <c r="B4103" s="287"/>
      <c r="C4103" s="287"/>
      <c r="D4103" s="296" t="s">
        <v>28729</v>
      </c>
    </row>
    <row r="4104" spans="1:4" ht="18">
      <c r="A4104" s="288" t="s">
        <v>14368</v>
      </c>
      <c r="B4104" s="289" t="s">
        <v>14369</v>
      </c>
      <c r="C4104" s="288" t="s">
        <v>7079</v>
      </c>
      <c r="D4104" s="303">
        <v>80</v>
      </c>
    </row>
    <row r="4105" spans="1:4" ht="18">
      <c r="A4105" s="288" t="s">
        <v>14370</v>
      </c>
      <c r="B4105" s="289" t="s">
        <v>14371</v>
      </c>
      <c r="C4105" s="288" t="s">
        <v>7079</v>
      </c>
      <c r="D4105" s="303">
        <v>100</v>
      </c>
    </row>
    <row r="4106" spans="1:4" ht="18">
      <c r="A4106" s="288" t="s">
        <v>14372</v>
      </c>
      <c r="B4106" s="289" t="s">
        <v>14373</v>
      </c>
      <c r="C4106" s="288" t="s">
        <v>7079</v>
      </c>
      <c r="D4106" s="303">
        <v>135</v>
      </c>
    </row>
    <row r="4107" spans="1:4">
      <c r="A4107" s="287" t="s">
        <v>14374</v>
      </c>
      <c r="B4107" s="287"/>
      <c r="C4107" s="287"/>
      <c r="D4107" s="296" t="s">
        <v>28729</v>
      </c>
    </row>
    <row r="4108" spans="1:4" ht="27">
      <c r="A4108" s="288" t="s">
        <v>14375</v>
      </c>
      <c r="B4108" s="289" t="s">
        <v>14376</v>
      </c>
      <c r="C4108" s="288" t="s">
        <v>7079</v>
      </c>
      <c r="D4108" s="303">
        <v>68</v>
      </c>
    </row>
    <row r="4109" spans="1:4" ht="36">
      <c r="A4109" s="288" t="s">
        <v>14377</v>
      </c>
      <c r="B4109" s="289" t="s">
        <v>14378</v>
      </c>
      <c r="C4109" s="288" t="s">
        <v>7079</v>
      </c>
      <c r="D4109" s="303">
        <v>135</v>
      </c>
    </row>
    <row r="4110" spans="1:4" ht="36">
      <c r="A4110" s="288" t="s">
        <v>14379</v>
      </c>
      <c r="B4110" s="289" t="s">
        <v>14380</v>
      </c>
      <c r="C4110" s="288" t="s">
        <v>7079</v>
      </c>
      <c r="D4110" s="303">
        <v>280</v>
      </c>
    </row>
    <row r="4111" spans="1:4">
      <c r="A4111" s="290"/>
      <c r="B4111" s="290"/>
      <c r="C4111" s="290"/>
      <c r="D4111" s="298"/>
    </row>
    <row r="4112" spans="1:4">
      <c r="A4112" s="287" t="s">
        <v>14381</v>
      </c>
      <c r="B4112" s="287"/>
      <c r="C4112" s="287"/>
      <c r="D4112" s="296" t="s">
        <v>28729</v>
      </c>
    </row>
    <row r="4113" spans="1:4" ht="45">
      <c r="A4113" s="288" t="s">
        <v>14382</v>
      </c>
      <c r="B4113" s="289" t="s">
        <v>14383</v>
      </c>
      <c r="C4113" s="288" t="s">
        <v>54</v>
      </c>
      <c r="D4113" s="303">
        <v>105.87</v>
      </c>
    </row>
    <row r="4114" spans="1:4" ht="36">
      <c r="A4114" s="288" t="s">
        <v>14384</v>
      </c>
      <c r="B4114" s="289" t="s">
        <v>14385</v>
      </c>
      <c r="C4114" s="288" t="s">
        <v>54</v>
      </c>
      <c r="D4114" s="303">
        <v>129.03</v>
      </c>
    </row>
    <row r="4115" spans="1:4" ht="18">
      <c r="A4115" s="288" t="s">
        <v>14386</v>
      </c>
      <c r="B4115" s="289" t="s">
        <v>14387</v>
      </c>
      <c r="C4115" s="288" t="s">
        <v>7079</v>
      </c>
      <c r="D4115" s="303">
        <v>130.75</v>
      </c>
    </row>
    <row r="4116" spans="1:4" ht="18">
      <c r="A4116" s="288" t="s">
        <v>14388</v>
      </c>
      <c r="B4116" s="289" t="s">
        <v>14389</v>
      </c>
      <c r="C4116" s="288" t="s">
        <v>38</v>
      </c>
      <c r="D4116" s="303">
        <v>306.88</v>
      </c>
    </row>
    <row r="4117" spans="1:4" ht="45">
      <c r="A4117" s="288" t="s">
        <v>14390</v>
      </c>
      <c r="B4117" s="289" t="s">
        <v>14391</v>
      </c>
      <c r="C4117" s="288" t="s">
        <v>54</v>
      </c>
      <c r="D4117" s="303">
        <v>197.44</v>
      </c>
    </row>
    <row r="4118" spans="1:4" ht="18">
      <c r="A4118" s="288" t="s">
        <v>14392</v>
      </c>
      <c r="B4118" s="289" t="s">
        <v>14393</v>
      </c>
      <c r="C4118" s="288" t="s">
        <v>7079</v>
      </c>
      <c r="D4118" s="303">
        <v>36.840000000000003</v>
      </c>
    </row>
    <row r="4119" spans="1:4" ht="18">
      <c r="A4119" s="288" t="s">
        <v>25983</v>
      </c>
      <c r="B4119" s="289" t="s">
        <v>25984</v>
      </c>
      <c r="C4119" s="288" t="s">
        <v>54</v>
      </c>
      <c r="D4119" s="303">
        <v>6.15</v>
      </c>
    </row>
    <row r="4120" spans="1:4" ht="18">
      <c r="A4120" s="288" t="s">
        <v>25985</v>
      </c>
      <c r="B4120" s="289" t="s">
        <v>25986</v>
      </c>
      <c r="C4120" s="288" t="s">
        <v>54</v>
      </c>
      <c r="D4120" s="303">
        <v>8.24</v>
      </c>
    </row>
    <row r="4121" spans="1:4" ht="36">
      <c r="A4121" s="288" t="s">
        <v>14394</v>
      </c>
      <c r="B4121" s="289" t="s">
        <v>14395</v>
      </c>
      <c r="C4121" s="288" t="s">
        <v>7079</v>
      </c>
      <c r="D4121" s="303">
        <v>62.27</v>
      </c>
    </row>
    <row r="4122" spans="1:4" ht="27">
      <c r="A4122" s="288" t="s">
        <v>14396</v>
      </c>
      <c r="B4122" s="289" t="s">
        <v>14397</v>
      </c>
      <c r="C4122" s="288" t="s">
        <v>7079</v>
      </c>
      <c r="D4122" s="303">
        <v>109.36</v>
      </c>
    </row>
    <row r="4123" spans="1:4" ht="27">
      <c r="A4123" s="288" t="s">
        <v>14398</v>
      </c>
      <c r="B4123" s="289" t="s">
        <v>14399</v>
      </c>
      <c r="C4123" s="288" t="s">
        <v>7079</v>
      </c>
      <c r="D4123" s="303">
        <v>143.52000000000001</v>
      </c>
    </row>
    <row r="4124" spans="1:4" ht="18">
      <c r="A4124" s="288" t="s">
        <v>14400</v>
      </c>
      <c r="B4124" s="289" t="s">
        <v>14401</v>
      </c>
      <c r="C4124" s="288" t="s">
        <v>7079</v>
      </c>
      <c r="D4124" s="303">
        <v>673.2</v>
      </c>
    </row>
    <row r="4125" spans="1:4" ht="18">
      <c r="A4125" s="288" t="s">
        <v>14402</v>
      </c>
      <c r="B4125" s="289" t="s">
        <v>14403</v>
      </c>
      <c r="C4125" s="288" t="s">
        <v>7079</v>
      </c>
      <c r="D4125" s="303">
        <v>1358</v>
      </c>
    </row>
    <row r="4126" spans="1:4" ht="36">
      <c r="A4126" s="288" t="s">
        <v>14404</v>
      </c>
      <c r="B4126" s="289" t="s">
        <v>14405</v>
      </c>
      <c r="C4126" s="288" t="s">
        <v>10306</v>
      </c>
      <c r="D4126" s="303">
        <v>632.16999999999996</v>
      </c>
    </row>
    <row r="4127" spans="1:4">
      <c r="A4127" s="288" t="s">
        <v>14406</v>
      </c>
      <c r="B4127" s="289" t="s">
        <v>14407</v>
      </c>
      <c r="C4127" s="288" t="s">
        <v>54</v>
      </c>
      <c r="D4127" s="303">
        <v>64.67</v>
      </c>
    </row>
    <row r="4128" spans="1:4">
      <c r="A4128" s="287" t="s">
        <v>14408</v>
      </c>
      <c r="B4128" s="287"/>
      <c r="C4128" s="287"/>
      <c r="D4128" s="296" t="s">
        <v>28729</v>
      </c>
    </row>
    <row r="4129" spans="1:4" ht="18">
      <c r="A4129" s="288" t="s">
        <v>14409</v>
      </c>
      <c r="B4129" s="289" t="s">
        <v>14410</v>
      </c>
      <c r="C4129" s="288" t="s">
        <v>38</v>
      </c>
      <c r="D4129" s="303">
        <v>181.75</v>
      </c>
    </row>
    <row r="4130" spans="1:4" ht="18">
      <c r="A4130" s="288" t="s">
        <v>14411</v>
      </c>
      <c r="B4130" s="289" t="s">
        <v>14412</v>
      </c>
      <c r="C4130" s="288" t="s">
        <v>38</v>
      </c>
      <c r="D4130" s="303">
        <v>94.44</v>
      </c>
    </row>
    <row r="4131" spans="1:4" ht="18">
      <c r="A4131" s="288" t="s">
        <v>14413</v>
      </c>
      <c r="B4131" s="289" t="s">
        <v>14414</v>
      </c>
      <c r="C4131" s="288" t="s">
        <v>38</v>
      </c>
      <c r="D4131" s="303">
        <v>56.39</v>
      </c>
    </row>
    <row r="4132" spans="1:4" ht="18">
      <c r="A4132" s="288" t="s">
        <v>14415</v>
      </c>
      <c r="B4132" s="289" t="s">
        <v>14416</v>
      </c>
      <c r="C4132" s="288" t="s">
        <v>38</v>
      </c>
      <c r="D4132" s="303">
        <v>29.56</v>
      </c>
    </row>
    <row r="4133" spans="1:4" ht="18">
      <c r="A4133" s="288" t="s">
        <v>14417</v>
      </c>
      <c r="B4133" s="289" t="s">
        <v>14418</v>
      </c>
      <c r="C4133" s="288" t="s">
        <v>38</v>
      </c>
      <c r="D4133" s="303">
        <v>288.61</v>
      </c>
    </row>
    <row r="4134" spans="1:4" ht="18">
      <c r="A4134" s="288" t="s">
        <v>14419</v>
      </c>
      <c r="B4134" s="289" t="s">
        <v>14420</v>
      </c>
      <c r="C4134" s="288" t="s">
        <v>38</v>
      </c>
      <c r="D4134" s="303">
        <v>44</v>
      </c>
    </row>
    <row r="4135" spans="1:4" ht="27">
      <c r="A4135" s="288" t="s">
        <v>14421</v>
      </c>
      <c r="B4135" s="289" t="s">
        <v>14422</v>
      </c>
      <c r="C4135" s="288" t="s">
        <v>38</v>
      </c>
      <c r="D4135" s="303">
        <v>80.760000000000005</v>
      </c>
    </row>
    <row r="4136" spans="1:4" ht="27">
      <c r="A4136" s="288" t="s">
        <v>14423</v>
      </c>
      <c r="B4136" s="289" t="s">
        <v>14424</v>
      </c>
      <c r="C4136" s="288" t="s">
        <v>38</v>
      </c>
      <c r="D4136" s="303">
        <v>108.06</v>
      </c>
    </row>
    <row r="4137" spans="1:4" ht="18">
      <c r="A4137" s="288" t="s">
        <v>14425</v>
      </c>
      <c r="B4137" s="289" t="s">
        <v>14426</v>
      </c>
      <c r="C4137" s="288" t="s">
        <v>38</v>
      </c>
      <c r="D4137" s="303">
        <v>25.71</v>
      </c>
    </row>
    <row r="4138" spans="1:4">
      <c r="A4138" s="287" t="s">
        <v>14427</v>
      </c>
      <c r="B4138" s="287"/>
      <c r="C4138" s="287"/>
      <c r="D4138" s="296" t="s">
        <v>28729</v>
      </c>
    </row>
    <row r="4139" spans="1:4" ht="45">
      <c r="A4139" s="288" t="s">
        <v>14428</v>
      </c>
      <c r="B4139" s="289" t="s">
        <v>14429</v>
      </c>
      <c r="C4139" s="288" t="s">
        <v>38</v>
      </c>
      <c r="D4139" s="303">
        <v>199.7</v>
      </c>
    </row>
    <row r="4140" spans="1:4" ht="45">
      <c r="A4140" s="288" t="s">
        <v>14430</v>
      </c>
      <c r="B4140" s="289" t="s">
        <v>14431</v>
      </c>
      <c r="C4140" s="288" t="s">
        <v>38</v>
      </c>
      <c r="D4140" s="303">
        <v>286.07</v>
      </c>
    </row>
    <row r="4141" spans="1:4" ht="54">
      <c r="A4141" s="288" t="s">
        <v>14432</v>
      </c>
      <c r="B4141" s="289" t="s">
        <v>14433</v>
      </c>
      <c r="C4141" s="288" t="s">
        <v>38</v>
      </c>
      <c r="D4141" s="303">
        <v>341.37</v>
      </c>
    </row>
    <row r="4142" spans="1:4" ht="54">
      <c r="A4142" s="288" t="s">
        <v>14434</v>
      </c>
      <c r="B4142" s="289" t="s">
        <v>14435</v>
      </c>
      <c r="C4142" s="288" t="s">
        <v>38</v>
      </c>
      <c r="D4142" s="303">
        <v>410.4</v>
      </c>
    </row>
    <row r="4143" spans="1:4" ht="54">
      <c r="A4143" s="288" t="s">
        <v>14436</v>
      </c>
      <c r="B4143" s="289" t="s">
        <v>14437</v>
      </c>
      <c r="C4143" s="288" t="s">
        <v>38</v>
      </c>
      <c r="D4143" s="303">
        <v>312.05</v>
      </c>
    </row>
    <row r="4144" spans="1:4" ht="54">
      <c r="A4144" s="288" t="s">
        <v>14438</v>
      </c>
      <c r="B4144" s="289" t="s">
        <v>14439</v>
      </c>
      <c r="C4144" s="288" t="s">
        <v>38</v>
      </c>
      <c r="D4144" s="303">
        <v>365.56</v>
      </c>
    </row>
    <row r="4145" spans="1:4" ht="54">
      <c r="A4145" s="288" t="s">
        <v>14440</v>
      </c>
      <c r="B4145" s="289" t="s">
        <v>14441</v>
      </c>
      <c r="C4145" s="288" t="s">
        <v>38</v>
      </c>
      <c r="D4145" s="303">
        <v>433.76</v>
      </c>
    </row>
    <row r="4146" spans="1:4" ht="45">
      <c r="A4146" s="288" t="s">
        <v>14442</v>
      </c>
      <c r="B4146" s="289" t="s">
        <v>14443</v>
      </c>
      <c r="C4146" s="288" t="s">
        <v>38</v>
      </c>
      <c r="D4146" s="303">
        <v>250.57</v>
      </c>
    </row>
    <row r="4147" spans="1:4" ht="45">
      <c r="A4147" s="288" t="s">
        <v>14444</v>
      </c>
      <c r="B4147" s="289" t="s">
        <v>14445</v>
      </c>
      <c r="C4147" s="288" t="s">
        <v>38</v>
      </c>
      <c r="D4147" s="303">
        <v>317.07</v>
      </c>
    </row>
    <row r="4148" spans="1:4" ht="45">
      <c r="A4148" s="288" t="s">
        <v>14446</v>
      </c>
      <c r="B4148" s="289" t="s">
        <v>14447</v>
      </c>
      <c r="C4148" s="288" t="s">
        <v>38</v>
      </c>
      <c r="D4148" s="303">
        <v>367.41</v>
      </c>
    </row>
    <row r="4149" spans="1:4" ht="45">
      <c r="A4149" s="288" t="s">
        <v>14448</v>
      </c>
      <c r="B4149" s="289" t="s">
        <v>14449</v>
      </c>
      <c r="C4149" s="288" t="s">
        <v>38</v>
      </c>
      <c r="D4149" s="303">
        <v>317.07</v>
      </c>
    </row>
    <row r="4150" spans="1:4" ht="45">
      <c r="A4150" s="288" t="s">
        <v>14450</v>
      </c>
      <c r="B4150" s="289" t="s">
        <v>14451</v>
      </c>
      <c r="C4150" s="288" t="s">
        <v>38</v>
      </c>
      <c r="D4150" s="303">
        <v>433.75</v>
      </c>
    </row>
    <row r="4151" spans="1:4" ht="45">
      <c r="A4151" s="288" t="s">
        <v>14452</v>
      </c>
      <c r="B4151" s="289" t="s">
        <v>14453</v>
      </c>
      <c r="C4151" s="288" t="s">
        <v>38</v>
      </c>
      <c r="D4151" s="303">
        <v>364.89</v>
      </c>
    </row>
    <row r="4152" spans="1:4" ht="54">
      <c r="A4152" s="288" t="s">
        <v>14454</v>
      </c>
      <c r="B4152" s="289" t="s">
        <v>14455</v>
      </c>
      <c r="C4152" s="288" t="s">
        <v>38</v>
      </c>
      <c r="D4152" s="303">
        <v>427.55</v>
      </c>
    </row>
    <row r="4153" spans="1:4" ht="45">
      <c r="A4153" s="288" t="s">
        <v>14456</v>
      </c>
      <c r="B4153" s="289" t="s">
        <v>14457</v>
      </c>
      <c r="C4153" s="288" t="s">
        <v>38</v>
      </c>
      <c r="D4153" s="303">
        <v>514.55999999999995</v>
      </c>
    </row>
    <row r="4154" spans="1:4" ht="54">
      <c r="A4154" s="288" t="s">
        <v>14458</v>
      </c>
      <c r="B4154" s="289" t="s">
        <v>14459</v>
      </c>
      <c r="C4154" s="288" t="s">
        <v>38</v>
      </c>
      <c r="D4154" s="303">
        <v>179.18</v>
      </c>
    </row>
    <row r="4155" spans="1:4" ht="54">
      <c r="A4155" s="288" t="s">
        <v>14460</v>
      </c>
      <c r="B4155" s="289" t="s">
        <v>14461</v>
      </c>
      <c r="C4155" s="288" t="s">
        <v>38</v>
      </c>
      <c r="D4155" s="303">
        <v>280.77999999999997</v>
      </c>
    </row>
    <row r="4156" spans="1:4" ht="36">
      <c r="A4156" s="288" t="s">
        <v>14462</v>
      </c>
      <c r="B4156" s="289" t="s">
        <v>14463</v>
      </c>
      <c r="C4156" s="288" t="s">
        <v>38</v>
      </c>
      <c r="D4156" s="303">
        <v>188.18</v>
      </c>
    </row>
    <row r="4157" spans="1:4" ht="63">
      <c r="A4157" s="288" t="s">
        <v>14464</v>
      </c>
      <c r="B4157" s="289" t="s">
        <v>14465</v>
      </c>
      <c r="C4157" s="288" t="s">
        <v>38</v>
      </c>
      <c r="D4157" s="303">
        <v>329.54</v>
      </c>
    </row>
    <row r="4158" spans="1:4" ht="63">
      <c r="A4158" s="288" t="s">
        <v>14466</v>
      </c>
      <c r="B4158" s="289" t="s">
        <v>14467</v>
      </c>
      <c r="C4158" s="288" t="s">
        <v>38</v>
      </c>
      <c r="D4158" s="303">
        <v>291.44</v>
      </c>
    </row>
    <row r="4159" spans="1:4" ht="63">
      <c r="A4159" s="288" t="s">
        <v>14468</v>
      </c>
      <c r="B4159" s="289" t="s">
        <v>14469</v>
      </c>
      <c r="C4159" s="288" t="s">
        <v>38</v>
      </c>
      <c r="D4159" s="303">
        <v>331.45</v>
      </c>
    </row>
    <row r="4160" spans="1:4" ht="27">
      <c r="A4160" s="288" t="s">
        <v>14470</v>
      </c>
      <c r="B4160" s="289" t="s">
        <v>14471</v>
      </c>
      <c r="C4160" s="288" t="s">
        <v>54</v>
      </c>
      <c r="D4160" s="303">
        <v>155.05000000000001</v>
      </c>
    </row>
    <row r="4161" spans="1:4" ht="27">
      <c r="A4161" s="288" t="s">
        <v>14472</v>
      </c>
      <c r="B4161" s="289" t="s">
        <v>14473</v>
      </c>
      <c r="C4161" s="288" t="s">
        <v>54</v>
      </c>
      <c r="D4161" s="303">
        <v>155.05000000000001</v>
      </c>
    </row>
    <row r="4162" spans="1:4" ht="27">
      <c r="A4162" s="288" t="s">
        <v>14474</v>
      </c>
      <c r="B4162" s="289" t="s">
        <v>14475</v>
      </c>
      <c r="C4162" s="288" t="s">
        <v>54</v>
      </c>
      <c r="D4162" s="303">
        <v>191.24</v>
      </c>
    </row>
    <row r="4163" spans="1:4" ht="27">
      <c r="A4163" s="288" t="s">
        <v>14476</v>
      </c>
      <c r="B4163" s="289" t="s">
        <v>14477</v>
      </c>
      <c r="C4163" s="288" t="s">
        <v>54</v>
      </c>
      <c r="D4163" s="303">
        <v>237.53</v>
      </c>
    </row>
    <row r="4164" spans="1:4" ht="27">
      <c r="A4164" s="288" t="s">
        <v>14478</v>
      </c>
      <c r="B4164" s="289" t="s">
        <v>14479</v>
      </c>
      <c r="C4164" s="288" t="s">
        <v>7079</v>
      </c>
      <c r="D4164" s="303">
        <v>109.23</v>
      </c>
    </row>
    <row r="4165" spans="1:4" ht="27">
      <c r="A4165" s="288" t="s">
        <v>14480</v>
      </c>
      <c r="B4165" s="289" t="s">
        <v>14481</v>
      </c>
      <c r="C4165" s="288" t="s">
        <v>7079</v>
      </c>
      <c r="D4165" s="303">
        <v>131.81</v>
      </c>
    </row>
    <row r="4166" spans="1:4">
      <c r="A4166" s="290"/>
      <c r="B4166" s="290"/>
      <c r="C4166" s="290"/>
      <c r="D4166" s="298"/>
    </row>
    <row r="4167" spans="1:4">
      <c r="A4167" s="291"/>
      <c r="B4167" s="291"/>
      <c r="C4167" s="291"/>
      <c r="D4167" s="299"/>
    </row>
    <row r="4168" spans="1:4" ht="18">
      <c r="A4168" s="287" t="s">
        <v>14482</v>
      </c>
      <c r="B4168" s="287"/>
      <c r="C4168" s="287"/>
      <c r="D4168" s="296" t="s">
        <v>28729</v>
      </c>
    </row>
    <row r="4169" spans="1:4">
      <c r="A4169" s="288" t="s">
        <v>14483</v>
      </c>
      <c r="B4169" s="289" t="s">
        <v>14484</v>
      </c>
      <c r="C4169" s="288" t="s">
        <v>47</v>
      </c>
      <c r="D4169" s="303">
        <v>180</v>
      </c>
    </row>
    <row r="4170" spans="1:4" ht="18">
      <c r="A4170" s="288" t="s">
        <v>14485</v>
      </c>
      <c r="B4170" s="289" t="s">
        <v>14486</v>
      </c>
      <c r="C4170" s="288" t="s">
        <v>14487</v>
      </c>
      <c r="D4170" s="303">
        <v>2340.34</v>
      </c>
    </row>
    <row r="4171" spans="1:4">
      <c r="A4171" s="288" t="s">
        <v>14488</v>
      </c>
      <c r="B4171" s="289" t="s">
        <v>14489</v>
      </c>
      <c r="C4171" s="288" t="s">
        <v>47</v>
      </c>
      <c r="D4171" s="303">
        <v>150</v>
      </c>
    </row>
    <row r="4172" spans="1:4" ht="18">
      <c r="A4172" s="288" t="s">
        <v>14490</v>
      </c>
      <c r="B4172" s="289" t="s">
        <v>14491</v>
      </c>
      <c r="C4172" s="288" t="s">
        <v>47</v>
      </c>
      <c r="D4172" s="303">
        <v>180</v>
      </c>
    </row>
    <row r="4173" spans="1:4">
      <c r="A4173" s="288" t="s">
        <v>14492</v>
      </c>
      <c r="B4173" s="289" t="s">
        <v>14493</v>
      </c>
      <c r="C4173" s="288" t="s">
        <v>54</v>
      </c>
      <c r="D4173" s="303">
        <v>0.3</v>
      </c>
    </row>
    <row r="4174" spans="1:4">
      <c r="A4174" s="288" t="s">
        <v>14494</v>
      </c>
      <c r="B4174" s="289" t="s">
        <v>14495</v>
      </c>
      <c r="C4174" s="288" t="s">
        <v>38</v>
      </c>
      <c r="D4174" s="303">
        <v>1.48</v>
      </c>
    </row>
    <row r="4175" spans="1:4">
      <c r="A4175" s="288" t="s">
        <v>14496</v>
      </c>
      <c r="B4175" s="289" t="s">
        <v>14497</v>
      </c>
      <c r="C4175" s="288" t="s">
        <v>38</v>
      </c>
      <c r="D4175" s="303">
        <v>1.18</v>
      </c>
    </row>
    <row r="4176" spans="1:4">
      <c r="A4176" s="288" t="s">
        <v>14498</v>
      </c>
      <c r="B4176" s="289" t="s">
        <v>14499</v>
      </c>
      <c r="C4176" s="288" t="s">
        <v>47</v>
      </c>
      <c r="D4176" s="303">
        <v>234.91</v>
      </c>
    </row>
    <row r="4177" spans="1:4">
      <c r="A4177" s="288" t="s">
        <v>14500</v>
      </c>
      <c r="B4177" s="289" t="s">
        <v>14501</v>
      </c>
      <c r="C4177" s="288" t="s">
        <v>14487</v>
      </c>
      <c r="D4177" s="303">
        <v>1078.8399999999999</v>
      </c>
    </row>
    <row r="4178" spans="1:4">
      <c r="A4178" s="288" t="s">
        <v>14502</v>
      </c>
      <c r="B4178" s="289" t="s">
        <v>14503</v>
      </c>
      <c r="C4178" s="288" t="s">
        <v>38</v>
      </c>
      <c r="D4178" s="303">
        <v>3.71</v>
      </c>
    </row>
    <row r="4179" spans="1:4">
      <c r="A4179" s="288" t="s">
        <v>14504</v>
      </c>
      <c r="B4179" s="289" t="s">
        <v>14505</v>
      </c>
      <c r="C4179" s="288" t="s">
        <v>38</v>
      </c>
      <c r="D4179" s="303">
        <v>0.18</v>
      </c>
    </row>
    <row r="4180" spans="1:4">
      <c r="A4180" s="288" t="s">
        <v>14506</v>
      </c>
      <c r="B4180" s="289" t="s">
        <v>14507</v>
      </c>
      <c r="C4180" s="288" t="s">
        <v>38</v>
      </c>
      <c r="D4180" s="303">
        <v>1.48</v>
      </c>
    </row>
    <row r="4181" spans="1:4" ht="18">
      <c r="A4181" s="288" t="s">
        <v>14508</v>
      </c>
      <c r="B4181" s="289" t="s">
        <v>14509</v>
      </c>
      <c r="C4181" s="288" t="s">
        <v>38</v>
      </c>
      <c r="D4181" s="303">
        <v>2.97</v>
      </c>
    </row>
    <row r="4182" spans="1:4" ht="18">
      <c r="A4182" s="288" t="s">
        <v>14510</v>
      </c>
      <c r="B4182" s="289" t="s">
        <v>14511</v>
      </c>
      <c r="C4182" s="288" t="s">
        <v>7079</v>
      </c>
      <c r="D4182" s="303">
        <v>1.18</v>
      </c>
    </row>
    <row r="4183" spans="1:4" ht="18">
      <c r="A4183" s="288" t="s">
        <v>14512</v>
      </c>
      <c r="B4183" s="289" t="s">
        <v>14513</v>
      </c>
      <c r="C4183" s="288" t="s">
        <v>7079</v>
      </c>
      <c r="D4183" s="303">
        <v>1.93</v>
      </c>
    </row>
    <row r="4184" spans="1:4" ht="18">
      <c r="A4184" s="288" t="s">
        <v>14514</v>
      </c>
      <c r="B4184" s="289" t="s">
        <v>14515</v>
      </c>
      <c r="C4184" s="288" t="s">
        <v>7079</v>
      </c>
      <c r="D4184" s="303">
        <v>2.52</v>
      </c>
    </row>
    <row r="4185" spans="1:4" ht="18">
      <c r="A4185" s="288" t="s">
        <v>14516</v>
      </c>
      <c r="B4185" s="289" t="s">
        <v>14517</v>
      </c>
      <c r="C4185" s="288" t="s">
        <v>7079</v>
      </c>
      <c r="D4185" s="303">
        <v>7.42</v>
      </c>
    </row>
    <row r="4186" spans="1:4" ht="18">
      <c r="A4186" s="288" t="s">
        <v>14518</v>
      </c>
      <c r="B4186" s="289" t="s">
        <v>14519</v>
      </c>
      <c r="C4186" s="288" t="s">
        <v>7079</v>
      </c>
      <c r="D4186" s="303">
        <v>53.14</v>
      </c>
    </row>
    <row r="4187" spans="1:4" ht="18">
      <c r="A4187" s="288" t="s">
        <v>14520</v>
      </c>
      <c r="B4187" s="289" t="s">
        <v>14521</v>
      </c>
      <c r="C4187" s="288" t="s">
        <v>14487</v>
      </c>
      <c r="D4187" s="303">
        <v>1608.98</v>
      </c>
    </row>
    <row r="4188" spans="1:4">
      <c r="A4188" s="288" t="s">
        <v>14522</v>
      </c>
      <c r="B4188" s="289" t="s">
        <v>14523</v>
      </c>
      <c r="C4188" s="288" t="s">
        <v>14487</v>
      </c>
      <c r="D4188" s="303">
        <v>346.76</v>
      </c>
    </row>
    <row r="4189" spans="1:4">
      <c r="A4189" s="288" t="s">
        <v>14524</v>
      </c>
      <c r="B4189" s="289" t="s">
        <v>14525</v>
      </c>
      <c r="C4189" s="288" t="s">
        <v>14487</v>
      </c>
      <c r="D4189" s="303">
        <v>23.73</v>
      </c>
    </row>
    <row r="4190" spans="1:4" ht="18">
      <c r="A4190" s="288" t="s">
        <v>14526</v>
      </c>
      <c r="B4190" s="289" t="s">
        <v>14527</v>
      </c>
      <c r="C4190" s="288" t="s">
        <v>38</v>
      </c>
      <c r="D4190" s="303">
        <v>0.11</v>
      </c>
    </row>
    <row r="4191" spans="1:4" ht="18">
      <c r="A4191" s="288" t="s">
        <v>14528</v>
      </c>
      <c r="B4191" s="289" t="s">
        <v>14529</v>
      </c>
      <c r="C4191" s="288" t="s">
        <v>38</v>
      </c>
      <c r="D4191" s="303">
        <v>0.26</v>
      </c>
    </row>
    <row r="4192" spans="1:4" ht="18">
      <c r="A4192" s="288" t="s">
        <v>14530</v>
      </c>
      <c r="B4192" s="289" t="s">
        <v>14531</v>
      </c>
      <c r="C4192" s="288" t="s">
        <v>7079</v>
      </c>
      <c r="D4192" s="303">
        <v>0.82</v>
      </c>
    </row>
    <row r="4193" spans="1:4" ht="18">
      <c r="A4193" s="288" t="s">
        <v>14532</v>
      </c>
      <c r="B4193" s="289" t="s">
        <v>14533</v>
      </c>
      <c r="C4193" s="288" t="s">
        <v>7079</v>
      </c>
      <c r="D4193" s="303">
        <v>0.97</v>
      </c>
    </row>
    <row r="4194" spans="1:4" ht="18">
      <c r="A4194" s="288" t="s">
        <v>14534</v>
      </c>
      <c r="B4194" s="289" t="s">
        <v>14535</v>
      </c>
      <c r="C4194" s="288" t="s">
        <v>7167</v>
      </c>
      <c r="D4194" s="303">
        <v>59.65</v>
      </c>
    </row>
    <row r="4195" spans="1:4">
      <c r="A4195" s="288" t="s">
        <v>14536</v>
      </c>
      <c r="B4195" s="289" t="s">
        <v>14537</v>
      </c>
      <c r="C4195" s="288" t="s">
        <v>38</v>
      </c>
      <c r="D4195" s="303">
        <v>2.2200000000000002</v>
      </c>
    </row>
    <row r="4196" spans="1:4">
      <c r="A4196" s="288" t="s">
        <v>14538</v>
      </c>
      <c r="B4196" s="289" t="s">
        <v>14539</v>
      </c>
      <c r="C4196" s="288" t="s">
        <v>7079</v>
      </c>
      <c r="D4196" s="303">
        <v>13.35</v>
      </c>
    </row>
    <row r="4197" spans="1:4">
      <c r="A4197" s="288" t="s">
        <v>14540</v>
      </c>
      <c r="B4197" s="289" t="s">
        <v>14541</v>
      </c>
      <c r="C4197" s="288" t="s">
        <v>14487</v>
      </c>
      <c r="D4197" s="303">
        <v>148.32</v>
      </c>
    </row>
    <row r="4198" spans="1:4" ht="18">
      <c r="A4198" s="288" t="s">
        <v>14542</v>
      </c>
      <c r="B4198" s="289" t="s">
        <v>14543</v>
      </c>
      <c r="C4198" s="288" t="s">
        <v>38</v>
      </c>
      <c r="D4198" s="303">
        <v>1.1499999999999999</v>
      </c>
    </row>
    <row r="4199" spans="1:4">
      <c r="A4199" s="288" t="s">
        <v>14544</v>
      </c>
      <c r="B4199" s="289" t="s">
        <v>14545</v>
      </c>
      <c r="C4199" s="288" t="s">
        <v>14487</v>
      </c>
      <c r="D4199" s="303">
        <v>3019.96</v>
      </c>
    </row>
    <row r="4200" spans="1:4">
      <c r="A4200" s="288" t="s">
        <v>14546</v>
      </c>
      <c r="B4200" s="289" t="s">
        <v>14547</v>
      </c>
      <c r="C4200" s="288" t="s">
        <v>14548</v>
      </c>
      <c r="D4200" s="303">
        <v>2.97</v>
      </c>
    </row>
    <row r="4201" spans="1:4" ht="18">
      <c r="A4201" s="288" t="s">
        <v>14549</v>
      </c>
      <c r="B4201" s="289" t="s">
        <v>14550</v>
      </c>
      <c r="C4201" s="288" t="s">
        <v>38</v>
      </c>
      <c r="D4201" s="303">
        <v>2.2200000000000002</v>
      </c>
    </row>
    <row r="4202" spans="1:4">
      <c r="A4202" s="288" t="s">
        <v>14551</v>
      </c>
      <c r="B4202" s="289" t="s">
        <v>14552</v>
      </c>
      <c r="C4202" s="288" t="s">
        <v>54</v>
      </c>
      <c r="D4202" s="303">
        <v>22.25</v>
      </c>
    </row>
    <row r="4203" spans="1:4" ht="27">
      <c r="A4203" s="288" t="s">
        <v>14553</v>
      </c>
      <c r="B4203" s="289" t="s">
        <v>14554</v>
      </c>
      <c r="C4203" s="288" t="s">
        <v>47</v>
      </c>
      <c r="D4203" s="303">
        <v>31.81</v>
      </c>
    </row>
    <row r="4204" spans="1:4">
      <c r="A4204" s="288" t="s">
        <v>14555</v>
      </c>
      <c r="B4204" s="289" t="s">
        <v>14556</v>
      </c>
      <c r="C4204" s="288" t="s">
        <v>7167</v>
      </c>
      <c r="D4204" s="303">
        <v>119.4</v>
      </c>
    </row>
    <row r="4205" spans="1:4">
      <c r="A4205" s="288" t="s">
        <v>14557</v>
      </c>
      <c r="B4205" s="289" t="s">
        <v>14558</v>
      </c>
      <c r="C4205" s="288" t="s">
        <v>7079</v>
      </c>
      <c r="D4205" s="303">
        <v>12.36</v>
      </c>
    </row>
    <row r="4206" spans="1:4">
      <c r="A4206" s="288" t="s">
        <v>14559</v>
      </c>
      <c r="B4206" s="289" t="s">
        <v>14560</v>
      </c>
      <c r="C4206" s="288" t="s">
        <v>7079</v>
      </c>
      <c r="D4206" s="303">
        <v>74.16</v>
      </c>
    </row>
    <row r="4207" spans="1:4">
      <c r="A4207" s="288" t="s">
        <v>14561</v>
      </c>
      <c r="B4207" s="289" t="s">
        <v>14562</v>
      </c>
      <c r="C4207" s="288" t="s">
        <v>38</v>
      </c>
      <c r="D4207" s="303">
        <v>2.2200000000000002</v>
      </c>
    </row>
    <row r="4208" spans="1:4">
      <c r="A4208" s="288" t="s">
        <v>14563</v>
      </c>
      <c r="B4208" s="289" t="s">
        <v>14564</v>
      </c>
      <c r="C4208" s="288" t="s">
        <v>38</v>
      </c>
      <c r="D4208" s="303">
        <v>0.49</v>
      </c>
    </row>
    <row r="4209" spans="1:4">
      <c r="A4209" s="288" t="s">
        <v>14565</v>
      </c>
      <c r="B4209" s="289" t="s">
        <v>14566</v>
      </c>
      <c r="C4209" s="288" t="s">
        <v>14487</v>
      </c>
      <c r="D4209" s="303">
        <v>326.3</v>
      </c>
    </row>
    <row r="4210" spans="1:4">
      <c r="A4210" s="288" t="s">
        <v>14567</v>
      </c>
      <c r="B4210" s="289" t="s">
        <v>14568</v>
      </c>
      <c r="C4210" s="288" t="s">
        <v>14487</v>
      </c>
      <c r="D4210" s="303">
        <v>370.8</v>
      </c>
    </row>
    <row r="4211" spans="1:4">
      <c r="A4211" s="288" t="s">
        <v>14569</v>
      </c>
      <c r="B4211" s="289" t="s">
        <v>14570</v>
      </c>
      <c r="C4211" s="288" t="s">
        <v>14487</v>
      </c>
      <c r="D4211" s="303">
        <v>296.64</v>
      </c>
    </row>
    <row r="4212" spans="1:4" ht="18">
      <c r="A4212" s="287" t="s">
        <v>14571</v>
      </c>
      <c r="B4212" s="287"/>
      <c r="C4212" s="287"/>
      <c r="D4212" s="296" t="s">
        <v>28729</v>
      </c>
    </row>
    <row r="4213" spans="1:4" ht="18">
      <c r="A4213" s="288" t="s">
        <v>14572</v>
      </c>
      <c r="B4213" s="289" t="s">
        <v>14573</v>
      </c>
      <c r="C4213" s="288" t="s">
        <v>7079</v>
      </c>
      <c r="D4213" s="303">
        <v>155.74</v>
      </c>
    </row>
    <row r="4214" spans="1:4" ht="27">
      <c r="A4214" s="288" t="s">
        <v>14574</v>
      </c>
      <c r="B4214" s="289" t="s">
        <v>14575</v>
      </c>
      <c r="C4214" s="288" t="s">
        <v>7079</v>
      </c>
      <c r="D4214" s="303">
        <v>891.63</v>
      </c>
    </row>
    <row r="4215" spans="1:4" ht="27">
      <c r="A4215" s="288" t="s">
        <v>14576</v>
      </c>
      <c r="B4215" s="289" t="s">
        <v>14577</v>
      </c>
      <c r="C4215" s="288" t="s">
        <v>7079</v>
      </c>
      <c r="D4215" s="303">
        <v>1333.27</v>
      </c>
    </row>
    <row r="4216" spans="1:4" ht="45">
      <c r="A4216" s="288" t="s">
        <v>14578</v>
      </c>
      <c r="B4216" s="289" t="s">
        <v>14579</v>
      </c>
      <c r="C4216" s="288" t="s">
        <v>7079</v>
      </c>
      <c r="D4216" s="303">
        <v>127.64</v>
      </c>
    </row>
    <row r="4217" spans="1:4" ht="54">
      <c r="A4217" s="288" t="s">
        <v>14580</v>
      </c>
      <c r="B4217" s="289" t="s">
        <v>14581</v>
      </c>
      <c r="C4217" s="288" t="s">
        <v>7079</v>
      </c>
      <c r="D4217" s="303">
        <v>279.57</v>
      </c>
    </row>
    <row r="4218" spans="1:4" ht="18">
      <c r="A4218" s="288" t="s">
        <v>14582</v>
      </c>
      <c r="B4218" s="289" t="s">
        <v>14583</v>
      </c>
      <c r="C4218" s="288" t="s">
        <v>7079</v>
      </c>
      <c r="D4218" s="303">
        <v>4.2300000000000004</v>
      </c>
    </row>
    <row r="4219" spans="1:4" ht="54">
      <c r="A4219" s="288" t="s">
        <v>14584</v>
      </c>
      <c r="B4219" s="289" t="s">
        <v>14585</v>
      </c>
      <c r="C4219" s="288" t="s">
        <v>7079</v>
      </c>
      <c r="D4219" s="303">
        <v>742.98</v>
      </c>
    </row>
    <row r="4220" spans="1:4" ht="54">
      <c r="A4220" s="288" t="s">
        <v>14586</v>
      </c>
      <c r="B4220" s="289" t="s">
        <v>14587</v>
      </c>
      <c r="C4220" s="288" t="s">
        <v>7079</v>
      </c>
      <c r="D4220" s="303">
        <v>1114.47</v>
      </c>
    </row>
    <row r="4221" spans="1:4" ht="36">
      <c r="A4221" s="288" t="s">
        <v>14588</v>
      </c>
      <c r="B4221" s="289" t="s">
        <v>14589</v>
      </c>
      <c r="C4221" s="288" t="s">
        <v>7079</v>
      </c>
      <c r="D4221" s="303">
        <v>754.49</v>
      </c>
    </row>
    <row r="4222" spans="1:4" ht="36">
      <c r="A4222" s="288" t="s">
        <v>14590</v>
      </c>
      <c r="B4222" s="289" t="s">
        <v>14591</v>
      </c>
      <c r="C4222" s="288" t="s">
        <v>7079</v>
      </c>
      <c r="D4222" s="303">
        <v>1508.96</v>
      </c>
    </row>
    <row r="4223" spans="1:4" ht="63">
      <c r="A4223" s="288" t="s">
        <v>14592</v>
      </c>
      <c r="B4223" s="289" t="s">
        <v>14593</v>
      </c>
      <c r="C4223" s="288" t="s">
        <v>7079</v>
      </c>
      <c r="D4223" s="303">
        <v>1646.12</v>
      </c>
    </row>
    <row r="4224" spans="1:4" ht="63">
      <c r="A4224" s="288" t="s">
        <v>14594</v>
      </c>
      <c r="B4224" s="289" t="s">
        <v>14595</v>
      </c>
      <c r="C4224" s="288" t="s">
        <v>7079</v>
      </c>
      <c r="D4224" s="303">
        <v>2842.23</v>
      </c>
    </row>
    <row r="4225" spans="1:4" ht="36">
      <c r="A4225" s="288" t="s">
        <v>14596</v>
      </c>
      <c r="B4225" s="289" t="s">
        <v>14597</v>
      </c>
      <c r="C4225" s="288" t="s">
        <v>47</v>
      </c>
      <c r="D4225" s="303">
        <v>91.74</v>
      </c>
    </row>
    <row r="4226" spans="1:4">
      <c r="A4226" s="290"/>
      <c r="B4226" s="290"/>
      <c r="C4226" s="290"/>
      <c r="D4226" s="298"/>
    </row>
    <row r="4227" spans="1:4" ht="18">
      <c r="A4227" s="287" t="s">
        <v>14598</v>
      </c>
      <c r="B4227" s="287"/>
      <c r="C4227" s="287"/>
      <c r="D4227" s="296" t="s">
        <v>28729</v>
      </c>
    </row>
    <row r="4228" spans="1:4" ht="18">
      <c r="A4228" s="288" t="s">
        <v>14599</v>
      </c>
      <c r="B4228" s="289" t="s">
        <v>14600</v>
      </c>
      <c r="C4228" s="288" t="s">
        <v>7079</v>
      </c>
      <c r="D4228" s="303">
        <v>1010.84</v>
      </c>
    </row>
    <row r="4229" spans="1:4" ht="18">
      <c r="A4229" s="288" t="s">
        <v>14601</v>
      </c>
      <c r="B4229" s="289" t="s">
        <v>14602</v>
      </c>
      <c r="C4229" s="288" t="s">
        <v>54</v>
      </c>
      <c r="D4229" s="303">
        <v>193.63</v>
      </c>
    </row>
    <row r="4230" spans="1:4" ht="27">
      <c r="A4230" s="288" t="s">
        <v>14603</v>
      </c>
      <c r="B4230" s="289" t="s">
        <v>14604</v>
      </c>
      <c r="C4230" s="288" t="s">
        <v>54</v>
      </c>
      <c r="D4230" s="303">
        <v>407.43</v>
      </c>
    </row>
    <row r="4231" spans="1:4" ht="27">
      <c r="A4231" s="288" t="s">
        <v>14605</v>
      </c>
      <c r="B4231" s="289" t="s">
        <v>14606</v>
      </c>
      <c r="C4231" s="288" t="s">
        <v>7079</v>
      </c>
      <c r="D4231" s="303">
        <v>719.65</v>
      </c>
    </row>
    <row r="4232" spans="1:4" ht="36">
      <c r="A4232" s="288" t="s">
        <v>14607</v>
      </c>
      <c r="B4232" s="289" t="s">
        <v>14608</v>
      </c>
      <c r="C4232" s="288" t="s">
        <v>7079</v>
      </c>
      <c r="D4232" s="303">
        <v>1472.39</v>
      </c>
    </row>
    <row r="4233" spans="1:4" ht="18">
      <c r="A4233" s="288" t="s">
        <v>14609</v>
      </c>
      <c r="B4233" s="289" t="s">
        <v>14610</v>
      </c>
      <c r="C4233" s="288" t="s">
        <v>7079</v>
      </c>
      <c r="D4233" s="303">
        <v>731.24</v>
      </c>
    </row>
    <row r="4234" spans="1:4" ht="45">
      <c r="A4234" s="288" t="s">
        <v>14611</v>
      </c>
      <c r="B4234" s="289" t="s">
        <v>14612</v>
      </c>
      <c r="C4234" s="288" t="s">
        <v>7079</v>
      </c>
      <c r="D4234" s="303">
        <v>1463.84</v>
      </c>
    </row>
    <row r="4235" spans="1:4" ht="27">
      <c r="A4235" s="288" t="s">
        <v>14613</v>
      </c>
      <c r="B4235" s="289" t="s">
        <v>14614</v>
      </c>
      <c r="C4235" s="288" t="s">
        <v>7079</v>
      </c>
      <c r="D4235" s="303">
        <v>1160.05</v>
      </c>
    </row>
    <row r="4236" spans="1:4" ht="36">
      <c r="A4236" s="288" t="s">
        <v>14615</v>
      </c>
      <c r="B4236" s="289" t="s">
        <v>14616</v>
      </c>
      <c r="C4236" s="288" t="s">
        <v>7079</v>
      </c>
      <c r="D4236" s="303">
        <v>1595.86</v>
      </c>
    </row>
    <row r="4237" spans="1:4" ht="27">
      <c r="A4237" s="288" t="s">
        <v>14617</v>
      </c>
      <c r="B4237" s="289" t="s">
        <v>14618</v>
      </c>
      <c r="C4237" s="288" t="s">
        <v>7079</v>
      </c>
      <c r="D4237" s="303">
        <v>202.89</v>
      </c>
    </row>
    <row r="4238" spans="1:4" ht="27">
      <c r="A4238" s="288" t="s">
        <v>14619</v>
      </c>
      <c r="B4238" s="289" t="s">
        <v>14620</v>
      </c>
      <c r="C4238" s="288" t="s">
        <v>7079</v>
      </c>
      <c r="D4238" s="303">
        <v>82.11</v>
      </c>
    </row>
    <row r="4239" spans="1:4" ht="27">
      <c r="A4239" s="288" t="s">
        <v>14621</v>
      </c>
      <c r="B4239" s="289" t="s">
        <v>14622</v>
      </c>
      <c r="C4239" s="288" t="s">
        <v>7079</v>
      </c>
      <c r="D4239" s="303">
        <v>86.76</v>
      </c>
    </row>
    <row r="4240" spans="1:4" ht="18">
      <c r="A4240" s="287" t="s">
        <v>14623</v>
      </c>
      <c r="B4240" s="287"/>
      <c r="C4240" s="287"/>
      <c r="D4240" s="296" t="s">
        <v>28729</v>
      </c>
    </row>
    <row r="4241" spans="1:4" ht="18">
      <c r="A4241" s="288" t="s">
        <v>14624</v>
      </c>
      <c r="B4241" s="289" t="s">
        <v>14625</v>
      </c>
      <c r="C4241" s="288" t="s">
        <v>7079</v>
      </c>
      <c r="D4241" s="303">
        <v>627.99</v>
      </c>
    </row>
    <row r="4242" spans="1:4" ht="36">
      <c r="A4242" s="288" t="s">
        <v>14626</v>
      </c>
      <c r="B4242" s="289" t="s">
        <v>14627</v>
      </c>
      <c r="C4242" s="288" t="s">
        <v>7079</v>
      </c>
      <c r="D4242" s="303">
        <v>2348.19</v>
      </c>
    </row>
    <row r="4243" spans="1:4" ht="36">
      <c r="A4243" s="288" t="s">
        <v>14628</v>
      </c>
      <c r="B4243" s="289" t="s">
        <v>14629</v>
      </c>
      <c r="C4243" s="288" t="s">
        <v>7079</v>
      </c>
      <c r="D4243" s="303">
        <v>1520.85</v>
      </c>
    </row>
    <row r="4244" spans="1:4" ht="36">
      <c r="A4244" s="288" t="s">
        <v>14630</v>
      </c>
      <c r="B4244" s="289" t="s">
        <v>14631</v>
      </c>
      <c r="C4244" s="288" t="s">
        <v>7079</v>
      </c>
      <c r="D4244" s="303">
        <v>1859.97</v>
      </c>
    </row>
    <row r="4245" spans="1:4" ht="36">
      <c r="A4245" s="288" t="s">
        <v>14632</v>
      </c>
      <c r="B4245" s="289" t="s">
        <v>14633</v>
      </c>
      <c r="C4245" s="288" t="s">
        <v>7079</v>
      </c>
      <c r="D4245" s="303">
        <v>1552.63</v>
      </c>
    </row>
    <row r="4246" spans="1:4" ht="63">
      <c r="A4246" s="288" t="s">
        <v>14634</v>
      </c>
      <c r="B4246" s="289" t="s">
        <v>14635</v>
      </c>
      <c r="C4246" s="288" t="s">
        <v>7079</v>
      </c>
      <c r="D4246" s="303">
        <v>12496.02</v>
      </c>
    </row>
    <row r="4247" spans="1:4" ht="54">
      <c r="A4247" s="288" t="s">
        <v>14636</v>
      </c>
      <c r="B4247" s="289" t="s">
        <v>14637</v>
      </c>
      <c r="C4247" s="288" t="s">
        <v>7079</v>
      </c>
      <c r="D4247" s="303">
        <v>2576.69</v>
      </c>
    </row>
    <row r="4248" spans="1:4" ht="54">
      <c r="A4248" s="288" t="s">
        <v>14638</v>
      </c>
      <c r="B4248" s="289" t="s">
        <v>14639</v>
      </c>
      <c r="C4248" s="288" t="s">
        <v>7079</v>
      </c>
      <c r="D4248" s="303">
        <v>2930.28</v>
      </c>
    </row>
    <row r="4249" spans="1:4" ht="27">
      <c r="A4249" s="288" t="s">
        <v>14640</v>
      </c>
      <c r="B4249" s="289" t="s">
        <v>14641</v>
      </c>
      <c r="C4249" s="288" t="s">
        <v>7079</v>
      </c>
      <c r="D4249" s="303">
        <v>917.46</v>
      </c>
    </row>
    <row r="4250" spans="1:4" ht="27">
      <c r="A4250" s="288" t="s">
        <v>14642</v>
      </c>
      <c r="B4250" s="289" t="s">
        <v>14643</v>
      </c>
      <c r="C4250" s="288" t="s">
        <v>7079</v>
      </c>
      <c r="D4250" s="303">
        <v>1259.0999999999999</v>
      </c>
    </row>
    <row r="4251" spans="1:4" ht="18">
      <c r="A4251" s="288" t="s">
        <v>14644</v>
      </c>
      <c r="B4251" s="289" t="s">
        <v>14645</v>
      </c>
      <c r="C4251" s="288" t="s">
        <v>7079</v>
      </c>
      <c r="D4251" s="303">
        <v>1271.24</v>
      </c>
    </row>
    <row r="4252" spans="1:4" ht="36">
      <c r="A4252" s="288" t="s">
        <v>14646</v>
      </c>
      <c r="B4252" s="289" t="s">
        <v>14647</v>
      </c>
      <c r="C4252" s="288" t="s">
        <v>7079</v>
      </c>
      <c r="D4252" s="303">
        <v>2394.7399999999998</v>
      </c>
    </row>
    <row r="4253" spans="1:4" ht="36">
      <c r="A4253" s="288" t="s">
        <v>14648</v>
      </c>
      <c r="B4253" s="289" t="s">
        <v>14649</v>
      </c>
      <c r="C4253" s="288" t="s">
        <v>7079</v>
      </c>
      <c r="D4253" s="303">
        <v>3020.3</v>
      </c>
    </row>
    <row r="4254" spans="1:4" ht="18">
      <c r="A4254" s="288" t="s">
        <v>14650</v>
      </c>
      <c r="B4254" s="289" t="s">
        <v>14651</v>
      </c>
      <c r="C4254" s="288" t="s">
        <v>7079</v>
      </c>
      <c r="D4254" s="303">
        <v>887.09</v>
      </c>
    </row>
    <row r="4255" spans="1:4" ht="36">
      <c r="A4255" s="288" t="s">
        <v>14652</v>
      </c>
      <c r="B4255" s="289" t="s">
        <v>14653</v>
      </c>
      <c r="C4255" s="288" t="s">
        <v>7079</v>
      </c>
      <c r="D4255" s="303">
        <v>1952.8</v>
      </c>
    </row>
    <row r="4256" spans="1:4" ht="36">
      <c r="A4256" s="288" t="s">
        <v>14654</v>
      </c>
      <c r="B4256" s="289" t="s">
        <v>14655</v>
      </c>
      <c r="C4256" s="288" t="s">
        <v>7079</v>
      </c>
      <c r="D4256" s="303">
        <v>2354.06</v>
      </c>
    </row>
    <row r="4257" spans="1:4" ht="36">
      <c r="A4257" s="288" t="s">
        <v>14656</v>
      </c>
      <c r="B4257" s="289" t="s">
        <v>14657</v>
      </c>
      <c r="C4257" s="288" t="s">
        <v>7079</v>
      </c>
      <c r="D4257" s="303">
        <v>7374.02</v>
      </c>
    </row>
    <row r="4258" spans="1:4" ht="45">
      <c r="A4258" s="288" t="s">
        <v>14658</v>
      </c>
      <c r="B4258" s="289" t="s">
        <v>14659</v>
      </c>
      <c r="C4258" s="288" t="s">
        <v>7079</v>
      </c>
      <c r="D4258" s="303">
        <v>649.67999999999995</v>
      </c>
    </row>
    <row r="4259" spans="1:4" ht="45">
      <c r="A4259" s="288" t="s">
        <v>14660</v>
      </c>
      <c r="B4259" s="289" t="s">
        <v>14661</v>
      </c>
      <c r="C4259" s="288" t="s">
        <v>7079</v>
      </c>
      <c r="D4259" s="303">
        <v>739.81</v>
      </c>
    </row>
    <row r="4260" spans="1:4" ht="18">
      <c r="A4260" s="288" t="s">
        <v>14662</v>
      </c>
      <c r="B4260" s="289" t="s">
        <v>14663</v>
      </c>
      <c r="C4260" s="288" t="s">
        <v>7079</v>
      </c>
      <c r="D4260" s="303">
        <v>1493.74</v>
      </c>
    </row>
    <row r="4261" spans="1:4" ht="27">
      <c r="A4261" s="288" t="s">
        <v>14664</v>
      </c>
      <c r="B4261" s="289" t="s">
        <v>14665</v>
      </c>
      <c r="C4261" s="288" t="s">
        <v>7079</v>
      </c>
      <c r="D4261" s="303">
        <v>1788.88</v>
      </c>
    </row>
    <row r="4262" spans="1:4" ht="36">
      <c r="A4262" s="288" t="s">
        <v>14666</v>
      </c>
      <c r="B4262" s="289" t="s">
        <v>14667</v>
      </c>
      <c r="C4262" s="288" t="s">
        <v>7079</v>
      </c>
      <c r="D4262" s="303">
        <v>1035.26</v>
      </c>
    </row>
    <row r="4263" spans="1:4" ht="18">
      <c r="A4263" s="287" t="s">
        <v>14668</v>
      </c>
      <c r="B4263" s="287"/>
      <c r="C4263" s="287"/>
      <c r="D4263" s="296" t="s">
        <v>28729</v>
      </c>
    </row>
    <row r="4264" spans="1:4" ht="18">
      <c r="A4264" s="288" t="s">
        <v>14669</v>
      </c>
      <c r="B4264" s="289" t="s">
        <v>14670</v>
      </c>
      <c r="C4264" s="288" t="s">
        <v>7079</v>
      </c>
      <c r="D4264" s="303">
        <v>3552.46</v>
      </c>
    </row>
    <row r="4265" spans="1:4" ht="18">
      <c r="A4265" s="288" t="s">
        <v>14671</v>
      </c>
      <c r="B4265" s="289" t="s">
        <v>14672</v>
      </c>
      <c r="C4265" s="288" t="s">
        <v>7079</v>
      </c>
      <c r="D4265" s="303">
        <v>8042.72</v>
      </c>
    </row>
    <row r="4266" spans="1:4" ht="27">
      <c r="A4266" s="288" t="s">
        <v>14673</v>
      </c>
      <c r="B4266" s="289" t="s">
        <v>14674</v>
      </c>
      <c r="C4266" s="288" t="s">
        <v>7079</v>
      </c>
      <c r="D4266" s="303">
        <v>6238.47</v>
      </c>
    </row>
    <row r="4267" spans="1:4" ht="18">
      <c r="A4267" s="288" t="s">
        <v>14675</v>
      </c>
      <c r="B4267" s="289" t="s">
        <v>14676</v>
      </c>
      <c r="C4267" s="288" t="s">
        <v>7079</v>
      </c>
      <c r="D4267" s="303">
        <v>3343.61</v>
      </c>
    </row>
    <row r="4268" spans="1:4" ht="27">
      <c r="A4268" s="288" t="s">
        <v>14677</v>
      </c>
      <c r="B4268" s="289" t="s">
        <v>14678</v>
      </c>
      <c r="C4268" s="288" t="s">
        <v>7079</v>
      </c>
      <c r="D4268" s="303">
        <v>4103.43</v>
      </c>
    </row>
    <row r="4269" spans="1:4" ht="27">
      <c r="A4269" s="288" t="s">
        <v>14679</v>
      </c>
      <c r="B4269" s="289" t="s">
        <v>14680</v>
      </c>
      <c r="C4269" s="288" t="s">
        <v>7079</v>
      </c>
      <c r="D4269" s="303">
        <v>4126.6099999999997</v>
      </c>
    </row>
    <row r="4270" spans="1:4" ht="18">
      <c r="A4270" s="288" t="s">
        <v>14681</v>
      </c>
      <c r="B4270" s="289" t="s">
        <v>14682</v>
      </c>
      <c r="C4270" s="288" t="s">
        <v>7079</v>
      </c>
      <c r="D4270" s="303">
        <v>4007.6</v>
      </c>
    </row>
    <row r="4271" spans="1:4" ht="18">
      <c r="A4271" s="288" t="s">
        <v>14683</v>
      </c>
      <c r="B4271" s="289" t="s">
        <v>14684</v>
      </c>
      <c r="C4271" s="288" t="s">
        <v>7079</v>
      </c>
      <c r="D4271" s="303">
        <v>5676.43</v>
      </c>
    </row>
    <row r="4272" spans="1:4" ht="27">
      <c r="A4272" s="288" t="s">
        <v>14685</v>
      </c>
      <c r="B4272" s="289" t="s">
        <v>14686</v>
      </c>
      <c r="C4272" s="288" t="s">
        <v>7079</v>
      </c>
      <c r="D4272" s="303">
        <v>7603.64</v>
      </c>
    </row>
    <row r="4273" spans="1:4" ht="18">
      <c r="A4273" s="288" t="s">
        <v>14687</v>
      </c>
      <c r="B4273" s="289" t="s">
        <v>14688</v>
      </c>
      <c r="C4273" s="288" t="s">
        <v>7079</v>
      </c>
      <c r="D4273" s="303">
        <v>3104.43</v>
      </c>
    </row>
    <row r="4274" spans="1:4">
      <c r="A4274" s="287" t="s">
        <v>14689</v>
      </c>
      <c r="B4274" s="287"/>
      <c r="C4274" s="287"/>
      <c r="D4274" s="296" t="s">
        <v>28729</v>
      </c>
    </row>
    <row r="4275" spans="1:4" ht="27">
      <c r="A4275" s="288" t="s">
        <v>14690</v>
      </c>
      <c r="B4275" s="289" t="s">
        <v>14691</v>
      </c>
      <c r="C4275" s="288" t="s">
        <v>7079</v>
      </c>
      <c r="D4275" s="303">
        <v>2596.2399999999998</v>
      </c>
    </row>
    <row r="4276" spans="1:4" ht="27">
      <c r="A4276" s="288" t="s">
        <v>14692</v>
      </c>
      <c r="B4276" s="289" t="s">
        <v>14693</v>
      </c>
      <c r="C4276" s="288" t="s">
        <v>7079</v>
      </c>
      <c r="D4276" s="303">
        <v>1718.47</v>
      </c>
    </row>
    <row r="4277" spans="1:4" ht="27">
      <c r="A4277" s="288" t="s">
        <v>14694</v>
      </c>
      <c r="B4277" s="289" t="s">
        <v>14695</v>
      </c>
      <c r="C4277" s="288" t="s">
        <v>12467</v>
      </c>
      <c r="D4277" s="303">
        <v>3360.36</v>
      </c>
    </row>
    <row r="4278" spans="1:4">
      <c r="A4278" s="288" t="s">
        <v>14696</v>
      </c>
      <c r="B4278" s="289" t="s">
        <v>14697</v>
      </c>
      <c r="C4278" s="288" t="s">
        <v>12467</v>
      </c>
      <c r="D4278" s="303">
        <v>143</v>
      </c>
    </row>
    <row r="4279" spans="1:4" ht="27">
      <c r="A4279" s="288" t="s">
        <v>14698</v>
      </c>
      <c r="B4279" s="289" t="s">
        <v>14699</v>
      </c>
      <c r="C4279" s="288" t="s">
        <v>12467</v>
      </c>
      <c r="D4279" s="303">
        <v>1223.75</v>
      </c>
    </row>
    <row r="4280" spans="1:4">
      <c r="A4280" s="288" t="s">
        <v>14700</v>
      </c>
      <c r="B4280" s="289" t="s">
        <v>14701</v>
      </c>
      <c r="C4280" s="288" t="s">
        <v>7079</v>
      </c>
      <c r="D4280" s="303">
        <v>129.94999999999999</v>
      </c>
    </row>
    <row r="4281" spans="1:4" ht="18">
      <c r="A4281" s="288" t="s">
        <v>14702</v>
      </c>
      <c r="B4281" s="289" t="s">
        <v>14703</v>
      </c>
      <c r="C4281" s="288" t="s">
        <v>12467</v>
      </c>
      <c r="D4281" s="303">
        <v>2028.07</v>
      </c>
    </row>
    <row r="4282" spans="1:4" ht="18">
      <c r="A4282" s="288" t="s">
        <v>14704</v>
      </c>
      <c r="B4282" s="289" t="s">
        <v>14705</v>
      </c>
      <c r="C4282" s="288" t="s">
        <v>12467</v>
      </c>
      <c r="D4282" s="303">
        <v>3519</v>
      </c>
    </row>
    <row r="4283" spans="1:4">
      <c r="A4283" s="287" t="s">
        <v>14706</v>
      </c>
      <c r="B4283" s="287"/>
      <c r="C4283" s="287"/>
      <c r="D4283" s="296" t="s">
        <v>28729</v>
      </c>
    </row>
    <row r="4284" spans="1:4" ht="63">
      <c r="A4284" s="288" t="s">
        <v>14707</v>
      </c>
      <c r="B4284" s="289" t="s">
        <v>14708</v>
      </c>
      <c r="C4284" s="288" t="s">
        <v>7079</v>
      </c>
      <c r="D4284" s="303">
        <v>434.86</v>
      </c>
    </row>
    <row r="4285" spans="1:4" ht="63">
      <c r="A4285" s="288" t="s">
        <v>14709</v>
      </c>
      <c r="B4285" s="289" t="s">
        <v>14710</v>
      </c>
      <c r="C4285" s="288" t="s">
        <v>7079</v>
      </c>
      <c r="D4285" s="303">
        <v>516</v>
      </c>
    </row>
    <row r="4286" spans="1:4" ht="63">
      <c r="A4286" s="288" t="s">
        <v>14711</v>
      </c>
      <c r="B4286" s="289" t="s">
        <v>14712</v>
      </c>
      <c r="C4286" s="288" t="s">
        <v>7079</v>
      </c>
      <c r="D4286" s="303">
        <v>558.03</v>
      </c>
    </row>
    <row r="4287" spans="1:4" ht="63">
      <c r="A4287" s="288" t="s">
        <v>14713</v>
      </c>
      <c r="B4287" s="289" t="s">
        <v>14714</v>
      </c>
      <c r="C4287" s="288" t="s">
        <v>7079</v>
      </c>
      <c r="D4287" s="303">
        <v>506.87</v>
      </c>
    </row>
    <row r="4288" spans="1:4">
      <c r="A4288" s="287" t="s">
        <v>14715</v>
      </c>
      <c r="B4288" s="287"/>
      <c r="C4288" s="287"/>
      <c r="D4288" s="296" t="s">
        <v>28729</v>
      </c>
    </row>
    <row r="4289" spans="1:4" ht="36">
      <c r="A4289" s="288" t="s">
        <v>14716</v>
      </c>
      <c r="B4289" s="289" t="s">
        <v>14717</v>
      </c>
      <c r="C4289" s="288" t="s">
        <v>7079</v>
      </c>
      <c r="D4289" s="303">
        <v>382.08</v>
      </c>
    </row>
    <row r="4290" spans="1:4" ht="45">
      <c r="A4290" s="288" t="s">
        <v>14718</v>
      </c>
      <c r="B4290" s="289" t="s">
        <v>14719</v>
      </c>
      <c r="C4290" s="288" t="s">
        <v>7079</v>
      </c>
      <c r="D4290" s="303">
        <v>634.33000000000004</v>
      </c>
    </row>
    <row r="4291" spans="1:4" ht="27">
      <c r="A4291" s="288" t="s">
        <v>14720</v>
      </c>
      <c r="B4291" s="289" t="s">
        <v>14721</v>
      </c>
      <c r="C4291" s="288" t="s">
        <v>7079</v>
      </c>
      <c r="D4291" s="303">
        <v>156.77000000000001</v>
      </c>
    </row>
    <row r="4292" spans="1:4" ht="18">
      <c r="A4292" s="288" t="s">
        <v>14722</v>
      </c>
      <c r="B4292" s="289" t="s">
        <v>14723</v>
      </c>
      <c r="C4292" s="288" t="s">
        <v>7079</v>
      </c>
      <c r="D4292" s="303">
        <v>98.66</v>
      </c>
    </row>
    <row r="4293" spans="1:4" ht="27">
      <c r="A4293" s="288" t="s">
        <v>14724</v>
      </c>
      <c r="B4293" s="289" t="s">
        <v>14725</v>
      </c>
      <c r="C4293" s="288" t="s">
        <v>7079</v>
      </c>
      <c r="D4293" s="303">
        <v>177.91</v>
      </c>
    </row>
    <row r="4294" spans="1:4" ht="36">
      <c r="A4294" s="288" t="s">
        <v>14726</v>
      </c>
      <c r="B4294" s="289" t="s">
        <v>14727</v>
      </c>
      <c r="C4294" s="288" t="s">
        <v>7079</v>
      </c>
      <c r="D4294" s="303">
        <v>404.94</v>
      </c>
    </row>
    <row r="4295" spans="1:4" ht="18">
      <c r="A4295" s="287" t="s">
        <v>14728</v>
      </c>
      <c r="B4295" s="287"/>
      <c r="C4295" s="287"/>
      <c r="D4295" s="296" t="s">
        <v>28729</v>
      </c>
    </row>
    <row r="4296" spans="1:4" ht="18">
      <c r="A4296" s="288" t="s">
        <v>14729</v>
      </c>
      <c r="B4296" s="289" t="s">
        <v>14730</v>
      </c>
      <c r="C4296" s="288" t="s">
        <v>38</v>
      </c>
      <c r="D4296" s="303">
        <v>127.2</v>
      </c>
    </row>
    <row r="4297" spans="1:4" ht="18">
      <c r="A4297" s="288" t="s">
        <v>14731</v>
      </c>
      <c r="B4297" s="289" t="s">
        <v>14732</v>
      </c>
      <c r="C4297" s="288" t="s">
        <v>11249</v>
      </c>
      <c r="D4297" s="303">
        <v>192.18</v>
      </c>
    </row>
    <row r="4298" spans="1:4" ht="27">
      <c r="A4298" s="288" t="s">
        <v>14733</v>
      </c>
      <c r="B4298" s="289" t="s">
        <v>14734</v>
      </c>
      <c r="C4298" s="288" t="s">
        <v>11249</v>
      </c>
      <c r="D4298" s="303">
        <v>141.94999999999999</v>
      </c>
    </row>
    <row r="4299" spans="1:4" ht="27">
      <c r="A4299" s="288" t="s">
        <v>14735</v>
      </c>
      <c r="B4299" s="289" t="s">
        <v>14736</v>
      </c>
      <c r="C4299" s="288" t="s">
        <v>11249</v>
      </c>
      <c r="D4299" s="303">
        <v>284.58</v>
      </c>
    </row>
    <row r="4300" spans="1:4" ht="27">
      <c r="A4300" s="288" t="s">
        <v>14737</v>
      </c>
      <c r="B4300" s="289" t="s">
        <v>14738</v>
      </c>
      <c r="C4300" s="288" t="s">
        <v>11249</v>
      </c>
      <c r="D4300" s="303">
        <v>1677.69</v>
      </c>
    </row>
    <row r="4301" spans="1:4" ht="27">
      <c r="A4301" s="288" t="s">
        <v>14739</v>
      </c>
      <c r="B4301" s="289" t="s">
        <v>14740</v>
      </c>
      <c r="C4301" s="288" t="s">
        <v>11249</v>
      </c>
      <c r="D4301" s="303">
        <v>1292.98</v>
      </c>
    </row>
    <row r="4302" spans="1:4" ht="27">
      <c r="A4302" s="288" t="s">
        <v>14741</v>
      </c>
      <c r="B4302" s="289" t="s">
        <v>14742</v>
      </c>
      <c r="C4302" s="288" t="s">
        <v>7079</v>
      </c>
      <c r="D4302" s="303">
        <v>129.31</v>
      </c>
    </row>
    <row r="4303" spans="1:4" ht="27">
      <c r="A4303" s="288" t="s">
        <v>14743</v>
      </c>
      <c r="B4303" s="289" t="s">
        <v>14744</v>
      </c>
      <c r="C4303" s="288" t="s">
        <v>11249</v>
      </c>
      <c r="D4303" s="303">
        <v>1470.04</v>
      </c>
    </row>
    <row r="4304" spans="1:4" ht="27">
      <c r="A4304" s="288" t="s">
        <v>14745</v>
      </c>
      <c r="B4304" s="289" t="s">
        <v>14746</v>
      </c>
      <c r="C4304" s="288" t="s">
        <v>7079</v>
      </c>
      <c r="D4304" s="303">
        <v>210.33</v>
      </c>
    </row>
    <row r="4305" spans="1:4" ht="45">
      <c r="A4305" s="288" t="s">
        <v>14747</v>
      </c>
      <c r="B4305" s="289" t="s">
        <v>14748</v>
      </c>
      <c r="C4305" s="288" t="s">
        <v>11249</v>
      </c>
      <c r="D4305" s="303">
        <v>733.43</v>
      </c>
    </row>
    <row r="4306" spans="1:4" ht="27">
      <c r="A4306" s="288" t="s">
        <v>14749</v>
      </c>
      <c r="B4306" s="289" t="s">
        <v>14750</v>
      </c>
      <c r="C4306" s="288" t="s">
        <v>54</v>
      </c>
      <c r="D4306" s="303">
        <v>70.52</v>
      </c>
    </row>
    <row r="4307" spans="1:4" ht="18">
      <c r="A4307" s="288" t="s">
        <v>14751</v>
      </c>
      <c r="B4307" s="289" t="s">
        <v>14752</v>
      </c>
      <c r="C4307" s="288" t="s">
        <v>11249</v>
      </c>
      <c r="D4307" s="303">
        <v>986.94</v>
      </c>
    </row>
    <row r="4308" spans="1:4" ht="27">
      <c r="A4308" s="288" t="s">
        <v>14753</v>
      </c>
      <c r="B4308" s="289" t="s">
        <v>14754</v>
      </c>
      <c r="C4308" s="288" t="s">
        <v>7079</v>
      </c>
      <c r="D4308" s="303">
        <v>130.41</v>
      </c>
    </row>
    <row r="4309" spans="1:4" ht="18">
      <c r="A4309" s="288" t="s">
        <v>14755</v>
      </c>
      <c r="B4309" s="289" t="s">
        <v>14756</v>
      </c>
      <c r="C4309" s="288" t="s">
        <v>11249</v>
      </c>
      <c r="D4309" s="303">
        <v>241.36</v>
      </c>
    </row>
    <row r="4310" spans="1:4" ht="18">
      <c r="A4310" s="288" t="s">
        <v>14757</v>
      </c>
      <c r="B4310" s="289" t="s">
        <v>14758</v>
      </c>
      <c r="C4310" s="288" t="s">
        <v>11249</v>
      </c>
      <c r="D4310" s="303">
        <v>991.44</v>
      </c>
    </row>
    <row r="4311" spans="1:4" ht="18">
      <c r="A4311" s="288" t="s">
        <v>14759</v>
      </c>
      <c r="B4311" s="289" t="s">
        <v>14760</v>
      </c>
      <c r="C4311" s="288" t="s">
        <v>11249</v>
      </c>
      <c r="D4311" s="303">
        <v>664.34</v>
      </c>
    </row>
    <row r="4312" spans="1:4" ht="18">
      <c r="A4312" s="288" t="s">
        <v>14761</v>
      </c>
      <c r="B4312" s="289" t="s">
        <v>14762</v>
      </c>
      <c r="C4312" s="288" t="s">
        <v>11249</v>
      </c>
      <c r="D4312" s="303">
        <v>886.01</v>
      </c>
    </row>
    <row r="4313" spans="1:4" ht="18">
      <c r="A4313" s="288" t="s">
        <v>14763</v>
      </c>
      <c r="B4313" s="289" t="s">
        <v>14764</v>
      </c>
      <c r="C4313" s="288" t="s">
        <v>54</v>
      </c>
      <c r="D4313" s="303">
        <v>182.56</v>
      </c>
    </row>
    <row r="4314" spans="1:4" ht="18">
      <c r="A4314" s="288" t="s">
        <v>14765</v>
      </c>
      <c r="B4314" s="289" t="s">
        <v>14766</v>
      </c>
      <c r="C4314" s="288" t="s">
        <v>7079</v>
      </c>
      <c r="D4314" s="303">
        <v>96.31</v>
      </c>
    </row>
    <row r="4315" spans="1:4" ht="18">
      <c r="A4315" s="288" t="s">
        <v>14767</v>
      </c>
      <c r="B4315" s="289" t="s">
        <v>14768</v>
      </c>
      <c r="C4315" s="288" t="s">
        <v>11249</v>
      </c>
      <c r="D4315" s="303">
        <v>129.22999999999999</v>
      </c>
    </row>
    <row r="4316" spans="1:4" ht="18">
      <c r="A4316" s="288" t="s">
        <v>14769</v>
      </c>
      <c r="B4316" s="289" t="s">
        <v>14770</v>
      </c>
      <c r="C4316" s="288" t="s">
        <v>11249</v>
      </c>
      <c r="D4316" s="303">
        <v>358.81</v>
      </c>
    </row>
    <row r="4317" spans="1:4" ht="27">
      <c r="A4317" s="288" t="s">
        <v>14771</v>
      </c>
      <c r="B4317" s="289" t="s">
        <v>14772</v>
      </c>
      <c r="C4317" s="288" t="s">
        <v>7079</v>
      </c>
      <c r="D4317" s="303">
        <v>286.64</v>
      </c>
    </row>
    <row r="4318" spans="1:4" ht="18">
      <c r="A4318" s="288" t="s">
        <v>14773</v>
      </c>
      <c r="B4318" s="289" t="s">
        <v>14774</v>
      </c>
      <c r="C4318" s="288" t="s">
        <v>54</v>
      </c>
      <c r="D4318" s="303">
        <v>108.54</v>
      </c>
    </row>
    <row r="4319" spans="1:4" ht="18">
      <c r="A4319" s="288" t="s">
        <v>14775</v>
      </c>
      <c r="B4319" s="289" t="s">
        <v>14776</v>
      </c>
      <c r="C4319" s="288" t="s">
        <v>7079</v>
      </c>
      <c r="D4319" s="303">
        <v>243.94</v>
      </c>
    </row>
    <row r="4320" spans="1:4" ht="27">
      <c r="A4320" s="288" t="s">
        <v>14777</v>
      </c>
      <c r="B4320" s="289" t="s">
        <v>14778</v>
      </c>
      <c r="C4320" s="288" t="s">
        <v>11249</v>
      </c>
      <c r="D4320" s="303">
        <v>279.5</v>
      </c>
    </row>
    <row r="4321" spans="1:4" ht="27">
      <c r="A4321" s="288" t="s">
        <v>14779</v>
      </c>
      <c r="B4321" s="289" t="s">
        <v>14780</v>
      </c>
      <c r="C4321" s="288" t="s">
        <v>54</v>
      </c>
      <c r="D4321" s="303">
        <v>71.64</v>
      </c>
    </row>
    <row r="4322" spans="1:4" ht="18">
      <c r="A4322" s="288" t="s">
        <v>14781</v>
      </c>
      <c r="B4322" s="289" t="s">
        <v>14782</v>
      </c>
      <c r="C4322" s="288" t="s">
        <v>54</v>
      </c>
      <c r="D4322" s="303">
        <v>27.59</v>
      </c>
    </row>
    <row r="4323" spans="1:4" ht="27">
      <c r="A4323" s="288" t="s">
        <v>14783</v>
      </c>
      <c r="B4323" s="289" t="s">
        <v>14784</v>
      </c>
      <c r="C4323" s="288" t="s">
        <v>7079</v>
      </c>
      <c r="D4323" s="303">
        <v>101.12</v>
      </c>
    </row>
    <row r="4324" spans="1:4" ht="27">
      <c r="A4324" s="288" t="s">
        <v>14785</v>
      </c>
      <c r="B4324" s="289" t="s">
        <v>14786</v>
      </c>
      <c r="C4324" s="288" t="s">
        <v>54</v>
      </c>
      <c r="D4324" s="303">
        <v>96.9</v>
      </c>
    </row>
    <row r="4325" spans="1:4" ht="18">
      <c r="A4325" s="288" t="s">
        <v>14787</v>
      </c>
      <c r="B4325" s="289" t="s">
        <v>14788</v>
      </c>
      <c r="C4325" s="288" t="s">
        <v>7079</v>
      </c>
      <c r="D4325" s="303">
        <v>566.58000000000004</v>
      </c>
    </row>
    <row r="4326" spans="1:4" ht="27">
      <c r="A4326" s="288" t="s">
        <v>14789</v>
      </c>
      <c r="B4326" s="289" t="s">
        <v>14790</v>
      </c>
      <c r="C4326" s="288" t="s">
        <v>7079</v>
      </c>
      <c r="D4326" s="303">
        <v>521.67999999999995</v>
      </c>
    </row>
    <row r="4327" spans="1:4" ht="27">
      <c r="A4327" s="288" t="s">
        <v>14791</v>
      </c>
      <c r="B4327" s="289" t="s">
        <v>14792</v>
      </c>
      <c r="C4327" s="288" t="s">
        <v>7079</v>
      </c>
      <c r="D4327" s="303">
        <v>369.16</v>
      </c>
    </row>
    <row r="4328" spans="1:4" ht="27">
      <c r="A4328" s="288" t="s">
        <v>14793</v>
      </c>
      <c r="B4328" s="289" t="s">
        <v>14794</v>
      </c>
      <c r="C4328" s="288" t="s">
        <v>11249</v>
      </c>
      <c r="D4328" s="303">
        <v>427.08</v>
      </c>
    </row>
    <row r="4329" spans="1:4">
      <c r="A4329" s="290"/>
      <c r="B4329" s="290"/>
      <c r="C4329" s="290"/>
      <c r="D4329" s="298"/>
    </row>
    <row r="4330" spans="1:4">
      <c r="A4330" s="287" t="s">
        <v>14795</v>
      </c>
      <c r="B4330" s="287"/>
      <c r="C4330" s="287"/>
      <c r="D4330" s="296" t="s">
        <v>28729</v>
      </c>
    </row>
    <row r="4331" spans="1:4" ht="18">
      <c r="A4331" s="288" t="s">
        <v>14796</v>
      </c>
      <c r="B4331" s="289" t="s">
        <v>14797</v>
      </c>
      <c r="C4331" s="288" t="s">
        <v>7079</v>
      </c>
      <c r="D4331" s="303">
        <v>13</v>
      </c>
    </row>
    <row r="4332" spans="1:4" ht="27">
      <c r="A4332" s="288" t="s">
        <v>14798</v>
      </c>
      <c r="B4332" s="289" t="s">
        <v>14799</v>
      </c>
      <c r="C4332" s="288" t="s">
        <v>7079</v>
      </c>
      <c r="D4332" s="303">
        <v>3.34</v>
      </c>
    </row>
    <row r="4333" spans="1:4">
      <c r="A4333" s="288" t="s">
        <v>14800</v>
      </c>
      <c r="B4333" s="289" t="s">
        <v>14801</v>
      </c>
      <c r="C4333" s="288" t="s">
        <v>7079</v>
      </c>
      <c r="D4333" s="303">
        <v>1.92</v>
      </c>
    </row>
    <row r="4334" spans="1:4" ht="18">
      <c r="A4334" s="288" t="s">
        <v>14802</v>
      </c>
      <c r="B4334" s="289" t="s">
        <v>14803</v>
      </c>
      <c r="C4334" s="288" t="s">
        <v>7079</v>
      </c>
      <c r="D4334" s="303">
        <v>25.61</v>
      </c>
    </row>
    <row r="4335" spans="1:4" ht="27">
      <c r="A4335" s="288" t="s">
        <v>14804</v>
      </c>
      <c r="B4335" s="289" t="s">
        <v>14805</v>
      </c>
      <c r="C4335" s="288" t="s">
        <v>7079</v>
      </c>
      <c r="D4335" s="303">
        <v>10.37</v>
      </c>
    </row>
    <row r="4336" spans="1:4" ht="27">
      <c r="A4336" s="288" t="s">
        <v>14806</v>
      </c>
      <c r="B4336" s="289" t="s">
        <v>14807</v>
      </c>
      <c r="C4336" s="288" t="s">
        <v>7079</v>
      </c>
      <c r="D4336" s="303">
        <v>15.26</v>
      </c>
    </row>
    <row r="4337" spans="1:4" ht="27">
      <c r="A4337" s="288" t="s">
        <v>14808</v>
      </c>
      <c r="B4337" s="289" t="s">
        <v>14809</v>
      </c>
      <c r="C4337" s="288" t="s">
        <v>7079</v>
      </c>
      <c r="D4337" s="303">
        <v>22.68</v>
      </c>
    </row>
    <row r="4338" spans="1:4" ht="27">
      <c r="A4338" s="288" t="s">
        <v>14810</v>
      </c>
      <c r="B4338" s="289" t="s">
        <v>14811</v>
      </c>
      <c r="C4338" s="288" t="s">
        <v>7079</v>
      </c>
      <c r="D4338" s="303">
        <v>24.11</v>
      </c>
    </row>
    <row r="4339" spans="1:4" ht="27">
      <c r="A4339" s="288" t="s">
        <v>14812</v>
      </c>
      <c r="B4339" s="289" t="s">
        <v>14813</v>
      </c>
      <c r="C4339" s="288" t="s">
        <v>7079</v>
      </c>
      <c r="D4339" s="303">
        <v>45.24</v>
      </c>
    </row>
    <row r="4340" spans="1:4" ht="27">
      <c r="A4340" s="288" t="s">
        <v>14814</v>
      </c>
      <c r="B4340" s="289" t="s">
        <v>14815</v>
      </c>
      <c r="C4340" s="288" t="s">
        <v>7079</v>
      </c>
      <c r="D4340" s="303">
        <v>56.55</v>
      </c>
    </row>
    <row r="4341" spans="1:4" ht="27">
      <c r="A4341" s="288" t="s">
        <v>14816</v>
      </c>
      <c r="B4341" s="289" t="s">
        <v>14817</v>
      </c>
      <c r="C4341" s="288" t="s">
        <v>7079</v>
      </c>
      <c r="D4341" s="303">
        <v>134.59</v>
      </c>
    </row>
    <row r="4342" spans="1:4" ht="27">
      <c r="A4342" s="288" t="s">
        <v>14818</v>
      </c>
      <c r="B4342" s="289" t="s">
        <v>14819</v>
      </c>
      <c r="C4342" s="288" t="s">
        <v>7079</v>
      </c>
      <c r="D4342" s="303">
        <v>6.7</v>
      </c>
    </row>
    <row r="4343" spans="1:4" ht="27">
      <c r="A4343" s="288" t="s">
        <v>14820</v>
      </c>
      <c r="B4343" s="289" t="s">
        <v>14821</v>
      </c>
      <c r="C4343" s="288" t="s">
        <v>7079</v>
      </c>
      <c r="D4343" s="303">
        <v>10.36</v>
      </c>
    </row>
    <row r="4344" spans="1:4" ht="27">
      <c r="A4344" s="288" t="s">
        <v>14822</v>
      </c>
      <c r="B4344" s="289" t="s">
        <v>14823</v>
      </c>
      <c r="C4344" s="288" t="s">
        <v>7079</v>
      </c>
      <c r="D4344" s="303">
        <v>33.43</v>
      </c>
    </row>
    <row r="4345" spans="1:4">
      <c r="A4345" s="288" t="s">
        <v>14824</v>
      </c>
      <c r="B4345" s="289" t="s">
        <v>14825</v>
      </c>
      <c r="C4345" s="288" t="s">
        <v>47</v>
      </c>
      <c r="D4345" s="303">
        <v>12.24</v>
      </c>
    </row>
    <row r="4346" spans="1:4" ht="18">
      <c r="A4346" s="288" t="s">
        <v>14826</v>
      </c>
      <c r="B4346" s="289" t="s">
        <v>14827</v>
      </c>
      <c r="C4346" s="288" t="s">
        <v>7079</v>
      </c>
      <c r="D4346" s="303">
        <v>8.85</v>
      </c>
    </row>
    <row r="4347" spans="1:4">
      <c r="A4347" s="288" t="s">
        <v>14828</v>
      </c>
      <c r="B4347" s="289" t="s">
        <v>14829</v>
      </c>
      <c r="C4347" s="288" t="s">
        <v>7079</v>
      </c>
      <c r="D4347" s="303">
        <v>4.8</v>
      </c>
    </row>
    <row r="4348" spans="1:4" ht="18">
      <c r="A4348" s="288" t="s">
        <v>14830</v>
      </c>
      <c r="B4348" s="289" t="s">
        <v>14831</v>
      </c>
      <c r="C4348" s="288" t="s">
        <v>7079</v>
      </c>
      <c r="D4348" s="303">
        <v>8.7100000000000009</v>
      </c>
    </row>
    <row r="4349" spans="1:4" ht="18">
      <c r="A4349" s="288" t="s">
        <v>14832</v>
      </c>
      <c r="B4349" s="289" t="s">
        <v>14833</v>
      </c>
      <c r="C4349" s="288" t="s">
        <v>10941</v>
      </c>
      <c r="D4349" s="303">
        <v>21.9</v>
      </c>
    </row>
    <row r="4350" spans="1:4" ht="18">
      <c r="A4350" s="288" t="s">
        <v>14834</v>
      </c>
      <c r="B4350" s="289" t="s">
        <v>14835</v>
      </c>
      <c r="C4350" s="288" t="s">
        <v>10941</v>
      </c>
      <c r="D4350" s="303">
        <v>21.9</v>
      </c>
    </row>
    <row r="4351" spans="1:4" ht="18">
      <c r="A4351" s="288" t="s">
        <v>14836</v>
      </c>
      <c r="B4351" s="289" t="s">
        <v>14837</v>
      </c>
      <c r="C4351" s="288" t="s">
        <v>10941</v>
      </c>
      <c r="D4351" s="303">
        <v>21.9</v>
      </c>
    </row>
    <row r="4352" spans="1:4" ht="27">
      <c r="A4352" s="288" t="s">
        <v>14838</v>
      </c>
      <c r="B4352" s="289" t="s">
        <v>14839</v>
      </c>
      <c r="C4352" s="288" t="s">
        <v>7079</v>
      </c>
      <c r="D4352" s="303">
        <v>126</v>
      </c>
    </row>
    <row r="4353" spans="1:4">
      <c r="A4353" s="290"/>
      <c r="B4353" s="290"/>
      <c r="C4353" s="290"/>
      <c r="D4353" s="298"/>
    </row>
    <row r="4354" spans="1:4">
      <c r="A4354" s="287" t="s">
        <v>14840</v>
      </c>
      <c r="B4354" s="287"/>
      <c r="C4354" s="287"/>
      <c r="D4354" s="296" t="s">
        <v>28729</v>
      </c>
    </row>
    <row r="4355" spans="1:4" ht="18">
      <c r="A4355" s="288" t="s">
        <v>14841</v>
      </c>
      <c r="B4355" s="289" t="s">
        <v>14842</v>
      </c>
      <c r="C4355" s="288" t="s">
        <v>7079</v>
      </c>
      <c r="D4355" s="303">
        <v>1.75</v>
      </c>
    </row>
    <row r="4356" spans="1:4" ht="18">
      <c r="A4356" s="288" t="s">
        <v>14843</v>
      </c>
      <c r="B4356" s="289" t="s">
        <v>14844</v>
      </c>
      <c r="C4356" s="288" t="s">
        <v>7079</v>
      </c>
      <c r="D4356" s="303">
        <v>0.55000000000000004</v>
      </c>
    </row>
    <row r="4357" spans="1:4" ht="18">
      <c r="A4357" s="288" t="s">
        <v>14845</v>
      </c>
      <c r="B4357" s="289" t="s">
        <v>14846</v>
      </c>
      <c r="C4357" s="288" t="s">
        <v>7079</v>
      </c>
      <c r="D4357" s="303">
        <v>1.35</v>
      </c>
    </row>
    <row r="4358" spans="1:4" ht="18">
      <c r="A4358" s="288" t="s">
        <v>14847</v>
      </c>
      <c r="B4358" s="289" t="s">
        <v>14848</v>
      </c>
      <c r="C4358" s="288" t="s">
        <v>7079</v>
      </c>
      <c r="D4358" s="303">
        <v>0.77</v>
      </c>
    </row>
    <row r="4359" spans="1:4" ht="18">
      <c r="A4359" s="288" t="s">
        <v>14849</v>
      </c>
      <c r="B4359" s="289" t="s">
        <v>14850</v>
      </c>
      <c r="C4359" s="288" t="s">
        <v>7079</v>
      </c>
      <c r="D4359" s="303">
        <v>1.97</v>
      </c>
    </row>
    <row r="4360" spans="1:4" ht="27">
      <c r="A4360" s="288" t="s">
        <v>14851</v>
      </c>
      <c r="B4360" s="289" t="s">
        <v>14852</v>
      </c>
      <c r="C4360" s="288" t="s">
        <v>7079</v>
      </c>
      <c r="D4360" s="303">
        <v>0.96</v>
      </c>
    </row>
    <row r="4361" spans="1:4" ht="18">
      <c r="A4361" s="288" t="s">
        <v>14853</v>
      </c>
      <c r="B4361" s="289" t="s">
        <v>14854</v>
      </c>
      <c r="C4361" s="288" t="s">
        <v>38</v>
      </c>
      <c r="D4361" s="303">
        <v>0.79</v>
      </c>
    </row>
    <row r="4362" spans="1:4" ht="18">
      <c r="A4362" s="288" t="s">
        <v>14855</v>
      </c>
      <c r="B4362" s="289" t="s">
        <v>14856</v>
      </c>
      <c r="C4362" s="288" t="s">
        <v>38</v>
      </c>
      <c r="D4362" s="303">
        <v>0.56999999999999995</v>
      </c>
    </row>
    <row r="4363" spans="1:4" ht="18">
      <c r="A4363" s="288" t="s">
        <v>14857</v>
      </c>
      <c r="B4363" s="289" t="s">
        <v>14858</v>
      </c>
      <c r="C4363" s="288" t="s">
        <v>38</v>
      </c>
      <c r="D4363" s="303">
        <v>0.59</v>
      </c>
    </row>
    <row r="4364" spans="1:4" ht="18">
      <c r="A4364" s="288" t="s">
        <v>14859</v>
      </c>
      <c r="B4364" s="289" t="s">
        <v>14860</v>
      </c>
      <c r="C4364" s="288" t="s">
        <v>38</v>
      </c>
      <c r="D4364" s="303">
        <v>0.48</v>
      </c>
    </row>
    <row r="4365" spans="1:4">
      <c r="A4365" s="288" t="s">
        <v>14861</v>
      </c>
      <c r="B4365" s="289" t="s">
        <v>14862</v>
      </c>
      <c r="C4365" s="288" t="s">
        <v>38</v>
      </c>
      <c r="D4365" s="303">
        <v>0.31</v>
      </c>
    </row>
    <row r="4366" spans="1:4" ht="27">
      <c r="A4366" s="288" t="s">
        <v>14863</v>
      </c>
      <c r="B4366" s="289" t="s">
        <v>14864</v>
      </c>
      <c r="C4366" s="288" t="s">
        <v>38</v>
      </c>
      <c r="D4366" s="303">
        <v>15.67</v>
      </c>
    </row>
    <row r="4367" spans="1:4" ht="18">
      <c r="A4367" s="288" t="s">
        <v>14865</v>
      </c>
      <c r="B4367" s="289" t="s">
        <v>14866</v>
      </c>
      <c r="C4367" s="288" t="s">
        <v>7079</v>
      </c>
      <c r="D4367" s="303">
        <v>2</v>
      </c>
    </row>
    <row r="4368" spans="1:4" ht="18">
      <c r="A4368" s="288" t="s">
        <v>14867</v>
      </c>
      <c r="B4368" s="289" t="s">
        <v>14868</v>
      </c>
      <c r="C4368" s="288" t="s">
        <v>7079</v>
      </c>
      <c r="D4368" s="303">
        <v>0.68</v>
      </c>
    </row>
    <row r="4369" spans="1:4" ht="18">
      <c r="A4369" s="288" t="s">
        <v>14869</v>
      </c>
      <c r="B4369" s="289" t="s">
        <v>14870</v>
      </c>
      <c r="C4369" s="288" t="s">
        <v>7079</v>
      </c>
      <c r="D4369" s="303">
        <v>0.19</v>
      </c>
    </row>
    <row r="4370" spans="1:4" ht="18">
      <c r="A4370" s="288" t="s">
        <v>14871</v>
      </c>
      <c r="B4370" s="289" t="s">
        <v>14872</v>
      </c>
      <c r="C4370" s="288" t="s">
        <v>7079</v>
      </c>
      <c r="D4370" s="303">
        <v>2.31</v>
      </c>
    </row>
    <row r="4371" spans="1:4" ht="18">
      <c r="A4371" s="288" t="s">
        <v>14873</v>
      </c>
      <c r="B4371" s="289" t="s">
        <v>14874</v>
      </c>
      <c r="C4371" s="288" t="s">
        <v>7079</v>
      </c>
      <c r="D4371" s="303">
        <v>4.3099999999999996</v>
      </c>
    </row>
    <row r="4372" spans="1:4" ht="18">
      <c r="A4372" s="288" t="s">
        <v>14875</v>
      </c>
      <c r="B4372" s="289" t="s">
        <v>14876</v>
      </c>
      <c r="C4372" s="288" t="s">
        <v>7079</v>
      </c>
      <c r="D4372" s="303">
        <v>0.89</v>
      </c>
    </row>
    <row r="4373" spans="1:4">
      <c r="A4373" s="288" t="s">
        <v>14877</v>
      </c>
      <c r="B4373" s="289" t="s">
        <v>14878</v>
      </c>
      <c r="C4373" s="288" t="s">
        <v>7079</v>
      </c>
      <c r="D4373" s="303">
        <v>3.7</v>
      </c>
    </row>
    <row r="4374" spans="1:4">
      <c r="A4374" s="288" t="s">
        <v>14879</v>
      </c>
      <c r="B4374" s="289" t="s">
        <v>14880</v>
      </c>
      <c r="C4374" s="288" t="s">
        <v>7079</v>
      </c>
      <c r="D4374" s="303">
        <v>4</v>
      </c>
    </row>
    <row r="4375" spans="1:4">
      <c r="A4375" s="288" t="s">
        <v>14881</v>
      </c>
      <c r="B4375" s="289" t="s">
        <v>14882</v>
      </c>
      <c r="C4375" s="288" t="s">
        <v>7079</v>
      </c>
      <c r="D4375" s="303">
        <v>12</v>
      </c>
    </row>
    <row r="4376" spans="1:4">
      <c r="A4376" s="288" t="s">
        <v>14883</v>
      </c>
      <c r="B4376" s="289" t="s">
        <v>14884</v>
      </c>
      <c r="C4376" s="288" t="s">
        <v>7079</v>
      </c>
      <c r="D4376" s="303">
        <v>17</v>
      </c>
    </row>
    <row r="4377" spans="1:4">
      <c r="A4377" s="290"/>
      <c r="B4377" s="290"/>
      <c r="C4377" s="290"/>
      <c r="D4377" s="298"/>
    </row>
    <row r="4378" spans="1:4" ht="27">
      <c r="A4378" s="287" t="s">
        <v>14885</v>
      </c>
      <c r="B4378" s="287"/>
      <c r="C4378" s="287"/>
      <c r="D4378" s="296" t="s">
        <v>28729</v>
      </c>
    </row>
    <row r="4379" spans="1:4">
      <c r="A4379" s="288" t="s">
        <v>14886</v>
      </c>
      <c r="B4379" s="289" t="s">
        <v>14887</v>
      </c>
      <c r="C4379" s="288" t="s">
        <v>7079</v>
      </c>
      <c r="D4379" s="303">
        <v>14.83</v>
      </c>
    </row>
    <row r="4380" spans="1:4" ht="18">
      <c r="A4380" s="288" t="s">
        <v>14888</v>
      </c>
      <c r="B4380" s="289" t="s">
        <v>14889</v>
      </c>
      <c r="C4380" s="288" t="s">
        <v>7079</v>
      </c>
      <c r="D4380" s="303">
        <v>111.49</v>
      </c>
    </row>
    <row r="4381" spans="1:4" ht="18">
      <c r="A4381" s="288" t="s">
        <v>14890</v>
      </c>
      <c r="B4381" s="289" t="s">
        <v>14891</v>
      </c>
      <c r="C4381" s="288" t="s">
        <v>7079</v>
      </c>
      <c r="D4381" s="303">
        <v>224.24</v>
      </c>
    </row>
    <row r="4382" spans="1:4" ht="18">
      <c r="A4382" s="288" t="s">
        <v>14892</v>
      </c>
      <c r="B4382" s="289" t="s">
        <v>14893</v>
      </c>
      <c r="C4382" s="288" t="s">
        <v>7079</v>
      </c>
      <c r="D4382" s="303">
        <v>402.08</v>
      </c>
    </row>
    <row r="4383" spans="1:4" ht="18">
      <c r="A4383" s="288" t="s">
        <v>14894</v>
      </c>
      <c r="B4383" s="289" t="s">
        <v>14895</v>
      </c>
      <c r="C4383" s="288" t="s">
        <v>7079</v>
      </c>
      <c r="D4383" s="303">
        <v>30.71</v>
      </c>
    </row>
    <row r="4384" spans="1:4" ht="18">
      <c r="A4384" s="288" t="s">
        <v>14896</v>
      </c>
      <c r="B4384" s="289" t="s">
        <v>14897</v>
      </c>
      <c r="C4384" s="288" t="s">
        <v>7079</v>
      </c>
      <c r="D4384" s="303">
        <v>119.78</v>
      </c>
    </row>
    <row r="4385" spans="1:4" ht="18">
      <c r="A4385" s="288" t="s">
        <v>14898</v>
      </c>
      <c r="B4385" s="289" t="s">
        <v>14899</v>
      </c>
      <c r="C4385" s="288" t="s">
        <v>7079</v>
      </c>
      <c r="D4385" s="303">
        <v>298.57</v>
      </c>
    </row>
    <row r="4386" spans="1:4" ht="18">
      <c r="A4386" s="288" t="s">
        <v>14900</v>
      </c>
      <c r="B4386" s="289" t="s">
        <v>14901</v>
      </c>
      <c r="C4386" s="288" t="s">
        <v>7079</v>
      </c>
      <c r="D4386" s="303">
        <v>596.74</v>
      </c>
    </row>
    <row r="4387" spans="1:4" ht="18">
      <c r="A4387" s="288" t="s">
        <v>14902</v>
      </c>
      <c r="B4387" s="289" t="s">
        <v>14903</v>
      </c>
      <c r="C4387" s="288" t="s">
        <v>7079</v>
      </c>
      <c r="D4387" s="303">
        <v>239.35</v>
      </c>
    </row>
    <row r="4388" spans="1:4" ht="45">
      <c r="A4388" s="288" t="s">
        <v>14904</v>
      </c>
      <c r="B4388" s="289" t="s">
        <v>14905</v>
      </c>
      <c r="C4388" s="288" t="s">
        <v>7079</v>
      </c>
      <c r="D4388" s="303">
        <v>642.62</v>
      </c>
    </row>
    <row r="4389" spans="1:4" ht="45">
      <c r="A4389" s="288" t="s">
        <v>14906</v>
      </c>
      <c r="B4389" s="289" t="s">
        <v>14907</v>
      </c>
      <c r="C4389" s="288" t="s">
        <v>7079</v>
      </c>
      <c r="D4389" s="303">
        <v>823.99</v>
      </c>
    </row>
    <row r="4390" spans="1:4" ht="45">
      <c r="A4390" s="288" t="s">
        <v>14908</v>
      </c>
      <c r="B4390" s="289" t="s">
        <v>14909</v>
      </c>
      <c r="C4390" s="288" t="s">
        <v>7079</v>
      </c>
      <c r="D4390" s="303">
        <v>1186.73</v>
      </c>
    </row>
    <row r="4391" spans="1:4" ht="45">
      <c r="A4391" s="288" t="s">
        <v>14910</v>
      </c>
      <c r="B4391" s="289" t="s">
        <v>14911</v>
      </c>
      <c r="C4391" s="288" t="s">
        <v>7079</v>
      </c>
      <c r="D4391" s="303">
        <v>1879.96</v>
      </c>
    </row>
    <row r="4392" spans="1:4" ht="45">
      <c r="A4392" s="288" t="s">
        <v>14912</v>
      </c>
      <c r="B4392" s="289" t="s">
        <v>14913</v>
      </c>
      <c r="C4392" s="288" t="s">
        <v>7079</v>
      </c>
      <c r="D4392" s="303">
        <v>3152.49</v>
      </c>
    </row>
    <row r="4393" spans="1:4" ht="18">
      <c r="A4393" s="287" t="s">
        <v>14914</v>
      </c>
      <c r="B4393" s="287"/>
      <c r="C4393" s="287"/>
      <c r="D4393" s="296" t="s">
        <v>28729</v>
      </c>
    </row>
    <row r="4394" spans="1:4">
      <c r="A4394" s="288" t="s">
        <v>14915</v>
      </c>
      <c r="B4394" s="289" t="s">
        <v>14916</v>
      </c>
      <c r="C4394" s="288" t="s">
        <v>7079</v>
      </c>
      <c r="D4394" s="303">
        <v>78.239999999999995</v>
      </c>
    </row>
    <row r="4395" spans="1:4" ht="18">
      <c r="A4395" s="288" t="s">
        <v>14917</v>
      </c>
      <c r="B4395" s="289" t="s">
        <v>14918</v>
      </c>
      <c r="C4395" s="288" t="s">
        <v>7079</v>
      </c>
      <c r="D4395" s="303">
        <v>2.25</v>
      </c>
    </row>
    <row r="4396" spans="1:4">
      <c r="A4396" s="288" t="s">
        <v>14919</v>
      </c>
      <c r="B4396" s="289" t="s">
        <v>14920</v>
      </c>
      <c r="C4396" s="288" t="s">
        <v>7079</v>
      </c>
      <c r="D4396" s="303">
        <v>282.27999999999997</v>
      </c>
    </row>
    <row r="4397" spans="1:4">
      <c r="A4397" s="288" t="s">
        <v>14921</v>
      </c>
      <c r="B4397" s="289" t="s">
        <v>14922</v>
      </c>
      <c r="C4397" s="288" t="s">
        <v>7079</v>
      </c>
      <c r="D4397" s="303">
        <v>843.27</v>
      </c>
    </row>
    <row r="4398" spans="1:4">
      <c r="A4398" s="288" t="s">
        <v>14923</v>
      </c>
      <c r="B4398" s="289" t="s">
        <v>14924</v>
      </c>
      <c r="C4398" s="288" t="s">
        <v>7079</v>
      </c>
      <c r="D4398" s="303">
        <v>38.020000000000003</v>
      </c>
    </row>
    <row r="4399" spans="1:4">
      <c r="A4399" s="288" t="s">
        <v>14925</v>
      </c>
      <c r="B4399" s="289" t="s">
        <v>14926</v>
      </c>
      <c r="C4399" s="288" t="s">
        <v>7079</v>
      </c>
      <c r="D4399" s="303">
        <v>27.03</v>
      </c>
    </row>
    <row r="4400" spans="1:4" ht="45">
      <c r="A4400" s="288" t="s">
        <v>14927</v>
      </c>
      <c r="B4400" s="289" t="s">
        <v>14928</v>
      </c>
      <c r="C4400" s="288" t="s">
        <v>7079</v>
      </c>
      <c r="D4400" s="303">
        <v>182.05</v>
      </c>
    </row>
    <row r="4401" spans="1:4" ht="45">
      <c r="A4401" s="288" t="s">
        <v>14929</v>
      </c>
      <c r="B4401" s="289" t="s">
        <v>14930</v>
      </c>
      <c r="C4401" s="288" t="s">
        <v>7079</v>
      </c>
      <c r="D4401" s="303">
        <v>143.31</v>
      </c>
    </row>
    <row r="4402" spans="1:4" ht="45">
      <c r="A4402" s="288" t="s">
        <v>14931</v>
      </c>
      <c r="B4402" s="289" t="s">
        <v>14932</v>
      </c>
      <c r="C4402" s="288" t="s">
        <v>7079</v>
      </c>
      <c r="D4402" s="303">
        <v>2220.6</v>
      </c>
    </row>
    <row r="4403" spans="1:4" ht="27">
      <c r="A4403" s="288" t="s">
        <v>14933</v>
      </c>
      <c r="B4403" s="289" t="s">
        <v>14934</v>
      </c>
      <c r="C4403" s="288" t="s">
        <v>7079</v>
      </c>
      <c r="D4403" s="303">
        <v>55.83</v>
      </c>
    </row>
    <row r="4404" spans="1:4">
      <c r="A4404" s="290"/>
      <c r="B4404" s="290"/>
      <c r="C4404" s="290"/>
      <c r="D4404" s="298"/>
    </row>
    <row r="4405" spans="1:4">
      <c r="A4405" s="287" t="s">
        <v>14935</v>
      </c>
      <c r="B4405" s="287"/>
      <c r="C4405" s="287"/>
      <c r="D4405" s="296" t="s">
        <v>28729</v>
      </c>
    </row>
    <row r="4406" spans="1:4" ht="18">
      <c r="A4406" s="288" t="s">
        <v>14936</v>
      </c>
      <c r="B4406" s="289" t="s">
        <v>14937</v>
      </c>
      <c r="C4406" s="288" t="s">
        <v>7079</v>
      </c>
      <c r="D4406" s="303">
        <v>1589</v>
      </c>
    </row>
    <row r="4407" spans="1:4" ht="18">
      <c r="A4407" s="288" t="s">
        <v>14938</v>
      </c>
      <c r="B4407" s="289" t="s">
        <v>14939</v>
      </c>
      <c r="C4407" s="288" t="s">
        <v>7079</v>
      </c>
      <c r="D4407" s="303">
        <v>370</v>
      </c>
    </row>
    <row r="4408" spans="1:4" ht="36">
      <c r="A4408" s="288" t="s">
        <v>14940</v>
      </c>
      <c r="B4408" s="289" t="s">
        <v>14941</v>
      </c>
      <c r="C4408" s="288" t="s">
        <v>38</v>
      </c>
      <c r="D4408" s="303">
        <v>927.09</v>
      </c>
    </row>
    <row r="4409" spans="1:4">
      <c r="A4409" s="288" t="s">
        <v>14942</v>
      </c>
      <c r="B4409" s="289" t="s">
        <v>14943</v>
      </c>
      <c r="C4409" s="288" t="s">
        <v>10941</v>
      </c>
      <c r="D4409" s="303">
        <v>27.16</v>
      </c>
    </row>
    <row r="4410" spans="1:4" ht="36">
      <c r="A4410" s="288" t="s">
        <v>14944</v>
      </c>
      <c r="B4410" s="289" t="s">
        <v>14945</v>
      </c>
      <c r="C4410" s="288" t="s">
        <v>10306</v>
      </c>
      <c r="D4410" s="303">
        <v>910.11</v>
      </c>
    </row>
    <row r="4411" spans="1:4" ht="27">
      <c r="A4411" s="288" t="s">
        <v>14946</v>
      </c>
      <c r="B4411" s="289" t="s">
        <v>14947</v>
      </c>
      <c r="C4411" s="288" t="s">
        <v>7079</v>
      </c>
      <c r="D4411" s="303">
        <v>4820.34</v>
      </c>
    </row>
    <row r="4412" spans="1:4" ht="18">
      <c r="A4412" s="288" t="s">
        <v>14948</v>
      </c>
      <c r="B4412" s="289" t="s">
        <v>14949</v>
      </c>
      <c r="C4412" s="288" t="s">
        <v>7079</v>
      </c>
      <c r="D4412" s="303">
        <v>182.27</v>
      </c>
    </row>
    <row r="4413" spans="1:4" ht="18">
      <c r="A4413" s="288" t="s">
        <v>14950</v>
      </c>
      <c r="B4413" s="289" t="s">
        <v>14951</v>
      </c>
      <c r="C4413" s="288" t="s">
        <v>7079</v>
      </c>
      <c r="D4413" s="303">
        <v>22.9</v>
      </c>
    </row>
    <row r="4414" spans="1:4" ht="18">
      <c r="A4414" s="288" t="s">
        <v>14952</v>
      </c>
      <c r="B4414" s="289" t="s">
        <v>14953</v>
      </c>
      <c r="C4414" s="288" t="s">
        <v>7079</v>
      </c>
      <c r="D4414" s="303">
        <v>49.6</v>
      </c>
    </row>
    <row r="4415" spans="1:4" ht="18">
      <c r="A4415" s="288" t="s">
        <v>14954</v>
      </c>
      <c r="B4415" s="289" t="s">
        <v>14955</v>
      </c>
      <c r="C4415" s="288" t="s">
        <v>7079</v>
      </c>
      <c r="D4415" s="303">
        <v>77.260000000000005</v>
      </c>
    </row>
    <row r="4416" spans="1:4">
      <c r="A4416" s="287"/>
      <c r="B4416" s="287"/>
      <c r="C4416" s="287"/>
      <c r="D4416" s="296" t="s">
        <v>28729</v>
      </c>
    </row>
    <row r="4417" spans="1:4">
      <c r="A4417" s="291"/>
      <c r="B4417" s="291"/>
      <c r="C4417" s="291"/>
      <c r="D4417" s="299"/>
    </row>
    <row r="4418" spans="1:4">
      <c r="A4418" s="290"/>
      <c r="B4418" s="290"/>
      <c r="C4418" s="290"/>
      <c r="D4418" s="298"/>
    </row>
    <row r="4419" spans="1:4" ht="18">
      <c r="A4419" s="287" t="s">
        <v>14956</v>
      </c>
      <c r="B4419" s="287"/>
      <c r="C4419" s="287"/>
      <c r="D4419" s="296" t="s">
        <v>28729</v>
      </c>
    </row>
    <row r="4420" spans="1:4">
      <c r="A4420" s="288" t="s">
        <v>14957</v>
      </c>
      <c r="B4420" s="289" t="s">
        <v>14958</v>
      </c>
      <c r="C4420" s="288" t="s">
        <v>38</v>
      </c>
      <c r="D4420" s="303">
        <v>5.09</v>
      </c>
    </row>
    <row r="4421" spans="1:4">
      <c r="A4421" s="288" t="s">
        <v>14959</v>
      </c>
      <c r="B4421" s="289" t="s">
        <v>14960</v>
      </c>
      <c r="C4421" s="288" t="s">
        <v>38</v>
      </c>
      <c r="D4421" s="303">
        <v>6.57</v>
      </c>
    </row>
    <row r="4422" spans="1:4">
      <c r="A4422" s="288" t="s">
        <v>14961</v>
      </c>
      <c r="B4422" s="289" t="s">
        <v>14962</v>
      </c>
      <c r="C4422" s="288" t="s">
        <v>38</v>
      </c>
      <c r="D4422" s="303">
        <v>6.75</v>
      </c>
    </row>
    <row r="4423" spans="1:4" ht="18">
      <c r="A4423" s="287" t="s">
        <v>14963</v>
      </c>
      <c r="B4423" s="287"/>
      <c r="C4423" s="287"/>
      <c r="D4423" s="296" t="s">
        <v>28729</v>
      </c>
    </row>
    <row r="4424" spans="1:4" ht="18">
      <c r="A4424" s="288" t="s">
        <v>14964</v>
      </c>
      <c r="B4424" s="289" t="s">
        <v>14965</v>
      </c>
      <c r="C4424" s="288" t="s">
        <v>38</v>
      </c>
      <c r="D4424" s="303">
        <v>5.49</v>
      </c>
    </row>
    <row r="4425" spans="1:4" ht="18">
      <c r="A4425" s="288" t="s">
        <v>14966</v>
      </c>
      <c r="B4425" s="289" t="s">
        <v>14967</v>
      </c>
      <c r="C4425" s="288" t="s">
        <v>38</v>
      </c>
      <c r="D4425" s="303">
        <v>7.9</v>
      </c>
    </row>
    <row r="4426" spans="1:4" ht="18">
      <c r="A4426" s="288" t="s">
        <v>14968</v>
      </c>
      <c r="B4426" s="289" t="s">
        <v>14969</v>
      </c>
      <c r="C4426" s="288" t="s">
        <v>38</v>
      </c>
      <c r="D4426" s="303">
        <v>10.49</v>
      </c>
    </row>
    <row r="4427" spans="1:4">
      <c r="A4427" s="288" t="s">
        <v>14970</v>
      </c>
      <c r="B4427" s="289" t="s">
        <v>14971</v>
      </c>
      <c r="C4427" s="288" t="s">
        <v>38</v>
      </c>
      <c r="D4427" s="303">
        <v>3.33</v>
      </c>
    </row>
    <row r="4428" spans="1:4" ht="27">
      <c r="A4428" s="287" t="s">
        <v>14972</v>
      </c>
      <c r="B4428" s="287"/>
      <c r="C4428" s="287"/>
      <c r="D4428" s="296" t="s">
        <v>28729</v>
      </c>
    </row>
    <row r="4429" spans="1:4" ht="18">
      <c r="A4429" s="288" t="s">
        <v>14973</v>
      </c>
      <c r="B4429" s="289" t="s">
        <v>14974</v>
      </c>
      <c r="C4429" s="288" t="s">
        <v>38</v>
      </c>
      <c r="D4429" s="303">
        <v>20.88</v>
      </c>
    </row>
    <row r="4430" spans="1:4" ht="27">
      <c r="A4430" s="288" t="s">
        <v>14975</v>
      </c>
      <c r="B4430" s="289" t="s">
        <v>14976</v>
      </c>
      <c r="C4430" s="288" t="s">
        <v>38</v>
      </c>
      <c r="D4430" s="303">
        <v>40.869999999999997</v>
      </c>
    </row>
    <row r="4431" spans="1:4" ht="27">
      <c r="A4431" s="288" t="s">
        <v>14977</v>
      </c>
      <c r="B4431" s="289" t="s">
        <v>14978</v>
      </c>
      <c r="C4431" s="288" t="s">
        <v>38</v>
      </c>
      <c r="D4431" s="303">
        <v>8.4</v>
      </c>
    </row>
    <row r="4432" spans="1:4" ht="36">
      <c r="A4432" s="288" t="s">
        <v>14979</v>
      </c>
      <c r="B4432" s="289" t="s">
        <v>14980</v>
      </c>
      <c r="C4432" s="288" t="s">
        <v>38</v>
      </c>
      <c r="D4432" s="303">
        <v>31.16</v>
      </c>
    </row>
    <row r="4433" spans="1:4" ht="27">
      <c r="A4433" s="288" t="s">
        <v>14981</v>
      </c>
      <c r="B4433" s="289" t="s">
        <v>14982</v>
      </c>
      <c r="C4433" s="288" t="s">
        <v>38</v>
      </c>
      <c r="D4433" s="303">
        <v>14.17</v>
      </c>
    </row>
    <row r="4434" spans="1:4" ht="27">
      <c r="A4434" s="288" t="s">
        <v>14983</v>
      </c>
      <c r="B4434" s="289" t="s">
        <v>14984</v>
      </c>
      <c r="C4434" s="288" t="s">
        <v>38</v>
      </c>
      <c r="D4434" s="303">
        <v>23.32</v>
      </c>
    </row>
    <row r="4435" spans="1:4" ht="27">
      <c r="A4435" s="288" t="s">
        <v>14985</v>
      </c>
      <c r="B4435" s="289" t="s">
        <v>14986</v>
      </c>
      <c r="C4435" s="288" t="s">
        <v>38</v>
      </c>
      <c r="D4435" s="303">
        <v>22.99</v>
      </c>
    </row>
    <row r="4436" spans="1:4" ht="36">
      <c r="A4436" s="288" t="s">
        <v>14987</v>
      </c>
      <c r="B4436" s="289" t="s">
        <v>14988</v>
      </c>
      <c r="C4436" s="288" t="s">
        <v>38</v>
      </c>
      <c r="D4436" s="303">
        <v>25.74</v>
      </c>
    </row>
    <row r="4437" spans="1:4" ht="36">
      <c r="A4437" s="288" t="s">
        <v>14989</v>
      </c>
      <c r="B4437" s="289" t="s">
        <v>14990</v>
      </c>
      <c r="C4437" s="288" t="s">
        <v>38</v>
      </c>
      <c r="D4437" s="303">
        <v>43.63</v>
      </c>
    </row>
    <row r="4438" spans="1:4" ht="18">
      <c r="A4438" s="288" t="s">
        <v>14991</v>
      </c>
      <c r="B4438" s="289" t="s">
        <v>14992</v>
      </c>
      <c r="C4438" s="288" t="s">
        <v>38</v>
      </c>
      <c r="D4438" s="303">
        <v>34.090000000000003</v>
      </c>
    </row>
    <row r="4439" spans="1:4" ht="27">
      <c r="A4439" s="288" t="s">
        <v>14993</v>
      </c>
      <c r="B4439" s="289" t="s">
        <v>14994</v>
      </c>
      <c r="C4439" s="288" t="s">
        <v>38</v>
      </c>
      <c r="D4439" s="303">
        <v>28.63</v>
      </c>
    </row>
    <row r="4440" spans="1:4" ht="18">
      <c r="A4440" s="288" t="s">
        <v>14995</v>
      </c>
      <c r="B4440" s="289" t="s">
        <v>14996</v>
      </c>
      <c r="C4440" s="288" t="s">
        <v>38</v>
      </c>
      <c r="D4440" s="303">
        <v>3.17</v>
      </c>
    </row>
    <row r="4441" spans="1:4">
      <c r="A4441" s="288" t="s">
        <v>14997</v>
      </c>
      <c r="B4441" s="289" t="s">
        <v>14998</v>
      </c>
      <c r="C4441" s="288" t="s">
        <v>38</v>
      </c>
      <c r="D4441" s="303">
        <v>3.53</v>
      </c>
    </row>
    <row r="4442" spans="1:4">
      <c r="A4442" s="288" t="s">
        <v>14999</v>
      </c>
      <c r="B4442" s="289" t="s">
        <v>15000</v>
      </c>
      <c r="C4442" s="288" t="s">
        <v>38</v>
      </c>
      <c r="D4442" s="303">
        <v>3.53</v>
      </c>
    </row>
    <row r="4443" spans="1:4">
      <c r="A4443" s="288" t="s">
        <v>15001</v>
      </c>
      <c r="B4443" s="289" t="s">
        <v>15002</v>
      </c>
      <c r="C4443" s="288" t="s">
        <v>38</v>
      </c>
      <c r="D4443" s="303">
        <v>4.0199999999999996</v>
      </c>
    </row>
    <row r="4444" spans="1:4" ht="18">
      <c r="A4444" s="288" t="s">
        <v>15003</v>
      </c>
      <c r="B4444" s="289" t="s">
        <v>15004</v>
      </c>
      <c r="C4444" s="288" t="s">
        <v>38</v>
      </c>
      <c r="D4444" s="303">
        <v>16.190000000000001</v>
      </c>
    </row>
    <row r="4445" spans="1:4" ht="27">
      <c r="A4445" s="288" t="s">
        <v>15005</v>
      </c>
      <c r="B4445" s="289" t="s">
        <v>15006</v>
      </c>
      <c r="C4445" s="288" t="s">
        <v>38</v>
      </c>
      <c r="D4445" s="303">
        <v>8.9</v>
      </c>
    </row>
    <row r="4446" spans="1:4" ht="27">
      <c r="A4446" s="288" t="s">
        <v>15007</v>
      </c>
      <c r="B4446" s="289" t="s">
        <v>15008</v>
      </c>
      <c r="C4446" s="288" t="s">
        <v>38</v>
      </c>
      <c r="D4446" s="303">
        <v>8.9</v>
      </c>
    </row>
    <row r="4447" spans="1:4" ht="27">
      <c r="A4447" s="287" t="s">
        <v>15009</v>
      </c>
      <c r="B4447" s="287"/>
      <c r="C4447" s="287"/>
      <c r="D4447" s="296" t="s">
        <v>28729</v>
      </c>
    </row>
    <row r="4448" spans="1:4" ht="27">
      <c r="A4448" s="288" t="s">
        <v>15010</v>
      </c>
      <c r="B4448" s="289" t="s">
        <v>15011</v>
      </c>
      <c r="C4448" s="288" t="s">
        <v>38</v>
      </c>
      <c r="D4448" s="303">
        <v>25.99</v>
      </c>
    </row>
    <row r="4449" spans="1:4" ht="27">
      <c r="A4449" s="288" t="s">
        <v>15012</v>
      </c>
      <c r="B4449" s="289" t="s">
        <v>15013</v>
      </c>
      <c r="C4449" s="288" t="s">
        <v>38</v>
      </c>
      <c r="D4449" s="303">
        <v>36.6</v>
      </c>
    </row>
    <row r="4450" spans="1:4" ht="36">
      <c r="A4450" s="288" t="s">
        <v>15014</v>
      </c>
      <c r="B4450" s="289" t="s">
        <v>15015</v>
      </c>
      <c r="C4450" s="288" t="s">
        <v>38</v>
      </c>
      <c r="D4450" s="303">
        <v>36.18</v>
      </c>
    </row>
    <row r="4451" spans="1:4" ht="36">
      <c r="A4451" s="288" t="s">
        <v>15016</v>
      </c>
      <c r="B4451" s="289" t="s">
        <v>15017</v>
      </c>
      <c r="C4451" s="288" t="s">
        <v>38</v>
      </c>
      <c r="D4451" s="303">
        <v>9.64</v>
      </c>
    </row>
    <row r="4452" spans="1:4" ht="27">
      <c r="A4452" s="288" t="s">
        <v>15018</v>
      </c>
      <c r="B4452" s="289" t="s">
        <v>15019</v>
      </c>
      <c r="C4452" s="288" t="s">
        <v>38</v>
      </c>
      <c r="D4452" s="303">
        <v>23.28</v>
      </c>
    </row>
    <row r="4453" spans="1:4" ht="27">
      <c r="A4453" s="288" t="s">
        <v>15020</v>
      </c>
      <c r="B4453" s="289" t="s">
        <v>15021</v>
      </c>
      <c r="C4453" s="288" t="s">
        <v>38</v>
      </c>
      <c r="D4453" s="303">
        <v>13.22</v>
      </c>
    </row>
    <row r="4454" spans="1:4" ht="18">
      <c r="A4454" s="287" t="s">
        <v>15022</v>
      </c>
      <c r="B4454" s="287"/>
      <c r="C4454" s="287"/>
      <c r="D4454" s="296" t="s">
        <v>28729</v>
      </c>
    </row>
    <row r="4455" spans="1:4" ht="27">
      <c r="A4455" s="288" t="s">
        <v>15023</v>
      </c>
      <c r="B4455" s="289" t="s">
        <v>15024</v>
      </c>
      <c r="C4455" s="288" t="s">
        <v>38</v>
      </c>
      <c r="D4455" s="303">
        <v>33.57</v>
      </c>
    </row>
    <row r="4456" spans="1:4" ht="27">
      <c r="A4456" s="288" t="s">
        <v>15025</v>
      </c>
      <c r="B4456" s="289" t="s">
        <v>15026</v>
      </c>
      <c r="C4456" s="288" t="s">
        <v>38</v>
      </c>
      <c r="D4456" s="303">
        <v>21.18</v>
      </c>
    </row>
    <row r="4457" spans="1:4" ht="36">
      <c r="A4457" s="288" t="s">
        <v>15027</v>
      </c>
      <c r="B4457" s="289" t="s">
        <v>15028</v>
      </c>
      <c r="C4457" s="288" t="s">
        <v>38</v>
      </c>
      <c r="D4457" s="303">
        <v>35.64</v>
      </c>
    </row>
    <row r="4458" spans="1:4" ht="36">
      <c r="A4458" s="288" t="s">
        <v>15029</v>
      </c>
      <c r="B4458" s="289" t="s">
        <v>15030</v>
      </c>
      <c r="C4458" s="288" t="s">
        <v>38</v>
      </c>
      <c r="D4458" s="303">
        <v>22.53</v>
      </c>
    </row>
    <row r="4459" spans="1:4" ht="27">
      <c r="A4459" s="288" t="s">
        <v>15031</v>
      </c>
      <c r="B4459" s="289" t="s">
        <v>15032</v>
      </c>
      <c r="C4459" s="288" t="s">
        <v>38</v>
      </c>
      <c r="D4459" s="303">
        <v>33.340000000000003</v>
      </c>
    </row>
    <row r="4460" spans="1:4">
      <c r="A4460" s="288" t="s">
        <v>15033</v>
      </c>
      <c r="B4460" s="289" t="s">
        <v>15034</v>
      </c>
      <c r="C4460" s="288" t="s">
        <v>38</v>
      </c>
      <c r="D4460" s="303">
        <v>25.6</v>
      </c>
    </row>
    <row r="4461" spans="1:4" ht="27">
      <c r="A4461" s="288" t="s">
        <v>15035</v>
      </c>
      <c r="B4461" s="289" t="s">
        <v>15036</v>
      </c>
      <c r="C4461" s="288" t="s">
        <v>54</v>
      </c>
      <c r="D4461" s="303">
        <v>10.029999999999999</v>
      </c>
    </row>
    <row r="4462" spans="1:4" ht="36">
      <c r="A4462" s="288" t="s">
        <v>15037</v>
      </c>
      <c r="B4462" s="289" t="s">
        <v>15038</v>
      </c>
      <c r="C4462" s="288" t="s">
        <v>38</v>
      </c>
      <c r="D4462" s="303">
        <v>9.59</v>
      </c>
    </row>
    <row r="4463" spans="1:4" ht="27">
      <c r="A4463" s="288" t="s">
        <v>15039</v>
      </c>
      <c r="B4463" s="289" t="s">
        <v>15040</v>
      </c>
      <c r="C4463" s="288" t="s">
        <v>38</v>
      </c>
      <c r="D4463" s="303">
        <v>35.090000000000003</v>
      </c>
    </row>
    <row r="4464" spans="1:4" ht="36">
      <c r="A4464" s="288" t="s">
        <v>15041</v>
      </c>
      <c r="B4464" s="289" t="s">
        <v>15042</v>
      </c>
      <c r="C4464" s="288" t="s">
        <v>38</v>
      </c>
      <c r="D4464" s="303">
        <v>9.01</v>
      </c>
    </row>
    <row r="4465" spans="1:4" ht="18">
      <c r="A4465" s="288" t="s">
        <v>15043</v>
      </c>
      <c r="B4465" s="289" t="s">
        <v>15044</v>
      </c>
      <c r="C4465" s="288" t="s">
        <v>38</v>
      </c>
      <c r="D4465" s="303">
        <v>12.92</v>
      </c>
    </row>
    <row r="4466" spans="1:4" ht="36">
      <c r="A4466" s="288" t="s">
        <v>15045</v>
      </c>
      <c r="B4466" s="289" t="s">
        <v>15046</v>
      </c>
      <c r="C4466" s="288" t="s">
        <v>38</v>
      </c>
      <c r="D4466" s="303">
        <v>13.98</v>
      </c>
    </row>
    <row r="4467" spans="1:4" ht="27">
      <c r="A4467" s="288" t="s">
        <v>15047</v>
      </c>
      <c r="B4467" s="289" t="s">
        <v>15048</v>
      </c>
      <c r="C4467" s="288" t="s">
        <v>38</v>
      </c>
      <c r="D4467" s="303">
        <v>15.71</v>
      </c>
    </row>
    <row r="4468" spans="1:4" ht="27">
      <c r="A4468" s="288" t="s">
        <v>15049</v>
      </c>
      <c r="B4468" s="289" t="s">
        <v>15050</v>
      </c>
      <c r="C4468" s="288" t="s">
        <v>38</v>
      </c>
      <c r="D4468" s="303">
        <v>15.8</v>
      </c>
    </row>
    <row r="4469" spans="1:4">
      <c r="A4469" s="288" t="s">
        <v>15051</v>
      </c>
      <c r="B4469" s="289" t="s">
        <v>15052</v>
      </c>
      <c r="C4469" s="288" t="s">
        <v>38</v>
      </c>
      <c r="D4469" s="303">
        <v>21.37</v>
      </c>
    </row>
    <row r="4470" spans="1:4" ht="18">
      <c r="A4470" s="287" t="s">
        <v>15053</v>
      </c>
      <c r="B4470" s="287"/>
      <c r="C4470" s="287"/>
      <c r="D4470" s="296" t="s">
        <v>28729</v>
      </c>
    </row>
    <row r="4471" spans="1:4" ht="18">
      <c r="A4471" s="288" t="s">
        <v>15054</v>
      </c>
      <c r="B4471" s="289" t="s">
        <v>15055</v>
      </c>
      <c r="C4471" s="288" t="s">
        <v>38</v>
      </c>
      <c r="D4471" s="303">
        <v>64.3</v>
      </c>
    </row>
    <row r="4472" spans="1:4" ht="18">
      <c r="A4472" s="288" t="s">
        <v>15056</v>
      </c>
      <c r="B4472" s="289" t="s">
        <v>15057</v>
      </c>
      <c r="C4472" s="288" t="s">
        <v>38</v>
      </c>
      <c r="D4472" s="303">
        <v>15.92</v>
      </c>
    </row>
    <row r="4473" spans="1:4" ht="27">
      <c r="A4473" s="288" t="s">
        <v>15058</v>
      </c>
      <c r="B4473" s="289" t="s">
        <v>15059</v>
      </c>
      <c r="C4473" s="288" t="s">
        <v>38</v>
      </c>
      <c r="D4473" s="303">
        <v>26.65</v>
      </c>
    </row>
    <row r="4474" spans="1:4" ht="27">
      <c r="A4474" s="288" t="s">
        <v>15060</v>
      </c>
      <c r="B4474" s="289" t="s">
        <v>15061</v>
      </c>
      <c r="C4474" s="288" t="s">
        <v>38</v>
      </c>
      <c r="D4474" s="303">
        <v>70.52</v>
      </c>
    </row>
    <row r="4475" spans="1:4" ht="18">
      <c r="A4475" s="288" t="s">
        <v>15062</v>
      </c>
      <c r="B4475" s="289" t="s">
        <v>15063</v>
      </c>
      <c r="C4475" s="288" t="s">
        <v>54</v>
      </c>
      <c r="D4475" s="303">
        <v>9.57</v>
      </c>
    </row>
    <row r="4476" spans="1:4" ht="18">
      <c r="A4476" s="288" t="s">
        <v>15064</v>
      </c>
      <c r="B4476" s="289" t="s">
        <v>15065</v>
      </c>
      <c r="C4476" s="288" t="s">
        <v>38</v>
      </c>
      <c r="D4476" s="303">
        <v>14.61</v>
      </c>
    </row>
    <row r="4477" spans="1:4" ht="18">
      <c r="A4477" s="288" t="s">
        <v>15066</v>
      </c>
      <c r="B4477" s="289" t="s">
        <v>15067</v>
      </c>
      <c r="C4477" s="288" t="s">
        <v>38</v>
      </c>
      <c r="D4477" s="303">
        <v>26.26</v>
      </c>
    </row>
    <row r="4478" spans="1:4" ht="18">
      <c r="A4478" s="288" t="s">
        <v>15068</v>
      </c>
      <c r="B4478" s="289" t="s">
        <v>15069</v>
      </c>
      <c r="C4478" s="288" t="s">
        <v>38</v>
      </c>
      <c r="D4478" s="303">
        <v>16.899999999999999</v>
      </c>
    </row>
    <row r="4479" spans="1:4">
      <c r="A4479" s="287" t="s">
        <v>15070</v>
      </c>
      <c r="B4479" s="287"/>
      <c r="C4479" s="287"/>
      <c r="D4479" s="296" t="s">
        <v>28729</v>
      </c>
    </row>
    <row r="4480" spans="1:4" ht="18">
      <c r="A4480" s="288" t="s">
        <v>15071</v>
      </c>
      <c r="B4480" s="289" t="s">
        <v>15072</v>
      </c>
      <c r="C4480" s="288" t="s">
        <v>38</v>
      </c>
      <c r="D4480" s="303">
        <v>2.27</v>
      </c>
    </row>
    <row r="4481" spans="1:4">
      <c r="A4481" s="288" t="s">
        <v>15073</v>
      </c>
      <c r="B4481" s="289" t="s">
        <v>15074</v>
      </c>
      <c r="C4481" s="288" t="s">
        <v>38</v>
      </c>
      <c r="D4481" s="303">
        <v>6.39</v>
      </c>
    </row>
    <row r="4482" spans="1:4" ht="18">
      <c r="A4482" s="287" t="s">
        <v>15075</v>
      </c>
      <c r="B4482" s="287"/>
      <c r="C4482" s="287"/>
      <c r="D4482" s="296" t="s">
        <v>28729</v>
      </c>
    </row>
    <row r="4483" spans="1:4" ht="18">
      <c r="A4483" s="288" t="s">
        <v>15076</v>
      </c>
      <c r="B4483" s="289" t="s">
        <v>15077</v>
      </c>
      <c r="C4483" s="288" t="s">
        <v>38</v>
      </c>
      <c r="D4483" s="303">
        <v>15.61</v>
      </c>
    </row>
    <row r="4484" spans="1:4" ht="27">
      <c r="A4484" s="288" t="s">
        <v>15078</v>
      </c>
      <c r="B4484" s="289" t="s">
        <v>15079</v>
      </c>
      <c r="C4484" s="288" t="s">
        <v>38</v>
      </c>
      <c r="D4484" s="303">
        <v>20.83</v>
      </c>
    </row>
    <row r="4485" spans="1:4" ht="36">
      <c r="A4485" s="288" t="s">
        <v>15080</v>
      </c>
      <c r="B4485" s="289" t="s">
        <v>15081</v>
      </c>
      <c r="C4485" s="288" t="s">
        <v>38</v>
      </c>
      <c r="D4485" s="303">
        <v>26.52</v>
      </c>
    </row>
    <row r="4486" spans="1:4" ht="27">
      <c r="A4486" s="288" t="s">
        <v>15082</v>
      </c>
      <c r="B4486" s="289" t="s">
        <v>15083</v>
      </c>
      <c r="C4486" s="288" t="s">
        <v>38</v>
      </c>
      <c r="D4486" s="303">
        <v>21.38</v>
      </c>
    </row>
    <row r="4487" spans="1:4" ht="27">
      <c r="A4487" s="288" t="s">
        <v>15084</v>
      </c>
      <c r="B4487" s="289" t="s">
        <v>15085</v>
      </c>
      <c r="C4487" s="288" t="s">
        <v>38</v>
      </c>
      <c r="D4487" s="303">
        <v>22.57</v>
      </c>
    </row>
    <row r="4488" spans="1:4" ht="27">
      <c r="A4488" s="288" t="s">
        <v>15086</v>
      </c>
      <c r="B4488" s="289" t="s">
        <v>15087</v>
      </c>
      <c r="C4488" s="288" t="s">
        <v>38</v>
      </c>
      <c r="D4488" s="303">
        <v>24.79</v>
      </c>
    </row>
    <row r="4489" spans="1:4" ht="27">
      <c r="A4489" s="288" t="s">
        <v>15088</v>
      </c>
      <c r="B4489" s="289" t="s">
        <v>15089</v>
      </c>
      <c r="C4489" s="288" t="s">
        <v>38</v>
      </c>
      <c r="D4489" s="303">
        <v>16.03</v>
      </c>
    </row>
    <row r="4490" spans="1:4" ht="18">
      <c r="A4490" s="288" t="s">
        <v>15090</v>
      </c>
      <c r="B4490" s="289" t="s">
        <v>15091</v>
      </c>
      <c r="C4490" s="288" t="s">
        <v>38</v>
      </c>
      <c r="D4490" s="303">
        <v>22.44</v>
      </c>
    </row>
    <row r="4491" spans="1:4" ht="27">
      <c r="A4491" s="288" t="s">
        <v>15092</v>
      </c>
      <c r="B4491" s="289" t="s">
        <v>15093</v>
      </c>
      <c r="C4491" s="288" t="s">
        <v>38</v>
      </c>
      <c r="D4491" s="303">
        <v>14.68</v>
      </c>
    </row>
    <row r="4492" spans="1:4" ht="27">
      <c r="A4492" s="288" t="s">
        <v>15094</v>
      </c>
      <c r="B4492" s="289" t="s">
        <v>15095</v>
      </c>
      <c r="C4492" s="288" t="s">
        <v>38</v>
      </c>
      <c r="D4492" s="303">
        <v>16.03</v>
      </c>
    </row>
    <row r="4493" spans="1:4" ht="18">
      <c r="A4493" s="287" t="s">
        <v>15096</v>
      </c>
      <c r="B4493" s="287"/>
      <c r="C4493" s="287"/>
      <c r="D4493" s="296" t="s">
        <v>28729</v>
      </c>
    </row>
    <row r="4494" spans="1:4" ht="27">
      <c r="A4494" s="288" t="s">
        <v>15097</v>
      </c>
      <c r="B4494" s="289" t="s">
        <v>15098</v>
      </c>
      <c r="C4494" s="288" t="s">
        <v>38</v>
      </c>
      <c r="D4494" s="303">
        <v>38.51</v>
      </c>
    </row>
    <row r="4495" spans="1:4" ht="18">
      <c r="A4495" s="288" t="s">
        <v>15099</v>
      </c>
      <c r="B4495" s="289" t="s">
        <v>15100</v>
      </c>
      <c r="C4495" s="288" t="s">
        <v>38</v>
      </c>
      <c r="D4495" s="303">
        <v>44.23</v>
      </c>
    </row>
    <row r="4496" spans="1:4" ht="27">
      <c r="A4496" s="288" t="s">
        <v>15101</v>
      </c>
      <c r="B4496" s="289" t="s">
        <v>15102</v>
      </c>
      <c r="C4496" s="288" t="s">
        <v>38</v>
      </c>
      <c r="D4496" s="303">
        <v>39.83</v>
      </c>
    </row>
    <row r="4497" spans="1:4" ht="27">
      <c r="A4497" s="287" t="s">
        <v>15103</v>
      </c>
      <c r="B4497" s="287"/>
      <c r="C4497" s="287"/>
      <c r="D4497" s="296" t="s">
        <v>28729</v>
      </c>
    </row>
    <row r="4498" spans="1:4" ht="27">
      <c r="A4498" s="288" t="s">
        <v>15104</v>
      </c>
      <c r="B4498" s="289" t="s">
        <v>15105</v>
      </c>
      <c r="C4498" s="288" t="s">
        <v>38</v>
      </c>
      <c r="D4498" s="303">
        <v>22.69</v>
      </c>
    </row>
    <row r="4499" spans="1:4">
      <c r="A4499" s="287" t="s">
        <v>15106</v>
      </c>
      <c r="B4499" s="287"/>
      <c r="C4499" s="287"/>
      <c r="D4499" s="296" t="s">
        <v>28729</v>
      </c>
    </row>
    <row r="4500" spans="1:4">
      <c r="A4500" s="288" t="s">
        <v>15107</v>
      </c>
      <c r="B4500" s="289" t="s">
        <v>15108</v>
      </c>
      <c r="C4500" s="288" t="s">
        <v>38</v>
      </c>
      <c r="D4500" s="303">
        <v>158.87</v>
      </c>
    </row>
    <row r="4501" spans="1:4" ht="63">
      <c r="A4501" s="288" t="s">
        <v>15109</v>
      </c>
      <c r="B4501" s="289" t="s">
        <v>15110</v>
      </c>
      <c r="C4501" s="288" t="s">
        <v>38</v>
      </c>
      <c r="D4501" s="303">
        <v>103.77</v>
      </c>
    </row>
    <row r="4502" spans="1:4">
      <c r="A4502" s="287" t="s">
        <v>15111</v>
      </c>
      <c r="B4502" s="287"/>
      <c r="C4502" s="287"/>
      <c r="D4502" s="296" t="s">
        <v>28729</v>
      </c>
    </row>
    <row r="4503" spans="1:4" ht="18">
      <c r="A4503" s="288" t="s">
        <v>15112</v>
      </c>
      <c r="B4503" s="289" t="s">
        <v>15113</v>
      </c>
      <c r="C4503" s="288" t="s">
        <v>7079</v>
      </c>
      <c r="D4503" s="303">
        <v>77.98</v>
      </c>
    </row>
    <row r="4504" spans="1:4" ht="18">
      <c r="A4504" s="288" t="s">
        <v>15114</v>
      </c>
      <c r="B4504" s="289" t="s">
        <v>15115</v>
      </c>
      <c r="C4504" s="288" t="s">
        <v>7079</v>
      </c>
      <c r="D4504" s="303">
        <v>99.56</v>
      </c>
    </row>
    <row r="4505" spans="1:4" ht="18">
      <c r="A4505" s="288" t="s">
        <v>15116</v>
      </c>
      <c r="B4505" s="289" t="s">
        <v>15117</v>
      </c>
      <c r="C4505" s="288" t="s">
        <v>7079</v>
      </c>
      <c r="D4505" s="303">
        <v>181.76</v>
      </c>
    </row>
    <row r="4506" spans="1:4" ht="18">
      <c r="A4506" s="288" t="s">
        <v>15118</v>
      </c>
      <c r="B4506" s="289" t="s">
        <v>15119</v>
      </c>
      <c r="C4506" s="288" t="s">
        <v>7079</v>
      </c>
      <c r="D4506" s="303">
        <v>329.75</v>
      </c>
    </row>
    <row r="4507" spans="1:4" ht="18">
      <c r="A4507" s="288" t="s">
        <v>15120</v>
      </c>
      <c r="B4507" s="289" t="s">
        <v>15121</v>
      </c>
      <c r="C4507" s="288" t="s">
        <v>7079</v>
      </c>
      <c r="D4507" s="303">
        <v>408.91</v>
      </c>
    </row>
    <row r="4508" spans="1:4" ht="18">
      <c r="A4508" s="287" t="s">
        <v>15122</v>
      </c>
      <c r="B4508" s="287"/>
      <c r="C4508" s="287"/>
      <c r="D4508" s="296" t="s">
        <v>28729</v>
      </c>
    </row>
    <row r="4509" spans="1:4" ht="18">
      <c r="A4509" s="288" t="s">
        <v>15123</v>
      </c>
      <c r="B4509" s="289" t="s">
        <v>15124</v>
      </c>
      <c r="C4509" s="288" t="s">
        <v>38</v>
      </c>
      <c r="D4509" s="303">
        <v>69.75</v>
      </c>
    </row>
    <row r="4510" spans="1:4">
      <c r="A4510" s="290"/>
      <c r="B4510" s="290"/>
      <c r="C4510" s="290"/>
      <c r="D4510" s="298"/>
    </row>
    <row r="4511" spans="1:4">
      <c r="A4511" s="287" t="s">
        <v>15125</v>
      </c>
      <c r="B4511" s="287"/>
      <c r="C4511" s="287"/>
      <c r="D4511" s="296" t="s">
        <v>28729</v>
      </c>
    </row>
    <row r="4512" spans="1:4" ht="18">
      <c r="A4512" s="288" t="s">
        <v>15126</v>
      </c>
      <c r="B4512" s="289" t="s">
        <v>15127</v>
      </c>
      <c r="C4512" s="288" t="s">
        <v>38</v>
      </c>
      <c r="D4512" s="303">
        <v>34.729999999999997</v>
      </c>
    </row>
    <row r="4513" spans="1:4">
      <c r="A4513" s="287"/>
      <c r="B4513" s="287"/>
      <c r="C4513" s="287"/>
      <c r="D4513" s="296" t="s">
        <v>28729</v>
      </c>
    </row>
    <row r="4514" spans="1:4">
      <c r="A4514" s="290"/>
      <c r="B4514" s="290"/>
      <c r="C4514" s="290"/>
      <c r="D4514" s="298"/>
    </row>
    <row r="4515" spans="1:4">
      <c r="A4515" s="290"/>
      <c r="B4515" s="290"/>
      <c r="C4515" s="290"/>
      <c r="D4515" s="298"/>
    </row>
    <row r="4516" spans="1:4">
      <c r="A4516" s="291"/>
      <c r="B4516" s="291"/>
      <c r="C4516" s="291"/>
      <c r="D4516" s="299"/>
    </row>
    <row r="4517" spans="1:4">
      <c r="A4517" s="287" t="s">
        <v>15128</v>
      </c>
      <c r="B4517" s="287"/>
      <c r="C4517" s="287"/>
      <c r="D4517" s="296" t="s">
        <v>28729</v>
      </c>
    </row>
    <row r="4518" spans="1:4">
      <c r="A4518" s="288" t="s">
        <v>15129</v>
      </c>
      <c r="B4518" s="289" t="s">
        <v>15130</v>
      </c>
      <c r="C4518" s="288" t="s">
        <v>47</v>
      </c>
      <c r="D4518" s="303">
        <v>2008.49</v>
      </c>
    </row>
    <row r="4519" spans="1:4">
      <c r="A4519" s="288" t="s">
        <v>15131</v>
      </c>
      <c r="B4519" s="289" t="s">
        <v>15132</v>
      </c>
      <c r="C4519" s="288" t="s">
        <v>47</v>
      </c>
      <c r="D4519" s="303">
        <v>1365.51</v>
      </c>
    </row>
    <row r="4520" spans="1:4">
      <c r="A4520" s="288" t="s">
        <v>15133</v>
      </c>
      <c r="B4520" s="289" t="s">
        <v>15134</v>
      </c>
      <c r="C4520" s="288" t="s">
        <v>47</v>
      </c>
      <c r="D4520" s="303">
        <v>628.78</v>
      </c>
    </row>
    <row r="4521" spans="1:4">
      <c r="A4521" s="288" t="s">
        <v>15135</v>
      </c>
      <c r="B4521" s="289" t="s">
        <v>15136</v>
      </c>
      <c r="C4521" s="288" t="s">
        <v>47</v>
      </c>
      <c r="D4521" s="303">
        <v>583.49</v>
      </c>
    </row>
    <row r="4522" spans="1:4">
      <c r="A4522" s="288" t="s">
        <v>15137</v>
      </c>
      <c r="B4522" s="289" t="s">
        <v>15138</v>
      </c>
      <c r="C4522" s="288" t="s">
        <v>47</v>
      </c>
      <c r="D4522" s="303">
        <v>2956.63</v>
      </c>
    </row>
    <row r="4523" spans="1:4">
      <c r="A4523" s="287" t="s">
        <v>15139</v>
      </c>
      <c r="B4523" s="287"/>
      <c r="C4523" s="287"/>
      <c r="D4523" s="296" t="s">
        <v>28729</v>
      </c>
    </row>
    <row r="4524" spans="1:4">
      <c r="A4524" s="288" t="s">
        <v>15140</v>
      </c>
      <c r="B4524" s="289" t="s">
        <v>15141</v>
      </c>
      <c r="C4524" s="288" t="s">
        <v>47</v>
      </c>
      <c r="D4524" s="303">
        <v>588.35</v>
      </c>
    </row>
    <row r="4525" spans="1:4">
      <c r="A4525" s="288" t="s">
        <v>15142</v>
      </c>
      <c r="B4525" s="289" t="s">
        <v>15143</v>
      </c>
      <c r="C4525" s="288" t="s">
        <v>47</v>
      </c>
      <c r="D4525" s="303">
        <v>527.62</v>
      </c>
    </row>
    <row r="4526" spans="1:4">
      <c r="A4526" s="288" t="s">
        <v>15144</v>
      </c>
      <c r="B4526" s="289" t="s">
        <v>15145</v>
      </c>
      <c r="C4526" s="288" t="s">
        <v>47</v>
      </c>
      <c r="D4526" s="303">
        <v>495.3</v>
      </c>
    </row>
    <row r="4527" spans="1:4">
      <c r="A4527" s="288" t="s">
        <v>15146</v>
      </c>
      <c r="B4527" s="289" t="s">
        <v>15147</v>
      </c>
      <c r="C4527" s="288" t="s">
        <v>47</v>
      </c>
      <c r="D4527" s="303">
        <v>431.9</v>
      </c>
    </row>
    <row r="4528" spans="1:4">
      <c r="A4528" s="288" t="s">
        <v>15148</v>
      </c>
      <c r="B4528" s="289" t="s">
        <v>15149</v>
      </c>
      <c r="C4528" s="288" t="s">
        <v>47</v>
      </c>
      <c r="D4528" s="303">
        <v>389.42</v>
      </c>
    </row>
    <row r="4529" spans="1:4">
      <c r="A4529" s="288" t="s">
        <v>15150</v>
      </c>
      <c r="B4529" s="289" t="s">
        <v>15151</v>
      </c>
      <c r="C4529" s="288" t="s">
        <v>47</v>
      </c>
      <c r="D4529" s="303">
        <v>363</v>
      </c>
    </row>
    <row r="4530" spans="1:4">
      <c r="A4530" s="288" t="s">
        <v>15152</v>
      </c>
      <c r="B4530" s="289" t="s">
        <v>15153</v>
      </c>
      <c r="C4530" s="288" t="s">
        <v>47</v>
      </c>
      <c r="D4530" s="303">
        <v>345.08</v>
      </c>
    </row>
    <row r="4531" spans="1:4">
      <c r="A4531" s="288" t="s">
        <v>15154</v>
      </c>
      <c r="B4531" s="289" t="s">
        <v>15155</v>
      </c>
      <c r="C4531" s="288" t="s">
        <v>47</v>
      </c>
      <c r="D4531" s="303">
        <v>321.05</v>
      </c>
    </row>
    <row r="4532" spans="1:4" ht="36">
      <c r="A4532" s="288" t="s">
        <v>15156</v>
      </c>
      <c r="B4532" s="289" t="s">
        <v>15157</v>
      </c>
      <c r="C4532" s="288" t="s">
        <v>47</v>
      </c>
      <c r="D4532" s="303">
        <v>1468.76</v>
      </c>
    </row>
    <row r="4533" spans="1:4">
      <c r="A4533" s="288" t="s">
        <v>15158</v>
      </c>
      <c r="B4533" s="289" t="s">
        <v>15159</v>
      </c>
      <c r="C4533" s="288" t="s">
        <v>47</v>
      </c>
      <c r="D4533" s="303">
        <v>627.6</v>
      </c>
    </row>
    <row r="4534" spans="1:4">
      <c r="A4534" s="288" t="s">
        <v>15160</v>
      </c>
      <c r="B4534" s="289" t="s">
        <v>15161</v>
      </c>
      <c r="C4534" s="288" t="s">
        <v>47</v>
      </c>
      <c r="D4534" s="303">
        <v>739.13</v>
      </c>
    </row>
    <row r="4535" spans="1:4">
      <c r="A4535" s="288" t="s">
        <v>15162</v>
      </c>
      <c r="B4535" s="289" t="s">
        <v>15163</v>
      </c>
      <c r="C4535" s="288" t="s">
        <v>47</v>
      </c>
      <c r="D4535" s="303">
        <v>483.17</v>
      </c>
    </row>
    <row r="4536" spans="1:4">
      <c r="A4536" s="288" t="s">
        <v>15164</v>
      </c>
      <c r="B4536" s="289" t="s">
        <v>15165</v>
      </c>
      <c r="C4536" s="288" t="s">
        <v>47</v>
      </c>
      <c r="D4536" s="303">
        <v>453.26</v>
      </c>
    </row>
    <row r="4537" spans="1:4">
      <c r="A4537" s="288" t="s">
        <v>15166</v>
      </c>
      <c r="B4537" s="289" t="s">
        <v>15167</v>
      </c>
      <c r="C4537" s="288" t="s">
        <v>47</v>
      </c>
      <c r="D4537" s="303">
        <v>412.55</v>
      </c>
    </row>
    <row r="4538" spans="1:4">
      <c r="A4538" s="288" t="s">
        <v>15168</v>
      </c>
      <c r="B4538" s="289" t="s">
        <v>15169</v>
      </c>
      <c r="C4538" s="288" t="s">
        <v>47</v>
      </c>
      <c r="D4538" s="303">
        <v>334.87</v>
      </c>
    </row>
    <row r="4539" spans="1:4">
      <c r="A4539" s="288" t="s">
        <v>15170</v>
      </c>
      <c r="B4539" s="289" t="s">
        <v>15171</v>
      </c>
      <c r="C4539" s="288" t="s">
        <v>47</v>
      </c>
      <c r="D4539" s="303">
        <v>396.69</v>
      </c>
    </row>
    <row r="4540" spans="1:4">
      <c r="A4540" s="288" t="s">
        <v>15172</v>
      </c>
      <c r="B4540" s="289" t="s">
        <v>15173</v>
      </c>
      <c r="C4540" s="288" t="s">
        <v>47</v>
      </c>
      <c r="D4540" s="303">
        <v>372.47</v>
      </c>
    </row>
    <row r="4541" spans="1:4">
      <c r="A4541" s="288" t="s">
        <v>15174</v>
      </c>
      <c r="B4541" s="289" t="s">
        <v>15175</v>
      </c>
      <c r="C4541" s="288" t="s">
        <v>47</v>
      </c>
      <c r="D4541" s="303">
        <v>452.06</v>
      </c>
    </row>
    <row r="4542" spans="1:4">
      <c r="A4542" s="288" t="s">
        <v>15176</v>
      </c>
      <c r="B4542" s="289" t="s">
        <v>15177</v>
      </c>
      <c r="C4542" s="288" t="s">
        <v>47</v>
      </c>
      <c r="D4542" s="303">
        <v>380.4</v>
      </c>
    </row>
    <row r="4543" spans="1:4">
      <c r="A4543" s="288" t="s">
        <v>15178</v>
      </c>
      <c r="B4543" s="289" t="s">
        <v>15179</v>
      </c>
      <c r="C4543" s="288" t="s">
        <v>47</v>
      </c>
      <c r="D4543" s="303">
        <v>347.06</v>
      </c>
    </row>
    <row r="4544" spans="1:4">
      <c r="A4544" s="288" t="s">
        <v>15180</v>
      </c>
      <c r="B4544" s="289" t="s">
        <v>15181</v>
      </c>
      <c r="C4544" s="288" t="s">
        <v>47</v>
      </c>
      <c r="D4544" s="303">
        <v>328.16</v>
      </c>
    </row>
    <row r="4545" spans="1:4">
      <c r="A4545" s="288" t="s">
        <v>15182</v>
      </c>
      <c r="B4545" s="289" t="s">
        <v>15183</v>
      </c>
      <c r="C4545" s="288" t="s">
        <v>47</v>
      </c>
      <c r="D4545" s="303">
        <v>425.16</v>
      </c>
    </row>
    <row r="4546" spans="1:4">
      <c r="A4546" s="288" t="s">
        <v>15184</v>
      </c>
      <c r="B4546" s="289" t="s">
        <v>15185</v>
      </c>
      <c r="C4546" s="288" t="s">
        <v>47</v>
      </c>
      <c r="D4546" s="303">
        <v>411.2</v>
      </c>
    </row>
    <row r="4547" spans="1:4">
      <c r="A4547" s="288" t="s">
        <v>15186</v>
      </c>
      <c r="B4547" s="289" t="s">
        <v>15187</v>
      </c>
      <c r="C4547" s="288" t="s">
        <v>47</v>
      </c>
      <c r="D4547" s="303">
        <v>394.59</v>
      </c>
    </row>
    <row r="4548" spans="1:4">
      <c r="A4548" s="288" t="s">
        <v>15188</v>
      </c>
      <c r="B4548" s="289" t="s">
        <v>15189</v>
      </c>
      <c r="C4548" s="288" t="s">
        <v>47</v>
      </c>
      <c r="D4548" s="303">
        <v>383.19</v>
      </c>
    </row>
    <row r="4549" spans="1:4">
      <c r="A4549" s="287" t="s">
        <v>15190</v>
      </c>
      <c r="B4549" s="287"/>
      <c r="C4549" s="287"/>
      <c r="D4549" s="296" t="s">
        <v>28729</v>
      </c>
    </row>
    <row r="4550" spans="1:4">
      <c r="A4550" s="288" t="s">
        <v>15191</v>
      </c>
      <c r="B4550" s="289" t="s">
        <v>15192</v>
      </c>
      <c r="C4550" s="288" t="s">
        <v>38</v>
      </c>
      <c r="D4550" s="303">
        <v>164.13</v>
      </c>
    </row>
    <row r="4551" spans="1:4" ht="18">
      <c r="A4551" s="288" t="s">
        <v>15193</v>
      </c>
      <c r="B4551" s="289" t="s">
        <v>15194</v>
      </c>
      <c r="C4551" s="288" t="s">
        <v>7079</v>
      </c>
      <c r="D4551" s="303">
        <v>318.33</v>
      </c>
    </row>
    <row r="4552" spans="1:4">
      <c r="A4552" s="290"/>
      <c r="B4552" s="290"/>
      <c r="C4552" s="290"/>
      <c r="D4552" s="298"/>
    </row>
    <row r="4553" spans="1:4" ht="27">
      <c r="A4553" s="287" t="s">
        <v>15195</v>
      </c>
      <c r="B4553" s="287"/>
      <c r="C4553" s="287"/>
      <c r="D4553" s="296" t="s">
        <v>28729</v>
      </c>
    </row>
    <row r="4554" spans="1:4" ht="18">
      <c r="A4554" s="288" t="s">
        <v>15196</v>
      </c>
      <c r="B4554" s="289" t="s">
        <v>15197</v>
      </c>
      <c r="C4554" s="288" t="s">
        <v>38</v>
      </c>
      <c r="D4554" s="303">
        <v>9.42</v>
      </c>
    </row>
    <row r="4555" spans="1:4" ht="18">
      <c r="A4555" s="288" t="s">
        <v>15198</v>
      </c>
      <c r="B4555" s="289" t="s">
        <v>15199</v>
      </c>
      <c r="C4555" s="288" t="s">
        <v>38</v>
      </c>
      <c r="D4555" s="303">
        <v>11.26</v>
      </c>
    </row>
    <row r="4556" spans="1:4" ht="18">
      <c r="A4556" s="288" t="s">
        <v>15200</v>
      </c>
      <c r="B4556" s="289" t="s">
        <v>15201</v>
      </c>
      <c r="C4556" s="288" t="s">
        <v>38</v>
      </c>
      <c r="D4556" s="303">
        <v>9.6199999999999992</v>
      </c>
    </row>
    <row r="4557" spans="1:4" ht="18">
      <c r="A4557" s="288" t="s">
        <v>15202</v>
      </c>
      <c r="B4557" s="289" t="s">
        <v>15203</v>
      </c>
      <c r="C4557" s="288" t="s">
        <v>38</v>
      </c>
      <c r="D4557" s="303">
        <v>5.0199999999999996</v>
      </c>
    </row>
    <row r="4558" spans="1:4" ht="18">
      <c r="A4558" s="288" t="s">
        <v>15204</v>
      </c>
      <c r="B4558" s="289" t="s">
        <v>15205</v>
      </c>
      <c r="C4558" s="288" t="s">
        <v>38</v>
      </c>
      <c r="D4558" s="303">
        <v>32.49</v>
      </c>
    </row>
    <row r="4559" spans="1:4" ht="18">
      <c r="A4559" s="288" t="s">
        <v>15206</v>
      </c>
      <c r="B4559" s="289" t="s">
        <v>15207</v>
      </c>
      <c r="C4559" s="288" t="s">
        <v>38</v>
      </c>
      <c r="D4559" s="303">
        <v>30.98</v>
      </c>
    </row>
    <row r="4560" spans="1:4" ht="18">
      <c r="A4560" s="288" t="s">
        <v>15208</v>
      </c>
      <c r="B4560" s="289" t="s">
        <v>15209</v>
      </c>
      <c r="C4560" s="288" t="s">
        <v>38</v>
      </c>
      <c r="D4560" s="303">
        <v>53.61</v>
      </c>
    </row>
    <row r="4561" spans="1:4" ht="18">
      <c r="A4561" s="288" t="s">
        <v>15210</v>
      </c>
      <c r="B4561" s="289" t="s">
        <v>15211</v>
      </c>
      <c r="C4561" s="288" t="s">
        <v>38</v>
      </c>
      <c r="D4561" s="303">
        <v>30.31</v>
      </c>
    </row>
    <row r="4562" spans="1:4" ht="27">
      <c r="A4562" s="288" t="s">
        <v>15212</v>
      </c>
      <c r="B4562" s="289" t="s">
        <v>15213</v>
      </c>
      <c r="C4562" s="288" t="s">
        <v>38</v>
      </c>
      <c r="D4562" s="303">
        <v>26.37</v>
      </c>
    </row>
    <row r="4563" spans="1:4" ht="18">
      <c r="A4563" s="288" t="s">
        <v>15214</v>
      </c>
      <c r="B4563" s="289" t="s">
        <v>15215</v>
      </c>
      <c r="C4563" s="288" t="s">
        <v>38</v>
      </c>
      <c r="D4563" s="303">
        <v>23.87</v>
      </c>
    </row>
    <row r="4564" spans="1:4" ht="18">
      <c r="A4564" s="288" t="s">
        <v>15216</v>
      </c>
      <c r="B4564" s="289" t="s">
        <v>15217</v>
      </c>
      <c r="C4564" s="288" t="s">
        <v>38</v>
      </c>
      <c r="D4564" s="303">
        <v>23.37</v>
      </c>
    </row>
    <row r="4565" spans="1:4" ht="27">
      <c r="A4565" s="288" t="s">
        <v>15218</v>
      </c>
      <c r="B4565" s="289" t="s">
        <v>15219</v>
      </c>
      <c r="C4565" s="288" t="s">
        <v>38</v>
      </c>
      <c r="D4565" s="303">
        <v>27.56</v>
      </c>
    </row>
    <row r="4566" spans="1:4" ht="27">
      <c r="A4566" s="288" t="s">
        <v>15220</v>
      </c>
      <c r="B4566" s="289" t="s">
        <v>15221</v>
      </c>
      <c r="C4566" s="288" t="s">
        <v>38</v>
      </c>
      <c r="D4566" s="303">
        <v>43.99</v>
      </c>
    </row>
    <row r="4567" spans="1:4" ht="18">
      <c r="A4567" s="288" t="s">
        <v>15222</v>
      </c>
      <c r="B4567" s="289" t="s">
        <v>15223</v>
      </c>
      <c r="C4567" s="288" t="s">
        <v>38</v>
      </c>
      <c r="D4567" s="303">
        <v>32.67</v>
      </c>
    </row>
    <row r="4568" spans="1:4" ht="18">
      <c r="A4568" s="288" t="s">
        <v>15224</v>
      </c>
      <c r="B4568" s="289" t="s">
        <v>15225</v>
      </c>
      <c r="C4568" s="288" t="s">
        <v>38</v>
      </c>
      <c r="D4568" s="303">
        <v>31.47</v>
      </c>
    </row>
    <row r="4569" spans="1:4" ht="18">
      <c r="A4569" s="288" t="s">
        <v>15226</v>
      </c>
      <c r="B4569" s="289" t="s">
        <v>15227</v>
      </c>
      <c r="C4569" s="288" t="s">
        <v>38</v>
      </c>
      <c r="D4569" s="303">
        <v>37.57</v>
      </c>
    </row>
    <row r="4570" spans="1:4" ht="18">
      <c r="A4570" s="288" t="s">
        <v>15228</v>
      </c>
      <c r="B4570" s="289" t="s">
        <v>15229</v>
      </c>
      <c r="C4570" s="288" t="s">
        <v>38</v>
      </c>
      <c r="D4570" s="303">
        <v>36.020000000000003</v>
      </c>
    </row>
    <row r="4571" spans="1:4" ht="18">
      <c r="A4571" s="288" t="s">
        <v>15230</v>
      </c>
      <c r="B4571" s="289" t="s">
        <v>15231</v>
      </c>
      <c r="C4571" s="288" t="s">
        <v>38</v>
      </c>
      <c r="D4571" s="303">
        <v>45.75</v>
      </c>
    </row>
    <row r="4572" spans="1:4" ht="27">
      <c r="A4572" s="288" t="s">
        <v>15232</v>
      </c>
      <c r="B4572" s="289" t="s">
        <v>15233</v>
      </c>
      <c r="C4572" s="288" t="s">
        <v>38</v>
      </c>
      <c r="D4572" s="303">
        <v>41.16</v>
      </c>
    </row>
    <row r="4573" spans="1:4" ht="18">
      <c r="A4573" s="288" t="s">
        <v>15234</v>
      </c>
      <c r="B4573" s="289" t="s">
        <v>15235</v>
      </c>
      <c r="C4573" s="288" t="s">
        <v>38</v>
      </c>
      <c r="D4573" s="303">
        <v>26.76</v>
      </c>
    </row>
    <row r="4574" spans="1:4" ht="18">
      <c r="A4574" s="288" t="s">
        <v>15236</v>
      </c>
      <c r="B4574" s="289" t="s">
        <v>15237</v>
      </c>
      <c r="C4574" s="288" t="s">
        <v>38</v>
      </c>
      <c r="D4574" s="303">
        <v>21.12</v>
      </c>
    </row>
    <row r="4575" spans="1:4" ht="27">
      <c r="A4575" s="288" t="s">
        <v>15238</v>
      </c>
      <c r="B4575" s="289" t="s">
        <v>15239</v>
      </c>
      <c r="C4575" s="288" t="s">
        <v>38</v>
      </c>
      <c r="D4575" s="303">
        <v>46.11</v>
      </c>
    </row>
    <row r="4576" spans="1:4" ht="18">
      <c r="A4576" s="288" t="s">
        <v>15240</v>
      </c>
      <c r="B4576" s="289" t="s">
        <v>15241</v>
      </c>
      <c r="C4576" s="288" t="s">
        <v>38</v>
      </c>
      <c r="D4576" s="303">
        <v>28.15</v>
      </c>
    </row>
    <row r="4577" spans="1:4" ht="18">
      <c r="A4577" s="288" t="s">
        <v>15242</v>
      </c>
      <c r="B4577" s="289" t="s">
        <v>15243</v>
      </c>
      <c r="C4577" s="288" t="s">
        <v>38</v>
      </c>
      <c r="D4577" s="303">
        <v>27.19</v>
      </c>
    </row>
    <row r="4578" spans="1:4" ht="27">
      <c r="A4578" s="288" t="s">
        <v>15244</v>
      </c>
      <c r="B4578" s="289" t="s">
        <v>15245</v>
      </c>
      <c r="C4578" s="288" t="s">
        <v>38</v>
      </c>
      <c r="D4578" s="303">
        <v>53.22</v>
      </c>
    </row>
    <row r="4579" spans="1:4" ht="18">
      <c r="A4579" s="288" t="s">
        <v>15246</v>
      </c>
      <c r="B4579" s="289" t="s">
        <v>15247</v>
      </c>
      <c r="C4579" s="288" t="s">
        <v>38</v>
      </c>
      <c r="D4579" s="303">
        <v>14.66</v>
      </c>
    </row>
    <row r="4580" spans="1:4" ht="18">
      <c r="A4580" s="288" t="s">
        <v>15248</v>
      </c>
      <c r="B4580" s="289" t="s">
        <v>15249</v>
      </c>
      <c r="C4580" s="288" t="s">
        <v>38</v>
      </c>
      <c r="D4580" s="303">
        <v>17.16</v>
      </c>
    </row>
    <row r="4581" spans="1:4" ht="18">
      <c r="A4581" s="288" t="s">
        <v>15250</v>
      </c>
      <c r="B4581" s="289" t="s">
        <v>15251</v>
      </c>
      <c r="C4581" s="288" t="s">
        <v>38</v>
      </c>
      <c r="D4581" s="303">
        <v>29.36</v>
      </c>
    </row>
    <row r="4582" spans="1:4" ht="27">
      <c r="A4582" s="288" t="s">
        <v>15252</v>
      </c>
      <c r="B4582" s="289" t="s">
        <v>15253</v>
      </c>
      <c r="C4582" s="288" t="s">
        <v>54</v>
      </c>
      <c r="D4582" s="303">
        <v>6.16</v>
      </c>
    </row>
    <row r="4583" spans="1:4" ht="18">
      <c r="A4583" s="287" t="s">
        <v>15254</v>
      </c>
      <c r="B4583" s="287"/>
      <c r="C4583" s="287"/>
      <c r="D4583" s="296" t="s">
        <v>28729</v>
      </c>
    </row>
    <row r="4584" spans="1:4" ht="36">
      <c r="A4584" s="288" t="s">
        <v>15255</v>
      </c>
      <c r="B4584" s="289" t="s">
        <v>15256</v>
      </c>
      <c r="C4584" s="288" t="s">
        <v>38</v>
      </c>
      <c r="D4584" s="303">
        <v>115.33</v>
      </c>
    </row>
    <row r="4585" spans="1:4" ht="36">
      <c r="A4585" s="288" t="s">
        <v>15257</v>
      </c>
      <c r="B4585" s="289" t="s">
        <v>15258</v>
      </c>
      <c r="C4585" s="288" t="s">
        <v>38</v>
      </c>
      <c r="D4585" s="303">
        <v>106.07</v>
      </c>
    </row>
    <row r="4586" spans="1:4" ht="36">
      <c r="A4586" s="288" t="s">
        <v>15259</v>
      </c>
      <c r="B4586" s="289" t="s">
        <v>15260</v>
      </c>
      <c r="C4586" s="288" t="s">
        <v>38</v>
      </c>
      <c r="D4586" s="303">
        <v>114.34</v>
      </c>
    </row>
    <row r="4587" spans="1:4" ht="36">
      <c r="A4587" s="288" t="s">
        <v>15261</v>
      </c>
      <c r="B4587" s="289" t="s">
        <v>15262</v>
      </c>
      <c r="C4587" s="288" t="s">
        <v>38</v>
      </c>
      <c r="D4587" s="303">
        <v>100.57</v>
      </c>
    </row>
    <row r="4588" spans="1:4" ht="18">
      <c r="A4588" s="287" t="s">
        <v>15263</v>
      </c>
      <c r="B4588" s="287"/>
      <c r="C4588" s="287"/>
      <c r="D4588" s="296" t="s">
        <v>28729</v>
      </c>
    </row>
    <row r="4589" spans="1:4" ht="27">
      <c r="A4589" s="288" t="s">
        <v>15264</v>
      </c>
      <c r="B4589" s="289" t="s">
        <v>15265</v>
      </c>
      <c r="C4589" s="288" t="s">
        <v>38</v>
      </c>
      <c r="D4589" s="303">
        <v>277.23</v>
      </c>
    </row>
    <row r="4590" spans="1:4" ht="45">
      <c r="A4590" s="288" t="s">
        <v>15266</v>
      </c>
      <c r="B4590" s="289" t="s">
        <v>15267</v>
      </c>
      <c r="C4590" s="288" t="s">
        <v>38</v>
      </c>
      <c r="D4590" s="303">
        <v>117.53</v>
      </c>
    </row>
    <row r="4591" spans="1:4" ht="36">
      <c r="A4591" s="288" t="s">
        <v>15268</v>
      </c>
      <c r="B4591" s="289" t="s">
        <v>15269</v>
      </c>
      <c r="C4591" s="288" t="s">
        <v>38</v>
      </c>
      <c r="D4591" s="303">
        <v>119.39</v>
      </c>
    </row>
    <row r="4592" spans="1:4" ht="27">
      <c r="A4592" s="288" t="s">
        <v>15270</v>
      </c>
      <c r="B4592" s="289" t="s">
        <v>15271</v>
      </c>
      <c r="C4592" s="288" t="s">
        <v>38</v>
      </c>
      <c r="D4592" s="303">
        <v>106.31</v>
      </c>
    </row>
    <row r="4593" spans="1:4" ht="27">
      <c r="A4593" s="288" t="s">
        <v>15272</v>
      </c>
      <c r="B4593" s="289" t="s">
        <v>15273</v>
      </c>
      <c r="C4593" s="288" t="s">
        <v>38</v>
      </c>
      <c r="D4593" s="303">
        <v>140.46</v>
      </c>
    </row>
    <row r="4594" spans="1:4" ht="27">
      <c r="A4594" s="288" t="s">
        <v>15274</v>
      </c>
      <c r="B4594" s="289" t="s">
        <v>15275</v>
      </c>
      <c r="C4594" s="288" t="s">
        <v>38</v>
      </c>
      <c r="D4594" s="303">
        <v>136.78</v>
      </c>
    </row>
    <row r="4595" spans="1:4" ht="27">
      <c r="A4595" s="288" t="s">
        <v>15276</v>
      </c>
      <c r="B4595" s="289" t="s">
        <v>15277</v>
      </c>
      <c r="C4595" s="288" t="s">
        <v>38</v>
      </c>
      <c r="D4595" s="303">
        <v>96.04</v>
      </c>
    </row>
    <row r="4596" spans="1:4" ht="36">
      <c r="A4596" s="288" t="s">
        <v>15278</v>
      </c>
      <c r="B4596" s="289" t="s">
        <v>15279</v>
      </c>
      <c r="C4596" s="288" t="s">
        <v>38</v>
      </c>
      <c r="D4596" s="303">
        <v>120.26</v>
      </c>
    </row>
    <row r="4597" spans="1:4" ht="45">
      <c r="A4597" s="288" t="s">
        <v>15280</v>
      </c>
      <c r="B4597" s="289" t="s">
        <v>15281</v>
      </c>
      <c r="C4597" s="288" t="s">
        <v>38</v>
      </c>
      <c r="D4597" s="303">
        <v>101.22</v>
      </c>
    </row>
    <row r="4598" spans="1:4" ht="36">
      <c r="A4598" s="288" t="s">
        <v>15282</v>
      </c>
      <c r="B4598" s="289" t="s">
        <v>15283</v>
      </c>
      <c r="C4598" s="288" t="s">
        <v>38</v>
      </c>
      <c r="D4598" s="303">
        <v>99.22</v>
      </c>
    </row>
    <row r="4599" spans="1:4" ht="36">
      <c r="A4599" s="288" t="s">
        <v>15284</v>
      </c>
      <c r="B4599" s="289" t="s">
        <v>15285</v>
      </c>
      <c r="C4599" s="288" t="s">
        <v>38</v>
      </c>
      <c r="D4599" s="303">
        <v>83.6</v>
      </c>
    </row>
    <row r="4600" spans="1:4" ht="36">
      <c r="A4600" s="288" t="s">
        <v>15286</v>
      </c>
      <c r="B4600" s="289" t="s">
        <v>15287</v>
      </c>
      <c r="C4600" s="288" t="s">
        <v>38</v>
      </c>
      <c r="D4600" s="303">
        <v>434.51</v>
      </c>
    </row>
    <row r="4601" spans="1:4" ht="36">
      <c r="A4601" s="288" t="s">
        <v>15288</v>
      </c>
      <c r="B4601" s="289" t="s">
        <v>15289</v>
      </c>
      <c r="C4601" s="288" t="s">
        <v>38</v>
      </c>
      <c r="D4601" s="303">
        <v>203.75</v>
      </c>
    </row>
    <row r="4602" spans="1:4" ht="36">
      <c r="A4602" s="288" t="s">
        <v>15290</v>
      </c>
      <c r="B4602" s="289" t="s">
        <v>15291</v>
      </c>
      <c r="C4602" s="288" t="s">
        <v>38</v>
      </c>
      <c r="D4602" s="303">
        <v>133.53</v>
      </c>
    </row>
    <row r="4603" spans="1:4" ht="36">
      <c r="A4603" s="288" t="s">
        <v>15292</v>
      </c>
      <c r="B4603" s="289" t="s">
        <v>15293</v>
      </c>
      <c r="C4603" s="288" t="s">
        <v>38</v>
      </c>
      <c r="D4603" s="303">
        <v>139.87</v>
      </c>
    </row>
    <row r="4604" spans="1:4" ht="45">
      <c r="A4604" s="288" t="s">
        <v>15294</v>
      </c>
      <c r="B4604" s="289" t="s">
        <v>15295</v>
      </c>
      <c r="C4604" s="288" t="s">
        <v>38</v>
      </c>
      <c r="D4604" s="303">
        <v>93.09</v>
      </c>
    </row>
    <row r="4605" spans="1:4" ht="36">
      <c r="A4605" s="288" t="s">
        <v>15296</v>
      </c>
      <c r="B4605" s="289" t="s">
        <v>15297</v>
      </c>
      <c r="C4605" s="288" t="s">
        <v>38</v>
      </c>
      <c r="D4605" s="303">
        <v>299.56</v>
      </c>
    </row>
    <row r="4606" spans="1:4" ht="36">
      <c r="A4606" s="288" t="s">
        <v>15298</v>
      </c>
      <c r="B4606" s="289" t="s">
        <v>15299</v>
      </c>
      <c r="C4606" s="288" t="s">
        <v>38</v>
      </c>
      <c r="D4606" s="303">
        <v>93.09</v>
      </c>
    </row>
    <row r="4607" spans="1:4" ht="36">
      <c r="A4607" s="288" t="s">
        <v>15300</v>
      </c>
      <c r="B4607" s="289" t="s">
        <v>15301</v>
      </c>
      <c r="C4607" s="288" t="s">
        <v>38</v>
      </c>
      <c r="D4607" s="303">
        <v>69.209999999999994</v>
      </c>
    </row>
    <row r="4608" spans="1:4" ht="27">
      <c r="A4608" s="288" t="s">
        <v>15302</v>
      </c>
      <c r="B4608" s="289" t="s">
        <v>15303</v>
      </c>
      <c r="C4608" s="288" t="s">
        <v>38</v>
      </c>
      <c r="D4608" s="303">
        <v>150.12</v>
      </c>
    </row>
    <row r="4609" spans="1:4" ht="36">
      <c r="A4609" s="288" t="s">
        <v>15304</v>
      </c>
      <c r="B4609" s="289" t="s">
        <v>15305</v>
      </c>
      <c r="C4609" s="288" t="s">
        <v>38</v>
      </c>
      <c r="D4609" s="303">
        <v>88.01</v>
      </c>
    </row>
    <row r="4610" spans="1:4" ht="18">
      <c r="A4610" s="287" t="s">
        <v>15306</v>
      </c>
      <c r="B4610" s="287"/>
      <c r="C4610" s="287"/>
      <c r="D4610" s="296" t="s">
        <v>28729</v>
      </c>
    </row>
    <row r="4611" spans="1:4" ht="18">
      <c r="A4611" s="288" t="s">
        <v>15307</v>
      </c>
      <c r="B4611" s="289" t="s">
        <v>15308</v>
      </c>
      <c r="C4611" s="288" t="s">
        <v>38</v>
      </c>
      <c r="D4611" s="303">
        <v>26.06</v>
      </c>
    </row>
    <row r="4612" spans="1:4" ht="18">
      <c r="A4612" s="288" t="s">
        <v>15309</v>
      </c>
      <c r="B4612" s="289" t="s">
        <v>15310</v>
      </c>
      <c r="C4612" s="288" t="s">
        <v>7079</v>
      </c>
      <c r="D4612" s="303">
        <v>120</v>
      </c>
    </row>
    <row r="4613" spans="1:4" ht="18">
      <c r="A4613" s="288" t="s">
        <v>15311</v>
      </c>
      <c r="B4613" s="289" t="s">
        <v>15312</v>
      </c>
      <c r="C4613" s="288" t="s">
        <v>7079</v>
      </c>
      <c r="D4613" s="303">
        <v>56.29</v>
      </c>
    </row>
    <row r="4614" spans="1:4" ht="36">
      <c r="A4614" s="288" t="s">
        <v>15313</v>
      </c>
      <c r="B4614" s="289" t="s">
        <v>15314</v>
      </c>
      <c r="C4614" s="288" t="s">
        <v>38</v>
      </c>
      <c r="D4614" s="303">
        <v>148.38</v>
      </c>
    </row>
    <row r="4615" spans="1:4" ht="18">
      <c r="A4615" s="287" t="s">
        <v>15315</v>
      </c>
      <c r="B4615" s="287"/>
      <c r="C4615" s="287"/>
      <c r="D4615" s="296" t="s">
        <v>28729</v>
      </c>
    </row>
    <row r="4616" spans="1:4" ht="27">
      <c r="A4616" s="288" t="s">
        <v>15316</v>
      </c>
      <c r="B4616" s="289" t="s">
        <v>15317</v>
      </c>
      <c r="C4616" s="288" t="s">
        <v>54</v>
      </c>
      <c r="D4616" s="303">
        <v>86.47</v>
      </c>
    </row>
    <row r="4617" spans="1:4" ht="18">
      <c r="A4617" s="288" t="s">
        <v>15318</v>
      </c>
      <c r="B4617" s="289" t="s">
        <v>15319</v>
      </c>
      <c r="C4617" s="288" t="s">
        <v>54</v>
      </c>
      <c r="D4617" s="303">
        <v>75.239999999999995</v>
      </c>
    </row>
    <row r="4618" spans="1:4">
      <c r="A4618" s="287" t="s">
        <v>15320</v>
      </c>
      <c r="B4618" s="287"/>
      <c r="C4618" s="287"/>
      <c r="D4618" s="296" t="s">
        <v>28729</v>
      </c>
    </row>
    <row r="4619" spans="1:4" ht="18">
      <c r="A4619" s="288" t="s">
        <v>15321</v>
      </c>
      <c r="B4619" s="289" t="s">
        <v>15322</v>
      </c>
      <c r="C4619" s="288" t="s">
        <v>7079</v>
      </c>
      <c r="D4619" s="303">
        <v>276.93</v>
      </c>
    </row>
    <row r="4620" spans="1:4" ht="27">
      <c r="A4620" s="288" t="s">
        <v>15323</v>
      </c>
      <c r="B4620" s="289" t="s">
        <v>15324</v>
      </c>
      <c r="C4620" s="288" t="s">
        <v>38</v>
      </c>
      <c r="D4620" s="303">
        <v>61.21</v>
      </c>
    </row>
    <row r="4621" spans="1:4" ht="27">
      <c r="A4621" s="288" t="s">
        <v>15325</v>
      </c>
      <c r="B4621" s="289" t="s">
        <v>15326</v>
      </c>
      <c r="C4621" s="288" t="s">
        <v>38</v>
      </c>
      <c r="D4621" s="303">
        <v>58.88</v>
      </c>
    </row>
    <row r="4622" spans="1:4" ht="18">
      <c r="A4622" s="288" t="s">
        <v>15327</v>
      </c>
      <c r="B4622" s="289" t="s">
        <v>15328</v>
      </c>
      <c r="C4622" s="288" t="s">
        <v>38</v>
      </c>
      <c r="D4622" s="303">
        <v>59</v>
      </c>
    </row>
    <row r="4623" spans="1:4" ht="27">
      <c r="A4623" s="288" t="s">
        <v>15329</v>
      </c>
      <c r="B4623" s="289" t="s">
        <v>15330</v>
      </c>
      <c r="C4623" s="288" t="s">
        <v>38</v>
      </c>
      <c r="D4623" s="303">
        <v>108.06</v>
      </c>
    </row>
    <row r="4624" spans="1:4" ht="27">
      <c r="A4624" s="288" t="s">
        <v>15331</v>
      </c>
      <c r="B4624" s="289" t="s">
        <v>15332</v>
      </c>
      <c r="C4624" s="288" t="s">
        <v>38</v>
      </c>
      <c r="D4624" s="303">
        <v>233.84</v>
      </c>
    </row>
    <row r="4625" spans="1:4" ht="18">
      <c r="A4625" s="288" t="s">
        <v>15333</v>
      </c>
      <c r="B4625" s="289" t="s">
        <v>15334</v>
      </c>
      <c r="C4625" s="288" t="s">
        <v>38</v>
      </c>
      <c r="D4625" s="303">
        <v>82.83</v>
      </c>
    </row>
    <row r="4626" spans="1:4" ht="27">
      <c r="A4626" s="287" t="s">
        <v>15335</v>
      </c>
      <c r="B4626" s="287"/>
      <c r="C4626" s="287"/>
      <c r="D4626" s="296" t="s">
        <v>28729</v>
      </c>
    </row>
    <row r="4627" spans="1:4" ht="27">
      <c r="A4627" s="288" t="s">
        <v>15336</v>
      </c>
      <c r="B4627" s="289" t="s">
        <v>15337</v>
      </c>
      <c r="C4627" s="288" t="s">
        <v>38</v>
      </c>
      <c r="D4627" s="303">
        <v>168.42</v>
      </c>
    </row>
    <row r="4628" spans="1:4" ht="27">
      <c r="A4628" s="287" t="s">
        <v>15338</v>
      </c>
      <c r="B4628" s="287"/>
      <c r="C4628" s="287"/>
      <c r="D4628" s="296" t="s">
        <v>28729</v>
      </c>
    </row>
    <row r="4629" spans="1:4" ht="18">
      <c r="A4629" s="288" t="s">
        <v>15339</v>
      </c>
      <c r="B4629" s="289" t="s">
        <v>15340</v>
      </c>
      <c r="C4629" s="288" t="s">
        <v>38</v>
      </c>
      <c r="D4629" s="303">
        <v>662.55</v>
      </c>
    </row>
    <row r="4630" spans="1:4" ht="18">
      <c r="A4630" s="287" t="s">
        <v>15341</v>
      </c>
      <c r="B4630" s="287"/>
      <c r="C4630" s="287"/>
      <c r="D4630" s="296" t="s">
        <v>28729</v>
      </c>
    </row>
    <row r="4631" spans="1:4" ht="18">
      <c r="A4631" s="288" t="s">
        <v>15342</v>
      </c>
      <c r="B4631" s="289" t="s">
        <v>15343</v>
      </c>
      <c r="C4631" s="288" t="s">
        <v>38</v>
      </c>
      <c r="D4631" s="303">
        <v>81.03</v>
      </c>
    </row>
    <row r="4632" spans="1:4" ht="18">
      <c r="A4632" s="288" t="s">
        <v>15344</v>
      </c>
      <c r="B4632" s="289" t="s">
        <v>15345</v>
      </c>
      <c r="C4632" s="288" t="s">
        <v>38</v>
      </c>
      <c r="D4632" s="303">
        <v>116.63</v>
      </c>
    </row>
    <row r="4633" spans="1:4" ht="27">
      <c r="A4633" s="288" t="s">
        <v>15346</v>
      </c>
      <c r="B4633" s="289" t="s">
        <v>15347</v>
      </c>
      <c r="C4633" s="288" t="s">
        <v>38</v>
      </c>
      <c r="D4633" s="303">
        <v>627.67999999999995</v>
      </c>
    </row>
    <row r="4634" spans="1:4" ht="18">
      <c r="A4634" s="287" t="s">
        <v>15348</v>
      </c>
      <c r="B4634" s="287"/>
      <c r="C4634" s="287"/>
      <c r="D4634" s="296" t="s">
        <v>28729</v>
      </c>
    </row>
    <row r="4635" spans="1:4" ht="18">
      <c r="A4635" s="288" t="s">
        <v>15349</v>
      </c>
      <c r="B4635" s="289" t="s">
        <v>15350</v>
      </c>
      <c r="C4635" s="288" t="s">
        <v>38</v>
      </c>
      <c r="D4635" s="303">
        <v>18.489999999999998</v>
      </c>
    </row>
    <row r="4636" spans="1:4" ht="18">
      <c r="A4636" s="288" t="s">
        <v>15351</v>
      </c>
      <c r="B4636" s="289" t="s">
        <v>15352</v>
      </c>
      <c r="C4636" s="288" t="s">
        <v>38</v>
      </c>
      <c r="D4636" s="303">
        <v>142.84</v>
      </c>
    </row>
    <row r="4637" spans="1:4" ht="18">
      <c r="A4637" s="288" t="s">
        <v>15353</v>
      </c>
      <c r="B4637" s="289" t="s">
        <v>15354</v>
      </c>
      <c r="C4637" s="288" t="s">
        <v>38</v>
      </c>
      <c r="D4637" s="303">
        <v>64.010000000000005</v>
      </c>
    </row>
    <row r="4638" spans="1:4" ht="18">
      <c r="A4638" s="288" t="s">
        <v>15355</v>
      </c>
      <c r="B4638" s="289" t="s">
        <v>15356</v>
      </c>
      <c r="C4638" s="288" t="s">
        <v>38</v>
      </c>
      <c r="D4638" s="303">
        <v>25.14</v>
      </c>
    </row>
    <row r="4639" spans="1:4" ht="27">
      <c r="A4639" s="288" t="s">
        <v>15357</v>
      </c>
      <c r="B4639" s="289" t="s">
        <v>15358</v>
      </c>
      <c r="C4639" s="288" t="s">
        <v>38</v>
      </c>
      <c r="D4639" s="303">
        <v>605.36</v>
      </c>
    </row>
    <row r="4640" spans="1:4" ht="27">
      <c r="A4640" s="288" t="s">
        <v>15359</v>
      </c>
      <c r="B4640" s="289" t="s">
        <v>15360</v>
      </c>
      <c r="C4640" s="288" t="s">
        <v>38</v>
      </c>
      <c r="D4640" s="303">
        <v>1088.96</v>
      </c>
    </row>
    <row r="4641" spans="1:4" ht="27">
      <c r="A4641" s="288" t="s">
        <v>15361</v>
      </c>
      <c r="B4641" s="289" t="s">
        <v>15362</v>
      </c>
      <c r="C4641" s="288" t="s">
        <v>38</v>
      </c>
      <c r="D4641" s="303">
        <v>1891.16</v>
      </c>
    </row>
    <row r="4642" spans="1:4" ht="27">
      <c r="A4642" s="288" t="s">
        <v>15363</v>
      </c>
      <c r="B4642" s="289" t="s">
        <v>15364</v>
      </c>
      <c r="C4642" s="288" t="s">
        <v>38</v>
      </c>
      <c r="D4642" s="303">
        <v>41.53</v>
      </c>
    </row>
    <row r="4643" spans="1:4">
      <c r="A4643" s="290"/>
      <c r="B4643" s="290"/>
      <c r="C4643" s="290"/>
      <c r="D4643" s="298"/>
    </row>
    <row r="4644" spans="1:4" ht="27">
      <c r="A4644" s="287" t="s">
        <v>15365</v>
      </c>
      <c r="B4644" s="287"/>
      <c r="C4644" s="287"/>
      <c r="D4644" s="296" t="s">
        <v>28729</v>
      </c>
    </row>
    <row r="4645" spans="1:4" ht="18">
      <c r="A4645" s="288" t="s">
        <v>15366</v>
      </c>
      <c r="B4645" s="289" t="s">
        <v>15367</v>
      </c>
      <c r="C4645" s="288" t="s">
        <v>38</v>
      </c>
      <c r="D4645" s="303">
        <v>20.21</v>
      </c>
    </row>
    <row r="4646" spans="1:4" ht="18">
      <c r="A4646" s="288" t="s">
        <v>15368</v>
      </c>
      <c r="B4646" s="289" t="s">
        <v>15369</v>
      </c>
      <c r="C4646" s="288" t="s">
        <v>38</v>
      </c>
      <c r="D4646" s="303">
        <v>23.86</v>
      </c>
    </row>
    <row r="4647" spans="1:4" ht="18">
      <c r="A4647" s="288" t="s">
        <v>15370</v>
      </c>
      <c r="B4647" s="289" t="s">
        <v>15371</v>
      </c>
      <c r="C4647" s="288" t="s">
        <v>38</v>
      </c>
      <c r="D4647" s="303">
        <v>27.53</v>
      </c>
    </row>
    <row r="4648" spans="1:4" ht="18">
      <c r="A4648" s="288" t="s">
        <v>15372</v>
      </c>
      <c r="B4648" s="289" t="s">
        <v>15373</v>
      </c>
      <c r="C4648" s="288" t="s">
        <v>38</v>
      </c>
      <c r="D4648" s="303">
        <v>31.18</v>
      </c>
    </row>
    <row r="4649" spans="1:4" ht="18">
      <c r="A4649" s="288" t="s">
        <v>15374</v>
      </c>
      <c r="B4649" s="289" t="s">
        <v>15375</v>
      </c>
      <c r="C4649" s="288" t="s">
        <v>38</v>
      </c>
      <c r="D4649" s="303">
        <v>34.840000000000003</v>
      </c>
    </row>
    <row r="4650" spans="1:4" ht="36">
      <c r="A4650" s="288" t="s">
        <v>15376</v>
      </c>
      <c r="B4650" s="289" t="s">
        <v>15377</v>
      </c>
      <c r="C4650" s="288" t="s">
        <v>38</v>
      </c>
      <c r="D4650" s="303">
        <v>39.659999999999997</v>
      </c>
    </row>
    <row r="4651" spans="1:4" ht="18">
      <c r="A4651" s="288" t="s">
        <v>15378</v>
      </c>
      <c r="B4651" s="289" t="s">
        <v>15379</v>
      </c>
      <c r="C4651" s="288" t="s">
        <v>38</v>
      </c>
      <c r="D4651" s="303">
        <v>9.9</v>
      </c>
    </row>
    <row r="4652" spans="1:4" ht="18">
      <c r="A4652" s="288" t="s">
        <v>15380</v>
      </c>
      <c r="B4652" s="289" t="s">
        <v>15381</v>
      </c>
      <c r="C4652" s="288" t="s">
        <v>38</v>
      </c>
      <c r="D4652" s="303">
        <v>29.49</v>
      </c>
    </row>
    <row r="4653" spans="1:4" ht="18">
      <c r="A4653" s="288" t="s">
        <v>15382</v>
      </c>
      <c r="B4653" s="289" t="s">
        <v>15383</v>
      </c>
      <c r="C4653" s="288" t="s">
        <v>38</v>
      </c>
      <c r="D4653" s="303">
        <v>43.06</v>
      </c>
    </row>
    <row r="4654" spans="1:4" ht="27">
      <c r="A4654" s="288" t="s">
        <v>15384</v>
      </c>
      <c r="B4654" s="289" t="s">
        <v>15385</v>
      </c>
      <c r="C4654" s="288" t="s">
        <v>38</v>
      </c>
      <c r="D4654" s="303">
        <v>47.06</v>
      </c>
    </row>
    <row r="4655" spans="1:4" ht="27">
      <c r="A4655" s="288" t="s">
        <v>15386</v>
      </c>
      <c r="B4655" s="289" t="s">
        <v>15387</v>
      </c>
      <c r="C4655" s="288" t="s">
        <v>38</v>
      </c>
      <c r="D4655" s="303">
        <v>31.35</v>
      </c>
    </row>
    <row r="4656" spans="1:4">
      <c r="A4656" s="288" t="s">
        <v>15388</v>
      </c>
      <c r="B4656" s="289" t="s">
        <v>15389</v>
      </c>
      <c r="C4656" s="288" t="s">
        <v>54</v>
      </c>
      <c r="D4656" s="303">
        <v>13.17</v>
      </c>
    </row>
    <row r="4657" spans="1:4" ht="18">
      <c r="A4657" s="287" t="s">
        <v>15390</v>
      </c>
      <c r="B4657" s="287"/>
      <c r="C4657" s="287"/>
      <c r="D4657" s="296" t="s">
        <v>28729</v>
      </c>
    </row>
    <row r="4658" spans="1:4" ht="18">
      <c r="A4658" s="288" t="s">
        <v>15391</v>
      </c>
      <c r="B4658" s="289" t="s">
        <v>15392</v>
      </c>
      <c r="C4658" s="288" t="s">
        <v>38</v>
      </c>
      <c r="D4658" s="303">
        <v>41.92</v>
      </c>
    </row>
    <row r="4659" spans="1:4" ht="27">
      <c r="A4659" s="288" t="s">
        <v>15393</v>
      </c>
      <c r="B4659" s="289" t="s">
        <v>15394</v>
      </c>
      <c r="C4659" s="288" t="s">
        <v>38</v>
      </c>
      <c r="D4659" s="303">
        <v>47.77</v>
      </c>
    </row>
    <row r="4660" spans="1:4">
      <c r="A4660" s="287" t="s">
        <v>15395</v>
      </c>
      <c r="B4660" s="287"/>
      <c r="C4660" s="287"/>
      <c r="D4660" s="296" t="s">
        <v>28729</v>
      </c>
    </row>
    <row r="4661" spans="1:4" ht="36">
      <c r="A4661" s="288" t="s">
        <v>15396</v>
      </c>
      <c r="B4661" s="289" t="s">
        <v>15397</v>
      </c>
      <c r="C4661" s="288" t="s">
        <v>38</v>
      </c>
      <c r="D4661" s="303">
        <v>77.97</v>
      </c>
    </row>
    <row r="4662" spans="1:4" ht="36">
      <c r="A4662" s="288" t="s">
        <v>15398</v>
      </c>
      <c r="B4662" s="289" t="s">
        <v>15399</v>
      </c>
      <c r="C4662" s="288" t="s">
        <v>38</v>
      </c>
      <c r="D4662" s="303">
        <v>185.66</v>
      </c>
    </row>
    <row r="4663" spans="1:4" ht="36">
      <c r="A4663" s="288" t="s">
        <v>15400</v>
      </c>
      <c r="B4663" s="289" t="s">
        <v>15401</v>
      </c>
      <c r="C4663" s="288" t="s">
        <v>38</v>
      </c>
      <c r="D4663" s="303">
        <v>83.17</v>
      </c>
    </row>
    <row r="4664" spans="1:4" ht="45">
      <c r="A4664" s="288" t="s">
        <v>15402</v>
      </c>
      <c r="B4664" s="289" t="s">
        <v>15403</v>
      </c>
      <c r="C4664" s="288" t="s">
        <v>38</v>
      </c>
      <c r="D4664" s="303">
        <v>164.11</v>
      </c>
    </row>
    <row r="4665" spans="1:4" ht="18">
      <c r="A4665" s="288" t="s">
        <v>15404</v>
      </c>
      <c r="B4665" s="289" t="s">
        <v>15405</v>
      </c>
      <c r="C4665" s="288" t="s">
        <v>38</v>
      </c>
      <c r="D4665" s="303">
        <v>60.21</v>
      </c>
    </row>
    <row r="4666" spans="1:4" ht="27">
      <c r="A4666" s="288" t="s">
        <v>15406</v>
      </c>
      <c r="B4666" s="289" t="s">
        <v>15407</v>
      </c>
      <c r="C4666" s="288" t="s">
        <v>38</v>
      </c>
      <c r="D4666" s="303">
        <v>87.44</v>
      </c>
    </row>
    <row r="4667" spans="1:4" ht="45">
      <c r="A4667" s="288" t="s">
        <v>15408</v>
      </c>
      <c r="B4667" s="289" t="s">
        <v>15409</v>
      </c>
      <c r="C4667" s="288" t="s">
        <v>38</v>
      </c>
      <c r="D4667" s="303">
        <v>81.58</v>
      </c>
    </row>
    <row r="4668" spans="1:4" ht="45">
      <c r="A4668" s="288" t="s">
        <v>15410</v>
      </c>
      <c r="B4668" s="289" t="s">
        <v>15411</v>
      </c>
      <c r="C4668" s="288" t="s">
        <v>38</v>
      </c>
      <c r="D4668" s="303">
        <v>141.01</v>
      </c>
    </row>
    <row r="4669" spans="1:4" ht="18">
      <c r="A4669" s="287" t="s">
        <v>15412</v>
      </c>
      <c r="B4669" s="287"/>
      <c r="C4669" s="287"/>
      <c r="D4669" s="296" t="s">
        <v>28729</v>
      </c>
    </row>
    <row r="4670" spans="1:4" ht="36">
      <c r="A4670" s="288" t="s">
        <v>15413</v>
      </c>
      <c r="B4670" s="289" t="s">
        <v>15414</v>
      </c>
      <c r="C4670" s="288" t="s">
        <v>38</v>
      </c>
      <c r="D4670" s="303">
        <v>110.8</v>
      </c>
    </row>
    <row r="4671" spans="1:4" ht="36">
      <c r="A4671" s="288" t="s">
        <v>15415</v>
      </c>
      <c r="B4671" s="289" t="s">
        <v>15416</v>
      </c>
      <c r="C4671" s="288" t="s">
        <v>38</v>
      </c>
      <c r="D4671" s="303">
        <v>108.6</v>
      </c>
    </row>
    <row r="4672" spans="1:4" ht="18">
      <c r="A4672" s="287" t="s">
        <v>15417</v>
      </c>
      <c r="B4672" s="287"/>
      <c r="C4672" s="287"/>
      <c r="D4672" s="296" t="s">
        <v>28729</v>
      </c>
    </row>
    <row r="4673" spans="1:4" ht="27">
      <c r="A4673" s="288" t="s">
        <v>15418</v>
      </c>
      <c r="B4673" s="289" t="s">
        <v>15419</v>
      </c>
      <c r="C4673" s="288" t="s">
        <v>38</v>
      </c>
      <c r="D4673" s="303">
        <v>57.31</v>
      </c>
    </row>
    <row r="4674" spans="1:4" ht="27">
      <c r="A4674" s="288" t="s">
        <v>15420</v>
      </c>
      <c r="B4674" s="289" t="s">
        <v>15421</v>
      </c>
      <c r="C4674" s="288" t="s">
        <v>54</v>
      </c>
      <c r="D4674" s="303">
        <v>157.4</v>
      </c>
    </row>
    <row r="4675" spans="1:4" ht="18">
      <c r="A4675" s="288" t="s">
        <v>15422</v>
      </c>
      <c r="B4675" s="289" t="s">
        <v>15423</v>
      </c>
      <c r="C4675" s="288" t="s">
        <v>7079</v>
      </c>
      <c r="D4675" s="303">
        <v>13.63</v>
      </c>
    </row>
    <row r="4676" spans="1:4" ht="18">
      <c r="A4676" s="288" t="s">
        <v>15424</v>
      </c>
      <c r="B4676" s="289" t="s">
        <v>15425</v>
      </c>
      <c r="C4676" s="288" t="s">
        <v>38</v>
      </c>
      <c r="D4676" s="303">
        <v>180</v>
      </c>
    </row>
    <row r="4677" spans="1:4" ht="18">
      <c r="A4677" s="288" t="s">
        <v>15426</v>
      </c>
      <c r="B4677" s="289" t="s">
        <v>15427</v>
      </c>
      <c r="C4677" s="288" t="s">
        <v>38</v>
      </c>
      <c r="D4677" s="303">
        <v>379.62</v>
      </c>
    </row>
    <row r="4678" spans="1:4" ht="27">
      <c r="A4678" s="288" t="s">
        <v>15428</v>
      </c>
      <c r="B4678" s="289" t="s">
        <v>15429</v>
      </c>
      <c r="C4678" s="288" t="s">
        <v>38</v>
      </c>
      <c r="D4678" s="303">
        <v>235.04</v>
      </c>
    </row>
    <row r="4679" spans="1:4" ht="27">
      <c r="A4679" s="288" t="s">
        <v>15430</v>
      </c>
      <c r="B4679" s="289" t="s">
        <v>15431</v>
      </c>
      <c r="C4679" s="288" t="s">
        <v>38</v>
      </c>
      <c r="D4679" s="303">
        <v>424.04</v>
      </c>
    </row>
    <row r="4680" spans="1:4" ht="18">
      <c r="A4680" s="288" t="s">
        <v>15432</v>
      </c>
      <c r="B4680" s="289" t="s">
        <v>15433</v>
      </c>
      <c r="C4680" s="288" t="s">
        <v>38</v>
      </c>
      <c r="D4680" s="303">
        <v>210</v>
      </c>
    </row>
    <row r="4681" spans="1:4" ht="18">
      <c r="A4681" s="288" t="s">
        <v>15434</v>
      </c>
      <c r="B4681" s="289" t="s">
        <v>15435</v>
      </c>
      <c r="C4681" s="288" t="s">
        <v>54</v>
      </c>
      <c r="D4681" s="303">
        <v>24</v>
      </c>
    </row>
    <row r="4682" spans="1:4" ht="27">
      <c r="A4682" s="288" t="s">
        <v>15436</v>
      </c>
      <c r="B4682" s="289" t="s">
        <v>15437</v>
      </c>
      <c r="C4682" s="288" t="s">
        <v>38</v>
      </c>
      <c r="D4682" s="303">
        <v>396.46</v>
      </c>
    </row>
    <row r="4683" spans="1:4" ht="27">
      <c r="A4683" s="288" t="s">
        <v>15438</v>
      </c>
      <c r="B4683" s="289" t="s">
        <v>15439</v>
      </c>
      <c r="C4683" s="288" t="s">
        <v>38</v>
      </c>
      <c r="D4683" s="303">
        <v>317.8</v>
      </c>
    </row>
    <row r="4684" spans="1:4" ht="27">
      <c r="A4684" s="288" t="s">
        <v>15440</v>
      </c>
      <c r="B4684" s="289" t="s">
        <v>15441</v>
      </c>
      <c r="C4684" s="288" t="s">
        <v>38</v>
      </c>
      <c r="D4684" s="303">
        <v>108.59</v>
      </c>
    </row>
    <row r="4685" spans="1:4" ht="27">
      <c r="A4685" s="288" t="s">
        <v>15442</v>
      </c>
      <c r="B4685" s="289" t="s">
        <v>15443</v>
      </c>
      <c r="C4685" s="288" t="s">
        <v>38</v>
      </c>
      <c r="D4685" s="303">
        <v>419.14</v>
      </c>
    </row>
    <row r="4686" spans="1:4" ht="27">
      <c r="A4686" s="288" t="s">
        <v>15444</v>
      </c>
      <c r="B4686" s="289" t="s">
        <v>15445</v>
      </c>
      <c r="C4686" s="288" t="s">
        <v>38</v>
      </c>
      <c r="D4686" s="303">
        <v>179.2</v>
      </c>
    </row>
    <row r="4687" spans="1:4" ht="27">
      <c r="A4687" s="288" t="s">
        <v>15446</v>
      </c>
      <c r="B4687" s="289" t="s">
        <v>15447</v>
      </c>
      <c r="C4687" s="288" t="s">
        <v>38</v>
      </c>
      <c r="D4687" s="303">
        <v>179.2</v>
      </c>
    </row>
    <row r="4688" spans="1:4" ht="27">
      <c r="A4688" s="288" t="s">
        <v>15448</v>
      </c>
      <c r="B4688" s="289" t="s">
        <v>15449</v>
      </c>
      <c r="C4688" s="288" t="s">
        <v>38</v>
      </c>
      <c r="D4688" s="303">
        <v>159.78</v>
      </c>
    </row>
    <row r="4689" spans="1:4">
      <c r="A4689" s="288" t="s">
        <v>15450</v>
      </c>
      <c r="B4689" s="289" t="s">
        <v>15451</v>
      </c>
      <c r="C4689" s="288" t="s">
        <v>54</v>
      </c>
      <c r="D4689" s="303">
        <v>43.69</v>
      </c>
    </row>
    <row r="4690" spans="1:4" ht="18">
      <c r="A4690" s="288" t="s">
        <v>15452</v>
      </c>
      <c r="B4690" s="289" t="s">
        <v>15453</v>
      </c>
      <c r="C4690" s="288" t="s">
        <v>54</v>
      </c>
      <c r="D4690" s="303">
        <v>72.31</v>
      </c>
    </row>
    <row r="4691" spans="1:4" ht="27">
      <c r="A4691" s="288" t="s">
        <v>15454</v>
      </c>
      <c r="B4691" s="289" t="s">
        <v>15455</v>
      </c>
      <c r="C4691" s="288" t="s">
        <v>54</v>
      </c>
      <c r="D4691" s="303">
        <v>101.53</v>
      </c>
    </row>
    <row r="4692" spans="1:4" ht="27">
      <c r="A4692" s="288" t="s">
        <v>15456</v>
      </c>
      <c r="B4692" s="289" t="s">
        <v>15457</v>
      </c>
      <c r="C4692" s="288" t="s">
        <v>54</v>
      </c>
      <c r="D4692" s="303">
        <v>57.38</v>
      </c>
    </row>
    <row r="4693" spans="1:4" ht="18">
      <c r="A4693" s="288" t="s">
        <v>15458</v>
      </c>
      <c r="B4693" s="289" t="s">
        <v>15459</v>
      </c>
      <c r="C4693" s="288" t="s">
        <v>38</v>
      </c>
      <c r="D4693" s="303">
        <v>251.23</v>
      </c>
    </row>
    <row r="4694" spans="1:4" ht="18">
      <c r="A4694" s="287" t="s">
        <v>15460</v>
      </c>
      <c r="B4694" s="287"/>
      <c r="C4694" s="287"/>
      <c r="D4694" s="296" t="s">
        <v>28729</v>
      </c>
    </row>
    <row r="4695" spans="1:4" ht="18">
      <c r="A4695" s="288" t="s">
        <v>15461</v>
      </c>
      <c r="B4695" s="289" t="s">
        <v>15462</v>
      </c>
      <c r="C4695" s="288" t="s">
        <v>38</v>
      </c>
      <c r="D4695" s="303">
        <v>28.58</v>
      </c>
    </row>
    <row r="4696" spans="1:4" ht="27">
      <c r="A4696" s="288" t="s">
        <v>15463</v>
      </c>
      <c r="B4696" s="289" t="s">
        <v>15464</v>
      </c>
      <c r="C4696" s="288" t="s">
        <v>38</v>
      </c>
      <c r="D4696" s="303">
        <v>41.89</v>
      </c>
    </row>
    <row r="4697" spans="1:4" ht="27">
      <c r="A4697" s="288" t="s">
        <v>15465</v>
      </c>
      <c r="B4697" s="289" t="s">
        <v>15466</v>
      </c>
      <c r="C4697" s="288" t="s">
        <v>38</v>
      </c>
      <c r="D4697" s="303">
        <v>49.93</v>
      </c>
    </row>
    <row r="4698" spans="1:4" ht="27">
      <c r="A4698" s="288" t="s">
        <v>15467</v>
      </c>
      <c r="B4698" s="289" t="s">
        <v>15468</v>
      </c>
      <c r="C4698" s="288" t="s">
        <v>38</v>
      </c>
      <c r="D4698" s="303">
        <v>58.58</v>
      </c>
    </row>
    <row r="4699" spans="1:4" ht="27">
      <c r="A4699" s="288" t="s">
        <v>15469</v>
      </c>
      <c r="B4699" s="289" t="s">
        <v>15470</v>
      </c>
      <c r="C4699" s="288" t="s">
        <v>38</v>
      </c>
      <c r="D4699" s="303">
        <v>53.02</v>
      </c>
    </row>
    <row r="4700" spans="1:4" ht="27">
      <c r="A4700" s="288" t="s">
        <v>15471</v>
      </c>
      <c r="B4700" s="289" t="s">
        <v>15472</v>
      </c>
      <c r="C4700" s="288" t="s">
        <v>38</v>
      </c>
      <c r="D4700" s="303">
        <v>60.3</v>
      </c>
    </row>
    <row r="4701" spans="1:4" ht="18">
      <c r="A4701" s="288" t="s">
        <v>15473</v>
      </c>
      <c r="B4701" s="289" t="s">
        <v>15474</v>
      </c>
      <c r="C4701" s="288" t="s">
        <v>38</v>
      </c>
      <c r="D4701" s="303">
        <v>76.58</v>
      </c>
    </row>
    <row r="4702" spans="1:4" ht="27">
      <c r="A4702" s="288" t="s">
        <v>15475</v>
      </c>
      <c r="B4702" s="289" t="s">
        <v>15476</v>
      </c>
      <c r="C4702" s="288" t="s">
        <v>38</v>
      </c>
      <c r="D4702" s="303">
        <v>76.41</v>
      </c>
    </row>
    <row r="4703" spans="1:4" ht="27">
      <c r="A4703" s="288" t="s">
        <v>15477</v>
      </c>
      <c r="B4703" s="289" t="s">
        <v>15478</v>
      </c>
      <c r="C4703" s="288" t="s">
        <v>38</v>
      </c>
      <c r="D4703" s="303">
        <v>77.010000000000005</v>
      </c>
    </row>
    <row r="4704" spans="1:4" ht="18">
      <c r="A4704" s="288" t="s">
        <v>15479</v>
      </c>
      <c r="B4704" s="289" t="s">
        <v>15480</v>
      </c>
      <c r="C4704" s="288" t="s">
        <v>38</v>
      </c>
      <c r="D4704" s="303">
        <v>30.54</v>
      </c>
    </row>
    <row r="4705" spans="1:4" ht="18">
      <c r="A4705" s="287" t="s">
        <v>15481</v>
      </c>
      <c r="B4705" s="287"/>
      <c r="C4705" s="287"/>
      <c r="D4705" s="296" t="s">
        <v>28729</v>
      </c>
    </row>
    <row r="4706" spans="1:4" ht="45">
      <c r="A4706" s="288" t="s">
        <v>15482</v>
      </c>
      <c r="B4706" s="289" t="s">
        <v>15483</v>
      </c>
      <c r="C4706" s="288" t="s">
        <v>54</v>
      </c>
      <c r="D4706" s="303">
        <v>57.4</v>
      </c>
    </row>
    <row r="4707" spans="1:4" ht="45">
      <c r="A4707" s="288" t="s">
        <v>15484</v>
      </c>
      <c r="B4707" s="289" t="s">
        <v>15485</v>
      </c>
      <c r="C4707" s="288" t="s">
        <v>54</v>
      </c>
      <c r="D4707" s="303">
        <v>58.75</v>
      </c>
    </row>
    <row r="4708" spans="1:4" ht="36">
      <c r="A4708" s="288" t="s">
        <v>15486</v>
      </c>
      <c r="B4708" s="289" t="s">
        <v>15487</v>
      </c>
      <c r="C4708" s="288" t="s">
        <v>38</v>
      </c>
      <c r="D4708" s="303">
        <v>125.66</v>
      </c>
    </row>
    <row r="4709" spans="1:4" ht="45">
      <c r="A4709" s="288" t="s">
        <v>15488</v>
      </c>
      <c r="B4709" s="289" t="s">
        <v>15489</v>
      </c>
      <c r="C4709" s="288" t="s">
        <v>38</v>
      </c>
      <c r="D4709" s="303">
        <v>140.55000000000001</v>
      </c>
    </row>
    <row r="4710" spans="1:4" ht="36">
      <c r="A4710" s="288" t="s">
        <v>15490</v>
      </c>
      <c r="B4710" s="289" t="s">
        <v>15491</v>
      </c>
      <c r="C4710" s="288" t="s">
        <v>38</v>
      </c>
      <c r="D4710" s="303">
        <v>126.78</v>
      </c>
    </row>
    <row r="4711" spans="1:4" ht="36">
      <c r="A4711" s="288" t="s">
        <v>15492</v>
      </c>
      <c r="B4711" s="289" t="s">
        <v>15493</v>
      </c>
      <c r="C4711" s="288" t="s">
        <v>38</v>
      </c>
      <c r="D4711" s="303">
        <v>134.19999999999999</v>
      </c>
    </row>
    <row r="4712" spans="1:4" ht="36">
      <c r="A4712" s="288" t="s">
        <v>15494</v>
      </c>
      <c r="B4712" s="289" t="s">
        <v>15495</v>
      </c>
      <c r="C4712" s="288" t="s">
        <v>54</v>
      </c>
      <c r="D4712" s="303">
        <v>41.98</v>
      </c>
    </row>
    <row r="4713" spans="1:4" ht="36">
      <c r="A4713" s="288" t="s">
        <v>15496</v>
      </c>
      <c r="B4713" s="289" t="s">
        <v>15497</v>
      </c>
      <c r="C4713" s="288" t="s">
        <v>54</v>
      </c>
      <c r="D4713" s="303">
        <v>44.5</v>
      </c>
    </row>
    <row r="4714" spans="1:4">
      <c r="A4714" s="287" t="s">
        <v>15498</v>
      </c>
      <c r="B4714" s="287"/>
      <c r="C4714" s="287"/>
      <c r="D4714" s="296" t="s">
        <v>28729</v>
      </c>
    </row>
    <row r="4715" spans="1:4" ht="18">
      <c r="A4715" s="288" t="s">
        <v>15499</v>
      </c>
      <c r="B4715" s="289" t="s">
        <v>15500</v>
      </c>
      <c r="C4715" s="288" t="s">
        <v>54</v>
      </c>
      <c r="D4715" s="303">
        <v>7.24</v>
      </c>
    </row>
    <row r="4716" spans="1:4" ht="18">
      <c r="A4716" s="287" t="s">
        <v>15501</v>
      </c>
      <c r="B4716" s="287"/>
      <c r="C4716" s="287"/>
      <c r="D4716" s="296" t="s">
        <v>28729</v>
      </c>
    </row>
    <row r="4717" spans="1:4" ht="18">
      <c r="A4717" s="288" t="s">
        <v>15502</v>
      </c>
      <c r="B4717" s="289" t="s">
        <v>15503</v>
      </c>
      <c r="C4717" s="288" t="s">
        <v>54</v>
      </c>
      <c r="D4717" s="303">
        <v>186.21</v>
      </c>
    </row>
    <row r="4718" spans="1:4" ht="18">
      <c r="A4718" s="288" t="s">
        <v>15504</v>
      </c>
      <c r="B4718" s="289" t="s">
        <v>15505</v>
      </c>
      <c r="C4718" s="288" t="s">
        <v>54</v>
      </c>
      <c r="D4718" s="303">
        <v>282.52999999999997</v>
      </c>
    </row>
    <row r="4719" spans="1:4" ht="27">
      <c r="A4719" s="288" t="s">
        <v>15506</v>
      </c>
      <c r="B4719" s="289" t="s">
        <v>15507</v>
      </c>
      <c r="C4719" s="288" t="s">
        <v>38</v>
      </c>
      <c r="D4719" s="303">
        <v>100.12</v>
      </c>
    </row>
    <row r="4720" spans="1:4" ht="27">
      <c r="A4720" s="288" t="s">
        <v>15508</v>
      </c>
      <c r="B4720" s="289" t="s">
        <v>15509</v>
      </c>
      <c r="C4720" s="288" t="s">
        <v>38</v>
      </c>
      <c r="D4720" s="303">
        <v>210.79</v>
      </c>
    </row>
    <row r="4721" spans="1:4" ht="36">
      <c r="A4721" s="288" t="s">
        <v>15510</v>
      </c>
      <c r="B4721" s="289" t="s">
        <v>15511</v>
      </c>
      <c r="C4721" s="288" t="s">
        <v>38</v>
      </c>
      <c r="D4721" s="303">
        <v>287.32</v>
      </c>
    </row>
    <row r="4722" spans="1:4" ht="27">
      <c r="A4722" s="288" t="s">
        <v>15512</v>
      </c>
      <c r="B4722" s="289" t="s">
        <v>15513</v>
      </c>
      <c r="C4722" s="288" t="s">
        <v>38</v>
      </c>
      <c r="D4722" s="303">
        <v>210.79</v>
      </c>
    </row>
    <row r="4723" spans="1:4" ht="36">
      <c r="A4723" s="288" t="s">
        <v>15514</v>
      </c>
      <c r="B4723" s="289" t="s">
        <v>15515</v>
      </c>
      <c r="C4723" s="288" t="s">
        <v>38</v>
      </c>
      <c r="D4723" s="303">
        <v>150.41999999999999</v>
      </c>
    </row>
    <row r="4724" spans="1:4" ht="18">
      <c r="A4724" s="288" t="s">
        <v>15516</v>
      </c>
      <c r="B4724" s="289" t="s">
        <v>15517</v>
      </c>
      <c r="C4724" s="288" t="s">
        <v>54</v>
      </c>
      <c r="D4724" s="303">
        <v>62.03</v>
      </c>
    </row>
    <row r="4725" spans="1:4" ht="18">
      <c r="A4725" s="288" t="s">
        <v>15518</v>
      </c>
      <c r="B4725" s="289" t="s">
        <v>15519</v>
      </c>
      <c r="C4725" s="288" t="s">
        <v>54</v>
      </c>
      <c r="D4725" s="303">
        <v>70.03</v>
      </c>
    </row>
    <row r="4726" spans="1:4" ht="18">
      <c r="A4726" s="288" t="s">
        <v>15520</v>
      </c>
      <c r="B4726" s="289" t="s">
        <v>15521</v>
      </c>
      <c r="C4726" s="288" t="s">
        <v>54</v>
      </c>
      <c r="D4726" s="303">
        <v>62.03</v>
      </c>
    </row>
    <row r="4727" spans="1:4">
      <c r="A4727" s="287" t="s">
        <v>15522</v>
      </c>
      <c r="B4727" s="287"/>
      <c r="C4727" s="287"/>
      <c r="D4727" s="296" t="s">
        <v>28729</v>
      </c>
    </row>
    <row r="4728" spans="1:4" ht="36">
      <c r="A4728" s="288" t="s">
        <v>15523</v>
      </c>
      <c r="B4728" s="289" t="s">
        <v>15524</v>
      </c>
      <c r="C4728" s="288" t="s">
        <v>38</v>
      </c>
      <c r="D4728" s="303">
        <v>86.99</v>
      </c>
    </row>
    <row r="4729" spans="1:4" ht="36">
      <c r="A4729" s="288" t="s">
        <v>15525</v>
      </c>
      <c r="B4729" s="289" t="s">
        <v>15526</v>
      </c>
      <c r="C4729" s="288" t="s">
        <v>38</v>
      </c>
      <c r="D4729" s="303">
        <v>103.43</v>
      </c>
    </row>
    <row r="4730" spans="1:4" ht="27">
      <c r="A4730" s="288" t="s">
        <v>15527</v>
      </c>
      <c r="B4730" s="289" t="s">
        <v>15528</v>
      </c>
      <c r="C4730" s="288" t="s">
        <v>38</v>
      </c>
      <c r="D4730" s="303">
        <v>99.42</v>
      </c>
    </row>
    <row r="4731" spans="1:4" ht="45">
      <c r="A4731" s="288" t="s">
        <v>15529</v>
      </c>
      <c r="B4731" s="289" t="s">
        <v>15530</v>
      </c>
      <c r="C4731" s="288" t="s">
        <v>38</v>
      </c>
      <c r="D4731" s="303">
        <v>157.85</v>
      </c>
    </row>
    <row r="4732" spans="1:4" ht="36">
      <c r="A4732" s="288" t="s">
        <v>15531</v>
      </c>
      <c r="B4732" s="289" t="s">
        <v>15532</v>
      </c>
      <c r="C4732" s="288" t="s">
        <v>38</v>
      </c>
      <c r="D4732" s="303">
        <v>128.07</v>
      </c>
    </row>
    <row r="4733" spans="1:4" ht="18">
      <c r="A4733" s="288" t="s">
        <v>15533</v>
      </c>
      <c r="B4733" s="289" t="s">
        <v>15534</v>
      </c>
      <c r="C4733" s="288" t="s">
        <v>54</v>
      </c>
      <c r="D4733" s="303">
        <v>43.4</v>
      </c>
    </row>
    <row r="4734" spans="1:4" ht="27">
      <c r="A4734" s="288" t="s">
        <v>15535</v>
      </c>
      <c r="B4734" s="289" t="s">
        <v>15536</v>
      </c>
      <c r="C4734" s="288" t="s">
        <v>38</v>
      </c>
      <c r="D4734" s="303">
        <v>128.07</v>
      </c>
    </row>
    <row r="4735" spans="1:4" ht="36">
      <c r="A4735" s="288" t="s">
        <v>15537</v>
      </c>
      <c r="B4735" s="289" t="s">
        <v>15538</v>
      </c>
      <c r="C4735" s="288" t="s">
        <v>38</v>
      </c>
      <c r="D4735" s="303">
        <v>191.83</v>
      </c>
    </row>
    <row r="4736" spans="1:4" ht="36">
      <c r="A4736" s="288" t="s">
        <v>15539</v>
      </c>
      <c r="B4736" s="289" t="s">
        <v>15540</v>
      </c>
      <c r="C4736" s="288" t="s">
        <v>38</v>
      </c>
      <c r="D4736" s="303">
        <v>293.73</v>
      </c>
    </row>
    <row r="4737" spans="1:4" ht="36">
      <c r="A4737" s="288" t="s">
        <v>15541</v>
      </c>
      <c r="B4737" s="289" t="s">
        <v>15542</v>
      </c>
      <c r="C4737" s="288" t="s">
        <v>38</v>
      </c>
      <c r="D4737" s="303">
        <v>128.62</v>
      </c>
    </row>
    <row r="4738" spans="1:4" ht="72">
      <c r="A4738" s="288" t="s">
        <v>15543</v>
      </c>
      <c r="B4738" s="289" t="s">
        <v>15544</v>
      </c>
      <c r="C4738" s="288" t="s">
        <v>38</v>
      </c>
      <c r="D4738" s="303">
        <v>249.79</v>
      </c>
    </row>
    <row r="4739" spans="1:4" ht="36">
      <c r="A4739" s="288" t="s">
        <v>15545</v>
      </c>
      <c r="B4739" s="289" t="s">
        <v>15546</v>
      </c>
      <c r="C4739" s="288" t="s">
        <v>38</v>
      </c>
      <c r="D4739" s="303">
        <v>159.41999999999999</v>
      </c>
    </row>
    <row r="4740" spans="1:4" ht="36">
      <c r="A4740" s="288" t="s">
        <v>15547</v>
      </c>
      <c r="B4740" s="289" t="s">
        <v>15548</v>
      </c>
      <c r="C4740" s="288" t="s">
        <v>38</v>
      </c>
      <c r="D4740" s="303">
        <v>328.26</v>
      </c>
    </row>
    <row r="4741" spans="1:4" ht="18">
      <c r="A4741" s="288" t="s">
        <v>15549</v>
      </c>
      <c r="B4741" s="289" t="s">
        <v>15550</v>
      </c>
      <c r="C4741" s="288" t="s">
        <v>54</v>
      </c>
      <c r="D4741" s="303">
        <v>11.23</v>
      </c>
    </row>
    <row r="4742" spans="1:4" ht="18">
      <c r="A4742" s="288" t="s">
        <v>15551</v>
      </c>
      <c r="B4742" s="289" t="s">
        <v>15552</v>
      </c>
      <c r="C4742" s="288" t="s">
        <v>54</v>
      </c>
      <c r="D4742" s="303">
        <v>25.32</v>
      </c>
    </row>
    <row r="4743" spans="1:4">
      <c r="A4743" s="287" t="s">
        <v>15553</v>
      </c>
      <c r="B4743" s="287"/>
      <c r="C4743" s="287"/>
      <c r="D4743" s="296" t="s">
        <v>28729</v>
      </c>
    </row>
    <row r="4744" spans="1:4" ht="27">
      <c r="A4744" s="288" t="s">
        <v>15554</v>
      </c>
      <c r="B4744" s="289" t="s">
        <v>15555</v>
      </c>
      <c r="C4744" s="288" t="s">
        <v>38</v>
      </c>
      <c r="D4744" s="303">
        <v>59.22</v>
      </c>
    </row>
    <row r="4745" spans="1:4" ht="27">
      <c r="A4745" s="288" t="s">
        <v>15556</v>
      </c>
      <c r="B4745" s="289" t="s">
        <v>15557</v>
      </c>
      <c r="C4745" s="288" t="s">
        <v>38</v>
      </c>
      <c r="D4745" s="303">
        <v>150</v>
      </c>
    </row>
    <row r="4746" spans="1:4" ht="18">
      <c r="A4746" s="288" t="s">
        <v>15558</v>
      </c>
      <c r="B4746" s="289" t="s">
        <v>15559</v>
      </c>
      <c r="C4746" s="288" t="s">
        <v>38</v>
      </c>
      <c r="D4746" s="303">
        <v>103.95</v>
      </c>
    </row>
    <row r="4747" spans="1:4" ht="18">
      <c r="A4747" s="288" t="s">
        <v>15560</v>
      </c>
      <c r="B4747" s="289" t="s">
        <v>15561</v>
      </c>
      <c r="C4747" s="288" t="s">
        <v>38</v>
      </c>
      <c r="D4747" s="303">
        <v>57.88</v>
      </c>
    </row>
    <row r="4748" spans="1:4" ht="27">
      <c r="A4748" s="288" t="s">
        <v>15562</v>
      </c>
      <c r="B4748" s="289" t="s">
        <v>15563</v>
      </c>
      <c r="C4748" s="288" t="s">
        <v>38</v>
      </c>
      <c r="D4748" s="303">
        <v>108.54</v>
      </c>
    </row>
    <row r="4749" spans="1:4">
      <c r="A4749" s="287" t="s">
        <v>15564</v>
      </c>
      <c r="B4749" s="287"/>
      <c r="C4749" s="287"/>
      <c r="D4749" s="296" t="s">
        <v>28729</v>
      </c>
    </row>
    <row r="4750" spans="1:4" ht="27">
      <c r="A4750" s="288" t="s">
        <v>15565</v>
      </c>
      <c r="B4750" s="289" t="s">
        <v>15555</v>
      </c>
      <c r="C4750" s="288" t="s">
        <v>38</v>
      </c>
      <c r="D4750" s="303">
        <v>62.18</v>
      </c>
    </row>
    <row r="4751" spans="1:4" ht="27">
      <c r="A4751" s="288" t="s">
        <v>15566</v>
      </c>
      <c r="B4751" s="289" t="s">
        <v>15557</v>
      </c>
      <c r="C4751" s="288" t="s">
        <v>38</v>
      </c>
      <c r="D4751" s="303">
        <v>157.5</v>
      </c>
    </row>
    <row r="4752" spans="1:4" ht="18">
      <c r="A4752" s="288" t="s">
        <v>15567</v>
      </c>
      <c r="B4752" s="289" t="s">
        <v>15568</v>
      </c>
      <c r="C4752" s="288" t="s">
        <v>38</v>
      </c>
      <c r="D4752" s="303">
        <v>137.52000000000001</v>
      </c>
    </row>
    <row r="4753" spans="1:4">
      <c r="A4753" s="287" t="s">
        <v>15569</v>
      </c>
      <c r="B4753" s="287"/>
      <c r="C4753" s="287"/>
      <c r="D4753" s="296" t="s">
        <v>28729</v>
      </c>
    </row>
    <row r="4754" spans="1:4">
      <c r="A4754" s="288" t="s">
        <v>15570</v>
      </c>
      <c r="B4754" s="289" t="s">
        <v>15571</v>
      </c>
      <c r="C4754" s="288" t="s">
        <v>54</v>
      </c>
      <c r="D4754" s="303">
        <v>76.14</v>
      </c>
    </row>
    <row r="4755" spans="1:4" ht="18">
      <c r="A4755" s="288" t="s">
        <v>15572</v>
      </c>
      <c r="B4755" s="289" t="s">
        <v>15573</v>
      </c>
      <c r="C4755" s="288" t="s">
        <v>7079</v>
      </c>
      <c r="D4755" s="303">
        <v>506.1</v>
      </c>
    </row>
    <row r="4756" spans="1:4" ht="27">
      <c r="A4756" s="288" t="s">
        <v>15574</v>
      </c>
      <c r="B4756" s="289" t="s">
        <v>15575</v>
      </c>
      <c r="C4756" s="288" t="s">
        <v>38</v>
      </c>
      <c r="D4756" s="303">
        <v>265.63</v>
      </c>
    </row>
    <row r="4757" spans="1:4" ht="27">
      <c r="A4757" s="288" t="s">
        <v>15576</v>
      </c>
      <c r="B4757" s="289" t="s">
        <v>15577</v>
      </c>
      <c r="C4757" s="288" t="s">
        <v>38</v>
      </c>
      <c r="D4757" s="303">
        <v>75.38</v>
      </c>
    </row>
    <row r="4758" spans="1:4" ht="18">
      <c r="A4758" s="287" t="s">
        <v>15578</v>
      </c>
      <c r="B4758" s="287"/>
      <c r="C4758" s="287"/>
      <c r="D4758" s="296" t="s">
        <v>28729</v>
      </c>
    </row>
    <row r="4759" spans="1:4" ht="18">
      <c r="A4759" s="288" t="s">
        <v>15579</v>
      </c>
      <c r="B4759" s="289" t="s">
        <v>15580</v>
      </c>
      <c r="C4759" s="288" t="s">
        <v>38</v>
      </c>
      <c r="D4759" s="303">
        <v>102.74</v>
      </c>
    </row>
    <row r="4760" spans="1:4" ht="18">
      <c r="A4760" s="287" t="s">
        <v>15581</v>
      </c>
      <c r="B4760" s="287"/>
      <c r="C4760" s="287"/>
      <c r="D4760" s="296" t="s">
        <v>28729</v>
      </c>
    </row>
    <row r="4761" spans="1:4">
      <c r="A4761" s="288" t="s">
        <v>15582</v>
      </c>
      <c r="B4761" s="289" t="s">
        <v>15583</v>
      </c>
      <c r="C4761" s="288" t="s">
        <v>38</v>
      </c>
      <c r="D4761" s="303">
        <v>53.25</v>
      </c>
    </row>
    <row r="4762" spans="1:4" ht="18">
      <c r="A4762" s="288" t="s">
        <v>15584</v>
      </c>
      <c r="B4762" s="289" t="s">
        <v>15585</v>
      </c>
      <c r="C4762" s="288" t="s">
        <v>38</v>
      </c>
      <c r="D4762" s="303">
        <v>115.31</v>
      </c>
    </row>
    <row r="4763" spans="1:4" ht="18">
      <c r="A4763" s="288" t="s">
        <v>15586</v>
      </c>
      <c r="B4763" s="289" t="s">
        <v>15587</v>
      </c>
      <c r="C4763" s="288" t="s">
        <v>38</v>
      </c>
      <c r="D4763" s="303">
        <v>101.61</v>
      </c>
    </row>
    <row r="4764" spans="1:4" ht="36">
      <c r="A4764" s="288" t="s">
        <v>15588</v>
      </c>
      <c r="B4764" s="289" t="s">
        <v>15589</v>
      </c>
      <c r="C4764" s="288" t="s">
        <v>38</v>
      </c>
      <c r="D4764" s="303">
        <v>122.98</v>
      </c>
    </row>
    <row r="4765" spans="1:4" ht="27">
      <c r="A4765" s="288" t="s">
        <v>15590</v>
      </c>
      <c r="B4765" s="289" t="s">
        <v>15591</v>
      </c>
      <c r="C4765" s="288" t="s">
        <v>38</v>
      </c>
      <c r="D4765" s="303">
        <v>114.16</v>
      </c>
    </row>
    <row r="4766" spans="1:4" ht="27">
      <c r="A4766" s="288" t="s">
        <v>15592</v>
      </c>
      <c r="B4766" s="289" t="s">
        <v>15593</v>
      </c>
      <c r="C4766" s="288" t="s">
        <v>38</v>
      </c>
      <c r="D4766" s="303">
        <v>119.46</v>
      </c>
    </row>
    <row r="4767" spans="1:4" ht="27">
      <c r="A4767" s="288" t="s">
        <v>15594</v>
      </c>
      <c r="B4767" s="289" t="s">
        <v>15595</v>
      </c>
      <c r="C4767" s="288" t="s">
        <v>38</v>
      </c>
      <c r="D4767" s="303">
        <v>101.61</v>
      </c>
    </row>
    <row r="4768" spans="1:4" ht="18">
      <c r="A4768" s="287" t="s">
        <v>15596</v>
      </c>
      <c r="B4768" s="287"/>
      <c r="C4768" s="287"/>
      <c r="D4768" s="296" t="s">
        <v>28729</v>
      </c>
    </row>
    <row r="4769" spans="1:4" ht="27">
      <c r="A4769" s="288" t="s">
        <v>15597</v>
      </c>
      <c r="B4769" s="289" t="s">
        <v>15598</v>
      </c>
      <c r="C4769" s="288" t="s">
        <v>38</v>
      </c>
      <c r="D4769" s="303">
        <v>83.34</v>
      </c>
    </row>
    <row r="4770" spans="1:4">
      <c r="A4770" s="287" t="s">
        <v>15599</v>
      </c>
      <c r="B4770" s="287"/>
      <c r="C4770" s="287"/>
      <c r="D4770" s="296" t="s">
        <v>28729</v>
      </c>
    </row>
    <row r="4771" spans="1:4" ht="18">
      <c r="A4771" s="288" t="s">
        <v>15600</v>
      </c>
      <c r="B4771" s="289" t="s">
        <v>15601</v>
      </c>
      <c r="C4771" s="288" t="s">
        <v>38</v>
      </c>
      <c r="D4771" s="303">
        <v>134.41</v>
      </c>
    </row>
    <row r="4772" spans="1:4" ht="18">
      <c r="A4772" s="288" t="s">
        <v>15602</v>
      </c>
      <c r="B4772" s="289" t="s">
        <v>15603</v>
      </c>
      <c r="C4772" s="288" t="s">
        <v>38</v>
      </c>
      <c r="D4772" s="303">
        <v>51.55</v>
      </c>
    </row>
    <row r="4773" spans="1:4">
      <c r="A4773" s="287" t="s">
        <v>15604</v>
      </c>
      <c r="B4773" s="287"/>
      <c r="C4773" s="287"/>
      <c r="D4773" s="296" t="s">
        <v>28729</v>
      </c>
    </row>
    <row r="4774" spans="1:4" ht="18">
      <c r="A4774" s="288" t="s">
        <v>15605</v>
      </c>
      <c r="B4774" s="289" t="s">
        <v>15606</v>
      </c>
      <c r="C4774" s="288" t="s">
        <v>38</v>
      </c>
      <c r="D4774" s="303">
        <v>87.19</v>
      </c>
    </row>
    <row r="4775" spans="1:4" ht="18">
      <c r="A4775" s="288" t="s">
        <v>15607</v>
      </c>
      <c r="B4775" s="289" t="s">
        <v>15608</v>
      </c>
      <c r="C4775" s="288" t="s">
        <v>38</v>
      </c>
      <c r="D4775" s="303">
        <v>67.33</v>
      </c>
    </row>
    <row r="4776" spans="1:4">
      <c r="A4776" s="287" t="s">
        <v>15609</v>
      </c>
      <c r="B4776" s="287"/>
      <c r="C4776" s="287"/>
      <c r="D4776" s="296" t="s">
        <v>28729</v>
      </c>
    </row>
    <row r="4777" spans="1:4" ht="27">
      <c r="A4777" s="288" t="s">
        <v>15610</v>
      </c>
      <c r="B4777" s="289" t="s">
        <v>15611</v>
      </c>
      <c r="C4777" s="288" t="s">
        <v>38</v>
      </c>
      <c r="D4777" s="303">
        <v>305.94</v>
      </c>
    </row>
    <row r="4778" spans="1:4" ht="18">
      <c r="A4778" s="287" t="s">
        <v>15612</v>
      </c>
      <c r="B4778" s="287"/>
      <c r="C4778" s="287"/>
      <c r="D4778" s="296" t="s">
        <v>28729</v>
      </c>
    </row>
    <row r="4779" spans="1:4" ht="27">
      <c r="A4779" s="288" t="s">
        <v>15613</v>
      </c>
      <c r="B4779" s="289" t="s">
        <v>15614</v>
      </c>
      <c r="C4779" s="288" t="s">
        <v>38</v>
      </c>
      <c r="D4779" s="303">
        <v>197.27</v>
      </c>
    </row>
    <row r="4780" spans="1:4">
      <c r="A4780" s="287" t="s">
        <v>15615</v>
      </c>
      <c r="B4780" s="287"/>
      <c r="C4780" s="287"/>
      <c r="D4780" s="296" t="s">
        <v>28729</v>
      </c>
    </row>
    <row r="4781" spans="1:4" ht="36">
      <c r="A4781" s="288" t="s">
        <v>15616</v>
      </c>
      <c r="B4781" s="289" t="s">
        <v>15617</v>
      </c>
      <c r="C4781" s="288" t="s">
        <v>38</v>
      </c>
      <c r="D4781" s="303">
        <v>105</v>
      </c>
    </row>
    <row r="4782" spans="1:4" ht="63">
      <c r="A4782" s="288" t="s">
        <v>15618</v>
      </c>
      <c r="B4782" s="289" t="s">
        <v>15619</v>
      </c>
      <c r="C4782" s="288" t="s">
        <v>38</v>
      </c>
      <c r="D4782" s="303">
        <v>610</v>
      </c>
    </row>
    <row r="4783" spans="1:4" ht="63">
      <c r="A4783" s="288" t="s">
        <v>15620</v>
      </c>
      <c r="B4783" s="289" t="s">
        <v>15621</v>
      </c>
      <c r="C4783" s="288" t="s">
        <v>38</v>
      </c>
      <c r="D4783" s="303">
        <v>720.68</v>
      </c>
    </row>
    <row r="4784" spans="1:4" ht="63">
      <c r="A4784" s="288" t="s">
        <v>15622</v>
      </c>
      <c r="B4784" s="289" t="s">
        <v>15623</v>
      </c>
      <c r="C4784" s="288" t="s">
        <v>38</v>
      </c>
      <c r="D4784" s="303">
        <v>874.68</v>
      </c>
    </row>
    <row r="4785" spans="1:4" ht="54">
      <c r="A4785" s="288" t="s">
        <v>15624</v>
      </c>
      <c r="B4785" s="289" t="s">
        <v>15625</v>
      </c>
      <c r="C4785" s="288" t="s">
        <v>38</v>
      </c>
      <c r="D4785" s="303">
        <v>382.89</v>
      </c>
    </row>
    <row r="4786" spans="1:4" ht="36">
      <c r="A4786" s="288" t="s">
        <v>15626</v>
      </c>
      <c r="B4786" s="289" t="s">
        <v>15627</v>
      </c>
      <c r="C4786" s="288" t="s">
        <v>38</v>
      </c>
      <c r="D4786" s="303">
        <v>520.13</v>
      </c>
    </row>
    <row r="4787" spans="1:4">
      <c r="A4787" s="287" t="s">
        <v>15628</v>
      </c>
      <c r="B4787" s="287"/>
      <c r="C4787" s="287"/>
      <c r="D4787" s="296" t="s">
        <v>28729</v>
      </c>
    </row>
    <row r="4788" spans="1:4" ht="27">
      <c r="A4788" s="288" t="s">
        <v>15629</v>
      </c>
      <c r="B4788" s="289" t="s">
        <v>15630</v>
      </c>
      <c r="C4788" s="288" t="s">
        <v>38</v>
      </c>
      <c r="D4788" s="303">
        <v>123.08</v>
      </c>
    </row>
    <row r="4789" spans="1:4" ht="27">
      <c r="A4789" s="288" t="s">
        <v>15631</v>
      </c>
      <c r="B4789" s="289" t="s">
        <v>15632</v>
      </c>
      <c r="C4789" s="288" t="s">
        <v>38</v>
      </c>
      <c r="D4789" s="303">
        <v>125.06</v>
      </c>
    </row>
    <row r="4790" spans="1:4" ht="18">
      <c r="A4790" s="288" t="s">
        <v>15633</v>
      </c>
      <c r="B4790" s="289" t="s">
        <v>15634</v>
      </c>
      <c r="C4790" s="288" t="s">
        <v>38</v>
      </c>
      <c r="D4790" s="303">
        <v>610.98</v>
      </c>
    </row>
    <row r="4791" spans="1:4" ht="18">
      <c r="A4791" s="288" t="s">
        <v>15635</v>
      </c>
      <c r="B4791" s="289" t="s">
        <v>15636</v>
      </c>
      <c r="C4791" s="288" t="s">
        <v>38</v>
      </c>
      <c r="D4791" s="303">
        <v>568.38</v>
      </c>
    </row>
    <row r="4792" spans="1:4">
      <c r="A4792" s="290"/>
      <c r="B4792" s="290"/>
      <c r="C4792" s="290"/>
      <c r="D4792" s="298"/>
    </row>
    <row r="4793" spans="1:4" ht="18">
      <c r="A4793" s="287" t="s">
        <v>15637</v>
      </c>
      <c r="B4793" s="287"/>
      <c r="C4793" s="287"/>
      <c r="D4793" s="296" t="s">
        <v>28729</v>
      </c>
    </row>
    <row r="4794" spans="1:4">
      <c r="A4794" s="288" t="s">
        <v>15638</v>
      </c>
      <c r="B4794" s="289" t="s">
        <v>15639</v>
      </c>
      <c r="C4794" s="288" t="s">
        <v>38</v>
      </c>
      <c r="D4794" s="303">
        <v>34.75</v>
      </c>
    </row>
    <row r="4795" spans="1:4" ht="18">
      <c r="A4795" s="288" t="s">
        <v>15640</v>
      </c>
      <c r="B4795" s="289" t="s">
        <v>15641</v>
      </c>
      <c r="C4795" s="288" t="s">
        <v>38</v>
      </c>
      <c r="D4795" s="303">
        <v>9.82</v>
      </c>
    </row>
    <row r="4796" spans="1:4" ht="18">
      <c r="A4796" s="288" t="s">
        <v>15642</v>
      </c>
      <c r="B4796" s="289" t="s">
        <v>15643</v>
      </c>
      <c r="C4796" s="288" t="s">
        <v>38</v>
      </c>
      <c r="D4796" s="303">
        <v>29.48</v>
      </c>
    </row>
    <row r="4797" spans="1:4">
      <c r="A4797" s="290"/>
      <c r="B4797" s="290"/>
      <c r="C4797" s="290"/>
      <c r="D4797" s="298"/>
    </row>
    <row r="4798" spans="1:4">
      <c r="A4798" s="287" t="s">
        <v>15644</v>
      </c>
      <c r="B4798" s="287"/>
      <c r="C4798" s="287"/>
      <c r="D4798" s="296" t="s">
        <v>28729</v>
      </c>
    </row>
    <row r="4799" spans="1:4">
      <c r="A4799" s="288" t="s">
        <v>15645</v>
      </c>
      <c r="B4799" s="289" t="s">
        <v>15646</v>
      </c>
      <c r="C4799" s="288" t="s">
        <v>38</v>
      </c>
      <c r="D4799" s="303">
        <v>9.7899999999999991</v>
      </c>
    </row>
    <row r="4800" spans="1:4">
      <c r="A4800" s="287" t="s">
        <v>15647</v>
      </c>
      <c r="B4800" s="287"/>
      <c r="C4800" s="287"/>
      <c r="D4800" s="296" t="s">
        <v>28729</v>
      </c>
    </row>
    <row r="4801" spans="1:4" ht="27">
      <c r="A4801" s="288" t="s">
        <v>15648</v>
      </c>
      <c r="B4801" s="289" t="s">
        <v>15649</v>
      </c>
      <c r="C4801" s="288" t="s">
        <v>38</v>
      </c>
      <c r="D4801" s="303">
        <v>281.95999999999998</v>
      </c>
    </row>
    <row r="4802" spans="1:4" ht="27">
      <c r="A4802" s="288" t="s">
        <v>15650</v>
      </c>
      <c r="B4802" s="289" t="s">
        <v>15651</v>
      </c>
      <c r="C4802" s="288" t="s">
        <v>38</v>
      </c>
      <c r="D4802" s="303">
        <v>151.69</v>
      </c>
    </row>
    <row r="4803" spans="1:4" ht="18">
      <c r="A4803" s="288" t="s">
        <v>15652</v>
      </c>
      <c r="B4803" s="289" t="s">
        <v>15653</v>
      </c>
      <c r="C4803" s="288" t="s">
        <v>38</v>
      </c>
      <c r="D4803" s="303">
        <v>72.459999999999994</v>
      </c>
    </row>
    <row r="4804" spans="1:4">
      <c r="A4804" s="288" t="s">
        <v>15654</v>
      </c>
      <c r="B4804" s="289" t="s">
        <v>15655</v>
      </c>
      <c r="C4804" s="288" t="s">
        <v>38</v>
      </c>
      <c r="D4804" s="303">
        <v>13.34</v>
      </c>
    </row>
    <row r="4805" spans="1:4" ht="27">
      <c r="A4805" s="288" t="s">
        <v>15656</v>
      </c>
      <c r="B4805" s="289" t="s">
        <v>15657</v>
      </c>
      <c r="C4805" s="288" t="s">
        <v>7079</v>
      </c>
      <c r="D4805" s="303">
        <v>258.01</v>
      </c>
    </row>
    <row r="4806" spans="1:4" ht="27">
      <c r="A4806" s="288" t="s">
        <v>15658</v>
      </c>
      <c r="B4806" s="289" t="s">
        <v>15659</v>
      </c>
      <c r="C4806" s="288" t="s">
        <v>7079</v>
      </c>
      <c r="D4806" s="303">
        <v>374.66</v>
      </c>
    </row>
    <row r="4807" spans="1:4" ht="18">
      <c r="A4807" s="288" t="s">
        <v>15660</v>
      </c>
      <c r="B4807" s="289" t="s">
        <v>15661</v>
      </c>
      <c r="C4807" s="288" t="s">
        <v>38</v>
      </c>
      <c r="D4807" s="303">
        <v>128.66</v>
      </c>
    </row>
    <row r="4808" spans="1:4" ht="18">
      <c r="A4808" s="288" t="s">
        <v>15662</v>
      </c>
      <c r="B4808" s="289" t="s">
        <v>15663</v>
      </c>
      <c r="C4808" s="288" t="s">
        <v>38</v>
      </c>
      <c r="D4808" s="303">
        <v>176.46</v>
      </c>
    </row>
    <row r="4809" spans="1:4">
      <c r="A4809" s="290"/>
      <c r="B4809" s="290"/>
      <c r="C4809" s="290"/>
      <c r="D4809" s="298"/>
    </row>
    <row r="4810" spans="1:4">
      <c r="A4810" s="287" t="s">
        <v>15664</v>
      </c>
      <c r="B4810" s="287"/>
      <c r="C4810" s="287"/>
      <c r="D4810" s="296" t="s">
        <v>28729</v>
      </c>
    </row>
    <row r="4811" spans="1:4" ht="18">
      <c r="A4811" s="288" t="s">
        <v>15665</v>
      </c>
      <c r="B4811" s="289" t="s">
        <v>15666</v>
      </c>
      <c r="C4811" s="288" t="s">
        <v>54</v>
      </c>
      <c r="D4811" s="303">
        <v>14.62</v>
      </c>
    </row>
    <row r="4812" spans="1:4" ht="36">
      <c r="A4812" s="288" t="s">
        <v>15667</v>
      </c>
      <c r="B4812" s="289" t="s">
        <v>15668</v>
      </c>
      <c r="C4812" s="288" t="s">
        <v>54</v>
      </c>
      <c r="D4812" s="303">
        <v>19.29</v>
      </c>
    </row>
    <row r="4813" spans="1:4" ht="18">
      <c r="A4813" s="288" t="s">
        <v>15669</v>
      </c>
      <c r="B4813" s="289" t="s">
        <v>15670</v>
      </c>
      <c r="C4813" s="288" t="s">
        <v>54</v>
      </c>
      <c r="D4813" s="303">
        <v>16.95</v>
      </c>
    </row>
    <row r="4814" spans="1:4" ht="18">
      <c r="A4814" s="288" t="s">
        <v>15671</v>
      </c>
      <c r="B4814" s="289" t="s">
        <v>15672</v>
      </c>
      <c r="C4814" s="288" t="s">
        <v>54</v>
      </c>
      <c r="D4814" s="303">
        <v>19.03</v>
      </c>
    </row>
    <row r="4815" spans="1:4" ht="18">
      <c r="A4815" s="288" t="s">
        <v>15673</v>
      </c>
      <c r="B4815" s="289" t="s">
        <v>15674</v>
      </c>
      <c r="C4815" s="288" t="s">
        <v>54</v>
      </c>
      <c r="D4815" s="303">
        <v>30.71</v>
      </c>
    </row>
    <row r="4816" spans="1:4" ht="18">
      <c r="A4816" s="288" t="s">
        <v>15675</v>
      </c>
      <c r="B4816" s="289" t="s">
        <v>15676</v>
      </c>
      <c r="C4816" s="288" t="s">
        <v>54</v>
      </c>
      <c r="D4816" s="303">
        <v>19.37</v>
      </c>
    </row>
    <row r="4817" spans="1:4" ht="18">
      <c r="A4817" s="288" t="s">
        <v>15677</v>
      </c>
      <c r="B4817" s="289" t="s">
        <v>15678</v>
      </c>
      <c r="C4817" s="288" t="s">
        <v>54</v>
      </c>
      <c r="D4817" s="303">
        <v>23.79</v>
      </c>
    </row>
    <row r="4818" spans="1:4" ht="36">
      <c r="A4818" s="288" t="s">
        <v>15679</v>
      </c>
      <c r="B4818" s="289" t="s">
        <v>15680</v>
      </c>
      <c r="C4818" s="288" t="s">
        <v>54</v>
      </c>
      <c r="D4818" s="303">
        <v>32.89</v>
      </c>
    </row>
    <row r="4819" spans="1:4">
      <c r="A4819" s="287"/>
      <c r="B4819" s="287"/>
      <c r="C4819" s="287"/>
      <c r="D4819" s="296" t="s">
        <v>28729</v>
      </c>
    </row>
    <row r="4820" spans="1:4">
      <c r="A4820" s="290"/>
      <c r="B4820" s="290"/>
      <c r="C4820" s="290"/>
      <c r="D4820" s="298"/>
    </row>
    <row r="4821" spans="1:4">
      <c r="A4821" s="290"/>
      <c r="B4821" s="290"/>
      <c r="C4821" s="290"/>
      <c r="D4821" s="298"/>
    </row>
    <row r="4822" spans="1:4" ht="27">
      <c r="A4822" s="287" t="s">
        <v>15681</v>
      </c>
      <c r="B4822" s="287"/>
      <c r="C4822" s="287"/>
      <c r="D4822" s="296" t="s">
        <v>28729</v>
      </c>
    </row>
    <row r="4823" spans="1:4">
      <c r="A4823" s="288" t="s">
        <v>15682</v>
      </c>
      <c r="B4823" s="289" t="s">
        <v>15683</v>
      </c>
      <c r="C4823" s="288" t="s">
        <v>7079</v>
      </c>
      <c r="D4823" s="303">
        <v>5.13</v>
      </c>
    </row>
    <row r="4824" spans="1:4">
      <c r="A4824" s="288" t="s">
        <v>15684</v>
      </c>
      <c r="B4824" s="289" t="s">
        <v>15685</v>
      </c>
      <c r="C4824" s="288" t="s">
        <v>7079</v>
      </c>
      <c r="D4824" s="303">
        <v>17.66</v>
      </c>
    </row>
    <row r="4825" spans="1:4" ht="18">
      <c r="A4825" s="288" t="s">
        <v>15686</v>
      </c>
      <c r="B4825" s="289" t="s">
        <v>15687</v>
      </c>
      <c r="C4825" s="288" t="s">
        <v>54</v>
      </c>
      <c r="D4825" s="303">
        <v>36.89</v>
      </c>
    </row>
    <row r="4826" spans="1:4">
      <c r="A4826" s="288" t="s">
        <v>15688</v>
      </c>
      <c r="B4826" s="289" t="s">
        <v>15689</v>
      </c>
      <c r="C4826" s="288" t="s">
        <v>38</v>
      </c>
      <c r="D4826" s="303">
        <v>14.83</v>
      </c>
    </row>
    <row r="4827" spans="1:4" ht="18">
      <c r="A4827" s="288" t="s">
        <v>15690</v>
      </c>
      <c r="B4827" s="289" t="s">
        <v>15691</v>
      </c>
      <c r="C4827" s="288" t="s">
        <v>54</v>
      </c>
      <c r="D4827" s="303">
        <v>16.32</v>
      </c>
    </row>
    <row r="4828" spans="1:4" ht="18">
      <c r="A4828" s="288" t="s">
        <v>15692</v>
      </c>
      <c r="B4828" s="289" t="s">
        <v>15693</v>
      </c>
      <c r="C4828" s="288" t="s">
        <v>38</v>
      </c>
      <c r="D4828" s="303">
        <v>7.42</v>
      </c>
    </row>
    <row r="4829" spans="1:4" ht="18">
      <c r="A4829" s="288" t="s">
        <v>15694</v>
      </c>
      <c r="B4829" s="289" t="s">
        <v>15695</v>
      </c>
      <c r="C4829" s="288" t="s">
        <v>7079</v>
      </c>
      <c r="D4829" s="303">
        <v>21.45</v>
      </c>
    </row>
    <row r="4830" spans="1:4" ht="18">
      <c r="A4830" s="288" t="s">
        <v>15696</v>
      </c>
      <c r="B4830" s="289" t="s">
        <v>15697</v>
      </c>
      <c r="C4830" s="288" t="s">
        <v>54</v>
      </c>
      <c r="D4830" s="303">
        <v>19.28</v>
      </c>
    </row>
    <row r="4831" spans="1:4" ht="18">
      <c r="A4831" s="288" t="s">
        <v>15698</v>
      </c>
      <c r="B4831" s="289" t="s">
        <v>15699</v>
      </c>
      <c r="C4831" s="288" t="s">
        <v>54</v>
      </c>
      <c r="D4831" s="303">
        <v>9.64</v>
      </c>
    </row>
    <row r="4832" spans="1:4" ht="18">
      <c r="A4832" s="288" t="s">
        <v>15700</v>
      </c>
      <c r="B4832" s="289" t="s">
        <v>15701</v>
      </c>
      <c r="C4832" s="288" t="s">
        <v>54</v>
      </c>
      <c r="D4832" s="303">
        <v>13.35</v>
      </c>
    </row>
    <row r="4833" spans="1:4" ht="18">
      <c r="A4833" s="288" t="s">
        <v>15702</v>
      </c>
      <c r="B4833" s="289" t="s">
        <v>15703</v>
      </c>
      <c r="C4833" s="288" t="s">
        <v>54</v>
      </c>
      <c r="D4833" s="303">
        <v>5.13</v>
      </c>
    </row>
    <row r="4834" spans="1:4" ht="18">
      <c r="A4834" s="288" t="s">
        <v>15704</v>
      </c>
      <c r="B4834" s="289" t="s">
        <v>15705</v>
      </c>
      <c r="C4834" s="288" t="s">
        <v>47</v>
      </c>
      <c r="D4834" s="303">
        <v>102.23</v>
      </c>
    </row>
    <row r="4835" spans="1:4" ht="18">
      <c r="A4835" s="288" t="s">
        <v>15706</v>
      </c>
      <c r="B4835" s="289" t="s">
        <v>15707</v>
      </c>
      <c r="C4835" s="288" t="s">
        <v>47</v>
      </c>
      <c r="D4835" s="303">
        <v>68.16</v>
      </c>
    </row>
    <row r="4836" spans="1:4" ht="18">
      <c r="A4836" s="288" t="s">
        <v>15708</v>
      </c>
      <c r="B4836" s="289" t="s">
        <v>15709</v>
      </c>
      <c r="C4836" s="288" t="s">
        <v>47</v>
      </c>
      <c r="D4836" s="303">
        <v>76.67</v>
      </c>
    </row>
    <row r="4837" spans="1:4" ht="18">
      <c r="A4837" s="288" t="s">
        <v>15710</v>
      </c>
      <c r="B4837" s="289" t="s">
        <v>15711</v>
      </c>
      <c r="C4837" s="288" t="s">
        <v>47</v>
      </c>
      <c r="D4837" s="303">
        <v>93.71</v>
      </c>
    </row>
    <row r="4838" spans="1:4" ht="27">
      <c r="A4838" s="288" t="s">
        <v>15712</v>
      </c>
      <c r="B4838" s="289" t="s">
        <v>15713</v>
      </c>
      <c r="C4838" s="288" t="s">
        <v>38</v>
      </c>
      <c r="D4838" s="303">
        <v>10.38</v>
      </c>
    </row>
    <row r="4839" spans="1:4" ht="18">
      <c r="A4839" s="288" t="s">
        <v>15714</v>
      </c>
      <c r="B4839" s="289" t="s">
        <v>15715</v>
      </c>
      <c r="C4839" s="288" t="s">
        <v>47</v>
      </c>
      <c r="D4839" s="303">
        <v>204.46</v>
      </c>
    </row>
    <row r="4840" spans="1:4" ht="27">
      <c r="A4840" s="288" t="s">
        <v>15716</v>
      </c>
      <c r="B4840" s="289" t="s">
        <v>15717</v>
      </c>
      <c r="C4840" s="288" t="s">
        <v>47</v>
      </c>
      <c r="D4840" s="303">
        <v>289.67</v>
      </c>
    </row>
    <row r="4841" spans="1:4" ht="27">
      <c r="A4841" s="288" t="s">
        <v>15718</v>
      </c>
      <c r="B4841" s="289" t="s">
        <v>15719</v>
      </c>
      <c r="C4841" s="288" t="s">
        <v>47</v>
      </c>
      <c r="D4841" s="303">
        <v>289.64999999999998</v>
      </c>
    </row>
    <row r="4842" spans="1:4">
      <c r="A4842" s="288" t="s">
        <v>15720</v>
      </c>
      <c r="B4842" s="289" t="s">
        <v>15721</v>
      </c>
      <c r="C4842" s="288" t="s">
        <v>38</v>
      </c>
      <c r="D4842" s="303">
        <v>11.87</v>
      </c>
    </row>
    <row r="4843" spans="1:4" ht="18">
      <c r="A4843" s="288" t="s">
        <v>15722</v>
      </c>
      <c r="B4843" s="289" t="s">
        <v>15723</v>
      </c>
      <c r="C4843" s="288" t="s">
        <v>38</v>
      </c>
      <c r="D4843" s="303">
        <v>14.07</v>
      </c>
    </row>
    <row r="4844" spans="1:4" ht="18">
      <c r="A4844" s="288" t="s">
        <v>15724</v>
      </c>
      <c r="B4844" s="289" t="s">
        <v>15725</v>
      </c>
      <c r="C4844" s="288" t="s">
        <v>47</v>
      </c>
      <c r="D4844" s="303">
        <v>184.47</v>
      </c>
    </row>
    <row r="4845" spans="1:4" ht="18">
      <c r="A4845" s="288" t="s">
        <v>15726</v>
      </c>
      <c r="B4845" s="289" t="s">
        <v>15727</v>
      </c>
      <c r="C4845" s="288" t="s">
        <v>47</v>
      </c>
      <c r="D4845" s="303">
        <v>54.88</v>
      </c>
    </row>
    <row r="4846" spans="1:4" ht="18">
      <c r="A4846" s="288" t="s">
        <v>15728</v>
      </c>
      <c r="B4846" s="289" t="s">
        <v>15729</v>
      </c>
      <c r="C4846" s="288" t="s">
        <v>38</v>
      </c>
      <c r="D4846" s="303">
        <v>22.25</v>
      </c>
    </row>
    <row r="4847" spans="1:4" ht="18">
      <c r="A4847" s="288" t="s">
        <v>15730</v>
      </c>
      <c r="B4847" s="289" t="s">
        <v>15731</v>
      </c>
      <c r="C4847" s="288" t="s">
        <v>38</v>
      </c>
      <c r="D4847" s="303">
        <v>10.38</v>
      </c>
    </row>
    <row r="4848" spans="1:4" ht="18">
      <c r="A4848" s="288" t="s">
        <v>15732</v>
      </c>
      <c r="B4848" s="289" t="s">
        <v>15733</v>
      </c>
      <c r="C4848" s="288" t="s">
        <v>38</v>
      </c>
      <c r="D4848" s="303">
        <v>20.170000000000002</v>
      </c>
    </row>
    <row r="4849" spans="1:4" ht="18">
      <c r="A4849" s="288" t="s">
        <v>15734</v>
      </c>
      <c r="B4849" s="289" t="s">
        <v>15735</v>
      </c>
      <c r="C4849" s="288" t="s">
        <v>38</v>
      </c>
      <c r="D4849" s="303">
        <v>14.79</v>
      </c>
    </row>
    <row r="4850" spans="1:4" ht="18">
      <c r="A4850" s="288" t="s">
        <v>15736</v>
      </c>
      <c r="B4850" s="289" t="s">
        <v>15737</v>
      </c>
      <c r="C4850" s="288" t="s">
        <v>38</v>
      </c>
      <c r="D4850" s="303">
        <v>7.42</v>
      </c>
    </row>
    <row r="4851" spans="1:4" ht="18">
      <c r="A4851" s="288" t="s">
        <v>15738</v>
      </c>
      <c r="B4851" s="289" t="s">
        <v>15739</v>
      </c>
      <c r="C4851" s="288" t="s">
        <v>38</v>
      </c>
      <c r="D4851" s="303">
        <v>17.8</v>
      </c>
    </row>
    <row r="4852" spans="1:4">
      <c r="A4852" s="288" t="s">
        <v>15740</v>
      </c>
      <c r="B4852" s="289" t="s">
        <v>15741</v>
      </c>
      <c r="C4852" s="288" t="s">
        <v>38</v>
      </c>
      <c r="D4852" s="303">
        <v>22.25</v>
      </c>
    </row>
    <row r="4853" spans="1:4" ht="27">
      <c r="A4853" s="288" t="s">
        <v>15742</v>
      </c>
      <c r="B4853" s="289" t="s">
        <v>15743</v>
      </c>
      <c r="C4853" s="288" t="s">
        <v>38</v>
      </c>
      <c r="D4853" s="303">
        <v>40.049999999999997</v>
      </c>
    </row>
    <row r="4854" spans="1:4">
      <c r="A4854" s="288" t="s">
        <v>15744</v>
      </c>
      <c r="B4854" s="289" t="s">
        <v>15745</v>
      </c>
      <c r="C4854" s="288" t="s">
        <v>38</v>
      </c>
      <c r="D4854" s="303">
        <v>9.18</v>
      </c>
    </row>
    <row r="4855" spans="1:4" ht="18">
      <c r="A4855" s="288" t="s">
        <v>15746</v>
      </c>
      <c r="B4855" s="289" t="s">
        <v>15747</v>
      </c>
      <c r="C4855" s="288" t="s">
        <v>54</v>
      </c>
      <c r="D4855" s="303">
        <v>6.53</v>
      </c>
    </row>
    <row r="4856" spans="1:4" ht="18">
      <c r="A4856" s="288" t="s">
        <v>15748</v>
      </c>
      <c r="B4856" s="289" t="s">
        <v>15749</v>
      </c>
      <c r="C4856" s="288" t="s">
        <v>38</v>
      </c>
      <c r="D4856" s="303">
        <v>96.76</v>
      </c>
    </row>
    <row r="4857" spans="1:4" ht="18">
      <c r="A4857" s="288" t="s">
        <v>15750</v>
      </c>
      <c r="B4857" s="289" t="s">
        <v>15751</v>
      </c>
      <c r="C4857" s="288" t="s">
        <v>38</v>
      </c>
      <c r="D4857" s="303">
        <v>12.92</v>
      </c>
    </row>
    <row r="4858" spans="1:4">
      <c r="A4858" s="288" t="s">
        <v>15752</v>
      </c>
      <c r="B4858" s="289" t="s">
        <v>15753</v>
      </c>
      <c r="C4858" s="288" t="s">
        <v>54</v>
      </c>
      <c r="D4858" s="303">
        <v>2.97</v>
      </c>
    </row>
    <row r="4859" spans="1:4" ht="18">
      <c r="A4859" s="288" t="s">
        <v>15754</v>
      </c>
      <c r="B4859" s="289" t="s">
        <v>15755</v>
      </c>
      <c r="C4859" s="288" t="s">
        <v>47</v>
      </c>
      <c r="D4859" s="303">
        <v>2607.02</v>
      </c>
    </row>
    <row r="4860" spans="1:4" ht="18">
      <c r="A4860" s="288" t="s">
        <v>15756</v>
      </c>
      <c r="B4860" s="289" t="s">
        <v>15757</v>
      </c>
      <c r="C4860" s="288" t="s">
        <v>38</v>
      </c>
      <c r="D4860" s="303">
        <v>7.37</v>
      </c>
    </row>
    <row r="4861" spans="1:4" ht="18">
      <c r="A4861" s="288" t="s">
        <v>15758</v>
      </c>
      <c r="B4861" s="289" t="s">
        <v>15759</v>
      </c>
      <c r="C4861" s="288" t="s">
        <v>38</v>
      </c>
      <c r="D4861" s="303">
        <v>7.07</v>
      </c>
    </row>
    <row r="4862" spans="1:4" ht="18">
      <c r="A4862" s="288" t="s">
        <v>15760</v>
      </c>
      <c r="B4862" s="289" t="s">
        <v>15761</v>
      </c>
      <c r="C4862" s="288" t="s">
        <v>38</v>
      </c>
      <c r="D4862" s="303">
        <v>16.04</v>
      </c>
    </row>
    <row r="4863" spans="1:4" ht="18">
      <c r="A4863" s="288" t="s">
        <v>15762</v>
      </c>
      <c r="B4863" s="289" t="s">
        <v>15763</v>
      </c>
      <c r="C4863" s="288" t="s">
        <v>38</v>
      </c>
      <c r="D4863" s="303">
        <v>30.1</v>
      </c>
    </row>
    <row r="4864" spans="1:4" ht="18">
      <c r="A4864" s="288" t="s">
        <v>15764</v>
      </c>
      <c r="B4864" s="289" t="s">
        <v>15765</v>
      </c>
      <c r="C4864" s="288" t="s">
        <v>38</v>
      </c>
      <c r="D4864" s="303">
        <v>12.41</v>
      </c>
    </row>
    <row r="4865" spans="1:4" ht="18">
      <c r="A4865" s="288" t="s">
        <v>15766</v>
      </c>
      <c r="B4865" s="289" t="s">
        <v>15767</v>
      </c>
      <c r="C4865" s="288" t="s">
        <v>38</v>
      </c>
      <c r="D4865" s="303">
        <v>27.59</v>
      </c>
    </row>
    <row r="4866" spans="1:4" ht="18">
      <c r="A4866" s="288" t="s">
        <v>15768</v>
      </c>
      <c r="B4866" s="289" t="s">
        <v>15769</v>
      </c>
      <c r="C4866" s="288" t="s">
        <v>38</v>
      </c>
      <c r="D4866" s="303">
        <v>9.4499999999999993</v>
      </c>
    </row>
    <row r="4867" spans="1:4" ht="18">
      <c r="A4867" s="288" t="s">
        <v>15770</v>
      </c>
      <c r="B4867" s="289" t="s">
        <v>15771</v>
      </c>
      <c r="C4867" s="288" t="s">
        <v>38</v>
      </c>
      <c r="D4867" s="303">
        <v>10.08</v>
      </c>
    </row>
    <row r="4868" spans="1:4" ht="18">
      <c r="A4868" s="288" t="s">
        <v>15772</v>
      </c>
      <c r="B4868" s="289" t="s">
        <v>15773</v>
      </c>
      <c r="C4868" s="288" t="s">
        <v>38</v>
      </c>
      <c r="D4868" s="303">
        <v>14.39</v>
      </c>
    </row>
    <row r="4869" spans="1:4" ht="18">
      <c r="A4869" s="288" t="s">
        <v>15774</v>
      </c>
      <c r="B4869" s="289" t="s">
        <v>15775</v>
      </c>
      <c r="C4869" s="288" t="s">
        <v>38</v>
      </c>
      <c r="D4869" s="303">
        <v>7.77</v>
      </c>
    </row>
    <row r="4870" spans="1:4" ht="27">
      <c r="A4870" s="288" t="s">
        <v>15776</v>
      </c>
      <c r="B4870" s="289" t="s">
        <v>15777</v>
      </c>
      <c r="C4870" s="288" t="s">
        <v>38</v>
      </c>
      <c r="D4870" s="303">
        <v>11.08</v>
      </c>
    </row>
    <row r="4871" spans="1:4" ht="18">
      <c r="A4871" s="288" t="s">
        <v>15778</v>
      </c>
      <c r="B4871" s="289" t="s">
        <v>15779</v>
      </c>
      <c r="C4871" s="288" t="s">
        <v>38</v>
      </c>
      <c r="D4871" s="303">
        <v>12.9</v>
      </c>
    </row>
    <row r="4872" spans="1:4">
      <c r="A4872" s="288" t="s">
        <v>15780</v>
      </c>
      <c r="B4872" s="289" t="s">
        <v>15781</v>
      </c>
      <c r="C4872" s="288" t="s">
        <v>38</v>
      </c>
      <c r="D4872" s="303">
        <v>7.42</v>
      </c>
    </row>
    <row r="4873" spans="1:4">
      <c r="A4873" s="288" t="s">
        <v>15782</v>
      </c>
      <c r="B4873" s="289" t="s">
        <v>15783</v>
      </c>
      <c r="C4873" s="288" t="s">
        <v>38</v>
      </c>
      <c r="D4873" s="303">
        <v>18.54</v>
      </c>
    </row>
    <row r="4874" spans="1:4" ht="18">
      <c r="A4874" s="288" t="s">
        <v>15784</v>
      </c>
      <c r="B4874" s="289" t="s">
        <v>15785</v>
      </c>
      <c r="C4874" s="288" t="s">
        <v>38</v>
      </c>
      <c r="D4874" s="303">
        <v>6.06</v>
      </c>
    </row>
    <row r="4875" spans="1:4">
      <c r="A4875" s="288" t="s">
        <v>15786</v>
      </c>
      <c r="B4875" s="289" t="s">
        <v>15787</v>
      </c>
      <c r="C4875" s="288" t="s">
        <v>38</v>
      </c>
      <c r="D4875" s="303">
        <v>10.38</v>
      </c>
    </row>
    <row r="4876" spans="1:4" ht="18">
      <c r="A4876" s="288" t="s">
        <v>15788</v>
      </c>
      <c r="B4876" s="289" t="s">
        <v>15789</v>
      </c>
      <c r="C4876" s="288" t="s">
        <v>38</v>
      </c>
      <c r="D4876" s="303">
        <v>10.6</v>
      </c>
    </row>
    <row r="4877" spans="1:4">
      <c r="A4877" s="288" t="s">
        <v>15790</v>
      </c>
      <c r="B4877" s="289" t="s">
        <v>15791</v>
      </c>
      <c r="C4877" s="288" t="s">
        <v>38</v>
      </c>
      <c r="D4877" s="303">
        <v>13.25</v>
      </c>
    </row>
    <row r="4878" spans="1:4">
      <c r="A4878" s="288" t="s">
        <v>15792</v>
      </c>
      <c r="B4878" s="289" t="s">
        <v>15793</v>
      </c>
      <c r="C4878" s="288" t="s">
        <v>47</v>
      </c>
      <c r="D4878" s="303">
        <v>18.68</v>
      </c>
    </row>
    <row r="4879" spans="1:4">
      <c r="A4879" s="288" t="s">
        <v>15794</v>
      </c>
      <c r="B4879" s="289" t="s">
        <v>15795</v>
      </c>
      <c r="C4879" s="288" t="s">
        <v>38</v>
      </c>
      <c r="D4879" s="303">
        <v>15.55</v>
      </c>
    </row>
    <row r="4880" spans="1:4" ht="18">
      <c r="A4880" s="288" t="s">
        <v>15796</v>
      </c>
      <c r="B4880" s="289" t="s">
        <v>15797</v>
      </c>
      <c r="C4880" s="288" t="s">
        <v>38</v>
      </c>
      <c r="D4880" s="303">
        <v>8.16</v>
      </c>
    </row>
    <row r="4881" spans="1:4" ht="18">
      <c r="A4881" s="288" t="s">
        <v>15798</v>
      </c>
      <c r="B4881" s="289" t="s">
        <v>15799</v>
      </c>
      <c r="C4881" s="288" t="s">
        <v>38</v>
      </c>
      <c r="D4881" s="303">
        <v>17.8</v>
      </c>
    </row>
    <row r="4882" spans="1:4" ht="18">
      <c r="A4882" s="288" t="s">
        <v>15800</v>
      </c>
      <c r="B4882" s="289" t="s">
        <v>15801</v>
      </c>
      <c r="C4882" s="288" t="s">
        <v>38</v>
      </c>
      <c r="D4882" s="303">
        <v>5.19</v>
      </c>
    </row>
    <row r="4883" spans="1:4">
      <c r="A4883" s="288" t="s">
        <v>15802</v>
      </c>
      <c r="B4883" s="289" t="s">
        <v>15803</v>
      </c>
      <c r="C4883" s="288" t="s">
        <v>54</v>
      </c>
      <c r="D4883" s="303">
        <v>55.16</v>
      </c>
    </row>
    <row r="4884" spans="1:4" ht="18">
      <c r="A4884" s="288" t="s">
        <v>15804</v>
      </c>
      <c r="B4884" s="289" t="s">
        <v>15805</v>
      </c>
      <c r="C4884" s="288" t="s">
        <v>38</v>
      </c>
      <c r="D4884" s="303">
        <v>14.79</v>
      </c>
    </row>
    <row r="4885" spans="1:4" ht="18">
      <c r="A4885" s="288" t="s">
        <v>15806</v>
      </c>
      <c r="B4885" s="289" t="s">
        <v>15807</v>
      </c>
      <c r="C4885" s="288" t="s">
        <v>38</v>
      </c>
      <c r="D4885" s="303">
        <v>5.19</v>
      </c>
    </row>
    <row r="4886" spans="1:4" ht="18">
      <c r="A4886" s="288" t="s">
        <v>15808</v>
      </c>
      <c r="B4886" s="289" t="s">
        <v>15809</v>
      </c>
      <c r="C4886" s="288" t="s">
        <v>38</v>
      </c>
      <c r="D4886" s="303">
        <v>11.87</v>
      </c>
    </row>
    <row r="4887" spans="1:4" ht="18">
      <c r="A4887" s="288" t="s">
        <v>15810</v>
      </c>
      <c r="B4887" s="289" t="s">
        <v>15811</v>
      </c>
      <c r="C4887" s="288" t="s">
        <v>54</v>
      </c>
      <c r="D4887" s="303">
        <v>37.799999999999997</v>
      </c>
    </row>
    <row r="4888" spans="1:4" ht="18">
      <c r="A4888" s="288" t="s">
        <v>15812</v>
      </c>
      <c r="B4888" s="289" t="s">
        <v>15813</v>
      </c>
      <c r="C4888" s="288" t="s">
        <v>54</v>
      </c>
      <c r="D4888" s="303">
        <v>75.959999999999994</v>
      </c>
    </row>
    <row r="4889" spans="1:4" ht="18">
      <c r="A4889" s="288" t="s">
        <v>15814</v>
      </c>
      <c r="B4889" s="289" t="s">
        <v>15815</v>
      </c>
      <c r="C4889" s="288" t="s">
        <v>54</v>
      </c>
      <c r="D4889" s="303">
        <v>185.48</v>
      </c>
    </row>
    <row r="4890" spans="1:4">
      <c r="A4890" s="288" t="s">
        <v>15816</v>
      </c>
      <c r="B4890" s="289" t="s">
        <v>15817</v>
      </c>
      <c r="C4890" s="288" t="s">
        <v>54</v>
      </c>
      <c r="D4890" s="303">
        <v>347.28</v>
      </c>
    </row>
    <row r="4891" spans="1:4" ht="27">
      <c r="A4891" s="287" t="s">
        <v>15818</v>
      </c>
      <c r="B4891" s="287"/>
      <c r="C4891" s="287"/>
      <c r="D4891" s="296" t="s">
        <v>28729</v>
      </c>
    </row>
    <row r="4892" spans="1:4">
      <c r="A4892" s="288" t="s">
        <v>15819</v>
      </c>
      <c r="B4892" s="289" t="s">
        <v>15820</v>
      </c>
      <c r="C4892" s="288" t="s">
        <v>7079</v>
      </c>
      <c r="D4892" s="303">
        <v>50.17</v>
      </c>
    </row>
    <row r="4893" spans="1:4" ht="27">
      <c r="A4893" s="288" t="s">
        <v>15821</v>
      </c>
      <c r="B4893" s="289" t="s">
        <v>15822</v>
      </c>
      <c r="C4893" s="288" t="s">
        <v>38</v>
      </c>
      <c r="D4893" s="303">
        <v>10.68</v>
      </c>
    </row>
    <row r="4894" spans="1:4" ht="18">
      <c r="A4894" s="288" t="s">
        <v>15823</v>
      </c>
      <c r="B4894" s="289" t="s">
        <v>15824</v>
      </c>
      <c r="C4894" s="288" t="s">
        <v>47</v>
      </c>
      <c r="D4894" s="303">
        <v>143.87</v>
      </c>
    </row>
    <row r="4895" spans="1:4" ht="27">
      <c r="A4895" s="288" t="s">
        <v>15825</v>
      </c>
      <c r="B4895" s="289" t="s">
        <v>15826</v>
      </c>
      <c r="C4895" s="288" t="s">
        <v>38</v>
      </c>
      <c r="D4895" s="303">
        <v>22.41</v>
      </c>
    </row>
    <row r="4896" spans="1:4" ht="27">
      <c r="A4896" s="288" t="s">
        <v>15827</v>
      </c>
      <c r="B4896" s="289" t="s">
        <v>15828</v>
      </c>
      <c r="C4896" s="288" t="s">
        <v>38</v>
      </c>
      <c r="D4896" s="303">
        <v>28.07</v>
      </c>
    </row>
    <row r="4897" spans="1:4" ht="18">
      <c r="A4897" s="288" t="s">
        <v>15829</v>
      </c>
      <c r="B4897" s="289" t="s">
        <v>15830</v>
      </c>
      <c r="C4897" s="288" t="s">
        <v>47</v>
      </c>
      <c r="D4897" s="303">
        <v>244.58</v>
      </c>
    </row>
    <row r="4898" spans="1:4" ht="27">
      <c r="A4898" s="288" t="s">
        <v>15831</v>
      </c>
      <c r="B4898" s="289" t="s">
        <v>15832</v>
      </c>
      <c r="C4898" s="288" t="s">
        <v>38</v>
      </c>
      <c r="D4898" s="303">
        <v>16.84</v>
      </c>
    </row>
    <row r="4899" spans="1:4" ht="27">
      <c r="A4899" s="288" t="s">
        <v>15833</v>
      </c>
      <c r="B4899" s="289" t="s">
        <v>15834</v>
      </c>
      <c r="C4899" s="288" t="s">
        <v>38</v>
      </c>
      <c r="D4899" s="303">
        <v>25.25</v>
      </c>
    </row>
    <row r="4900" spans="1:4" ht="27">
      <c r="A4900" s="288" t="s">
        <v>15835</v>
      </c>
      <c r="B4900" s="289" t="s">
        <v>15836</v>
      </c>
      <c r="C4900" s="288" t="s">
        <v>38</v>
      </c>
      <c r="D4900" s="303">
        <v>19.79</v>
      </c>
    </row>
    <row r="4901" spans="1:4" ht="27">
      <c r="A4901" s="288" t="s">
        <v>15837</v>
      </c>
      <c r="B4901" s="289" t="s">
        <v>15838</v>
      </c>
      <c r="C4901" s="288" t="s">
        <v>38</v>
      </c>
      <c r="D4901" s="303">
        <v>29.67</v>
      </c>
    </row>
    <row r="4902" spans="1:4" ht="27">
      <c r="A4902" s="288" t="s">
        <v>15839</v>
      </c>
      <c r="B4902" s="289" t="s">
        <v>15840</v>
      </c>
      <c r="C4902" s="288" t="s">
        <v>47</v>
      </c>
      <c r="D4902" s="303">
        <v>112.23</v>
      </c>
    </row>
    <row r="4903" spans="1:4" ht="27">
      <c r="A4903" s="288" t="s">
        <v>15841</v>
      </c>
      <c r="B4903" s="289" t="s">
        <v>15842</v>
      </c>
      <c r="C4903" s="288" t="s">
        <v>47</v>
      </c>
      <c r="D4903" s="303">
        <v>190.79</v>
      </c>
    </row>
    <row r="4904" spans="1:4" ht="18">
      <c r="A4904" s="288" t="s">
        <v>15843</v>
      </c>
      <c r="B4904" s="289" t="s">
        <v>15844</v>
      </c>
      <c r="C4904" s="288" t="s">
        <v>47</v>
      </c>
      <c r="D4904" s="303">
        <v>1832</v>
      </c>
    </row>
    <row r="4905" spans="1:4" ht="18">
      <c r="A4905" s="287" t="s">
        <v>15845</v>
      </c>
      <c r="B4905" s="287"/>
      <c r="C4905" s="287"/>
      <c r="D4905" s="296" t="s">
        <v>28729</v>
      </c>
    </row>
    <row r="4906" spans="1:4" ht="27">
      <c r="A4906" s="288" t="s">
        <v>15846</v>
      </c>
      <c r="B4906" s="289" t="s">
        <v>15847</v>
      </c>
      <c r="C4906" s="288" t="s">
        <v>54</v>
      </c>
      <c r="D4906" s="303">
        <v>109.31</v>
      </c>
    </row>
    <row r="4907" spans="1:4" ht="18">
      <c r="A4907" s="288" t="s">
        <v>15848</v>
      </c>
      <c r="B4907" s="289" t="s">
        <v>15849</v>
      </c>
      <c r="C4907" s="288" t="s">
        <v>47</v>
      </c>
      <c r="D4907" s="303">
        <v>22.25</v>
      </c>
    </row>
    <row r="4908" spans="1:4" ht="18">
      <c r="A4908" s="288" t="s">
        <v>15850</v>
      </c>
      <c r="B4908" s="289" t="s">
        <v>15851</v>
      </c>
      <c r="C4908" s="288" t="s">
        <v>47</v>
      </c>
      <c r="D4908" s="303">
        <v>29.66</v>
      </c>
    </row>
    <row r="4909" spans="1:4" ht="18">
      <c r="A4909" s="288" t="s">
        <v>15852</v>
      </c>
      <c r="B4909" s="289" t="s">
        <v>15853</v>
      </c>
      <c r="C4909" s="288" t="s">
        <v>47</v>
      </c>
      <c r="D4909" s="303">
        <v>44.5</v>
      </c>
    </row>
    <row r="4910" spans="1:4" ht="18">
      <c r="A4910" s="287" t="s">
        <v>15854</v>
      </c>
      <c r="B4910" s="287"/>
      <c r="C4910" s="287"/>
      <c r="D4910" s="296" t="s">
        <v>28729</v>
      </c>
    </row>
    <row r="4911" spans="1:4" ht="18">
      <c r="A4911" s="288" t="s">
        <v>15855</v>
      </c>
      <c r="B4911" s="289" t="s">
        <v>15856</v>
      </c>
      <c r="C4911" s="288" t="s">
        <v>38</v>
      </c>
      <c r="D4911" s="303">
        <v>3.71</v>
      </c>
    </row>
    <row r="4912" spans="1:4" ht="18">
      <c r="A4912" s="288" t="s">
        <v>15857</v>
      </c>
      <c r="B4912" s="289" t="s">
        <v>15858</v>
      </c>
      <c r="C4912" s="288" t="s">
        <v>38</v>
      </c>
      <c r="D4912" s="303">
        <v>11.12</v>
      </c>
    </row>
    <row r="4913" spans="1:4" ht="18">
      <c r="A4913" s="288" t="s">
        <v>15859</v>
      </c>
      <c r="B4913" s="289" t="s">
        <v>15860</v>
      </c>
      <c r="C4913" s="288" t="s">
        <v>38</v>
      </c>
      <c r="D4913" s="303">
        <v>5.93</v>
      </c>
    </row>
    <row r="4914" spans="1:4">
      <c r="A4914" s="288" t="s">
        <v>15861</v>
      </c>
      <c r="B4914" s="289" t="s">
        <v>15862</v>
      </c>
      <c r="C4914" s="288" t="s">
        <v>7079</v>
      </c>
      <c r="D4914" s="303">
        <v>29.66</v>
      </c>
    </row>
    <row r="4915" spans="1:4">
      <c r="A4915" s="288" t="s">
        <v>15863</v>
      </c>
      <c r="B4915" s="289" t="s">
        <v>15864</v>
      </c>
      <c r="C4915" s="288" t="s">
        <v>7079</v>
      </c>
      <c r="D4915" s="303">
        <v>66.739999999999995</v>
      </c>
    </row>
    <row r="4916" spans="1:4">
      <c r="A4916" s="288" t="s">
        <v>15865</v>
      </c>
      <c r="B4916" s="289" t="s">
        <v>15866</v>
      </c>
      <c r="C4916" s="288" t="s">
        <v>54</v>
      </c>
      <c r="D4916" s="303">
        <v>97.15</v>
      </c>
    </row>
    <row r="4917" spans="1:4">
      <c r="A4917" s="290"/>
      <c r="B4917" s="290"/>
      <c r="C4917" s="290"/>
      <c r="D4917" s="298"/>
    </row>
    <row r="4918" spans="1:4">
      <c r="A4918" s="287" t="s">
        <v>15867</v>
      </c>
      <c r="B4918" s="287"/>
      <c r="C4918" s="287"/>
      <c r="D4918" s="296" t="s">
        <v>28729</v>
      </c>
    </row>
    <row r="4919" spans="1:4">
      <c r="A4919" s="288" t="s">
        <v>15868</v>
      </c>
      <c r="B4919" s="289" t="s">
        <v>15869</v>
      </c>
      <c r="C4919" s="288" t="s">
        <v>7167</v>
      </c>
      <c r="D4919" s="303">
        <v>12.71</v>
      </c>
    </row>
    <row r="4920" spans="1:4">
      <c r="A4920" s="288" t="s">
        <v>15870</v>
      </c>
      <c r="B4920" s="289" t="s">
        <v>15871</v>
      </c>
      <c r="C4920" s="288" t="s">
        <v>7167</v>
      </c>
      <c r="D4920" s="303">
        <v>19.190000000000001</v>
      </c>
    </row>
    <row r="4921" spans="1:4">
      <c r="A4921" s="288" t="s">
        <v>15872</v>
      </c>
      <c r="B4921" s="289" t="s">
        <v>15873</v>
      </c>
      <c r="C4921" s="288" t="s">
        <v>7167</v>
      </c>
      <c r="D4921" s="303">
        <v>20.5</v>
      </c>
    </row>
    <row r="4922" spans="1:4">
      <c r="A4922" s="288" t="s">
        <v>15874</v>
      </c>
      <c r="B4922" s="289" t="s">
        <v>15875</v>
      </c>
      <c r="C4922" s="288" t="s">
        <v>7167</v>
      </c>
      <c r="D4922" s="303">
        <v>20.5</v>
      </c>
    </row>
    <row r="4923" spans="1:4">
      <c r="A4923" s="288" t="s">
        <v>15876</v>
      </c>
      <c r="B4923" s="289" t="s">
        <v>15877</v>
      </c>
      <c r="C4923" s="288" t="s">
        <v>7167</v>
      </c>
      <c r="D4923" s="303">
        <v>20.5</v>
      </c>
    </row>
    <row r="4924" spans="1:4">
      <c r="A4924" s="288" t="s">
        <v>15878</v>
      </c>
      <c r="B4924" s="289" t="s">
        <v>15879</v>
      </c>
      <c r="C4924" s="288" t="s">
        <v>7167</v>
      </c>
      <c r="D4924" s="303">
        <v>20.5</v>
      </c>
    </row>
    <row r="4925" spans="1:4">
      <c r="A4925" s="288" t="s">
        <v>15880</v>
      </c>
      <c r="B4925" s="289" t="s">
        <v>15881</v>
      </c>
      <c r="C4925" s="288" t="s">
        <v>7167</v>
      </c>
      <c r="D4925" s="303">
        <v>22.06</v>
      </c>
    </row>
    <row r="4926" spans="1:4">
      <c r="A4926" s="288" t="s">
        <v>15882</v>
      </c>
      <c r="B4926" s="289" t="s">
        <v>15883</v>
      </c>
      <c r="C4926" s="288" t="s">
        <v>7167</v>
      </c>
      <c r="D4926" s="303">
        <v>20.5</v>
      </c>
    </row>
    <row r="4927" spans="1:4">
      <c r="A4927" s="288" t="s">
        <v>15884</v>
      </c>
      <c r="B4927" s="289" t="s">
        <v>15885</v>
      </c>
      <c r="C4927" s="288" t="s">
        <v>7167</v>
      </c>
      <c r="D4927" s="303">
        <v>22.06</v>
      </c>
    </row>
    <row r="4928" spans="1:4">
      <c r="A4928" s="288" t="s">
        <v>15886</v>
      </c>
      <c r="B4928" s="289" t="s">
        <v>15887</v>
      </c>
      <c r="C4928" s="288" t="s">
        <v>7167</v>
      </c>
      <c r="D4928" s="303">
        <v>20.5</v>
      </c>
    </row>
    <row r="4929" spans="1:4">
      <c r="A4929" s="288" t="s">
        <v>15888</v>
      </c>
      <c r="B4929" s="289" t="s">
        <v>15889</v>
      </c>
      <c r="C4929" s="288" t="s">
        <v>7167</v>
      </c>
      <c r="D4929" s="303">
        <v>19.190000000000001</v>
      </c>
    </row>
    <row r="4930" spans="1:4">
      <c r="A4930" s="288" t="s">
        <v>15890</v>
      </c>
      <c r="B4930" s="289" t="s">
        <v>15891</v>
      </c>
      <c r="C4930" s="288" t="s">
        <v>7167</v>
      </c>
      <c r="D4930" s="303">
        <v>19.190000000000001</v>
      </c>
    </row>
    <row r="4931" spans="1:4">
      <c r="A4931" s="288" t="s">
        <v>15892</v>
      </c>
      <c r="B4931" s="289" t="s">
        <v>15893</v>
      </c>
      <c r="C4931" s="288" t="s">
        <v>7167</v>
      </c>
      <c r="D4931" s="303">
        <v>22.06</v>
      </c>
    </row>
    <row r="4932" spans="1:4">
      <c r="A4932" s="288" t="s">
        <v>15894</v>
      </c>
      <c r="B4932" s="289" t="s">
        <v>15895</v>
      </c>
      <c r="C4932" s="288" t="s">
        <v>7167</v>
      </c>
      <c r="D4932" s="303">
        <v>22.06</v>
      </c>
    </row>
    <row r="4933" spans="1:4">
      <c r="A4933" s="288" t="s">
        <v>15896</v>
      </c>
      <c r="B4933" s="289" t="s">
        <v>15897</v>
      </c>
      <c r="C4933" s="288" t="s">
        <v>7167</v>
      </c>
      <c r="D4933" s="303">
        <v>12.66</v>
      </c>
    </row>
    <row r="4934" spans="1:4">
      <c r="A4934" s="288" t="s">
        <v>15898</v>
      </c>
      <c r="B4934" s="289" t="s">
        <v>15899</v>
      </c>
      <c r="C4934" s="288" t="s">
        <v>7167</v>
      </c>
      <c r="D4934" s="303">
        <v>20.5</v>
      </c>
    </row>
    <row r="4935" spans="1:4">
      <c r="A4935" s="288" t="s">
        <v>15900</v>
      </c>
      <c r="B4935" s="289" t="s">
        <v>15901</v>
      </c>
      <c r="C4935" s="288" t="s">
        <v>7167</v>
      </c>
      <c r="D4935" s="303">
        <v>11.35</v>
      </c>
    </row>
    <row r="4936" spans="1:4">
      <c r="A4936" s="288" t="s">
        <v>15902</v>
      </c>
      <c r="B4936" s="289" t="s">
        <v>15903</v>
      </c>
      <c r="C4936" s="288" t="s">
        <v>7167</v>
      </c>
      <c r="D4936" s="303">
        <v>11.35</v>
      </c>
    </row>
    <row r="4937" spans="1:4">
      <c r="A4937" s="288" t="s">
        <v>15904</v>
      </c>
      <c r="B4937" s="289" t="s">
        <v>15905</v>
      </c>
      <c r="C4937" s="288" t="s">
        <v>7167</v>
      </c>
      <c r="D4937" s="303">
        <v>56.12</v>
      </c>
    </row>
    <row r="4938" spans="1:4">
      <c r="A4938" s="288" t="s">
        <v>15906</v>
      </c>
      <c r="B4938" s="289" t="s">
        <v>15907</v>
      </c>
      <c r="C4938" s="288" t="s">
        <v>7167</v>
      </c>
      <c r="D4938" s="303">
        <v>23.03</v>
      </c>
    </row>
    <row r="4939" spans="1:4">
      <c r="A4939" s="288" t="s">
        <v>15908</v>
      </c>
      <c r="B4939" s="289" t="s">
        <v>15909</v>
      </c>
      <c r="C4939" s="288" t="s">
        <v>7167</v>
      </c>
      <c r="D4939" s="303">
        <v>22.06</v>
      </c>
    </row>
    <row r="4940" spans="1:4">
      <c r="A4940" s="288" t="s">
        <v>15910</v>
      </c>
      <c r="B4940" s="289" t="s">
        <v>15911</v>
      </c>
      <c r="C4940" s="288" t="s">
        <v>7167</v>
      </c>
      <c r="D4940" s="303">
        <v>20.5</v>
      </c>
    </row>
    <row r="4941" spans="1:4">
      <c r="A4941" s="288" t="s">
        <v>15912</v>
      </c>
      <c r="B4941" s="289" t="s">
        <v>15913</v>
      </c>
      <c r="C4941" s="288" t="s">
        <v>7167</v>
      </c>
      <c r="D4941" s="303">
        <v>20.5</v>
      </c>
    </row>
    <row r="4942" spans="1:4">
      <c r="A4942" s="288" t="s">
        <v>15914</v>
      </c>
      <c r="B4942" s="289" t="s">
        <v>15915</v>
      </c>
      <c r="C4942" s="288" t="s">
        <v>7167</v>
      </c>
      <c r="D4942" s="303">
        <v>18.649999999999999</v>
      </c>
    </row>
    <row r="4943" spans="1:4">
      <c r="A4943" s="288" t="s">
        <v>15916</v>
      </c>
      <c r="B4943" s="289" t="s">
        <v>15917</v>
      </c>
      <c r="C4943" s="288" t="s">
        <v>7167</v>
      </c>
      <c r="D4943" s="303">
        <v>20.5</v>
      </c>
    </row>
    <row r="4944" spans="1:4">
      <c r="A4944" s="288" t="s">
        <v>15918</v>
      </c>
      <c r="B4944" s="289" t="s">
        <v>15919</v>
      </c>
      <c r="C4944" s="288" t="s">
        <v>7167</v>
      </c>
      <c r="D4944" s="303">
        <v>14.83</v>
      </c>
    </row>
    <row r="4945" spans="1:4">
      <c r="A4945" s="288" t="s">
        <v>15920</v>
      </c>
      <c r="B4945" s="289" t="s">
        <v>15921</v>
      </c>
      <c r="C4945" s="288" t="s">
        <v>7167</v>
      </c>
      <c r="D4945" s="303">
        <v>20.5</v>
      </c>
    </row>
    <row r="4946" spans="1:4" ht="18">
      <c r="A4946" s="287" t="s">
        <v>15922</v>
      </c>
      <c r="B4946" s="287"/>
      <c r="C4946" s="287"/>
      <c r="D4946" s="296" t="s">
        <v>28729</v>
      </c>
    </row>
    <row r="4947" spans="1:4" ht="18">
      <c r="A4947" s="288" t="s">
        <v>15923</v>
      </c>
      <c r="B4947" s="289" t="s">
        <v>15924</v>
      </c>
      <c r="C4947" s="288" t="s">
        <v>7167</v>
      </c>
      <c r="D4947" s="303">
        <v>16.010000000000002</v>
      </c>
    </row>
    <row r="4948" spans="1:4" ht="18">
      <c r="A4948" s="288" t="s">
        <v>15925</v>
      </c>
      <c r="B4948" s="289" t="s">
        <v>15926</v>
      </c>
      <c r="C4948" s="288" t="s">
        <v>7167</v>
      </c>
      <c r="D4948" s="303">
        <v>15.65</v>
      </c>
    </row>
    <row r="4949" spans="1:4" ht="18">
      <c r="A4949" s="288" t="s">
        <v>15927</v>
      </c>
      <c r="B4949" s="289" t="s">
        <v>15928</v>
      </c>
      <c r="C4949" s="288" t="s">
        <v>7167</v>
      </c>
      <c r="D4949" s="303">
        <v>19.04</v>
      </c>
    </row>
    <row r="4950" spans="1:4" ht="27">
      <c r="A4950" s="288" t="s">
        <v>15929</v>
      </c>
      <c r="B4950" s="289" t="s">
        <v>15930</v>
      </c>
      <c r="C4950" s="288" t="s">
        <v>7167</v>
      </c>
      <c r="D4950" s="303">
        <v>26.74</v>
      </c>
    </row>
    <row r="4951" spans="1:4" ht="27">
      <c r="A4951" s="288" t="s">
        <v>15931</v>
      </c>
      <c r="B4951" s="289" t="s">
        <v>15932</v>
      </c>
      <c r="C4951" s="288" t="s">
        <v>7167</v>
      </c>
      <c r="D4951" s="303">
        <v>23.17</v>
      </c>
    </row>
    <row r="4952" spans="1:4" ht="27">
      <c r="A4952" s="288" t="s">
        <v>15933</v>
      </c>
      <c r="B4952" s="289" t="s">
        <v>15934</v>
      </c>
      <c r="C4952" s="288" t="s">
        <v>7167</v>
      </c>
      <c r="D4952" s="303">
        <v>40.22</v>
      </c>
    </row>
    <row r="4953" spans="1:4">
      <c r="A4953" s="288" t="s">
        <v>15935</v>
      </c>
      <c r="B4953" s="289" t="s">
        <v>15936</v>
      </c>
      <c r="C4953" s="288" t="s">
        <v>7167</v>
      </c>
      <c r="D4953" s="303">
        <v>14.9</v>
      </c>
    </row>
    <row r="4954" spans="1:4">
      <c r="A4954" s="288" t="s">
        <v>15937</v>
      </c>
      <c r="B4954" s="289" t="s">
        <v>15938</v>
      </c>
      <c r="C4954" s="288" t="s">
        <v>7167</v>
      </c>
      <c r="D4954" s="303">
        <v>14.9</v>
      </c>
    </row>
    <row r="4955" spans="1:4">
      <c r="A4955" s="290"/>
      <c r="B4955" s="290"/>
      <c r="C4955" s="290"/>
      <c r="D4955" s="298"/>
    </row>
    <row r="4956" spans="1:4">
      <c r="A4956" s="287" t="s">
        <v>15939</v>
      </c>
      <c r="B4956" s="287"/>
      <c r="C4956" s="287"/>
      <c r="D4956" s="296" t="s">
        <v>28729</v>
      </c>
    </row>
    <row r="4957" spans="1:4">
      <c r="A4957" s="288" t="s">
        <v>15940</v>
      </c>
      <c r="B4957" s="289" t="s">
        <v>15941</v>
      </c>
      <c r="C4957" s="288" t="s">
        <v>47</v>
      </c>
      <c r="D4957" s="303">
        <v>15.49</v>
      </c>
    </row>
    <row r="4958" spans="1:4">
      <c r="A4958" s="288" t="s">
        <v>15942</v>
      </c>
      <c r="B4958" s="289" t="s">
        <v>15943</v>
      </c>
      <c r="C4958" s="288" t="s">
        <v>7148</v>
      </c>
      <c r="D4958" s="303">
        <v>11496.63</v>
      </c>
    </row>
    <row r="4959" spans="1:4">
      <c r="A4959" s="288" t="s">
        <v>15944</v>
      </c>
      <c r="B4959" s="289" t="s">
        <v>15945</v>
      </c>
      <c r="C4959" s="288" t="s">
        <v>47</v>
      </c>
      <c r="D4959" s="303">
        <v>88.5</v>
      </c>
    </row>
    <row r="4960" spans="1:4">
      <c r="A4960" s="288" t="s">
        <v>15946</v>
      </c>
      <c r="B4960" s="289" t="s">
        <v>15947</v>
      </c>
      <c r="C4960" s="288" t="s">
        <v>7148</v>
      </c>
      <c r="D4960" s="303">
        <v>9107.23</v>
      </c>
    </row>
    <row r="4961" spans="1:4">
      <c r="A4961" s="288" t="s">
        <v>15948</v>
      </c>
      <c r="B4961" s="289" t="s">
        <v>15949</v>
      </c>
      <c r="C4961" s="288" t="s">
        <v>10941</v>
      </c>
      <c r="D4961" s="303">
        <v>6.59</v>
      </c>
    </row>
    <row r="4962" spans="1:4">
      <c r="A4962" s="288" t="s">
        <v>15950</v>
      </c>
      <c r="B4962" s="289" t="s">
        <v>15951</v>
      </c>
      <c r="C4962" s="288" t="s">
        <v>10941</v>
      </c>
      <c r="D4962" s="303">
        <v>0.36</v>
      </c>
    </row>
    <row r="4963" spans="1:4">
      <c r="A4963" s="288" t="s">
        <v>15952</v>
      </c>
      <c r="B4963" s="289" t="s">
        <v>15953</v>
      </c>
      <c r="C4963" s="288" t="s">
        <v>7148</v>
      </c>
      <c r="D4963" s="303">
        <v>5180</v>
      </c>
    </row>
    <row r="4964" spans="1:4" ht="18">
      <c r="A4964" s="288" t="s">
        <v>15954</v>
      </c>
      <c r="B4964" s="289" t="s">
        <v>15955</v>
      </c>
      <c r="C4964" s="288" t="s">
        <v>10941</v>
      </c>
      <c r="D4964" s="303">
        <v>34.270000000000003</v>
      </c>
    </row>
    <row r="4965" spans="1:4">
      <c r="A4965" s="288" t="s">
        <v>15956</v>
      </c>
      <c r="B4965" s="289" t="s">
        <v>15957</v>
      </c>
      <c r="C4965" s="288" t="s">
        <v>10941</v>
      </c>
      <c r="D4965" s="303">
        <v>4.0999999999999996</v>
      </c>
    </row>
    <row r="4966" spans="1:4">
      <c r="A4966" s="288" t="s">
        <v>15958</v>
      </c>
      <c r="B4966" s="289" t="s">
        <v>15959</v>
      </c>
      <c r="C4966" s="288" t="s">
        <v>47</v>
      </c>
      <c r="D4966" s="303">
        <v>60.33</v>
      </c>
    </row>
    <row r="4967" spans="1:4">
      <c r="A4967" s="288" t="s">
        <v>15960</v>
      </c>
      <c r="B4967" s="289" t="s">
        <v>15961</v>
      </c>
      <c r="C4967" s="288" t="s">
        <v>47</v>
      </c>
      <c r="D4967" s="303">
        <v>96.94</v>
      </c>
    </row>
    <row r="4968" spans="1:4">
      <c r="A4968" s="288" t="s">
        <v>15962</v>
      </c>
      <c r="B4968" s="289" t="s">
        <v>15963</v>
      </c>
      <c r="C4968" s="288" t="s">
        <v>47</v>
      </c>
      <c r="D4968" s="303">
        <v>100.91</v>
      </c>
    </row>
    <row r="4969" spans="1:4">
      <c r="A4969" s="288" t="s">
        <v>15964</v>
      </c>
      <c r="B4969" s="289" t="s">
        <v>15965</v>
      </c>
      <c r="C4969" s="288" t="s">
        <v>47</v>
      </c>
      <c r="D4969" s="303">
        <v>99.48</v>
      </c>
    </row>
    <row r="4970" spans="1:4">
      <c r="A4970" s="288" t="s">
        <v>15966</v>
      </c>
      <c r="B4970" s="289" t="s">
        <v>15967</v>
      </c>
      <c r="C4970" s="288" t="s">
        <v>10941</v>
      </c>
      <c r="D4970" s="303">
        <v>10.96</v>
      </c>
    </row>
    <row r="4971" spans="1:4">
      <c r="A4971" s="288" t="s">
        <v>15968</v>
      </c>
      <c r="B4971" s="289" t="s">
        <v>15969</v>
      </c>
      <c r="C4971" s="288" t="s">
        <v>47</v>
      </c>
      <c r="D4971" s="303">
        <v>85</v>
      </c>
    </row>
    <row r="4972" spans="1:4" ht="18">
      <c r="A4972" s="287" t="s">
        <v>15970</v>
      </c>
      <c r="B4972" s="287"/>
      <c r="C4972" s="287"/>
      <c r="D4972" s="296" t="s">
        <v>28729</v>
      </c>
    </row>
    <row r="4973" spans="1:4" ht="27">
      <c r="A4973" s="288" t="s">
        <v>15971</v>
      </c>
      <c r="B4973" s="289" t="s">
        <v>15972</v>
      </c>
      <c r="C4973" s="288" t="s">
        <v>38</v>
      </c>
      <c r="D4973" s="303">
        <v>1678</v>
      </c>
    </row>
    <row r="4974" spans="1:4" ht="18">
      <c r="A4974" s="287" t="s">
        <v>15973</v>
      </c>
      <c r="B4974" s="287"/>
      <c r="C4974" s="287"/>
      <c r="D4974" s="296" t="s">
        <v>28729</v>
      </c>
    </row>
    <row r="4975" spans="1:4">
      <c r="A4975" s="288" t="s">
        <v>15974</v>
      </c>
      <c r="B4975" s="289" t="s">
        <v>15975</v>
      </c>
      <c r="C4975" s="288" t="s">
        <v>10941</v>
      </c>
      <c r="D4975" s="303">
        <v>38</v>
      </c>
    </row>
    <row r="4976" spans="1:4">
      <c r="A4976" s="290"/>
      <c r="B4976" s="290"/>
      <c r="C4976" s="290"/>
      <c r="D4976" s="298"/>
    </row>
    <row r="4977" spans="1:4" ht="18">
      <c r="A4977" s="287" t="s">
        <v>15976</v>
      </c>
      <c r="B4977" s="287"/>
      <c r="C4977" s="287"/>
      <c r="D4977" s="296" t="s">
        <v>28729</v>
      </c>
    </row>
    <row r="4978" spans="1:4" ht="27">
      <c r="A4978" s="288" t="s">
        <v>15977</v>
      </c>
      <c r="B4978" s="289" t="s">
        <v>15978</v>
      </c>
      <c r="C4978" s="288" t="s">
        <v>54</v>
      </c>
      <c r="D4978" s="303">
        <v>99.15</v>
      </c>
    </row>
    <row r="4979" spans="1:4" ht="27">
      <c r="A4979" s="288" t="s">
        <v>15979</v>
      </c>
      <c r="B4979" s="289" t="s">
        <v>15980</v>
      </c>
      <c r="C4979" s="288" t="s">
        <v>54</v>
      </c>
      <c r="D4979" s="303">
        <v>134.96</v>
      </c>
    </row>
    <row r="4980" spans="1:4" ht="27">
      <c r="A4980" s="288" t="s">
        <v>15981</v>
      </c>
      <c r="B4980" s="289" t="s">
        <v>15982</v>
      </c>
      <c r="C4980" s="288" t="s">
        <v>54</v>
      </c>
      <c r="D4980" s="303">
        <v>192.14</v>
      </c>
    </row>
    <row r="4981" spans="1:4" ht="36">
      <c r="A4981" s="288" t="s">
        <v>15983</v>
      </c>
      <c r="B4981" s="289" t="s">
        <v>15984</v>
      </c>
      <c r="C4981" s="288" t="s">
        <v>54</v>
      </c>
      <c r="D4981" s="303">
        <v>51.18</v>
      </c>
    </row>
    <row r="4982" spans="1:4" ht="36">
      <c r="A4982" s="288" t="s">
        <v>15985</v>
      </c>
      <c r="B4982" s="289" t="s">
        <v>15986</v>
      </c>
      <c r="C4982" s="288" t="s">
        <v>54</v>
      </c>
      <c r="D4982" s="303">
        <v>103.51</v>
      </c>
    </row>
    <row r="4983" spans="1:4" ht="36">
      <c r="A4983" s="288" t="s">
        <v>15987</v>
      </c>
      <c r="B4983" s="289" t="s">
        <v>15988</v>
      </c>
      <c r="C4983" s="288" t="s">
        <v>54</v>
      </c>
      <c r="D4983" s="303">
        <v>182.87</v>
      </c>
    </row>
    <row r="4984" spans="1:4" ht="18">
      <c r="A4984" s="288" t="s">
        <v>15989</v>
      </c>
      <c r="B4984" s="289" t="s">
        <v>15990</v>
      </c>
      <c r="C4984" s="288" t="s">
        <v>7079</v>
      </c>
      <c r="D4984" s="303">
        <v>6.91</v>
      </c>
    </row>
    <row r="4985" spans="1:4" ht="18">
      <c r="A4985" s="288" t="s">
        <v>15991</v>
      </c>
      <c r="B4985" s="289" t="s">
        <v>15992</v>
      </c>
      <c r="C4985" s="288" t="s">
        <v>7079</v>
      </c>
      <c r="D4985" s="303">
        <v>8.68</v>
      </c>
    </row>
    <row r="4986" spans="1:4" ht="18">
      <c r="A4986" s="288" t="s">
        <v>15993</v>
      </c>
      <c r="B4986" s="289" t="s">
        <v>15994</v>
      </c>
      <c r="C4986" s="288" t="s">
        <v>7079</v>
      </c>
      <c r="D4986" s="303">
        <v>13.5</v>
      </c>
    </row>
    <row r="4987" spans="1:4" ht="18">
      <c r="A4987" s="288" t="s">
        <v>15995</v>
      </c>
      <c r="B4987" s="289" t="s">
        <v>15996</v>
      </c>
      <c r="C4987" s="288" t="s">
        <v>7079</v>
      </c>
      <c r="D4987" s="303">
        <v>18.34</v>
      </c>
    </row>
    <row r="4988" spans="1:4" ht="18">
      <c r="A4988" s="288" t="s">
        <v>15997</v>
      </c>
      <c r="B4988" s="289" t="s">
        <v>15998</v>
      </c>
      <c r="C4988" s="288" t="s">
        <v>7079</v>
      </c>
      <c r="D4988" s="303">
        <v>21.44</v>
      </c>
    </row>
    <row r="4989" spans="1:4" ht="18">
      <c r="A4989" s="288" t="s">
        <v>15999</v>
      </c>
      <c r="B4989" s="289" t="s">
        <v>16000</v>
      </c>
      <c r="C4989" s="288" t="s">
        <v>7079</v>
      </c>
      <c r="D4989" s="303">
        <v>27.11</v>
      </c>
    </row>
    <row r="4990" spans="1:4" ht="27">
      <c r="A4990" s="287" t="s">
        <v>16001</v>
      </c>
      <c r="B4990" s="287"/>
      <c r="C4990" s="287"/>
      <c r="D4990" s="296" t="s">
        <v>28729</v>
      </c>
    </row>
    <row r="4991" spans="1:4">
      <c r="A4991" s="288" t="s">
        <v>16002</v>
      </c>
      <c r="B4991" s="289" t="s">
        <v>16003</v>
      </c>
      <c r="C4991" s="288" t="s">
        <v>7079</v>
      </c>
      <c r="D4991" s="303">
        <v>5.34</v>
      </c>
    </row>
    <row r="4992" spans="1:4" ht="18">
      <c r="A4992" s="287" t="s">
        <v>16004</v>
      </c>
      <c r="B4992" s="287"/>
      <c r="C4992" s="287"/>
      <c r="D4992" s="296" t="s">
        <v>28729</v>
      </c>
    </row>
    <row r="4993" spans="1:4" ht="18">
      <c r="A4993" s="288" t="s">
        <v>16005</v>
      </c>
      <c r="B4993" s="289" t="s">
        <v>16006</v>
      </c>
      <c r="C4993" s="288" t="s">
        <v>54</v>
      </c>
      <c r="D4993" s="303">
        <v>3.27</v>
      </c>
    </row>
    <row r="4994" spans="1:4" ht="18">
      <c r="A4994" s="288" t="s">
        <v>16007</v>
      </c>
      <c r="B4994" s="289" t="s">
        <v>16008</v>
      </c>
      <c r="C4994" s="288" t="s">
        <v>54</v>
      </c>
      <c r="D4994" s="303">
        <v>4.0199999999999996</v>
      </c>
    </row>
    <row r="4995" spans="1:4" ht="18">
      <c r="A4995" s="288" t="s">
        <v>16009</v>
      </c>
      <c r="B4995" s="289" t="s">
        <v>16010</v>
      </c>
      <c r="C4995" s="288" t="s">
        <v>54</v>
      </c>
      <c r="D4995" s="303">
        <v>4.95</v>
      </c>
    </row>
    <row r="4996" spans="1:4" ht="18">
      <c r="A4996" s="288" t="s">
        <v>16011</v>
      </c>
      <c r="B4996" s="289" t="s">
        <v>16012</v>
      </c>
      <c r="C4996" s="288" t="s">
        <v>54</v>
      </c>
      <c r="D4996" s="303">
        <v>6.48</v>
      </c>
    </row>
    <row r="4997" spans="1:4" ht="18">
      <c r="A4997" s="288" t="s">
        <v>16013</v>
      </c>
      <c r="B4997" s="289" t="s">
        <v>16014</v>
      </c>
      <c r="C4997" s="288" t="s">
        <v>54</v>
      </c>
      <c r="D4997" s="303">
        <v>8.15</v>
      </c>
    </row>
    <row r="4998" spans="1:4">
      <c r="A4998" s="290"/>
      <c r="B4998" s="290"/>
      <c r="C4998" s="290"/>
      <c r="D4998" s="298"/>
    </row>
    <row r="4999" spans="1:4" ht="27">
      <c r="A4999" s="287" t="s">
        <v>16015</v>
      </c>
      <c r="B4999" s="287"/>
      <c r="C4999" s="287"/>
      <c r="D4999" s="296" t="s">
        <v>28729</v>
      </c>
    </row>
    <row r="5000" spans="1:4">
      <c r="A5000" s="288" t="s">
        <v>16016</v>
      </c>
      <c r="B5000" s="289" t="s">
        <v>16017</v>
      </c>
      <c r="C5000" s="288" t="s">
        <v>38</v>
      </c>
      <c r="D5000" s="303">
        <v>6.12</v>
      </c>
    </row>
    <row r="5001" spans="1:4" ht="18">
      <c r="A5001" s="288" t="s">
        <v>16018</v>
      </c>
      <c r="B5001" s="289" t="s">
        <v>16019</v>
      </c>
      <c r="C5001" s="288" t="s">
        <v>38</v>
      </c>
      <c r="D5001" s="303">
        <v>30</v>
      </c>
    </row>
    <row r="5002" spans="1:4">
      <c r="A5002" s="287" t="s">
        <v>16020</v>
      </c>
      <c r="B5002" s="287"/>
      <c r="C5002" s="287"/>
      <c r="D5002" s="296" t="s">
        <v>28729</v>
      </c>
    </row>
    <row r="5003" spans="1:4">
      <c r="A5003" s="288" t="s">
        <v>16021</v>
      </c>
      <c r="B5003" s="289" t="s">
        <v>16022</v>
      </c>
      <c r="C5003" s="288" t="s">
        <v>38</v>
      </c>
      <c r="D5003" s="303">
        <v>7.28</v>
      </c>
    </row>
    <row r="5004" spans="1:4">
      <c r="A5004" s="288" t="s">
        <v>16023</v>
      </c>
      <c r="B5004" s="289" t="s">
        <v>16024</v>
      </c>
      <c r="C5004" s="288" t="s">
        <v>38</v>
      </c>
      <c r="D5004" s="303">
        <v>31.09</v>
      </c>
    </row>
    <row r="5005" spans="1:4">
      <c r="A5005" s="288" t="s">
        <v>16025</v>
      </c>
      <c r="B5005" s="289" t="s">
        <v>16026</v>
      </c>
      <c r="C5005" s="288" t="s">
        <v>38</v>
      </c>
      <c r="D5005" s="303">
        <v>29.18</v>
      </c>
    </row>
    <row r="5006" spans="1:4">
      <c r="A5006" s="288" t="s">
        <v>16027</v>
      </c>
      <c r="B5006" s="289" t="s">
        <v>16028</v>
      </c>
      <c r="C5006" s="288" t="s">
        <v>54</v>
      </c>
      <c r="D5006" s="303">
        <v>47.27</v>
      </c>
    </row>
    <row r="5007" spans="1:4">
      <c r="A5007" s="288" t="s">
        <v>16029</v>
      </c>
      <c r="B5007" s="289" t="s">
        <v>16030</v>
      </c>
      <c r="C5007" s="288" t="s">
        <v>54</v>
      </c>
      <c r="D5007" s="303">
        <v>63.15</v>
      </c>
    </row>
    <row r="5008" spans="1:4" ht="27">
      <c r="A5008" s="287" t="s">
        <v>16031</v>
      </c>
      <c r="B5008" s="287"/>
      <c r="C5008" s="287"/>
      <c r="D5008" s="296" t="s">
        <v>28729</v>
      </c>
    </row>
    <row r="5009" spans="1:4">
      <c r="A5009" s="288" t="s">
        <v>16032</v>
      </c>
      <c r="B5009" s="289" t="s">
        <v>16033</v>
      </c>
      <c r="C5009" s="288" t="s">
        <v>7079</v>
      </c>
      <c r="D5009" s="303">
        <v>8.26</v>
      </c>
    </row>
    <row r="5010" spans="1:4" ht="18">
      <c r="A5010" s="288" t="s">
        <v>16034</v>
      </c>
      <c r="B5010" s="289" t="s">
        <v>16035</v>
      </c>
      <c r="C5010" s="288" t="s">
        <v>38</v>
      </c>
      <c r="D5010" s="303">
        <v>4.43</v>
      </c>
    </row>
    <row r="5011" spans="1:4" ht="27">
      <c r="A5011" s="288" t="s">
        <v>16036</v>
      </c>
      <c r="B5011" s="289" t="s">
        <v>16037</v>
      </c>
      <c r="C5011" s="288" t="s">
        <v>38</v>
      </c>
      <c r="D5011" s="303">
        <v>5.29</v>
      </c>
    </row>
    <row r="5012" spans="1:4" ht="27">
      <c r="A5012" s="288" t="s">
        <v>16038</v>
      </c>
      <c r="B5012" s="289" t="s">
        <v>16039</v>
      </c>
      <c r="C5012" s="288" t="s">
        <v>38</v>
      </c>
      <c r="D5012" s="303">
        <v>4.87</v>
      </c>
    </row>
    <row r="5013" spans="1:4">
      <c r="A5013" s="288" t="s">
        <v>16040</v>
      </c>
      <c r="B5013" s="289" t="s">
        <v>16041</v>
      </c>
      <c r="C5013" s="288" t="s">
        <v>54</v>
      </c>
      <c r="D5013" s="303">
        <v>3.79</v>
      </c>
    </row>
    <row r="5014" spans="1:4">
      <c r="A5014" s="288" t="s">
        <v>16042</v>
      </c>
      <c r="B5014" s="289" t="s">
        <v>16043</v>
      </c>
      <c r="C5014" s="288" t="s">
        <v>38</v>
      </c>
      <c r="D5014" s="303">
        <v>4.87</v>
      </c>
    </row>
    <row r="5015" spans="1:4">
      <c r="A5015" s="288" t="s">
        <v>16044</v>
      </c>
      <c r="B5015" s="289" t="s">
        <v>16045</v>
      </c>
      <c r="C5015" s="288" t="s">
        <v>38</v>
      </c>
      <c r="D5015" s="303">
        <v>4.87</v>
      </c>
    </row>
    <row r="5016" spans="1:4">
      <c r="A5016" s="288" t="s">
        <v>16046</v>
      </c>
      <c r="B5016" s="289" t="s">
        <v>16047</v>
      </c>
      <c r="C5016" s="288" t="s">
        <v>38</v>
      </c>
      <c r="D5016" s="303">
        <v>4.43</v>
      </c>
    </row>
    <row r="5017" spans="1:4" ht="27">
      <c r="A5017" s="288" t="s">
        <v>16048</v>
      </c>
      <c r="B5017" s="289" t="s">
        <v>16049</v>
      </c>
      <c r="C5017" s="288" t="s">
        <v>38</v>
      </c>
      <c r="D5017" s="303">
        <v>7.18</v>
      </c>
    </row>
    <row r="5018" spans="1:4">
      <c r="A5018" s="288" t="s">
        <v>16050</v>
      </c>
      <c r="B5018" s="289" t="s">
        <v>16051</v>
      </c>
      <c r="C5018" s="288" t="s">
        <v>38</v>
      </c>
      <c r="D5018" s="303">
        <v>4.13</v>
      </c>
    </row>
    <row r="5019" spans="1:4">
      <c r="A5019" s="290"/>
      <c r="B5019" s="290"/>
      <c r="C5019" s="290"/>
      <c r="D5019" s="298"/>
    </row>
    <row r="5020" spans="1:4" ht="18">
      <c r="A5020" s="287" t="s">
        <v>16052</v>
      </c>
      <c r="B5020" s="287"/>
      <c r="C5020" s="287"/>
      <c r="D5020" s="296" t="s">
        <v>28729</v>
      </c>
    </row>
    <row r="5021" spans="1:4" ht="36">
      <c r="A5021" s="288" t="s">
        <v>16053</v>
      </c>
      <c r="B5021" s="289" t="s">
        <v>16054</v>
      </c>
      <c r="C5021" s="288" t="s">
        <v>7079</v>
      </c>
      <c r="D5021" s="303">
        <v>174.74</v>
      </c>
    </row>
    <row r="5022" spans="1:4" ht="27">
      <c r="A5022" s="288" t="s">
        <v>16055</v>
      </c>
      <c r="B5022" s="289" t="s">
        <v>16056</v>
      </c>
      <c r="C5022" s="288" t="s">
        <v>7079</v>
      </c>
      <c r="D5022" s="303">
        <v>245.98</v>
      </c>
    </row>
    <row r="5023" spans="1:4" ht="36">
      <c r="A5023" s="288" t="s">
        <v>16057</v>
      </c>
      <c r="B5023" s="289" t="s">
        <v>16058</v>
      </c>
      <c r="C5023" s="288" t="s">
        <v>7079</v>
      </c>
      <c r="D5023" s="303">
        <v>259.54000000000002</v>
      </c>
    </row>
    <row r="5024" spans="1:4" ht="27">
      <c r="A5024" s="288" t="s">
        <v>16059</v>
      </c>
      <c r="B5024" s="289" t="s">
        <v>16060</v>
      </c>
      <c r="C5024" s="288" t="s">
        <v>7079</v>
      </c>
      <c r="D5024" s="303">
        <v>232.24</v>
      </c>
    </row>
    <row r="5025" spans="1:4" ht="27">
      <c r="A5025" s="287" t="s">
        <v>16061</v>
      </c>
      <c r="B5025" s="287"/>
      <c r="C5025" s="287"/>
      <c r="D5025" s="296" t="s">
        <v>28729</v>
      </c>
    </row>
    <row r="5026" spans="1:4">
      <c r="A5026" s="288" t="s">
        <v>16062</v>
      </c>
      <c r="B5026" s="289" t="s">
        <v>16063</v>
      </c>
      <c r="C5026" s="288" t="s">
        <v>47</v>
      </c>
      <c r="D5026" s="303">
        <v>59.33</v>
      </c>
    </row>
    <row r="5027" spans="1:4" ht="18">
      <c r="A5027" s="288" t="s">
        <v>16064</v>
      </c>
      <c r="B5027" s="289" t="s">
        <v>16065</v>
      </c>
      <c r="C5027" s="288" t="s">
        <v>47</v>
      </c>
      <c r="D5027" s="303">
        <v>1.59</v>
      </c>
    </row>
    <row r="5028" spans="1:4">
      <c r="A5028" s="288" t="s">
        <v>16066</v>
      </c>
      <c r="B5028" s="289" t="s">
        <v>16067</v>
      </c>
      <c r="C5028" s="288" t="s">
        <v>7079</v>
      </c>
      <c r="D5028" s="303">
        <v>10.38</v>
      </c>
    </row>
    <row r="5029" spans="1:4" ht="18">
      <c r="A5029" s="288" t="s">
        <v>16068</v>
      </c>
      <c r="B5029" s="289" t="s">
        <v>16069</v>
      </c>
      <c r="C5029" s="288" t="s">
        <v>47</v>
      </c>
      <c r="D5029" s="303">
        <v>113.76</v>
      </c>
    </row>
    <row r="5030" spans="1:4" ht="18">
      <c r="A5030" s="288" t="s">
        <v>16070</v>
      </c>
      <c r="B5030" s="289" t="s">
        <v>16071</v>
      </c>
      <c r="C5030" s="288" t="s">
        <v>47</v>
      </c>
      <c r="D5030" s="303">
        <v>22.25</v>
      </c>
    </row>
    <row r="5031" spans="1:4" ht="18">
      <c r="A5031" s="288" t="s">
        <v>16072</v>
      </c>
      <c r="B5031" s="289" t="s">
        <v>16073</v>
      </c>
      <c r="C5031" s="288" t="s">
        <v>54</v>
      </c>
      <c r="D5031" s="303">
        <v>4.45</v>
      </c>
    </row>
    <row r="5032" spans="1:4" ht="18">
      <c r="A5032" s="288" t="s">
        <v>16074</v>
      </c>
      <c r="B5032" s="289" t="s">
        <v>16075</v>
      </c>
      <c r="C5032" s="288" t="s">
        <v>38</v>
      </c>
      <c r="D5032" s="303">
        <v>9.08</v>
      </c>
    </row>
    <row r="5033" spans="1:4" ht="27">
      <c r="A5033" s="288" t="s">
        <v>16076</v>
      </c>
      <c r="B5033" s="289" t="s">
        <v>16077</v>
      </c>
      <c r="C5033" s="288" t="s">
        <v>47</v>
      </c>
      <c r="D5033" s="303">
        <v>365.83</v>
      </c>
    </row>
    <row r="5034" spans="1:4" ht="27">
      <c r="A5034" s="288" t="s">
        <v>16078</v>
      </c>
      <c r="B5034" s="289" t="s">
        <v>16079</v>
      </c>
      <c r="C5034" s="288" t="s">
        <v>47</v>
      </c>
      <c r="D5034" s="303">
        <v>219.63</v>
      </c>
    </row>
    <row r="5035" spans="1:4" ht="18">
      <c r="A5035" s="288" t="s">
        <v>16080</v>
      </c>
      <c r="B5035" s="289" t="s">
        <v>16081</v>
      </c>
      <c r="C5035" s="288" t="s">
        <v>47</v>
      </c>
      <c r="D5035" s="303">
        <v>183.27</v>
      </c>
    </row>
    <row r="5036" spans="1:4" ht="27">
      <c r="A5036" s="287" t="s">
        <v>16082</v>
      </c>
      <c r="B5036" s="287"/>
      <c r="C5036" s="287"/>
      <c r="D5036" s="296" t="s">
        <v>28729</v>
      </c>
    </row>
    <row r="5037" spans="1:4" ht="18">
      <c r="A5037" s="288" t="s">
        <v>16083</v>
      </c>
      <c r="B5037" s="289" t="s">
        <v>16084</v>
      </c>
      <c r="C5037" s="288" t="s">
        <v>38</v>
      </c>
      <c r="D5037" s="303">
        <v>1489.99</v>
      </c>
    </row>
    <row r="5038" spans="1:4" ht="18">
      <c r="A5038" s="288" t="s">
        <v>16085</v>
      </c>
      <c r="B5038" s="289" t="s">
        <v>16086</v>
      </c>
      <c r="C5038" s="288" t="s">
        <v>38</v>
      </c>
      <c r="D5038" s="303">
        <v>11.74</v>
      </c>
    </row>
    <row r="5039" spans="1:4" ht="18">
      <c r="A5039" s="288" t="s">
        <v>16087</v>
      </c>
      <c r="B5039" s="289" t="s">
        <v>16088</v>
      </c>
      <c r="C5039" s="288" t="s">
        <v>38</v>
      </c>
      <c r="D5039" s="303">
        <v>28.95</v>
      </c>
    </row>
    <row r="5040" spans="1:4" ht="18">
      <c r="A5040" s="288" t="s">
        <v>16089</v>
      </c>
      <c r="B5040" s="289" t="s">
        <v>16090</v>
      </c>
      <c r="C5040" s="288" t="s">
        <v>38</v>
      </c>
      <c r="D5040" s="303">
        <v>9.1999999999999993</v>
      </c>
    </row>
    <row r="5041" spans="1:4" ht="18">
      <c r="A5041" s="288" t="s">
        <v>16091</v>
      </c>
      <c r="B5041" s="289" t="s">
        <v>16092</v>
      </c>
      <c r="C5041" s="288" t="s">
        <v>38</v>
      </c>
      <c r="D5041" s="303">
        <v>360.94</v>
      </c>
    </row>
    <row r="5042" spans="1:4" ht="18">
      <c r="A5042" s="288" t="s">
        <v>16093</v>
      </c>
      <c r="B5042" s="289" t="s">
        <v>16094</v>
      </c>
      <c r="C5042" s="288" t="s">
        <v>38</v>
      </c>
      <c r="D5042" s="303">
        <v>17.600000000000001</v>
      </c>
    </row>
    <row r="5043" spans="1:4">
      <c r="A5043" s="288" t="s">
        <v>16095</v>
      </c>
      <c r="B5043" s="289" t="s">
        <v>16096</v>
      </c>
      <c r="C5043" s="288" t="s">
        <v>38</v>
      </c>
      <c r="D5043" s="303">
        <v>11.72</v>
      </c>
    </row>
    <row r="5044" spans="1:4" ht="27">
      <c r="A5044" s="288" t="s">
        <v>16097</v>
      </c>
      <c r="B5044" s="289" t="s">
        <v>16098</v>
      </c>
      <c r="C5044" s="288" t="s">
        <v>38</v>
      </c>
      <c r="D5044" s="303">
        <v>4.1500000000000004</v>
      </c>
    </row>
    <row r="5045" spans="1:4" ht="18">
      <c r="A5045" s="288" t="s">
        <v>16099</v>
      </c>
      <c r="B5045" s="289" t="s">
        <v>16100</v>
      </c>
      <c r="C5045" s="288" t="s">
        <v>38</v>
      </c>
      <c r="D5045" s="303">
        <v>3.05</v>
      </c>
    </row>
    <row r="5046" spans="1:4">
      <c r="A5046" s="288" t="s">
        <v>16101</v>
      </c>
      <c r="B5046" s="289" t="s">
        <v>16102</v>
      </c>
      <c r="C5046" s="288" t="s">
        <v>7079</v>
      </c>
      <c r="D5046" s="303">
        <v>5623.94</v>
      </c>
    </row>
    <row r="5047" spans="1:4" ht="27">
      <c r="A5047" s="288" t="s">
        <v>16103</v>
      </c>
      <c r="B5047" s="289" t="s">
        <v>16104</v>
      </c>
      <c r="C5047" s="288" t="s">
        <v>38</v>
      </c>
      <c r="D5047" s="303">
        <v>364.57</v>
      </c>
    </row>
    <row r="5048" spans="1:4" ht="27">
      <c r="A5048" s="287" t="s">
        <v>16105</v>
      </c>
      <c r="B5048" s="287"/>
      <c r="C5048" s="287"/>
      <c r="D5048" s="296" t="s">
        <v>28729</v>
      </c>
    </row>
    <row r="5049" spans="1:4" ht="27">
      <c r="A5049" s="288" t="s">
        <v>16106</v>
      </c>
      <c r="B5049" s="289" t="s">
        <v>16107</v>
      </c>
      <c r="C5049" s="288" t="s">
        <v>14133</v>
      </c>
      <c r="D5049" s="303">
        <v>74392.59</v>
      </c>
    </row>
    <row r="5050" spans="1:4">
      <c r="A5050" s="290"/>
      <c r="B5050" s="290"/>
      <c r="C5050" s="290"/>
      <c r="D5050" s="298"/>
    </row>
    <row r="5051" spans="1:4">
      <c r="A5051" s="287" t="s">
        <v>16108</v>
      </c>
      <c r="B5051" s="287"/>
      <c r="C5051" s="287"/>
      <c r="D5051" s="296" t="s">
        <v>28729</v>
      </c>
    </row>
    <row r="5052" spans="1:4" ht="18">
      <c r="A5052" s="288" t="s">
        <v>16109</v>
      </c>
      <c r="B5052" s="289" t="s">
        <v>16110</v>
      </c>
      <c r="C5052" s="288" t="s">
        <v>54</v>
      </c>
      <c r="D5052" s="303">
        <v>2.2599999999999998</v>
      </c>
    </row>
    <row r="5053" spans="1:4" ht="18">
      <c r="A5053" s="288" t="s">
        <v>16111</v>
      </c>
      <c r="B5053" s="289" t="s">
        <v>16112</v>
      </c>
      <c r="C5053" s="288" t="s">
        <v>54</v>
      </c>
      <c r="D5053" s="303">
        <v>5.07</v>
      </c>
    </row>
    <row r="5054" spans="1:4" ht="27">
      <c r="A5054" s="288" t="s">
        <v>16113</v>
      </c>
      <c r="B5054" s="289" t="s">
        <v>16114</v>
      </c>
      <c r="C5054" s="288" t="s">
        <v>54</v>
      </c>
      <c r="D5054" s="303">
        <v>32.090000000000003</v>
      </c>
    </row>
    <row r="5055" spans="1:4" ht="36">
      <c r="A5055" s="288" t="s">
        <v>16115</v>
      </c>
      <c r="B5055" s="289" t="s">
        <v>16116</v>
      </c>
      <c r="C5055" s="288" t="s">
        <v>7079</v>
      </c>
      <c r="D5055" s="303">
        <v>100.42</v>
      </c>
    </row>
    <row r="5056" spans="1:4" ht="36">
      <c r="A5056" s="288" t="s">
        <v>16117</v>
      </c>
      <c r="B5056" s="289" t="s">
        <v>16118</v>
      </c>
      <c r="C5056" s="288" t="s">
        <v>7079</v>
      </c>
      <c r="D5056" s="303">
        <v>105.45</v>
      </c>
    </row>
    <row r="5057" spans="1:4">
      <c r="A5057" s="290"/>
      <c r="B5057" s="290"/>
      <c r="C5057" s="290"/>
      <c r="D5057" s="298"/>
    </row>
    <row r="5058" spans="1:4" ht="18">
      <c r="A5058" s="287" t="s">
        <v>16119</v>
      </c>
      <c r="B5058" s="287"/>
      <c r="C5058" s="287"/>
      <c r="D5058" s="296" t="s">
        <v>28729</v>
      </c>
    </row>
    <row r="5059" spans="1:4" ht="18">
      <c r="A5059" s="288" t="s">
        <v>16120</v>
      </c>
      <c r="B5059" s="289" t="s">
        <v>16121</v>
      </c>
      <c r="C5059" s="288" t="s">
        <v>7079</v>
      </c>
      <c r="D5059" s="303">
        <v>30.15</v>
      </c>
    </row>
    <row r="5060" spans="1:4" ht="27">
      <c r="A5060" s="288" t="s">
        <v>16122</v>
      </c>
      <c r="B5060" s="289" t="s">
        <v>16123</v>
      </c>
      <c r="C5060" s="288" t="s">
        <v>7079</v>
      </c>
      <c r="D5060" s="303">
        <v>274.14</v>
      </c>
    </row>
    <row r="5061" spans="1:4" ht="27">
      <c r="A5061" s="288" t="s">
        <v>16124</v>
      </c>
      <c r="B5061" s="289" t="s">
        <v>16125</v>
      </c>
      <c r="C5061" s="288" t="s">
        <v>7079</v>
      </c>
      <c r="D5061" s="303">
        <v>494.14</v>
      </c>
    </row>
    <row r="5062" spans="1:4" ht="27">
      <c r="A5062" s="288" t="s">
        <v>16126</v>
      </c>
      <c r="B5062" s="289" t="s">
        <v>16127</v>
      </c>
      <c r="C5062" s="288" t="s">
        <v>7079</v>
      </c>
      <c r="D5062" s="303">
        <v>54.49</v>
      </c>
    </row>
    <row r="5063" spans="1:4" ht="27">
      <c r="A5063" s="288" t="s">
        <v>16128</v>
      </c>
      <c r="B5063" s="289" t="s">
        <v>16129</v>
      </c>
      <c r="C5063" s="288" t="s">
        <v>7079</v>
      </c>
      <c r="D5063" s="303">
        <v>64.489999999999995</v>
      </c>
    </row>
    <row r="5064" spans="1:4" ht="54">
      <c r="A5064" s="288" t="s">
        <v>16130</v>
      </c>
      <c r="B5064" s="289" t="s">
        <v>16131</v>
      </c>
      <c r="C5064" s="288" t="s">
        <v>7079</v>
      </c>
      <c r="D5064" s="303">
        <v>1837.5</v>
      </c>
    </row>
    <row r="5065" spans="1:4" ht="99">
      <c r="A5065" s="288" t="s">
        <v>16132</v>
      </c>
      <c r="B5065" s="289" t="s">
        <v>16133</v>
      </c>
      <c r="C5065" s="288" t="s">
        <v>7079</v>
      </c>
      <c r="D5065" s="303">
        <v>26198.73</v>
      </c>
    </row>
    <row r="5066" spans="1:4" ht="27">
      <c r="A5066" s="287" t="s">
        <v>16134</v>
      </c>
      <c r="B5066" s="287"/>
      <c r="C5066" s="287"/>
      <c r="D5066" s="296" t="s">
        <v>28729</v>
      </c>
    </row>
    <row r="5067" spans="1:4" ht="18">
      <c r="A5067" s="288" t="s">
        <v>16135</v>
      </c>
      <c r="B5067" s="289" t="s">
        <v>16136</v>
      </c>
      <c r="C5067" s="288" t="s">
        <v>7079</v>
      </c>
      <c r="D5067" s="303">
        <v>40.299999999999997</v>
      </c>
    </row>
    <row r="5068" spans="1:4" ht="18">
      <c r="A5068" s="288" t="s">
        <v>16137</v>
      </c>
      <c r="B5068" s="289" t="s">
        <v>16138</v>
      </c>
      <c r="C5068" s="288" t="s">
        <v>7079</v>
      </c>
      <c r="D5068" s="303">
        <v>54.27</v>
      </c>
    </row>
    <row r="5069" spans="1:4" ht="18">
      <c r="A5069" s="288" t="s">
        <v>16139</v>
      </c>
      <c r="B5069" s="289" t="s">
        <v>16140</v>
      </c>
      <c r="C5069" s="288" t="s">
        <v>7079</v>
      </c>
      <c r="D5069" s="303">
        <v>74.56</v>
      </c>
    </row>
    <row r="5070" spans="1:4" ht="18">
      <c r="A5070" s="288" t="s">
        <v>16141</v>
      </c>
      <c r="B5070" s="289" t="s">
        <v>16142</v>
      </c>
      <c r="C5070" s="288" t="s">
        <v>7079</v>
      </c>
      <c r="D5070" s="303">
        <v>3864.56</v>
      </c>
    </row>
    <row r="5071" spans="1:4" ht="18">
      <c r="A5071" s="288" t="s">
        <v>16143</v>
      </c>
      <c r="B5071" s="289" t="s">
        <v>16144</v>
      </c>
      <c r="C5071" s="288" t="s">
        <v>7079</v>
      </c>
      <c r="D5071" s="303">
        <v>1373.74</v>
      </c>
    </row>
    <row r="5072" spans="1:4" ht="18">
      <c r="A5072" s="287" t="s">
        <v>16145</v>
      </c>
      <c r="B5072" s="287"/>
      <c r="C5072" s="287"/>
      <c r="D5072" s="296" t="s">
        <v>28729</v>
      </c>
    </row>
    <row r="5073" spans="1:4" ht="18">
      <c r="A5073" s="288" t="s">
        <v>16146</v>
      </c>
      <c r="B5073" s="289" t="s">
        <v>16147</v>
      </c>
      <c r="C5073" s="288" t="s">
        <v>7079</v>
      </c>
      <c r="D5073" s="303">
        <v>3864.56</v>
      </c>
    </row>
    <row r="5074" spans="1:4" ht="18">
      <c r="A5074" s="288" t="s">
        <v>16148</v>
      </c>
      <c r="B5074" s="289" t="s">
        <v>16149</v>
      </c>
      <c r="C5074" s="288" t="s">
        <v>7079</v>
      </c>
      <c r="D5074" s="303">
        <v>4187.5600000000004</v>
      </c>
    </row>
    <row r="5075" spans="1:4" ht="54">
      <c r="A5075" s="288" t="s">
        <v>16150</v>
      </c>
      <c r="B5075" s="289" t="s">
        <v>16151</v>
      </c>
      <c r="C5075" s="288" t="s">
        <v>7079</v>
      </c>
      <c r="D5075" s="303">
        <v>870.94</v>
      </c>
    </row>
    <row r="5076" spans="1:4">
      <c r="A5076" s="287" t="s">
        <v>16152</v>
      </c>
      <c r="B5076" s="287"/>
      <c r="C5076" s="287"/>
      <c r="D5076" s="296" t="s">
        <v>28729</v>
      </c>
    </row>
    <row r="5077" spans="1:4" ht="18">
      <c r="A5077" s="288" t="s">
        <v>16153</v>
      </c>
      <c r="B5077" s="289" t="s">
        <v>16154</v>
      </c>
      <c r="C5077" s="288" t="s">
        <v>7079</v>
      </c>
      <c r="D5077" s="303">
        <v>103.45</v>
      </c>
    </row>
    <row r="5078" spans="1:4" ht="27">
      <c r="A5078" s="288" t="s">
        <v>16155</v>
      </c>
      <c r="B5078" s="289" t="s">
        <v>16156</v>
      </c>
      <c r="C5078" s="288" t="s">
        <v>7079</v>
      </c>
      <c r="D5078" s="303">
        <v>102.92</v>
      </c>
    </row>
    <row r="5079" spans="1:4" ht="27">
      <c r="A5079" s="288" t="s">
        <v>16157</v>
      </c>
      <c r="B5079" s="289" t="s">
        <v>16158</v>
      </c>
      <c r="C5079" s="288" t="s">
        <v>7079</v>
      </c>
      <c r="D5079" s="303">
        <v>102.92</v>
      </c>
    </row>
    <row r="5080" spans="1:4" ht="18">
      <c r="A5080" s="287" t="s">
        <v>16159</v>
      </c>
      <c r="B5080" s="287"/>
      <c r="C5080" s="287"/>
      <c r="D5080" s="296" t="s">
        <v>28729</v>
      </c>
    </row>
    <row r="5081" spans="1:4" ht="36">
      <c r="A5081" s="288" t="s">
        <v>16160</v>
      </c>
      <c r="B5081" s="289" t="s">
        <v>16161</v>
      </c>
      <c r="C5081" s="288" t="s">
        <v>7079</v>
      </c>
      <c r="D5081" s="303">
        <v>600</v>
      </c>
    </row>
    <row r="5082" spans="1:4">
      <c r="A5082" s="290"/>
      <c r="B5082" s="290"/>
      <c r="C5082" s="290"/>
      <c r="D5082" s="298"/>
    </row>
    <row r="5083" spans="1:4">
      <c r="A5083" s="287" t="s">
        <v>16162</v>
      </c>
      <c r="B5083" s="287"/>
      <c r="C5083" s="287"/>
      <c r="D5083" s="296" t="s">
        <v>28729</v>
      </c>
    </row>
    <row r="5084" spans="1:4" ht="18">
      <c r="A5084" s="288" t="s">
        <v>16163</v>
      </c>
      <c r="B5084" s="289" t="s">
        <v>16164</v>
      </c>
      <c r="C5084" s="288" t="s">
        <v>54</v>
      </c>
      <c r="D5084" s="303">
        <v>348.06</v>
      </c>
    </row>
    <row r="5085" spans="1:4" ht="18">
      <c r="A5085" s="288" t="s">
        <v>16165</v>
      </c>
      <c r="B5085" s="289" t="s">
        <v>16166</v>
      </c>
      <c r="C5085" s="288" t="s">
        <v>54</v>
      </c>
      <c r="D5085" s="303">
        <v>516.35</v>
      </c>
    </row>
    <row r="5086" spans="1:4">
      <c r="A5086" s="290"/>
      <c r="B5086" s="290"/>
      <c r="C5086" s="290"/>
      <c r="D5086" s="298"/>
    </row>
    <row r="5087" spans="1:4">
      <c r="A5087" s="287" t="s">
        <v>16167</v>
      </c>
      <c r="B5087" s="287"/>
      <c r="C5087" s="287"/>
      <c r="D5087" s="296" t="s">
        <v>28729</v>
      </c>
    </row>
    <row r="5088" spans="1:4" ht="18">
      <c r="A5088" s="288" t="s">
        <v>16168</v>
      </c>
      <c r="B5088" s="289" t="s">
        <v>16169</v>
      </c>
      <c r="C5088" s="288" t="s">
        <v>7079</v>
      </c>
      <c r="D5088" s="303">
        <v>2990</v>
      </c>
    </row>
    <row r="5089" spans="1:4" ht="18">
      <c r="A5089" s="288" t="s">
        <v>16170</v>
      </c>
      <c r="B5089" s="289" t="s">
        <v>16171</v>
      </c>
      <c r="C5089" s="288" t="s">
        <v>7079</v>
      </c>
      <c r="D5089" s="303">
        <v>3590</v>
      </c>
    </row>
    <row r="5090" spans="1:4" ht="18">
      <c r="A5090" s="288" t="s">
        <v>16172</v>
      </c>
      <c r="B5090" s="289" t="s">
        <v>16173</v>
      </c>
      <c r="C5090" s="288" t="s">
        <v>7079</v>
      </c>
      <c r="D5090" s="303">
        <v>24051.62</v>
      </c>
    </row>
    <row r="5091" spans="1:4">
      <c r="A5091" s="287"/>
      <c r="B5091" s="287"/>
      <c r="C5091" s="287"/>
      <c r="D5091" s="296" t="s">
        <v>28729</v>
      </c>
    </row>
    <row r="5092" spans="1:4">
      <c r="A5092" s="290"/>
      <c r="B5092" s="290"/>
      <c r="C5092" s="290"/>
      <c r="D5092" s="298"/>
    </row>
    <row r="5093" spans="1:4">
      <c r="A5093" s="290"/>
      <c r="B5093" s="290"/>
      <c r="C5093" s="290"/>
      <c r="D5093" s="298"/>
    </row>
    <row r="5094" spans="1:4" ht="18">
      <c r="A5094" s="287" t="s">
        <v>16174</v>
      </c>
      <c r="B5094" s="287"/>
      <c r="C5094" s="287"/>
      <c r="D5094" s="296" t="s">
        <v>28729</v>
      </c>
    </row>
    <row r="5095" spans="1:4">
      <c r="A5095" s="288" t="s">
        <v>16175</v>
      </c>
      <c r="B5095" s="289" t="s">
        <v>16176</v>
      </c>
      <c r="C5095" s="288" t="s">
        <v>54</v>
      </c>
      <c r="D5095" s="303">
        <v>11.12</v>
      </c>
    </row>
    <row r="5096" spans="1:4">
      <c r="A5096" s="288" t="s">
        <v>16177</v>
      </c>
      <c r="B5096" s="289" t="s">
        <v>16178</v>
      </c>
      <c r="C5096" s="288" t="s">
        <v>54</v>
      </c>
      <c r="D5096" s="303">
        <v>27.81</v>
      </c>
    </row>
    <row r="5097" spans="1:4">
      <c r="A5097" s="290"/>
      <c r="B5097" s="290"/>
      <c r="C5097" s="290"/>
      <c r="D5097" s="298"/>
    </row>
    <row r="5098" spans="1:4" ht="27">
      <c r="A5098" s="287" t="s">
        <v>16179</v>
      </c>
      <c r="B5098" s="287"/>
      <c r="C5098" s="287"/>
      <c r="D5098" s="296" t="s">
        <v>28729</v>
      </c>
    </row>
    <row r="5099" spans="1:4" ht="18">
      <c r="A5099" s="288" t="s">
        <v>16180</v>
      </c>
      <c r="B5099" s="289" t="s">
        <v>16181</v>
      </c>
      <c r="C5099" s="288" t="s">
        <v>54</v>
      </c>
      <c r="D5099" s="303">
        <v>111.18</v>
      </c>
    </row>
    <row r="5100" spans="1:4" ht="18">
      <c r="A5100" s="288" t="s">
        <v>16182</v>
      </c>
      <c r="B5100" s="289" t="s">
        <v>16183</v>
      </c>
      <c r="C5100" s="288" t="s">
        <v>54</v>
      </c>
      <c r="D5100" s="303">
        <v>153.55000000000001</v>
      </c>
    </row>
    <row r="5101" spans="1:4" ht="18">
      <c r="A5101" s="288" t="s">
        <v>16184</v>
      </c>
      <c r="B5101" s="289" t="s">
        <v>16185</v>
      </c>
      <c r="C5101" s="288" t="s">
        <v>54</v>
      </c>
      <c r="D5101" s="303">
        <v>116.08</v>
      </c>
    </row>
    <row r="5102" spans="1:4" ht="18">
      <c r="A5102" s="288" t="s">
        <v>25987</v>
      </c>
      <c r="B5102" s="289" t="s">
        <v>25988</v>
      </c>
      <c r="C5102" s="288" t="s">
        <v>54</v>
      </c>
      <c r="D5102" s="303">
        <v>152.01</v>
      </c>
    </row>
    <row r="5103" spans="1:4" ht="27">
      <c r="A5103" s="287" t="s">
        <v>16186</v>
      </c>
      <c r="B5103" s="287"/>
      <c r="C5103" s="287"/>
      <c r="D5103" s="296" t="s">
        <v>28729</v>
      </c>
    </row>
    <row r="5104" spans="1:4" ht="27">
      <c r="A5104" s="288" t="s">
        <v>16187</v>
      </c>
      <c r="B5104" s="289" t="s">
        <v>16188</v>
      </c>
      <c r="C5104" s="288" t="s">
        <v>54</v>
      </c>
      <c r="D5104" s="303">
        <v>79.569999999999993</v>
      </c>
    </row>
    <row r="5105" spans="1:4" ht="36">
      <c r="A5105" s="288" t="s">
        <v>16189</v>
      </c>
      <c r="B5105" s="289" t="s">
        <v>16190</v>
      </c>
      <c r="C5105" s="288" t="s">
        <v>54</v>
      </c>
      <c r="D5105" s="303">
        <v>39.799999999999997</v>
      </c>
    </row>
    <row r="5106" spans="1:4" ht="18">
      <c r="A5106" s="288" t="s">
        <v>16191</v>
      </c>
      <c r="B5106" s="289" t="s">
        <v>16192</v>
      </c>
      <c r="C5106" s="288" t="s">
        <v>54</v>
      </c>
      <c r="D5106" s="303">
        <v>115.4</v>
      </c>
    </row>
    <row r="5107" spans="1:4" ht="27">
      <c r="A5107" s="287" t="s">
        <v>16193</v>
      </c>
      <c r="B5107" s="287"/>
      <c r="C5107" s="287"/>
      <c r="D5107" s="296" t="s">
        <v>28729</v>
      </c>
    </row>
    <row r="5108" spans="1:4" ht="18">
      <c r="A5108" s="288" t="s">
        <v>16194</v>
      </c>
      <c r="B5108" s="289" t="s">
        <v>16195</v>
      </c>
      <c r="C5108" s="288" t="s">
        <v>54</v>
      </c>
      <c r="D5108" s="303">
        <v>315.95</v>
      </c>
    </row>
    <row r="5109" spans="1:4" ht="18">
      <c r="A5109" s="288" t="s">
        <v>16196</v>
      </c>
      <c r="B5109" s="289" t="s">
        <v>16197</v>
      </c>
      <c r="C5109" s="288" t="s">
        <v>54</v>
      </c>
      <c r="D5109" s="303">
        <v>779.57</v>
      </c>
    </row>
    <row r="5110" spans="1:4" ht="18">
      <c r="A5110" s="288" t="s">
        <v>16198</v>
      </c>
      <c r="B5110" s="289" t="s">
        <v>16199</v>
      </c>
      <c r="C5110" s="288" t="s">
        <v>54</v>
      </c>
      <c r="D5110" s="303">
        <v>567</v>
      </c>
    </row>
    <row r="5111" spans="1:4" ht="18">
      <c r="A5111" s="288" t="s">
        <v>16200</v>
      </c>
      <c r="B5111" s="289" t="s">
        <v>16201</v>
      </c>
      <c r="C5111" s="288" t="s">
        <v>54</v>
      </c>
      <c r="D5111" s="303">
        <v>688.17</v>
      </c>
    </row>
    <row r="5112" spans="1:4" ht="18">
      <c r="A5112" s="288" t="s">
        <v>16202</v>
      </c>
      <c r="B5112" s="289" t="s">
        <v>16203</v>
      </c>
      <c r="C5112" s="288" t="s">
        <v>54</v>
      </c>
      <c r="D5112" s="303">
        <v>800.41</v>
      </c>
    </row>
    <row r="5113" spans="1:4" ht="18">
      <c r="A5113" s="288" t="s">
        <v>28734</v>
      </c>
      <c r="B5113" s="289" t="s">
        <v>28735</v>
      </c>
      <c r="C5113" s="288" t="s">
        <v>54</v>
      </c>
      <c r="D5113" s="303">
        <v>981.41</v>
      </c>
    </row>
    <row r="5114" spans="1:4" ht="18">
      <c r="A5114" s="288" t="s">
        <v>16204</v>
      </c>
      <c r="B5114" s="289" t="s">
        <v>16205</v>
      </c>
      <c r="C5114" s="288" t="s">
        <v>54</v>
      </c>
      <c r="D5114" s="303">
        <v>562.76</v>
      </c>
    </row>
    <row r="5115" spans="1:4" ht="18">
      <c r="A5115" s="288" t="s">
        <v>16206</v>
      </c>
      <c r="B5115" s="289" t="s">
        <v>16207</v>
      </c>
      <c r="C5115" s="288" t="s">
        <v>54</v>
      </c>
      <c r="D5115" s="303">
        <v>667.82</v>
      </c>
    </row>
    <row r="5116" spans="1:4" ht="18">
      <c r="A5116" s="288" t="s">
        <v>16208</v>
      </c>
      <c r="B5116" s="289" t="s">
        <v>16209</v>
      </c>
      <c r="C5116" s="288" t="s">
        <v>54</v>
      </c>
      <c r="D5116" s="303">
        <v>772.37</v>
      </c>
    </row>
    <row r="5117" spans="1:4">
      <c r="A5117" s="290"/>
      <c r="B5117" s="290"/>
      <c r="C5117" s="290"/>
      <c r="D5117" s="298"/>
    </row>
    <row r="5118" spans="1:4">
      <c r="A5118" s="287" t="s">
        <v>16210</v>
      </c>
      <c r="B5118" s="287"/>
      <c r="C5118" s="287"/>
      <c r="D5118" s="296" t="s">
        <v>28729</v>
      </c>
    </row>
    <row r="5119" spans="1:4" ht="27">
      <c r="A5119" s="288" t="s">
        <v>16211</v>
      </c>
      <c r="B5119" s="289" t="s">
        <v>16212</v>
      </c>
      <c r="C5119" s="288" t="s">
        <v>7079</v>
      </c>
      <c r="D5119" s="303">
        <v>1339.97</v>
      </c>
    </row>
    <row r="5120" spans="1:4" ht="27">
      <c r="A5120" s="288" t="s">
        <v>16213</v>
      </c>
      <c r="B5120" s="289" t="s">
        <v>16214</v>
      </c>
      <c r="C5120" s="288" t="s">
        <v>54</v>
      </c>
      <c r="D5120" s="303">
        <v>8.85</v>
      </c>
    </row>
    <row r="5121" spans="1:4" ht="18">
      <c r="A5121" s="287" t="s">
        <v>16215</v>
      </c>
      <c r="B5121" s="287"/>
      <c r="C5121" s="287"/>
      <c r="D5121" s="296" t="s">
        <v>28729</v>
      </c>
    </row>
    <row r="5122" spans="1:4" ht="36">
      <c r="A5122" s="288" t="s">
        <v>16216</v>
      </c>
      <c r="B5122" s="289" t="s">
        <v>16217</v>
      </c>
      <c r="C5122" s="288" t="s">
        <v>54</v>
      </c>
      <c r="D5122" s="303">
        <v>6.12</v>
      </c>
    </row>
    <row r="5123" spans="1:4" ht="36">
      <c r="A5123" s="288" t="s">
        <v>16218</v>
      </c>
      <c r="B5123" s="289" t="s">
        <v>16219</v>
      </c>
      <c r="C5123" s="288" t="s">
        <v>54</v>
      </c>
      <c r="D5123" s="303">
        <v>5.39</v>
      </c>
    </row>
    <row r="5124" spans="1:4" ht="27">
      <c r="A5124" s="288" t="s">
        <v>16220</v>
      </c>
      <c r="B5124" s="289" t="s">
        <v>16221</v>
      </c>
      <c r="C5124" s="288" t="s">
        <v>54</v>
      </c>
      <c r="D5124" s="303">
        <v>1.89</v>
      </c>
    </row>
    <row r="5125" spans="1:4" ht="27">
      <c r="A5125" s="288" t="s">
        <v>16222</v>
      </c>
      <c r="B5125" s="289" t="s">
        <v>16223</v>
      </c>
      <c r="C5125" s="288" t="s">
        <v>54</v>
      </c>
      <c r="D5125" s="303">
        <v>9.1999999999999993</v>
      </c>
    </row>
    <row r="5126" spans="1:4" ht="36">
      <c r="A5126" s="288" t="s">
        <v>16224</v>
      </c>
      <c r="B5126" s="289" t="s">
        <v>16225</v>
      </c>
      <c r="C5126" s="288" t="s">
        <v>54</v>
      </c>
      <c r="D5126" s="303">
        <v>6.79</v>
      </c>
    </row>
    <row r="5127" spans="1:4">
      <c r="A5127" s="287" t="s">
        <v>16226</v>
      </c>
      <c r="B5127" s="287"/>
      <c r="C5127" s="287"/>
      <c r="D5127" s="296" t="s">
        <v>28729</v>
      </c>
    </row>
    <row r="5128" spans="1:4" ht="27">
      <c r="A5128" s="288" t="s">
        <v>16227</v>
      </c>
      <c r="B5128" s="289" t="s">
        <v>16228</v>
      </c>
      <c r="C5128" s="288" t="s">
        <v>54</v>
      </c>
      <c r="D5128" s="303">
        <v>8.3000000000000007</v>
      </c>
    </row>
    <row r="5129" spans="1:4" ht="36">
      <c r="A5129" s="288" t="s">
        <v>16229</v>
      </c>
      <c r="B5129" s="289" t="s">
        <v>16230</v>
      </c>
      <c r="C5129" s="288" t="s">
        <v>54</v>
      </c>
      <c r="D5129" s="303">
        <v>6.64</v>
      </c>
    </row>
    <row r="5130" spans="1:4" ht="27">
      <c r="A5130" s="288" t="s">
        <v>16231</v>
      </c>
      <c r="B5130" s="289" t="s">
        <v>16232</v>
      </c>
      <c r="C5130" s="288" t="s">
        <v>54</v>
      </c>
      <c r="D5130" s="303">
        <v>9.81</v>
      </c>
    </row>
    <row r="5131" spans="1:4">
      <c r="A5131" s="290"/>
      <c r="B5131" s="290"/>
      <c r="C5131" s="290"/>
      <c r="D5131" s="298"/>
    </row>
    <row r="5132" spans="1:4" ht="18">
      <c r="A5132" s="287" t="s">
        <v>16233</v>
      </c>
      <c r="B5132" s="287"/>
      <c r="C5132" s="287"/>
      <c r="D5132" s="296" t="s">
        <v>28729</v>
      </c>
    </row>
    <row r="5133" spans="1:4">
      <c r="A5133" s="288" t="s">
        <v>16234</v>
      </c>
      <c r="B5133" s="289" t="s">
        <v>16235</v>
      </c>
      <c r="C5133" s="288" t="s">
        <v>54</v>
      </c>
      <c r="D5133" s="303">
        <v>2.2200000000000002</v>
      </c>
    </row>
    <row r="5134" spans="1:4" ht="18">
      <c r="A5134" s="288" t="s">
        <v>16236</v>
      </c>
      <c r="B5134" s="289" t="s">
        <v>16237</v>
      </c>
      <c r="C5134" s="288" t="s">
        <v>7079</v>
      </c>
      <c r="D5134" s="303">
        <v>183.92</v>
      </c>
    </row>
    <row r="5135" spans="1:4" ht="18">
      <c r="A5135" s="288" t="s">
        <v>16238</v>
      </c>
      <c r="B5135" s="289" t="s">
        <v>16239</v>
      </c>
      <c r="C5135" s="288" t="s">
        <v>7079</v>
      </c>
      <c r="D5135" s="303">
        <v>185.27</v>
      </c>
    </row>
    <row r="5136" spans="1:4" ht="18">
      <c r="A5136" s="288" t="s">
        <v>16240</v>
      </c>
      <c r="B5136" s="289" t="s">
        <v>16241</v>
      </c>
      <c r="C5136" s="288" t="s">
        <v>38</v>
      </c>
      <c r="D5136" s="303">
        <v>8.9</v>
      </c>
    </row>
    <row r="5137" spans="1:4">
      <c r="A5137" s="288" t="s">
        <v>16242</v>
      </c>
      <c r="B5137" s="289" t="s">
        <v>16243</v>
      </c>
      <c r="C5137" s="288" t="s">
        <v>38</v>
      </c>
      <c r="D5137" s="303">
        <v>0.25</v>
      </c>
    </row>
    <row r="5138" spans="1:4" ht="18">
      <c r="A5138" s="288" t="s">
        <v>16244</v>
      </c>
      <c r="B5138" s="289" t="s">
        <v>16245</v>
      </c>
      <c r="C5138" s="288" t="s">
        <v>38</v>
      </c>
      <c r="D5138" s="303">
        <v>0.89</v>
      </c>
    </row>
    <row r="5139" spans="1:4" ht="18">
      <c r="A5139" s="288" t="s">
        <v>16246</v>
      </c>
      <c r="B5139" s="289" t="s">
        <v>16247</v>
      </c>
      <c r="C5139" s="288" t="s">
        <v>38</v>
      </c>
      <c r="D5139" s="303">
        <v>1.78</v>
      </c>
    </row>
    <row r="5140" spans="1:4" ht="18">
      <c r="A5140" s="288" t="s">
        <v>16248</v>
      </c>
      <c r="B5140" s="289" t="s">
        <v>16249</v>
      </c>
      <c r="C5140" s="288" t="s">
        <v>38</v>
      </c>
      <c r="D5140" s="303">
        <v>0.3</v>
      </c>
    </row>
    <row r="5141" spans="1:4" ht="18">
      <c r="A5141" s="288" t="s">
        <v>16250</v>
      </c>
      <c r="B5141" s="289" t="s">
        <v>16251</v>
      </c>
      <c r="C5141" s="288" t="s">
        <v>38</v>
      </c>
      <c r="D5141" s="303">
        <v>0.25</v>
      </c>
    </row>
    <row r="5142" spans="1:4" ht="18">
      <c r="A5142" s="288" t="s">
        <v>16252</v>
      </c>
      <c r="B5142" s="289" t="s">
        <v>16253</v>
      </c>
      <c r="C5142" s="288" t="s">
        <v>14487</v>
      </c>
      <c r="D5142" s="303">
        <v>3135.03</v>
      </c>
    </row>
    <row r="5143" spans="1:4" ht="18">
      <c r="A5143" s="288" t="s">
        <v>16254</v>
      </c>
      <c r="B5143" s="289" t="s">
        <v>16255</v>
      </c>
      <c r="C5143" s="288" t="s">
        <v>14487</v>
      </c>
      <c r="D5143" s="303">
        <v>4482.12</v>
      </c>
    </row>
    <row r="5144" spans="1:4" ht="18">
      <c r="A5144" s="288" t="s">
        <v>16256</v>
      </c>
      <c r="B5144" s="289" t="s">
        <v>16257</v>
      </c>
      <c r="C5144" s="288" t="s">
        <v>47</v>
      </c>
      <c r="D5144" s="303">
        <v>37.82</v>
      </c>
    </row>
    <row r="5145" spans="1:4" ht="18">
      <c r="A5145" s="288" t="s">
        <v>16258</v>
      </c>
      <c r="B5145" s="289" t="s">
        <v>16259</v>
      </c>
      <c r="C5145" s="288" t="s">
        <v>47</v>
      </c>
      <c r="D5145" s="303">
        <v>54.88</v>
      </c>
    </row>
    <row r="5146" spans="1:4" ht="18">
      <c r="A5146" s="288" t="s">
        <v>16260</v>
      </c>
      <c r="B5146" s="289" t="s">
        <v>16261</v>
      </c>
      <c r="C5146" s="288" t="s">
        <v>47</v>
      </c>
      <c r="D5146" s="303">
        <v>74.16</v>
      </c>
    </row>
    <row r="5147" spans="1:4">
      <c r="A5147" s="287" t="s">
        <v>16262</v>
      </c>
      <c r="B5147" s="287"/>
      <c r="C5147" s="287"/>
      <c r="D5147" s="296" t="s">
        <v>28729</v>
      </c>
    </row>
    <row r="5148" spans="1:4" ht="27">
      <c r="A5148" s="288" t="s">
        <v>16263</v>
      </c>
      <c r="B5148" s="289" t="s">
        <v>16264</v>
      </c>
      <c r="C5148" s="288" t="s">
        <v>7185</v>
      </c>
      <c r="D5148" s="303">
        <v>507.08</v>
      </c>
    </row>
    <row r="5149" spans="1:4" ht="18">
      <c r="A5149" s="288" t="s">
        <v>16265</v>
      </c>
      <c r="B5149" s="289" t="s">
        <v>16266</v>
      </c>
      <c r="C5149" s="288" t="s">
        <v>7185</v>
      </c>
      <c r="D5149" s="303">
        <v>406.27</v>
      </c>
    </row>
    <row r="5150" spans="1:4" ht="36">
      <c r="A5150" s="288" t="s">
        <v>16267</v>
      </c>
      <c r="B5150" s="289" t="s">
        <v>16268</v>
      </c>
      <c r="C5150" s="288" t="s">
        <v>14487</v>
      </c>
      <c r="D5150" s="303">
        <v>5248.11</v>
      </c>
    </row>
    <row r="5151" spans="1:4" ht="36">
      <c r="A5151" s="288" t="s">
        <v>16269</v>
      </c>
      <c r="B5151" s="289" t="s">
        <v>16270</v>
      </c>
      <c r="C5151" s="288" t="s">
        <v>14487</v>
      </c>
      <c r="D5151" s="303">
        <v>4924.38</v>
      </c>
    </row>
    <row r="5152" spans="1:4" ht="45">
      <c r="A5152" s="288" t="s">
        <v>16271</v>
      </c>
      <c r="B5152" s="289" t="s">
        <v>16272</v>
      </c>
      <c r="C5152" s="288" t="s">
        <v>14487</v>
      </c>
      <c r="D5152" s="303">
        <v>8305.0300000000007</v>
      </c>
    </row>
    <row r="5153" spans="1:4" ht="36">
      <c r="A5153" s="288" t="s">
        <v>16273</v>
      </c>
      <c r="B5153" s="289" t="s">
        <v>16274</v>
      </c>
      <c r="C5153" s="288" t="s">
        <v>14487</v>
      </c>
      <c r="D5153" s="303">
        <v>6165.62</v>
      </c>
    </row>
    <row r="5154" spans="1:4" ht="36">
      <c r="A5154" s="288" t="s">
        <v>16275</v>
      </c>
      <c r="B5154" s="289" t="s">
        <v>16276</v>
      </c>
      <c r="C5154" s="288" t="s">
        <v>14487</v>
      </c>
      <c r="D5154" s="303">
        <v>8074.02</v>
      </c>
    </row>
    <row r="5155" spans="1:4" ht="36">
      <c r="A5155" s="288" t="s">
        <v>16277</v>
      </c>
      <c r="B5155" s="289" t="s">
        <v>16278</v>
      </c>
      <c r="C5155" s="288" t="s">
        <v>14487</v>
      </c>
      <c r="D5155" s="303">
        <v>7575.96</v>
      </c>
    </row>
    <row r="5156" spans="1:4" ht="45">
      <c r="A5156" s="288" t="s">
        <v>16279</v>
      </c>
      <c r="B5156" s="289" t="s">
        <v>16280</v>
      </c>
      <c r="C5156" s="288" t="s">
        <v>14487</v>
      </c>
      <c r="D5156" s="303">
        <v>11850.29</v>
      </c>
    </row>
    <row r="5157" spans="1:4" ht="36">
      <c r="A5157" s="288" t="s">
        <v>16281</v>
      </c>
      <c r="B5157" s="289" t="s">
        <v>16282</v>
      </c>
      <c r="C5157" s="288" t="s">
        <v>14487</v>
      </c>
      <c r="D5157" s="303">
        <v>8734.6200000000008</v>
      </c>
    </row>
    <row r="5158" spans="1:4" ht="36">
      <c r="A5158" s="288" t="s">
        <v>16283</v>
      </c>
      <c r="B5158" s="289" t="s">
        <v>16284</v>
      </c>
      <c r="C5158" s="288" t="s">
        <v>14487</v>
      </c>
      <c r="D5158" s="303">
        <v>8195.82</v>
      </c>
    </row>
    <row r="5159" spans="1:4" ht="45">
      <c r="A5159" s="288" t="s">
        <v>16285</v>
      </c>
      <c r="B5159" s="289" t="s">
        <v>16286</v>
      </c>
      <c r="C5159" s="288" t="s">
        <v>14487</v>
      </c>
      <c r="D5159" s="303">
        <v>11458.81</v>
      </c>
    </row>
    <row r="5160" spans="1:4" ht="36">
      <c r="A5160" s="288" t="s">
        <v>16287</v>
      </c>
      <c r="B5160" s="289" t="s">
        <v>16288</v>
      </c>
      <c r="C5160" s="288" t="s">
        <v>14487</v>
      </c>
      <c r="D5160" s="303">
        <v>10276.030000000001</v>
      </c>
    </row>
    <row r="5161" spans="1:4" ht="45">
      <c r="A5161" s="288" t="s">
        <v>16289</v>
      </c>
      <c r="B5161" s="289" t="s">
        <v>16290</v>
      </c>
      <c r="C5161" s="288" t="s">
        <v>14487</v>
      </c>
      <c r="D5161" s="303">
        <v>5772.07</v>
      </c>
    </row>
    <row r="5162" spans="1:4" ht="36">
      <c r="A5162" s="288" t="s">
        <v>16291</v>
      </c>
      <c r="B5162" s="289" t="s">
        <v>16292</v>
      </c>
      <c r="C5162" s="288" t="s">
        <v>14487</v>
      </c>
      <c r="D5162" s="303">
        <v>4330.6099999999997</v>
      </c>
    </row>
    <row r="5163" spans="1:4" ht="36">
      <c r="A5163" s="288" t="s">
        <v>16293</v>
      </c>
      <c r="B5163" s="289" t="s">
        <v>16294</v>
      </c>
      <c r="C5163" s="288" t="s">
        <v>14487</v>
      </c>
      <c r="D5163" s="303">
        <v>4063.47</v>
      </c>
    </row>
    <row r="5164" spans="1:4" ht="45">
      <c r="A5164" s="288" t="s">
        <v>16295</v>
      </c>
      <c r="B5164" s="289" t="s">
        <v>16296</v>
      </c>
      <c r="C5164" s="288" t="s">
        <v>14487</v>
      </c>
      <c r="D5164" s="303">
        <v>7164.37</v>
      </c>
    </row>
    <row r="5165" spans="1:4" ht="36">
      <c r="A5165" s="288" t="s">
        <v>16297</v>
      </c>
      <c r="B5165" s="289" t="s">
        <v>16298</v>
      </c>
      <c r="C5165" s="288" t="s">
        <v>14487</v>
      </c>
      <c r="D5165" s="303">
        <v>5651.82</v>
      </c>
    </row>
    <row r="5166" spans="1:4" ht="36">
      <c r="A5166" s="288" t="s">
        <v>16299</v>
      </c>
      <c r="B5166" s="289" t="s">
        <v>16300</v>
      </c>
      <c r="C5166" s="288" t="s">
        <v>14487</v>
      </c>
      <c r="D5166" s="303">
        <v>5303.17</v>
      </c>
    </row>
    <row r="5167" spans="1:4" ht="45">
      <c r="A5167" s="288" t="s">
        <v>16301</v>
      </c>
      <c r="B5167" s="289" t="s">
        <v>16302</v>
      </c>
      <c r="C5167" s="288" t="s">
        <v>14487</v>
      </c>
      <c r="D5167" s="303">
        <v>8305.0300000000007</v>
      </c>
    </row>
    <row r="5168" spans="1:4" ht="36">
      <c r="A5168" s="288" t="s">
        <v>16303</v>
      </c>
      <c r="B5168" s="289" t="s">
        <v>16304</v>
      </c>
      <c r="C5168" s="288" t="s">
        <v>14487</v>
      </c>
      <c r="D5168" s="303">
        <v>6128.92</v>
      </c>
    </row>
    <row r="5169" spans="1:4" ht="36">
      <c r="A5169" s="288" t="s">
        <v>16305</v>
      </c>
      <c r="B5169" s="289" t="s">
        <v>16306</v>
      </c>
      <c r="C5169" s="288" t="s">
        <v>14487</v>
      </c>
      <c r="D5169" s="303">
        <v>5750.85</v>
      </c>
    </row>
    <row r="5170" spans="1:4" ht="54">
      <c r="A5170" s="288" t="s">
        <v>16307</v>
      </c>
      <c r="B5170" s="289" t="s">
        <v>16308</v>
      </c>
      <c r="C5170" s="288" t="s">
        <v>14487</v>
      </c>
      <c r="D5170" s="303">
        <v>9490.2000000000007</v>
      </c>
    </row>
    <row r="5171" spans="1:4" ht="36">
      <c r="A5171" s="288" t="s">
        <v>16309</v>
      </c>
      <c r="B5171" s="289" t="s">
        <v>16310</v>
      </c>
      <c r="C5171" s="288" t="s">
        <v>14487</v>
      </c>
      <c r="D5171" s="303">
        <v>7193.22</v>
      </c>
    </row>
    <row r="5172" spans="1:4" ht="36">
      <c r="A5172" s="288" t="s">
        <v>16311</v>
      </c>
      <c r="B5172" s="289" t="s">
        <v>16312</v>
      </c>
      <c r="C5172" s="288" t="s">
        <v>14487</v>
      </c>
      <c r="D5172" s="303">
        <v>6749.5</v>
      </c>
    </row>
    <row r="5173" spans="1:4" ht="54">
      <c r="A5173" s="288" t="s">
        <v>16313</v>
      </c>
      <c r="B5173" s="289" t="s">
        <v>16314</v>
      </c>
      <c r="C5173" s="288" t="s">
        <v>14487</v>
      </c>
      <c r="D5173" s="303">
        <v>10266.709999999999</v>
      </c>
    </row>
    <row r="5174" spans="1:4" ht="36">
      <c r="A5174" s="288" t="s">
        <v>16315</v>
      </c>
      <c r="B5174" s="289" t="s">
        <v>16316</v>
      </c>
      <c r="C5174" s="288" t="s">
        <v>14487</v>
      </c>
      <c r="D5174" s="303">
        <v>14635.48</v>
      </c>
    </row>
    <row r="5175" spans="1:4" ht="36">
      <c r="A5175" s="288" t="s">
        <v>16317</v>
      </c>
      <c r="B5175" s="289" t="s">
        <v>16318</v>
      </c>
      <c r="C5175" s="288" t="s">
        <v>14487</v>
      </c>
      <c r="D5175" s="303">
        <v>3443.62</v>
      </c>
    </row>
    <row r="5176" spans="1:4" ht="36">
      <c r="A5176" s="288" t="s">
        <v>16319</v>
      </c>
      <c r="B5176" s="289" t="s">
        <v>16320</v>
      </c>
      <c r="C5176" s="288" t="s">
        <v>14487</v>
      </c>
      <c r="D5176" s="303">
        <v>3670.01</v>
      </c>
    </row>
    <row r="5177" spans="1:4" ht="36">
      <c r="A5177" s="288" t="s">
        <v>16321</v>
      </c>
      <c r="B5177" s="289" t="s">
        <v>16322</v>
      </c>
      <c r="C5177" s="288" t="s">
        <v>14487</v>
      </c>
      <c r="D5177" s="303">
        <v>5785.28</v>
      </c>
    </row>
    <row r="5178" spans="1:4" ht="36">
      <c r="A5178" s="288" t="s">
        <v>16323</v>
      </c>
      <c r="B5178" s="289" t="s">
        <v>16324</v>
      </c>
      <c r="C5178" s="288" t="s">
        <v>14487</v>
      </c>
      <c r="D5178" s="303">
        <v>9642.14</v>
      </c>
    </row>
    <row r="5179" spans="1:4" ht="27">
      <c r="A5179" s="288" t="s">
        <v>16325</v>
      </c>
      <c r="B5179" s="289" t="s">
        <v>16326</v>
      </c>
      <c r="C5179" s="288" t="s">
        <v>54</v>
      </c>
      <c r="D5179" s="303">
        <v>1.52</v>
      </c>
    </row>
    <row r="5180" spans="1:4" ht="45">
      <c r="A5180" s="288" t="s">
        <v>16327</v>
      </c>
      <c r="B5180" s="289" t="s">
        <v>16328</v>
      </c>
      <c r="C5180" s="288" t="s">
        <v>7079</v>
      </c>
      <c r="D5180" s="303">
        <v>5277.01</v>
      </c>
    </row>
    <row r="5181" spans="1:4" ht="45">
      <c r="A5181" s="288" t="s">
        <v>16329</v>
      </c>
      <c r="B5181" s="289" t="s">
        <v>16330</v>
      </c>
      <c r="C5181" s="288" t="s">
        <v>14487</v>
      </c>
      <c r="D5181" s="303">
        <v>7438.43</v>
      </c>
    </row>
    <row r="5182" spans="1:4" ht="36">
      <c r="A5182" s="288" t="s">
        <v>16331</v>
      </c>
      <c r="B5182" s="289" t="s">
        <v>16332</v>
      </c>
      <c r="C5182" s="288" t="s">
        <v>14487</v>
      </c>
      <c r="D5182" s="303">
        <v>6226.86</v>
      </c>
    </row>
    <row r="5183" spans="1:4" ht="36">
      <c r="A5183" s="288" t="s">
        <v>16333</v>
      </c>
      <c r="B5183" s="289" t="s">
        <v>16334</v>
      </c>
      <c r="C5183" s="288" t="s">
        <v>14487</v>
      </c>
      <c r="D5183" s="303">
        <v>5372.28</v>
      </c>
    </row>
    <row r="5184" spans="1:4" ht="36">
      <c r="A5184" s="288" t="s">
        <v>16335</v>
      </c>
      <c r="B5184" s="289" t="s">
        <v>16336</v>
      </c>
      <c r="C5184" s="288" t="s">
        <v>14487</v>
      </c>
      <c r="D5184" s="303">
        <v>8388.94</v>
      </c>
    </row>
    <row r="5185" spans="1:4" ht="36">
      <c r="A5185" s="288" t="s">
        <v>16337</v>
      </c>
      <c r="B5185" s="289" t="s">
        <v>16338</v>
      </c>
      <c r="C5185" s="288" t="s">
        <v>14487</v>
      </c>
      <c r="D5185" s="303">
        <v>5884.3</v>
      </c>
    </row>
    <row r="5186" spans="1:4" ht="27">
      <c r="A5186" s="288" t="s">
        <v>16339</v>
      </c>
      <c r="B5186" s="289" t="s">
        <v>16340</v>
      </c>
      <c r="C5186" s="288" t="s">
        <v>14487</v>
      </c>
      <c r="D5186" s="303">
        <v>5788.81</v>
      </c>
    </row>
    <row r="5187" spans="1:4" ht="36">
      <c r="A5187" s="288" t="s">
        <v>16341</v>
      </c>
      <c r="B5187" s="289" t="s">
        <v>16342</v>
      </c>
      <c r="C5187" s="288" t="s">
        <v>7079</v>
      </c>
      <c r="D5187" s="303">
        <v>6.48</v>
      </c>
    </row>
    <row r="5188" spans="1:4" ht="36">
      <c r="A5188" s="288" t="s">
        <v>16343</v>
      </c>
      <c r="B5188" s="289" t="s">
        <v>16344</v>
      </c>
      <c r="C5188" s="288" t="s">
        <v>7079</v>
      </c>
      <c r="D5188" s="303">
        <v>76.09</v>
      </c>
    </row>
    <row r="5189" spans="1:4" ht="36">
      <c r="A5189" s="288" t="s">
        <v>16345</v>
      </c>
      <c r="B5189" s="289" t="s">
        <v>16346</v>
      </c>
      <c r="C5189" s="288" t="s">
        <v>7079</v>
      </c>
      <c r="D5189" s="303">
        <v>61.85</v>
      </c>
    </row>
    <row r="5190" spans="1:4" ht="36">
      <c r="A5190" s="288" t="s">
        <v>16347</v>
      </c>
      <c r="B5190" s="289" t="s">
        <v>16348</v>
      </c>
      <c r="C5190" s="288" t="s">
        <v>7079</v>
      </c>
      <c r="D5190" s="303">
        <v>160.62</v>
      </c>
    </row>
    <row r="5191" spans="1:4" ht="36">
      <c r="A5191" s="288" t="s">
        <v>16349</v>
      </c>
      <c r="B5191" s="289" t="s">
        <v>16350</v>
      </c>
      <c r="C5191" s="288" t="s">
        <v>7079</v>
      </c>
      <c r="D5191" s="303">
        <v>230.23</v>
      </c>
    </row>
    <row r="5192" spans="1:4" ht="36">
      <c r="A5192" s="288" t="s">
        <v>16351</v>
      </c>
      <c r="B5192" s="289" t="s">
        <v>16352</v>
      </c>
      <c r="C5192" s="288" t="s">
        <v>7079</v>
      </c>
      <c r="D5192" s="303">
        <v>230.23</v>
      </c>
    </row>
    <row r="5193" spans="1:4" ht="36">
      <c r="A5193" s="288" t="s">
        <v>16353</v>
      </c>
      <c r="B5193" s="289" t="s">
        <v>16354</v>
      </c>
      <c r="C5193" s="288" t="s">
        <v>7079</v>
      </c>
      <c r="D5193" s="303">
        <v>175.01</v>
      </c>
    </row>
    <row r="5194" spans="1:4" ht="45">
      <c r="A5194" s="288" t="s">
        <v>16355</v>
      </c>
      <c r="B5194" s="289" t="s">
        <v>16356</v>
      </c>
      <c r="C5194" s="288" t="s">
        <v>7079</v>
      </c>
      <c r="D5194" s="303">
        <v>244.62</v>
      </c>
    </row>
    <row r="5195" spans="1:4" ht="45">
      <c r="A5195" s="288" t="s">
        <v>16357</v>
      </c>
      <c r="B5195" s="289" t="s">
        <v>16358</v>
      </c>
      <c r="C5195" s="288" t="s">
        <v>7079</v>
      </c>
      <c r="D5195" s="303">
        <v>244.62</v>
      </c>
    </row>
    <row r="5196" spans="1:4" ht="36">
      <c r="A5196" s="288" t="s">
        <v>16359</v>
      </c>
      <c r="B5196" s="289" t="s">
        <v>16360</v>
      </c>
      <c r="C5196" s="288" t="s">
        <v>14487</v>
      </c>
      <c r="D5196" s="303">
        <v>4399.75</v>
      </c>
    </row>
    <row r="5197" spans="1:4" ht="36">
      <c r="A5197" s="288" t="s">
        <v>16361</v>
      </c>
      <c r="B5197" s="289" t="s">
        <v>16362</v>
      </c>
      <c r="C5197" s="288" t="s">
        <v>38</v>
      </c>
      <c r="D5197" s="303">
        <v>2.16</v>
      </c>
    </row>
    <row r="5198" spans="1:4" ht="27">
      <c r="A5198" s="288" t="s">
        <v>16363</v>
      </c>
      <c r="B5198" s="289" t="s">
        <v>16364</v>
      </c>
      <c r="C5198" s="288" t="s">
        <v>14487</v>
      </c>
      <c r="D5198" s="303">
        <v>148.69</v>
      </c>
    </row>
    <row r="5199" spans="1:4" ht="36">
      <c r="A5199" s="288" t="s">
        <v>16365</v>
      </c>
      <c r="B5199" s="289" t="s">
        <v>16366</v>
      </c>
      <c r="C5199" s="288" t="s">
        <v>54</v>
      </c>
      <c r="D5199" s="303">
        <v>3.03</v>
      </c>
    </row>
    <row r="5200" spans="1:4" ht="36">
      <c r="A5200" s="288" t="s">
        <v>16367</v>
      </c>
      <c r="B5200" s="289" t="s">
        <v>16368</v>
      </c>
      <c r="C5200" s="288" t="s">
        <v>54</v>
      </c>
      <c r="D5200" s="303">
        <v>1.94</v>
      </c>
    </row>
    <row r="5201" spans="1:4" ht="36">
      <c r="A5201" s="288" t="s">
        <v>16369</v>
      </c>
      <c r="B5201" s="289" t="s">
        <v>16370</v>
      </c>
      <c r="C5201" s="288" t="s">
        <v>54</v>
      </c>
      <c r="D5201" s="303">
        <v>2.7</v>
      </c>
    </row>
    <row r="5202" spans="1:4" ht="27">
      <c r="A5202" s="288" t="s">
        <v>16371</v>
      </c>
      <c r="B5202" s="289" t="s">
        <v>16372</v>
      </c>
      <c r="C5202" s="288" t="s">
        <v>54</v>
      </c>
      <c r="D5202" s="303">
        <v>2.63</v>
      </c>
    </row>
    <row r="5203" spans="1:4" ht="27">
      <c r="A5203" s="288" t="s">
        <v>16373</v>
      </c>
      <c r="B5203" s="289" t="s">
        <v>16374</v>
      </c>
      <c r="C5203" s="288" t="s">
        <v>14487</v>
      </c>
      <c r="D5203" s="303">
        <v>1576.15</v>
      </c>
    </row>
    <row r="5204" spans="1:4" ht="18">
      <c r="A5204" s="288" t="s">
        <v>16375</v>
      </c>
      <c r="B5204" s="289" t="s">
        <v>16376</v>
      </c>
      <c r="C5204" s="288" t="s">
        <v>54</v>
      </c>
      <c r="D5204" s="303">
        <v>285.60000000000002</v>
      </c>
    </row>
    <row r="5205" spans="1:4" ht="27">
      <c r="A5205" s="288" t="s">
        <v>16377</v>
      </c>
      <c r="B5205" s="289" t="s">
        <v>16378</v>
      </c>
      <c r="C5205" s="288" t="s">
        <v>7185</v>
      </c>
      <c r="D5205" s="303">
        <v>548.74</v>
      </c>
    </row>
    <row r="5206" spans="1:4" ht="27">
      <c r="A5206" s="288" t="s">
        <v>16379</v>
      </c>
      <c r="B5206" s="289" t="s">
        <v>16380</v>
      </c>
      <c r="C5206" s="288" t="s">
        <v>7185</v>
      </c>
      <c r="D5206" s="303">
        <v>236.81</v>
      </c>
    </row>
    <row r="5207" spans="1:4" ht="27">
      <c r="A5207" s="287" t="s">
        <v>16381</v>
      </c>
      <c r="B5207" s="287"/>
      <c r="C5207" s="287"/>
      <c r="D5207" s="296" t="s">
        <v>28729</v>
      </c>
    </row>
    <row r="5208" spans="1:4" ht="54">
      <c r="A5208" s="288" t="s">
        <v>16382</v>
      </c>
      <c r="B5208" s="289" t="s">
        <v>16383</v>
      </c>
      <c r="C5208" s="288" t="s">
        <v>14487</v>
      </c>
      <c r="D5208" s="303">
        <v>6094.73</v>
      </c>
    </row>
    <row r="5209" spans="1:4" ht="72">
      <c r="A5209" s="288" t="s">
        <v>16384</v>
      </c>
      <c r="B5209" s="289" t="s">
        <v>16385</v>
      </c>
      <c r="C5209" s="288" t="s">
        <v>7079</v>
      </c>
      <c r="D5209" s="303">
        <v>171.98</v>
      </c>
    </row>
    <row r="5210" spans="1:4" ht="18">
      <c r="A5210" s="287" t="s">
        <v>16386</v>
      </c>
      <c r="B5210" s="287"/>
      <c r="C5210" s="287"/>
      <c r="D5210" s="296" t="s">
        <v>28729</v>
      </c>
    </row>
    <row r="5211" spans="1:4" ht="18">
      <c r="A5211" s="288" t="s">
        <v>16387</v>
      </c>
      <c r="B5211" s="289" t="s">
        <v>16388</v>
      </c>
      <c r="C5211" s="288" t="s">
        <v>7079</v>
      </c>
      <c r="D5211" s="303">
        <v>3.92</v>
      </c>
    </row>
    <row r="5212" spans="1:4" ht="27">
      <c r="A5212" s="288" t="s">
        <v>16389</v>
      </c>
      <c r="B5212" s="289" t="s">
        <v>16390</v>
      </c>
      <c r="C5212" s="288" t="s">
        <v>7079</v>
      </c>
      <c r="D5212" s="303">
        <v>4.8099999999999996</v>
      </c>
    </row>
    <row r="5213" spans="1:4" ht="72">
      <c r="A5213" s="288" t="s">
        <v>16391</v>
      </c>
      <c r="B5213" s="289" t="s">
        <v>16392</v>
      </c>
      <c r="C5213" s="288" t="s">
        <v>7079</v>
      </c>
      <c r="D5213" s="303">
        <v>172.69</v>
      </c>
    </row>
    <row r="5214" spans="1:4" ht="45">
      <c r="A5214" s="288" t="s">
        <v>16393</v>
      </c>
      <c r="B5214" s="289" t="s">
        <v>16394</v>
      </c>
      <c r="C5214" s="288" t="s">
        <v>7079</v>
      </c>
      <c r="D5214" s="303">
        <v>5.84</v>
      </c>
    </row>
    <row r="5215" spans="1:4" ht="54">
      <c r="A5215" s="288" t="s">
        <v>16395</v>
      </c>
      <c r="B5215" s="289" t="s">
        <v>16396</v>
      </c>
      <c r="C5215" s="288" t="s">
        <v>7079</v>
      </c>
      <c r="D5215" s="303">
        <v>24.36</v>
      </c>
    </row>
    <row r="5216" spans="1:4" ht="45">
      <c r="A5216" s="288" t="s">
        <v>16397</v>
      </c>
      <c r="B5216" s="289" t="s">
        <v>16398</v>
      </c>
      <c r="C5216" s="288" t="s">
        <v>7079</v>
      </c>
      <c r="D5216" s="303">
        <v>45.29</v>
      </c>
    </row>
    <row r="5217" spans="1:4" ht="153">
      <c r="A5217" s="288" t="s">
        <v>16399</v>
      </c>
      <c r="B5217" s="289" t="s">
        <v>16400</v>
      </c>
      <c r="C5217" s="288" t="s">
        <v>14487</v>
      </c>
      <c r="D5217" s="303">
        <v>8845.7999999999993</v>
      </c>
    </row>
    <row r="5218" spans="1:4" ht="54">
      <c r="A5218" s="288" t="s">
        <v>16401</v>
      </c>
      <c r="B5218" s="289" t="s">
        <v>16402</v>
      </c>
      <c r="C5218" s="288" t="s">
        <v>14487</v>
      </c>
      <c r="D5218" s="303">
        <v>9100.24</v>
      </c>
    </row>
    <row r="5219" spans="1:4" ht="99">
      <c r="A5219" s="288" t="s">
        <v>16403</v>
      </c>
      <c r="B5219" s="289" t="s">
        <v>16404</v>
      </c>
      <c r="C5219" s="288" t="s">
        <v>14487</v>
      </c>
      <c r="D5219" s="303">
        <v>3732.16</v>
      </c>
    </row>
    <row r="5220" spans="1:4" ht="81">
      <c r="A5220" s="288" t="s">
        <v>16405</v>
      </c>
      <c r="B5220" s="289" t="s">
        <v>16406</v>
      </c>
      <c r="C5220" s="288" t="s">
        <v>14487</v>
      </c>
      <c r="D5220" s="303">
        <v>8624.44</v>
      </c>
    </row>
    <row r="5221" spans="1:4" ht="90">
      <c r="A5221" s="288" t="s">
        <v>16407</v>
      </c>
      <c r="B5221" s="289" t="s">
        <v>16408</v>
      </c>
      <c r="C5221" s="288" t="s">
        <v>14487</v>
      </c>
      <c r="D5221" s="303">
        <v>5847.96</v>
      </c>
    </row>
    <row r="5222" spans="1:4" ht="54">
      <c r="A5222" s="288" t="s">
        <v>16409</v>
      </c>
      <c r="B5222" s="289" t="s">
        <v>16410</v>
      </c>
      <c r="C5222" s="288" t="s">
        <v>14487</v>
      </c>
      <c r="D5222" s="303">
        <v>2929.4</v>
      </c>
    </row>
    <row r="5223" spans="1:4" ht="18">
      <c r="A5223" s="287" t="s">
        <v>16411</v>
      </c>
      <c r="B5223" s="287"/>
      <c r="C5223" s="287"/>
      <c r="D5223" s="296" t="s">
        <v>28729</v>
      </c>
    </row>
    <row r="5224" spans="1:4">
      <c r="A5224" s="288" t="s">
        <v>16412</v>
      </c>
      <c r="B5224" s="289" t="s">
        <v>16413</v>
      </c>
      <c r="C5224" s="288" t="s">
        <v>7079</v>
      </c>
      <c r="D5224" s="303">
        <v>102.91</v>
      </c>
    </row>
    <row r="5225" spans="1:4" ht="18">
      <c r="A5225" s="288" t="s">
        <v>16414</v>
      </c>
      <c r="B5225" s="289" t="s">
        <v>16415</v>
      </c>
      <c r="C5225" s="288" t="s">
        <v>7167</v>
      </c>
      <c r="D5225" s="303">
        <v>477.48</v>
      </c>
    </row>
    <row r="5226" spans="1:4" ht="18">
      <c r="A5226" s="288" t="s">
        <v>16416</v>
      </c>
      <c r="B5226" s="289" t="s">
        <v>16417</v>
      </c>
      <c r="C5226" s="288" t="s">
        <v>7167</v>
      </c>
      <c r="D5226" s="303">
        <v>146.34</v>
      </c>
    </row>
    <row r="5227" spans="1:4" ht="18">
      <c r="A5227" s="288" t="s">
        <v>16418</v>
      </c>
      <c r="B5227" s="289" t="s">
        <v>16419</v>
      </c>
      <c r="C5227" s="288" t="s">
        <v>7167</v>
      </c>
      <c r="D5227" s="303">
        <v>214.05</v>
      </c>
    </row>
    <row r="5228" spans="1:4" ht="18">
      <c r="A5228" s="288" t="s">
        <v>16420</v>
      </c>
      <c r="B5228" s="289" t="s">
        <v>16421</v>
      </c>
      <c r="C5228" s="288" t="s">
        <v>7167</v>
      </c>
      <c r="D5228" s="303">
        <v>127.37</v>
      </c>
    </row>
    <row r="5229" spans="1:4" ht="18">
      <c r="A5229" s="288" t="s">
        <v>16422</v>
      </c>
      <c r="B5229" s="289" t="s">
        <v>16423</v>
      </c>
      <c r="C5229" s="288" t="s">
        <v>7167</v>
      </c>
      <c r="D5229" s="303">
        <v>214.05</v>
      </c>
    </row>
    <row r="5230" spans="1:4" ht="18">
      <c r="A5230" s="288" t="s">
        <v>16424</v>
      </c>
      <c r="B5230" s="289" t="s">
        <v>16425</v>
      </c>
      <c r="C5230" s="288" t="s">
        <v>7167</v>
      </c>
      <c r="D5230" s="303">
        <v>362.33</v>
      </c>
    </row>
    <row r="5231" spans="1:4" ht="18">
      <c r="A5231" s="288" t="s">
        <v>16426</v>
      </c>
      <c r="B5231" s="289" t="s">
        <v>16427</v>
      </c>
      <c r="C5231" s="288" t="s">
        <v>7167</v>
      </c>
      <c r="D5231" s="303">
        <v>130.46</v>
      </c>
    </row>
    <row r="5232" spans="1:4">
      <c r="A5232" s="288" t="s">
        <v>16428</v>
      </c>
      <c r="B5232" s="289" t="s">
        <v>16429</v>
      </c>
      <c r="C5232" s="288" t="s">
        <v>7167</v>
      </c>
      <c r="D5232" s="303">
        <v>0.99</v>
      </c>
    </row>
    <row r="5233" spans="1:4">
      <c r="A5233" s="290"/>
      <c r="B5233" s="290"/>
      <c r="C5233" s="290"/>
      <c r="D5233" s="298"/>
    </row>
    <row r="5234" spans="1:4" ht="18">
      <c r="A5234" s="287" t="s">
        <v>16430</v>
      </c>
      <c r="B5234" s="287"/>
      <c r="C5234" s="287"/>
      <c r="D5234" s="296" t="s">
        <v>28729</v>
      </c>
    </row>
    <row r="5235" spans="1:4" ht="63">
      <c r="A5235" s="288" t="s">
        <v>16431</v>
      </c>
      <c r="B5235" s="289" t="s">
        <v>16432</v>
      </c>
      <c r="C5235" s="288" t="s">
        <v>7185</v>
      </c>
      <c r="D5235" s="303">
        <v>18790.05</v>
      </c>
    </row>
    <row r="5236" spans="1:4" ht="63">
      <c r="A5236" s="288" t="s">
        <v>16433</v>
      </c>
      <c r="B5236" s="289" t="s">
        <v>16434</v>
      </c>
      <c r="C5236" s="288" t="s">
        <v>7185</v>
      </c>
      <c r="D5236" s="303">
        <v>25367.7</v>
      </c>
    </row>
    <row r="5237" spans="1:4" ht="18">
      <c r="A5237" s="288" t="s">
        <v>16435</v>
      </c>
      <c r="B5237" s="289" t="s">
        <v>16436</v>
      </c>
      <c r="C5237" s="288" t="s">
        <v>38</v>
      </c>
      <c r="D5237" s="303">
        <v>0.89</v>
      </c>
    </row>
    <row r="5238" spans="1:4" ht="18">
      <c r="A5238" s="288" t="s">
        <v>16437</v>
      </c>
      <c r="B5238" s="289" t="s">
        <v>16438</v>
      </c>
      <c r="C5238" s="288" t="s">
        <v>38</v>
      </c>
      <c r="D5238" s="303">
        <v>0.61</v>
      </c>
    </row>
    <row r="5239" spans="1:4" ht="18">
      <c r="A5239" s="287" t="s">
        <v>16439</v>
      </c>
      <c r="B5239" s="287"/>
      <c r="C5239" s="287"/>
      <c r="D5239" s="296" t="s">
        <v>28729</v>
      </c>
    </row>
    <row r="5240" spans="1:4" ht="90">
      <c r="A5240" s="288" t="s">
        <v>16440</v>
      </c>
      <c r="B5240" s="289" t="s">
        <v>16441</v>
      </c>
      <c r="C5240" s="288" t="s">
        <v>14487</v>
      </c>
      <c r="D5240" s="303">
        <v>71801.09</v>
      </c>
    </row>
    <row r="5241" spans="1:4" ht="63">
      <c r="A5241" s="288" t="s">
        <v>16442</v>
      </c>
      <c r="B5241" s="289" t="s">
        <v>16443</v>
      </c>
      <c r="C5241" s="288" t="s">
        <v>14487</v>
      </c>
      <c r="D5241" s="303">
        <v>112217.84</v>
      </c>
    </row>
    <row r="5242" spans="1:4" ht="36">
      <c r="A5242" s="288" t="s">
        <v>16444</v>
      </c>
      <c r="B5242" s="289" t="s">
        <v>16445</v>
      </c>
      <c r="C5242" s="288" t="s">
        <v>14487</v>
      </c>
      <c r="D5242" s="303">
        <v>54590.93</v>
      </c>
    </row>
    <row r="5243" spans="1:4" ht="18">
      <c r="A5243" s="288" t="s">
        <v>16446</v>
      </c>
      <c r="B5243" s="289" t="s">
        <v>16447</v>
      </c>
      <c r="C5243" s="288" t="s">
        <v>7185</v>
      </c>
      <c r="D5243" s="303">
        <v>10055.629999999999</v>
      </c>
    </row>
    <row r="5244" spans="1:4" ht="18">
      <c r="A5244" s="288" t="s">
        <v>16448</v>
      </c>
      <c r="B5244" s="289" t="s">
        <v>16449</v>
      </c>
      <c r="C5244" s="288" t="s">
        <v>38</v>
      </c>
      <c r="D5244" s="303">
        <v>147.15</v>
      </c>
    </row>
    <row r="5245" spans="1:4" ht="27">
      <c r="A5245" s="288" t="s">
        <v>16450</v>
      </c>
      <c r="B5245" s="289" t="s">
        <v>16451</v>
      </c>
      <c r="C5245" s="288" t="s">
        <v>14487</v>
      </c>
      <c r="D5245" s="303">
        <v>24579.89</v>
      </c>
    </row>
    <row r="5246" spans="1:4" ht="81">
      <c r="A5246" s="288" t="s">
        <v>25989</v>
      </c>
      <c r="B5246" s="289" t="s">
        <v>25990</v>
      </c>
      <c r="C5246" s="288" t="s">
        <v>14487</v>
      </c>
      <c r="D5246" s="303">
        <v>1271.1400000000001</v>
      </c>
    </row>
    <row r="5247" spans="1:4" ht="81">
      <c r="A5247" s="288" t="s">
        <v>25991</v>
      </c>
      <c r="B5247" s="289" t="s">
        <v>25992</v>
      </c>
      <c r="C5247" s="288" t="s">
        <v>14487</v>
      </c>
      <c r="D5247" s="303">
        <v>1128.1199999999999</v>
      </c>
    </row>
    <row r="5248" spans="1:4" ht="81">
      <c r="A5248" s="288" t="s">
        <v>25993</v>
      </c>
      <c r="B5248" s="289" t="s">
        <v>25994</v>
      </c>
      <c r="C5248" s="288" t="s">
        <v>14487</v>
      </c>
      <c r="D5248" s="303">
        <v>1014.22</v>
      </c>
    </row>
    <row r="5249" spans="1:4" ht="81">
      <c r="A5249" s="288" t="s">
        <v>25995</v>
      </c>
      <c r="B5249" s="289" t="s">
        <v>25996</v>
      </c>
      <c r="C5249" s="288" t="s">
        <v>14487</v>
      </c>
      <c r="D5249" s="303">
        <v>1389.12</v>
      </c>
    </row>
    <row r="5250" spans="1:4" ht="81">
      <c r="A5250" s="288" t="s">
        <v>25997</v>
      </c>
      <c r="B5250" s="289" t="s">
        <v>25998</v>
      </c>
      <c r="C5250" s="288" t="s">
        <v>14487</v>
      </c>
      <c r="D5250" s="303">
        <v>1241.02</v>
      </c>
    </row>
    <row r="5251" spans="1:4" ht="81">
      <c r="A5251" s="288" t="s">
        <v>25999</v>
      </c>
      <c r="B5251" s="289" t="s">
        <v>26000</v>
      </c>
      <c r="C5251" s="288" t="s">
        <v>14487</v>
      </c>
      <c r="D5251" s="303">
        <v>1128.77</v>
      </c>
    </row>
    <row r="5252" spans="1:4" ht="27">
      <c r="A5252" s="288" t="s">
        <v>16452</v>
      </c>
      <c r="B5252" s="289" t="s">
        <v>16453</v>
      </c>
      <c r="C5252" s="288" t="s">
        <v>14487</v>
      </c>
      <c r="D5252" s="303">
        <v>5991.82</v>
      </c>
    </row>
    <row r="5253" spans="1:4" ht="36">
      <c r="A5253" s="288" t="s">
        <v>16454</v>
      </c>
      <c r="B5253" s="289" t="s">
        <v>16455</v>
      </c>
      <c r="C5253" s="288" t="s">
        <v>14487</v>
      </c>
      <c r="D5253" s="303">
        <v>10778.08</v>
      </c>
    </row>
    <row r="5254" spans="1:4" ht="27">
      <c r="A5254" s="288" t="s">
        <v>16456</v>
      </c>
      <c r="B5254" s="289" t="s">
        <v>16457</v>
      </c>
      <c r="C5254" s="288" t="s">
        <v>14487</v>
      </c>
      <c r="D5254" s="303">
        <v>10055.629999999999</v>
      </c>
    </row>
    <row r="5255" spans="1:4" ht="27">
      <c r="A5255" s="288" t="s">
        <v>16458</v>
      </c>
      <c r="B5255" s="289" t="s">
        <v>16459</v>
      </c>
      <c r="C5255" s="288" t="s">
        <v>14487</v>
      </c>
      <c r="D5255" s="303">
        <v>9311.99</v>
      </c>
    </row>
    <row r="5256" spans="1:4" ht="45">
      <c r="A5256" s="288" t="s">
        <v>16460</v>
      </c>
      <c r="B5256" s="289" t="s">
        <v>16461</v>
      </c>
      <c r="C5256" s="288" t="s">
        <v>14487</v>
      </c>
      <c r="D5256" s="303">
        <v>10325.280000000001</v>
      </c>
    </row>
    <row r="5257" spans="1:4" ht="27">
      <c r="A5257" s="288" t="s">
        <v>16462</v>
      </c>
      <c r="B5257" s="289" t="s">
        <v>16463</v>
      </c>
      <c r="C5257" s="288" t="s">
        <v>14487</v>
      </c>
      <c r="D5257" s="303">
        <v>6946.55</v>
      </c>
    </row>
    <row r="5258" spans="1:4" ht="36">
      <c r="A5258" s="288" t="s">
        <v>16464</v>
      </c>
      <c r="B5258" s="289" t="s">
        <v>16465</v>
      </c>
      <c r="C5258" s="288" t="s">
        <v>14487</v>
      </c>
      <c r="D5258" s="303">
        <v>10511.82</v>
      </c>
    </row>
    <row r="5259" spans="1:4" ht="18">
      <c r="A5259" s="288" t="s">
        <v>16466</v>
      </c>
      <c r="B5259" s="289" t="s">
        <v>16467</v>
      </c>
      <c r="C5259" s="288" t="s">
        <v>14487</v>
      </c>
      <c r="D5259" s="303">
        <v>9007.76</v>
      </c>
    </row>
    <row r="5260" spans="1:4" ht="18">
      <c r="A5260" s="288" t="s">
        <v>16468</v>
      </c>
      <c r="B5260" s="289" t="s">
        <v>16469</v>
      </c>
      <c r="C5260" s="288" t="s">
        <v>14487</v>
      </c>
      <c r="D5260" s="303">
        <v>12966.8</v>
      </c>
    </row>
    <row r="5261" spans="1:4" ht="27">
      <c r="A5261" s="287" t="s">
        <v>16470</v>
      </c>
      <c r="B5261" s="287"/>
      <c r="C5261" s="287"/>
      <c r="D5261" s="296" t="s">
        <v>28729</v>
      </c>
    </row>
    <row r="5262" spans="1:4" ht="27">
      <c r="A5262" s="288" t="s">
        <v>16471</v>
      </c>
      <c r="B5262" s="289" t="s">
        <v>16472</v>
      </c>
      <c r="C5262" s="288" t="s">
        <v>38</v>
      </c>
      <c r="D5262" s="303">
        <v>136.37</v>
      </c>
    </row>
    <row r="5263" spans="1:4" ht="36">
      <c r="A5263" s="288" t="s">
        <v>16473</v>
      </c>
      <c r="B5263" s="289" t="s">
        <v>16474</v>
      </c>
      <c r="C5263" s="288" t="s">
        <v>38</v>
      </c>
      <c r="D5263" s="303">
        <v>125.42</v>
      </c>
    </row>
    <row r="5264" spans="1:4" ht="45">
      <c r="A5264" s="288" t="s">
        <v>16475</v>
      </c>
      <c r="B5264" s="289" t="s">
        <v>16476</v>
      </c>
      <c r="C5264" s="288" t="s">
        <v>38</v>
      </c>
      <c r="D5264" s="303">
        <v>118.07</v>
      </c>
    </row>
    <row r="5265" spans="1:4" ht="36">
      <c r="A5265" s="288" t="s">
        <v>16477</v>
      </c>
      <c r="B5265" s="289" t="s">
        <v>16478</v>
      </c>
      <c r="C5265" s="288" t="s">
        <v>38</v>
      </c>
      <c r="D5265" s="303">
        <v>90.33</v>
      </c>
    </row>
    <row r="5266" spans="1:4" ht="36">
      <c r="A5266" s="288" t="s">
        <v>16479</v>
      </c>
      <c r="B5266" s="289" t="s">
        <v>16480</v>
      </c>
      <c r="C5266" s="288" t="s">
        <v>38</v>
      </c>
      <c r="D5266" s="303">
        <v>79.680000000000007</v>
      </c>
    </row>
    <row r="5267" spans="1:4" ht="36">
      <c r="A5267" s="288" t="s">
        <v>16481</v>
      </c>
      <c r="B5267" s="289" t="s">
        <v>16482</v>
      </c>
      <c r="C5267" s="288" t="s">
        <v>38</v>
      </c>
      <c r="D5267" s="303">
        <v>68.61</v>
      </c>
    </row>
    <row r="5268" spans="1:4" ht="27">
      <c r="A5268" s="288" t="s">
        <v>16483</v>
      </c>
      <c r="B5268" s="289" t="s">
        <v>16484</v>
      </c>
      <c r="C5268" s="288" t="s">
        <v>38</v>
      </c>
      <c r="D5268" s="303">
        <v>206.5</v>
      </c>
    </row>
    <row r="5269" spans="1:4" ht="36">
      <c r="A5269" s="288" t="s">
        <v>16485</v>
      </c>
      <c r="B5269" s="289" t="s">
        <v>16486</v>
      </c>
      <c r="C5269" s="288" t="s">
        <v>38</v>
      </c>
      <c r="D5269" s="303">
        <v>191.16</v>
      </c>
    </row>
    <row r="5270" spans="1:4" ht="45">
      <c r="A5270" s="288" t="s">
        <v>16487</v>
      </c>
      <c r="B5270" s="289" t="s">
        <v>16488</v>
      </c>
      <c r="C5270" s="288" t="s">
        <v>38</v>
      </c>
      <c r="D5270" s="303">
        <v>176.77</v>
      </c>
    </row>
    <row r="5271" spans="1:4" ht="27">
      <c r="A5271" s="287" t="s">
        <v>16489</v>
      </c>
      <c r="B5271" s="287"/>
      <c r="C5271" s="287"/>
      <c r="D5271" s="296" t="s">
        <v>28729</v>
      </c>
    </row>
    <row r="5272" spans="1:4" ht="27">
      <c r="A5272" s="288" t="s">
        <v>16490</v>
      </c>
      <c r="B5272" s="289" t="s">
        <v>16491</v>
      </c>
      <c r="C5272" s="288" t="s">
        <v>38</v>
      </c>
      <c r="D5272" s="303">
        <v>108.53</v>
      </c>
    </row>
    <row r="5273" spans="1:4" ht="36">
      <c r="A5273" s="288" t="s">
        <v>16492</v>
      </c>
      <c r="B5273" s="289" t="s">
        <v>16493</v>
      </c>
      <c r="C5273" s="288" t="s">
        <v>38</v>
      </c>
      <c r="D5273" s="303">
        <v>90.7</v>
      </c>
    </row>
    <row r="5274" spans="1:4" ht="36">
      <c r="A5274" s="288" t="s">
        <v>16494</v>
      </c>
      <c r="B5274" s="289" t="s">
        <v>16495</v>
      </c>
      <c r="C5274" s="288" t="s">
        <v>38</v>
      </c>
      <c r="D5274" s="303">
        <v>77.56</v>
      </c>
    </row>
    <row r="5275" spans="1:4" ht="27">
      <c r="A5275" s="288" t="s">
        <v>16496</v>
      </c>
      <c r="B5275" s="289" t="s">
        <v>16497</v>
      </c>
      <c r="C5275" s="288" t="s">
        <v>38</v>
      </c>
      <c r="D5275" s="303">
        <v>163.02000000000001</v>
      </c>
    </row>
    <row r="5276" spans="1:4" ht="36">
      <c r="A5276" s="288" t="s">
        <v>16498</v>
      </c>
      <c r="B5276" s="289" t="s">
        <v>16499</v>
      </c>
      <c r="C5276" s="288" t="s">
        <v>38</v>
      </c>
      <c r="D5276" s="303">
        <v>152.69999999999999</v>
      </c>
    </row>
    <row r="5277" spans="1:4" ht="45">
      <c r="A5277" s="288" t="s">
        <v>16500</v>
      </c>
      <c r="B5277" s="289" t="s">
        <v>16501</v>
      </c>
      <c r="C5277" s="288" t="s">
        <v>38</v>
      </c>
      <c r="D5277" s="303">
        <v>116.3</v>
      </c>
    </row>
    <row r="5278" spans="1:4" ht="36">
      <c r="A5278" s="288" t="s">
        <v>16502</v>
      </c>
      <c r="B5278" s="289" t="s">
        <v>16503</v>
      </c>
      <c r="C5278" s="288" t="s">
        <v>38</v>
      </c>
      <c r="D5278" s="303">
        <v>90.33</v>
      </c>
    </row>
    <row r="5279" spans="1:4" ht="36">
      <c r="A5279" s="288" t="s">
        <v>16504</v>
      </c>
      <c r="B5279" s="289" t="s">
        <v>16505</v>
      </c>
      <c r="C5279" s="288" t="s">
        <v>38</v>
      </c>
      <c r="D5279" s="303">
        <v>79.27</v>
      </c>
    </row>
    <row r="5280" spans="1:4" ht="36">
      <c r="A5280" s="288" t="s">
        <v>16506</v>
      </c>
      <c r="B5280" s="289" t="s">
        <v>16507</v>
      </c>
      <c r="C5280" s="288" t="s">
        <v>38</v>
      </c>
      <c r="D5280" s="303">
        <v>68.45</v>
      </c>
    </row>
    <row r="5281" spans="1:4" ht="36">
      <c r="A5281" s="287" t="s">
        <v>16508</v>
      </c>
      <c r="B5281" s="287"/>
      <c r="C5281" s="287"/>
      <c r="D5281" s="296" t="s">
        <v>28729</v>
      </c>
    </row>
    <row r="5282" spans="1:4" ht="27">
      <c r="A5282" s="288" t="s">
        <v>16509</v>
      </c>
      <c r="B5282" s="289" t="s">
        <v>16510</v>
      </c>
      <c r="C5282" s="288" t="s">
        <v>38</v>
      </c>
      <c r="D5282" s="303">
        <v>72.489999999999995</v>
      </c>
    </row>
    <row r="5283" spans="1:4" ht="36">
      <c r="A5283" s="288" t="s">
        <v>16511</v>
      </c>
      <c r="B5283" s="289" t="s">
        <v>16512</v>
      </c>
      <c r="C5283" s="288" t="s">
        <v>38</v>
      </c>
      <c r="D5283" s="303">
        <v>56.81</v>
      </c>
    </row>
    <row r="5284" spans="1:4" ht="45">
      <c r="A5284" s="288" t="s">
        <v>16513</v>
      </c>
      <c r="B5284" s="289" t="s">
        <v>16514</v>
      </c>
      <c r="C5284" s="288" t="s">
        <v>38</v>
      </c>
      <c r="D5284" s="303">
        <v>45.48</v>
      </c>
    </row>
    <row r="5285" spans="1:4" ht="27">
      <c r="A5285" s="288" t="s">
        <v>16515</v>
      </c>
      <c r="B5285" s="289" t="s">
        <v>16516</v>
      </c>
      <c r="C5285" s="288" t="s">
        <v>38</v>
      </c>
      <c r="D5285" s="303">
        <v>119.18</v>
      </c>
    </row>
    <row r="5286" spans="1:4" ht="36">
      <c r="A5286" s="288" t="s">
        <v>16517</v>
      </c>
      <c r="B5286" s="289" t="s">
        <v>16518</v>
      </c>
      <c r="C5286" s="288" t="s">
        <v>38</v>
      </c>
      <c r="D5286" s="303">
        <v>85.2</v>
      </c>
    </row>
    <row r="5287" spans="1:4" ht="45">
      <c r="A5287" s="288" t="s">
        <v>16519</v>
      </c>
      <c r="B5287" s="289" t="s">
        <v>16520</v>
      </c>
      <c r="C5287" s="288" t="s">
        <v>38</v>
      </c>
      <c r="D5287" s="303">
        <v>68.180000000000007</v>
      </c>
    </row>
    <row r="5288" spans="1:4" ht="36">
      <c r="A5288" s="288" t="s">
        <v>16521</v>
      </c>
      <c r="B5288" s="289" t="s">
        <v>16522</v>
      </c>
      <c r="C5288" s="288" t="s">
        <v>38</v>
      </c>
      <c r="D5288" s="303">
        <v>76.53</v>
      </c>
    </row>
    <row r="5289" spans="1:4" ht="36">
      <c r="A5289" s="288" t="s">
        <v>16523</v>
      </c>
      <c r="B5289" s="289" t="s">
        <v>16524</v>
      </c>
      <c r="C5289" s="288" t="s">
        <v>38</v>
      </c>
      <c r="D5289" s="303">
        <v>69.48</v>
      </c>
    </row>
    <row r="5290" spans="1:4" ht="36">
      <c r="A5290" s="288" t="s">
        <v>16525</v>
      </c>
      <c r="B5290" s="289" t="s">
        <v>16526</v>
      </c>
      <c r="C5290" s="288" t="s">
        <v>38</v>
      </c>
      <c r="D5290" s="303">
        <v>58.82</v>
      </c>
    </row>
    <row r="5291" spans="1:4" ht="27">
      <c r="A5291" s="287" t="s">
        <v>16527</v>
      </c>
      <c r="B5291" s="287"/>
      <c r="C5291" s="287"/>
      <c r="D5291" s="296" t="s">
        <v>28729</v>
      </c>
    </row>
    <row r="5292" spans="1:4" ht="36">
      <c r="A5292" s="288" t="s">
        <v>16528</v>
      </c>
      <c r="B5292" s="289" t="s">
        <v>16529</v>
      </c>
      <c r="C5292" s="288" t="s">
        <v>38</v>
      </c>
      <c r="D5292" s="303">
        <v>21.3</v>
      </c>
    </row>
    <row r="5293" spans="1:4" ht="45">
      <c r="A5293" s="288" t="s">
        <v>16530</v>
      </c>
      <c r="B5293" s="289" t="s">
        <v>16531</v>
      </c>
      <c r="C5293" s="288" t="s">
        <v>38</v>
      </c>
      <c r="D5293" s="303">
        <v>15.3</v>
      </c>
    </row>
    <row r="5294" spans="1:4" ht="45">
      <c r="A5294" s="288" t="s">
        <v>16532</v>
      </c>
      <c r="B5294" s="289" t="s">
        <v>16533</v>
      </c>
      <c r="C5294" s="288" t="s">
        <v>38</v>
      </c>
      <c r="D5294" s="303">
        <v>15.25</v>
      </c>
    </row>
    <row r="5295" spans="1:4" ht="36">
      <c r="A5295" s="288" t="s">
        <v>16534</v>
      </c>
      <c r="B5295" s="289" t="s">
        <v>16535</v>
      </c>
      <c r="C5295" s="288" t="s">
        <v>38</v>
      </c>
      <c r="D5295" s="303">
        <v>31.68</v>
      </c>
    </row>
    <row r="5296" spans="1:4" ht="45">
      <c r="A5296" s="288" t="s">
        <v>16536</v>
      </c>
      <c r="B5296" s="289" t="s">
        <v>16537</v>
      </c>
      <c r="C5296" s="288" t="s">
        <v>38</v>
      </c>
      <c r="D5296" s="303">
        <v>22.66</v>
      </c>
    </row>
    <row r="5297" spans="1:4" ht="45">
      <c r="A5297" s="288" t="s">
        <v>16538</v>
      </c>
      <c r="B5297" s="289" t="s">
        <v>16539</v>
      </c>
      <c r="C5297" s="288" t="s">
        <v>38</v>
      </c>
      <c r="D5297" s="303">
        <v>22.66</v>
      </c>
    </row>
    <row r="5298" spans="1:4" ht="27">
      <c r="A5298" s="287" t="s">
        <v>16540</v>
      </c>
      <c r="B5298" s="287"/>
      <c r="C5298" s="287"/>
      <c r="D5298" s="296" t="s">
        <v>28729</v>
      </c>
    </row>
    <row r="5299" spans="1:4" ht="27">
      <c r="A5299" s="288" t="s">
        <v>16541</v>
      </c>
      <c r="B5299" s="289" t="s">
        <v>16542</v>
      </c>
      <c r="C5299" s="288" t="s">
        <v>38</v>
      </c>
      <c r="D5299" s="303">
        <v>70.88</v>
      </c>
    </row>
    <row r="5300" spans="1:4" ht="36">
      <c r="A5300" s="288" t="s">
        <v>16543</v>
      </c>
      <c r="B5300" s="289" t="s">
        <v>16544</v>
      </c>
      <c r="C5300" s="288" t="s">
        <v>38</v>
      </c>
      <c r="D5300" s="303">
        <v>51.62</v>
      </c>
    </row>
    <row r="5301" spans="1:4" ht="45">
      <c r="A5301" s="288" t="s">
        <v>16545</v>
      </c>
      <c r="B5301" s="289" t="s">
        <v>16546</v>
      </c>
      <c r="C5301" s="288" t="s">
        <v>38</v>
      </c>
      <c r="D5301" s="303">
        <v>41.32</v>
      </c>
    </row>
    <row r="5302" spans="1:4" ht="27">
      <c r="A5302" s="288" t="s">
        <v>16547</v>
      </c>
      <c r="B5302" s="289" t="s">
        <v>16548</v>
      </c>
      <c r="C5302" s="288" t="s">
        <v>38</v>
      </c>
      <c r="D5302" s="303">
        <v>115.2</v>
      </c>
    </row>
    <row r="5303" spans="1:4" ht="36">
      <c r="A5303" s="288" t="s">
        <v>16549</v>
      </c>
      <c r="B5303" s="289" t="s">
        <v>16550</v>
      </c>
      <c r="C5303" s="288" t="s">
        <v>38</v>
      </c>
      <c r="D5303" s="303">
        <v>77.489999999999995</v>
      </c>
    </row>
    <row r="5304" spans="1:4" ht="45">
      <c r="A5304" s="288" t="s">
        <v>16551</v>
      </c>
      <c r="B5304" s="289" t="s">
        <v>16552</v>
      </c>
      <c r="C5304" s="288" t="s">
        <v>38</v>
      </c>
      <c r="D5304" s="303">
        <v>62.16</v>
      </c>
    </row>
    <row r="5305" spans="1:4" ht="18">
      <c r="A5305" s="287" t="s">
        <v>16553</v>
      </c>
      <c r="B5305" s="287"/>
      <c r="C5305" s="287"/>
      <c r="D5305" s="296" t="s">
        <v>28729</v>
      </c>
    </row>
    <row r="5306" spans="1:4" ht="27">
      <c r="A5306" s="288" t="s">
        <v>16554</v>
      </c>
      <c r="B5306" s="289" t="s">
        <v>16555</v>
      </c>
      <c r="C5306" s="288" t="s">
        <v>38</v>
      </c>
      <c r="D5306" s="303">
        <v>8.6199999999999992</v>
      </c>
    </row>
    <row r="5307" spans="1:4" ht="27">
      <c r="A5307" s="288" t="s">
        <v>16556</v>
      </c>
      <c r="B5307" s="289" t="s">
        <v>16557</v>
      </c>
      <c r="C5307" s="288" t="s">
        <v>38</v>
      </c>
      <c r="D5307" s="303">
        <v>4.71</v>
      </c>
    </row>
    <row r="5308" spans="1:4" ht="36">
      <c r="A5308" s="288" t="s">
        <v>16558</v>
      </c>
      <c r="B5308" s="289" t="s">
        <v>16559</v>
      </c>
      <c r="C5308" s="288" t="s">
        <v>38</v>
      </c>
      <c r="D5308" s="303">
        <v>2.39</v>
      </c>
    </row>
    <row r="5309" spans="1:4" ht="18">
      <c r="A5309" s="288" t="s">
        <v>16560</v>
      </c>
      <c r="B5309" s="289" t="s">
        <v>16561</v>
      </c>
      <c r="C5309" s="288" t="s">
        <v>38</v>
      </c>
      <c r="D5309" s="303">
        <v>21.57</v>
      </c>
    </row>
    <row r="5310" spans="1:4" ht="18">
      <c r="A5310" s="288" t="s">
        <v>16562</v>
      </c>
      <c r="B5310" s="289" t="s">
        <v>16563</v>
      </c>
      <c r="C5310" s="288" t="s">
        <v>38</v>
      </c>
      <c r="D5310" s="303">
        <v>14.45</v>
      </c>
    </row>
    <row r="5311" spans="1:4" ht="18">
      <c r="A5311" s="288" t="s">
        <v>16564</v>
      </c>
      <c r="B5311" s="289" t="s">
        <v>16565</v>
      </c>
      <c r="C5311" s="288" t="s">
        <v>38</v>
      </c>
      <c r="D5311" s="303">
        <v>17.27</v>
      </c>
    </row>
    <row r="5312" spans="1:4" ht="18">
      <c r="A5312" s="288" t="s">
        <v>16566</v>
      </c>
      <c r="B5312" s="289" t="s">
        <v>16567</v>
      </c>
      <c r="C5312" s="288" t="s">
        <v>38</v>
      </c>
      <c r="D5312" s="303">
        <v>10.59</v>
      </c>
    </row>
    <row r="5313" spans="1:4" ht="27">
      <c r="A5313" s="288" t="s">
        <v>16568</v>
      </c>
      <c r="B5313" s="289" t="s">
        <v>16569</v>
      </c>
      <c r="C5313" s="288" t="s">
        <v>38</v>
      </c>
      <c r="D5313" s="303">
        <v>4.95</v>
      </c>
    </row>
    <row r="5314" spans="1:4" ht="36">
      <c r="A5314" s="288" t="s">
        <v>16570</v>
      </c>
      <c r="B5314" s="289" t="s">
        <v>16571</v>
      </c>
      <c r="C5314" s="288" t="s">
        <v>38</v>
      </c>
      <c r="D5314" s="303">
        <v>2.73</v>
      </c>
    </row>
    <row r="5315" spans="1:4" ht="18">
      <c r="A5315" s="288" t="s">
        <v>16572</v>
      </c>
      <c r="B5315" s="289" t="s">
        <v>16573</v>
      </c>
      <c r="C5315" s="288" t="s">
        <v>38</v>
      </c>
      <c r="D5315" s="303">
        <v>2.82</v>
      </c>
    </row>
    <row r="5316" spans="1:4" ht="27">
      <c r="A5316" s="288" t="s">
        <v>16574</v>
      </c>
      <c r="B5316" s="289" t="s">
        <v>16575</v>
      </c>
      <c r="C5316" s="288" t="s">
        <v>38</v>
      </c>
      <c r="D5316" s="303">
        <v>1.35</v>
      </c>
    </row>
    <row r="5317" spans="1:4" ht="18">
      <c r="A5317" s="287" t="s">
        <v>16576</v>
      </c>
      <c r="B5317" s="287"/>
      <c r="C5317" s="287"/>
      <c r="D5317" s="296" t="s">
        <v>28729</v>
      </c>
    </row>
    <row r="5318" spans="1:4" ht="27">
      <c r="A5318" s="288" t="s">
        <v>16577</v>
      </c>
      <c r="B5318" s="289" t="s">
        <v>16578</v>
      </c>
      <c r="C5318" s="288" t="s">
        <v>38</v>
      </c>
      <c r="D5318" s="303">
        <v>4.71</v>
      </c>
    </row>
    <row r="5319" spans="1:4" ht="27">
      <c r="A5319" s="288" t="s">
        <v>16579</v>
      </c>
      <c r="B5319" s="289" t="s">
        <v>16580</v>
      </c>
      <c r="C5319" s="288" t="s">
        <v>38</v>
      </c>
      <c r="D5319" s="303">
        <v>2.39</v>
      </c>
    </row>
    <row r="5320" spans="1:4" ht="18">
      <c r="A5320" s="288" t="s">
        <v>16581</v>
      </c>
      <c r="B5320" s="289" t="s">
        <v>16582</v>
      </c>
      <c r="C5320" s="288" t="s">
        <v>38</v>
      </c>
      <c r="D5320" s="303">
        <v>7.52</v>
      </c>
    </row>
    <row r="5321" spans="1:4" ht="18">
      <c r="A5321" s="288" t="s">
        <v>16583</v>
      </c>
      <c r="B5321" s="289" t="s">
        <v>16584</v>
      </c>
      <c r="C5321" s="288" t="s">
        <v>38</v>
      </c>
      <c r="D5321" s="303">
        <v>17.27</v>
      </c>
    </row>
    <row r="5322" spans="1:4" ht="27">
      <c r="A5322" s="288" t="s">
        <v>16585</v>
      </c>
      <c r="B5322" s="289" t="s">
        <v>16586</v>
      </c>
      <c r="C5322" s="288" t="s">
        <v>38</v>
      </c>
      <c r="D5322" s="303">
        <v>8.6199999999999992</v>
      </c>
    </row>
    <row r="5323" spans="1:4" ht="18">
      <c r="A5323" s="288" t="s">
        <v>16587</v>
      </c>
      <c r="B5323" s="289" t="s">
        <v>16588</v>
      </c>
      <c r="C5323" s="288" t="s">
        <v>38</v>
      </c>
      <c r="D5323" s="303">
        <v>4.95</v>
      </c>
    </row>
    <row r="5324" spans="1:4" ht="18">
      <c r="A5324" s="288" t="s">
        <v>16589</v>
      </c>
      <c r="B5324" s="289" t="s">
        <v>16590</v>
      </c>
      <c r="C5324" s="288" t="s">
        <v>38</v>
      </c>
      <c r="D5324" s="303">
        <v>2.73</v>
      </c>
    </row>
    <row r="5325" spans="1:4" ht="18">
      <c r="A5325" s="288" t="s">
        <v>16591</v>
      </c>
      <c r="B5325" s="289" t="s">
        <v>16592</v>
      </c>
      <c r="C5325" s="288" t="s">
        <v>38</v>
      </c>
      <c r="D5325" s="303">
        <v>2.82</v>
      </c>
    </row>
    <row r="5326" spans="1:4" ht="27">
      <c r="A5326" s="288" t="s">
        <v>16593</v>
      </c>
      <c r="B5326" s="289" t="s">
        <v>16594</v>
      </c>
      <c r="C5326" s="288" t="s">
        <v>38</v>
      </c>
      <c r="D5326" s="303">
        <v>1.35</v>
      </c>
    </row>
    <row r="5327" spans="1:4" ht="18">
      <c r="A5327" s="287" t="s">
        <v>16595</v>
      </c>
      <c r="B5327" s="287"/>
      <c r="C5327" s="287"/>
      <c r="D5327" s="296" t="s">
        <v>28729</v>
      </c>
    </row>
    <row r="5328" spans="1:4" ht="27">
      <c r="A5328" s="288" t="s">
        <v>16596</v>
      </c>
      <c r="B5328" s="289" t="s">
        <v>16597</v>
      </c>
      <c r="C5328" s="288" t="s">
        <v>38</v>
      </c>
      <c r="D5328" s="303">
        <v>8.6199999999999992</v>
      </c>
    </row>
    <row r="5329" spans="1:4" ht="27">
      <c r="A5329" s="288" t="s">
        <v>16598</v>
      </c>
      <c r="B5329" s="289" t="s">
        <v>16599</v>
      </c>
      <c r="C5329" s="288" t="s">
        <v>38</v>
      </c>
      <c r="D5329" s="303">
        <v>7.52</v>
      </c>
    </row>
    <row r="5330" spans="1:4" ht="36">
      <c r="A5330" s="288" t="s">
        <v>16600</v>
      </c>
      <c r="B5330" s="289" t="s">
        <v>16601</v>
      </c>
      <c r="C5330" s="288" t="s">
        <v>38</v>
      </c>
      <c r="D5330" s="303">
        <v>4.71</v>
      </c>
    </row>
    <row r="5331" spans="1:4" ht="18">
      <c r="A5331" s="288" t="s">
        <v>16602</v>
      </c>
      <c r="B5331" s="289" t="s">
        <v>16603</v>
      </c>
      <c r="C5331" s="288" t="s">
        <v>38</v>
      </c>
      <c r="D5331" s="303">
        <v>14.45</v>
      </c>
    </row>
    <row r="5332" spans="1:4" ht="27">
      <c r="A5332" s="288" t="s">
        <v>16604</v>
      </c>
      <c r="B5332" s="289" t="s">
        <v>16605</v>
      </c>
      <c r="C5332" s="288" t="s">
        <v>38</v>
      </c>
      <c r="D5332" s="303">
        <v>7.52</v>
      </c>
    </row>
    <row r="5333" spans="1:4" ht="18">
      <c r="A5333" s="288" t="s">
        <v>16606</v>
      </c>
      <c r="B5333" s="289" t="s">
        <v>16607</v>
      </c>
      <c r="C5333" s="288" t="s">
        <v>38</v>
      </c>
      <c r="D5333" s="303">
        <v>34.49</v>
      </c>
    </row>
    <row r="5334" spans="1:4" ht="18">
      <c r="A5334" s="288" t="s">
        <v>16608</v>
      </c>
      <c r="B5334" s="289" t="s">
        <v>16609</v>
      </c>
      <c r="C5334" s="288" t="s">
        <v>38</v>
      </c>
      <c r="D5334" s="303">
        <v>10.59</v>
      </c>
    </row>
    <row r="5335" spans="1:4" ht="27">
      <c r="A5335" s="288" t="s">
        <v>16610</v>
      </c>
      <c r="B5335" s="289" t="s">
        <v>16611</v>
      </c>
      <c r="C5335" s="288" t="s">
        <v>38</v>
      </c>
      <c r="D5335" s="303">
        <v>7.95</v>
      </c>
    </row>
    <row r="5336" spans="1:4" ht="36">
      <c r="A5336" s="288" t="s">
        <v>16612</v>
      </c>
      <c r="B5336" s="289" t="s">
        <v>16613</v>
      </c>
      <c r="C5336" s="288" t="s">
        <v>38</v>
      </c>
      <c r="D5336" s="303">
        <v>4.95</v>
      </c>
    </row>
    <row r="5337" spans="1:4" ht="18">
      <c r="A5337" s="287" t="s">
        <v>16614</v>
      </c>
      <c r="B5337" s="287"/>
      <c r="C5337" s="287"/>
      <c r="D5337" s="296" t="s">
        <v>28729</v>
      </c>
    </row>
    <row r="5338" spans="1:4" ht="27">
      <c r="A5338" s="288" t="s">
        <v>16615</v>
      </c>
      <c r="B5338" s="289" t="s">
        <v>16616</v>
      </c>
      <c r="C5338" s="288" t="s">
        <v>38</v>
      </c>
      <c r="D5338" s="303">
        <v>4.71</v>
      </c>
    </row>
    <row r="5339" spans="1:4" ht="27">
      <c r="A5339" s="288" t="s">
        <v>16617</v>
      </c>
      <c r="B5339" s="289" t="s">
        <v>16618</v>
      </c>
      <c r="C5339" s="288" t="s">
        <v>38</v>
      </c>
      <c r="D5339" s="303">
        <v>2.39</v>
      </c>
    </row>
    <row r="5340" spans="1:4" ht="18">
      <c r="A5340" s="288" t="s">
        <v>16619</v>
      </c>
      <c r="B5340" s="289" t="s">
        <v>16620</v>
      </c>
      <c r="C5340" s="288" t="s">
        <v>38</v>
      </c>
      <c r="D5340" s="303">
        <v>14.45</v>
      </c>
    </row>
    <row r="5341" spans="1:4" ht="27">
      <c r="A5341" s="288" t="s">
        <v>16621</v>
      </c>
      <c r="B5341" s="289" t="s">
        <v>16622</v>
      </c>
      <c r="C5341" s="288" t="s">
        <v>38</v>
      </c>
      <c r="D5341" s="303">
        <v>7.52</v>
      </c>
    </row>
    <row r="5342" spans="1:4" ht="18">
      <c r="A5342" s="288" t="s">
        <v>16623</v>
      </c>
      <c r="B5342" s="289" t="s">
        <v>16624</v>
      </c>
      <c r="C5342" s="288" t="s">
        <v>38</v>
      </c>
      <c r="D5342" s="303">
        <v>17.27</v>
      </c>
    </row>
    <row r="5343" spans="1:4" ht="18">
      <c r="A5343" s="288" t="s">
        <v>16625</v>
      </c>
      <c r="B5343" s="289" t="s">
        <v>16626</v>
      </c>
      <c r="C5343" s="288" t="s">
        <v>38</v>
      </c>
      <c r="D5343" s="303">
        <v>4.95</v>
      </c>
    </row>
    <row r="5344" spans="1:4" ht="27">
      <c r="A5344" s="288" t="s">
        <v>16627</v>
      </c>
      <c r="B5344" s="289" t="s">
        <v>16628</v>
      </c>
      <c r="C5344" s="288" t="s">
        <v>38</v>
      </c>
      <c r="D5344" s="303">
        <v>2.73</v>
      </c>
    </row>
    <row r="5345" spans="1:4" ht="18">
      <c r="A5345" s="288" t="s">
        <v>16629</v>
      </c>
      <c r="B5345" s="289" t="s">
        <v>16630</v>
      </c>
      <c r="C5345" s="288" t="s">
        <v>38</v>
      </c>
      <c r="D5345" s="303">
        <v>2.82</v>
      </c>
    </row>
    <row r="5346" spans="1:4" ht="27">
      <c r="A5346" s="288" t="s">
        <v>16631</v>
      </c>
      <c r="B5346" s="289" t="s">
        <v>16632</v>
      </c>
      <c r="C5346" s="288" t="s">
        <v>38</v>
      </c>
      <c r="D5346" s="303">
        <v>1.35</v>
      </c>
    </row>
    <row r="5347" spans="1:4" ht="27">
      <c r="A5347" s="287" t="s">
        <v>16633</v>
      </c>
      <c r="B5347" s="287"/>
      <c r="C5347" s="287"/>
      <c r="D5347" s="296" t="s">
        <v>28729</v>
      </c>
    </row>
    <row r="5348" spans="1:4" ht="27">
      <c r="A5348" s="288" t="s">
        <v>16634</v>
      </c>
      <c r="B5348" s="289" t="s">
        <v>16635</v>
      </c>
      <c r="C5348" s="288" t="s">
        <v>38</v>
      </c>
      <c r="D5348" s="303">
        <v>8.6199999999999992</v>
      </c>
    </row>
    <row r="5349" spans="1:4" ht="36">
      <c r="A5349" s="288" t="s">
        <v>16636</v>
      </c>
      <c r="B5349" s="289" t="s">
        <v>16637</v>
      </c>
      <c r="C5349" s="288" t="s">
        <v>38</v>
      </c>
      <c r="D5349" s="303">
        <v>7.52</v>
      </c>
    </row>
    <row r="5350" spans="1:4" ht="36">
      <c r="A5350" s="288" t="s">
        <v>16638</v>
      </c>
      <c r="B5350" s="289" t="s">
        <v>16639</v>
      </c>
      <c r="C5350" s="288" t="s">
        <v>38</v>
      </c>
      <c r="D5350" s="303">
        <v>4.71</v>
      </c>
    </row>
    <row r="5351" spans="1:4" ht="18">
      <c r="A5351" s="288" t="s">
        <v>16640</v>
      </c>
      <c r="B5351" s="289" t="s">
        <v>16641</v>
      </c>
      <c r="C5351" s="288" t="s">
        <v>38</v>
      </c>
      <c r="D5351" s="303">
        <v>7.52</v>
      </c>
    </row>
    <row r="5352" spans="1:4" ht="27">
      <c r="A5352" s="288" t="s">
        <v>16642</v>
      </c>
      <c r="B5352" s="289" t="s">
        <v>16643</v>
      </c>
      <c r="C5352" s="288" t="s">
        <v>38</v>
      </c>
      <c r="D5352" s="303">
        <v>25.74</v>
      </c>
    </row>
    <row r="5353" spans="1:4" ht="27">
      <c r="A5353" s="288" t="s">
        <v>16644</v>
      </c>
      <c r="B5353" s="289" t="s">
        <v>16645</v>
      </c>
      <c r="C5353" s="288" t="s">
        <v>38</v>
      </c>
      <c r="D5353" s="303">
        <v>21.57</v>
      </c>
    </row>
    <row r="5354" spans="1:4" ht="18">
      <c r="A5354" s="288" t="s">
        <v>16646</v>
      </c>
      <c r="B5354" s="289" t="s">
        <v>16647</v>
      </c>
      <c r="C5354" s="288" t="s">
        <v>38</v>
      </c>
      <c r="D5354" s="303">
        <v>1.45</v>
      </c>
    </row>
    <row r="5355" spans="1:4" ht="27">
      <c r="A5355" s="288" t="s">
        <v>16648</v>
      </c>
      <c r="B5355" s="289" t="s">
        <v>16649</v>
      </c>
      <c r="C5355" s="288" t="s">
        <v>38</v>
      </c>
      <c r="D5355" s="303">
        <v>0.89</v>
      </c>
    </row>
    <row r="5356" spans="1:4" ht="27">
      <c r="A5356" s="288" t="s">
        <v>16650</v>
      </c>
      <c r="B5356" s="289" t="s">
        <v>16651</v>
      </c>
      <c r="C5356" s="288" t="s">
        <v>38</v>
      </c>
      <c r="D5356" s="303">
        <v>7.92</v>
      </c>
    </row>
    <row r="5357" spans="1:4" ht="36">
      <c r="A5357" s="288" t="s">
        <v>16652</v>
      </c>
      <c r="B5357" s="289" t="s">
        <v>16653</v>
      </c>
      <c r="C5357" s="288" t="s">
        <v>38</v>
      </c>
      <c r="D5357" s="303">
        <v>5.67</v>
      </c>
    </row>
    <row r="5358" spans="1:4" ht="36">
      <c r="A5358" s="288" t="s">
        <v>16654</v>
      </c>
      <c r="B5358" s="289" t="s">
        <v>16655</v>
      </c>
      <c r="C5358" s="288" t="s">
        <v>38</v>
      </c>
      <c r="D5358" s="303">
        <v>2.82</v>
      </c>
    </row>
    <row r="5359" spans="1:4" ht="18">
      <c r="A5359" s="287" t="s">
        <v>16656</v>
      </c>
      <c r="B5359" s="287"/>
      <c r="C5359" s="287"/>
      <c r="D5359" s="296" t="s">
        <v>28729</v>
      </c>
    </row>
    <row r="5360" spans="1:4" ht="27">
      <c r="A5360" s="288" t="s">
        <v>16657</v>
      </c>
      <c r="B5360" s="289" t="s">
        <v>16658</v>
      </c>
      <c r="C5360" s="288" t="s">
        <v>38</v>
      </c>
      <c r="D5360" s="303">
        <v>14.45</v>
      </c>
    </row>
    <row r="5361" spans="1:4" ht="27">
      <c r="A5361" s="288" t="s">
        <v>16659</v>
      </c>
      <c r="B5361" s="289" t="s">
        <v>16660</v>
      </c>
      <c r="C5361" s="288" t="s">
        <v>38</v>
      </c>
      <c r="D5361" s="303">
        <v>8.6199999999999992</v>
      </c>
    </row>
    <row r="5362" spans="1:4" ht="36">
      <c r="A5362" s="288" t="s">
        <v>16661</v>
      </c>
      <c r="B5362" s="289" t="s">
        <v>16662</v>
      </c>
      <c r="C5362" s="288" t="s">
        <v>38</v>
      </c>
      <c r="D5362" s="303">
        <v>7.52</v>
      </c>
    </row>
    <row r="5363" spans="1:4" ht="18">
      <c r="A5363" s="288" t="s">
        <v>16663</v>
      </c>
      <c r="B5363" s="289" t="s">
        <v>16664</v>
      </c>
      <c r="C5363" s="288" t="s">
        <v>38</v>
      </c>
      <c r="D5363" s="303">
        <v>14.45</v>
      </c>
    </row>
    <row r="5364" spans="1:4" ht="18">
      <c r="A5364" s="288" t="s">
        <v>16665</v>
      </c>
      <c r="B5364" s="289" t="s">
        <v>16666</v>
      </c>
      <c r="C5364" s="288" t="s">
        <v>38</v>
      </c>
      <c r="D5364" s="303">
        <v>25.74</v>
      </c>
    </row>
    <row r="5365" spans="1:4" ht="27">
      <c r="A5365" s="288" t="s">
        <v>16667</v>
      </c>
      <c r="B5365" s="289" t="s">
        <v>16668</v>
      </c>
      <c r="C5365" s="288" t="s">
        <v>38</v>
      </c>
      <c r="D5365" s="303">
        <v>21.57</v>
      </c>
    </row>
    <row r="5366" spans="1:4" ht="18">
      <c r="A5366" s="288" t="s">
        <v>16669</v>
      </c>
      <c r="B5366" s="289" t="s">
        <v>16670</v>
      </c>
      <c r="C5366" s="288" t="s">
        <v>38</v>
      </c>
      <c r="D5366" s="303">
        <v>15.68</v>
      </c>
    </row>
    <row r="5367" spans="1:4" ht="27">
      <c r="A5367" s="288" t="s">
        <v>16671</v>
      </c>
      <c r="B5367" s="289" t="s">
        <v>16672</v>
      </c>
      <c r="C5367" s="288" t="s">
        <v>38</v>
      </c>
      <c r="D5367" s="303">
        <v>10.59</v>
      </c>
    </row>
    <row r="5368" spans="1:4" ht="36">
      <c r="A5368" s="288" t="s">
        <v>16673</v>
      </c>
      <c r="B5368" s="289" t="s">
        <v>16674</v>
      </c>
      <c r="C5368" s="288" t="s">
        <v>38</v>
      </c>
      <c r="D5368" s="303">
        <v>7.95</v>
      </c>
    </row>
    <row r="5369" spans="1:4" ht="18">
      <c r="A5369" s="288" t="s">
        <v>16675</v>
      </c>
      <c r="B5369" s="289" t="s">
        <v>16676</v>
      </c>
      <c r="C5369" s="288" t="s">
        <v>38</v>
      </c>
      <c r="D5369" s="303">
        <v>1.36</v>
      </c>
    </row>
    <row r="5370" spans="1:4" ht="18">
      <c r="A5370" s="288" t="s">
        <v>16677</v>
      </c>
      <c r="B5370" s="289" t="s">
        <v>16678</v>
      </c>
      <c r="C5370" s="288" t="s">
        <v>38</v>
      </c>
      <c r="D5370" s="303">
        <v>0.91</v>
      </c>
    </row>
    <row r="5371" spans="1:4" ht="18">
      <c r="A5371" s="288" t="s">
        <v>16679</v>
      </c>
      <c r="B5371" s="289" t="s">
        <v>16680</v>
      </c>
      <c r="C5371" s="288" t="s">
        <v>38</v>
      </c>
      <c r="D5371" s="303">
        <v>8.6199999999999992</v>
      </c>
    </row>
    <row r="5372" spans="1:4" ht="27">
      <c r="A5372" s="288" t="s">
        <v>16681</v>
      </c>
      <c r="B5372" s="289" t="s">
        <v>16682</v>
      </c>
      <c r="C5372" s="288" t="s">
        <v>38</v>
      </c>
      <c r="D5372" s="303">
        <v>5.67</v>
      </c>
    </row>
    <row r="5373" spans="1:4" ht="36">
      <c r="A5373" s="288" t="s">
        <v>16683</v>
      </c>
      <c r="B5373" s="289" t="s">
        <v>16684</v>
      </c>
      <c r="C5373" s="288" t="s">
        <v>38</v>
      </c>
      <c r="D5373" s="303">
        <v>4.3099999999999996</v>
      </c>
    </row>
    <row r="5374" spans="1:4" ht="27">
      <c r="A5374" s="288" t="s">
        <v>16685</v>
      </c>
      <c r="B5374" s="289" t="s">
        <v>16686</v>
      </c>
      <c r="C5374" s="288" t="s">
        <v>11249</v>
      </c>
      <c r="D5374" s="303">
        <v>1335.74</v>
      </c>
    </row>
    <row r="5375" spans="1:4" ht="18">
      <c r="A5375" s="287" t="s">
        <v>16687</v>
      </c>
      <c r="B5375" s="287"/>
      <c r="C5375" s="287"/>
      <c r="D5375" s="296" t="s">
        <v>28729</v>
      </c>
    </row>
    <row r="5376" spans="1:4" ht="27">
      <c r="A5376" s="288" t="s">
        <v>16688</v>
      </c>
      <c r="B5376" s="289" t="s">
        <v>16689</v>
      </c>
      <c r="C5376" s="288" t="s">
        <v>38</v>
      </c>
      <c r="D5376" s="303">
        <v>17.27</v>
      </c>
    </row>
    <row r="5377" spans="1:4" ht="27">
      <c r="A5377" s="288" t="s">
        <v>16690</v>
      </c>
      <c r="B5377" s="289" t="s">
        <v>16691</v>
      </c>
      <c r="C5377" s="288" t="s">
        <v>38</v>
      </c>
      <c r="D5377" s="303">
        <v>14.45</v>
      </c>
    </row>
    <row r="5378" spans="1:4" ht="36">
      <c r="A5378" s="288" t="s">
        <v>16692</v>
      </c>
      <c r="B5378" s="289" t="s">
        <v>16693</v>
      </c>
      <c r="C5378" s="288" t="s">
        <v>38</v>
      </c>
      <c r="D5378" s="303">
        <v>8.6199999999999992</v>
      </c>
    </row>
    <row r="5379" spans="1:4" ht="18">
      <c r="A5379" s="288" t="s">
        <v>16694</v>
      </c>
      <c r="B5379" s="289" t="s">
        <v>16695</v>
      </c>
      <c r="C5379" s="288" t="s">
        <v>38</v>
      </c>
      <c r="D5379" s="303">
        <v>29.02</v>
      </c>
    </row>
    <row r="5380" spans="1:4" ht="27">
      <c r="A5380" s="288" t="s">
        <v>16696</v>
      </c>
      <c r="B5380" s="289" t="s">
        <v>16697</v>
      </c>
      <c r="C5380" s="288" t="s">
        <v>38</v>
      </c>
      <c r="D5380" s="303">
        <v>21.57</v>
      </c>
    </row>
    <row r="5381" spans="1:4" ht="18">
      <c r="A5381" s="288" t="s">
        <v>16698</v>
      </c>
      <c r="B5381" s="289" t="s">
        <v>16699</v>
      </c>
      <c r="C5381" s="288" t="s">
        <v>38</v>
      </c>
      <c r="D5381" s="303">
        <v>34.49</v>
      </c>
    </row>
    <row r="5382" spans="1:4" ht="18">
      <c r="A5382" s="288" t="s">
        <v>16700</v>
      </c>
      <c r="B5382" s="289" t="s">
        <v>16701</v>
      </c>
      <c r="C5382" s="288" t="s">
        <v>38</v>
      </c>
      <c r="D5382" s="303">
        <v>21.04</v>
      </c>
    </row>
    <row r="5383" spans="1:4" ht="27">
      <c r="A5383" s="288" t="s">
        <v>16702</v>
      </c>
      <c r="B5383" s="289" t="s">
        <v>16703</v>
      </c>
      <c r="C5383" s="288" t="s">
        <v>38</v>
      </c>
      <c r="D5383" s="303">
        <v>15.68</v>
      </c>
    </row>
    <row r="5384" spans="1:4" ht="36">
      <c r="A5384" s="288" t="s">
        <v>16704</v>
      </c>
      <c r="B5384" s="289" t="s">
        <v>16705</v>
      </c>
      <c r="C5384" s="288" t="s">
        <v>38</v>
      </c>
      <c r="D5384" s="303">
        <v>10.59</v>
      </c>
    </row>
    <row r="5385" spans="1:4" ht="18">
      <c r="A5385" s="288" t="s">
        <v>16706</v>
      </c>
      <c r="B5385" s="289" t="s">
        <v>16707</v>
      </c>
      <c r="C5385" s="288" t="s">
        <v>38</v>
      </c>
      <c r="D5385" s="303">
        <v>2</v>
      </c>
    </row>
    <row r="5386" spans="1:4" ht="18">
      <c r="A5386" s="288" t="s">
        <v>16708</v>
      </c>
      <c r="B5386" s="289" t="s">
        <v>16709</v>
      </c>
      <c r="C5386" s="288" t="s">
        <v>38</v>
      </c>
      <c r="D5386" s="303">
        <v>1.35</v>
      </c>
    </row>
    <row r="5387" spans="1:4" ht="18">
      <c r="A5387" s="288" t="s">
        <v>16710</v>
      </c>
      <c r="B5387" s="289" t="s">
        <v>16711</v>
      </c>
      <c r="C5387" s="288" t="s">
        <v>38</v>
      </c>
      <c r="D5387" s="303">
        <v>8.6199999999999992</v>
      </c>
    </row>
    <row r="5388" spans="1:4" ht="27">
      <c r="A5388" s="288" t="s">
        <v>16712</v>
      </c>
      <c r="B5388" s="289" t="s">
        <v>16713</v>
      </c>
      <c r="C5388" s="288" t="s">
        <v>38</v>
      </c>
      <c r="D5388" s="303">
        <v>5.67</v>
      </c>
    </row>
    <row r="5389" spans="1:4" ht="36">
      <c r="A5389" s="288" t="s">
        <v>16714</v>
      </c>
      <c r="B5389" s="289" t="s">
        <v>16715</v>
      </c>
      <c r="C5389" s="288" t="s">
        <v>38</v>
      </c>
      <c r="D5389" s="303">
        <v>4.3099999999999996</v>
      </c>
    </row>
    <row r="5390" spans="1:4" ht="27">
      <c r="A5390" s="288" t="s">
        <v>16716</v>
      </c>
      <c r="B5390" s="289" t="s">
        <v>16717</v>
      </c>
      <c r="C5390" s="288" t="s">
        <v>11249</v>
      </c>
      <c r="D5390" s="303">
        <v>1335.74</v>
      </c>
    </row>
    <row r="5391" spans="1:4" ht="18">
      <c r="A5391" s="288" t="s">
        <v>16718</v>
      </c>
      <c r="B5391" s="289" t="s">
        <v>16719</v>
      </c>
      <c r="C5391" s="288" t="s">
        <v>38</v>
      </c>
      <c r="D5391" s="303">
        <v>11.16</v>
      </c>
    </row>
    <row r="5392" spans="1:4" ht="18">
      <c r="A5392" s="288" t="s">
        <v>16720</v>
      </c>
      <c r="B5392" s="289" t="s">
        <v>16721</v>
      </c>
      <c r="C5392" s="288" t="s">
        <v>38</v>
      </c>
      <c r="D5392" s="303">
        <v>9.2799999999999994</v>
      </c>
    </row>
    <row r="5393" spans="1:4" ht="18">
      <c r="A5393" s="288" t="s">
        <v>16722</v>
      </c>
      <c r="B5393" s="289" t="s">
        <v>16723</v>
      </c>
      <c r="C5393" s="288" t="s">
        <v>38</v>
      </c>
      <c r="D5393" s="303">
        <v>5.58</v>
      </c>
    </row>
    <row r="5394" spans="1:4" ht="18">
      <c r="A5394" s="288" t="s">
        <v>16724</v>
      </c>
      <c r="B5394" s="289" t="s">
        <v>16725</v>
      </c>
      <c r="C5394" s="288" t="s">
        <v>38</v>
      </c>
      <c r="D5394" s="303">
        <v>11.16</v>
      </c>
    </row>
    <row r="5395" spans="1:4" ht="18">
      <c r="A5395" s="288" t="s">
        <v>16726</v>
      </c>
      <c r="B5395" s="289" t="s">
        <v>16727</v>
      </c>
      <c r="C5395" s="288" t="s">
        <v>38</v>
      </c>
      <c r="D5395" s="303">
        <v>9.2799999999999994</v>
      </c>
    </row>
    <row r="5396" spans="1:4" ht="18">
      <c r="A5396" s="288" t="s">
        <v>16728</v>
      </c>
      <c r="B5396" s="289" t="s">
        <v>16729</v>
      </c>
      <c r="C5396" s="288" t="s">
        <v>38</v>
      </c>
      <c r="D5396" s="303">
        <v>5.58</v>
      </c>
    </row>
    <row r="5397" spans="1:4" ht="27">
      <c r="A5397" s="288" t="s">
        <v>16730</v>
      </c>
      <c r="B5397" s="289" t="s">
        <v>16731</v>
      </c>
      <c r="C5397" s="288" t="s">
        <v>7079</v>
      </c>
      <c r="D5397" s="303">
        <v>9652.36</v>
      </c>
    </row>
    <row r="5398" spans="1:4" ht="18">
      <c r="A5398" s="287" t="s">
        <v>16732</v>
      </c>
      <c r="B5398" s="287"/>
      <c r="C5398" s="287"/>
      <c r="D5398" s="296" t="s">
        <v>28729</v>
      </c>
    </row>
    <row r="5399" spans="1:4" ht="18">
      <c r="A5399" s="288" t="s">
        <v>16733</v>
      </c>
      <c r="B5399" s="289" t="s">
        <v>16734</v>
      </c>
      <c r="C5399" s="288" t="s">
        <v>38</v>
      </c>
      <c r="D5399" s="303">
        <v>14.45</v>
      </c>
    </row>
    <row r="5400" spans="1:4" ht="18">
      <c r="A5400" s="287" t="s">
        <v>16735</v>
      </c>
      <c r="B5400" s="287"/>
      <c r="C5400" s="287"/>
      <c r="D5400" s="296" t="s">
        <v>28729</v>
      </c>
    </row>
    <row r="5401" spans="1:4" ht="36">
      <c r="A5401" s="288" t="s">
        <v>16736</v>
      </c>
      <c r="B5401" s="289" t="s">
        <v>16737</v>
      </c>
      <c r="C5401" s="288" t="s">
        <v>38</v>
      </c>
      <c r="D5401" s="303">
        <v>124.02</v>
      </c>
    </row>
    <row r="5402" spans="1:4" ht="18">
      <c r="A5402" s="287" t="s">
        <v>16738</v>
      </c>
      <c r="B5402" s="287"/>
      <c r="C5402" s="287"/>
      <c r="D5402" s="296" t="s">
        <v>28729</v>
      </c>
    </row>
    <row r="5403" spans="1:4" ht="27">
      <c r="A5403" s="288" t="s">
        <v>16739</v>
      </c>
      <c r="B5403" s="289" t="s">
        <v>16740</v>
      </c>
      <c r="C5403" s="288" t="s">
        <v>38</v>
      </c>
      <c r="D5403" s="303">
        <v>44.56</v>
      </c>
    </row>
    <row r="5404" spans="1:4" ht="27">
      <c r="A5404" s="288" t="s">
        <v>16741</v>
      </c>
      <c r="B5404" s="289" t="s">
        <v>16742</v>
      </c>
      <c r="C5404" s="288" t="s">
        <v>7079</v>
      </c>
      <c r="D5404" s="303">
        <v>9856</v>
      </c>
    </row>
    <row r="5405" spans="1:4" ht="18">
      <c r="A5405" s="288" t="s">
        <v>16743</v>
      </c>
      <c r="B5405" s="289" t="s">
        <v>16744</v>
      </c>
      <c r="C5405" s="288" t="s">
        <v>7079</v>
      </c>
      <c r="D5405" s="303">
        <v>2941.71</v>
      </c>
    </row>
    <row r="5406" spans="1:4" ht="36">
      <c r="A5406" s="288" t="s">
        <v>16745</v>
      </c>
      <c r="B5406" s="289" t="s">
        <v>16746</v>
      </c>
      <c r="C5406" s="288" t="s">
        <v>38</v>
      </c>
      <c r="D5406" s="303">
        <v>2.82</v>
      </c>
    </row>
    <row r="5407" spans="1:4" ht="27">
      <c r="A5407" s="288" t="s">
        <v>16747</v>
      </c>
      <c r="B5407" s="289" t="s">
        <v>16748</v>
      </c>
      <c r="C5407" s="288" t="s">
        <v>11249</v>
      </c>
      <c r="D5407" s="303">
        <v>667.88</v>
      </c>
    </row>
    <row r="5408" spans="1:4" ht="27">
      <c r="A5408" s="288" t="s">
        <v>16749</v>
      </c>
      <c r="B5408" s="289" t="s">
        <v>16750</v>
      </c>
      <c r="C5408" s="288" t="s">
        <v>11249</v>
      </c>
      <c r="D5408" s="303">
        <v>667.88</v>
      </c>
    </row>
    <row r="5409" spans="1:4" ht="27">
      <c r="A5409" s="288" t="s">
        <v>16751</v>
      </c>
      <c r="B5409" s="289" t="s">
        <v>16752</v>
      </c>
      <c r="C5409" s="288" t="s">
        <v>38</v>
      </c>
      <c r="D5409" s="303">
        <v>1.66</v>
      </c>
    </row>
    <row r="5410" spans="1:4" ht="18">
      <c r="A5410" s="287" t="s">
        <v>16753</v>
      </c>
      <c r="B5410" s="287"/>
      <c r="C5410" s="287"/>
      <c r="D5410" s="296" t="s">
        <v>28729</v>
      </c>
    </row>
    <row r="5411" spans="1:4" ht="45">
      <c r="A5411" s="288" t="s">
        <v>16754</v>
      </c>
      <c r="B5411" s="289" t="s">
        <v>16755</v>
      </c>
      <c r="C5411" s="288" t="s">
        <v>38</v>
      </c>
      <c r="D5411" s="303">
        <v>132.91</v>
      </c>
    </row>
    <row r="5412" spans="1:4" ht="45">
      <c r="A5412" s="288" t="s">
        <v>16756</v>
      </c>
      <c r="B5412" s="289" t="s">
        <v>16757</v>
      </c>
      <c r="C5412" s="288" t="s">
        <v>38</v>
      </c>
      <c r="D5412" s="303">
        <v>121.98</v>
      </c>
    </row>
    <row r="5413" spans="1:4" ht="45">
      <c r="A5413" s="288" t="s">
        <v>16758</v>
      </c>
      <c r="B5413" s="289" t="s">
        <v>16759</v>
      </c>
      <c r="C5413" s="288" t="s">
        <v>38</v>
      </c>
      <c r="D5413" s="303">
        <v>116.69</v>
      </c>
    </row>
    <row r="5414" spans="1:4" ht="45">
      <c r="A5414" s="288" t="s">
        <v>16760</v>
      </c>
      <c r="B5414" s="289" t="s">
        <v>16761</v>
      </c>
      <c r="C5414" s="288" t="s">
        <v>38</v>
      </c>
      <c r="D5414" s="303">
        <v>108.4</v>
      </c>
    </row>
    <row r="5415" spans="1:4" ht="18">
      <c r="A5415" s="287" t="s">
        <v>16762</v>
      </c>
      <c r="B5415" s="287"/>
      <c r="C5415" s="287"/>
      <c r="D5415" s="296" t="s">
        <v>28729</v>
      </c>
    </row>
    <row r="5416" spans="1:4" ht="27">
      <c r="A5416" s="288" t="s">
        <v>16763</v>
      </c>
      <c r="B5416" s="289" t="s">
        <v>16764</v>
      </c>
      <c r="C5416" s="288" t="s">
        <v>38</v>
      </c>
      <c r="D5416" s="303">
        <v>13.44</v>
      </c>
    </row>
    <row r="5417" spans="1:4">
      <c r="A5417" s="290"/>
      <c r="B5417" s="290"/>
      <c r="C5417" s="290"/>
      <c r="D5417" s="298"/>
    </row>
    <row r="5418" spans="1:4" ht="18">
      <c r="A5418" s="287" t="s">
        <v>16765</v>
      </c>
      <c r="B5418" s="287"/>
      <c r="C5418" s="287"/>
      <c r="D5418" s="296" t="s">
        <v>28729</v>
      </c>
    </row>
    <row r="5419" spans="1:4" ht="27">
      <c r="A5419" s="288" t="s">
        <v>16766</v>
      </c>
      <c r="B5419" s="289" t="s">
        <v>16767</v>
      </c>
      <c r="C5419" s="288" t="s">
        <v>7079</v>
      </c>
      <c r="D5419" s="303">
        <v>703.9</v>
      </c>
    </row>
    <row r="5420" spans="1:4" ht="18">
      <c r="A5420" s="288" t="s">
        <v>16768</v>
      </c>
      <c r="B5420" s="289" t="s">
        <v>16769</v>
      </c>
      <c r="C5420" s="288" t="s">
        <v>7079</v>
      </c>
      <c r="D5420" s="303">
        <v>158.15</v>
      </c>
    </row>
    <row r="5421" spans="1:4">
      <c r="A5421" s="290"/>
      <c r="B5421" s="290"/>
      <c r="C5421" s="290"/>
      <c r="D5421" s="298"/>
    </row>
    <row r="5422" spans="1:4" ht="27">
      <c r="A5422" s="287" t="s">
        <v>16770</v>
      </c>
      <c r="B5422" s="287"/>
      <c r="C5422" s="287"/>
      <c r="D5422" s="296" t="s">
        <v>28729</v>
      </c>
    </row>
    <row r="5423" spans="1:4" ht="18">
      <c r="A5423" s="288" t="s">
        <v>16771</v>
      </c>
      <c r="B5423" s="289" t="s">
        <v>16772</v>
      </c>
      <c r="C5423" s="288" t="s">
        <v>7079</v>
      </c>
      <c r="D5423" s="303">
        <v>3.08</v>
      </c>
    </row>
    <row r="5424" spans="1:4" ht="45">
      <c r="A5424" s="288" t="s">
        <v>16773</v>
      </c>
      <c r="B5424" s="289" t="s">
        <v>16774</v>
      </c>
      <c r="C5424" s="288" t="s">
        <v>38</v>
      </c>
      <c r="D5424" s="303">
        <v>16.18</v>
      </c>
    </row>
    <row r="5425" spans="1:4" ht="45">
      <c r="A5425" s="288" t="s">
        <v>16775</v>
      </c>
      <c r="B5425" s="289" t="s">
        <v>16776</v>
      </c>
      <c r="C5425" s="288" t="s">
        <v>38</v>
      </c>
      <c r="D5425" s="303">
        <v>12.7</v>
      </c>
    </row>
    <row r="5426" spans="1:4" ht="45">
      <c r="A5426" s="288" t="s">
        <v>16777</v>
      </c>
      <c r="B5426" s="289" t="s">
        <v>16778</v>
      </c>
      <c r="C5426" s="288" t="s">
        <v>38</v>
      </c>
      <c r="D5426" s="303">
        <v>11.26</v>
      </c>
    </row>
    <row r="5427" spans="1:4" ht="36">
      <c r="A5427" s="288" t="s">
        <v>16779</v>
      </c>
      <c r="B5427" s="289" t="s">
        <v>16780</v>
      </c>
      <c r="C5427" s="288" t="s">
        <v>38</v>
      </c>
      <c r="D5427" s="303">
        <v>19.940000000000001</v>
      </c>
    </row>
    <row r="5428" spans="1:4" ht="36">
      <c r="A5428" s="288" t="s">
        <v>16781</v>
      </c>
      <c r="B5428" s="289" t="s">
        <v>16782</v>
      </c>
      <c r="C5428" s="288" t="s">
        <v>38</v>
      </c>
      <c r="D5428" s="303">
        <v>8.2200000000000006</v>
      </c>
    </row>
    <row r="5429" spans="1:4" ht="27">
      <c r="A5429" s="288" t="s">
        <v>16783</v>
      </c>
      <c r="B5429" s="289" t="s">
        <v>16784</v>
      </c>
      <c r="C5429" s="288" t="s">
        <v>7167</v>
      </c>
      <c r="D5429" s="303">
        <v>138.99</v>
      </c>
    </row>
    <row r="5430" spans="1:4">
      <c r="A5430" s="290"/>
      <c r="B5430" s="290"/>
      <c r="C5430" s="290"/>
      <c r="D5430" s="298"/>
    </row>
    <row r="5431" spans="1:4">
      <c r="A5431" s="287" t="s">
        <v>16785</v>
      </c>
      <c r="B5431" s="287"/>
      <c r="C5431" s="287"/>
      <c r="D5431" s="296" t="s">
        <v>28729</v>
      </c>
    </row>
    <row r="5432" spans="1:4" ht="36">
      <c r="A5432" s="288" t="s">
        <v>16786</v>
      </c>
      <c r="B5432" s="289" t="s">
        <v>16787</v>
      </c>
      <c r="C5432" s="288" t="s">
        <v>7079</v>
      </c>
      <c r="D5432" s="303">
        <v>248.32</v>
      </c>
    </row>
    <row r="5433" spans="1:4">
      <c r="A5433" s="288" t="s">
        <v>16788</v>
      </c>
      <c r="B5433" s="289" t="s">
        <v>16789</v>
      </c>
      <c r="C5433" s="288" t="s">
        <v>7079</v>
      </c>
      <c r="D5433" s="303">
        <v>25</v>
      </c>
    </row>
    <row r="5434" spans="1:4">
      <c r="A5434" s="288" t="s">
        <v>16790</v>
      </c>
      <c r="B5434" s="289" t="s">
        <v>16791</v>
      </c>
      <c r="C5434" s="288" t="s">
        <v>7079</v>
      </c>
      <c r="D5434" s="303">
        <v>25</v>
      </c>
    </row>
    <row r="5435" spans="1:4">
      <c r="A5435" s="290"/>
      <c r="B5435" s="290"/>
      <c r="C5435" s="290"/>
      <c r="D5435" s="298"/>
    </row>
    <row r="5436" spans="1:4">
      <c r="A5436" s="287" t="s">
        <v>16792</v>
      </c>
      <c r="B5436" s="287"/>
      <c r="C5436" s="287"/>
      <c r="D5436" s="296" t="s">
        <v>28729</v>
      </c>
    </row>
    <row r="5437" spans="1:4" ht="18">
      <c r="A5437" s="288" t="s">
        <v>16793</v>
      </c>
      <c r="B5437" s="289" t="s">
        <v>16794</v>
      </c>
      <c r="C5437" s="288" t="s">
        <v>7079</v>
      </c>
      <c r="D5437" s="303">
        <v>3495.8</v>
      </c>
    </row>
    <row r="5438" spans="1:4" ht="18">
      <c r="A5438" s="288" t="s">
        <v>16795</v>
      </c>
      <c r="B5438" s="289" t="s">
        <v>16796</v>
      </c>
      <c r="C5438" s="288" t="s">
        <v>7079</v>
      </c>
      <c r="D5438" s="303">
        <v>8149.08</v>
      </c>
    </row>
    <row r="5439" spans="1:4">
      <c r="A5439" s="290"/>
      <c r="B5439" s="290"/>
      <c r="C5439" s="290"/>
      <c r="D5439" s="298"/>
    </row>
    <row r="5440" spans="1:4">
      <c r="A5440" s="290"/>
      <c r="B5440" s="290"/>
      <c r="C5440" s="290"/>
      <c r="D5440" s="298"/>
    </row>
    <row r="5441" spans="1:4" ht="18">
      <c r="A5441" s="287" t="s">
        <v>16797</v>
      </c>
      <c r="B5441" s="287"/>
      <c r="C5441" s="287"/>
      <c r="D5441" s="296" t="s">
        <v>28729</v>
      </c>
    </row>
    <row r="5442" spans="1:4" ht="18">
      <c r="A5442" s="288" t="s">
        <v>16798</v>
      </c>
      <c r="B5442" s="289" t="s">
        <v>16799</v>
      </c>
      <c r="C5442" s="288" t="s">
        <v>7079</v>
      </c>
      <c r="D5442" s="303">
        <v>2448.75</v>
      </c>
    </row>
    <row r="5443" spans="1:4" ht="18">
      <c r="A5443" s="288" t="s">
        <v>16800</v>
      </c>
      <c r="B5443" s="289" t="s">
        <v>16801</v>
      </c>
      <c r="C5443" s="288" t="s">
        <v>7185</v>
      </c>
      <c r="D5443" s="303">
        <v>887.17</v>
      </c>
    </row>
    <row r="5444" spans="1:4">
      <c r="A5444" s="290"/>
      <c r="B5444" s="290"/>
      <c r="C5444" s="290"/>
      <c r="D5444" s="298"/>
    </row>
    <row r="5445" spans="1:4" ht="18">
      <c r="A5445" s="287" t="s">
        <v>16802</v>
      </c>
      <c r="B5445" s="287"/>
      <c r="C5445" s="287"/>
      <c r="D5445" s="296" t="s">
        <v>28729</v>
      </c>
    </row>
    <row r="5446" spans="1:4" ht="18">
      <c r="A5446" s="288" t="s">
        <v>16803</v>
      </c>
      <c r="B5446" s="289" t="s">
        <v>16804</v>
      </c>
      <c r="C5446" s="288" t="s">
        <v>7167</v>
      </c>
      <c r="D5446" s="303">
        <v>46.16</v>
      </c>
    </row>
    <row r="5447" spans="1:4" ht="36">
      <c r="A5447" s="288" t="s">
        <v>16805</v>
      </c>
      <c r="B5447" s="289" t="s">
        <v>16806</v>
      </c>
      <c r="C5447" s="288" t="s">
        <v>7079</v>
      </c>
      <c r="D5447" s="303">
        <v>1047.69</v>
      </c>
    </row>
    <row r="5448" spans="1:4" ht="36">
      <c r="A5448" s="288" t="s">
        <v>16807</v>
      </c>
      <c r="B5448" s="289" t="s">
        <v>16808</v>
      </c>
      <c r="C5448" s="288" t="s">
        <v>7079</v>
      </c>
      <c r="D5448" s="303">
        <v>4000</v>
      </c>
    </row>
    <row r="5449" spans="1:4" ht="36">
      <c r="A5449" s="288" t="s">
        <v>16809</v>
      </c>
      <c r="B5449" s="289" t="s">
        <v>16810</v>
      </c>
      <c r="C5449" s="288" t="s">
        <v>7167</v>
      </c>
      <c r="D5449" s="303">
        <v>50.58</v>
      </c>
    </row>
    <row r="5450" spans="1:4" ht="18">
      <c r="A5450" s="288" t="s">
        <v>16811</v>
      </c>
      <c r="B5450" s="289" t="s">
        <v>16812</v>
      </c>
      <c r="C5450" s="288" t="s">
        <v>7079</v>
      </c>
      <c r="D5450" s="303">
        <v>0.39</v>
      </c>
    </row>
    <row r="5451" spans="1:4" ht="18">
      <c r="A5451" s="288" t="s">
        <v>16813</v>
      </c>
      <c r="B5451" s="289" t="s">
        <v>16814</v>
      </c>
      <c r="C5451" s="288" t="s">
        <v>7079</v>
      </c>
      <c r="D5451" s="303">
        <v>0.56999999999999995</v>
      </c>
    </row>
    <row r="5452" spans="1:4">
      <c r="A5452" s="290"/>
      <c r="B5452" s="290"/>
      <c r="C5452" s="290"/>
      <c r="D5452" s="298"/>
    </row>
    <row r="5453" spans="1:4" ht="18">
      <c r="A5453" s="287" t="s">
        <v>16815</v>
      </c>
      <c r="B5453" s="287"/>
      <c r="C5453" s="287"/>
      <c r="D5453" s="296" t="s">
        <v>28729</v>
      </c>
    </row>
    <row r="5454" spans="1:4" ht="36">
      <c r="A5454" s="288" t="s">
        <v>16816</v>
      </c>
      <c r="B5454" s="289" t="s">
        <v>16817</v>
      </c>
      <c r="C5454" s="288" t="s">
        <v>7079</v>
      </c>
      <c r="D5454" s="303">
        <v>1191.07</v>
      </c>
    </row>
    <row r="5455" spans="1:4" ht="36">
      <c r="A5455" s="288" t="s">
        <v>16818</v>
      </c>
      <c r="B5455" s="289" t="s">
        <v>16819</v>
      </c>
      <c r="C5455" s="288" t="s">
        <v>7079</v>
      </c>
      <c r="D5455" s="303">
        <v>643.73</v>
      </c>
    </row>
    <row r="5456" spans="1:4" ht="36">
      <c r="A5456" s="288" t="s">
        <v>16820</v>
      </c>
      <c r="B5456" s="289" t="s">
        <v>16821</v>
      </c>
      <c r="C5456" s="288" t="s">
        <v>7079</v>
      </c>
      <c r="D5456" s="303">
        <v>443.36</v>
      </c>
    </row>
    <row r="5457" spans="1:4" ht="27">
      <c r="A5457" s="288" t="s">
        <v>16822</v>
      </c>
      <c r="B5457" s="289" t="s">
        <v>16823</v>
      </c>
      <c r="C5457" s="288" t="s">
        <v>7079</v>
      </c>
      <c r="D5457" s="303">
        <v>2300</v>
      </c>
    </row>
    <row r="5458" spans="1:4" ht="27">
      <c r="A5458" s="288" t="s">
        <v>16824</v>
      </c>
      <c r="B5458" s="289" t="s">
        <v>16825</v>
      </c>
      <c r="C5458" s="288" t="s">
        <v>7079</v>
      </c>
      <c r="D5458" s="303">
        <v>1900</v>
      </c>
    </row>
    <row r="5459" spans="1:4" ht="36">
      <c r="A5459" s="288" t="s">
        <v>16826</v>
      </c>
      <c r="B5459" s="289" t="s">
        <v>16827</v>
      </c>
      <c r="C5459" s="288" t="s">
        <v>7079</v>
      </c>
      <c r="D5459" s="303">
        <v>1228.99</v>
      </c>
    </row>
    <row r="5460" spans="1:4" ht="18">
      <c r="A5460" s="287" t="s">
        <v>16828</v>
      </c>
      <c r="B5460" s="287"/>
      <c r="C5460" s="287"/>
      <c r="D5460" s="296" t="s">
        <v>28729</v>
      </c>
    </row>
    <row r="5461" spans="1:4" ht="18">
      <c r="A5461" s="288" t="s">
        <v>16829</v>
      </c>
      <c r="B5461" s="289" t="s">
        <v>16830</v>
      </c>
      <c r="C5461" s="288" t="s">
        <v>7079</v>
      </c>
      <c r="D5461" s="303">
        <v>116.2</v>
      </c>
    </row>
    <row r="5462" spans="1:4" ht="27">
      <c r="A5462" s="288" t="s">
        <v>16831</v>
      </c>
      <c r="B5462" s="289" t="s">
        <v>16832</v>
      </c>
      <c r="C5462" s="288" t="s">
        <v>7079</v>
      </c>
      <c r="D5462" s="303">
        <v>25195.98</v>
      </c>
    </row>
    <row r="5463" spans="1:4" ht="27">
      <c r="A5463" s="288" t="s">
        <v>16833</v>
      </c>
      <c r="B5463" s="289" t="s">
        <v>16834</v>
      </c>
      <c r="C5463" s="288" t="s">
        <v>7079</v>
      </c>
      <c r="D5463" s="303">
        <v>26920.98</v>
      </c>
    </row>
    <row r="5464" spans="1:4" ht="27">
      <c r="A5464" s="288" t="s">
        <v>16835</v>
      </c>
      <c r="B5464" s="289" t="s">
        <v>16836</v>
      </c>
      <c r="C5464" s="288" t="s">
        <v>7079</v>
      </c>
      <c r="D5464" s="303">
        <v>28645.98</v>
      </c>
    </row>
    <row r="5465" spans="1:4" ht="27">
      <c r="A5465" s="288" t="s">
        <v>16837</v>
      </c>
      <c r="B5465" s="289" t="s">
        <v>16838</v>
      </c>
      <c r="C5465" s="288" t="s">
        <v>7079</v>
      </c>
      <c r="D5465" s="303">
        <v>20949</v>
      </c>
    </row>
    <row r="5466" spans="1:4" ht="27">
      <c r="A5466" s="288" t="s">
        <v>16839</v>
      </c>
      <c r="B5466" s="289" t="s">
        <v>16840</v>
      </c>
      <c r="C5466" s="288" t="s">
        <v>7079</v>
      </c>
      <c r="D5466" s="303">
        <v>22674</v>
      </c>
    </row>
    <row r="5467" spans="1:4" ht="27">
      <c r="A5467" s="288" t="s">
        <v>16841</v>
      </c>
      <c r="B5467" s="289" t="s">
        <v>16842</v>
      </c>
      <c r="C5467" s="288" t="s">
        <v>7079</v>
      </c>
      <c r="D5467" s="303">
        <v>24399</v>
      </c>
    </row>
    <row r="5468" spans="1:4" ht="27">
      <c r="A5468" s="288" t="s">
        <v>16843</v>
      </c>
      <c r="B5468" s="289" t="s">
        <v>16844</v>
      </c>
      <c r="C5468" s="288" t="s">
        <v>7079</v>
      </c>
      <c r="D5468" s="303">
        <v>26124</v>
      </c>
    </row>
    <row r="5469" spans="1:4" ht="18">
      <c r="A5469" s="288" t="s">
        <v>16845</v>
      </c>
      <c r="B5469" s="289" t="s">
        <v>16846</v>
      </c>
      <c r="C5469" s="288" t="s">
        <v>7079</v>
      </c>
      <c r="D5469" s="303">
        <v>60565.33</v>
      </c>
    </row>
    <row r="5470" spans="1:4" ht="27">
      <c r="A5470" s="288" t="s">
        <v>16847</v>
      </c>
      <c r="B5470" s="289" t="s">
        <v>16848</v>
      </c>
      <c r="C5470" s="288" t="s">
        <v>7079</v>
      </c>
      <c r="D5470" s="303">
        <v>58080</v>
      </c>
    </row>
    <row r="5471" spans="1:4" ht="27">
      <c r="A5471" s="288" t="s">
        <v>16849</v>
      </c>
      <c r="B5471" s="289" t="s">
        <v>16850</v>
      </c>
      <c r="C5471" s="288" t="s">
        <v>7079</v>
      </c>
      <c r="D5471" s="303">
        <v>53492.56</v>
      </c>
    </row>
    <row r="5472" spans="1:4" ht="27">
      <c r="A5472" s="288" t="s">
        <v>16851</v>
      </c>
      <c r="B5472" s="289" t="s">
        <v>16852</v>
      </c>
      <c r="C5472" s="288" t="s">
        <v>7079</v>
      </c>
      <c r="D5472" s="303">
        <v>42006.82</v>
      </c>
    </row>
    <row r="5473" spans="1:4" ht="27">
      <c r="A5473" s="288" t="s">
        <v>16853</v>
      </c>
      <c r="B5473" s="289" t="s">
        <v>16854</v>
      </c>
      <c r="C5473" s="288" t="s">
        <v>7079</v>
      </c>
      <c r="D5473" s="303">
        <v>46681.26</v>
      </c>
    </row>
    <row r="5474" spans="1:4" ht="36">
      <c r="A5474" s="288" t="s">
        <v>16855</v>
      </c>
      <c r="B5474" s="289" t="s">
        <v>16856</v>
      </c>
      <c r="C5474" s="288" t="s">
        <v>7079</v>
      </c>
      <c r="D5474" s="303">
        <v>13895</v>
      </c>
    </row>
    <row r="5475" spans="1:4" ht="36">
      <c r="A5475" s="288" t="s">
        <v>16857</v>
      </c>
      <c r="B5475" s="289" t="s">
        <v>16858</v>
      </c>
      <c r="C5475" s="288" t="s">
        <v>7079</v>
      </c>
      <c r="D5475" s="303">
        <v>15473.61</v>
      </c>
    </row>
    <row r="5476" spans="1:4" ht="36">
      <c r="A5476" s="288" t="s">
        <v>16859</v>
      </c>
      <c r="B5476" s="289" t="s">
        <v>16860</v>
      </c>
      <c r="C5476" s="288" t="s">
        <v>7079</v>
      </c>
      <c r="D5476" s="303">
        <v>15866</v>
      </c>
    </row>
    <row r="5477" spans="1:4" ht="36">
      <c r="A5477" s="288" t="s">
        <v>16861</v>
      </c>
      <c r="B5477" s="289" t="s">
        <v>16862</v>
      </c>
      <c r="C5477" s="288" t="s">
        <v>7079</v>
      </c>
      <c r="D5477" s="303">
        <v>18701.580000000002</v>
      </c>
    </row>
    <row r="5478" spans="1:4" ht="36">
      <c r="A5478" s="288" t="s">
        <v>16863</v>
      </c>
      <c r="B5478" s="289" t="s">
        <v>16864</v>
      </c>
      <c r="C5478" s="288" t="s">
        <v>7079</v>
      </c>
      <c r="D5478" s="303">
        <v>17835</v>
      </c>
    </row>
    <row r="5479" spans="1:4" ht="36">
      <c r="A5479" s="288" t="s">
        <v>16865</v>
      </c>
      <c r="B5479" s="289" t="s">
        <v>16866</v>
      </c>
      <c r="C5479" s="288" t="s">
        <v>7079</v>
      </c>
      <c r="D5479" s="303">
        <v>21929.55</v>
      </c>
    </row>
    <row r="5480" spans="1:4" ht="36">
      <c r="A5480" s="288" t="s">
        <v>16867</v>
      </c>
      <c r="B5480" s="289" t="s">
        <v>16868</v>
      </c>
      <c r="C5480" s="288" t="s">
        <v>7079</v>
      </c>
      <c r="D5480" s="303">
        <v>20949</v>
      </c>
    </row>
    <row r="5481" spans="1:4" ht="36">
      <c r="A5481" s="288" t="s">
        <v>16869</v>
      </c>
      <c r="B5481" s="289" t="s">
        <v>16870</v>
      </c>
      <c r="C5481" s="288" t="s">
        <v>7079</v>
      </c>
      <c r="D5481" s="303">
        <v>27033</v>
      </c>
    </row>
    <row r="5482" spans="1:4" ht="36">
      <c r="A5482" s="288" t="s">
        <v>16871</v>
      </c>
      <c r="B5482" s="289" t="s">
        <v>16872</v>
      </c>
      <c r="C5482" s="288" t="s">
        <v>7079</v>
      </c>
      <c r="D5482" s="303">
        <v>22918</v>
      </c>
    </row>
    <row r="5483" spans="1:4" ht="36">
      <c r="A5483" s="288" t="s">
        <v>16873</v>
      </c>
      <c r="B5483" s="289" t="s">
        <v>16874</v>
      </c>
      <c r="C5483" s="288" t="s">
        <v>7079</v>
      </c>
      <c r="D5483" s="303">
        <v>29782.47</v>
      </c>
    </row>
    <row r="5484" spans="1:4" ht="36">
      <c r="A5484" s="288" t="s">
        <v>16875</v>
      </c>
      <c r="B5484" s="289" t="s">
        <v>16876</v>
      </c>
      <c r="C5484" s="288" t="s">
        <v>7079</v>
      </c>
      <c r="D5484" s="303">
        <v>24888</v>
      </c>
    </row>
    <row r="5485" spans="1:4" ht="36">
      <c r="A5485" s="288" t="s">
        <v>16877</v>
      </c>
      <c r="B5485" s="289" t="s">
        <v>16878</v>
      </c>
      <c r="C5485" s="288" t="s">
        <v>7079</v>
      </c>
      <c r="D5485" s="303">
        <v>33487.74</v>
      </c>
    </row>
    <row r="5486" spans="1:4" ht="36">
      <c r="A5486" s="288" t="s">
        <v>16879</v>
      </c>
      <c r="B5486" s="289" t="s">
        <v>16880</v>
      </c>
      <c r="C5486" s="288" t="s">
        <v>7079</v>
      </c>
      <c r="D5486" s="303">
        <v>26857</v>
      </c>
    </row>
    <row r="5487" spans="1:4" ht="36">
      <c r="A5487" s="288" t="s">
        <v>16881</v>
      </c>
      <c r="B5487" s="289" t="s">
        <v>16882</v>
      </c>
      <c r="C5487" s="288" t="s">
        <v>7079</v>
      </c>
      <c r="D5487" s="303">
        <v>38142.79</v>
      </c>
    </row>
    <row r="5488" spans="1:4" ht="18">
      <c r="A5488" s="287" t="s">
        <v>16883</v>
      </c>
      <c r="B5488" s="287"/>
      <c r="C5488" s="287"/>
      <c r="D5488" s="296" t="s">
        <v>28729</v>
      </c>
    </row>
    <row r="5489" spans="1:4" ht="18">
      <c r="A5489" s="288" t="s">
        <v>16884</v>
      </c>
      <c r="B5489" s="289" t="s">
        <v>16885</v>
      </c>
      <c r="C5489" s="288" t="s">
        <v>7079</v>
      </c>
      <c r="D5489" s="303">
        <v>2172</v>
      </c>
    </row>
    <row r="5490" spans="1:4" ht="18">
      <c r="A5490" s="288" t="s">
        <v>16886</v>
      </c>
      <c r="B5490" s="289" t="s">
        <v>16887</v>
      </c>
      <c r="C5490" s="288" t="s">
        <v>7079</v>
      </c>
      <c r="D5490" s="303">
        <v>1725</v>
      </c>
    </row>
    <row r="5491" spans="1:4" ht="18">
      <c r="A5491" s="288" t="s">
        <v>16888</v>
      </c>
      <c r="B5491" s="289" t="s">
        <v>16889</v>
      </c>
      <c r="C5491" s="288" t="s">
        <v>7079</v>
      </c>
      <c r="D5491" s="303">
        <v>930</v>
      </c>
    </row>
    <row r="5492" spans="1:4" ht="18">
      <c r="A5492" s="288" t="s">
        <v>16890</v>
      </c>
      <c r="B5492" s="289" t="s">
        <v>16891</v>
      </c>
      <c r="C5492" s="288" t="s">
        <v>7079</v>
      </c>
      <c r="D5492" s="303">
        <v>4887.0200000000004</v>
      </c>
    </row>
    <row r="5493" spans="1:4" ht="18">
      <c r="A5493" s="288" t="s">
        <v>16892</v>
      </c>
      <c r="B5493" s="289" t="s">
        <v>16893</v>
      </c>
      <c r="C5493" s="288" t="s">
        <v>7079</v>
      </c>
      <c r="D5493" s="303">
        <v>7500.82</v>
      </c>
    </row>
    <row r="5494" spans="1:4" ht="36">
      <c r="A5494" s="288" t="s">
        <v>16894</v>
      </c>
      <c r="B5494" s="289" t="s">
        <v>16895</v>
      </c>
      <c r="C5494" s="288" t="s">
        <v>7079</v>
      </c>
      <c r="D5494" s="303">
        <v>2385</v>
      </c>
    </row>
    <row r="5495" spans="1:4" ht="36">
      <c r="A5495" s="288" t="s">
        <v>16896</v>
      </c>
      <c r="B5495" s="289" t="s">
        <v>16897</v>
      </c>
      <c r="C5495" s="288" t="s">
        <v>7079</v>
      </c>
      <c r="D5495" s="303">
        <v>4736.84</v>
      </c>
    </row>
    <row r="5496" spans="1:4" ht="27">
      <c r="A5496" s="288" t="s">
        <v>16898</v>
      </c>
      <c r="B5496" s="289" t="s">
        <v>16899</v>
      </c>
      <c r="C5496" s="288" t="s">
        <v>7079</v>
      </c>
      <c r="D5496" s="303">
        <v>1783</v>
      </c>
    </row>
    <row r="5497" spans="1:4" ht="36">
      <c r="A5497" s="288" t="s">
        <v>16900</v>
      </c>
      <c r="B5497" s="289" t="s">
        <v>16901</v>
      </c>
      <c r="C5497" s="288" t="s">
        <v>7079</v>
      </c>
      <c r="D5497" s="303">
        <v>5469.2</v>
      </c>
    </row>
    <row r="5498" spans="1:4" ht="36">
      <c r="A5498" s="288" t="s">
        <v>16902</v>
      </c>
      <c r="B5498" s="289" t="s">
        <v>16903</v>
      </c>
      <c r="C5498" s="288" t="s">
        <v>7079</v>
      </c>
      <c r="D5498" s="303">
        <v>7292.26</v>
      </c>
    </row>
    <row r="5499" spans="1:4" ht="27">
      <c r="A5499" s="287" t="s">
        <v>16904</v>
      </c>
      <c r="B5499" s="287"/>
      <c r="C5499" s="287"/>
      <c r="D5499" s="296" t="s">
        <v>28729</v>
      </c>
    </row>
    <row r="5500" spans="1:4">
      <c r="A5500" s="288" t="s">
        <v>16905</v>
      </c>
      <c r="B5500" s="289" t="s">
        <v>16906</v>
      </c>
      <c r="C5500" s="288" t="s">
        <v>7079</v>
      </c>
      <c r="D5500" s="303">
        <v>190.44</v>
      </c>
    </row>
    <row r="5501" spans="1:4">
      <c r="A5501" s="288" t="s">
        <v>16907</v>
      </c>
      <c r="B5501" s="289" t="s">
        <v>16908</v>
      </c>
      <c r="C5501" s="288" t="s">
        <v>7079</v>
      </c>
      <c r="D5501" s="303">
        <v>17.66</v>
      </c>
    </row>
    <row r="5502" spans="1:4">
      <c r="A5502" s="288" t="s">
        <v>16909</v>
      </c>
      <c r="B5502" s="289" t="s">
        <v>16910</v>
      </c>
      <c r="C5502" s="288" t="s">
        <v>7079</v>
      </c>
      <c r="D5502" s="303">
        <v>205.27</v>
      </c>
    </row>
    <row r="5503" spans="1:4">
      <c r="A5503" s="288" t="s">
        <v>16911</v>
      </c>
      <c r="B5503" s="289" t="s">
        <v>16912</v>
      </c>
      <c r="C5503" s="288" t="s">
        <v>7079</v>
      </c>
      <c r="D5503" s="303">
        <v>102.64</v>
      </c>
    </row>
    <row r="5504" spans="1:4" ht="18">
      <c r="A5504" s="288" t="s">
        <v>16913</v>
      </c>
      <c r="B5504" s="289" t="s">
        <v>16914</v>
      </c>
      <c r="C5504" s="288" t="s">
        <v>54</v>
      </c>
      <c r="D5504" s="303">
        <v>13.04</v>
      </c>
    </row>
    <row r="5505" spans="1:4" ht="18">
      <c r="A5505" s="288" t="s">
        <v>16915</v>
      </c>
      <c r="B5505" s="289" t="s">
        <v>16916</v>
      </c>
      <c r="C5505" s="288" t="s">
        <v>54</v>
      </c>
      <c r="D5505" s="303">
        <v>13.01</v>
      </c>
    </row>
    <row r="5506" spans="1:4" ht="27">
      <c r="A5506" s="288" t="s">
        <v>16917</v>
      </c>
      <c r="B5506" s="289" t="s">
        <v>16918</v>
      </c>
      <c r="C5506" s="288" t="s">
        <v>54</v>
      </c>
      <c r="D5506" s="303">
        <v>4.68</v>
      </c>
    </row>
    <row r="5507" spans="1:4" ht="27">
      <c r="A5507" s="288" t="s">
        <v>16919</v>
      </c>
      <c r="B5507" s="289" t="s">
        <v>16920</v>
      </c>
      <c r="C5507" s="288" t="s">
        <v>54</v>
      </c>
      <c r="D5507" s="303">
        <v>7.22</v>
      </c>
    </row>
    <row r="5508" spans="1:4" ht="18">
      <c r="A5508" s="288" t="s">
        <v>16921</v>
      </c>
      <c r="B5508" s="289" t="s">
        <v>16922</v>
      </c>
      <c r="C5508" s="288" t="s">
        <v>54</v>
      </c>
      <c r="D5508" s="303">
        <v>8.52</v>
      </c>
    </row>
    <row r="5509" spans="1:4" ht="18">
      <c r="A5509" s="288" t="s">
        <v>16923</v>
      </c>
      <c r="B5509" s="289" t="s">
        <v>16924</v>
      </c>
      <c r="C5509" s="288" t="s">
        <v>54</v>
      </c>
      <c r="D5509" s="303">
        <v>22.27</v>
      </c>
    </row>
    <row r="5510" spans="1:4" ht="18">
      <c r="A5510" s="288" t="s">
        <v>16925</v>
      </c>
      <c r="B5510" s="289" t="s">
        <v>16926</v>
      </c>
      <c r="C5510" s="288" t="s">
        <v>54</v>
      </c>
      <c r="D5510" s="303">
        <v>14.43</v>
      </c>
    </row>
    <row r="5511" spans="1:4" ht="27">
      <c r="A5511" s="287" t="s">
        <v>16927</v>
      </c>
      <c r="B5511" s="287"/>
      <c r="C5511" s="287"/>
      <c r="D5511" s="296" t="s">
        <v>28729</v>
      </c>
    </row>
    <row r="5512" spans="1:4" ht="18">
      <c r="A5512" s="288" t="s">
        <v>16928</v>
      </c>
      <c r="B5512" s="289" t="s">
        <v>16929</v>
      </c>
      <c r="C5512" s="288" t="s">
        <v>7079</v>
      </c>
      <c r="D5512" s="303">
        <v>502.99</v>
      </c>
    </row>
    <row r="5513" spans="1:4">
      <c r="A5513" s="288" t="s">
        <v>16930</v>
      </c>
      <c r="B5513" s="289" t="s">
        <v>16931</v>
      </c>
      <c r="C5513" s="288" t="s">
        <v>7079</v>
      </c>
      <c r="D5513" s="303">
        <v>526.82000000000005</v>
      </c>
    </row>
    <row r="5514" spans="1:4">
      <c r="A5514" s="287" t="s">
        <v>16932</v>
      </c>
      <c r="B5514" s="287"/>
      <c r="C5514" s="287"/>
      <c r="D5514" s="296" t="s">
        <v>28729</v>
      </c>
    </row>
    <row r="5515" spans="1:4" ht="36">
      <c r="A5515" s="288" t="s">
        <v>16933</v>
      </c>
      <c r="B5515" s="289" t="s">
        <v>16934</v>
      </c>
      <c r="C5515" s="288" t="s">
        <v>7079</v>
      </c>
      <c r="D5515" s="303">
        <v>1000</v>
      </c>
    </row>
    <row r="5516" spans="1:4">
      <c r="A5516" s="288" t="s">
        <v>16935</v>
      </c>
      <c r="B5516" s="289" t="s">
        <v>16936</v>
      </c>
      <c r="C5516" s="288" t="s">
        <v>7079</v>
      </c>
      <c r="D5516" s="303">
        <v>347.9</v>
      </c>
    </row>
    <row r="5517" spans="1:4" ht="18">
      <c r="A5517" s="287" t="s">
        <v>16937</v>
      </c>
      <c r="B5517" s="287"/>
      <c r="C5517" s="287"/>
      <c r="D5517" s="296" t="s">
        <v>28729</v>
      </c>
    </row>
    <row r="5518" spans="1:4">
      <c r="A5518" s="288" t="s">
        <v>16938</v>
      </c>
      <c r="B5518" s="289" t="s">
        <v>16939</v>
      </c>
      <c r="C5518" s="288" t="s">
        <v>7079</v>
      </c>
      <c r="D5518" s="303">
        <v>222.28</v>
      </c>
    </row>
    <row r="5519" spans="1:4" ht="18">
      <c r="A5519" s="288" t="s">
        <v>16940</v>
      </c>
      <c r="B5519" s="289" t="s">
        <v>16941</v>
      </c>
      <c r="C5519" s="288" t="s">
        <v>7079</v>
      </c>
      <c r="D5519" s="303">
        <v>753.9</v>
      </c>
    </row>
    <row r="5520" spans="1:4" ht="18">
      <c r="A5520" s="287" t="s">
        <v>16942</v>
      </c>
      <c r="B5520" s="287"/>
      <c r="C5520" s="287"/>
      <c r="D5520" s="296" t="s">
        <v>28729</v>
      </c>
    </row>
    <row r="5521" spans="1:4">
      <c r="A5521" s="288" t="s">
        <v>16943</v>
      </c>
      <c r="B5521" s="289" t="s">
        <v>16944</v>
      </c>
      <c r="C5521" s="288" t="s">
        <v>7079</v>
      </c>
      <c r="D5521" s="303">
        <v>40.99</v>
      </c>
    </row>
    <row r="5522" spans="1:4" ht="18">
      <c r="A5522" s="288" t="s">
        <v>16945</v>
      </c>
      <c r="B5522" s="289" t="s">
        <v>16946</v>
      </c>
      <c r="C5522" s="288" t="s">
        <v>7079</v>
      </c>
      <c r="D5522" s="303">
        <v>141.32</v>
      </c>
    </row>
    <row r="5523" spans="1:4">
      <c r="A5523" s="288" t="s">
        <v>16947</v>
      </c>
      <c r="B5523" s="289" t="s">
        <v>16948</v>
      </c>
      <c r="C5523" s="288" t="s">
        <v>7079</v>
      </c>
      <c r="D5523" s="303">
        <v>20.5</v>
      </c>
    </row>
    <row r="5524" spans="1:4" ht="18">
      <c r="A5524" s="288" t="s">
        <v>16949</v>
      </c>
      <c r="B5524" s="289" t="s">
        <v>16950</v>
      </c>
      <c r="C5524" s="288" t="s">
        <v>54</v>
      </c>
      <c r="D5524" s="303">
        <v>6.26</v>
      </c>
    </row>
    <row r="5525" spans="1:4">
      <c r="A5525" s="288" t="s">
        <v>16951</v>
      </c>
      <c r="B5525" s="289" t="s">
        <v>16952</v>
      </c>
      <c r="C5525" s="288" t="s">
        <v>7079</v>
      </c>
      <c r="D5525" s="303">
        <v>89.58</v>
      </c>
    </row>
    <row r="5526" spans="1:4">
      <c r="A5526" s="288" t="s">
        <v>16953</v>
      </c>
      <c r="B5526" s="289" t="s">
        <v>16954</v>
      </c>
      <c r="C5526" s="288" t="s">
        <v>54</v>
      </c>
      <c r="D5526" s="303">
        <v>20.41</v>
      </c>
    </row>
    <row r="5527" spans="1:4">
      <c r="A5527" s="288" t="s">
        <v>16955</v>
      </c>
      <c r="B5527" s="289" t="s">
        <v>16956</v>
      </c>
      <c r="C5527" s="288" t="s">
        <v>54</v>
      </c>
      <c r="D5527" s="303">
        <v>5.4</v>
      </c>
    </row>
    <row r="5528" spans="1:4">
      <c r="A5528" s="288" t="s">
        <v>16957</v>
      </c>
      <c r="B5528" s="289" t="s">
        <v>16958</v>
      </c>
      <c r="C5528" s="288" t="s">
        <v>54</v>
      </c>
      <c r="D5528" s="303">
        <v>0.18</v>
      </c>
    </row>
    <row r="5529" spans="1:4">
      <c r="A5529" s="288" t="s">
        <v>16959</v>
      </c>
      <c r="B5529" s="289" t="s">
        <v>16960</v>
      </c>
      <c r="C5529" s="288" t="s">
        <v>7079</v>
      </c>
      <c r="D5529" s="303">
        <v>5.8</v>
      </c>
    </row>
    <row r="5530" spans="1:4">
      <c r="A5530" s="288" t="s">
        <v>16961</v>
      </c>
      <c r="B5530" s="289" t="s">
        <v>16962</v>
      </c>
      <c r="C5530" s="288" t="s">
        <v>54</v>
      </c>
      <c r="D5530" s="303">
        <v>0.99</v>
      </c>
    </row>
    <row r="5531" spans="1:4" ht="18">
      <c r="A5531" s="288" t="s">
        <v>16963</v>
      </c>
      <c r="B5531" s="289" t="s">
        <v>16964</v>
      </c>
      <c r="C5531" s="288" t="s">
        <v>54</v>
      </c>
      <c r="D5531" s="303">
        <v>3.7</v>
      </c>
    </row>
    <row r="5532" spans="1:4" ht="18">
      <c r="A5532" s="288" t="s">
        <v>16965</v>
      </c>
      <c r="B5532" s="289" t="s">
        <v>16966</v>
      </c>
      <c r="C5532" s="288" t="s">
        <v>54</v>
      </c>
      <c r="D5532" s="303">
        <v>6.96</v>
      </c>
    </row>
    <row r="5533" spans="1:4" ht="18">
      <c r="A5533" s="288" t="s">
        <v>16967</v>
      </c>
      <c r="B5533" s="289" t="s">
        <v>16968</v>
      </c>
      <c r="C5533" s="288" t="s">
        <v>54</v>
      </c>
      <c r="D5533" s="303">
        <v>10.65</v>
      </c>
    </row>
    <row r="5534" spans="1:4" ht="18">
      <c r="A5534" s="288" t="s">
        <v>16969</v>
      </c>
      <c r="B5534" s="289" t="s">
        <v>16970</v>
      </c>
      <c r="C5534" s="288" t="s">
        <v>54</v>
      </c>
      <c r="D5534" s="303">
        <v>21.46</v>
      </c>
    </row>
    <row r="5535" spans="1:4" ht="18">
      <c r="A5535" s="288" t="s">
        <v>16971</v>
      </c>
      <c r="B5535" s="289" t="s">
        <v>16972</v>
      </c>
      <c r="C5535" s="288" t="s">
        <v>54</v>
      </c>
      <c r="D5535" s="303">
        <v>37.82</v>
      </c>
    </row>
    <row r="5536" spans="1:4" ht="18">
      <c r="A5536" s="288" t="s">
        <v>16973</v>
      </c>
      <c r="B5536" s="289" t="s">
        <v>16974</v>
      </c>
      <c r="C5536" s="288" t="s">
        <v>54</v>
      </c>
      <c r="D5536" s="303">
        <v>7.27</v>
      </c>
    </row>
    <row r="5537" spans="1:4">
      <c r="A5537" s="287" t="s">
        <v>16975</v>
      </c>
      <c r="B5537" s="287"/>
      <c r="C5537" s="287"/>
      <c r="D5537" s="296" t="s">
        <v>28729</v>
      </c>
    </row>
    <row r="5538" spans="1:4" ht="18">
      <c r="A5538" s="288" t="s">
        <v>16976</v>
      </c>
      <c r="B5538" s="289" t="s">
        <v>16977</v>
      </c>
      <c r="C5538" s="288" t="s">
        <v>7079</v>
      </c>
      <c r="D5538" s="303">
        <v>307.61</v>
      </c>
    </row>
    <row r="5539" spans="1:4" ht="27">
      <c r="A5539" s="288" t="s">
        <v>16978</v>
      </c>
      <c r="B5539" s="289" t="s">
        <v>16979</v>
      </c>
      <c r="C5539" s="288" t="s">
        <v>7079</v>
      </c>
      <c r="D5539" s="303">
        <v>826.54</v>
      </c>
    </row>
    <row r="5540" spans="1:4" ht="27">
      <c r="A5540" s="288" t="s">
        <v>16980</v>
      </c>
      <c r="B5540" s="289" t="s">
        <v>16981</v>
      </c>
      <c r="C5540" s="288" t="s">
        <v>7079</v>
      </c>
      <c r="D5540" s="303">
        <v>910.63</v>
      </c>
    </row>
    <row r="5541" spans="1:4" ht="18">
      <c r="A5541" s="288" t="s">
        <v>16982</v>
      </c>
      <c r="B5541" s="289" t="s">
        <v>16983</v>
      </c>
      <c r="C5541" s="288" t="s">
        <v>7079</v>
      </c>
      <c r="D5541" s="303">
        <v>899.3</v>
      </c>
    </row>
    <row r="5542" spans="1:4" ht="18">
      <c r="A5542" s="287" t="s">
        <v>16984</v>
      </c>
      <c r="B5542" s="287"/>
      <c r="C5542" s="287"/>
      <c r="D5542" s="296" t="s">
        <v>28729</v>
      </c>
    </row>
    <row r="5543" spans="1:4" ht="18">
      <c r="A5543" s="288" t="s">
        <v>16985</v>
      </c>
      <c r="B5543" s="289" t="s">
        <v>16986</v>
      </c>
      <c r="C5543" s="288" t="s">
        <v>7079</v>
      </c>
      <c r="D5543" s="303">
        <v>16.850000000000001</v>
      </c>
    </row>
    <row r="5544" spans="1:4" ht="18">
      <c r="A5544" s="288" t="s">
        <v>16987</v>
      </c>
      <c r="B5544" s="289" t="s">
        <v>16988</v>
      </c>
      <c r="C5544" s="288" t="s">
        <v>7079</v>
      </c>
      <c r="D5544" s="303">
        <v>16.850000000000001</v>
      </c>
    </row>
    <row r="5545" spans="1:4" ht="18">
      <c r="A5545" s="288" t="s">
        <v>16989</v>
      </c>
      <c r="B5545" s="289" t="s">
        <v>16990</v>
      </c>
      <c r="C5545" s="288" t="s">
        <v>7079</v>
      </c>
      <c r="D5545" s="303">
        <v>618</v>
      </c>
    </row>
    <row r="5546" spans="1:4" ht="18">
      <c r="A5546" s="288" t="s">
        <v>16991</v>
      </c>
      <c r="B5546" s="289" t="s">
        <v>16992</v>
      </c>
      <c r="C5546" s="288" t="s">
        <v>7079</v>
      </c>
      <c r="D5546" s="303">
        <v>618</v>
      </c>
    </row>
    <row r="5547" spans="1:4" ht="18">
      <c r="A5547" s="288" t="s">
        <v>16993</v>
      </c>
      <c r="B5547" s="289" t="s">
        <v>16994</v>
      </c>
      <c r="C5547" s="288" t="s">
        <v>7079</v>
      </c>
      <c r="D5547" s="303">
        <v>618</v>
      </c>
    </row>
    <row r="5548" spans="1:4" ht="18">
      <c r="A5548" s="288" t="s">
        <v>16995</v>
      </c>
      <c r="B5548" s="289" t="s">
        <v>16996</v>
      </c>
      <c r="C5548" s="288" t="s">
        <v>7079</v>
      </c>
      <c r="D5548" s="303">
        <v>864</v>
      </c>
    </row>
    <row r="5549" spans="1:4" ht="18">
      <c r="A5549" s="288" t="s">
        <v>16997</v>
      </c>
      <c r="B5549" s="289" t="s">
        <v>16998</v>
      </c>
      <c r="C5549" s="288" t="s">
        <v>7079</v>
      </c>
      <c r="D5549" s="303">
        <v>864</v>
      </c>
    </row>
    <row r="5550" spans="1:4" ht="18">
      <c r="A5550" s="288" t="s">
        <v>16999</v>
      </c>
      <c r="B5550" s="289" t="s">
        <v>17000</v>
      </c>
      <c r="C5550" s="288" t="s">
        <v>7079</v>
      </c>
      <c r="D5550" s="303">
        <v>864</v>
      </c>
    </row>
    <row r="5551" spans="1:4" ht="18">
      <c r="A5551" s="288" t="s">
        <v>17001</v>
      </c>
      <c r="B5551" s="289" t="s">
        <v>17002</v>
      </c>
      <c r="C5551" s="288" t="s">
        <v>7079</v>
      </c>
      <c r="D5551" s="303">
        <v>439</v>
      </c>
    </row>
    <row r="5552" spans="1:4" ht="18">
      <c r="A5552" s="288" t="s">
        <v>17003</v>
      </c>
      <c r="B5552" s="289" t="s">
        <v>17004</v>
      </c>
      <c r="C5552" s="288" t="s">
        <v>7079</v>
      </c>
      <c r="D5552" s="303">
        <v>588</v>
      </c>
    </row>
    <row r="5553" spans="1:4" ht="27">
      <c r="A5553" s="288" t="s">
        <v>17005</v>
      </c>
      <c r="B5553" s="289" t="s">
        <v>17006</v>
      </c>
      <c r="C5553" s="288" t="s">
        <v>7079</v>
      </c>
      <c r="D5553" s="303">
        <v>124</v>
      </c>
    </row>
    <row r="5554" spans="1:4">
      <c r="A5554" s="288" t="s">
        <v>17007</v>
      </c>
      <c r="B5554" s="289" t="s">
        <v>17008</v>
      </c>
      <c r="C5554" s="288" t="s">
        <v>7079</v>
      </c>
      <c r="D5554" s="303">
        <v>87.23</v>
      </c>
    </row>
    <row r="5555" spans="1:4" ht="18">
      <c r="A5555" s="287" t="s">
        <v>17009</v>
      </c>
      <c r="B5555" s="287"/>
      <c r="C5555" s="287"/>
      <c r="D5555" s="296" t="s">
        <v>28729</v>
      </c>
    </row>
    <row r="5556" spans="1:4" ht="117">
      <c r="A5556" s="288" t="s">
        <v>17010</v>
      </c>
      <c r="B5556" s="289" t="s">
        <v>17011</v>
      </c>
      <c r="C5556" s="288" t="s">
        <v>11249</v>
      </c>
      <c r="D5556" s="303">
        <v>19954</v>
      </c>
    </row>
    <row r="5557" spans="1:4" ht="126">
      <c r="A5557" s="288" t="s">
        <v>17012</v>
      </c>
      <c r="B5557" s="289" t="s">
        <v>17013</v>
      </c>
      <c r="C5557" s="288" t="s">
        <v>11249</v>
      </c>
      <c r="D5557" s="303">
        <v>19954</v>
      </c>
    </row>
    <row r="5558" spans="1:4" ht="126">
      <c r="A5558" s="288" t="s">
        <v>17014</v>
      </c>
      <c r="B5558" s="289" t="s">
        <v>17015</v>
      </c>
      <c r="C5558" s="288" t="s">
        <v>11249</v>
      </c>
      <c r="D5558" s="303">
        <v>23470</v>
      </c>
    </row>
    <row r="5559" spans="1:4" ht="126">
      <c r="A5559" s="288" t="s">
        <v>17016</v>
      </c>
      <c r="B5559" s="289" t="s">
        <v>17017</v>
      </c>
      <c r="C5559" s="288" t="s">
        <v>11249</v>
      </c>
      <c r="D5559" s="303">
        <v>23470</v>
      </c>
    </row>
    <row r="5560" spans="1:4" ht="126">
      <c r="A5560" s="288" t="s">
        <v>17018</v>
      </c>
      <c r="B5560" s="289" t="s">
        <v>17019</v>
      </c>
      <c r="C5560" s="288" t="s">
        <v>11249</v>
      </c>
      <c r="D5560" s="303">
        <v>29013.279999999999</v>
      </c>
    </row>
    <row r="5561" spans="1:4" ht="45">
      <c r="A5561" s="288" t="s">
        <v>17020</v>
      </c>
      <c r="B5561" s="289" t="s">
        <v>17021</v>
      </c>
      <c r="C5561" s="288" t="s">
        <v>7182</v>
      </c>
      <c r="D5561" s="303">
        <v>10000</v>
      </c>
    </row>
    <row r="5562" spans="1:4">
      <c r="A5562" s="290"/>
      <c r="B5562" s="290"/>
      <c r="C5562" s="290"/>
      <c r="D5562" s="298"/>
    </row>
    <row r="5563" spans="1:4">
      <c r="A5563" s="287" t="s">
        <v>17022</v>
      </c>
      <c r="B5563" s="287"/>
      <c r="C5563" s="287"/>
      <c r="D5563" s="296" t="s">
        <v>28729</v>
      </c>
    </row>
    <row r="5564" spans="1:4" ht="18">
      <c r="A5564" s="288" t="s">
        <v>17023</v>
      </c>
      <c r="B5564" s="289" t="s">
        <v>17024</v>
      </c>
      <c r="C5564" s="288" t="s">
        <v>7079</v>
      </c>
      <c r="D5564" s="303">
        <v>3933.86</v>
      </c>
    </row>
    <row r="5565" spans="1:4" ht="18">
      <c r="A5565" s="288" t="s">
        <v>17025</v>
      </c>
      <c r="B5565" s="289" t="s">
        <v>17026</v>
      </c>
      <c r="C5565" s="288" t="s">
        <v>7079</v>
      </c>
      <c r="D5565" s="303">
        <v>1908.46</v>
      </c>
    </row>
    <row r="5566" spans="1:4" ht="18">
      <c r="A5566" s="288" t="s">
        <v>17027</v>
      </c>
      <c r="B5566" s="289" t="s">
        <v>17028</v>
      </c>
      <c r="C5566" s="288" t="s">
        <v>7079</v>
      </c>
      <c r="D5566" s="303">
        <v>2457.75</v>
      </c>
    </row>
    <row r="5567" spans="1:4" ht="18">
      <c r="A5567" s="288" t="s">
        <v>17029</v>
      </c>
      <c r="B5567" s="289" t="s">
        <v>17030</v>
      </c>
      <c r="C5567" s="288" t="s">
        <v>7079</v>
      </c>
      <c r="D5567" s="303">
        <v>4543.9399999999996</v>
      </c>
    </row>
    <row r="5568" spans="1:4" ht="18">
      <c r="A5568" s="288" t="s">
        <v>17031</v>
      </c>
      <c r="B5568" s="289" t="s">
        <v>17032</v>
      </c>
      <c r="C5568" s="288" t="s">
        <v>7079</v>
      </c>
      <c r="D5568" s="303">
        <v>297.22000000000003</v>
      </c>
    </row>
    <row r="5569" spans="1:4" ht="18">
      <c r="A5569" s="288" t="s">
        <v>17033</v>
      </c>
      <c r="B5569" s="289" t="s">
        <v>17034</v>
      </c>
      <c r="C5569" s="288" t="s">
        <v>7079</v>
      </c>
      <c r="D5569" s="303">
        <v>235.46</v>
      </c>
    </row>
    <row r="5570" spans="1:4" ht="18">
      <c r="A5570" s="288" t="s">
        <v>17035</v>
      </c>
      <c r="B5570" s="289" t="s">
        <v>17036</v>
      </c>
      <c r="C5570" s="288" t="s">
        <v>7079</v>
      </c>
      <c r="D5570" s="303">
        <v>340.89</v>
      </c>
    </row>
    <row r="5571" spans="1:4" ht="18">
      <c r="A5571" s="288" t="s">
        <v>17037</v>
      </c>
      <c r="B5571" s="289" t="s">
        <v>17038</v>
      </c>
      <c r="C5571" s="288" t="s">
        <v>7079</v>
      </c>
      <c r="D5571" s="303">
        <v>1904.4</v>
      </c>
    </row>
    <row r="5572" spans="1:4" ht="45">
      <c r="A5572" s="288" t="s">
        <v>17039</v>
      </c>
      <c r="B5572" s="289" t="s">
        <v>17040</v>
      </c>
      <c r="C5572" s="288" t="s">
        <v>7079</v>
      </c>
      <c r="D5572" s="303">
        <v>3110.35</v>
      </c>
    </row>
    <row r="5573" spans="1:4" ht="45">
      <c r="A5573" s="288" t="s">
        <v>17041</v>
      </c>
      <c r="B5573" s="289" t="s">
        <v>17042</v>
      </c>
      <c r="C5573" s="288" t="s">
        <v>7079</v>
      </c>
      <c r="D5573" s="303">
        <v>5000</v>
      </c>
    </row>
    <row r="5574" spans="1:4" ht="36">
      <c r="A5574" s="288" t="s">
        <v>17043</v>
      </c>
      <c r="B5574" s="289" t="s">
        <v>17044</v>
      </c>
      <c r="C5574" s="288" t="s">
        <v>7079</v>
      </c>
      <c r="D5574" s="303">
        <v>3900</v>
      </c>
    </row>
    <row r="5575" spans="1:4" ht="36">
      <c r="A5575" s="288" t="s">
        <v>17045</v>
      </c>
      <c r="B5575" s="289" t="s">
        <v>17046</v>
      </c>
      <c r="C5575" s="288" t="s">
        <v>7079</v>
      </c>
      <c r="D5575" s="303">
        <v>3980</v>
      </c>
    </row>
    <row r="5576" spans="1:4" ht="54">
      <c r="A5576" s="288" t="s">
        <v>17047</v>
      </c>
      <c r="B5576" s="289" t="s">
        <v>17048</v>
      </c>
      <c r="C5576" s="288" t="s">
        <v>7079</v>
      </c>
      <c r="D5576" s="303">
        <v>4000</v>
      </c>
    </row>
    <row r="5577" spans="1:4" ht="63">
      <c r="A5577" s="288" t="s">
        <v>17049</v>
      </c>
      <c r="B5577" s="289" t="s">
        <v>17050</v>
      </c>
      <c r="C5577" s="288" t="s">
        <v>7079</v>
      </c>
      <c r="D5577" s="303">
        <v>3800</v>
      </c>
    </row>
    <row r="5578" spans="1:4" ht="45">
      <c r="A5578" s="288" t="s">
        <v>17051</v>
      </c>
      <c r="B5578" s="289" t="s">
        <v>26001</v>
      </c>
      <c r="C5578" s="288" t="s">
        <v>7079</v>
      </c>
      <c r="D5578" s="303">
        <v>2842</v>
      </c>
    </row>
    <row r="5579" spans="1:4" ht="45">
      <c r="A5579" s="288" t="s">
        <v>17052</v>
      </c>
      <c r="B5579" s="289" t="s">
        <v>26002</v>
      </c>
      <c r="C5579" s="288" t="s">
        <v>7079</v>
      </c>
      <c r="D5579" s="303">
        <v>1529.86</v>
      </c>
    </row>
    <row r="5580" spans="1:4" ht="45">
      <c r="A5580" s="288" t="s">
        <v>17053</v>
      </c>
      <c r="B5580" s="289" t="s">
        <v>17054</v>
      </c>
      <c r="C5580" s="288" t="s">
        <v>7079</v>
      </c>
      <c r="D5580" s="303">
        <v>2842</v>
      </c>
    </row>
    <row r="5581" spans="1:4" ht="45">
      <c r="A5581" s="288" t="s">
        <v>17055</v>
      </c>
      <c r="B5581" s="289" t="s">
        <v>17056</v>
      </c>
      <c r="C5581" s="288" t="s">
        <v>7079</v>
      </c>
      <c r="D5581" s="303">
        <v>1729.17</v>
      </c>
    </row>
    <row r="5582" spans="1:4" ht="45">
      <c r="A5582" s="288" t="s">
        <v>17057</v>
      </c>
      <c r="B5582" s="289" t="s">
        <v>26003</v>
      </c>
      <c r="C5582" s="288" t="s">
        <v>7079</v>
      </c>
      <c r="D5582" s="303">
        <v>2842</v>
      </c>
    </row>
    <row r="5583" spans="1:4" ht="45">
      <c r="A5583" s="288" t="s">
        <v>17058</v>
      </c>
      <c r="B5583" s="289" t="s">
        <v>17059</v>
      </c>
      <c r="C5583" s="288" t="s">
        <v>7079</v>
      </c>
      <c r="D5583" s="303">
        <v>2178.0100000000002</v>
      </c>
    </row>
    <row r="5584" spans="1:4" ht="45">
      <c r="A5584" s="288" t="s">
        <v>17060</v>
      </c>
      <c r="B5584" s="289" t="s">
        <v>17061</v>
      </c>
      <c r="C5584" s="288" t="s">
        <v>7079</v>
      </c>
      <c r="D5584" s="303">
        <v>3900</v>
      </c>
    </row>
    <row r="5585" spans="1:4" ht="36">
      <c r="A5585" s="288" t="s">
        <v>17062</v>
      </c>
      <c r="B5585" s="289" t="s">
        <v>17063</v>
      </c>
      <c r="C5585" s="288" t="s">
        <v>7079</v>
      </c>
      <c r="D5585" s="303">
        <v>2705.75</v>
      </c>
    </row>
    <row r="5586" spans="1:4" ht="18">
      <c r="A5586" s="288" t="s">
        <v>17064</v>
      </c>
      <c r="B5586" s="289" t="s">
        <v>17065</v>
      </c>
      <c r="C5586" s="288" t="s">
        <v>7079</v>
      </c>
      <c r="D5586" s="303">
        <v>6085.74</v>
      </c>
    </row>
    <row r="5587" spans="1:4" ht="18">
      <c r="A5587" s="287" t="s">
        <v>17066</v>
      </c>
      <c r="B5587" s="287"/>
      <c r="C5587" s="287"/>
      <c r="D5587" s="296" t="s">
        <v>28729</v>
      </c>
    </row>
    <row r="5588" spans="1:4" ht="18">
      <c r="A5588" s="288" t="s">
        <v>17067</v>
      </c>
      <c r="B5588" s="289" t="s">
        <v>17068</v>
      </c>
      <c r="C5588" s="288" t="s">
        <v>7079</v>
      </c>
      <c r="D5588" s="303">
        <v>74667</v>
      </c>
    </row>
    <row r="5589" spans="1:4" ht="18">
      <c r="A5589" s="288" t="s">
        <v>17069</v>
      </c>
      <c r="B5589" s="289" t="s">
        <v>17070</v>
      </c>
      <c r="C5589" s="288" t="s">
        <v>7079</v>
      </c>
      <c r="D5589" s="303">
        <v>74549.13</v>
      </c>
    </row>
    <row r="5590" spans="1:4" ht="18">
      <c r="A5590" s="288" t="s">
        <v>17071</v>
      </c>
      <c r="B5590" s="289" t="s">
        <v>17072</v>
      </c>
      <c r="C5590" s="288" t="s">
        <v>7079</v>
      </c>
      <c r="D5590" s="303">
        <v>108059.05</v>
      </c>
    </row>
    <row r="5591" spans="1:4" ht="18">
      <c r="A5591" s="288" t="s">
        <v>17073</v>
      </c>
      <c r="B5591" s="289" t="s">
        <v>17074</v>
      </c>
      <c r="C5591" s="288" t="s">
        <v>7079</v>
      </c>
      <c r="D5591" s="303">
        <v>139715.64000000001</v>
      </c>
    </row>
    <row r="5592" spans="1:4" ht="18">
      <c r="A5592" s="288" t="s">
        <v>17075</v>
      </c>
      <c r="B5592" s="289" t="s">
        <v>17076</v>
      </c>
      <c r="C5592" s="288" t="s">
        <v>7079</v>
      </c>
      <c r="D5592" s="303">
        <v>104111.49</v>
      </c>
    </row>
    <row r="5593" spans="1:4" ht="27">
      <c r="A5593" s="288" t="s">
        <v>17077</v>
      </c>
      <c r="B5593" s="289" t="s">
        <v>17078</v>
      </c>
      <c r="C5593" s="288" t="s">
        <v>7079</v>
      </c>
      <c r="D5593" s="303">
        <v>45455.15</v>
      </c>
    </row>
    <row r="5594" spans="1:4" ht="27">
      <c r="A5594" s="288" t="s">
        <v>17079</v>
      </c>
      <c r="B5594" s="289" t="s">
        <v>17080</v>
      </c>
      <c r="C5594" s="288" t="s">
        <v>7079</v>
      </c>
      <c r="D5594" s="303">
        <v>58240.58</v>
      </c>
    </row>
    <row r="5595" spans="1:4" ht="27">
      <c r="A5595" s="288" t="s">
        <v>17081</v>
      </c>
      <c r="B5595" s="289" t="s">
        <v>17082</v>
      </c>
      <c r="C5595" s="288" t="s">
        <v>7079</v>
      </c>
      <c r="D5595" s="303">
        <v>50852.56</v>
      </c>
    </row>
    <row r="5596" spans="1:4" ht="27">
      <c r="A5596" s="288" t="s">
        <v>17083</v>
      </c>
      <c r="B5596" s="289" t="s">
        <v>17084</v>
      </c>
      <c r="C5596" s="288" t="s">
        <v>7079</v>
      </c>
      <c r="D5596" s="303">
        <v>63338.67</v>
      </c>
    </row>
    <row r="5597" spans="1:4" ht="27">
      <c r="A5597" s="287" t="s">
        <v>17085</v>
      </c>
      <c r="B5597" s="287"/>
      <c r="C5597" s="287"/>
      <c r="D5597" s="296" t="s">
        <v>28729</v>
      </c>
    </row>
    <row r="5598" spans="1:4" ht="18">
      <c r="A5598" s="288" t="s">
        <v>17086</v>
      </c>
      <c r="B5598" s="289" t="s">
        <v>17087</v>
      </c>
      <c r="C5598" s="288" t="s">
        <v>7079</v>
      </c>
      <c r="D5598" s="303">
        <v>51.83</v>
      </c>
    </row>
    <row r="5599" spans="1:4" ht="18">
      <c r="A5599" s="288" t="s">
        <v>17088</v>
      </c>
      <c r="B5599" s="289" t="s">
        <v>17089</v>
      </c>
      <c r="C5599" s="288" t="s">
        <v>7079</v>
      </c>
      <c r="D5599" s="303">
        <v>233.15</v>
      </c>
    </row>
    <row r="5600" spans="1:4" ht="18">
      <c r="A5600" s="288" t="s">
        <v>17090</v>
      </c>
      <c r="B5600" s="289" t="s">
        <v>17091</v>
      </c>
      <c r="C5600" s="288" t="s">
        <v>7079</v>
      </c>
      <c r="D5600" s="303">
        <v>305</v>
      </c>
    </row>
    <row r="5601" spans="1:4" ht="36">
      <c r="A5601" s="288" t="s">
        <v>17092</v>
      </c>
      <c r="B5601" s="289" t="s">
        <v>17093</v>
      </c>
      <c r="C5601" s="288" t="s">
        <v>7079</v>
      </c>
      <c r="D5601" s="303">
        <v>226.19</v>
      </c>
    </row>
    <row r="5602" spans="1:4" ht="36">
      <c r="A5602" s="288" t="s">
        <v>17094</v>
      </c>
      <c r="B5602" s="289" t="s">
        <v>17095</v>
      </c>
      <c r="C5602" s="288" t="s">
        <v>7079</v>
      </c>
      <c r="D5602" s="303">
        <v>238.07</v>
      </c>
    </row>
    <row r="5603" spans="1:4" ht="18">
      <c r="A5603" s="288" t="s">
        <v>17096</v>
      </c>
      <c r="B5603" s="289" t="s">
        <v>17097</v>
      </c>
      <c r="C5603" s="288" t="s">
        <v>7079</v>
      </c>
      <c r="D5603" s="303">
        <v>603.15</v>
      </c>
    </row>
    <row r="5604" spans="1:4" ht="18">
      <c r="A5604" s="288" t="s">
        <v>17098</v>
      </c>
      <c r="B5604" s="289" t="s">
        <v>17099</v>
      </c>
      <c r="C5604" s="288" t="s">
        <v>7079</v>
      </c>
      <c r="D5604" s="303">
        <v>60.8</v>
      </c>
    </row>
    <row r="5605" spans="1:4" ht="18">
      <c r="A5605" s="288" t="s">
        <v>17100</v>
      </c>
      <c r="B5605" s="289" t="s">
        <v>17101</v>
      </c>
      <c r="C5605" s="288" t="s">
        <v>7079</v>
      </c>
      <c r="D5605" s="303">
        <v>117.09</v>
      </c>
    </row>
    <row r="5606" spans="1:4" ht="18">
      <c r="A5606" s="288" t="s">
        <v>17102</v>
      </c>
      <c r="B5606" s="289" t="s">
        <v>17103</v>
      </c>
      <c r="C5606" s="288" t="s">
        <v>7079</v>
      </c>
      <c r="D5606" s="303">
        <v>1186.98</v>
      </c>
    </row>
    <row r="5607" spans="1:4" ht="18">
      <c r="A5607" s="288" t="s">
        <v>17104</v>
      </c>
      <c r="B5607" s="289" t="s">
        <v>17105</v>
      </c>
      <c r="C5607" s="288" t="s">
        <v>7079</v>
      </c>
      <c r="D5607" s="303">
        <v>799.82</v>
      </c>
    </row>
    <row r="5608" spans="1:4">
      <c r="A5608" s="288" t="s">
        <v>17106</v>
      </c>
      <c r="B5608" s="289" t="s">
        <v>17107</v>
      </c>
      <c r="C5608" s="288" t="s">
        <v>7079</v>
      </c>
      <c r="D5608" s="303">
        <v>30.65</v>
      </c>
    </row>
    <row r="5609" spans="1:4">
      <c r="A5609" s="288" t="s">
        <v>17108</v>
      </c>
      <c r="B5609" s="289" t="s">
        <v>17109</v>
      </c>
      <c r="C5609" s="288" t="s">
        <v>7079</v>
      </c>
      <c r="D5609" s="303">
        <v>185.2</v>
      </c>
    </row>
    <row r="5610" spans="1:4">
      <c r="A5610" s="288" t="s">
        <v>17110</v>
      </c>
      <c r="B5610" s="289" t="s">
        <v>17111</v>
      </c>
      <c r="C5610" s="288" t="s">
        <v>7079</v>
      </c>
      <c r="D5610" s="303">
        <v>286.43</v>
      </c>
    </row>
    <row r="5611" spans="1:4" ht="27">
      <c r="A5611" s="288" t="s">
        <v>17112</v>
      </c>
      <c r="B5611" s="289" t="s">
        <v>17113</v>
      </c>
      <c r="C5611" s="288" t="s">
        <v>7079</v>
      </c>
      <c r="D5611" s="303">
        <v>433.94</v>
      </c>
    </row>
    <row r="5612" spans="1:4">
      <c r="A5612" s="288" t="s">
        <v>17114</v>
      </c>
      <c r="B5612" s="289" t="s">
        <v>17115</v>
      </c>
      <c r="C5612" s="288" t="s">
        <v>7079</v>
      </c>
      <c r="D5612" s="303">
        <v>1056.3699999999999</v>
      </c>
    </row>
    <row r="5613" spans="1:4" ht="27">
      <c r="A5613" s="288" t="s">
        <v>17116</v>
      </c>
      <c r="B5613" s="289" t="s">
        <v>17117</v>
      </c>
      <c r="C5613" s="288" t="s">
        <v>7079</v>
      </c>
      <c r="D5613" s="303">
        <v>76.03</v>
      </c>
    </row>
    <row r="5614" spans="1:4" ht="18">
      <c r="A5614" s="288" t="s">
        <v>17118</v>
      </c>
      <c r="B5614" s="289" t="s">
        <v>17119</v>
      </c>
      <c r="C5614" s="288" t="s">
        <v>7079</v>
      </c>
      <c r="D5614" s="303">
        <v>116.49</v>
      </c>
    </row>
    <row r="5615" spans="1:4">
      <c r="A5615" s="287" t="s">
        <v>17120</v>
      </c>
      <c r="B5615" s="287"/>
      <c r="C5615" s="287"/>
      <c r="D5615" s="296" t="s">
        <v>28729</v>
      </c>
    </row>
    <row r="5616" spans="1:4" ht="18">
      <c r="A5616" s="288" t="s">
        <v>17121</v>
      </c>
      <c r="B5616" s="289" t="s">
        <v>17122</v>
      </c>
      <c r="C5616" s="288" t="s">
        <v>12467</v>
      </c>
      <c r="D5616" s="303">
        <v>6</v>
      </c>
    </row>
    <row r="5617" spans="1:4" ht="18">
      <c r="A5617" s="288" t="s">
        <v>17123</v>
      </c>
      <c r="B5617" s="289" t="s">
        <v>17124</v>
      </c>
      <c r="C5617" s="288" t="s">
        <v>12467</v>
      </c>
      <c r="D5617" s="303">
        <v>12</v>
      </c>
    </row>
    <row r="5618" spans="1:4">
      <c r="A5618" s="290"/>
      <c r="B5618" s="290"/>
      <c r="C5618" s="290"/>
      <c r="D5618" s="298"/>
    </row>
    <row r="5619" spans="1:4">
      <c r="A5619" s="287" t="s">
        <v>17125</v>
      </c>
      <c r="B5619" s="287"/>
      <c r="C5619" s="287"/>
      <c r="D5619" s="296" t="s">
        <v>28729</v>
      </c>
    </row>
    <row r="5620" spans="1:4" ht="27">
      <c r="A5620" s="288" t="s">
        <v>17126</v>
      </c>
      <c r="B5620" s="289" t="s">
        <v>17127</v>
      </c>
      <c r="C5620" s="288" t="s">
        <v>38</v>
      </c>
      <c r="D5620" s="303">
        <v>360</v>
      </c>
    </row>
    <row r="5621" spans="1:4" ht="27">
      <c r="A5621" s="288" t="s">
        <v>17128</v>
      </c>
      <c r="B5621" s="289" t="s">
        <v>17129</v>
      </c>
      <c r="C5621" s="288" t="s">
        <v>38</v>
      </c>
      <c r="D5621" s="303">
        <v>419</v>
      </c>
    </row>
    <row r="5622" spans="1:4" ht="27">
      <c r="A5622" s="288" t="s">
        <v>17130</v>
      </c>
      <c r="B5622" s="289" t="s">
        <v>17131</v>
      </c>
      <c r="C5622" s="288" t="s">
        <v>38</v>
      </c>
      <c r="D5622" s="303">
        <v>526.57000000000005</v>
      </c>
    </row>
    <row r="5623" spans="1:4" ht="36">
      <c r="A5623" s="288" t="s">
        <v>17132</v>
      </c>
      <c r="B5623" s="289" t="s">
        <v>17133</v>
      </c>
      <c r="C5623" s="288" t="s">
        <v>38</v>
      </c>
      <c r="D5623" s="303">
        <v>580</v>
      </c>
    </row>
    <row r="5624" spans="1:4" ht="27">
      <c r="A5624" s="288" t="s">
        <v>17134</v>
      </c>
      <c r="B5624" s="289" t="s">
        <v>17135</v>
      </c>
      <c r="C5624" s="288" t="s">
        <v>38</v>
      </c>
      <c r="D5624" s="303">
        <v>677.32</v>
      </c>
    </row>
    <row r="5625" spans="1:4" ht="27">
      <c r="A5625" s="288" t="s">
        <v>17136</v>
      </c>
      <c r="B5625" s="289" t="s">
        <v>17137</v>
      </c>
      <c r="C5625" s="288" t="s">
        <v>38</v>
      </c>
      <c r="D5625" s="303">
        <v>730.13</v>
      </c>
    </row>
    <row r="5626" spans="1:4" ht="36">
      <c r="A5626" s="288" t="s">
        <v>17138</v>
      </c>
      <c r="B5626" s="289" t="s">
        <v>17139</v>
      </c>
      <c r="C5626" s="288" t="s">
        <v>38</v>
      </c>
      <c r="D5626" s="303">
        <v>801.36</v>
      </c>
    </row>
    <row r="5627" spans="1:4" ht="27">
      <c r="A5627" s="288" t="s">
        <v>17140</v>
      </c>
      <c r="B5627" s="289" t="s">
        <v>17141</v>
      </c>
      <c r="C5627" s="288" t="s">
        <v>38</v>
      </c>
      <c r="D5627" s="303">
        <v>951.55</v>
      </c>
    </row>
    <row r="5628" spans="1:4" ht="18">
      <c r="A5628" s="287" t="s">
        <v>17142</v>
      </c>
      <c r="B5628" s="287"/>
      <c r="C5628" s="287"/>
      <c r="D5628" s="296" t="s">
        <v>28729</v>
      </c>
    </row>
    <row r="5629" spans="1:4" ht="18">
      <c r="A5629" s="288" t="s">
        <v>17143</v>
      </c>
      <c r="B5629" s="289" t="s">
        <v>17144</v>
      </c>
      <c r="C5629" s="288" t="s">
        <v>7079</v>
      </c>
      <c r="D5629" s="303">
        <v>65.36</v>
      </c>
    </row>
    <row r="5630" spans="1:4">
      <c r="A5630" s="287" t="s">
        <v>17145</v>
      </c>
      <c r="B5630" s="287"/>
      <c r="C5630" s="287"/>
      <c r="D5630" s="296" t="s">
        <v>28729</v>
      </c>
    </row>
    <row r="5631" spans="1:4" ht="27">
      <c r="A5631" s="288" t="s">
        <v>17146</v>
      </c>
      <c r="B5631" s="289" t="s">
        <v>17147</v>
      </c>
      <c r="C5631" s="288" t="s">
        <v>38</v>
      </c>
      <c r="D5631" s="303">
        <v>408</v>
      </c>
    </row>
    <row r="5632" spans="1:4" ht="27">
      <c r="A5632" s="287" t="s">
        <v>17148</v>
      </c>
      <c r="B5632" s="287"/>
      <c r="C5632" s="287"/>
      <c r="D5632" s="296" t="s">
        <v>28729</v>
      </c>
    </row>
    <row r="5633" spans="1:4" ht="18">
      <c r="A5633" s="288" t="s">
        <v>17149</v>
      </c>
      <c r="B5633" s="289" t="s">
        <v>17150</v>
      </c>
      <c r="C5633" s="288" t="s">
        <v>7079</v>
      </c>
      <c r="D5633" s="303">
        <v>40.81</v>
      </c>
    </row>
    <row r="5634" spans="1:4">
      <c r="A5634" s="288" t="s">
        <v>17151</v>
      </c>
      <c r="B5634" s="289" t="s">
        <v>17152</v>
      </c>
      <c r="C5634" s="288" t="s">
        <v>7079</v>
      </c>
      <c r="D5634" s="303">
        <v>81.62</v>
      </c>
    </row>
    <row r="5635" spans="1:4">
      <c r="A5635" s="288" t="s">
        <v>17153</v>
      </c>
      <c r="B5635" s="289" t="s">
        <v>17154</v>
      </c>
      <c r="C5635" s="288" t="s">
        <v>7079</v>
      </c>
      <c r="D5635" s="303">
        <v>202.65</v>
      </c>
    </row>
    <row r="5636" spans="1:4">
      <c r="A5636" s="288" t="s">
        <v>17155</v>
      </c>
      <c r="B5636" s="289" t="s">
        <v>17156</v>
      </c>
      <c r="C5636" s="288" t="s">
        <v>38</v>
      </c>
      <c r="D5636" s="303">
        <v>110.27</v>
      </c>
    </row>
    <row r="5637" spans="1:4" ht="18">
      <c r="A5637" s="287" t="s">
        <v>17157</v>
      </c>
      <c r="B5637" s="287"/>
      <c r="C5637" s="287"/>
      <c r="D5637" s="296" t="s">
        <v>28729</v>
      </c>
    </row>
    <row r="5638" spans="1:4" ht="18">
      <c r="A5638" s="288" t="s">
        <v>17158</v>
      </c>
      <c r="B5638" s="289" t="s">
        <v>17159</v>
      </c>
      <c r="C5638" s="288" t="s">
        <v>17160</v>
      </c>
      <c r="D5638" s="303">
        <v>1625.64</v>
      </c>
    </row>
    <row r="5639" spans="1:4" ht="27">
      <c r="A5639" s="288" t="s">
        <v>17161</v>
      </c>
      <c r="B5639" s="289" t="s">
        <v>17162</v>
      </c>
      <c r="C5639" s="288" t="s">
        <v>38</v>
      </c>
      <c r="D5639" s="303">
        <v>168.63</v>
      </c>
    </row>
    <row r="5640" spans="1:4" ht="27">
      <c r="A5640" s="288" t="s">
        <v>17163</v>
      </c>
      <c r="B5640" s="289" t="s">
        <v>17164</v>
      </c>
      <c r="C5640" s="288" t="s">
        <v>38</v>
      </c>
      <c r="D5640" s="303">
        <v>525.32000000000005</v>
      </c>
    </row>
    <row r="5641" spans="1:4">
      <c r="A5641" s="288" t="s">
        <v>17165</v>
      </c>
      <c r="B5641" s="289" t="s">
        <v>17166</v>
      </c>
      <c r="C5641" s="288" t="s">
        <v>38</v>
      </c>
      <c r="D5641" s="303">
        <v>68.819999999999993</v>
      </c>
    </row>
    <row r="5642" spans="1:4" ht="18">
      <c r="A5642" s="288" t="s">
        <v>17167</v>
      </c>
      <c r="B5642" s="289" t="s">
        <v>17168</v>
      </c>
      <c r="C5642" s="288" t="s">
        <v>7079</v>
      </c>
      <c r="D5642" s="303">
        <v>69.5</v>
      </c>
    </row>
    <row r="5643" spans="1:4" ht="18">
      <c r="A5643" s="288" t="s">
        <v>17169</v>
      </c>
      <c r="B5643" s="289" t="s">
        <v>17170</v>
      </c>
      <c r="C5643" s="288" t="s">
        <v>7079</v>
      </c>
      <c r="D5643" s="303">
        <v>58.81</v>
      </c>
    </row>
    <row r="5644" spans="1:4" ht="18">
      <c r="A5644" s="288" t="s">
        <v>17171</v>
      </c>
      <c r="B5644" s="289" t="s">
        <v>17172</v>
      </c>
      <c r="C5644" s="288" t="s">
        <v>7079</v>
      </c>
      <c r="D5644" s="303">
        <v>80.19</v>
      </c>
    </row>
    <row r="5645" spans="1:4" ht="18">
      <c r="A5645" s="288" t="s">
        <v>17173</v>
      </c>
      <c r="B5645" s="289" t="s">
        <v>17174</v>
      </c>
      <c r="C5645" s="288" t="s">
        <v>7079</v>
      </c>
      <c r="D5645" s="303">
        <v>66.83</v>
      </c>
    </row>
    <row r="5646" spans="1:4" ht="18">
      <c r="A5646" s="288" t="s">
        <v>17175</v>
      </c>
      <c r="B5646" s="289" t="s">
        <v>17176</v>
      </c>
      <c r="C5646" s="288" t="s">
        <v>7079</v>
      </c>
      <c r="D5646" s="303">
        <v>135.29</v>
      </c>
    </row>
    <row r="5647" spans="1:4" ht="18">
      <c r="A5647" s="287" t="s">
        <v>17177</v>
      </c>
      <c r="B5647" s="287"/>
      <c r="C5647" s="287"/>
      <c r="D5647" s="296" t="s">
        <v>28729</v>
      </c>
    </row>
    <row r="5648" spans="1:4" ht="18">
      <c r="A5648" s="288" t="s">
        <v>17178</v>
      </c>
      <c r="B5648" s="289" t="s">
        <v>17179</v>
      </c>
      <c r="C5648" s="288" t="s">
        <v>10941</v>
      </c>
      <c r="D5648" s="303">
        <v>10</v>
      </c>
    </row>
    <row r="5649" spans="1:4" ht="18">
      <c r="A5649" s="288" t="s">
        <v>17180</v>
      </c>
      <c r="B5649" s="289" t="s">
        <v>17181</v>
      </c>
      <c r="C5649" s="288" t="s">
        <v>7079</v>
      </c>
      <c r="D5649" s="303">
        <v>0.4</v>
      </c>
    </row>
    <row r="5650" spans="1:4" ht="36">
      <c r="A5650" s="288" t="s">
        <v>17182</v>
      </c>
      <c r="B5650" s="289" t="s">
        <v>17183</v>
      </c>
      <c r="C5650" s="288" t="s">
        <v>7079</v>
      </c>
      <c r="D5650" s="303">
        <v>327.14</v>
      </c>
    </row>
    <row r="5651" spans="1:4" ht="36">
      <c r="A5651" s="288" t="s">
        <v>17184</v>
      </c>
      <c r="B5651" s="289" t="s">
        <v>17185</v>
      </c>
      <c r="C5651" s="288" t="s">
        <v>7079</v>
      </c>
      <c r="D5651" s="303">
        <v>381.9</v>
      </c>
    </row>
    <row r="5652" spans="1:4" ht="36">
      <c r="A5652" s="288" t="s">
        <v>17186</v>
      </c>
      <c r="B5652" s="289" t="s">
        <v>17187</v>
      </c>
      <c r="C5652" s="288" t="s">
        <v>7079</v>
      </c>
      <c r="D5652" s="303">
        <v>185</v>
      </c>
    </row>
    <row r="5653" spans="1:4">
      <c r="A5653" s="290"/>
      <c r="B5653" s="290"/>
      <c r="C5653" s="290"/>
      <c r="D5653" s="298"/>
    </row>
    <row r="5654" spans="1:4" ht="18">
      <c r="A5654" s="287" t="s">
        <v>17188</v>
      </c>
      <c r="B5654" s="287"/>
      <c r="C5654" s="287"/>
      <c r="D5654" s="296" t="s">
        <v>28729</v>
      </c>
    </row>
    <row r="5655" spans="1:4" ht="18">
      <c r="A5655" s="288" t="s">
        <v>17189</v>
      </c>
      <c r="B5655" s="289" t="s">
        <v>17190</v>
      </c>
      <c r="C5655" s="288" t="s">
        <v>38</v>
      </c>
      <c r="D5655" s="303">
        <v>71.349999999999994</v>
      </c>
    </row>
    <row r="5656" spans="1:4" ht="18">
      <c r="A5656" s="288" t="s">
        <v>17191</v>
      </c>
      <c r="B5656" s="289" t="s">
        <v>17192</v>
      </c>
      <c r="C5656" s="288" t="s">
        <v>38</v>
      </c>
      <c r="D5656" s="303">
        <v>39.5</v>
      </c>
    </row>
    <row r="5657" spans="1:4" ht="18">
      <c r="A5657" s="288" t="s">
        <v>17193</v>
      </c>
      <c r="B5657" s="289" t="s">
        <v>17194</v>
      </c>
      <c r="C5657" s="288" t="s">
        <v>38</v>
      </c>
      <c r="D5657" s="303">
        <v>32.619999999999997</v>
      </c>
    </row>
    <row r="5658" spans="1:4" ht="18">
      <c r="A5658" s="288" t="s">
        <v>17195</v>
      </c>
      <c r="B5658" s="289" t="s">
        <v>17196</v>
      </c>
      <c r="C5658" s="288" t="s">
        <v>38</v>
      </c>
      <c r="D5658" s="303">
        <v>83.35</v>
      </c>
    </row>
    <row r="5659" spans="1:4" ht="18">
      <c r="A5659" s="288" t="s">
        <v>17197</v>
      </c>
      <c r="B5659" s="289" t="s">
        <v>17198</v>
      </c>
      <c r="C5659" s="288" t="s">
        <v>38</v>
      </c>
      <c r="D5659" s="303">
        <v>51.99</v>
      </c>
    </row>
    <row r="5660" spans="1:4" ht="18">
      <c r="A5660" s="288" t="s">
        <v>17199</v>
      </c>
      <c r="B5660" s="289" t="s">
        <v>17200</v>
      </c>
      <c r="C5660" s="288" t="s">
        <v>38</v>
      </c>
      <c r="D5660" s="303">
        <v>38.590000000000003</v>
      </c>
    </row>
    <row r="5661" spans="1:4" ht="18">
      <c r="A5661" s="288" t="s">
        <v>17201</v>
      </c>
      <c r="B5661" s="289" t="s">
        <v>17202</v>
      </c>
      <c r="C5661" s="288" t="s">
        <v>38</v>
      </c>
      <c r="D5661" s="303">
        <v>140.96</v>
      </c>
    </row>
    <row r="5662" spans="1:4" ht="18">
      <c r="A5662" s="288" t="s">
        <v>17203</v>
      </c>
      <c r="B5662" s="289" t="s">
        <v>17204</v>
      </c>
      <c r="C5662" s="288" t="s">
        <v>38</v>
      </c>
      <c r="D5662" s="303">
        <v>89.23</v>
      </c>
    </row>
    <row r="5663" spans="1:4" ht="18">
      <c r="A5663" s="288" t="s">
        <v>17205</v>
      </c>
      <c r="B5663" s="289" t="s">
        <v>17206</v>
      </c>
      <c r="C5663" s="288" t="s">
        <v>38</v>
      </c>
      <c r="D5663" s="303">
        <v>71.98</v>
      </c>
    </row>
    <row r="5664" spans="1:4">
      <c r="A5664" s="288" t="s">
        <v>17207</v>
      </c>
      <c r="B5664" s="289" t="s">
        <v>17208</v>
      </c>
      <c r="C5664" s="288" t="s">
        <v>38</v>
      </c>
      <c r="D5664" s="303">
        <v>76.459999999999994</v>
      </c>
    </row>
    <row r="5665" spans="1:4">
      <c r="A5665" s="288" t="s">
        <v>17209</v>
      </c>
      <c r="B5665" s="289" t="s">
        <v>17210</v>
      </c>
      <c r="C5665" s="288" t="s">
        <v>38</v>
      </c>
      <c r="D5665" s="303">
        <v>8.14</v>
      </c>
    </row>
    <row r="5666" spans="1:4" ht="27">
      <c r="A5666" s="288" t="s">
        <v>17211</v>
      </c>
      <c r="B5666" s="289" t="s">
        <v>17212</v>
      </c>
      <c r="C5666" s="288" t="s">
        <v>38</v>
      </c>
      <c r="D5666" s="303">
        <v>17.96</v>
      </c>
    </row>
    <row r="5667" spans="1:4">
      <c r="A5667" s="288" t="s">
        <v>17213</v>
      </c>
      <c r="B5667" s="289" t="s">
        <v>17214</v>
      </c>
      <c r="C5667" s="288" t="s">
        <v>7079</v>
      </c>
      <c r="D5667" s="303">
        <v>5.49</v>
      </c>
    </row>
    <row r="5668" spans="1:4">
      <c r="A5668" s="288" t="s">
        <v>17215</v>
      </c>
      <c r="B5668" s="289" t="s">
        <v>17216</v>
      </c>
      <c r="C5668" s="288" t="s">
        <v>7079</v>
      </c>
      <c r="D5668" s="303">
        <v>11.24</v>
      </c>
    </row>
    <row r="5669" spans="1:4">
      <c r="A5669" s="288" t="s">
        <v>17217</v>
      </c>
      <c r="B5669" s="289" t="s">
        <v>17218</v>
      </c>
      <c r="C5669" s="288" t="s">
        <v>7079</v>
      </c>
      <c r="D5669" s="303">
        <v>19.88</v>
      </c>
    </row>
    <row r="5670" spans="1:4" ht="27">
      <c r="A5670" s="287" t="s">
        <v>17219</v>
      </c>
      <c r="B5670" s="287"/>
      <c r="C5670" s="287"/>
      <c r="D5670" s="296" t="s">
        <v>28729</v>
      </c>
    </row>
    <row r="5671" spans="1:4" ht="18">
      <c r="A5671" s="288" t="s">
        <v>17220</v>
      </c>
      <c r="B5671" s="289" t="s">
        <v>17221</v>
      </c>
      <c r="C5671" s="288" t="s">
        <v>7079</v>
      </c>
      <c r="D5671" s="303">
        <v>11.5</v>
      </c>
    </row>
    <row r="5672" spans="1:4">
      <c r="A5672" s="288" t="s">
        <v>17222</v>
      </c>
      <c r="B5672" s="289" t="s">
        <v>17223</v>
      </c>
      <c r="C5672" s="288" t="s">
        <v>7079</v>
      </c>
      <c r="D5672" s="303">
        <v>12.9</v>
      </c>
    </row>
    <row r="5673" spans="1:4" ht="18">
      <c r="A5673" s="288" t="s">
        <v>17224</v>
      </c>
      <c r="B5673" s="289" t="s">
        <v>17225</v>
      </c>
      <c r="C5673" s="288" t="s">
        <v>7079</v>
      </c>
      <c r="D5673" s="303">
        <v>40</v>
      </c>
    </row>
    <row r="5674" spans="1:4">
      <c r="A5674" s="288" t="s">
        <v>17226</v>
      </c>
      <c r="B5674" s="289" t="s">
        <v>17227</v>
      </c>
      <c r="C5674" s="288" t="s">
        <v>7079</v>
      </c>
      <c r="D5674" s="303">
        <v>45</v>
      </c>
    </row>
    <row r="5675" spans="1:4">
      <c r="A5675" s="288" t="s">
        <v>17228</v>
      </c>
      <c r="B5675" s="289" t="s">
        <v>17229</v>
      </c>
      <c r="C5675" s="288" t="s">
        <v>7079</v>
      </c>
      <c r="D5675" s="303">
        <v>88.13</v>
      </c>
    </row>
    <row r="5676" spans="1:4" ht="18">
      <c r="A5676" s="287" t="s">
        <v>17230</v>
      </c>
      <c r="B5676" s="287"/>
      <c r="C5676" s="287"/>
      <c r="D5676" s="296" t="s">
        <v>28729</v>
      </c>
    </row>
    <row r="5677" spans="1:4" ht="27">
      <c r="A5677" s="288" t="s">
        <v>17231</v>
      </c>
      <c r="B5677" s="289" t="s">
        <v>17232</v>
      </c>
      <c r="C5677" s="288" t="s">
        <v>38</v>
      </c>
      <c r="D5677" s="303">
        <v>280.54000000000002</v>
      </c>
    </row>
    <row r="5678" spans="1:4" ht="27">
      <c r="A5678" s="288" t="s">
        <v>17233</v>
      </c>
      <c r="B5678" s="289" t="s">
        <v>17234</v>
      </c>
      <c r="C5678" s="288" t="s">
        <v>38</v>
      </c>
      <c r="D5678" s="303">
        <v>280.54000000000002</v>
      </c>
    </row>
    <row r="5679" spans="1:4" ht="27">
      <c r="A5679" s="288" t="s">
        <v>17235</v>
      </c>
      <c r="B5679" s="289" t="s">
        <v>17236</v>
      </c>
      <c r="C5679" s="288" t="s">
        <v>38</v>
      </c>
      <c r="D5679" s="303">
        <v>280.54000000000002</v>
      </c>
    </row>
    <row r="5680" spans="1:4" ht="27">
      <c r="A5680" s="288" t="s">
        <v>17237</v>
      </c>
      <c r="B5680" s="289" t="s">
        <v>17238</v>
      </c>
      <c r="C5680" s="288" t="s">
        <v>38</v>
      </c>
      <c r="D5680" s="303">
        <v>264.07</v>
      </c>
    </row>
    <row r="5681" spans="1:4" ht="27">
      <c r="A5681" s="288" t="s">
        <v>17239</v>
      </c>
      <c r="B5681" s="289" t="s">
        <v>17240</v>
      </c>
      <c r="C5681" s="288" t="s">
        <v>38</v>
      </c>
      <c r="D5681" s="303">
        <v>264.07</v>
      </c>
    </row>
    <row r="5682" spans="1:4" ht="27">
      <c r="A5682" s="288" t="s">
        <v>17241</v>
      </c>
      <c r="B5682" s="289" t="s">
        <v>17242</v>
      </c>
      <c r="C5682" s="288" t="s">
        <v>38</v>
      </c>
      <c r="D5682" s="303">
        <v>257.82</v>
      </c>
    </row>
    <row r="5683" spans="1:4" ht="27">
      <c r="A5683" s="288" t="s">
        <v>17243</v>
      </c>
      <c r="B5683" s="289" t="s">
        <v>17244</v>
      </c>
      <c r="C5683" s="288" t="s">
        <v>38</v>
      </c>
      <c r="D5683" s="303">
        <v>254.44</v>
      </c>
    </row>
    <row r="5684" spans="1:4" ht="27">
      <c r="A5684" s="288" t="s">
        <v>17245</v>
      </c>
      <c r="B5684" s="289" t="s">
        <v>17246</v>
      </c>
      <c r="C5684" s="288" t="s">
        <v>38</v>
      </c>
      <c r="D5684" s="303">
        <v>264.07</v>
      </c>
    </row>
    <row r="5685" spans="1:4" ht="27">
      <c r="A5685" s="288" t="s">
        <v>17247</v>
      </c>
      <c r="B5685" s="289" t="s">
        <v>17248</v>
      </c>
      <c r="C5685" s="288" t="s">
        <v>38</v>
      </c>
      <c r="D5685" s="303">
        <v>257.82</v>
      </c>
    </row>
    <row r="5686" spans="1:4" ht="27">
      <c r="A5686" s="288" t="s">
        <v>17249</v>
      </c>
      <c r="B5686" s="289" t="s">
        <v>17250</v>
      </c>
      <c r="C5686" s="288" t="s">
        <v>38</v>
      </c>
      <c r="D5686" s="303">
        <v>264.07</v>
      </c>
    </row>
    <row r="5687" spans="1:4" ht="27">
      <c r="A5687" s="288" t="s">
        <v>17251</v>
      </c>
      <c r="B5687" s="289" t="s">
        <v>17252</v>
      </c>
      <c r="C5687" s="288" t="s">
        <v>38</v>
      </c>
      <c r="D5687" s="303">
        <v>264.07</v>
      </c>
    </row>
    <row r="5688" spans="1:4" ht="27">
      <c r="A5688" s="288" t="s">
        <v>17253</v>
      </c>
      <c r="B5688" s="289" t="s">
        <v>17254</v>
      </c>
      <c r="C5688" s="288" t="s">
        <v>38</v>
      </c>
      <c r="D5688" s="303">
        <v>257.82</v>
      </c>
    </row>
    <row r="5689" spans="1:4">
      <c r="A5689" s="290"/>
      <c r="B5689" s="290"/>
      <c r="C5689" s="290"/>
      <c r="D5689" s="298"/>
    </row>
    <row r="5690" spans="1:4">
      <c r="A5690" s="287" t="s">
        <v>17255</v>
      </c>
      <c r="B5690" s="287"/>
      <c r="C5690" s="287"/>
      <c r="D5690" s="296" t="s">
        <v>28729</v>
      </c>
    </row>
    <row r="5691" spans="1:4" ht="36">
      <c r="A5691" s="288" t="s">
        <v>17256</v>
      </c>
      <c r="B5691" s="289" t="s">
        <v>17257</v>
      </c>
      <c r="C5691" s="288" t="s">
        <v>7079</v>
      </c>
      <c r="D5691" s="303">
        <v>2454.6799999999998</v>
      </c>
    </row>
    <row r="5692" spans="1:4" ht="36">
      <c r="A5692" s="288" t="s">
        <v>17258</v>
      </c>
      <c r="B5692" s="289" t="s">
        <v>17259</v>
      </c>
      <c r="C5692" s="288" t="s">
        <v>7079</v>
      </c>
      <c r="D5692" s="303">
        <v>2819.42</v>
      </c>
    </row>
    <row r="5693" spans="1:4" ht="36">
      <c r="A5693" s="288" t="s">
        <v>17260</v>
      </c>
      <c r="B5693" s="289" t="s">
        <v>17261</v>
      </c>
      <c r="C5693" s="288" t="s">
        <v>10306</v>
      </c>
      <c r="D5693" s="303">
        <v>1096.8499999999999</v>
      </c>
    </row>
    <row r="5694" spans="1:4">
      <c r="A5694" s="290"/>
      <c r="B5694" s="290"/>
      <c r="C5694" s="290"/>
      <c r="D5694" s="298"/>
    </row>
    <row r="5695" spans="1:4" ht="27">
      <c r="A5695" s="287" t="s">
        <v>17262</v>
      </c>
      <c r="B5695" s="287"/>
      <c r="C5695" s="287"/>
      <c r="D5695" s="296" t="s">
        <v>28729</v>
      </c>
    </row>
    <row r="5696" spans="1:4" ht="18">
      <c r="A5696" s="288" t="s">
        <v>17263</v>
      </c>
      <c r="B5696" s="289" t="s">
        <v>17264</v>
      </c>
      <c r="C5696" s="288" t="s">
        <v>7079</v>
      </c>
      <c r="D5696" s="303">
        <v>86.11</v>
      </c>
    </row>
    <row r="5697" spans="1:4" ht="18">
      <c r="A5697" s="288" t="s">
        <v>17265</v>
      </c>
      <c r="B5697" s="289" t="s">
        <v>17266</v>
      </c>
      <c r="C5697" s="288" t="s">
        <v>7079</v>
      </c>
      <c r="D5697" s="303">
        <v>220.5</v>
      </c>
    </row>
    <row r="5698" spans="1:4">
      <c r="A5698" s="288" t="s">
        <v>17267</v>
      </c>
      <c r="B5698" s="289" t="s">
        <v>17268</v>
      </c>
      <c r="C5698" s="288" t="s">
        <v>7182</v>
      </c>
      <c r="D5698" s="303">
        <v>50</v>
      </c>
    </row>
    <row r="5699" spans="1:4">
      <c r="A5699" s="287"/>
      <c r="B5699" s="287"/>
      <c r="C5699" s="287"/>
      <c r="D5699" s="296" t="s">
        <v>28729</v>
      </c>
    </row>
    <row r="5700" spans="1:4">
      <c r="A5700" s="290"/>
      <c r="B5700" s="290"/>
      <c r="C5700" s="290"/>
      <c r="D5700" s="298"/>
    </row>
    <row r="5701" spans="1:4">
      <c r="A5701" s="290"/>
      <c r="B5701" s="290"/>
      <c r="C5701" s="290"/>
      <c r="D5701" s="298" t="s">
        <v>28729</v>
      </c>
    </row>
    <row r="5702" spans="1:4">
      <c r="A5702" s="291"/>
      <c r="B5702" s="291"/>
      <c r="C5702" s="291"/>
      <c r="D5702" s="299"/>
    </row>
    <row r="5703" spans="1:4">
      <c r="A5703" s="287" t="s">
        <v>17269</v>
      </c>
      <c r="B5703" s="287"/>
      <c r="C5703" s="287"/>
      <c r="D5703" s="296" t="s">
        <v>28729</v>
      </c>
    </row>
    <row r="5704" spans="1:4" ht="36">
      <c r="A5704" s="288" t="s">
        <v>17270</v>
      </c>
      <c r="B5704" s="289" t="s">
        <v>17271</v>
      </c>
      <c r="C5704" s="288" t="s">
        <v>7161</v>
      </c>
      <c r="D5704" s="303">
        <v>1.63</v>
      </c>
    </row>
    <row r="5705" spans="1:4" ht="36">
      <c r="A5705" s="288" t="s">
        <v>17272</v>
      </c>
      <c r="B5705" s="289" t="s">
        <v>17273</v>
      </c>
      <c r="C5705" s="288" t="s">
        <v>7161</v>
      </c>
      <c r="D5705" s="303">
        <v>1.22</v>
      </c>
    </row>
    <row r="5706" spans="1:4" ht="36">
      <c r="A5706" s="288" t="s">
        <v>17274</v>
      </c>
      <c r="B5706" s="289" t="s">
        <v>17275</v>
      </c>
      <c r="C5706" s="288" t="s">
        <v>7161</v>
      </c>
      <c r="D5706" s="303">
        <v>0.98</v>
      </c>
    </row>
    <row r="5707" spans="1:4" ht="45">
      <c r="A5707" s="288" t="s">
        <v>17276</v>
      </c>
      <c r="B5707" s="289" t="s">
        <v>17277</v>
      </c>
      <c r="C5707" s="288" t="s">
        <v>7161</v>
      </c>
      <c r="D5707" s="303">
        <v>2.04</v>
      </c>
    </row>
    <row r="5708" spans="1:4" ht="36">
      <c r="A5708" s="288" t="s">
        <v>17278</v>
      </c>
      <c r="B5708" s="289" t="s">
        <v>17279</v>
      </c>
      <c r="C5708" s="288" t="s">
        <v>7161</v>
      </c>
      <c r="D5708" s="303">
        <v>1.52</v>
      </c>
    </row>
    <row r="5709" spans="1:4" ht="45">
      <c r="A5709" s="288" t="s">
        <v>17280</v>
      </c>
      <c r="B5709" s="289" t="s">
        <v>17281</v>
      </c>
      <c r="C5709" s="288" t="s">
        <v>7161</v>
      </c>
      <c r="D5709" s="303">
        <v>1.22</v>
      </c>
    </row>
    <row r="5710" spans="1:4" ht="36">
      <c r="A5710" s="288" t="s">
        <v>17282</v>
      </c>
      <c r="B5710" s="289" t="s">
        <v>17283</v>
      </c>
      <c r="C5710" s="288" t="s">
        <v>7161</v>
      </c>
      <c r="D5710" s="303">
        <v>1.93</v>
      </c>
    </row>
    <row r="5711" spans="1:4" ht="36">
      <c r="A5711" s="288" t="s">
        <v>17284</v>
      </c>
      <c r="B5711" s="289" t="s">
        <v>17285</v>
      </c>
      <c r="C5711" s="288" t="s">
        <v>7161</v>
      </c>
      <c r="D5711" s="303">
        <v>1.29</v>
      </c>
    </row>
    <row r="5712" spans="1:4" ht="36">
      <c r="A5712" s="288" t="s">
        <v>17286</v>
      </c>
      <c r="B5712" s="289" t="s">
        <v>17287</v>
      </c>
      <c r="C5712" s="288" t="s">
        <v>7161</v>
      </c>
      <c r="D5712" s="303">
        <v>0.97</v>
      </c>
    </row>
    <row r="5713" spans="1:4" ht="36">
      <c r="A5713" s="288" t="s">
        <v>17288</v>
      </c>
      <c r="B5713" s="289" t="s">
        <v>17289</v>
      </c>
      <c r="C5713" s="288" t="s">
        <v>7161</v>
      </c>
      <c r="D5713" s="303">
        <v>0.77</v>
      </c>
    </row>
    <row r="5714" spans="1:4" ht="36">
      <c r="A5714" s="288" t="s">
        <v>17290</v>
      </c>
      <c r="B5714" s="289" t="s">
        <v>17291</v>
      </c>
      <c r="C5714" s="288" t="s">
        <v>7161</v>
      </c>
      <c r="D5714" s="303">
        <v>1.57</v>
      </c>
    </row>
    <row r="5715" spans="1:4" ht="36">
      <c r="A5715" s="288" t="s">
        <v>17292</v>
      </c>
      <c r="B5715" s="289" t="s">
        <v>17293</v>
      </c>
      <c r="C5715" s="288" t="s">
        <v>7161</v>
      </c>
      <c r="D5715" s="303">
        <v>1.05</v>
      </c>
    </row>
    <row r="5716" spans="1:4" ht="36">
      <c r="A5716" s="288" t="s">
        <v>17294</v>
      </c>
      <c r="B5716" s="289" t="s">
        <v>17295</v>
      </c>
      <c r="C5716" s="288" t="s">
        <v>7161</v>
      </c>
      <c r="D5716" s="303">
        <v>0.79</v>
      </c>
    </row>
    <row r="5717" spans="1:4" ht="36">
      <c r="A5717" s="288" t="s">
        <v>17296</v>
      </c>
      <c r="B5717" s="289" t="s">
        <v>17297</v>
      </c>
      <c r="C5717" s="288" t="s">
        <v>7161</v>
      </c>
      <c r="D5717" s="303">
        <v>0.63</v>
      </c>
    </row>
    <row r="5718" spans="1:4" ht="36">
      <c r="A5718" s="288" t="s">
        <v>17298</v>
      </c>
      <c r="B5718" s="289" t="s">
        <v>17299</v>
      </c>
      <c r="C5718" s="288" t="s">
        <v>7161</v>
      </c>
      <c r="D5718" s="303">
        <v>1.3</v>
      </c>
    </row>
    <row r="5719" spans="1:4" ht="36">
      <c r="A5719" s="288" t="s">
        <v>17300</v>
      </c>
      <c r="B5719" s="289" t="s">
        <v>17301</v>
      </c>
      <c r="C5719" s="288" t="s">
        <v>7161</v>
      </c>
      <c r="D5719" s="303">
        <v>0.86</v>
      </c>
    </row>
    <row r="5720" spans="1:4" ht="36">
      <c r="A5720" s="288" t="s">
        <v>17302</v>
      </c>
      <c r="B5720" s="289" t="s">
        <v>17303</v>
      </c>
      <c r="C5720" s="288" t="s">
        <v>7161</v>
      </c>
      <c r="D5720" s="303">
        <v>0.65</v>
      </c>
    </row>
    <row r="5721" spans="1:4" ht="36">
      <c r="A5721" s="288" t="s">
        <v>17304</v>
      </c>
      <c r="B5721" s="289" t="s">
        <v>17305</v>
      </c>
      <c r="C5721" s="288" t="s">
        <v>7161</v>
      </c>
      <c r="D5721" s="303">
        <v>0.51</v>
      </c>
    </row>
    <row r="5722" spans="1:4" ht="27">
      <c r="A5722" s="288" t="s">
        <v>17306</v>
      </c>
      <c r="B5722" s="289" t="s">
        <v>17307</v>
      </c>
      <c r="C5722" s="288" t="s">
        <v>7079</v>
      </c>
      <c r="D5722" s="303">
        <v>11028.43</v>
      </c>
    </row>
    <row r="5723" spans="1:4" ht="27">
      <c r="A5723" s="288" t="s">
        <v>17308</v>
      </c>
      <c r="B5723" s="289" t="s">
        <v>17309</v>
      </c>
      <c r="C5723" s="288" t="s">
        <v>7079</v>
      </c>
      <c r="D5723" s="303">
        <v>15157.12</v>
      </c>
    </row>
    <row r="5724" spans="1:4" ht="36">
      <c r="A5724" s="288" t="s">
        <v>17310</v>
      </c>
      <c r="B5724" s="289" t="s">
        <v>17311</v>
      </c>
      <c r="C5724" s="288" t="s">
        <v>7161</v>
      </c>
      <c r="D5724" s="303">
        <v>7.56</v>
      </c>
    </row>
    <row r="5725" spans="1:4" ht="18">
      <c r="A5725" s="287" t="s">
        <v>17312</v>
      </c>
      <c r="B5725" s="287"/>
      <c r="C5725" s="287"/>
      <c r="D5725" s="296" t="s">
        <v>28729</v>
      </c>
    </row>
    <row r="5726" spans="1:4" ht="18">
      <c r="A5726" s="288" t="s">
        <v>17313</v>
      </c>
      <c r="B5726" s="289" t="s">
        <v>17314</v>
      </c>
      <c r="C5726" s="288" t="s">
        <v>17315</v>
      </c>
      <c r="D5726" s="303">
        <v>4.01</v>
      </c>
    </row>
    <row r="5727" spans="1:4" ht="18">
      <c r="A5727" s="288" t="s">
        <v>17316</v>
      </c>
      <c r="B5727" s="289" t="s">
        <v>17317</v>
      </c>
      <c r="C5727" s="288" t="s">
        <v>17315</v>
      </c>
      <c r="D5727" s="303">
        <v>14.83</v>
      </c>
    </row>
    <row r="5728" spans="1:4" ht="18">
      <c r="A5728" s="288" t="s">
        <v>17318</v>
      </c>
      <c r="B5728" s="289" t="s">
        <v>17319</v>
      </c>
      <c r="C5728" s="288" t="s">
        <v>17315</v>
      </c>
      <c r="D5728" s="303">
        <v>22.25</v>
      </c>
    </row>
    <row r="5729" spans="1:4" ht="18">
      <c r="A5729" s="288" t="s">
        <v>17320</v>
      </c>
      <c r="B5729" s="289" t="s">
        <v>17321</v>
      </c>
      <c r="C5729" s="288" t="s">
        <v>17315</v>
      </c>
      <c r="D5729" s="303">
        <v>29.66</v>
      </c>
    </row>
    <row r="5730" spans="1:4" ht="18">
      <c r="A5730" s="287" t="s">
        <v>17322</v>
      </c>
      <c r="B5730" s="287"/>
      <c r="C5730" s="287"/>
      <c r="D5730" s="296" t="s">
        <v>28729</v>
      </c>
    </row>
    <row r="5731" spans="1:4" ht="27">
      <c r="A5731" s="288" t="s">
        <v>17323</v>
      </c>
      <c r="B5731" s="289" t="s">
        <v>17324</v>
      </c>
      <c r="C5731" s="288" t="s">
        <v>7079</v>
      </c>
      <c r="D5731" s="303">
        <v>1433</v>
      </c>
    </row>
    <row r="5732" spans="1:4" ht="27">
      <c r="A5732" s="288" t="s">
        <v>17325</v>
      </c>
      <c r="B5732" s="289" t="s">
        <v>17326</v>
      </c>
      <c r="C5732" s="288" t="s">
        <v>47</v>
      </c>
      <c r="D5732" s="303">
        <v>74.87</v>
      </c>
    </row>
    <row r="5733" spans="1:4">
      <c r="A5733" s="290"/>
      <c r="B5733" s="290"/>
      <c r="C5733" s="290"/>
      <c r="D5733" s="298"/>
    </row>
    <row r="5734" spans="1:4">
      <c r="A5734" s="287" t="s">
        <v>17327</v>
      </c>
      <c r="B5734" s="287"/>
      <c r="C5734" s="287"/>
      <c r="D5734" s="296" t="s">
        <v>28729</v>
      </c>
    </row>
    <row r="5735" spans="1:4" ht="36">
      <c r="A5735" s="288" t="s">
        <v>17328</v>
      </c>
      <c r="B5735" s="289" t="s">
        <v>17329</v>
      </c>
      <c r="C5735" s="288" t="s">
        <v>7148</v>
      </c>
      <c r="D5735" s="303">
        <v>60.83</v>
      </c>
    </row>
    <row r="5736" spans="1:4" ht="27">
      <c r="A5736" s="288" t="s">
        <v>17330</v>
      </c>
      <c r="B5736" s="289" t="s">
        <v>17331</v>
      </c>
      <c r="C5736" s="288" t="s">
        <v>7148</v>
      </c>
      <c r="D5736" s="303">
        <v>33.950000000000003</v>
      </c>
    </row>
    <row r="5737" spans="1:4" ht="36">
      <c r="A5737" s="288" t="s">
        <v>17332</v>
      </c>
      <c r="B5737" s="289" t="s">
        <v>17333</v>
      </c>
      <c r="C5737" s="288" t="s">
        <v>7148</v>
      </c>
      <c r="D5737" s="303">
        <v>20.83</v>
      </c>
    </row>
    <row r="5738" spans="1:4" ht="36">
      <c r="A5738" s="288" t="s">
        <v>17334</v>
      </c>
      <c r="B5738" s="289" t="s">
        <v>17335</v>
      </c>
      <c r="C5738" s="288" t="s">
        <v>7148</v>
      </c>
      <c r="D5738" s="303">
        <v>16.309999999999999</v>
      </c>
    </row>
    <row r="5739" spans="1:4" ht="36">
      <c r="A5739" s="288" t="s">
        <v>17336</v>
      </c>
      <c r="B5739" s="289" t="s">
        <v>17337</v>
      </c>
      <c r="C5739" s="288" t="s">
        <v>7148</v>
      </c>
      <c r="D5739" s="303">
        <v>18.68</v>
      </c>
    </row>
    <row r="5740" spans="1:4" ht="36">
      <c r="A5740" s="288" t="s">
        <v>17338</v>
      </c>
      <c r="B5740" s="289" t="s">
        <v>17339</v>
      </c>
      <c r="C5740" s="288" t="s">
        <v>7148</v>
      </c>
      <c r="D5740" s="303">
        <v>17.350000000000001</v>
      </c>
    </row>
    <row r="5741" spans="1:4" ht="27">
      <c r="A5741" s="288" t="s">
        <v>17340</v>
      </c>
      <c r="B5741" s="289" t="s">
        <v>17341</v>
      </c>
      <c r="C5741" s="288" t="s">
        <v>7148</v>
      </c>
      <c r="D5741" s="303">
        <v>1.46</v>
      </c>
    </row>
    <row r="5742" spans="1:4" ht="36">
      <c r="A5742" s="288" t="s">
        <v>17342</v>
      </c>
      <c r="B5742" s="289" t="s">
        <v>17343</v>
      </c>
      <c r="C5742" s="288" t="s">
        <v>7148</v>
      </c>
      <c r="D5742" s="303">
        <v>50.15</v>
      </c>
    </row>
    <row r="5743" spans="1:4" ht="36">
      <c r="A5743" s="288" t="s">
        <v>17344</v>
      </c>
      <c r="B5743" s="289" t="s">
        <v>17345</v>
      </c>
      <c r="C5743" s="288" t="s">
        <v>7148</v>
      </c>
      <c r="D5743" s="303">
        <v>67.010000000000005</v>
      </c>
    </row>
    <row r="5744" spans="1:4" ht="36">
      <c r="A5744" s="288" t="s">
        <v>17346</v>
      </c>
      <c r="B5744" s="289" t="s">
        <v>17347</v>
      </c>
      <c r="C5744" s="288" t="s">
        <v>7148</v>
      </c>
      <c r="D5744" s="303">
        <v>74.37</v>
      </c>
    </row>
    <row r="5745" spans="1:4" ht="36">
      <c r="A5745" s="288" t="s">
        <v>17348</v>
      </c>
      <c r="B5745" s="289" t="s">
        <v>17349</v>
      </c>
      <c r="C5745" s="288" t="s">
        <v>7148</v>
      </c>
      <c r="D5745" s="303">
        <v>84.74</v>
      </c>
    </row>
    <row r="5746" spans="1:4" ht="36">
      <c r="A5746" s="288" t="s">
        <v>17350</v>
      </c>
      <c r="B5746" s="289" t="s">
        <v>17351</v>
      </c>
      <c r="C5746" s="288" t="s">
        <v>7148</v>
      </c>
      <c r="D5746" s="303">
        <v>142.68</v>
      </c>
    </row>
    <row r="5747" spans="1:4" ht="36">
      <c r="A5747" s="288" t="s">
        <v>17352</v>
      </c>
      <c r="B5747" s="289" t="s">
        <v>17353</v>
      </c>
      <c r="C5747" s="288" t="s">
        <v>7148</v>
      </c>
      <c r="D5747" s="303">
        <v>162.12</v>
      </c>
    </row>
    <row r="5748" spans="1:4" ht="36">
      <c r="A5748" s="288" t="s">
        <v>17354</v>
      </c>
      <c r="B5748" s="289" t="s">
        <v>17355</v>
      </c>
      <c r="C5748" s="288" t="s">
        <v>7148</v>
      </c>
      <c r="D5748" s="303">
        <v>15</v>
      </c>
    </row>
  </sheetData>
  <autoFilter ref="A2:D5748"/>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I18" sqref="I18"/>
    </sheetView>
  </sheetViews>
  <sheetFormatPr defaultRowHeight="14.25"/>
  <sheetData>
    <row r="1" spans="1:1">
      <c r="A1" t="s">
        <v>1019</v>
      </c>
    </row>
    <row r="2" spans="1:1">
      <c r="A2" t="s">
        <v>26583</v>
      </c>
    </row>
    <row r="3" spans="1:1">
      <c r="A3" t="s">
        <v>2174</v>
      </c>
    </row>
    <row r="4" spans="1:1" s="37" customFormat="1">
      <c r="A4" s="37" t="s">
        <v>2344</v>
      </c>
    </row>
    <row r="5" spans="1:1">
      <c r="A5" t="s">
        <v>1018</v>
      </c>
    </row>
    <row r="6" spans="1:1">
      <c r="A6" t="s">
        <v>2173</v>
      </c>
    </row>
    <row r="7" spans="1:1">
      <c r="A7" t="s">
        <v>1020</v>
      </c>
    </row>
    <row r="8" spans="1:1">
      <c r="A8" t="s">
        <v>1021</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IW42"/>
  <sheetViews>
    <sheetView view="pageBreakPreview" topLeftCell="A22" zoomScale="115" zoomScaleNormal="100" zoomScaleSheetLayoutView="115" workbookViewId="0">
      <selection activeCell="E51" sqref="E51"/>
    </sheetView>
  </sheetViews>
  <sheetFormatPr defaultRowHeight="12.75"/>
  <cols>
    <col min="1" max="1" width="15.625" style="59" customWidth="1"/>
    <col min="2" max="2" width="37.375" style="59" customWidth="1"/>
    <col min="3" max="3" width="10.875" style="60" customWidth="1"/>
    <col min="4" max="4" width="5.625" style="66" customWidth="1"/>
    <col min="5" max="5" width="10.125" style="59" customWidth="1"/>
    <col min="6" max="6" width="31.875" style="59" customWidth="1"/>
    <col min="7" max="257" width="8.5" style="59" customWidth="1"/>
    <col min="258" max="1024" width="8.5" style="68" customWidth="1"/>
    <col min="1025" max="16384" width="9" style="68"/>
  </cols>
  <sheetData>
    <row r="1" spans="1:8" s="56" customFormat="1" ht="30" customHeight="1">
      <c r="A1" s="357" t="s">
        <v>980</v>
      </c>
      <c r="B1" s="357"/>
      <c r="C1" s="357"/>
      <c r="D1" s="357"/>
      <c r="E1" s="67"/>
      <c r="F1" s="67"/>
      <c r="H1" s="57"/>
    </row>
    <row r="2" spans="1:8" s="58" customFormat="1" ht="15" customHeight="1">
      <c r="A2" s="83" t="s">
        <v>981</v>
      </c>
      <c r="B2" s="358" t="s">
        <v>19763</v>
      </c>
      <c r="C2" s="358"/>
      <c r="D2" s="358"/>
      <c r="E2" s="55"/>
    </row>
    <row r="3" spans="1:8" s="58" customFormat="1" ht="15" customHeight="1">
      <c r="A3" s="83" t="s">
        <v>982</v>
      </c>
      <c r="B3" s="359" t="s">
        <v>26534</v>
      </c>
      <c r="C3" s="359"/>
      <c r="D3" s="359"/>
      <c r="E3" s="55"/>
    </row>
    <row r="4" spans="1:8" s="58" customFormat="1" ht="15" customHeight="1">
      <c r="A4" s="83" t="s">
        <v>19670</v>
      </c>
      <c r="B4" s="360" t="s">
        <v>26535</v>
      </c>
      <c r="C4" s="360"/>
      <c r="D4" s="360"/>
      <c r="E4" s="55"/>
    </row>
    <row r="5" spans="1:8" ht="15" customHeight="1">
      <c r="A5" s="355" t="s">
        <v>983</v>
      </c>
      <c r="B5" s="355"/>
      <c r="C5" s="355"/>
      <c r="D5" s="355"/>
    </row>
    <row r="6" spans="1:8" ht="15" customHeight="1">
      <c r="B6" s="87" t="s">
        <v>984</v>
      </c>
      <c r="C6" s="85"/>
      <c r="D6" s="86"/>
    </row>
    <row r="7" spans="1:8" ht="15" customHeight="1">
      <c r="A7" s="355" t="s">
        <v>985</v>
      </c>
      <c r="B7" s="355"/>
      <c r="C7" s="355"/>
      <c r="D7" s="355"/>
    </row>
    <row r="8" spans="1:8" ht="15" customHeight="1">
      <c r="B8" s="87" t="s">
        <v>1007</v>
      </c>
      <c r="C8" s="85"/>
      <c r="D8" s="86"/>
    </row>
    <row r="9" spans="1:8" ht="15" customHeight="1">
      <c r="A9" s="355" t="s">
        <v>987</v>
      </c>
      <c r="B9" s="355"/>
      <c r="C9" s="355"/>
      <c r="D9" s="355"/>
    </row>
    <row r="10" spans="1:8" ht="15" customHeight="1">
      <c r="A10" s="61"/>
      <c r="B10" s="89" t="s">
        <v>19685</v>
      </c>
      <c r="C10" s="90">
        <v>4</v>
      </c>
      <c r="D10" s="91" t="s">
        <v>988</v>
      </c>
      <c r="F10" s="62"/>
    </row>
    <row r="11" spans="1:8" ht="15" customHeight="1">
      <c r="A11" s="61"/>
      <c r="B11" s="89" t="s">
        <v>19686</v>
      </c>
      <c r="C11" s="90">
        <v>0.97</v>
      </c>
      <c r="D11" s="91" t="s">
        <v>988</v>
      </c>
      <c r="F11" s="62"/>
    </row>
    <row r="12" spans="1:8" ht="15" customHeight="1">
      <c r="A12" s="61"/>
      <c r="B12" s="89" t="s">
        <v>19687</v>
      </c>
      <c r="C12" s="90">
        <v>0.8</v>
      </c>
      <c r="D12" s="91" t="s">
        <v>988</v>
      </c>
      <c r="F12" s="62"/>
    </row>
    <row r="13" spans="1:8" ht="15" customHeight="1">
      <c r="A13" s="61"/>
      <c r="B13" s="89" t="s">
        <v>19688</v>
      </c>
      <c r="C13" s="90">
        <v>1.23</v>
      </c>
      <c r="D13" s="91" t="s">
        <v>988</v>
      </c>
      <c r="F13" s="62"/>
    </row>
    <row r="14" spans="1:8" ht="15" customHeight="1">
      <c r="A14" s="63"/>
      <c r="B14" s="92"/>
      <c r="C14" s="93"/>
      <c r="D14" s="94"/>
      <c r="E14" s="63"/>
      <c r="F14" s="62"/>
    </row>
    <row r="15" spans="1:8" ht="15" customHeight="1">
      <c r="A15" s="61"/>
      <c r="B15" s="89" t="s">
        <v>19689</v>
      </c>
      <c r="C15" s="90">
        <v>6.65</v>
      </c>
      <c r="D15" s="91" t="s">
        <v>988</v>
      </c>
      <c r="F15" s="62"/>
    </row>
    <row r="16" spans="1:8" ht="15" customHeight="1">
      <c r="C16" s="95"/>
      <c r="D16" s="96"/>
    </row>
    <row r="17" spans="1:6" ht="15" customHeight="1">
      <c r="A17" s="355" t="s">
        <v>989</v>
      </c>
      <c r="B17" s="355"/>
      <c r="C17" s="355"/>
      <c r="D17" s="355"/>
    </row>
    <row r="18" spans="1:6" ht="15" customHeight="1">
      <c r="A18" s="84"/>
      <c r="B18" s="97" t="s">
        <v>990</v>
      </c>
      <c r="C18" s="98">
        <f>C23+C24+C25</f>
        <v>8.65</v>
      </c>
      <c r="D18" s="99" t="s">
        <v>988</v>
      </c>
    </row>
    <row r="19" spans="1:6" ht="15" customHeight="1">
      <c r="A19" s="84"/>
      <c r="B19" s="84"/>
      <c r="C19" s="84"/>
      <c r="D19" s="84"/>
    </row>
    <row r="20" spans="1:6" ht="15" customHeight="1">
      <c r="A20" s="84"/>
      <c r="B20" s="100" t="s">
        <v>991</v>
      </c>
      <c r="C20" s="90">
        <v>100</v>
      </c>
      <c r="D20" s="99" t="s">
        <v>988</v>
      </c>
    </row>
    <row r="21" spans="1:6" ht="15" customHeight="1">
      <c r="A21" s="84"/>
      <c r="B21" s="100" t="s">
        <v>992</v>
      </c>
      <c r="C21" s="90">
        <v>5</v>
      </c>
      <c r="D21" s="99" t="s">
        <v>988</v>
      </c>
    </row>
    <row r="22" spans="1:6" s="59" customFormat="1" ht="15" customHeight="1">
      <c r="B22" s="88"/>
      <c r="C22" s="95"/>
      <c r="D22" s="101"/>
    </row>
    <row r="23" spans="1:6" ht="15" customHeight="1">
      <c r="B23" s="100" t="s">
        <v>993</v>
      </c>
      <c r="C23" s="102">
        <v>3</v>
      </c>
      <c r="D23" s="103" t="s">
        <v>988</v>
      </c>
      <c r="F23" s="62"/>
    </row>
    <row r="24" spans="1:6" ht="15" customHeight="1">
      <c r="B24" s="100" t="s">
        <v>994</v>
      </c>
      <c r="C24" s="102">
        <v>0.65</v>
      </c>
      <c r="D24" s="103" t="s">
        <v>988</v>
      </c>
    </row>
    <row r="25" spans="1:6" ht="15" customHeight="1">
      <c r="B25" s="100" t="s">
        <v>995</v>
      </c>
      <c r="C25" s="102">
        <f>ISS</f>
        <v>5</v>
      </c>
      <c r="D25" s="91" t="s">
        <v>988</v>
      </c>
    </row>
    <row r="26" spans="1:6" ht="15" customHeight="1">
      <c r="A26" s="355" t="s">
        <v>996</v>
      </c>
      <c r="B26" s="355"/>
      <c r="C26" s="355"/>
      <c r="D26" s="355"/>
    </row>
    <row r="27" spans="1:6" ht="15" customHeight="1">
      <c r="B27" s="95" t="s">
        <v>19690</v>
      </c>
      <c r="C27" s="356">
        <f>ROUND((((1+(AC+RIS+SG)/100)*(1+(DF/100))*(1+(LUC/100)))/(1-DT/100)-1),4)</f>
        <v>0.25</v>
      </c>
      <c r="D27" s="356"/>
      <c r="E27" s="354" t="str">
        <f>VERIFICA</f>
        <v>Atende</v>
      </c>
      <c r="F27" s="64"/>
    </row>
    <row r="28" spans="1:6" ht="15" customHeight="1">
      <c r="B28" s="60" t="s">
        <v>997</v>
      </c>
      <c r="C28" s="356"/>
      <c r="D28" s="356"/>
      <c r="E28" s="354"/>
      <c r="F28" s="65"/>
    </row>
    <row r="29" spans="1:6" ht="15" customHeight="1">
      <c r="C29" s="104"/>
    </row>
    <row r="30" spans="1:6" ht="15" customHeight="1">
      <c r="A30" s="351" t="s">
        <v>998</v>
      </c>
      <c r="B30" s="351"/>
      <c r="C30" s="351"/>
      <c r="D30" s="351"/>
    </row>
    <row r="31" spans="1:6" ht="15" customHeight="1">
      <c r="A31" s="351" t="str">
        <f>CONCATENATE("do ISS para ",B8," é de ",C20," %",", com a respectiva alíquota de ",C21,"  %")</f>
        <v>do ISS para Edificações é de 100 %, com a respectiva alíquota de 5  %</v>
      </c>
      <c r="B31" s="351"/>
      <c r="C31" s="351"/>
      <c r="D31" s="351"/>
    </row>
    <row r="32" spans="1:6" ht="15" customHeight="1">
      <c r="A32" s="105"/>
    </row>
    <row r="33" spans="1:4" ht="15" customHeight="1">
      <c r="A33" s="352" t="s">
        <v>999</v>
      </c>
      <c r="B33" s="352"/>
      <c r="C33" s="352"/>
      <c r="D33" s="352"/>
    </row>
    <row r="34" spans="1:4" ht="15" customHeight="1">
      <c r="A34" s="353" t="str">
        <f>CONCATENATE("elaboração do orçamento foi ",B6,", e que esta é a alternativa mais adequada para ")</f>
        <v xml:space="preserve">elaboração do orçamento foi Sem Desoneração, e que esta é a alternativa mais adequada para </v>
      </c>
      <c r="B34" s="353"/>
      <c r="C34" s="353"/>
      <c r="D34" s="353"/>
    </row>
    <row r="35" spans="1:4" ht="15" customHeight="1">
      <c r="A35" s="106" t="s">
        <v>1000</v>
      </c>
      <c r="C35" s="106"/>
      <c r="D35" s="106"/>
    </row>
    <row r="36" spans="1:4" ht="15" customHeight="1">
      <c r="A36" s="106"/>
      <c r="C36" s="106"/>
      <c r="D36" s="106"/>
    </row>
    <row r="37" spans="1:4" ht="15" customHeight="1">
      <c r="A37" s="106"/>
      <c r="C37" s="106"/>
      <c r="D37" s="106"/>
    </row>
    <row r="38" spans="1:4" ht="15" customHeight="1">
      <c r="A38" s="61"/>
      <c r="B38" s="69" t="s">
        <v>26532</v>
      </c>
    </row>
    <row r="39" spans="1:4" ht="15" customHeight="1">
      <c r="A39" s="61"/>
      <c r="B39" s="70" t="s">
        <v>26533</v>
      </c>
    </row>
    <row r="40" spans="1:4" ht="15" customHeight="1">
      <c r="A40" s="61"/>
      <c r="B40" s="70"/>
    </row>
    <row r="41" spans="1:4" ht="15" customHeight="1"/>
    <row r="42" spans="1:4" ht="15" customHeight="1"/>
  </sheetData>
  <mergeCells count="15">
    <mergeCell ref="A17:D17"/>
    <mergeCell ref="A26:D26"/>
    <mergeCell ref="C27:D28"/>
    <mergeCell ref="A1:D1"/>
    <mergeCell ref="B2:D2"/>
    <mergeCell ref="B3:D3"/>
    <mergeCell ref="A5:D5"/>
    <mergeCell ref="A7:D7"/>
    <mergeCell ref="A9:D9"/>
    <mergeCell ref="B4:D4"/>
    <mergeCell ref="A30:D30"/>
    <mergeCell ref="A31:D31"/>
    <mergeCell ref="A33:D33"/>
    <mergeCell ref="A34:D34"/>
    <mergeCell ref="E27:E28"/>
  </mergeCells>
  <conditionalFormatting sqref="F27">
    <cfRule type="cellIs" dxfId="3399" priority="4" stopIfTrue="1" operator="equal">
      <formula>"Atende"</formula>
    </cfRule>
  </conditionalFormatting>
  <conditionalFormatting sqref="E27">
    <cfRule type="cellIs" dxfId="3398" priority="1" stopIfTrue="1" operator="equal">
      <formula>"Atende"</formula>
    </cfRule>
  </conditionalFormatting>
  <dataValidations count="4">
    <dataValidation type="list" allowBlank="1" showErrorMessage="1" sqref="B6">
      <formula1>"Com Desoneração,Sem Desoneração"</formula1>
    </dataValidation>
    <dataValidation type="list" allowBlank="1" showErrorMessage="1" sqref="B8">
      <formula1>"Edificações,Fornecimento de Materiais e Equipamentos,Redes de Água, Esgoto ou Correlatas,Rodovias e Ferrovias,Portuárias, Marítimas e Fluviais,"</formula1>
    </dataValidation>
    <dataValidation type="decimal" allowBlank="1" showErrorMessage="1" errorTitle="Atenção" error="O valor deve estar entre 0 e 100" sqref="C20">
      <formula1>0</formula1>
      <formula2>100</formula2>
    </dataValidation>
    <dataValidation type="decimal" allowBlank="1" showErrorMessage="1" errorTitle="Atenção" error="O valor deve estar entre 2%  e  5%" sqref="C21">
      <formula1>2</formula1>
      <formula2>5</formula2>
    </dataValidation>
  </dataValidations>
  <printOptions horizontalCentered="1"/>
  <pageMargins left="0.78740157480314965" right="0.39370078740157483" top="1.5748031496062993" bottom="0.98425196850393704" header="0.39370078740157483" footer="0.39370078740157483"/>
  <pageSetup paperSize="9" fitToWidth="0" fitToHeight="0" pageOrder="overThenDown" orientation="portrait" useFirstPageNumber="1" r:id="rId1"/>
  <headerFooter alignWithMargins="0">
    <oddHeader xml:space="preserve">&amp;C&amp;G
</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7"/>
  <sheetViews>
    <sheetView workbookViewId="0"/>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1002</v>
      </c>
    </row>
    <row r="2" spans="1:13">
      <c r="A2" s="3"/>
    </row>
    <row r="3" spans="1:13" ht="12.75" customHeight="1">
      <c r="A3" s="362" t="s">
        <v>1003</v>
      </c>
      <c r="B3" s="362" t="s">
        <v>1004</v>
      </c>
      <c r="C3" s="362"/>
    </row>
    <row r="4" spans="1:13">
      <c r="A4" s="362"/>
      <c r="B4" s="4" t="s">
        <v>1005</v>
      </c>
      <c r="C4" s="4" t="s">
        <v>1006</v>
      </c>
      <c r="E4" s="5"/>
    </row>
    <row r="5" spans="1:13">
      <c r="A5" s="6" t="s">
        <v>1007</v>
      </c>
      <c r="B5" s="7">
        <v>20.34</v>
      </c>
      <c r="C5" s="7">
        <v>25</v>
      </c>
    </row>
    <row r="6" spans="1:13">
      <c r="A6" s="6" t="s">
        <v>986</v>
      </c>
      <c r="B6" s="7">
        <v>11.1</v>
      </c>
      <c r="C6" s="7">
        <v>16.8</v>
      </c>
    </row>
    <row r="7" spans="1:13">
      <c r="A7" s="6" t="s">
        <v>1008</v>
      </c>
      <c r="B7" s="7">
        <v>22.8</v>
      </c>
      <c r="C7" s="7">
        <v>30.95</v>
      </c>
    </row>
    <row r="8" spans="1:13">
      <c r="A8" s="6" t="s">
        <v>1001</v>
      </c>
      <c r="B8" s="7">
        <v>20.76</v>
      </c>
      <c r="C8" s="7">
        <v>26.44</v>
      </c>
    </row>
    <row r="9" spans="1:13">
      <c r="A9" s="8" t="s">
        <v>1009</v>
      </c>
      <c r="B9" s="7">
        <v>19.600000000000001</v>
      </c>
      <c r="C9" s="7">
        <v>24.23</v>
      </c>
    </row>
    <row r="10" spans="1:13">
      <c r="A10" s="362" t="s">
        <v>1010</v>
      </c>
      <c r="B10" s="363" t="s">
        <v>29</v>
      </c>
      <c r="C10" s="363"/>
    </row>
    <row r="11" spans="1:13">
      <c r="A11" s="362"/>
      <c r="B11" s="4" t="s">
        <v>1005</v>
      </c>
      <c r="C11" s="4" t="s">
        <v>1006</v>
      </c>
    </row>
    <row r="12" spans="1:13">
      <c r="A12" s="6" t="str">
        <f>TIPO</f>
        <v>Edificações</v>
      </c>
      <c r="B12" s="7">
        <f>LOOKUP(A12,A5:A9,B5:B9)</f>
        <v>20.34</v>
      </c>
      <c r="C12" s="7">
        <f>LOOKUP(A12,A5:A9,C5:C9)</f>
        <v>25</v>
      </c>
      <c r="D12" s="9"/>
    </row>
    <row r="14" spans="1:13">
      <c r="A14" s="362" t="s">
        <v>1011</v>
      </c>
      <c r="B14" s="362"/>
      <c r="M14" s="10"/>
    </row>
    <row r="15" spans="1:13">
      <c r="A15" s="11" t="s">
        <v>1052</v>
      </c>
      <c r="B15" s="38">
        <f>ROUND((((1+(AC+RIS+SG)/100)*(1+(DF/100))*(1+(LUC/100)))/(1-((BC/100)*ISS+COFINS+PIS+4.5)/100)-1),4)*100</f>
        <v>31.480000000000004</v>
      </c>
      <c r="M15" s="10"/>
    </row>
    <row r="16" spans="1:13">
      <c r="A16" s="12" t="s">
        <v>984</v>
      </c>
      <c r="B16" s="38">
        <f>ROUND((((1+(AC+RIS+SG)/100)*(1+(DF/100))*(1+(LUC/100)))/(1-((BC/100)*ISS+COFINS+PIS)/100)-1),4)*100</f>
        <v>25</v>
      </c>
    </row>
    <row r="17" spans="1:2">
      <c r="A17" s="361" t="str">
        <f>IF(B16&lt;B12,"Não Atende o Limite Inferior",IF(B16&gt;C12,"Não Atende o Limite Superior","Atende"))</f>
        <v>Atende</v>
      </c>
      <c r="B17" s="361"/>
    </row>
  </sheetData>
  <mergeCells count="6">
    <mergeCell ref="A17:B17"/>
    <mergeCell ref="A3:A4"/>
    <mergeCell ref="B3:C3"/>
    <mergeCell ref="A10:A11"/>
    <mergeCell ref="B10:C10"/>
    <mergeCell ref="A14:B14"/>
  </mergeCells>
  <conditionalFormatting sqref="A17">
    <cfRule type="cellIs" dxfId="339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21</vt:i4>
      </vt:variant>
      <vt:variant>
        <vt:lpstr>Intervalos nomeados</vt:lpstr>
      </vt:variant>
      <vt:variant>
        <vt:i4>37</vt:i4>
      </vt:variant>
    </vt:vector>
  </HeadingPairs>
  <TitlesOfParts>
    <vt:vector size="58" baseType="lpstr">
      <vt:lpstr>CSINAPI</vt:lpstr>
      <vt:lpstr>CDER-ES</vt:lpstr>
      <vt:lpstr>ISINAPI</vt:lpstr>
      <vt:lpstr>IDER-ES</vt:lpstr>
      <vt:lpstr>CCESAN</vt:lpstr>
      <vt:lpstr>CSCORIO</vt:lpstr>
      <vt:lpstr>DADOS</vt:lpstr>
      <vt:lpstr>BDI</vt:lpstr>
      <vt:lpstr>Auxiliar</vt:lpstr>
      <vt:lpstr>ORCAMENTO</vt:lpstr>
      <vt:lpstr>MEMÓRIA DE CÁLCULO</vt:lpstr>
      <vt:lpstr>COMPOSICAO</vt:lpstr>
      <vt:lpstr>CRONOGRAMA</vt:lpstr>
      <vt:lpstr>MERCADO</vt:lpstr>
      <vt:lpstr>Pranchas</vt:lpstr>
      <vt:lpstr>QUADRO ESQUADRIAS</vt:lpstr>
      <vt:lpstr>QUADRO ÁREA</vt:lpstr>
      <vt:lpstr>EQUIPAMENTOS</vt:lpstr>
      <vt:lpstr>HIDRÁULICA</vt:lpstr>
      <vt:lpstr>SANITÁRIA</vt:lpstr>
      <vt:lpstr>ELÉTRICA</vt:lpstr>
      <vt:lpstr>AC</vt:lpstr>
      <vt:lpstr>BDI!Area_de_impressao</vt:lpstr>
      <vt:lpstr>COMPOSICAO!Area_de_impressao</vt:lpstr>
      <vt:lpstr>CRONOGRAMA!Area_de_impressao</vt:lpstr>
      <vt:lpstr>'MEMÓRIA DE CÁLCULO'!Area_de_impressao</vt:lpstr>
      <vt:lpstr>MERCADO!Area_de_impressao</vt:lpstr>
      <vt:lpstr>ORCAMENTO!Area_de_impressao</vt:lpstr>
      <vt:lpstr>BC</vt:lpstr>
      <vt:lpstr>BDI</vt:lpstr>
      <vt:lpstr>CCESAN</vt:lpstr>
      <vt:lpstr>CIOPES</vt:lpstr>
      <vt:lpstr>COFINS</vt:lpstr>
      <vt:lpstr>COMP</vt:lpstr>
      <vt:lpstr>CONTRATO</vt:lpstr>
      <vt:lpstr>CSCORIO</vt:lpstr>
      <vt:lpstr>CSINAPI</vt:lpstr>
      <vt:lpstr>DADOS</vt:lpstr>
      <vt:lpstr>DF</vt:lpstr>
      <vt:lpstr>DT</vt:lpstr>
      <vt:lpstr>IIOPES</vt:lpstr>
      <vt:lpstr>ISINAPI</vt:lpstr>
      <vt:lpstr>ISS</vt:lpstr>
      <vt:lpstr>LUC</vt:lpstr>
      <vt:lpstr>MCALCULO</vt:lpstr>
      <vt:lpstr>MERC</vt:lpstr>
      <vt:lpstr>OBRA</vt:lpstr>
      <vt:lpstr>PIS</vt:lpstr>
      <vt:lpstr>PREV</vt:lpstr>
      <vt:lpstr>RIS</vt:lpstr>
      <vt:lpstr>SERVICOS</vt:lpstr>
      <vt:lpstr>SG</vt:lpstr>
      <vt:lpstr>TIPO</vt:lpstr>
      <vt:lpstr>COMPOSICAO!Titulos_de_impressao</vt:lpstr>
      <vt:lpstr>CRONOGRAMA!Titulos_de_impressao</vt:lpstr>
      <vt:lpstr>'MEMÓRIA DE CÁLCULO'!Titulos_de_impressao</vt:lpstr>
      <vt:lpstr>ORCAMENTO!Titulos_de_impressao</vt:lpstr>
      <vt:lpstr>VERIFICA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ObrasLucas</cp:lastModifiedBy>
  <cp:revision>37</cp:revision>
  <cp:lastPrinted>2022-02-17T16:33:57Z</cp:lastPrinted>
  <dcterms:created xsi:type="dcterms:W3CDTF">2019-02-26T10:14:24Z</dcterms:created>
  <dcterms:modified xsi:type="dcterms:W3CDTF">2022-02-17T16:33:59Z</dcterms:modified>
</cp:coreProperties>
</file>